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pivotCache/pivotCacheDefinition27.xml" ContentType="application/vnd.openxmlformats-officedocument.spreadsheetml.pivotCacheDefinition+xml"/>
  <Override PartName="/xl/pivotCache/pivotCacheRecords2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OTHMANE\Desktop\flux\1A\S1\"/>
    </mc:Choice>
  </mc:AlternateContent>
  <xr:revisionPtr revIDLastSave="0" documentId="13_ncr:1_{ACCA252B-7895-464F-801E-7A2AE3851583}" xr6:coauthVersionLast="47" xr6:coauthVersionMax="47" xr10:uidLastSave="{00000000-0000-0000-0000-000000000000}"/>
  <bookViews>
    <workbookView xWindow="0" yWindow="0" windowWidth="20490" windowHeight="10800" firstSheet="51" activeTab="53" xr2:uid="{00000000-000D-0000-FFFF-FFFF00000000}"/>
  </bookViews>
  <sheets>
    <sheet name="Clients" sheetId="1" r:id="rId1"/>
    <sheet name="Feuil1" sheetId="28" r:id="rId2"/>
    <sheet name="Fournisseurs" sheetId="2" r:id="rId3"/>
    <sheet name="Feuil2" sheetId="29" r:id="rId4"/>
    <sheet name="Articles ADS" sheetId="3" r:id="rId5"/>
    <sheet name="Feuil3" sheetId="30" r:id="rId6"/>
    <sheet name="Articles Bouchon Couronne" sheetId="4" r:id="rId7"/>
    <sheet name="Feuil4" sheetId="31" r:id="rId8"/>
    <sheet name="Articles Consignation" sheetId="5" r:id="rId9"/>
    <sheet name="Feuil5" sheetId="32" r:id="rId10"/>
    <sheet name="Articles Frais Gestion" sheetId="6" r:id="rId11"/>
    <sheet name="Feuil6" sheetId="33" r:id="rId12"/>
    <sheet name="Feuil7" sheetId="34" r:id="rId13"/>
    <sheet name="Articles Metal" sheetId="7" r:id="rId14"/>
    <sheet name="Feuil8" sheetId="35" r:id="rId15"/>
    <sheet name="Articles Plastique" sheetId="8" r:id="rId16"/>
    <sheet name="Feuil9" sheetId="36" r:id="rId17"/>
    <sheet name="Feuil10" sheetId="37" r:id="rId18"/>
    <sheet name="Articles Pres Serv" sheetId="9" r:id="rId19"/>
    <sheet name="Feuil11" sheetId="38" r:id="rId20"/>
    <sheet name="Articles Twist Off" sheetId="10" r:id="rId21"/>
    <sheet name="Feuil12" sheetId="39" r:id="rId22"/>
    <sheet name="Article Verre" sheetId="11" r:id="rId23"/>
    <sheet name="Feuil13" sheetId="40" r:id="rId24"/>
    <sheet name="Plan Comptable" sheetId="12" r:id="rId25"/>
    <sheet name="Feuil14" sheetId="41" r:id="rId26"/>
    <sheet name="Code Affairs Proposition" sheetId="13" r:id="rId27"/>
    <sheet name="Feuil15" sheetId="42" r:id="rId28"/>
    <sheet name="Documents des ventes cours" sheetId="14" r:id="rId29"/>
    <sheet name="Feuil16" sheetId="43" r:id="rId30"/>
    <sheet name="Documents des ventes Devis" sheetId="15" r:id="rId31"/>
    <sheet name="Feuil17" sheetId="44" r:id="rId32"/>
    <sheet name="Documents des ventes prep livra" sheetId="16" r:id="rId33"/>
    <sheet name="Feuil18" sheetId="45" r:id="rId34"/>
    <sheet name="Documents des ventes Bondelivra" sheetId="17" r:id="rId35"/>
    <sheet name="Feuil19" sheetId="46" r:id="rId36"/>
    <sheet name="Documents de ventes Facture" sheetId="18" r:id="rId37"/>
    <sheet name="Feuil20" sheetId="47" r:id="rId38"/>
    <sheet name="Documents de ventes Facture com" sheetId="19" r:id="rId39"/>
    <sheet name="Feuil21" sheetId="48" r:id="rId40"/>
    <sheet name="Documents Achats cours" sheetId="20" r:id="rId41"/>
    <sheet name="Feuil22" sheetId="49" r:id="rId42"/>
    <sheet name="Documents Achats Prépa commande" sheetId="21" r:id="rId43"/>
    <sheet name="Feuil23" sheetId="50" r:id="rId44"/>
    <sheet name="Documents Achats Bon decommande" sheetId="22" r:id="rId45"/>
    <sheet name="Feuil24" sheetId="51" r:id="rId46"/>
    <sheet name="Documents Achats Bon de livrais" sheetId="23" r:id="rId47"/>
    <sheet name="Feuil25" sheetId="52" r:id="rId48"/>
    <sheet name="Documents Achats Facture" sheetId="24" r:id="rId49"/>
    <sheet name="Feuil26" sheetId="53" r:id="rId50"/>
    <sheet name="Documents Achats Facture Compta" sheetId="25" r:id="rId51"/>
    <sheet name="Feuil27" sheetId="54" r:id="rId52"/>
    <sheet name="Nomenclatures Article lié" sheetId="26" r:id="rId53"/>
    <sheet name="Feuil28" sheetId="55" r:id="rId54"/>
    <sheet name="Transports" sheetId="27" r:id="rId55"/>
  </sheets>
  <calcPr calcId="191029"/>
  <pivotCaches>
    <pivotCache cacheId="2" r:id="rId56"/>
    <pivotCache cacheId="5" r:id="rId57"/>
    <pivotCache cacheId="12" r:id="rId58"/>
    <pivotCache cacheId="16" r:id="rId59"/>
    <pivotCache cacheId="21" r:id="rId60"/>
    <pivotCache cacheId="26" r:id="rId61"/>
    <pivotCache cacheId="33" r:id="rId62"/>
    <pivotCache cacheId="37" r:id="rId63"/>
    <pivotCache cacheId="44" r:id="rId64"/>
    <pivotCache cacheId="48" r:id="rId65"/>
    <pivotCache cacheId="54" r:id="rId66"/>
    <pivotCache cacheId="59" r:id="rId67"/>
    <pivotCache cacheId="63" r:id="rId68"/>
    <pivotCache cacheId="69" r:id="rId69"/>
    <pivotCache cacheId="73" r:id="rId70"/>
    <pivotCache cacheId="77" r:id="rId71"/>
    <pivotCache cacheId="81" r:id="rId72"/>
    <pivotCache cacheId="85" r:id="rId73"/>
    <pivotCache cacheId="89" r:id="rId74"/>
    <pivotCache cacheId="93" r:id="rId75"/>
    <pivotCache cacheId="97" r:id="rId76"/>
    <pivotCache cacheId="101" r:id="rId77"/>
    <pivotCache cacheId="105" r:id="rId78"/>
    <pivotCache cacheId="109" r:id="rId79"/>
    <pivotCache cacheId="113" r:id="rId80"/>
    <pivotCache cacheId="117" r:id="rId81"/>
    <pivotCache cacheId="121" r:id="rId8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25" l="1"/>
  <c r="G2" i="25"/>
  <c r="D3" i="25"/>
  <c r="G3" i="25"/>
  <c r="D4" i="25"/>
  <c r="G4" i="25"/>
  <c r="D5" i="25"/>
  <c r="G5" i="25"/>
  <c r="D6" i="25"/>
  <c r="G6" i="25"/>
  <c r="D7" i="25"/>
  <c r="G7" i="25"/>
  <c r="D8" i="25"/>
  <c r="G8" i="25"/>
  <c r="D9" i="25"/>
  <c r="G9" i="25"/>
  <c r="D10" i="25"/>
  <c r="G10" i="25"/>
  <c r="D11" i="25"/>
  <c r="G11" i="25"/>
  <c r="D12" i="25"/>
  <c r="G12" i="25"/>
  <c r="D13" i="25"/>
  <c r="G13" i="25"/>
  <c r="G14" i="25"/>
  <c r="G15" i="25"/>
  <c r="D16" i="25"/>
  <c r="G16" i="25"/>
  <c r="D17" i="25"/>
  <c r="G17" i="25"/>
  <c r="D18" i="25"/>
  <c r="G18" i="25"/>
  <c r="D19" i="25"/>
  <c r="G19" i="25"/>
  <c r="D20" i="25"/>
  <c r="G20" i="25"/>
  <c r="D21" i="25"/>
  <c r="G21" i="25"/>
  <c r="D22" i="25"/>
  <c r="G22" i="25"/>
  <c r="D23" i="25"/>
  <c r="G23" i="25"/>
  <c r="D24" i="25"/>
  <c r="G24" i="25"/>
  <c r="D25" i="25"/>
  <c r="G25" i="25"/>
  <c r="D26" i="25"/>
  <c r="G26" i="25"/>
  <c r="D27" i="25"/>
  <c r="G27" i="25"/>
  <c r="D28" i="25"/>
  <c r="G28" i="25"/>
  <c r="D29" i="25"/>
  <c r="G29" i="25"/>
  <c r="D30" i="25"/>
  <c r="G30" i="25"/>
  <c r="D31" i="25"/>
  <c r="E31" i="25"/>
  <c r="G31" i="25"/>
  <c r="G32" i="25"/>
  <c r="D33" i="25"/>
  <c r="G33" i="25"/>
  <c r="D34" i="25"/>
  <c r="G34" i="25"/>
  <c r="D35" i="25"/>
  <c r="G35" i="25"/>
  <c r="D36" i="25"/>
  <c r="G36" i="25"/>
  <c r="D37" i="25"/>
  <c r="G37" i="25"/>
  <c r="D38" i="25"/>
  <c r="G38" i="25"/>
  <c r="D39" i="25"/>
  <c r="G39" i="25"/>
  <c r="D40" i="25"/>
  <c r="G40" i="25"/>
  <c r="D41" i="25"/>
  <c r="G41" i="25"/>
  <c r="D42" i="25"/>
  <c r="G42" i="25"/>
  <c r="D43" i="25"/>
  <c r="G43" i="25"/>
  <c r="D44" i="25"/>
  <c r="G44" i="25"/>
  <c r="D45" i="25"/>
  <c r="G45" i="25"/>
  <c r="D46" i="25"/>
  <c r="G46" i="25"/>
  <c r="D47" i="25"/>
  <c r="G47" i="25"/>
  <c r="D48" i="25"/>
  <c r="G48" i="25"/>
  <c r="D49" i="25"/>
  <c r="G49" i="25"/>
  <c r="D50" i="25"/>
  <c r="G50" i="25"/>
  <c r="D51" i="25"/>
  <c r="G51" i="25"/>
  <c r="D52" i="25"/>
  <c r="G52" i="25"/>
  <c r="D53" i="25"/>
  <c r="G53" i="25"/>
  <c r="G54" i="25"/>
  <c r="D55" i="25"/>
  <c r="G55" i="25"/>
  <c r="D56" i="25"/>
  <c r="G56" i="25"/>
  <c r="D57" i="25"/>
  <c r="G57" i="25"/>
  <c r="D58" i="25"/>
  <c r="G58" i="25"/>
  <c r="D59" i="25"/>
  <c r="G59" i="25"/>
  <c r="G60" i="25"/>
  <c r="G61" i="25"/>
  <c r="G62" i="25"/>
  <c r="D63" i="25"/>
  <c r="G63" i="25"/>
  <c r="D64" i="25"/>
  <c r="G64" i="25"/>
  <c r="D65" i="25"/>
  <c r="G65" i="25"/>
  <c r="D66" i="25"/>
  <c r="G66" i="25"/>
  <c r="G67" i="25"/>
  <c r="D68" i="25"/>
  <c r="G68" i="25"/>
  <c r="D69" i="25"/>
  <c r="G69" i="25"/>
  <c r="D70" i="25"/>
  <c r="G70" i="25"/>
  <c r="D71" i="25"/>
  <c r="G71" i="25"/>
  <c r="D72" i="25"/>
  <c r="G72" i="25"/>
  <c r="D73" i="25"/>
  <c r="G73" i="25"/>
  <c r="D74" i="25"/>
  <c r="G74" i="25"/>
  <c r="G75" i="25"/>
  <c r="D76" i="25"/>
  <c r="G76" i="25"/>
  <c r="D77" i="25"/>
  <c r="G77" i="25"/>
  <c r="D78" i="25"/>
  <c r="G78" i="25"/>
  <c r="D79" i="25"/>
  <c r="G79" i="25"/>
  <c r="D80" i="25"/>
  <c r="G80" i="25"/>
  <c r="D81" i="25"/>
  <c r="G81" i="25"/>
  <c r="D82" i="25"/>
  <c r="G82" i="25"/>
  <c r="D83" i="25"/>
  <c r="G83" i="25"/>
  <c r="D84" i="25"/>
  <c r="G84" i="25"/>
  <c r="D85" i="25"/>
  <c r="G85" i="25"/>
  <c r="D86" i="25"/>
  <c r="G86" i="25"/>
  <c r="D87" i="25"/>
  <c r="G87" i="25"/>
  <c r="D88" i="25"/>
  <c r="G88" i="25"/>
  <c r="D89" i="25"/>
  <c r="G89" i="25"/>
  <c r="D90" i="25"/>
  <c r="G90" i="25"/>
  <c r="D91" i="25"/>
  <c r="G91" i="25"/>
  <c r="D92" i="25"/>
  <c r="E92" i="25"/>
  <c r="G92" i="25"/>
  <c r="D93" i="25"/>
  <c r="G93" i="25"/>
  <c r="D94" i="25"/>
  <c r="G94" i="25"/>
  <c r="D95" i="25"/>
  <c r="G95" i="25"/>
  <c r="D96" i="25"/>
  <c r="G96" i="25"/>
  <c r="D97" i="25"/>
  <c r="G97" i="25"/>
  <c r="D98" i="25"/>
  <c r="G98" i="25"/>
  <c r="D99" i="25"/>
  <c r="E99" i="25"/>
  <c r="G99" i="25"/>
  <c r="D100" i="25"/>
  <c r="G100" i="25"/>
  <c r="D101" i="25"/>
  <c r="G101" i="25"/>
  <c r="G102" i="25"/>
  <c r="G103" i="25"/>
  <c r="G104" i="25"/>
  <c r="G105" i="25"/>
  <c r="D106" i="25"/>
  <c r="G106" i="25"/>
  <c r="G107" i="25"/>
  <c r="D108" i="25"/>
  <c r="G108" i="25"/>
  <c r="D109" i="25"/>
  <c r="G109" i="25"/>
  <c r="D110" i="25"/>
  <c r="G110" i="25"/>
  <c r="D111" i="25"/>
  <c r="G111" i="25"/>
  <c r="D112" i="25"/>
  <c r="G112" i="25"/>
  <c r="D113" i="25"/>
  <c r="G113" i="25"/>
  <c r="D114" i="25"/>
  <c r="G114" i="25"/>
  <c r="D115" i="25"/>
  <c r="G115" i="25"/>
  <c r="D116" i="25"/>
  <c r="G116" i="25"/>
  <c r="D117" i="25"/>
  <c r="G117" i="25"/>
  <c r="D118" i="25"/>
  <c r="G118" i="25"/>
  <c r="D119" i="25"/>
  <c r="G119" i="25"/>
  <c r="D120" i="25"/>
  <c r="G120" i="25"/>
  <c r="D121" i="25"/>
  <c r="G121" i="25"/>
  <c r="D122" i="25"/>
  <c r="G122" i="25"/>
  <c r="G123" i="25"/>
  <c r="D124" i="25"/>
  <c r="G124" i="25"/>
  <c r="D125" i="25"/>
  <c r="G125" i="25"/>
  <c r="D126" i="25"/>
  <c r="G126" i="25"/>
  <c r="D127" i="25"/>
  <c r="G127" i="25"/>
  <c r="D128" i="25"/>
  <c r="G128" i="25"/>
  <c r="D129" i="25"/>
  <c r="G129" i="25"/>
  <c r="D130" i="25"/>
  <c r="G130" i="25"/>
  <c r="G131" i="25"/>
  <c r="G132" i="25"/>
  <c r="D133" i="25"/>
  <c r="G133" i="25"/>
  <c r="D134" i="25"/>
  <c r="G134" i="25"/>
  <c r="D135" i="25"/>
  <c r="G135" i="25"/>
  <c r="D136" i="25"/>
  <c r="G136" i="25"/>
  <c r="D137" i="25"/>
  <c r="G137" i="25"/>
  <c r="D138" i="25"/>
  <c r="G138" i="25"/>
  <c r="D139" i="25"/>
  <c r="G139" i="25"/>
  <c r="D140" i="25"/>
  <c r="G140" i="25"/>
  <c r="D141" i="25"/>
  <c r="G141" i="25"/>
  <c r="D142" i="25"/>
  <c r="G142" i="25"/>
  <c r="D143" i="25"/>
  <c r="G143" i="25"/>
  <c r="D144" i="25"/>
  <c r="G144" i="25"/>
  <c r="D145" i="25"/>
  <c r="G145" i="25"/>
  <c r="D146" i="25"/>
  <c r="G146" i="25"/>
  <c r="D147" i="25"/>
  <c r="G147" i="25"/>
  <c r="D148" i="25"/>
  <c r="G148" i="25"/>
  <c r="D149" i="25"/>
  <c r="G149" i="25"/>
  <c r="D150" i="25"/>
  <c r="G150" i="25"/>
  <c r="D151" i="25"/>
  <c r="G151" i="25"/>
  <c r="D152" i="25"/>
  <c r="G152" i="25"/>
  <c r="D153" i="25"/>
  <c r="G153" i="25"/>
  <c r="D154" i="25"/>
  <c r="G154" i="25"/>
  <c r="D155" i="25"/>
  <c r="G155" i="25"/>
  <c r="D156" i="25"/>
  <c r="G156" i="25"/>
  <c r="D157" i="25"/>
  <c r="G157" i="25"/>
  <c r="D158" i="25"/>
  <c r="G158" i="25"/>
  <c r="D159" i="25"/>
  <c r="G159" i="25"/>
  <c r="D160" i="25"/>
  <c r="G160" i="25"/>
  <c r="D161" i="25"/>
  <c r="G161" i="25"/>
  <c r="D162" i="25"/>
  <c r="G162" i="25"/>
  <c r="D163" i="25"/>
  <c r="G163" i="25"/>
  <c r="D164" i="25"/>
  <c r="G164" i="25"/>
  <c r="D165" i="25"/>
  <c r="G165" i="25"/>
  <c r="D166" i="25"/>
  <c r="G166" i="25"/>
  <c r="D167" i="25"/>
  <c r="G167" i="25"/>
  <c r="D168" i="25"/>
  <c r="G168" i="25"/>
  <c r="D169" i="25"/>
  <c r="G169" i="25"/>
  <c r="D170" i="25"/>
  <c r="G170" i="25"/>
  <c r="D171" i="25"/>
  <c r="G171" i="25"/>
  <c r="D172" i="25"/>
  <c r="G172" i="25"/>
  <c r="D173" i="25"/>
  <c r="G173" i="25"/>
  <c r="D174" i="25"/>
  <c r="G174" i="25"/>
  <c r="G175" i="25"/>
  <c r="D176" i="25"/>
  <c r="G176" i="25"/>
  <c r="G177" i="25"/>
  <c r="D178" i="25"/>
  <c r="G178" i="25"/>
  <c r="D179" i="25"/>
  <c r="G179" i="25"/>
  <c r="D180" i="25"/>
  <c r="G180" i="25"/>
  <c r="D181" i="25"/>
  <c r="G181" i="25"/>
  <c r="D182" i="25"/>
  <c r="G182" i="25"/>
  <c r="D183" i="25"/>
  <c r="G183" i="25"/>
  <c r="D184" i="25"/>
  <c r="G184" i="25"/>
  <c r="D185" i="25"/>
  <c r="G185" i="25"/>
  <c r="D186" i="25"/>
  <c r="G186" i="25"/>
  <c r="D187" i="25"/>
  <c r="G187" i="25"/>
  <c r="G188" i="25"/>
  <c r="D189" i="25"/>
  <c r="G189" i="25"/>
  <c r="D190" i="25"/>
  <c r="G190" i="25"/>
  <c r="D191" i="25"/>
  <c r="G191" i="25"/>
  <c r="D192" i="25"/>
  <c r="G192" i="25"/>
  <c r="D193" i="25"/>
  <c r="G193" i="25"/>
  <c r="D194" i="25"/>
  <c r="G194" i="25"/>
  <c r="D195" i="25"/>
  <c r="G195" i="25"/>
  <c r="D196" i="25"/>
  <c r="G196" i="25"/>
  <c r="D197" i="25"/>
  <c r="G197" i="25"/>
  <c r="D198" i="25"/>
  <c r="G198" i="25"/>
  <c r="D199" i="25"/>
  <c r="G199" i="25"/>
  <c r="D200" i="25"/>
  <c r="G200" i="25"/>
  <c r="D201" i="25"/>
  <c r="G201" i="25"/>
  <c r="D202" i="25"/>
  <c r="G202" i="25"/>
  <c r="D203" i="25"/>
  <c r="G203" i="25"/>
  <c r="D204" i="25"/>
  <c r="G204" i="25"/>
  <c r="D205" i="25"/>
  <c r="G205" i="25"/>
  <c r="D206" i="25"/>
  <c r="G206" i="25"/>
  <c r="D207" i="25"/>
  <c r="G207" i="25"/>
  <c r="D208" i="25"/>
  <c r="G208" i="25"/>
  <c r="D209" i="25"/>
  <c r="G209" i="25"/>
  <c r="D210" i="25"/>
  <c r="G210" i="25"/>
  <c r="D211" i="25"/>
  <c r="G211" i="25"/>
  <c r="D212" i="25"/>
  <c r="G212" i="25"/>
  <c r="D213" i="25"/>
  <c r="G213" i="25"/>
  <c r="D214" i="25"/>
  <c r="G214" i="25"/>
  <c r="D215" i="25"/>
  <c r="G215" i="25"/>
  <c r="D216" i="25"/>
  <c r="G216" i="25"/>
  <c r="D217" i="25"/>
  <c r="G217" i="25"/>
  <c r="D218" i="25"/>
  <c r="G218" i="25"/>
  <c r="D219" i="25"/>
  <c r="G219" i="25"/>
  <c r="D220" i="25"/>
  <c r="G220" i="25"/>
  <c r="D221" i="25"/>
  <c r="G221" i="25"/>
  <c r="D222" i="25"/>
  <c r="G222" i="25"/>
  <c r="D223" i="25"/>
  <c r="G223" i="25"/>
  <c r="D224" i="25"/>
  <c r="G224" i="25"/>
  <c r="D225" i="25"/>
  <c r="G225" i="25"/>
  <c r="D226" i="25"/>
  <c r="G226" i="25"/>
  <c r="D227" i="25"/>
  <c r="G227" i="25"/>
  <c r="D228" i="25"/>
  <c r="G228" i="25"/>
  <c r="D229" i="25"/>
  <c r="G229" i="25"/>
  <c r="D230" i="25"/>
  <c r="G230" i="25"/>
  <c r="D231" i="25"/>
  <c r="G231" i="25"/>
  <c r="D232" i="25"/>
  <c r="G232" i="25"/>
  <c r="D233" i="25"/>
  <c r="G233" i="25"/>
  <c r="D234" i="25"/>
  <c r="G234" i="25"/>
  <c r="D235" i="25"/>
  <c r="G235" i="25"/>
  <c r="D236" i="25"/>
  <c r="G236" i="25"/>
  <c r="D237" i="25"/>
  <c r="G237" i="25"/>
  <c r="D238" i="25"/>
  <c r="G238" i="25"/>
  <c r="D239" i="25"/>
  <c r="G239" i="25"/>
  <c r="D240" i="25"/>
  <c r="G240" i="25"/>
  <c r="D241" i="25"/>
  <c r="G241" i="25"/>
  <c r="D242" i="25"/>
  <c r="G242" i="25"/>
  <c r="D243" i="25"/>
  <c r="G243" i="25"/>
  <c r="D244" i="25"/>
  <c r="G244" i="25"/>
  <c r="D245" i="25"/>
  <c r="G245" i="25"/>
  <c r="D246" i="25"/>
  <c r="G246" i="25"/>
  <c r="D247" i="25"/>
  <c r="G247" i="25"/>
  <c r="G248" i="25"/>
  <c r="D249" i="25"/>
  <c r="G249" i="25"/>
  <c r="D250" i="25"/>
  <c r="G250" i="25"/>
  <c r="D251" i="25"/>
  <c r="G251" i="25"/>
  <c r="D252" i="25"/>
  <c r="G252" i="25"/>
  <c r="D253" i="25"/>
  <c r="G253" i="25"/>
  <c r="D254" i="25"/>
  <c r="G254" i="25"/>
  <c r="D255" i="25"/>
  <c r="G255" i="25"/>
  <c r="D256" i="25"/>
  <c r="G256" i="25"/>
  <c r="D257" i="25"/>
  <c r="G257" i="25"/>
  <c r="D258" i="25"/>
  <c r="G258" i="25"/>
  <c r="D259" i="25"/>
  <c r="G259" i="25"/>
  <c r="D260" i="25"/>
  <c r="G260" i="25"/>
  <c r="D261" i="25"/>
  <c r="G261" i="25"/>
  <c r="D262" i="25"/>
  <c r="G262" i="25"/>
  <c r="D263" i="25"/>
  <c r="G263" i="25"/>
  <c r="D264" i="25"/>
  <c r="G264" i="25"/>
  <c r="D265" i="25"/>
  <c r="G265" i="25"/>
  <c r="D266" i="25"/>
  <c r="G266" i="25"/>
  <c r="D267" i="25"/>
  <c r="G267" i="25"/>
  <c r="D268" i="25"/>
  <c r="G268" i="25"/>
  <c r="D269" i="25"/>
  <c r="G269" i="25"/>
  <c r="D270" i="25"/>
  <c r="G270" i="25"/>
  <c r="D271" i="25"/>
  <c r="G271" i="25"/>
  <c r="D272" i="25"/>
  <c r="G272" i="25"/>
  <c r="G273" i="25"/>
  <c r="D274" i="25"/>
  <c r="G274" i="25"/>
  <c r="D275" i="25"/>
  <c r="G275" i="25"/>
  <c r="D276" i="25"/>
  <c r="G276" i="25"/>
  <c r="D277" i="25"/>
  <c r="G277" i="25"/>
  <c r="D278" i="25"/>
  <c r="G278" i="25"/>
  <c r="G279" i="25"/>
  <c r="D280" i="25"/>
  <c r="G280" i="25"/>
  <c r="D281" i="25"/>
  <c r="G281" i="25"/>
  <c r="D282" i="25"/>
  <c r="G282" i="25"/>
  <c r="D283" i="25"/>
  <c r="G283" i="25"/>
  <c r="D284" i="25"/>
  <c r="G284" i="25"/>
  <c r="D285" i="25"/>
  <c r="G285" i="25"/>
  <c r="D286" i="25"/>
  <c r="G286" i="25"/>
  <c r="D287" i="25"/>
  <c r="G287" i="25"/>
  <c r="D288" i="25"/>
  <c r="G288" i="25"/>
  <c r="D289" i="25"/>
  <c r="G289" i="25"/>
  <c r="D290" i="25"/>
  <c r="G290" i="25"/>
  <c r="D291" i="25"/>
  <c r="G291" i="25"/>
  <c r="D292" i="25"/>
  <c r="G292" i="25"/>
  <c r="D293" i="25"/>
  <c r="G293" i="25"/>
  <c r="D294" i="25"/>
  <c r="G294" i="25"/>
  <c r="D295" i="25"/>
  <c r="G295" i="25"/>
  <c r="D296" i="25"/>
  <c r="G296" i="25"/>
  <c r="D297" i="25"/>
  <c r="G297" i="25"/>
  <c r="D298" i="25"/>
  <c r="G298" i="25"/>
  <c r="D299" i="25"/>
  <c r="G299" i="25"/>
  <c r="D300" i="25"/>
  <c r="G300" i="25"/>
  <c r="D301" i="25"/>
  <c r="G301" i="25"/>
  <c r="D302" i="25"/>
  <c r="G302" i="25"/>
  <c r="D303" i="25"/>
  <c r="G303" i="25"/>
  <c r="D304" i="25"/>
  <c r="G304" i="25"/>
  <c r="D305" i="25"/>
  <c r="G305" i="25"/>
  <c r="D306" i="25"/>
  <c r="G306" i="25"/>
  <c r="D307" i="25"/>
  <c r="G307" i="25"/>
  <c r="D308" i="25"/>
  <c r="G308" i="25"/>
  <c r="D309" i="25"/>
  <c r="G309" i="25"/>
  <c r="G310" i="25"/>
  <c r="D311" i="25"/>
  <c r="G311" i="25"/>
  <c r="D312" i="25"/>
  <c r="G312" i="25"/>
  <c r="D313" i="25"/>
  <c r="G313" i="25"/>
  <c r="D314" i="25"/>
  <c r="G314" i="25"/>
  <c r="D315" i="25"/>
  <c r="G315" i="25"/>
  <c r="D316" i="25"/>
  <c r="G316" i="25"/>
  <c r="D317" i="25"/>
  <c r="G317" i="25"/>
  <c r="D318" i="25"/>
  <c r="G318" i="25"/>
  <c r="D319" i="25"/>
  <c r="G319" i="25"/>
  <c r="D320" i="25"/>
  <c r="G320" i="25"/>
  <c r="G321" i="25"/>
  <c r="D322" i="25"/>
  <c r="G322" i="25"/>
  <c r="D323" i="25"/>
  <c r="G323" i="25"/>
  <c r="D324" i="25"/>
  <c r="G324" i="25"/>
  <c r="D325" i="25"/>
  <c r="G325" i="25"/>
  <c r="D326" i="25"/>
  <c r="G326" i="25"/>
  <c r="D327" i="25"/>
  <c r="G327" i="25"/>
  <c r="D328" i="25"/>
  <c r="G328" i="25"/>
  <c r="D329" i="25"/>
  <c r="G329" i="25"/>
  <c r="G330" i="25"/>
  <c r="D331" i="25"/>
  <c r="G331" i="25"/>
  <c r="G332" i="25"/>
  <c r="D333" i="25"/>
  <c r="G333" i="25"/>
  <c r="D334" i="25"/>
  <c r="G334" i="25"/>
  <c r="D335" i="25"/>
  <c r="G335" i="25"/>
  <c r="D336" i="25"/>
  <c r="G336" i="25"/>
  <c r="D337" i="25"/>
  <c r="E337" i="25"/>
  <c r="G337" i="25"/>
  <c r="D338" i="25"/>
  <c r="E338" i="25"/>
  <c r="G338" i="25"/>
  <c r="D339" i="25"/>
  <c r="G339" i="25"/>
  <c r="D340" i="25"/>
  <c r="G340" i="25"/>
  <c r="D341" i="25"/>
  <c r="G341" i="25"/>
  <c r="D342" i="25"/>
  <c r="G342" i="25"/>
  <c r="D343" i="25"/>
  <c r="G343" i="25"/>
  <c r="D344" i="25"/>
  <c r="G344" i="25"/>
  <c r="G345" i="25"/>
  <c r="D346" i="25"/>
  <c r="G346" i="25"/>
  <c r="G347" i="25"/>
  <c r="D348" i="25"/>
  <c r="G348" i="25"/>
  <c r="D349" i="25"/>
  <c r="G349" i="25"/>
  <c r="D350" i="25"/>
  <c r="G350" i="25"/>
  <c r="D351" i="25"/>
  <c r="G351" i="25"/>
  <c r="D352" i="25"/>
  <c r="G352" i="25"/>
  <c r="D353" i="25"/>
  <c r="G353" i="25"/>
  <c r="D354" i="25"/>
  <c r="G354" i="25"/>
  <c r="D355" i="25"/>
  <c r="G355" i="25"/>
  <c r="D356" i="25"/>
  <c r="G356" i="25"/>
  <c r="D357" i="25"/>
  <c r="G357" i="25"/>
  <c r="D358" i="25"/>
  <c r="G358" i="25"/>
  <c r="D359" i="25"/>
  <c r="G359" i="25"/>
  <c r="D360" i="25"/>
  <c r="G360" i="25"/>
  <c r="D361" i="25"/>
  <c r="G361" i="25"/>
  <c r="D362" i="25"/>
  <c r="G362" i="25"/>
  <c r="D363" i="25"/>
  <c r="G363" i="25"/>
  <c r="D364" i="25"/>
  <c r="G364" i="25"/>
  <c r="D365" i="25"/>
  <c r="G365" i="25"/>
  <c r="G366" i="25"/>
  <c r="G367" i="25"/>
  <c r="D368" i="25"/>
  <c r="G368" i="25"/>
  <c r="D369" i="25"/>
  <c r="G369" i="25"/>
  <c r="D370" i="25"/>
  <c r="G370" i="25"/>
  <c r="D371" i="25"/>
  <c r="G371" i="25"/>
  <c r="D372" i="25"/>
  <c r="G372" i="25"/>
  <c r="D373" i="25"/>
  <c r="G373" i="25"/>
  <c r="D374" i="25"/>
  <c r="G374" i="25"/>
  <c r="D375" i="25"/>
  <c r="G375" i="25"/>
  <c r="D376" i="25"/>
  <c r="G376" i="25"/>
  <c r="D377" i="25"/>
  <c r="G377" i="25"/>
  <c r="D378" i="25"/>
  <c r="G378" i="25"/>
  <c r="D379" i="25"/>
  <c r="G379" i="25"/>
  <c r="D380" i="25"/>
  <c r="G380" i="25"/>
  <c r="D381" i="25"/>
  <c r="G381" i="25"/>
  <c r="D382" i="25"/>
  <c r="G382" i="25"/>
  <c r="D383" i="25"/>
  <c r="G383" i="25"/>
  <c r="D384" i="25"/>
  <c r="G384" i="25"/>
  <c r="D385" i="25"/>
  <c r="G385" i="25"/>
  <c r="D386" i="25"/>
  <c r="G386" i="25"/>
  <c r="G387" i="25"/>
  <c r="D388" i="25"/>
  <c r="G388" i="25"/>
  <c r="D389" i="25"/>
  <c r="G389" i="25"/>
  <c r="D390" i="25"/>
  <c r="G390" i="25"/>
  <c r="D391" i="25"/>
  <c r="G391" i="25"/>
  <c r="D392" i="25"/>
  <c r="G392" i="25"/>
  <c r="D393" i="25"/>
  <c r="G393" i="25"/>
  <c r="D394" i="25"/>
  <c r="G394" i="25"/>
  <c r="D395" i="25"/>
  <c r="G395" i="25"/>
  <c r="G396" i="25"/>
  <c r="G397" i="25"/>
  <c r="G398" i="25"/>
  <c r="D399" i="25"/>
  <c r="G399" i="25"/>
  <c r="D400" i="25"/>
  <c r="G400" i="25"/>
  <c r="D401" i="25"/>
  <c r="G401" i="25"/>
  <c r="D402" i="25"/>
  <c r="G402" i="25"/>
  <c r="D403" i="25"/>
  <c r="G403" i="25"/>
  <c r="D404" i="25"/>
  <c r="G404" i="25"/>
  <c r="D405" i="25"/>
  <c r="G405" i="25"/>
  <c r="D406" i="25"/>
  <c r="G406" i="25"/>
  <c r="D407" i="25"/>
  <c r="G407" i="25"/>
  <c r="D408" i="25"/>
  <c r="G408" i="25"/>
  <c r="D409" i="25"/>
  <c r="G409" i="25"/>
  <c r="D410" i="25"/>
  <c r="G410" i="25"/>
  <c r="D411" i="25"/>
  <c r="G411" i="25"/>
  <c r="D412" i="25"/>
  <c r="G412" i="25"/>
  <c r="G413" i="25"/>
  <c r="G414" i="25"/>
  <c r="D415" i="25"/>
  <c r="G415" i="25"/>
  <c r="D416" i="25"/>
  <c r="G416" i="25"/>
  <c r="G417" i="25"/>
  <c r="G418" i="25"/>
  <c r="D419" i="25"/>
  <c r="G419" i="25"/>
  <c r="G420" i="25"/>
  <c r="D421" i="25"/>
  <c r="G421" i="25"/>
  <c r="D422" i="25"/>
  <c r="G422" i="25"/>
  <c r="D423" i="25"/>
  <c r="G423" i="25"/>
  <c r="D424" i="25"/>
  <c r="G424" i="25"/>
  <c r="D425" i="25"/>
  <c r="G425" i="25"/>
  <c r="D426" i="25"/>
  <c r="G426" i="25"/>
  <c r="D427" i="25"/>
  <c r="G427" i="25"/>
  <c r="D428" i="25"/>
  <c r="G428" i="25"/>
  <c r="G429" i="25"/>
  <c r="D430" i="25"/>
  <c r="G430" i="25"/>
  <c r="D431" i="25"/>
  <c r="G431" i="25"/>
  <c r="D432" i="25"/>
  <c r="G432" i="25"/>
  <c r="D433" i="25"/>
  <c r="G433" i="25"/>
  <c r="D434" i="25"/>
  <c r="G434" i="25"/>
  <c r="D435" i="25"/>
  <c r="G435" i="25"/>
  <c r="D436" i="25"/>
  <c r="G436" i="25"/>
  <c r="D437" i="25"/>
  <c r="G437" i="25"/>
  <c r="D438" i="25"/>
  <c r="G438" i="25"/>
  <c r="D439" i="25"/>
  <c r="G439" i="25"/>
  <c r="D440" i="25"/>
  <c r="G440" i="25"/>
  <c r="D441" i="25"/>
  <c r="G441" i="25"/>
  <c r="D442" i="25"/>
  <c r="G442" i="25"/>
  <c r="G443" i="25"/>
  <c r="D444" i="25"/>
  <c r="G444" i="25"/>
  <c r="G445" i="25"/>
  <c r="D446" i="25"/>
  <c r="G446" i="25"/>
  <c r="D447" i="25"/>
  <c r="G447" i="25"/>
  <c r="D448" i="25"/>
  <c r="G448" i="25"/>
  <c r="D449" i="25"/>
  <c r="G449" i="25"/>
  <c r="D450" i="25"/>
  <c r="G450" i="25"/>
  <c r="D451" i="25"/>
  <c r="G451" i="25"/>
  <c r="D452" i="25"/>
  <c r="G452" i="25"/>
  <c r="G453" i="25"/>
  <c r="D454" i="25"/>
  <c r="G454" i="25"/>
  <c r="G455" i="25"/>
  <c r="D456" i="25"/>
  <c r="G456" i="25"/>
  <c r="D457" i="25"/>
  <c r="G457" i="25"/>
  <c r="D458" i="25"/>
  <c r="G458" i="25"/>
  <c r="D459" i="25"/>
  <c r="G459" i="25"/>
  <c r="D460" i="25"/>
  <c r="G460" i="25"/>
  <c r="D461" i="25"/>
  <c r="G461" i="25"/>
  <c r="D462" i="25"/>
  <c r="G462" i="25"/>
  <c r="D463" i="25"/>
  <c r="G463" i="25"/>
  <c r="D464" i="25"/>
  <c r="G464" i="25"/>
  <c r="D465" i="25"/>
  <c r="G465" i="25"/>
  <c r="D466" i="25"/>
  <c r="G466" i="25"/>
  <c r="D467" i="25"/>
  <c r="G467" i="25"/>
  <c r="G468" i="25"/>
  <c r="G469" i="25"/>
  <c r="D470" i="25"/>
  <c r="G470" i="25"/>
  <c r="D471" i="25"/>
  <c r="G471" i="25"/>
  <c r="G472" i="25"/>
  <c r="D473" i="25"/>
  <c r="G473" i="25"/>
  <c r="D474" i="25"/>
  <c r="G474" i="25"/>
  <c r="D475" i="25"/>
  <c r="G475" i="25"/>
  <c r="D476" i="25"/>
  <c r="G476" i="25"/>
  <c r="D477" i="25"/>
  <c r="G477" i="25"/>
  <c r="D478" i="25"/>
  <c r="G478" i="25"/>
  <c r="D479" i="25"/>
  <c r="G479" i="25"/>
  <c r="G480" i="25"/>
  <c r="G481" i="25"/>
  <c r="G482" i="25"/>
  <c r="D483" i="25"/>
  <c r="G483" i="25"/>
  <c r="D484" i="25"/>
  <c r="G484" i="25"/>
  <c r="D485" i="25"/>
  <c r="G485" i="25"/>
  <c r="D486" i="25"/>
  <c r="G486" i="25"/>
  <c r="G487" i="25"/>
  <c r="G488" i="25"/>
  <c r="G489" i="25"/>
  <c r="D490" i="25"/>
  <c r="G490" i="25"/>
  <c r="D491" i="25"/>
  <c r="G491" i="25"/>
  <c r="D492" i="25"/>
  <c r="G492" i="25"/>
  <c r="D493" i="25"/>
  <c r="G493" i="25"/>
  <c r="D494" i="25"/>
  <c r="G494" i="25"/>
  <c r="G495" i="25"/>
  <c r="G496" i="25"/>
  <c r="D497" i="25"/>
  <c r="G497" i="25"/>
  <c r="D498" i="25"/>
  <c r="G498" i="25"/>
  <c r="D499" i="25"/>
  <c r="G499" i="25"/>
  <c r="D500" i="25"/>
  <c r="G500" i="25"/>
  <c r="D501" i="25"/>
  <c r="G501" i="25"/>
  <c r="D502" i="25"/>
  <c r="G502" i="25"/>
  <c r="G503" i="25"/>
  <c r="D504" i="25"/>
  <c r="G504" i="25"/>
  <c r="D505" i="25"/>
  <c r="G505" i="25"/>
  <c r="D506" i="25"/>
  <c r="G506" i="25"/>
  <c r="D507" i="25"/>
  <c r="G507" i="25"/>
  <c r="G508" i="25"/>
  <c r="D509" i="25"/>
  <c r="G509" i="25"/>
  <c r="D510" i="25"/>
  <c r="G510" i="25"/>
  <c r="D511" i="25"/>
  <c r="G511" i="25"/>
  <c r="D512" i="25"/>
  <c r="G512" i="25"/>
  <c r="D513" i="25"/>
  <c r="G513" i="25"/>
  <c r="D514" i="25"/>
  <c r="G514" i="25"/>
  <c r="D515" i="25"/>
  <c r="G515" i="25"/>
  <c r="D516" i="25"/>
  <c r="G516" i="25"/>
  <c r="D517" i="25"/>
  <c r="G517" i="25"/>
  <c r="D518" i="25"/>
  <c r="G518" i="25"/>
  <c r="D519" i="25"/>
  <c r="G519" i="25"/>
  <c r="D520" i="25"/>
  <c r="G520" i="25"/>
  <c r="G521" i="25"/>
  <c r="D522" i="25"/>
  <c r="G522" i="25"/>
  <c r="D523" i="25"/>
  <c r="G523" i="25"/>
  <c r="D524" i="25"/>
  <c r="G524" i="25"/>
  <c r="D525" i="25"/>
  <c r="G525" i="25"/>
  <c r="G526" i="25"/>
  <c r="G527" i="25"/>
  <c r="G528" i="25"/>
  <c r="D529" i="25"/>
  <c r="G529" i="25"/>
  <c r="D530" i="25"/>
  <c r="G530" i="25"/>
  <c r="D531" i="25"/>
  <c r="G531" i="25"/>
  <c r="D532" i="25"/>
  <c r="G532" i="25"/>
  <c r="D533" i="25"/>
  <c r="G533" i="25"/>
  <c r="D534" i="25"/>
  <c r="G534" i="25"/>
  <c r="D535" i="25"/>
  <c r="G535" i="25"/>
  <c r="D536" i="25"/>
  <c r="G536" i="25"/>
  <c r="D537" i="25"/>
  <c r="G537" i="25"/>
  <c r="D538" i="25"/>
  <c r="G538" i="25"/>
  <c r="D539" i="25"/>
  <c r="G539" i="25"/>
  <c r="D540" i="25"/>
  <c r="G540" i="25"/>
  <c r="D541" i="25"/>
  <c r="G541" i="25"/>
  <c r="D542" i="25"/>
  <c r="G542" i="25"/>
  <c r="D543" i="25"/>
  <c r="G543" i="25"/>
  <c r="D544" i="25"/>
  <c r="G544" i="25"/>
  <c r="D545" i="25"/>
  <c r="G545" i="25"/>
  <c r="D546" i="25"/>
  <c r="G546" i="25"/>
  <c r="D547" i="25"/>
  <c r="G547" i="25"/>
  <c r="G548" i="25"/>
  <c r="D549" i="25"/>
  <c r="G549" i="25"/>
  <c r="D550" i="25"/>
  <c r="G550" i="25"/>
  <c r="D551" i="25"/>
  <c r="G551" i="25"/>
  <c r="D552" i="25"/>
  <c r="G552" i="25"/>
  <c r="D553" i="25"/>
  <c r="G553" i="25"/>
  <c r="D554" i="25"/>
  <c r="G554" i="25"/>
  <c r="D555" i="25"/>
  <c r="G555" i="25"/>
  <c r="D556" i="25"/>
  <c r="G556" i="25"/>
  <c r="D557" i="25"/>
  <c r="G557" i="25"/>
  <c r="G558" i="25"/>
  <c r="G559" i="25"/>
  <c r="G560" i="25"/>
  <c r="D561" i="25"/>
  <c r="G561" i="25"/>
  <c r="G562" i="25"/>
  <c r="G563" i="25"/>
  <c r="D564" i="25"/>
  <c r="G564" i="25"/>
  <c r="D565" i="25"/>
  <c r="G565" i="25"/>
  <c r="D566" i="25"/>
  <c r="G566" i="25"/>
  <c r="G567" i="25"/>
  <c r="D568" i="25"/>
  <c r="G568" i="25"/>
  <c r="G569" i="25"/>
  <c r="D570" i="25"/>
  <c r="G570" i="25"/>
  <c r="D571" i="25"/>
  <c r="G571" i="25"/>
  <c r="D572" i="25"/>
  <c r="G572" i="25"/>
  <c r="D573" i="25"/>
  <c r="G573" i="25"/>
  <c r="D574" i="25"/>
  <c r="G574" i="25"/>
  <c r="G575" i="25"/>
  <c r="D576" i="25"/>
  <c r="G576" i="25"/>
  <c r="D577" i="25"/>
  <c r="G577" i="25"/>
  <c r="D578" i="25"/>
  <c r="G578" i="25"/>
  <c r="G579" i="25"/>
  <c r="D580" i="25"/>
  <c r="G580" i="25"/>
  <c r="D581" i="25"/>
  <c r="G581" i="25"/>
  <c r="D582" i="25"/>
  <c r="G582" i="25"/>
  <c r="D583" i="25"/>
  <c r="G583" i="25"/>
  <c r="D584" i="25"/>
  <c r="G584" i="25"/>
  <c r="D585" i="25"/>
  <c r="G585" i="25"/>
  <c r="D586" i="25"/>
  <c r="G586" i="25"/>
  <c r="G587" i="25"/>
  <c r="G588" i="25"/>
  <c r="D589" i="25"/>
  <c r="G589" i="25"/>
  <c r="D590" i="25"/>
  <c r="G590" i="25"/>
  <c r="G591" i="25"/>
  <c r="D592" i="25"/>
  <c r="G592" i="25"/>
  <c r="D593" i="25"/>
  <c r="G593" i="25"/>
  <c r="D594" i="25"/>
  <c r="G594" i="25"/>
  <c r="G595" i="25"/>
  <c r="D596" i="25"/>
  <c r="G596" i="25"/>
  <c r="D597" i="25"/>
  <c r="G597" i="25"/>
  <c r="D598" i="25"/>
  <c r="G598" i="25"/>
  <c r="D599" i="25"/>
  <c r="G599" i="25"/>
  <c r="D600" i="25"/>
  <c r="G600" i="25"/>
  <c r="G601" i="25"/>
  <c r="D602" i="25"/>
  <c r="G602" i="25"/>
  <c r="D603" i="25"/>
  <c r="G603" i="25"/>
  <c r="D604" i="25"/>
  <c r="G604" i="25"/>
  <c r="D605" i="25"/>
  <c r="G605" i="25"/>
  <c r="D606" i="25"/>
  <c r="G606" i="25"/>
  <c r="D607" i="25"/>
  <c r="G607" i="25"/>
  <c r="D608" i="25"/>
  <c r="G608" i="25"/>
  <c r="D609" i="25"/>
  <c r="G609" i="25"/>
  <c r="G610" i="25"/>
  <c r="D611" i="25"/>
  <c r="G611" i="25"/>
  <c r="D612" i="25"/>
  <c r="G612" i="25"/>
  <c r="D613" i="25"/>
  <c r="G613" i="25"/>
  <c r="D614" i="25"/>
  <c r="G614" i="25"/>
  <c r="D615" i="25"/>
  <c r="G615" i="25"/>
  <c r="D616" i="25"/>
  <c r="G616" i="25"/>
  <c r="D617" i="25"/>
  <c r="E617" i="25"/>
  <c r="G617" i="25"/>
  <c r="D618" i="25"/>
  <c r="G618" i="25"/>
  <c r="D619" i="25"/>
  <c r="G619" i="25"/>
  <c r="D620" i="25"/>
  <c r="G620" i="25"/>
  <c r="D621" i="25"/>
  <c r="G621" i="25"/>
  <c r="D622" i="25"/>
  <c r="G622" i="25"/>
  <c r="D623" i="25"/>
  <c r="G623" i="25"/>
  <c r="D624" i="25"/>
  <c r="G624" i="25"/>
  <c r="D625" i="25"/>
  <c r="G625" i="25"/>
  <c r="D626" i="25"/>
  <c r="G626" i="25"/>
  <c r="D627" i="25"/>
  <c r="G627" i="25"/>
  <c r="D628" i="25"/>
  <c r="G628" i="25"/>
  <c r="G629" i="25"/>
  <c r="D630" i="25"/>
  <c r="G630" i="25"/>
  <c r="D631" i="25"/>
  <c r="G631" i="25"/>
  <c r="D632" i="25"/>
  <c r="G632" i="25"/>
  <c r="G633" i="25"/>
  <c r="D634" i="25"/>
  <c r="G634" i="25"/>
  <c r="D635" i="25"/>
  <c r="G635" i="25"/>
  <c r="D636" i="25"/>
  <c r="G636" i="25"/>
  <c r="D637" i="25"/>
  <c r="G637" i="25"/>
  <c r="D638" i="25"/>
  <c r="G638" i="25"/>
  <c r="D639" i="25"/>
  <c r="G639" i="25"/>
  <c r="D640" i="25"/>
  <c r="G640" i="25"/>
  <c r="D641" i="25"/>
  <c r="G641" i="25"/>
  <c r="D642" i="25"/>
  <c r="G642" i="25"/>
  <c r="D643" i="25"/>
  <c r="G643" i="25"/>
  <c r="D644" i="25"/>
  <c r="G644" i="25"/>
  <c r="D645" i="25"/>
  <c r="G645" i="25"/>
  <c r="D646" i="25"/>
  <c r="G646" i="25"/>
  <c r="D647" i="25"/>
  <c r="G647" i="25"/>
  <c r="D648" i="25"/>
  <c r="G648" i="25"/>
  <c r="D649" i="25"/>
  <c r="G649" i="25"/>
  <c r="D650" i="25"/>
  <c r="G650" i="25"/>
  <c r="D651" i="25"/>
  <c r="G651" i="25"/>
  <c r="D652" i="25"/>
  <c r="G652" i="25"/>
  <c r="D653" i="25"/>
  <c r="G653" i="25"/>
  <c r="D654" i="25"/>
  <c r="G654" i="25"/>
  <c r="G655" i="25"/>
  <c r="D656" i="25"/>
  <c r="G656" i="25"/>
  <c r="G657" i="25"/>
  <c r="D658" i="25"/>
  <c r="G658" i="25"/>
  <c r="D659" i="25"/>
  <c r="G659" i="25"/>
  <c r="D660" i="25"/>
  <c r="G660" i="25"/>
  <c r="D661" i="25"/>
  <c r="G661" i="25"/>
  <c r="D662" i="25"/>
  <c r="G662" i="25"/>
  <c r="D663" i="25"/>
  <c r="G663" i="25"/>
  <c r="G664" i="25"/>
  <c r="G665" i="25"/>
  <c r="D666" i="25"/>
  <c r="G666" i="25"/>
  <c r="D667" i="25"/>
  <c r="G667" i="25"/>
  <c r="D668" i="25"/>
  <c r="G668" i="25"/>
  <c r="D669" i="25"/>
  <c r="G669" i="25"/>
  <c r="D670" i="25"/>
  <c r="G670" i="25"/>
  <c r="D671" i="25"/>
  <c r="G671" i="25"/>
  <c r="D672" i="25"/>
  <c r="G672" i="25"/>
  <c r="D673" i="25"/>
  <c r="G673" i="25"/>
  <c r="D674" i="25"/>
  <c r="G674" i="25"/>
  <c r="D675" i="25"/>
  <c r="G675" i="25"/>
  <c r="G676" i="25"/>
  <c r="D677" i="25"/>
  <c r="G677" i="25"/>
  <c r="D678" i="25"/>
  <c r="G678" i="25"/>
  <c r="G679" i="25"/>
  <c r="G680" i="25"/>
  <c r="D681" i="25"/>
  <c r="G681" i="25"/>
  <c r="D682" i="25"/>
  <c r="G682" i="25"/>
  <c r="D683" i="25"/>
  <c r="G683" i="25"/>
  <c r="D684" i="25"/>
  <c r="G684" i="25"/>
  <c r="D685" i="25"/>
  <c r="G685" i="25"/>
  <c r="G686" i="25"/>
  <c r="D687" i="25"/>
  <c r="G687" i="25"/>
  <c r="D688" i="25"/>
  <c r="G688" i="25"/>
  <c r="D689" i="25"/>
  <c r="G689" i="25"/>
  <c r="D690" i="25"/>
  <c r="G690" i="25"/>
  <c r="G691" i="25"/>
  <c r="D692" i="25"/>
  <c r="G692" i="25"/>
  <c r="G693" i="25"/>
  <c r="G694" i="25"/>
  <c r="D695" i="25"/>
  <c r="G695" i="25"/>
  <c r="D696" i="25"/>
  <c r="G696" i="25"/>
  <c r="D697" i="25"/>
  <c r="G697" i="25"/>
  <c r="D698" i="25"/>
  <c r="G698" i="25"/>
  <c r="D699" i="25"/>
  <c r="G699" i="25"/>
  <c r="D700" i="25"/>
  <c r="G700" i="25"/>
  <c r="D701" i="25"/>
  <c r="G701" i="25"/>
  <c r="D702" i="25"/>
  <c r="G702" i="25"/>
  <c r="D703" i="25"/>
  <c r="G703" i="25"/>
  <c r="G704" i="25"/>
  <c r="D705" i="25"/>
  <c r="G705" i="25"/>
  <c r="D706" i="25"/>
  <c r="G706" i="25"/>
  <c r="D707" i="25"/>
  <c r="G707" i="25"/>
  <c r="G708" i="25"/>
  <c r="D709" i="25"/>
  <c r="G709" i="25"/>
  <c r="D710" i="25"/>
  <c r="G710" i="25"/>
  <c r="D711" i="25"/>
  <c r="G711" i="25"/>
  <c r="D712" i="25"/>
  <c r="G712" i="25"/>
  <c r="D713" i="25"/>
  <c r="G713" i="25"/>
  <c r="D714" i="25"/>
  <c r="G714" i="25"/>
  <c r="D715" i="25"/>
  <c r="G715" i="25"/>
  <c r="D716" i="25"/>
  <c r="G716" i="25"/>
  <c r="D717" i="25"/>
  <c r="G717" i="25"/>
  <c r="D718" i="25"/>
  <c r="G718" i="25"/>
  <c r="D719" i="25"/>
  <c r="G719" i="25"/>
  <c r="D720" i="25"/>
  <c r="G720" i="25"/>
  <c r="D721" i="25"/>
  <c r="G721" i="25"/>
  <c r="D722" i="25"/>
  <c r="G722" i="25"/>
  <c r="D723" i="25"/>
  <c r="G723" i="25"/>
  <c r="G724" i="25"/>
  <c r="D725" i="25"/>
  <c r="G725" i="25"/>
  <c r="D726" i="25"/>
  <c r="G726" i="25"/>
  <c r="D727" i="25"/>
  <c r="G727" i="25"/>
  <c r="D728" i="25"/>
  <c r="G728" i="25"/>
  <c r="D729" i="25"/>
  <c r="G729" i="25"/>
  <c r="D730" i="25"/>
  <c r="G730" i="25"/>
  <c r="G731" i="25"/>
  <c r="G732" i="25"/>
  <c r="G733" i="25"/>
  <c r="D734" i="25"/>
  <c r="G734" i="25"/>
  <c r="D735" i="25"/>
  <c r="G735" i="25"/>
  <c r="D736" i="25"/>
  <c r="G736" i="25"/>
  <c r="D737" i="25"/>
  <c r="G737" i="25"/>
  <c r="D738" i="25"/>
  <c r="G738" i="25"/>
  <c r="D739" i="25"/>
  <c r="G739" i="25"/>
  <c r="D740" i="25"/>
  <c r="G740" i="25"/>
  <c r="D741" i="25"/>
  <c r="G741" i="25"/>
  <c r="D742" i="25"/>
  <c r="G742" i="25"/>
  <c r="D743" i="25"/>
  <c r="G743" i="25"/>
  <c r="D744" i="25"/>
  <c r="G744" i="25"/>
  <c r="D745" i="25"/>
  <c r="G745" i="25"/>
  <c r="D746" i="25"/>
  <c r="G746" i="25"/>
  <c r="D747" i="25"/>
  <c r="G747" i="25"/>
  <c r="D748" i="25"/>
  <c r="G748" i="25"/>
  <c r="D749" i="25"/>
  <c r="G749" i="25"/>
  <c r="D750" i="25"/>
  <c r="G750" i="25"/>
  <c r="D751" i="25"/>
  <c r="G751" i="25"/>
  <c r="G752" i="25"/>
  <c r="G753" i="25"/>
  <c r="D754" i="25"/>
  <c r="G754" i="25"/>
  <c r="D755" i="25"/>
  <c r="G755" i="25"/>
  <c r="D756" i="25"/>
  <c r="G756" i="25"/>
  <c r="D757" i="25"/>
  <c r="G757" i="25"/>
  <c r="D758" i="25"/>
  <c r="G758" i="25"/>
  <c r="D759" i="25"/>
  <c r="G759" i="25"/>
  <c r="D760" i="25"/>
  <c r="G760" i="25"/>
  <c r="D761" i="25"/>
  <c r="G761" i="25"/>
  <c r="D762" i="25"/>
  <c r="G762" i="25"/>
  <c r="D763" i="25"/>
  <c r="G763" i="25"/>
  <c r="D764" i="25"/>
  <c r="G764" i="25"/>
  <c r="D765" i="25"/>
  <c r="G765" i="25"/>
  <c r="D766" i="25"/>
  <c r="G766" i="25"/>
  <c r="D767" i="25"/>
  <c r="G767" i="25"/>
  <c r="D768" i="25"/>
  <c r="G768" i="25"/>
  <c r="D769" i="25"/>
  <c r="G769" i="25"/>
  <c r="D770" i="25"/>
  <c r="G770" i="25"/>
  <c r="D771" i="25"/>
  <c r="G771" i="25"/>
  <c r="D772" i="25"/>
  <c r="G772" i="25"/>
  <c r="D773" i="25"/>
  <c r="G773" i="25"/>
  <c r="D774" i="25"/>
  <c r="G774" i="25"/>
  <c r="D775" i="25"/>
  <c r="G775" i="25"/>
  <c r="D776" i="25"/>
  <c r="G776" i="25"/>
  <c r="D777" i="25"/>
  <c r="G777" i="25"/>
  <c r="D778" i="25"/>
  <c r="G778" i="25"/>
  <c r="D779" i="25"/>
  <c r="G779" i="25"/>
  <c r="D780" i="25"/>
  <c r="G780" i="25"/>
  <c r="D781" i="25"/>
  <c r="G781" i="25"/>
  <c r="D782" i="25"/>
  <c r="G782" i="25"/>
  <c r="D783" i="25"/>
  <c r="G783" i="25"/>
  <c r="D784" i="25"/>
  <c r="G784" i="25"/>
  <c r="G785" i="25"/>
  <c r="D786" i="25"/>
  <c r="G786" i="25"/>
  <c r="D787" i="25"/>
  <c r="G787" i="25"/>
  <c r="D788" i="25"/>
  <c r="G788" i="25"/>
  <c r="D789" i="25"/>
  <c r="G789" i="25"/>
  <c r="D790" i="25"/>
  <c r="G790" i="25"/>
  <c r="D791" i="25"/>
  <c r="G791" i="25"/>
  <c r="D792" i="25"/>
  <c r="G792" i="25"/>
  <c r="D793" i="25"/>
  <c r="G793" i="25"/>
  <c r="D794" i="25"/>
  <c r="G794" i="25"/>
  <c r="D795" i="25"/>
  <c r="G795" i="25"/>
  <c r="D796" i="25"/>
  <c r="G796" i="25"/>
  <c r="D797" i="25"/>
  <c r="G797" i="25"/>
  <c r="D798" i="25"/>
  <c r="G798" i="25"/>
  <c r="D799" i="25"/>
  <c r="G799" i="25"/>
  <c r="D800" i="25"/>
  <c r="G800" i="25"/>
  <c r="D801" i="25"/>
  <c r="G801" i="25"/>
  <c r="D802" i="25"/>
  <c r="G802" i="25"/>
  <c r="D803" i="25"/>
  <c r="G803" i="25"/>
  <c r="D804" i="25"/>
  <c r="G804" i="25"/>
  <c r="G805" i="25"/>
  <c r="G806" i="25"/>
  <c r="G807" i="25"/>
  <c r="D808" i="25"/>
  <c r="G808" i="25"/>
  <c r="D809" i="25"/>
  <c r="G809" i="25"/>
  <c r="G810" i="25"/>
  <c r="D811" i="25"/>
  <c r="G811" i="25"/>
  <c r="D812" i="25"/>
  <c r="G812" i="25"/>
  <c r="D813" i="25"/>
  <c r="G813" i="25"/>
  <c r="D814" i="25"/>
  <c r="G814" i="25"/>
  <c r="D815" i="25"/>
  <c r="G815" i="25"/>
  <c r="G816" i="25"/>
  <c r="G817" i="25"/>
  <c r="D818" i="25"/>
  <c r="G818" i="25"/>
  <c r="D819" i="25"/>
  <c r="G819" i="25"/>
  <c r="D820" i="25"/>
  <c r="G820" i="25"/>
  <c r="D821" i="25"/>
  <c r="G821" i="25"/>
  <c r="D822" i="25"/>
  <c r="G822" i="25"/>
  <c r="D823" i="25"/>
  <c r="G823" i="25"/>
  <c r="D824" i="25"/>
  <c r="G824" i="25"/>
  <c r="D825" i="25"/>
  <c r="G825" i="25"/>
  <c r="D826" i="25"/>
  <c r="G826" i="25"/>
  <c r="D827" i="25"/>
  <c r="G827" i="25"/>
  <c r="D828" i="25"/>
  <c r="G828" i="25"/>
  <c r="D829" i="25"/>
  <c r="G829" i="25"/>
  <c r="D830" i="25"/>
  <c r="G830" i="25"/>
  <c r="D831" i="25"/>
  <c r="G831" i="25"/>
  <c r="G832" i="25"/>
  <c r="D833" i="25"/>
  <c r="G833" i="25"/>
  <c r="D834" i="25"/>
  <c r="G834" i="25"/>
  <c r="D835" i="25"/>
  <c r="G835" i="25"/>
  <c r="G836" i="25"/>
  <c r="D837" i="25"/>
  <c r="G837" i="25"/>
  <c r="D838" i="25"/>
  <c r="G838" i="25"/>
  <c r="D839" i="25"/>
  <c r="G839" i="25"/>
  <c r="D840" i="25"/>
  <c r="G840" i="25"/>
  <c r="D841" i="25"/>
  <c r="G841" i="25"/>
  <c r="D842" i="25"/>
  <c r="G842" i="25"/>
  <c r="D843" i="25"/>
  <c r="G843" i="25"/>
  <c r="D844" i="25"/>
  <c r="G844" i="25"/>
  <c r="D845" i="25"/>
  <c r="G845" i="25"/>
  <c r="D846" i="25"/>
  <c r="G846" i="25"/>
  <c r="D847" i="25"/>
  <c r="G847" i="25"/>
  <c r="G848" i="25"/>
  <c r="D849" i="25"/>
  <c r="G849" i="25"/>
  <c r="D850" i="25"/>
  <c r="G850" i="25"/>
  <c r="D851" i="25"/>
  <c r="G851" i="25"/>
  <c r="D852" i="25"/>
  <c r="G852" i="25"/>
  <c r="D853" i="25"/>
  <c r="G853" i="25"/>
  <c r="D854" i="25"/>
  <c r="G854" i="25"/>
  <c r="D855" i="25"/>
  <c r="G855" i="25"/>
  <c r="D856" i="25"/>
  <c r="G856" i="25"/>
  <c r="D857" i="25"/>
  <c r="G857" i="25"/>
  <c r="G858" i="25"/>
  <c r="D859" i="25"/>
  <c r="G859" i="25"/>
  <c r="D860" i="25"/>
  <c r="G860" i="25"/>
  <c r="D861" i="25"/>
  <c r="G861" i="25"/>
  <c r="D862" i="25"/>
  <c r="G862" i="25"/>
  <c r="D863" i="25"/>
  <c r="G863" i="25"/>
  <c r="D864" i="25"/>
  <c r="G864" i="25"/>
  <c r="D865" i="25"/>
  <c r="G865" i="25"/>
  <c r="D866" i="25"/>
  <c r="G866" i="25"/>
  <c r="D867" i="25"/>
  <c r="G867" i="25"/>
  <c r="D868" i="25"/>
  <c r="G868" i="25"/>
  <c r="D869" i="25"/>
  <c r="G869" i="25"/>
  <c r="D870" i="25"/>
  <c r="G870" i="25"/>
  <c r="G871" i="25"/>
  <c r="D872" i="25"/>
  <c r="G872" i="25"/>
  <c r="D873" i="25"/>
  <c r="G873" i="25"/>
  <c r="D874" i="25"/>
  <c r="G874" i="25"/>
  <c r="D875" i="25"/>
  <c r="G875" i="25"/>
  <c r="D876" i="25"/>
  <c r="G876" i="25"/>
  <c r="D877" i="25"/>
  <c r="G877" i="25"/>
  <c r="D878" i="25"/>
  <c r="G878" i="25"/>
  <c r="D879" i="25"/>
  <c r="G879" i="25"/>
  <c r="G880" i="25"/>
  <c r="D881" i="25"/>
  <c r="G881" i="25"/>
  <c r="D882" i="25"/>
  <c r="G882" i="25"/>
  <c r="D883" i="25"/>
  <c r="G883" i="25"/>
  <c r="D884" i="25"/>
  <c r="G884" i="25"/>
  <c r="D885" i="25"/>
  <c r="G885" i="25"/>
  <c r="D886" i="25"/>
  <c r="G886" i="25"/>
  <c r="D887" i="25"/>
  <c r="G887" i="25"/>
  <c r="D888" i="25"/>
  <c r="G888" i="25"/>
  <c r="D889" i="25"/>
  <c r="G889" i="25"/>
  <c r="D890" i="25"/>
  <c r="G890" i="25"/>
  <c r="D891" i="25"/>
  <c r="G891" i="25"/>
  <c r="D892" i="25"/>
  <c r="G892" i="25"/>
  <c r="D893" i="25"/>
  <c r="G893" i="25"/>
  <c r="D894" i="25"/>
  <c r="G894" i="25"/>
  <c r="D895" i="25"/>
  <c r="G895" i="25"/>
  <c r="D896" i="25"/>
  <c r="G896" i="25"/>
  <c r="D897" i="25"/>
  <c r="G897" i="25"/>
  <c r="D898" i="25"/>
  <c r="G898" i="25"/>
  <c r="D899" i="25"/>
  <c r="G899" i="25"/>
  <c r="D900" i="25"/>
  <c r="G900" i="25"/>
  <c r="D901" i="25"/>
  <c r="G901" i="25"/>
  <c r="D902" i="25"/>
  <c r="G902" i="25"/>
  <c r="D903" i="25"/>
  <c r="G903" i="25"/>
  <c r="D904" i="25"/>
  <c r="G904" i="25"/>
  <c r="D905" i="25"/>
  <c r="G905" i="25"/>
  <c r="D906" i="25"/>
  <c r="G906" i="25"/>
  <c r="D907" i="25"/>
  <c r="G907" i="25"/>
  <c r="D908" i="25"/>
  <c r="G908" i="25"/>
  <c r="D909" i="25"/>
  <c r="G909" i="25"/>
  <c r="D910" i="25"/>
  <c r="G910" i="25"/>
  <c r="D911" i="25"/>
  <c r="G911" i="25"/>
  <c r="D912" i="25"/>
  <c r="G912" i="25"/>
  <c r="D913" i="25"/>
  <c r="G913" i="25"/>
  <c r="D914" i="25"/>
  <c r="G914" i="25"/>
  <c r="D915" i="25"/>
  <c r="G915" i="25"/>
  <c r="D916" i="25"/>
  <c r="G916" i="25"/>
  <c r="D917" i="25"/>
  <c r="G917" i="25"/>
  <c r="D918" i="25"/>
  <c r="G918" i="25"/>
  <c r="D919" i="25"/>
  <c r="G919" i="25"/>
  <c r="D920" i="25"/>
  <c r="G920" i="25"/>
  <c r="G921" i="25"/>
  <c r="G922" i="25"/>
  <c r="G923" i="25"/>
  <c r="D924" i="25"/>
  <c r="G924" i="25"/>
  <c r="D925" i="25"/>
  <c r="G925" i="25"/>
  <c r="D926" i="25"/>
  <c r="G926" i="25"/>
  <c r="G927" i="25"/>
  <c r="D928" i="25"/>
  <c r="G928" i="25"/>
  <c r="D929" i="25"/>
  <c r="G929" i="25"/>
  <c r="D930" i="25"/>
  <c r="E930" i="25"/>
  <c r="G930" i="25"/>
  <c r="D931" i="25"/>
  <c r="G931" i="25"/>
  <c r="D932" i="25"/>
  <c r="G932" i="25"/>
  <c r="D933" i="25"/>
  <c r="G933" i="25"/>
  <c r="D934" i="25"/>
  <c r="G934" i="25"/>
  <c r="D935" i="25"/>
  <c r="G935" i="25"/>
  <c r="G936" i="25"/>
  <c r="D937" i="25"/>
  <c r="G937" i="25"/>
  <c r="D938" i="25"/>
  <c r="G938" i="25"/>
  <c r="G939" i="25"/>
  <c r="G940" i="25"/>
  <c r="D941" i="25"/>
  <c r="G941" i="25"/>
  <c r="D942" i="25"/>
  <c r="G942" i="25"/>
  <c r="D943" i="25"/>
  <c r="G943" i="25"/>
  <c r="D944" i="25"/>
  <c r="G944" i="25"/>
  <c r="D945" i="25"/>
  <c r="G945" i="25"/>
  <c r="D946" i="25"/>
  <c r="G946" i="25"/>
  <c r="D947" i="25"/>
  <c r="G947" i="25"/>
  <c r="D948" i="25"/>
  <c r="G948" i="25"/>
  <c r="G949" i="25"/>
  <c r="G950" i="25"/>
  <c r="D951" i="25"/>
  <c r="G951" i="25"/>
  <c r="D952" i="25"/>
  <c r="E952" i="25"/>
  <c r="G952" i="25"/>
  <c r="D953" i="25"/>
  <c r="E953" i="25"/>
  <c r="G953" i="25"/>
  <c r="D954" i="25"/>
  <c r="G954" i="25"/>
  <c r="D955" i="25"/>
  <c r="E955" i="25"/>
  <c r="G955" i="25"/>
  <c r="D956" i="25"/>
  <c r="E956" i="25"/>
  <c r="G956" i="25"/>
  <c r="G957" i="25"/>
  <c r="D958" i="25"/>
  <c r="G958" i="25"/>
  <c r="D959" i="25"/>
  <c r="G959" i="25"/>
  <c r="G960" i="25"/>
  <c r="D961" i="25"/>
  <c r="E961" i="25"/>
  <c r="G961" i="25"/>
  <c r="G962" i="25"/>
  <c r="D963" i="25"/>
  <c r="G963" i="25"/>
  <c r="G964" i="25"/>
  <c r="D965" i="25"/>
  <c r="G965" i="25"/>
  <c r="D966" i="25"/>
  <c r="G966" i="25"/>
  <c r="D967" i="25"/>
  <c r="G967" i="25"/>
  <c r="D968" i="25"/>
  <c r="G968" i="25"/>
  <c r="D969" i="25"/>
  <c r="G969" i="25"/>
  <c r="D970" i="25"/>
  <c r="G970" i="25"/>
  <c r="D971" i="25"/>
  <c r="G971" i="25"/>
  <c r="D972" i="25"/>
  <c r="G972" i="25"/>
  <c r="D973" i="25"/>
  <c r="G973" i="25"/>
  <c r="D974" i="25"/>
  <c r="G974" i="25"/>
  <c r="D975" i="25"/>
  <c r="G975" i="25"/>
  <c r="D976" i="25"/>
  <c r="G976" i="25"/>
  <c r="D977" i="25"/>
  <c r="G977" i="25"/>
  <c r="D978" i="25"/>
  <c r="G978" i="25"/>
  <c r="D979" i="25"/>
  <c r="G979" i="25"/>
  <c r="D980" i="25"/>
  <c r="G980" i="25"/>
  <c r="D981" i="25"/>
  <c r="G981" i="25"/>
  <c r="D982" i="25"/>
  <c r="E982" i="25"/>
  <c r="G982" i="25"/>
  <c r="D983" i="25"/>
  <c r="G983" i="25"/>
  <c r="D984" i="25"/>
  <c r="G984" i="25"/>
  <c r="D985" i="25"/>
  <c r="G985" i="25"/>
  <c r="D986" i="25"/>
  <c r="G986" i="25"/>
  <c r="D987" i="25"/>
  <c r="G987" i="25"/>
  <c r="D988" i="25"/>
  <c r="G988" i="25"/>
  <c r="D989" i="25"/>
  <c r="G989" i="25"/>
  <c r="D990" i="25"/>
  <c r="G990" i="25"/>
  <c r="D991" i="25"/>
  <c r="G991" i="25"/>
  <c r="D992" i="25"/>
  <c r="G992" i="25"/>
  <c r="D993" i="25"/>
  <c r="G993" i="25"/>
  <c r="D994" i="25"/>
  <c r="G994" i="25"/>
  <c r="D995" i="25"/>
  <c r="G995" i="25"/>
  <c r="D996" i="25"/>
  <c r="G996" i="25"/>
  <c r="D997" i="25"/>
  <c r="G997" i="25"/>
  <c r="D998" i="25"/>
  <c r="G998" i="25"/>
  <c r="D999" i="25"/>
  <c r="G999" i="25"/>
  <c r="D1000" i="25"/>
  <c r="G1000" i="25"/>
  <c r="D1001" i="25"/>
  <c r="G1001" i="25"/>
  <c r="D1002" i="25"/>
  <c r="G1002" i="25"/>
  <c r="D1003" i="25"/>
  <c r="G1003" i="25"/>
  <c r="D1004" i="25"/>
  <c r="G1004" i="25"/>
  <c r="D1005" i="25"/>
  <c r="G1005" i="25"/>
  <c r="D1006" i="25"/>
  <c r="G1006" i="25"/>
  <c r="G1007" i="25"/>
  <c r="D1008" i="25"/>
  <c r="G1008" i="25"/>
  <c r="D1009" i="25"/>
  <c r="G1009" i="25"/>
  <c r="G1010" i="25"/>
  <c r="D1011" i="25"/>
  <c r="G1011" i="25"/>
  <c r="D1012" i="25"/>
  <c r="G1012" i="25"/>
  <c r="D1013" i="25"/>
  <c r="G1013" i="25"/>
  <c r="D1014" i="25"/>
  <c r="G1014" i="25"/>
  <c r="D1015" i="25"/>
  <c r="G1015" i="25"/>
  <c r="D1016" i="25"/>
  <c r="G1016" i="25"/>
  <c r="D1017" i="25"/>
  <c r="G1017" i="25"/>
  <c r="D1018" i="25"/>
  <c r="G1018" i="25"/>
  <c r="D1019" i="25"/>
  <c r="G1019" i="25"/>
  <c r="D1020" i="25"/>
  <c r="G1020" i="25"/>
  <c r="D1021" i="25"/>
  <c r="G1021" i="25"/>
  <c r="D1022" i="25"/>
  <c r="G1022" i="25"/>
  <c r="D1023" i="25"/>
  <c r="G1023" i="25"/>
  <c r="G1024" i="25"/>
  <c r="G1025" i="25"/>
  <c r="D1026" i="25"/>
  <c r="G1026" i="25"/>
  <c r="D1027" i="25"/>
  <c r="G1027" i="25"/>
  <c r="D1028" i="25"/>
  <c r="G1028" i="25"/>
  <c r="D1029" i="25"/>
  <c r="G1029" i="25"/>
  <c r="D1030" i="25"/>
  <c r="G1030" i="25"/>
  <c r="D1031" i="25"/>
  <c r="G1031" i="25"/>
  <c r="D1032" i="25"/>
  <c r="G1032" i="25"/>
  <c r="D1033" i="25"/>
  <c r="G1033" i="25"/>
  <c r="D1034" i="25"/>
  <c r="G1034" i="25"/>
  <c r="D1035" i="25"/>
  <c r="G1035" i="25"/>
  <c r="D1036" i="25"/>
  <c r="G1036" i="25"/>
  <c r="D1037" i="25"/>
  <c r="G1037" i="25"/>
  <c r="D1038" i="25"/>
  <c r="G1038" i="25"/>
  <c r="D1039" i="25"/>
  <c r="G1039" i="25"/>
  <c r="D1040" i="25"/>
  <c r="G1040" i="25"/>
  <c r="D1041" i="25"/>
  <c r="G1041" i="25"/>
  <c r="D1042" i="25"/>
  <c r="G1042" i="25"/>
  <c r="D1043" i="25"/>
  <c r="G1043" i="25"/>
  <c r="D1044" i="25"/>
  <c r="G1044" i="25"/>
  <c r="D1045" i="25"/>
  <c r="G1045" i="25"/>
  <c r="D1046" i="25"/>
  <c r="G1046" i="25"/>
  <c r="G1047" i="25"/>
  <c r="D1048" i="25"/>
  <c r="G1048" i="25"/>
  <c r="D1049" i="25"/>
  <c r="G1049" i="25"/>
  <c r="D1050" i="25"/>
  <c r="G1050" i="25"/>
  <c r="D1051" i="25"/>
  <c r="G1051" i="25"/>
  <c r="D1052" i="25"/>
  <c r="G1052" i="25"/>
  <c r="D1053" i="25"/>
  <c r="G1053" i="25"/>
  <c r="D1054" i="25"/>
  <c r="G1054" i="25"/>
  <c r="D1055" i="25"/>
  <c r="G1055" i="25"/>
  <c r="D1056" i="25"/>
  <c r="G1056" i="25"/>
  <c r="D1057" i="25"/>
  <c r="G1057" i="25"/>
  <c r="D1058" i="25"/>
  <c r="G1058" i="25"/>
  <c r="D1059" i="25"/>
  <c r="G1059" i="25"/>
  <c r="D1060" i="25"/>
  <c r="G1060" i="25"/>
  <c r="D1061" i="25"/>
  <c r="G1061" i="25"/>
  <c r="D1062" i="25"/>
  <c r="G1062" i="25"/>
  <c r="G1063" i="25"/>
  <c r="D1064" i="25"/>
  <c r="G1064" i="25"/>
  <c r="D1065" i="25"/>
  <c r="G1065" i="25"/>
  <c r="D1066" i="25"/>
  <c r="G1066" i="25"/>
  <c r="D1067" i="25"/>
  <c r="G1067" i="25"/>
  <c r="D1068" i="25"/>
  <c r="G1068" i="25"/>
  <c r="D1069" i="25"/>
  <c r="G1069" i="25"/>
  <c r="D1070" i="25"/>
  <c r="G1070" i="25"/>
  <c r="D1071" i="25"/>
  <c r="G1071" i="25"/>
  <c r="G1072" i="25"/>
  <c r="D1073" i="25"/>
  <c r="G1073" i="25"/>
  <c r="D1074" i="25"/>
  <c r="G1074" i="25"/>
  <c r="D1075" i="25"/>
  <c r="G1075" i="25"/>
  <c r="D1076" i="25"/>
  <c r="G1076" i="25"/>
  <c r="D1077" i="25"/>
  <c r="G1077" i="25"/>
  <c r="D1078" i="25"/>
  <c r="G1078" i="25"/>
  <c r="D1079" i="25"/>
  <c r="G1079" i="25"/>
  <c r="D1080" i="25"/>
  <c r="G1080" i="25"/>
  <c r="D1081" i="25"/>
  <c r="G1081" i="25"/>
  <c r="D1082" i="25"/>
  <c r="G1082" i="25"/>
  <c r="D1083" i="25"/>
  <c r="G1083" i="25"/>
  <c r="D1084" i="25"/>
  <c r="G1084" i="25"/>
  <c r="D1085" i="25"/>
  <c r="G1085" i="25"/>
  <c r="D1086" i="25"/>
  <c r="G1086" i="25"/>
  <c r="D1087" i="25"/>
  <c r="G1087" i="25"/>
  <c r="D1088" i="25"/>
  <c r="G1088" i="25"/>
  <c r="D1089" i="25"/>
  <c r="G1089" i="25"/>
  <c r="D1090" i="25"/>
  <c r="G1090" i="25"/>
  <c r="D1091" i="25"/>
  <c r="G1091" i="25"/>
  <c r="D1092" i="25"/>
  <c r="G1092" i="25"/>
  <c r="D1093" i="25"/>
  <c r="G1093" i="25"/>
  <c r="D1094" i="25"/>
  <c r="G1094" i="25"/>
  <c r="D1095" i="25"/>
  <c r="G1095" i="25"/>
  <c r="D1096" i="25"/>
  <c r="G1096" i="25"/>
  <c r="D1097" i="25"/>
  <c r="G1097" i="25"/>
  <c r="D1098" i="25"/>
  <c r="G1098" i="25"/>
  <c r="D1099" i="25"/>
  <c r="G1099" i="25"/>
  <c r="D1100" i="25"/>
  <c r="G1100" i="25"/>
  <c r="D1101" i="25"/>
  <c r="G1101" i="25"/>
  <c r="D1102" i="25"/>
  <c r="G1102" i="25"/>
  <c r="D1103" i="25"/>
  <c r="G1103" i="25"/>
  <c r="D1104" i="25"/>
  <c r="G1104" i="25"/>
  <c r="D1105" i="25"/>
  <c r="G1105" i="25"/>
  <c r="D1106" i="25"/>
  <c r="G1106" i="25"/>
  <c r="D1107" i="25"/>
  <c r="G1107" i="25"/>
  <c r="D1108" i="25"/>
  <c r="G1108" i="25"/>
  <c r="D1109" i="25"/>
  <c r="G1109" i="25"/>
  <c r="D1110" i="25"/>
  <c r="G1110" i="25"/>
  <c r="D1111" i="25"/>
  <c r="G1111" i="25"/>
  <c r="D1112" i="25"/>
  <c r="G1112" i="25"/>
  <c r="D1113" i="25"/>
  <c r="G1113" i="25"/>
  <c r="D1114" i="25"/>
  <c r="G1114" i="25"/>
  <c r="D1115" i="25"/>
  <c r="G1115" i="25"/>
  <c r="D1116" i="25"/>
  <c r="G1116" i="25"/>
  <c r="D1117" i="25"/>
  <c r="G1117" i="25"/>
  <c r="D1118" i="25"/>
  <c r="G1118" i="25"/>
  <c r="D1119" i="25"/>
  <c r="G1119" i="25"/>
  <c r="D1120" i="25"/>
  <c r="G1120" i="25"/>
  <c r="D1121" i="25"/>
  <c r="G1121" i="25"/>
  <c r="D1122" i="25"/>
  <c r="G1122" i="25"/>
  <c r="D1123" i="25"/>
  <c r="G1123" i="25"/>
  <c r="D1124" i="25"/>
  <c r="G1124" i="25"/>
  <c r="D1125" i="25"/>
  <c r="G1125" i="25"/>
  <c r="D1126" i="25"/>
  <c r="G1126" i="25"/>
  <c r="D1127" i="25"/>
  <c r="G1127" i="25"/>
  <c r="D1128" i="25"/>
  <c r="G1128" i="25"/>
  <c r="D1129" i="25"/>
  <c r="G1129" i="25"/>
  <c r="D1130" i="25"/>
  <c r="G1130" i="25"/>
  <c r="D1131" i="25"/>
  <c r="G1131" i="25"/>
  <c r="D1132" i="25"/>
  <c r="G1132" i="25"/>
  <c r="D1133" i="25"/>
  <c r="G1133" i="25"/>
  <c r="D1134" i="25"/>
  <c r="G1134" i="25"/>
  <c r="D1135" i="25"/>
  <c r="G1135" i="25"/>
  <c r="D1136" i="25"/>
  <c r="G1136" i="25"/>
  <c r="D1137" i="25"/>
  <c r="G1137" i="25"/>
  <c r="G1138" i="25"/>
  <c r="D1139" i="25"/>
  <c r="G1139" i="25"/>
  <c r="D1140" i="25"/>
  <c r="G1140" i="25"/>
  <c r="D1141" i="25"/>
  <c r="G1141" i="25"/>
  <c r="E1142" i="25"/>
  <c r="G1142" i="25"/>
  <c r="D1143" i="25"/>
  <c r="G1143" i="25"/>
  <c r="D1144" i="25"/>
  <c r="G1144" i="25"/>
  <c r="D1145" i="25"/>
  <c r="G1145" i="25"/>
  <c r="D1146" i="25"/>
  <c r="G1146" i="25"/>
  <c r="D1147" i="25"/>
  <c r="G1147" i="25"/>
  <c r="D1148" i="25"/>
  <c r="G1148" i="25"/>
  <c r="D1149" i="25"/>
  <c r="G1149" i="25"/>
  <c r="D1150" i="25"/>
  <c r="G1150" i="25"/>
  <c r="D1151" i="25"/>
  <c r="G1151" i="25"/>
  <c r="D1152" i="25"/>
  <c r="G1152" i="25"/>
  <c r="D1153" i="25"/>
  <c r="G1153" i="25"/>
  <c r="D1154" i="25"/>
  <c r="G1154" i="25"/>
  <c r="D1155" i="25"/>
  <c r="G1155" i="25"/>
  <c r="D1156" i="25"/>
  <c r="G1156" i="25"/>
  <c r="D1157" i="25"/>
  <c r="G1157" i="25"/>
  <c r="G1158" i="25"/>
  <c r="D1159" i="25"/>
  <c r="G1159" i="25"/>
  <c r="D1160" i="25"/>
  <c r="G1160" i="25"/>
  <c r="D1161" i="25"/>
  <c r="G1161" i="25"/>
  <c r="D1162" i="25"/>
  <c r="G1162" i="25"/>
  <c r="D1163" i="25"/>
  <c r="G1163" i="25"/>
  <c r="D1164" i="25"/>
  <c r="G1164" i="25"/>
  <c r="D1165" i="25"/>
  <c r="G1165" i="25"/>
  <c r="D1166" i="25"/>
  <c r="G1166" i="25"/>
  <c r="D1167" i="25"/>
  <c r="G1167" i="25"/>
  <c r="D1168" i="25"/>
  <c r="G1168" i="25"/>
  <c r="D1169" i="25"/>
  <c r="G1169" i="25"/>
  <c r="D1170" i="25"/>
  <c r="G1170" i="25"/>
  <c r="D1171" i="25"/>
  <c r="G1171" i="25"/>
  <c r="D1172" i="25"/>
  <c r="G1172" i="25"/>
  <c r="D1173" i="25"/>
  <c r="G1173" i="25"/>
  <c r="D1174" i="25"/>
  <c r="G1174" i="25"/>
  <c r="D1175" i="25"/>
  <c r="G1175" i="25"/>
  <c r="D1176" i="25"/>
  <c r="G1176" i="25"/>
  <c r="D1177" i="25"/>
  <c r="G1177" i="25"/>
  <c r="D1178" i="25"/>
  <c r="G1178" i="25"/>
  <c r="D1179" i="25"/>
  <c r="G1179" i="25"/>
  <c r="D1180" i="25"/>
  <c r="G1180" i="25"/>
  <c r="G1181" i="25"/>
  <c r="G1182" i="25"/>
  <c r="D1183" i="25"/>
  <c r="G1183" i="25"/>
  <c r="D1184" i="25"/>
  <c r="G1184" i="25"/>
  <c r="D1185" i="25"/>
  <c r="G1185" i="25"/>
  <c r="D1186" i="25"/>
  <c r="G1186" i="25"/>
  <c r="D1187" i="25"/>
  <c r="G1187" i="25"/>
  <c r="D1188" i="25"/>
  <c r="G1188" i="25"/>
  <c r="D1189" i="25"/>
  <c r="G1189" i="25"/>
  <c r="D1190" i="25"/>
  <c r="G1190" i="25"/>
  <c r="D1191" i="25"/>
  <c r="G1191" i="25"/>
  <c r="D1192" i="25"/>
  <c r="G1192" i="25"/>
  <c r="D1193" i="25"/>
  <c r="G1193" i="25"/>
  <c r="D1194" i="25"/>
  <c r="G1194" i="25"/>
  <c r="D1195" i="25"/>
  <c r="G1195" i="25"/>
  <c r="D1196" i="25"/>
  <c r="G1196" i="25"/>
  <c r="D1197" i="25"/>
  <c r="G1197" i="25"/>
  <c r="D1198" i="25"/>
  <c r="G1198" i="25"/>
  <c r="D1199" i="25"/>
  <c r="G1199" i="25"/>
  <c r="D1200" i="25"/>
  <c r="G1200" i="25"/>
  <c r="D1201" i="25"/>
  <c r="G1201" i="25"/>
  <c r="D1202" i="25"/>
  <c r="G1202" i="25"/>
  <c r="D1203" i="25"/>
  <c r="G1203" i="25"/>
  <c r="D1204" i="25"/>
  <c r="G1204" i="25"/>
  <c r="D1205" i="25"/>
  <c r="G1205" i="25"/>
  <c r="D1206" i="25"/>
  <c r="G1206" i="25"/>
  <c r="D1207" i="25"/>
  <c r="G1207" i="25"/>
  <c r="D1208" i="25"/>
  <c r="G1208" i="25"/>
  <c r="D1209" i="25"/>
  <c r="G1209" i="25"/>
  <c r="G1210" i="25"/>
  <c r="G1211" i="25"/>
  <c r="G1212" i="25"/>
  <c r="D1213" i="25"/>
  <c r="G1213" i="25"/>
  <c r="G1214" i="25"/>
  <c r="D1215" i="25"/>
  <c r="G1215" i="25"/>
  <c r="D1216" i="25"/>
  <c r="G1216" i="25"/>
  <c r="D1217" i="25"/>
  <c r="G1217" i="25"/>
  <c r="D1218" i="25"/>
  <c r="G1218" i="25"/>
  <c r="D1219" i="25"/>
  <c r="G1219" i="25"/>
  <c r="D1220" i="25"/>
  <c r="G1220" i="25"/>
  <c r="D1221" i="25"/>
  <c r="G1221" i="25"/>
  <c r="D1222" i="25"/>
  <c r="G1222" i="25"/>
  <c r="D1223" i="25"/>
  <c r="G1223" i="25"/>
  <c r="D1224" i="25"/>
  <c r="G1224" i="25"/>
  <c r="D1225" i="25"/>
  <c r="G1225" i="25"/>
  <c r="D1226" i="25"/>
  <c r="G1226" i="25"/>
  <c r="D1227" i="25"/>
  <c r="G1227" i="25"/>
  <c r="G1228" i="25"/>
  <c r="E1229" i="25"/>
  <c r="G1229" i="25"/>
  <c r="D1230" i="25"/>
  <c r="G1230" i="25"/>
  <c r="D1231" i="25"/>
  <c r="G1231" i="25"/>
  <c r="G1232" i="25"/>
  <c r="G1233" i="25"/>
  <c r="D1234" i="25"/>
  <c r="G1234" i="25"/>
  <c r="G1235" i="25"/>
  <c r="D1236" i="25"/>
  <c r="G1236" i="25"/>
  <c r="D1237" i="25"/>
  <c r="G1237" i="25"/>
  <c r="D1238" i="25"/>
  <c r="G1238" i="25"/>
  <c r="D1239" i="25"/>
  <c r="G1239" i="25"/>
  <c r="D1240" i="25"/>
  <c r="G1240" i="25"/>
  <c r="D1241" i="25"/>
  <c r="G1241" i="25"/>
  <c r="D1242" i="25"/>
  <c r="G1242" i="25"/>
  <c r="D1243" i="25"/>
  <c r="G1243" i="25"/>
  <c r="D1244" i="25"/>
  <c r="G1244" i="25"/>
  <c r="D1245" i="25"/>
  <c r="G1245" i="25"/>
  <c r="D1246" i="25"/>
  <c r="G1246" i="25"/>
  <c r="D1247" i="25"/>
  <c r="G1247" i="25"/>
  <c r="D1248" i="25"/>
  <c r="G1248" i="25"/>
  <c r="D1249" i="25"/>
  <c r="G1249" i="25"/>
  <c r="D1250" i="25"/>
  <c r="G1250" i="25"/>
  <c r="D1251" i="25"/>
  <c r="G1251" i="25"/>
  <c r="G1252" i="25"/>
  <c r="D1253" i="25"/>
  <c r="G1253" i="25"/>
  <c r="D1254" i="25"/>
  <c r="G1254" i="25"/>
  <c r="D1255" i="25"/>
  <c r="G1255" i="25"/>
  <c r="D1256" i="25"/>
  <c r="G1256" i="25"/>
  <c r="D1257" i="25"/>
  <c r="G1257" i="25"/>
  <c r="D1258" i="25"/>
  <c r="G1258" i="25"/>
  <c r="D1259" i="25"/>
  <c r="G1259" i="25"/>
  <c r="D1260" i="25"/>
  <c r="G1260" i="25"/>
  <c r="D1261" i="25"/>
  <c r="G1261" i="25"/>
  <c r="G1262" i="25"/>
  <c r="D1263" i="25"/>
  <c r="G1263" i="25"/>
  <c r="D1264" i="25"/>
  <c r="G1264" i="25"/>
  <c r="D1265" i="25"/>
  <c r="G1265" i="25"/>
  <c r="D1266" i="25"/>
  <c r="G1266" i="25"/>
  <c r="D1267" i="25"/>
  <c r="G1267" i="25"/>
  <c r="D1268" i="25"/>
  <c r="G1268" i="25"/>
  <c r="G1269" i="25"/>
  <c r="D1270" i="25"/>
  <c r="G1270" i="25"/>
  <c r="G1271" i="25"/>
  <c r="D1272" i="25"/>
  <c r="G1272" i="25"/>
  <c r="D1273" i="25"/>
  <c r="G1273" i="25"/>
  <c r="D1274" i="25"/>
  <c r="G1274" i="25"/>
  <c r="D1275" i="25"/>
  <c r="G1275" i="25"/>
  <c r="D1276" i="25"/>
  <c r="G1276" i="25"/>
  <c r="D1277" i="25"/>
  <c r="G1277" i="25"/>
  <c r="D1278" i="25"/>
  <c r="G1278" i="25"/>
  <c r="D1279" i="25"/>
  <c r="G1279" i="25"/>
  <c r="G1280" i="25"/>
  <c r="D1281" i="25"/>
  <c r="G1281" i="25"/>
  <c r="G1282" i="25"/>
  <c r="D1283" i="25"/>
  <c r="G1283" i="25"/>
  <c r="D1284" i="25"/>
  <c r="G1284" i="25"/>
  <c r="D1285" i="25"/>
  <c r="G1285" i="25"/>
  <c r="D1286" i="25"/>
  <c r="G1286" i="25"/>
  <c r="D1287" i="25"/>
  <c r="G1287" i="25"/>
  <c r="D1288" i="25"/>
  <c r="G1288" i="25"/>
  <c r="D1289" i="25"/>
  <c r="G1289" i="25"/>
  <c r="D1290" i="25"/>
  <c r="G1290" i="25"/>
  <c r="D1291" i="25"/>
  <c r="G1291" i="25"/>
  <c r="D1292" i="25"/>
  <c r="G1292" i="25"/>
  <c r="D1293" i="25"/>
  <c r="G1293" i="25"/>
  <c r="D1294" i="25"/>
  <c r="G1294" i="25"/>
  <c r="D1295" i="25"/>
  <c r="G1295" i="25"/>
  <c r="D1296" i="25"/>
  <c r="G1296" i="25"/>
  <c r="D1297" i="25"/>
  <c r="G1297" i="25"/>
  <c r="D1298" i="25"/>
  <c r="G1298" i="25"/>
  <c r="D1299" i="25"/>
  <c r="G1299" i="25"/>
  <c r="D1300" i="25"/>
  <c r="G1300" i="25"/>
  <c r="D1301" i="25"/>
  <c r="G1301" i="25"/>
  <c r="D1302" i="25"/>
  <c r="G1302" i="25"/>
  <c r="D1303" i="25"/>
  <c r="G1303" i="25"/>
  <c r="D1304" i="25"/>
  <c r="G1304" i="25"/>
  <c r="D1305" i="25"/>
  <c r="G1305" i="25"/>
  <c r="D1306" i="25"/>
  <c r="G1306" i="25"/>
  <c r="D1307" i="25"/>
  <c r="G1307" i="25"/>
  <c r="G1308" i="25"/>
  <c r="D1309" i="25"/>
  <c r="G1309" i="25"/>
  <c r="D1310" i="25"/>
  <c r="G1310" i="25"/>
  <c r="D1311" i="25"/>
  <c r="G1311" i="25"/>
  <c r="D1312" i="25"/>
  <c r="G1312" i="25"/>
  <c r="D1313" i="25"/>
  <c r="G1313" i="25"/>
  <c r="D1314" i="25"/>
  <c r="G1314" i="25"/>
  <c r="D1315" i="25"/>
  <c r="G1315" i="25"/>
  <c r="D1316" i="25"/>
  <c r="G1316" i="25"/>
  <c r="D1317" i="25"/>
  <c r="G1317" i="25"/>
  <c r="D1318" i="25"/>
  <c r="G1318" i="25"/>
  <c r="D1319" i="25"/>
  <c r="G1319" i="25"/>
  <c r="D1320" i="25"/>
  <c r="G1320" i="25"/>
  <c r="D1321" i="25"/>
  <c r="G1321" i="25"/>
  <c r="D1322" i="25"/>
  <c r="G1322" i="25"/>
  <c r="G1323" i="25"/>
  <c r="D1324" i="25"/>
  <c r="G1324" i="25"/>
  <c r="D1325" i="25"/>
  <c r="G1325" i="25"/>
  <c r="D1326" i="25"/>
  <c r="G1326" i="25"/>
  <c r="G1327" i="25"/>
  <c r="G1328" i="25"/>
  <c r="D1329" i="25"/>
  <c r="G1329" i="25"/>
  <c r="D1330" i="25"/>
  <c r="G1330" i="25"/>
  <c r="G1331" i="25"/>
  <c r="D1332" i="25"/>
  <c r="G1332" i="25"/>
  <c r="D1333" i="25"/>
  <c r="G1333" i="25"/>
  <c r="D1334" i="25"/>
  <c r="G1334" i="25"/>
  <c r="D1335" i="25"/>
  <c r="G1335" i="25"/>
  <c r="D1336" i="25"/>
  <c r="G1336" i="25"/>
  <c r="D1337" i="25"/>
  <c r="G1337" i="25"/>
  <c r="D1338" i="25"/>
  <c r="G1338" i="25"/>
  <c r="D1339" i="25"/>
  <c r="G1339" i="25"/>
  <c r="G1340" i="25"/>
  <c r="D1341" i="25"/>
  <c r="G1341" i="25"/>
  <c r="D1342" i="25"/>
  <c r="G1342" i="25"/>
  <c r="D1343" i="25"/>
  <c r="G1343" i="25"/>
  <c r="D1344" i="25"/>
  <c r="G1344" i="25"/>
  <c r="D1345" i="25"/>
  <c r="G1345" i="25"/>
  <c r="D1346" i="25"/>
  <c r="G1346" i="25"/>
  <c r="D1347" i="25"/>
  <c r="G1347" i="25"/>
  <c r="G1348" i="25"/>
  <c r="D1349" i="25"/>
  <c r="G1349" i="25"/>
  <c r="D1350" i="25"/>
  <c r="G1350" i="25"/>
  <c r="D1351" i="25"/>
  <c r="G1351" i="25"/>
  <c r="D1352" i="25"/>
  <c r="G1352" i="25"/>
  <c r="D1353" i="25"/>
  <c r="G1353" i="25"/>
  <c r="D1354" i="25"/>
  <c r="G1354" i="25"/>
  <c r="D1355" i="25"/>
  <c r="G1355" i="25"/>
  <c r="D1356" i="25"/>
  <c r="G1356" i="25"/>
  <c r="D1357" i="25"/>
  <c r="G1357" i="25"/>
  <c r="G1358" i="25"/>
  <c r="D1359" i="25"/>
  <c r="G1359" i="25"/>
  <c r="D1360" i="25"/>
  <c r="G1360" i="25"/>
  <c r="G1361" i="25"/>
  <c r="D1362" i="25"/>
  <c r="G1362" i="25"/>
  <c r="D1363" i="25"/>
  <c r="G1363" i="25"/>
  <c r="D1364" i="25"/>
  <c r="G1364" i="25"/>
  <c r="D1365" i="25"/>
  <c r="G1365" i="25"/>
  <c r="D1366" i="25"/>
  <c r="G1366" i="25"/>
  <c r="G1367" i="25"/>
  <c r="D1368" i="25"/>
  <c r="G1368" i="25"/>
  <c r="G1369" i="25"/>
  <c r="D1370" i="25"/>
  <c r="G1370" i="25"/>
  <c r="D1371" i="25"/>
  <c r="G1371" i="25"/>
  <c r="D1372" i="25"/>
  <c r="G1372" i="25"/>
  <c r="D1373" i="25"/>
  <c r="G1373" i="25"/>
  <c r="D1374" i="25"/>
  <c r="G1374" i="25"/>
  <c r="D1375" i="25"/>
  <c r="G1375" i="25"/>
  <c r="D1376" i="25"/>
  <c r="G1376" i="25"/>
  <c r="D1377" i="25"/>
  <c r="G1377" i="25"/>
  <c r="D1378" i="25"/>
  <c r="G1378" i="25"/>
  <c r="D1379" i="25"/>
  <c r="G1379" i="25"/>
  <c r="D1380" i="25"/>
  <c r="G1380" i="25"/>
  <c r="D1381" i="25"/>
  <c r="G1381" i="25"/>
  <c r="D1382" i="25"/>
  <c r="G1382" i="25"/>
  <c r="D1383" i="25"/>
  <c r="G1383" i="25"/>
  <c r="D1384" i="25"/>
  <c r="G1384" i="25"/>
  <c r="D1385" i="25"/>
  <c r="G1385" i="25"/>
  <c r="D1386" i="25"/>
  <c r="G1386" i="25"/>
  <c r="D1387" i="25"/>
  <c r="G1387" i="25"/>
  <c r="D1388" i="25"/>
  <c r="G1388" i="25"/>
  <c r="D1389" i="25"/>
  <c r="G1389" i="25"/>
  <c r="D1390" i="25"/>
  <c r="G1390" i="25"/>
  <c r="D1391" i="25"/>
  <c r="G1391" i="25"/>
  <c r="D1392" i="25"/>
  <c r="G1392" i="25"/>
  <c r="D1393" i="25"/>
  <c r="G1393" i="25"/>
  <c r="D1394" i="25"/>
  <c r="G1394" i="25"/>
  <c r="D1395" i="25"/>
  <c r="G1395" i="25"/>
  <c r="D1396" i="25"/>
  <c r="G1396" i="25"/>
  <c r="D1397" i="25"/>
  <c r="G1397" i="25"/>
  <c r="D1398" i="25"/>
  <c r="G1398" i="25"/>
  <c r="D1399" i="25"/>
  <c r="G1399" i="25"/>
  <c r="G1400" i="25"/>
  <c r="D1401" i="25"/>
  <c r="G1401" i="25"/>
  <c r="G1402" i="25"/>
  <c r="D1403" i="25"/>
  <c r="G1403" i="25"/>
  <c r="D1404" i="25"/>
  <c r="G1404" i="25"/>
  <c r="D1405" i="25"/>
  <c r="G1405" i="25"/>
  <c r="D1406" i="25"/>
  <c r="G1406" i="25"/>
  <c r="D1407" i="25"/>
  <c r="G1407" i="25"/>
  <c r="D1408" i="25"/>
  <c r="G1408" i="25"/>
  <c r="D1409" i="25"/>
  <c r="G1409" i="25"/>
  <c r="D1410" i="25"/>
  <c r="G1410" i="25"/>
  <c r="D1411" i="25"/>
  <c r="G1411" i="25"/>
  <c r="D1412" i="25"/>
  <c r="G1412" i="25"/>
  <c r="D1413" i="25"/>
  <c r="G1413" i="25"/>
  <c r="D1414" i="25"/>
  <c r="G1414" i="25"/>
  <c r="G1415" i="25"/>
  <c r="D1416" i="25"/>
  <c r="G1416" i="25"/>
  <c r="D1417" i="25"/>
  <c r="G1417" i="25"/>
  <c r="D1418" i="25"/>
  <c r="G1418" i="25"/>
  <c r="D1419" i="25"/>
  <c r="G1419" i="25"/>
  <c r="D1420" i="25"/>
  <c r="G1420" i="25"/>
  <c r="E1421" i="25"/>
  <c r="G1421" i="25"/>
  <c r="D1422" i="25"/>
  <c r="G1422" i="25"/>
  <c r="D1423" i="25"/>
  <c r="G1423" i="25"/>
  <c r="D1424" i="25"/>
  <c r="G1424" i="25"/>
  <c r="D1425" i="25"/>
  <c r="G1425" i="25"/>
  <c r="D1426" i="25"/>
  <c r="G1426" i="25"/>
  <c r="D1427" i="25"/>
  <c r="G1427" i="25"/>
  <c r="D1428" i="25"/>
  <c r="G1428" i="25"/>
  <c r="D1429" i="25"/>
  <c r="G1429" i="25"/>
  <c r="D1430" i="25"/>
  <c r="G1430" i="25"/>
  <c r="D1431" i="25"/>
  <c r="G1431" i="25"/>
  <c r="D1432" i="25"/>
  <c r="G1432" i="25"/>
  <c r="D1433" i="25"/>
  <c r="G1433" i="25"/>
  <c r="D1434" i="25"/>
  <c r="G1434" i="25"/>
  <c r="D1435" i="25"/>
  <c r="G1435" i="25"/>
  <c r="D1436" i="25"/>
  <c r="G1436" i="25"/>
  <c r="D1437" i="25"/>
  <c r="G1437" i="25"/>
  <c r="D1438" i="25"/>
  <c r="G1438" i="25"/>
  <c r="D1439" i="25"/>
  <c r="G1439" i="25"/>
  <c r="D1440" i="25"/>
  <c r="G1440" i="25"/>
  <c r="G1441" i="25"/>
  <c r="D1442" i="25"/>
  <c r="G1442" i="25"/>
  <c r="G1443" i="25"/>
  <c r="D1444" i="25"/>
  <c r="G1444" i="25"/>
  <c r="D1445" i="25"/>
  <c r="G1445" i="25"/>
  <c r="D1446" i="25"/>
  <c r="G1446" i="25"/>
  <c r="D1447" i="25"/>
  <c r="G1447" i="25"/>
  <c r="D1448" i="25"/>
  <c r="G1448" i="25"/>
  <c r="D1449" i="25"/>
  <c r="G1449" i="25"/>
  <c r="D1450" i="25"/>
  <c r="G1450" i="25"/>
  <c r="D1451" i="25"/>
  <c r="G1451" i="25"/>
  <c r="D1452" i="25"/>
  <c r="G1452" i="25"/>
  <c r="D1453" i="25"/>
  <c r="G1453" i="25"/>
  <c r="D1454" i="25"/>
  <c r="G1454" i="25"/>
  <c r="D1455" i="25"/>
  <c r="G1455" i="25"/>
  <c r="D1456" i="25"/>
  <c r="G1456" i="25"/>
  <c r="D1457" i="25"/>
  <c r="G1457" i="25"/>
  <c r="D1458" i="25"/>
  <c r="G1458" i="25"/>
  <c r="D1459" i="25"/>
  <c r="G1459" i="25"/>
  <c r="D1460" i="25"/>
  <c r="G1460" i="25"/>
  <c r="G1461" i="25"/>
  <c r="D1462" i="25"/>
  <c r="G1462" i="25"/>
  <c r="D1463" i="25"/>
  <c r="G1463" i="25"/>
  <c r="D1464" i="25"/>
  <c r="G1464" i="25"/>
  <c r="D1465" i="25"/>
  <c r="G1465" i="25"/>
  <c r="D1466" i="25"/>
  <c r="G1466" i="25"/>
  <c r="D1467" i="25"/>
  <c r="G1467" i="25"/>
  <c r="D1468" i="25"/>
  <c r="G1468" i="25"/>
  <c r="D1469" i="25"/>
  <c r="G1469" i="25"/>
  <c r="D1470" i="25"/>
  <c r="G1470" i="25"/>
  <c r="D1471" i="25"/>
  <c r="G1471" i="25"/>
  <c r="D1472" i="25"/>
  <c r="G1472" i="25"/>
  <c r="D1473" i="25"/>
  <c r="G1473" i="25"/>
  <c r="D1474" i="25"/>
  <c r="G1474" i="25"/>
  <c r="D1475" i="25"/>
  <c r="G1475" i="25"/>
  <c r="D1476" i="25"/>
  <c r="G1476" i="25"/>
  <c r="D1477" i="25"/>
  <c r="G1477" i="25"/>
  <c r="D1478" i="25"/>
  <c r="G1478" i="25"/>
  <c r="G1479" i="25"/>
  <c r="D1480" i="25"/>
  <c r="G1480" i="25"/>
  <c r="D1481" i="25"/>
  <c r="G1481" i="25"/>
  <c r="D1482" i="25"/>
  <c r="G1482" i="25"/>
  <c r="D1483" i="25"/>
  <c r="G1483" i="25"/>
  <c r="D1484" i="25"/>
  <c r="G1484" i="25"/>
  <c r="D1485" i="25"/>
  <c r="G1485" i="25"/>
  <c r="D1486" i="25"/>
  <c r="G1486" i="25"/>
  <c r="D1487" i="25"/>
  <c r="G1487" i="25"/>
  <c r="D1488" i="25"/>
  <c r="G1488" i="25"/>
  <c r="D1489" i="25"/>
  <c r="G1489" i="25"/>
  <c r="D1490" i="25"/>
  <c r="G1490" i="25"/>
  <c r="D1491" i="25"/>
  <c r="G1491" i="25"/>
  <c r="D1492" i="25"/>
  <c r="G1492" i="25"/>
  <c r="D1493" i="25"/>
  <c r="G1493" i="25"/>
  <c r="D1494" i="25"/>
  <c r="G1494" i="25"/>
  <c r="D1495" i="25"/>
  <c r="G1495" i="25"/>
  <c r="D1496" i="25"/>
  <c r="G1496" i="25"/>
  <c r="G1497" i="25"/>
  <c r="D1498" i="25"/>
  <c r="G1498" i="25"/>
  <c r="D1499" i="25"/>
  <c r="G1499" i="25"/>
  <c r="D1500" i="25"/>
  <c r="G1500" i="25"/>
  <c r="D1501" i="25"/>
  <c r="G1501" i="25"/>
  <c r="D1502" i="25"/>
  <c r="G1502" i="25"/>
  <c r="D1503" i="25"/>
  <c r="G1503" i="25"/>
  <c r="D1504" i="25"/>
  <c r="G1504" i="25"/>
  <c r="D1505" i="25"/>
  <c r="G1505" i="25"/>
  <c r="D1506" i="25"/>
  <c r="G1506" i="25"/>
  <c r="D1507" i="25"/>
  <c r="G1507" i="25"/>
  <c r="D1508" i="25"/>
  <c r="G1508" i="25"/>
  <c r="D1509" i="25"/>
  <c r="G1509" i="25"/>
  <c r="D1510" i="25"/>
  <c r="G1510" i="25"/>
  <c r="D1511" i="25"/>
  <c r="G1511" i="25"/>
  <c r="D1512" i="25"/>
  <c r="G1512" i="25"/>
  <c r="D1513" i="25"/>
  <c r="G1513" i="25"/>
  <c r="D1514" i="25"/>
  <c r="G1514" i="25"/>
  <c r="D1515" i="25"/>
  <c r="G1515" i="25"/>
  <c r="D1516" i="25"/>
  <c r="G1516" i="25"/>
  <c r="D1517" i="25"/>
  <c r="G1517" i="25"/>
  <c r="G1518" i="25"/>
  <c r="D1519" i="25"/>
  <c r="G1519" i="25"/>
  <c r="D1520" i="25"/>
  <c r="G1520" i="25"/>
  <c r="D1521" i="25"/>
  <c r="G1521" i="25"/>
  <c r="D1522" i="25"/>
  <c r="G1522" i="25"/>
  <c r="D1523" i="25"/>
  <c r="G1523" i="25"/>
  <c r="D1524" i="25"/>
  <c r="G1524" i="25"/>
  <c r="G1525" i="25"/>
  <c r="D1526" i="25"/>
  <c r="G1526" i="25"/>
  <c r="D1527" i="25"/>
  <c r="G1527" i="25"/>
  <c r="D1528" i="25"/>
  <c r="G1528" i="25"/>
  <c r="D1529" i="25"/>
  <c r="G1529" i="25"/>
  <c r="D1530" i="25"/>
  <c r="G1530" i="25"/>
  <c r="D1531" i="25"/>
  <c r="G1531" i="25"/>
  <c r="D1532" i="25"/>
  <c r="G1532" i="25"/>
  <c r="D1533" i="25"/>
  <c r="G1533" i="25"/>
  <c r="D1534" i="25"/>
  <c r="G1534" i="25"/>
  <c r="D1535" i="25"/>
  <c r="G1535" i="25"/>
  <c r="D1536" i="25"/>
  <c r="G1536" i="25"/>
  <c r="D1537" i="25"/>
  <c r="G1537" i="25"/>
  <c r="D1538" i="25"/>
  <c r="G1538" i="25"/>
  <c r="G1539" i="25"/>
  <c r="G1540" i="25"/>
  <c r="D1541" i="25"/>
  <c r="G1541" i="25"/>
  <c r="D1542" i="25"/>
  <c r="G1542" i="25"/>
  <c r="D1543" i="25"/>
  <c r="G1543" i="25"/>
  <c r="D1544" i="25"/>
  <c r="G1544" i="25"/>
  <c r="D1545" i="25"/>
  <c r="G1545" i="25"/>
  <c r="G1546" i="25"/>
  <c r="G1547" i="25"/>
  <c r="G1548" i="25"/>
  <c r="D1549" i="25"/>
  <c r="G1549" i="25"/>
  <c r="D1550" i="25"/>
  <c r="G1550" i="25"/>
  <c r="D1551" i="25"/>
  <c r="G1551" i="25"/>
  <c r="D1552" i="25"/>
  <c r="G1552" i="25"/>
  <c r="D1553" i="25"/>
  <c r="G1553" i="25"/>
  <c r="D1554" i="25"/>
  <c r="G1554" i="25"/>
  <c r="D1555" i="25"/>
  <c r="G1555" i="25"/>
  <c r="D1556" i="25"/>
  <c r="G1556" i="25"/>
  <c r="D1557" i="25"/>
  <c r="G1557" i="25"/>
  <c r="D1558" i="25"/>
  <c r="G1558" i="25"/>
  <c r="D1559" i="25"/>
  <c r="G1559" i="25"/>
  <c r="D1560" i="25"/>
  <c r="G1560" i="25"/>
  <c r="D1561" i="25"/>
  <c r="G1561" i="25"/>
  <c r="D1562" i="25"/>
  <c r="G1562" i="25"/>
  <c r="D1563" i="25"/>
  <c r="G1563" i="25"/>
  <c r="D1564" i="25"/>
  <c r="G1564" i="25"/>
  <c r="D1565" i="25"/>
  <c r="G1565" i="25"/>
  <c r="D1566" i="25"/>
  <c r="G1566" i="25"/>
  <c r="D1567" i="25"/>
  <c r="G1567" i="25"/>
  <c r="D1568" i="25"/>
  <c r="G1568" i="25"/>
  <c r="D1569" i="25"/>
  <c r="G1569" i="25"/>
  <c r="D1570" i="25"/>
  <c r="G1570" i="25"/>
  <c r="D1571" i="25"/>
  <c r="G1571" i="25"/>
  <c r="D1572" i="25"/>
  <c r="G1572" i="25"/>
  <c r="D1573" i="25"/>
  <c r="G1573" i="25"/>
  <c r="D1574" i="25"/>
  <c r="G1574" i="25"/>
  <c r="D1575" i="25"/>
  <c r="G1575" i="25"/>
  <c r="D1576" i="25"/>
  <c r="G1576" i="25"/>
  <c r="D1577" i="25"/>
  <c r="G1577" i="25"/>
  <c r="D1578" i="25"/>
  <c r="G1578" i="25"/>
  <c r="D1579" i="25"/>
  <c r="G1579" i="25"/>
  <c r="D1580" i="25"/>
  <c r="G1580" i="25"/>
  <c r="G1581" i="25"/>
  <c r="D1582" i="25"/>
  <c r="G1582" i="25"/>
  <c r="D1583" i="25"/>
  <c r="G1583" i="25"/>
  <c r="G1584" i="25"/>
  <c r="D1585" i="25"/>
  <c r="G1585" i="25"/>
  <c r="D1586" i="25"/>
  <c r="G1586" i="25"/>
  <c r="D1587" i="25"/>
  <c r="G1587" i="25"/>
  <c r="D1588" i="25"/>
  <c r="G1588" i="25"/>
  <c r="D1589" i="25"/>
  <c r="G1589" i="25"/>
  <c r="D1590" i="25"/>
  <c r="G1590" i="25"/>
  <c r="D1591" i="25"/>
  <c r="G1591" i="25"/>
  <c r="D1592" i="25"/>
  <c r="G1592" i="25"/>
  <c r="D1593" i="25"/>
  <c r="G1593" i="25"/>
  <c r="D1594" i="25"/>
  <c r="G1594" i="25"/>
  <c r="D1595" i="25"/>
  <c r="G1595" i="25"/>
  <c r="D1596" i="25"/>
  <c r="G1596" i="25"/>
  <c r="D1597" i="25"/>
  <c r="G1597" i="25"/>
  <c r="D1598" i="25"/>
  <c r="G1598" i="25"/>
  <c r="D1599" i="25"/>
  <c r="G1599" i="25"/>
  <c r="D1600" i="25"/>
  <c r="G1600" i="25"/>
  <c r="D1601" i="25"/>
  <c r="G1601" i="25"/>
  <c r="D1602" i="25"/>
  <c r="G1602" i="25"/>
  <c r="D1603" i="25"/>
  <c r="G1603" i="25"/>
  <c r="G1604" i="25"/>
  <c r="D1605" i="25"/>
  <c r="G1605" i="25"/>
  <c r="D1606" i="25"/>
  <c r="G1606" i="25"/>
  <c r="G1607" i="25"/>
  <c r="D1608" i="25"/>
  <c r="G1608" i="25"/>
  <c r="D1609" i="25"/>
  <c r="G1609" i="25"/>
  <c r="D1610" i="25"/>
  <c r="G1610" i="25"/>
  <c r="D1611" i="25"/>
  <c r="G1611" i="25"/>
  <c r="D1612" i="25"/>
  <c r="G1612" i="25"/>
  <c r="G1613" i="25"/>
  <c r="D1614" i="25"/>
  <c r="G1614" i="25"/>
  <c r="D1615" i="25"/>
  <c r="G1615" i="25"/>
  <c r="D1616" i="25"/>
  <c r="G1616" i="25"/>
  <c r="D1617" i="25"/>
  <c r="G1617" i="25"/>
  <c r="D1618" i="25"/>
  <c r="G1618" i="25"/>
  <c r="D1619" i="25"/>
  <c r="G1619" i="25"/>
  <c r="D1620" i="25"/>
  <c r="G1620" i="25"/>
  <c r="D1621" i="25"/>
  <c r="G1621" i="25"/>
  <c r="D1622" i="25"/>
  <c r="G1622" i="25"/>
  <c r="G1623" i="25"/>
  <c r="D1624" i="25"/>
  <c r="G1624" i="25"/>
  <c r="D1625" i="25"/>
  <c r="G1625" i="25"/>
  <c r="G1626" i="25"/>
  <c r="D1627" i="25"/>
  <c r="G1627" i="25"/>
  <c r="D1628" i="25"/>
  <c r="G1628" i="25"/>
  <c r="D1629" i="25"/>
  <c r="G1629" i="25"/>
  <c r="D1630" i="25"/>
  <c r="G1630" i="25"/>
  <c r="D1631" i="25"/>
  <c r="G1631" i="25"/>
  <c r="D1632" i="25"/>
  <c r="G1632" i="25"/>
  <c r="G1633" i="25"/>
  <c r="D1634" i="25"/>
  <c r="G1634" i="25"/>
  <c r="D1635" i="25"/>
  <c r="G1635" i="25"/>
  <c r="D1636" i="25"/>
  <c r="G1636" i="25"/>
  <c r="D1637" i="25"/>
  <c r="G1637" i="25"/>
  <c r="D1638" i="25"/>
  <c r="G1638" i="25"/>
  <c r="D1639" i="25"/>
  <c r="G1639" i="25"/>
  <c r="D1640" i="25"/>
  <c r="G1640" i="25"/>
  <c r="G1641" i="25"/>
  <c r="D1642" i="25"/>
  <c r="G1642" i="25"/>
  <c r="D1643" i="25"/>
  <c r="G1643" i="25"/>
  <c r="D1644" i="25"/>
  <c r="G1644" i="25"/>
  <c r="D1645" i="25"/>
  <c r="G1645" i="25"/>
  <c r="D1646" i="25"/>
  <c r="G1646" i="25"/>
  <c r="D1647" i="25"/>
  <c r="G1647" i="25"/>
  <c r="D1648" i="25"/>
  <c r="G1648" i="25"/>
  <c r="D1649" i="25"/>
  <c r="G1649" i="25"/>
  <c r="D1650" i="25"/>
  <c r="G1650" i="25"/>
  <c r="D1651" i="25"/>
  <c r="G1651" i="25"/>
  <c r="D1652" i="25"/>
  <c r="G1652" i="25"/>
  <c r="D1653" i="25"/>
  <c r="G1653" i="25"/>
  <c r="D1654" i="25"/>
  <c r="E1654" i="25"/>
  <c r="G1654" i="25"/>
  <c r="D1655" i="25"/>
  <c r="E1655" i="25"/>
  <c r="G1655" i="25"/>
  <c r="D1656" i="25"/>
  <c r="G1656" i="25"/>
  <c r="D1657" i="25"/>
  <c r="G1657" i="25"/>
  <c r="D1658" i="25"/>
  <c r="G1658" i="25"/>
  <c r="D1659" i="25"/>
  <c r="G1659" i="25"/>
  <c r="D1660" i="25"/>
  <c r="G1660" i="25"/>
  <c r="D1661" i="25"/>
  <c r="G1661" i="25"/>
  <c r="D1662" i="25"/>
  <c r="G1662" i="25"/>
  <c r="D1663" i="25"/>
  <c r="G1663" i="25"/>
  <c r="D1664" i="25"/>
  <c r="G1664" i="25"/>
  <c r="D1665" i="25"/>
  <c r="G1665" i="25"/>
  <c r="G1666" i="25"/>
  <c r="G1667" i="25"/>
  <c r="G1668" i="25"/>
  <c r="D1669" i="25"/>
  <c r="G1669" i="25"/>
  <c r="D1670" i="25"/>
  <c r="G1670" i="25"/>
  <c r="D1671" i="25"/>
  <c r="G1671" i="25"/>
  <c r="D1672" i="25"/>
  <c r="G1672" i="25"/>
  <c r="D1673" i="25"/>
  <c r="G1673" i="25"/>
  <c r="D1674" i="25"/>
  <c r="G1674" i="25"/>
  <c r="D1675" i="25"/>
  <c r="G1675" i="25"/>
  <c r="D1676" i="25"/>
  <c r="G1676" i="25"/>
  <c r="G1677" i="25"/>
  <c r="G1678" i="25"/>
  <c r="G1679" i="25"/>
  <c r="D1680" i="25"/>
  <c r="G1680" i="25"/>
  <c r="D1681" i="25"/>
  <c r="G1681" i="25"/>
  <c r="D1682" i="25"/>
  <c r="G1682" i="25"/>
  <c r="D1683" i="25"/>
  <c r="G1683" i="25"/>
  <c r="D1684" i="25"/>
  <c r="G1684" i="25"/>
  <c r="D1685" i="25"/>
  <c r="G1685" i="25"/>
  <c r="D1686" i="25"/>
  <c r="G1686" i="25"/>
  <c r="D1687" i="25"/>
  <c r="G1687" i="25"/>
  <c r="D1688" i="25"/>
  <c r="G1688" i="25"/>
  <c r="D1689" i="25"/>
  <c r="G1689" i="25"/>
  <c r="D1690" i="25"/>
  <c r="G1690" i="25"/>
  <c r="D1691" i="25"/>
  <c r="G1691" i="25"/>
  <c r="D1692" i="25"/>
  <c r="G1692" i="25"/>
  <c r="D1693" i="25"/>
  <c r="G1693" i="25"/>
  <c r="D1694" i="25"/>
  <c r="G1694" i="25"/>
  <c r="D1695" i="25"/>
  <c r="G1695" i="25"/>
  <c r="D1696" i="25"/>
  <c r="G1696" i="25"/>
  <c r="D1697" i="25"/>
  <c r="G1697" i="25"/>
  <c r="D1698" i="25"/>
  <c r="G1698" i="25"/>
  <c r="D1699" i="25"/>
  <c r="G1699" i="25"/>
  <c r="D1700" i="25"/>
  <c r="G1700" i="25"/>
  <c r="D1701" i="25"/>
  <c r="G1701" i="25"/>
  <c r="D1702" i="25"/>
  <c r="G1702" i="25"/>
  <c r="D1703" i="25"/>
  <c r="G1703" i="25"/>
  <c r="D1704" i="25"/>
  <c r="G1704" i="25"/>
  <c r="D1705" i="25"/>
  <c r="G1705" i="25"/>
  <c r="D1706" i="25"/>
  <c r="G1706" i="25"/>
  <c r="D1707" i="25"/>
  <c r="G1707" i="25"/>
  <c r="D1708" i="25"/>
  <c r="G1708" i="25"/>
  <c r="D1709" i="25"/>
  <c r="G1709" i="25"/>
  <c r="D1710" i="25"/>
  <c r="G1710" i="25"/>
  <c r="D1711" i="25"/>
  <c r="G1711" i="25"/>
  <c r="D1712" i="25"/>
  <c r="G1712" i="25"/>
  <c r="D1713" i="25"/>
  <c r="G1713" i="25"/>
  <c r="D1714" i="25"/>
  <c r="G1714" i="25"/>
  <c r="D1715" i="25"/>
  <c r="G1715" i="25"/>
  <c r="D1716" i="25"/>
  <c r="G1716" i="25"/>
  <c r="D1717" i="25"/>
  <c r="G1717" i="25"/>
  <c r="D1718" i="25"/>
  <c r="G1718" i="25"/>
  <c r="D1719" i="25"/>
  <c r="G1719" i="25"/>
  <c r="D1720" i="25"/>
  <c r="G1720" i="25"/>
  <c r="D1721" i="25"/>
  <c r="G1721" i="25"/>
  <c r="D1722" i="25"/>
  <c r="G1722" i="25"/>
  <c r="D1723" i="25"/>
  <c r="G1723" i="25"/>
  <c r="D1724" i="25"/>
  <c r="G1724" i="25"/>
  <c r="D1725" i="25"/>
  <c r="G1725" i="25"/>
  <c r="D1726" i="25"/>
  <c r="G1726" i="25"/>
  <c r="D1727" i="25"/>
  <c r="G1727" i="25"/>
  <c r="D1728" i="25"/>
  <c r="G1728" i="25"/>
  <c r="D1729" i="25"/>
  <c r="G1729" i="25"/>
  <c r="D1730" i="25"/>
  <c r="G1730" i="25"/>
  <c r="D1731" i="25"/>
  <c r="G1731" i="25"/>
  <c r="G1732" i="25"/>
  <c r="D1733" i="25"/>
  <c r="G1733" i="25"/>
  <c r="D1734" i="25"/>
  <c r="G1734" i="25"/>
  <c r="D1735" i="25"/>
  <c r="G1735" i="25"/>
  <c r="G1736" i="25"/>
  <c r="G1737" i="25"/>
  <c r="D1738" i="25"/>
  <c r="G1738" i="25"/>
  <c r="D1739" i="25"/>
  <c r="G1739" i="25"/>
  <c r="D1740" i="25"/>
  <c r="G1740" i="25"/>
  <c r="D1741" i="25"/>
  <c r="G1741" i="25"/>
  <c r="D1742" i="25"/>
  <c r="G1742" i="25"/>
  <c r="D1743" i="25"/>
  <c r="G1743" i="25"/>
  <c r="D1744" i="25"/>
  <c r="G1744" i="25"/>
  <c r="D1745" i="25"/>
  <c r="G1745" i="25"/>
  <c r="D1746" i="25"/>
  <c r="G1746" i="25"/>
  <c r="D1747" i="25"/>
  <c r="G1747" i="25"/>
  <c r="D1748" i="25"/>
  <c r="G1748" i="25"/>
  <c r="D1749" i="25"/>
  <c r="G1749" i="25"/>
  <c r="D1750" i="25"/>
  <c r="G1750" i="25"/>
  <c r="D1751" i="25"/>
  <c r="G1751" i="25"/>
  <c r="D1752" i="25"/>
  <c r="G1752" i="25"/>
  <c r="D1753" i="25"/>
  <c r="G1753" i="25"/>
  <c r="D1754" i="25"/>
  <c r="G1754" i="25"/>
  <c r="D1755" i="25"/>
  <c r="G1755" i="25"/>
  <c r="D1756" i="25"/>
  <c r="G1756" i="25"/>
  <c r="G1757" i="25"/>
  <c r="D1758" i="25"/>
  <c r="G1758" i="25"/>
  <c r="D1759" i="25"/>
  <c r="G1759" i="25"/>
  <c r="D1760" i="25"/>
  <c r="G1760" i="25"/>
  <c r="D1761" i="25"/>
  <c r="G1761" i="25"/>
  <c r="D1762" i="25"/>
  <c r="G1762" i="25"/>
  <c r="D1763" i="25"/>
  <c r="G1763" i="25"/>
  <c r="D1764" i="25"/>
  <c r="G1764" i="25"/>
  <c r="D1765" i="25"/>
  <c r="G1765" i="25"/>
  <c r="D1766" i="25"/>
  <c r="G1766" i="25"/>
  <c r="D1767" i="25"/>
  <c r="G1767" i="25"/>
  <c r="D1768" i="25"/>
  <c r="G1768" i="25"/>
  <c r="D1769" i="25"/>
  <c r="G1769" i="25"/>
  <c r="D1770" i="25"/>
  <c r="G1770" i="25"/>
  <c r="D1771" i="25"/>
  <c r="G1771" i="25"/>
  <c r="D1772" i="25"/>
  <c r="G1772" i="25"/>
  <c r="D1773" i="25"/>
  <c r="G1773" i="25"/>
  <c r="D1774" i="25"/>
  <c r="G1774" i="25"/>
  <c r="D1775" i="25"/>
  <c r="G1775" i="25"/>
  <c r="D1776" i="25"/>
  <c r="G1776" i="25"/>
  <c r="D1777" i="25"/>
  <c r="G1777" i="25"/>
  <c r="D1778" i="25"/>
  <c r="G1778" i="25"/>
  <c r="D1779" i="25"/>
  <c r="G1779" i="25"/>
  <c r="D1780" i="25"/>
  <c r="G1780" i="25"/>
  <c r="G1781" i="25"/>
  <c r="G1782" i="25"/>
  <c r="D1783" i="25"/>
  <c r="G1783" i="25"/>
  <c r="D1784" i="25"/>
  <c r="G1784" i="25"/>
  <c r="D1785" i="25"/>
  <c r="G1785" i="25"/>
  <c r="D1786" i="25"/>
  <c r="G1786" i="25"/>
  <c r="D1787" i="25"/>
  <c r="G1787" i="25"/>
  <c r="D1788" i="25"/>
  <c r="G1788" i="25"/>
  <c r="D1789" i="25"/>
  <c r="G1789" i="25"/>
  <c r="D1790" i="25"/>
  <c r="G1790" i="25"/>
  <c r="D1791" i="25"/>
  <c r="G1791" i="25"/>
  <c r="D1792" i="25"/>
  <c r="G1792" i="25"/>
  <c r="D1793" i="25"/>
  <c r="G1793" i="25"/>
  <c r="D1794" i="25"/>
  <c r="G1794" i="25"/>
  <c r="D1795" i="25"/>
  <c r="G1795" i="25"/>
  <c r="D1796" i="25"/>
  <c r="G1796" i="25"/>
  <c r="D1797" i="25"/>
  <c r="G1797" i="25"/>
  <c r="D1798" i="25"/>
  <c r="G1798" i="25"/>
  <c r="D1799" i="25"/>
  <c r="G1799" i="25"/>
  <c r="D1800" i="25"/>
  <c r="G1800" i="25"/>
  <c r="D1801" i="25"/>
  <c r="G1801" i="25"/>
  <c r="D1802" i="25"/>
  <c r="G1802" i="25"/>
  <c r="D1803" i="25"/>
  <c r="G1803" i="25"/>
  <c r="D1804" i="25"/>
  <c r="G1804" i="25"/>
  <c r="G1805" i="25"/>
  <c r="G1806" i="25"/>
  <c r="D1807" i="25"/>
  <c r="G1807" i="25"/>
  <c r="E1808" i="25"/>
  <c r="G1808" i="25"/>
  <c r="E1809" i="25"/>
  <c r="G1809" i="25"/>
  <c r="D1810" i="25"/>
  <c r="G1810" i="25"/>
  <c r="D1811" i="25"/>
  <c r="G1811" i="25"/>
  <c r="D1812" i="25"/>
  <c r="G1812" i="25"/>
  <c r="D1813" i="25"/>
  <c r="G1813" i="25"/>
  <c r="D1814" i="25"/>
  <c r="G1814" i="25"/>
  <c r="D1815" i="25"/>
  <c r="G1815" i="25"/>
  <c r="D1816" i="25"/>
  <c r="G1816" i="25"/>
  <c r="D1817" i="25"/>
  <c r="G1817" i="25"/>
  <c r="D1818" i="25"/>
  <c r="G1818" i="25"/>
  <c r="G1819" i="25"/>
  <c r="D1820" i="25"/>
  <c r="G1820" i="25"/>
  <c r="D1821" i="25"/>
  <c r="G1821" i="25"/>
  <c r="D1822" i="25"/>
  <c r="G1822" i="25"/>
  <c r="D1823" i="25"/>
  <c r="G1823" i="25"/>
  <c r="D1824" i="25"/>
  <c r="G1824" i="25"/>
  <c r="D1825" i="25"/>
  <c r="G1825" i="25"/>
  <c r="D1826" i="25"/>
  <c r="G1826" i="25"/>
  <c r="D1827" i="25"/>
  <c r="G1827" i="25"/>
  <c r="D1828" i="25"/>
  <c r="G1828" i="25"/>
  <c r="D1829" i="25"/>
  <c r="G1829" i="25"/>
  <c r="D1830" i="25"/>
  <c r="G1830" i="25"/>
  <c r="D1831" i="25"/>
  <c r="G1831" i="25"/>
  <c r="D1832" i="25"/>
  <c r="G1832" i="25"/>
  <c r="D1833" i="25"/>
  <c r="G1833" i="25"/>
  <c r="D1834" i="25"/>
  <c r="G1834" i="25"/>
  <c r="D1835" i="25"/>
  <c r="G1835" i="25"/>
  <c r="D1836" i="25"/>
  <c r="G1836" i="25"/>
  <c r="D1837" i="25"/>
  <c r="G1837" i="25"/>
  <c r="D1838" i="25"/>
  <c r="G1838" i="25"/>
  <c r="D1839" i="25"/>
  <c r="E1839" i="25"/>
  <c r="G1839" i="25"/>
  <c r="D1840" i="25"/>
  <c r="G1840" i="25"/>
  <c r="D1841" i="25"/>
  <c r="G1841" i="25"/>
  <c r="G1842" i="25"/>
  <c r="D1843" i="25"/>
  <c r="G1843" i="25"/>
  <c r="D1844" i="25"/>
  <c r="G1844" i="25"/>
  <c r="G1845" i="25"/>
  <c r="D1846" i="25"/>
  <c r="G1846" i="25"/>
  <c r="D1847" i="25"/>
  <c r="G1847" i="25"/>
  <c r="D1848" i="25"/>
  <c r="G1848" i="25"/>
  <c r="D1849" i="25"/>
  <c r="G1849" i="25"/>
  <c r="D1850" i="25"/>
  <c r="G1850" i="25"/>
  <c r="D1851" i="25"/>
  <c r="G1851" i="25"/>
  <c r="G1852" i="25"/>
  <c r="D1853" i="25"/>
  <c r="G1853" i="25"/>
  <c r="G1854" i="25"/>
  <c r="D1855" i="25"/>
  <c r="G1855" i="25"/>
  <c r="D1856" i="25"/>
  <c r="G1856" i="25"/>
  <c r="D1857" i="25"/>
  <c r="G1857" i="25"/>
  <c r="G1858" i="25"/>
  <c r="D1859" i="25"/>
  <c r="G1859" i="25"/>
  <c r="D1860" i="25"/>
  <c r="G1860" i="25"/>
  <c r="G1861" i="25"/>
  <c r="D1862" i="25"/>
  <c r="G1862" i="25"/>
  <c r="G1863" i="25"/>
  <c r="D1864" i="25"/>
  <c r="G1864" i="25"/>
  <c r="D1865" i="25"/>
  <c r="G1865" i="25"/>
  <c r="D1866" i="25"/>
  <c r="G1866" i="25"/>
  <c r="D1867" i="25"/>
  <c r="G1867" i="25"/>
  <c r="D1868" i="25"/>
  <c r="G1868" i="25"/>
  <c r="D1869" i="25"/>
  <c r="G1869" i="25"/>
  <c r="D1870" i="25"/>
  <c r="G1870" i="25"/>
  <c r="D1871" i="25"/>
  <c r="G1871" i="25"/>
  <c r="D1872" i="25"/>
  <c r="G1872" i="25"/>
  <c r="D1873" i="25"/>
  <c r="G1873" i="25"/>
  <c r="G1874" i="25"/>
  <c r="D1875" i="25"/>
  <c r="G1875" i="25"/>
  <c r="D1876" i="25"/>
  <c r="G1876" i="25"/>
  <c r="D1877" i="25"/>
  <c r="G1877" i="25"/>
  <c r="D1878" i="25"/>
  <c r="G1878" i="25"/>
  <c r="G1879" i="25"/>
  <c r="G1880" i="25"/>
  <c r="G1881" i="25"/>
  <c r="D1882" i="25"/>
  <c r="G1882" i="25"/>
  <c r="D1883" i="25"/>
  <c r="G1883" i="25"/>
  <c r="D1884" i="25"/>
  <c r="G1884" i="25"/>
  <c r="D1885" i="25"/>
  <c r="G1885" i="25"/>
  <c r="G1886" i="25"/>
  <c r="G1887" i="25"/>
  <c r="D1888" i="25"/>
  <c r="G1888" i="25"/>
  <c r="D1889" i="25"/>
  <c r="G1889" i="25"/>
  <c r="D1890" i="25"/>
  <c r="G1890" i="25"/>
  <c r="D1891" i="25"/>
  <c r="G1891" i="25"/>
  <c r="D1892" i="25"/>
  <c r="G1892" i="25"/>
  <c r="G1893" i="25"/>
  <c r="D1894" i="25"/>
  <c r="G1894" i="25"/>
  <c r="G1895" i="25"/>
  <c r="D1896" i="25"/>
  <c r="G1896" i="25"/>
  <c r="D1897" i="25"/>
  <c r="G1897" i="25"/>
  <c r="D1898" i="25"/>
  <c r="G1898" i="25"/>
  <c r="D1899" i="25"/>
  <c r="G1899" i="25"/>
  <c r="D1900" i="25"/>
  <c r="G1900" i="25"/>
  <c r="D1901" i="25"/>
  <c r="G1901" i="25"/>
  <c r="D1902" i="25"/>
  <c r="G1902" i="25"/>
  <c r="G1903" i="25"/>
  <c r="G1904" i="25"/>
  <c r="D1905" i="25"/>
  <c r="G1905" i="25"/>
  <c r="D1906" i="25"/>
  <c r="G1906" i="25"/>
  <c r="D1907" i="25"/>
  <c r="G1907" i="25"/>
  <c r="D1908" i="25"/>
  <c r="G1908" i="25"/>
  <c r="D1909" i="25"/>
  <c r="G1909" i="25"/>
  <c r="D1910" i="25"/>
  <c r="G1910" i="25"/>
  <c r="D1911" i="25"/>
  <c r="G1911" i="25"/>
  <c r="D1912" i="25"/>
  <c r="G1912" i="25"/>
  <c r="D1913" i="25"/>
  <c r="G1913" i="25"/>
  <c r="D1914" i="25"/>
  <c r="G1914" i="25"/>
  <c r="D1915" i="25"/>
  <c r="G1915" i="25"/>
  <c r="G1916" i="25"/>
  <c r="D1917" i="25"/>
  <c r="G1917" i="25"/>
  <c r="D1918" i="25"/>
  <c r="G1918" i="25"/>
  <c r="D1919" i="25"/>
  <c r="G1919" i="25"/>
  <c r="D1920" i="25"/>
  <c r="G1920" i="25"/>
  <c r="D1921" i="25"/>
  <c r="G1921" i="25"/>
  <c r="D1922" i="25"/>
  <c r="G1922" i="25"/>
  <c r="D1923" i="25"/>
  <c r="G1923" i="25"/>
  <c r="G1924" i="25"/>
  <c r="D1925" i="25"/>
  <c r="G1925" i="25"/>
  <c r="D1926" i="25"/>
  <c r="G1926" i="25"/>
  <c r="G1927" i="25"/>
  <c r="D1928" i="25"/>
  <c r="G1928" i="25"/>
  <c r="D1929" i="25"/>
  <c r="G1929" i="25"/>
  <c r="D1930" i="25"/>
  <c r="G1930" i="25"/>
  <c r="D1931" i="25"/>
  <c r="G1931" i="25"/>
  <c r="G1932" i="25"/>
  <c r="D1933" i="25"/>
  <c r="G1933" i="25"/>
  <c r="D1934" i="25"/>
  <c r="G1934" i="25"/>
  <c r="D1935" i="25"/>
  <c r="G1935" i="25"/>
  <c r="D1936" i="25"/>
  <c r="G1936" i="25"/>
  <c r="D1937" i="25"/>
  <c r="G1937" i="25"/>
  <c r="D1938" i="25"/>
  <c r="G1938" i="25"/>
  <c r="G1939" i="25"/>
  <c r="D1940" i="25"/>
  <c r="G1940" i="25"/>
  <c r="G1941" i="25"/>
  <c r="G1942" i="25"/>
  <c r="G1943" i="25"/>
  <c r="D1944" i="25"/>
  <c r="G1944" i="25"/>
  <c r="D1945" i="25"/>
  <c r="G1945" i="25"/>
  <c r="D1946" i="25"/>
  <c r="G1946" i="25"/>
  <c r="D1947" i="25"/>
  <c r="G1947" i="25"/>
  <c r="D1948" i="25"/>
  <c r="G1948" i="25"/>
  <c r="D1949" i="25"/>
  <c r="G1949" i="25"/>
  <c r="D1950" i="25"/>
  <c r="G1950" i="25"/>
  <c r="G1951" i="25"/>
  <c r="D1952" i="25"/>
  <c r="G1952" i="25"/>
  <c r="G1953" i="25"/>
  <c r="D1954" i="25"/>
  <c r="G1954" i="25"/>
  <c r="D1955" i="25"/>
  <c r="G1955" i="25"/>
  <c r="G1956" i="25"/>
  <c r="D1957" i="25"/>
  <c r="G1957" i="25"/>
  <c r="D1958" i="25"/>
  <c r="G1958" i="25"/>
  <c r="D1959" i="25"/>
  <c r="G1959" i="25"/>
  <c r="D1960" i="25"/>
  <c r="G1960" i="25"/>
  <c r="D1961" i="25"/>
  <c r="G1961" i="25"/>
  <c r="G1962" i="25"/>
  <c r="D1963" i="25"/>
  <c r="G1963" i="25"/>
  <c r="D1964" i="25"/>
  <c r="G1964" i="25"/>
  <c r="D1965" i="25"/>
  <c r="G1965" i="25"/>
  <c r="D1966" i="25"/>
  <c r="G1966" i="25"/>
  <c r="D1967" i="25"/>
  <c r="G1967" i="25"/>
  <c r="G1968" i="25"/>
  <c r="G1969" i="25"/>
  <c r="D1970" i="25"/>
  <c r="G1970" i="25"/>
  <c r="D1971" i="25"/>
  <c r="G1971" i="25"/>
  <c r="D1972" i="25"/>
  <c r="G1972" i="25"/>
  <c r="D1973" i="25"/>
  <c r="G1973" i="25"/>
  <c r="D1974" i="25"/>
  <c r="G1974" i="25"/>
  <c r="D1975" i="25"/>
  <c r="G1975" i="25"/>
  <c r="D1976" i="25"/>
  <c r="G1976" i="25"/>
  <c r="D1977" i="25"/>
  <c r="G1977" i="25"/>
  <c r="G1978" i="25"/>
  <c r="D1979" i="25"/>
  <c r="G1979" i="25"/>
  <c r="D1980" i="25"/>
  <c r="G1980" i="25"/>
  <c r="D1981" i="25"/>
  <c r="G1981" i="25"/>
  <c r="D1982" i="25"/>
  <c r="G1982" i="25"/>
  <c r="D1983" i="25"/>
  <c r="G1983" i="25"/>
  <c r="G1984" i="25"/>
  <c r="G1985" i="25"/>
  <c r="D1986" i="25"/>
  <c r="G1986" i="25"/>
  <c r="D1987" i="25"/>
  <c r="G1987" i="25"/>
  <c r="D1988" i="25"/>
  <c r="G1988" i="25"/>
  <c r="D1989" i="25"/>
  <c r="G1989" i="25"/>
  <c r="D1990" i="25"/>
  <c r="G1990" i="25"/>
  <c r="D1991" i="25"/>
  <c r="G1991" i="25"/>
  <c r="D1992" i="25"/>
  <c r="G1992" i="25"/>
  <c r="D1993" i="25"/>
  <c r="G1993" i="25"/>
  <c r="D1994" i="25"/>
  <c r="G1994" i="25"/>
  <c r="D1995" i="25"/>
  <c r="G1995" i="25"/>
  <c r="G1996" i="25"/>
  <c r="D1997" i="25"/>
  <c r="G1997" i="25"/>
  <c r="D1998" i="25"/>
  <c r="G1998" i="25"/>
  <c r="D1999" i="25"/>
  <c r="G1999" i="25"/>
  <c r="D2000" i="25"/>
  <c r="G2000" i="25"/>
  <c r="G2001" i="25"/>
  <c r="G2002" i="25"/>
  <c r="G2003" i="25"/>
  <c r="G2004" i="25"/>
  <c r="D2005" i="25"/>
  <c r="G2005" i="25"/>
  <c r="D2006" i="25"/>
  <c r="G2006" i="25"/>
  <c r="D2007" i="25"/>
  <c r="G2007" i="25"/>
  <c r="D2008" i="25"/>
  <c r="G2008" i="25"/>
  <c r="D2009" i="25"/>
  <c r="G2009" i="25"/>
  <c r="D2010" i="25"/>
  <c r="G2010" i="25"/>
  <c r="D2011" i="25"/>
  <c r="G2011" i="25"/>
  <c r="D2012" i="25"/>
  <c r="G2012" i="25"/>
  <c r="D2013" i="25"/>
  <c r="G2013" i="25"/>
  <c r="D2014" i="25"/>
  <c r="G2014" i="25"/>
  <c r="G2015" i="25"/>
  <c r="G2016" i="25"/>
  <c r="G2017" i="25"/>
  <c r="D2018" i="25"/>
  <c r="G2018" i="25"/>
  <c r="D2019" i="25"/>
  <c r="G2019" i="25"/>
  <c r="D2020" i="25"/>
  <c r="G2020" i="25"/>
  <c r="D2021" i="25"/>
  <c r="G2021" i="25"/>
  <c r="G2022" i="25"/>
  <c r="D2023" i="25"/>
  <c r="G2023" i="25"/>
  <c r="D2024" i="25"/>
  <c r="G2024" i="25"/>
  <c r="D2025" i="25"/>
  <c r="G2025" i="25"/>
  <c r="D2026" i="25"/>
  <c r="G2026" i="25"/>
  <c r="D2027" i="25"/>
  <c r="G2027" i="25"/>
  <c r="G2028" i="25"/>
  <c r="D2029" i="25"/>
  <c r="G2029" i="25"/>
  <c r="D2030" i="25"/>
  <c r="G2030" i="25"/>
  <c r="D2031" i="25"/>
  <c r="G2031" i="25"/>
  <c r="D2032" i="25"/>
  <c r="G2032" i="25"/>
  <c r="D2033" i="25"/>
  <c r="G2033" i="25"/>
  <c r="G2034" i="25"/>
  <c r="D2035" i="25"/>
  <c r="G2035" i="25"/>
  <c r="D2036" i="25"/>
  <c r="G2036" i="25"/>
  <c r="G2037" i="25"/>
  <c r="G2038" i="25"/>
  <c r="D2039" i="25"/>
  <c r="G2039" i="25"/>
  <c r="D2040" i="25"/>
  <c r="G2040" i="25"/>
  <c r="D2041" i="25"/>
  <c r="G2041" i="25"/>
  <c r="D2042" i="25"/>
  <c r="G2042" i="25"/>
  <c r="D2043" i="25"/>
  <c r="G2043" i="25"/>
  <c r="D2044" i="25"/>
  <c r="G2044" i="25"/>
  <c r="D2045" i="25"/>
  <c r="G2045" i="25"/>
  <c r="D2046" i="25"/>
  <c r="G2046" i="25"/>
  <c r="D2047" i="25"/>
  <c r="G2047" i="25"/>
  <c r="D2048" i="25"/>
  <c r="G2048" i="25"/>
  <c r="G2049" i="25"/>
  <c r="G2050" i="25"/>
  <c r="G2051" i="25"/>
  <c r="D2052" i="25"/>
  <c r="G2052" i="25"/>
  <c r="D2053" i="25"/>
  <c r="G2053" i="25"/>
  <c r="D2054" i="25"/>
  <c r="G2054" i="25"/>
  <c r="D2055" i="25"/>
  <c r="G2055" i="25"/>
  <c r="D2056" i="25"/>
  <c r="G2056" i="25"/>
  <c r="D2057" i="25"/>
  <c r="G2057" i="25"/>
  <c r="D2058" i="25"/>
  <c r="G2058" i="25"/>
  <c r="G2059" i="25"/>
  <c r="G2060" i="25"/>
  <c r="G2061" i="25"/>
  <c r="D2062" i="25"/>
  <c r="G2062" i="25"/>
  <c r="D2063" i="25"/>
  <c r="G2063" i="25"/>
  <c r="D2064" i="25"/>
  <c r="G2064" i="25"/>
  <c r="D2065" i="25"/>
  <c r="G2065" i="25"/>
  <c r="D2066" i="25"/>
  <c r="G2066" i="25"/>
  <c r="D2067" i="25"/>
  <c r="G2067" i="25"/>
  <c r="D2068" i="25"/>
  <c r="G2068" i="25"/>
  <c r="G2069" i="25"/>
  <c r="G2070" i="25"/>
  <c r="D2071" i="25"/>
  <c r="G2071" i="25"/>
  <c r="D2072" i="25"/>
  <c r="G2072" i="25"/>
  <c r="D2073" i="25"/>
  <c r="G2073" i="25"/>
  <c r="G2074" i="25"/>
  <c r="D2075" i="25"/>
  <c r="G2075" i="25"/>
  <c r="D2076" i="25"/>
  <c r="G2076" i="25"/>
  <c r="D2077" i="25"/>
  <c r="G2077" i="25"/>
  <c r="D2078" i="25"/>
  <c r="G2078" i="25"/>
  <c r="D2079" i="25"/>
  <c r="G2079" i="25"/>
  <c r="G2080" i="25"/>
  <c r="D2081" i="25"/>
  <c r="G2081" i="25"/>
  <c r="G2082" i="25"/>
  <c r="E2083" i="25"/>
  <c r="G2083" i="25"/>
  <c r="D2084" i="25"/>
  <c r="G2084" i="25"/>
  <c r="D2085" i="25"/>
  <c r="G2085" i="25"/>
  <c r="D2086" i="25"/>
  <c r="G2086" i="25"/>
  <c r="G2087" i="25"/>
  <c r="G2088" i="25"/>
  <c r="G2089" i="25"/>
  <c r="D2090" i="25"/>
  <c r="G2090" i="25"/>
  <c r="D2091" i="25"/>
  <c r="G2091" i="25"/>
  <c r="D2092" i="25"/>
  <c r="G2092" i="25"/>
  <c r="D2093" i="25"/>
  <c r="G2093" i="25"/>
  <c r="D2094" i="25"/>
  <c r="G2094" i="25"/>
  <c r="D2095" i="25"/>
  <c r="G2095" i="25"/>
  <c r="D2096" i="25"/>
  <c r="G2096" i="25"/>
  <c r="D2097" i="25"/>
  <c r="G2097" i="25"/>
  <c r="G2098" i="25"/>
  <c r="G2099" i="25"/>
  <c r="D2100" i="25"/>
  <c r="G2100" i="25"/>
  <c r="D2101" i="25"/>
  <c r="G2101" i="25"/>
  <c r="D2102" i="25"/>
  <c r="G2102" i="25"/>
  <c r="D2103" i="25"/>
  <c r="G2103" i="25"/>
  <c r="D2104" i="25"/>
  <c r="G2104" i="25"/>
  <c r="G2105" i="25"/>
  <c r="D2106" i="25"/>
  <c r="G2106" i="25"/>
  <c r="D2107" i="25"/>
  <c r="G2107" i="25"/>
  <c r="D2108" i="25"/>
  <c r="G2108" i="25"/>
  <c r="D2109" i="25"/>
  <c r="G2109" i="25"/>
  <c r="D2110" i="25"/>
  <c r="G2110" i="25"/>
  <c r="D2111" i="25"/>
  <c r="G2111" i="25"/>
  <c r="D2112" i="25"/>
  <c r="G2112" i="25"/>
  <c r="D2113" i="25"/>
  <c r="G2113" i="25"/>
  <c r="D2114" i="25"/>
  <c r="G2114" i="25"/>
  <c r="D2115" i="25"/>
  <c r="G2115" i="25"/>
  <c r="D2116" i="25"/>
  <c r="G2116" i="25"/>
  <c r="D2117" i="25"/>
  <c r="G2117" i="25"/>
  <c r="G2118" i="25"/>
  <c r="G2119" i="25"/>
  <c r="D2120" i="25"/>
  <c r="G2120" i="25"/>
  <c r="D2121" i="25"/>
  <c r="G2121" i="25"/>
  <c r="D2122" i="25"/>
  <c r="G2122" i="25"/>
  <c r="G2123" i="25"/>
  <c r="D2124" i="25"/>
  <c r="G2124" i="25"/>
  <c r="G2125" i="25"/>
  <c r="D2126" i="25"/>
  <c r="G2126" i="25"/>
  <c r="D2127" i="25"/>
  <c r="G2127" i="25"/>
  <c r="D2128" i="25"/>
  <c r="G2128" i="25"/>
  <c r="D2129" i="25"/>
  <c r="G2129" i="25"/>
  <c r="D2130" i="25"/>
  <c r="G2130" i="25"/>
  <c r="D2131" i="25"/>
  <c r="G2131" i="25"/>
  <c r="D2132" i="25"/>
  <c r="G2132" i="25"/>
  <c r="D2133" i="25"/>
  <c r="G2133" i="25"/>
  <c r="D2134" i="25"/>
  <c r="G2134" i="25"/>
  <c r="D2135" i="25"/>
  <c r="G2135" i="25"/>
  <c r="D2136" i="25"/>
  <c r="G2136" i="25"/>
  <c r="D2137" i="25"/>
  <c r="G2137" i="25"/>
  <c r="D2138" i="25"/>
  <c r="G2138" i="25"/>
  <c r="D2139" i="25"/>
  <c r="G2139" i="25"/>
  <c r="D2140" i="25"/>
  <c r="G2140" i="25"/>
  <c r="D2141" i="25"/>
  <c r="G2141" i="25"/>
  <c r="D2142" i="25"/>
  <c r="G2142" i="25"/>
  <c r="G2143" i="25"/>
  <c r="D2144" i="25"/>
  <c r="G2144" i="25"/>
  <c r="D2145" i="25"/>
  <c r="G2145" i="25"/>
  <c r="D2146" i="25"/>
  <c r="G2146" i="25"/>
  <c r="D2147" i="25"/>
  <c r="G2147" i="25"/>
  <c r="D2148" i="25"/>
  <c r="G2148" i="25"/>
  <c r="D2149" i="25"/>
  <c r="G2149" i="25"/>
  <c r="D2150" i="25"/>
  <c r="G2150" i="25"/>
  <c r="D2151" i="25"/>
  <c r="G2151" i="25"/>
  <c r="G2152" i="25"/>
  <c r="D2153" i="25"/>
  <c r="G2153" i="25"/>
  <c r="G2154" i="25"/>
  <c r="G2155" i="25"/>
  <c r="D2156" i="25"/>
  <c r="G2156" i="25"/>
  <c r="D2157" i="25"/>
  <c r="G2157" i="25"/>
  <c r="G2158" i="25"/>
  <c r="D2159" i="25"/>
  <c r="G2159" i="25"/>
  <c r="D2160" i="25"/>
  <c r="G2160" i="25"/>
  <c r="G2161" i="25"/>
  <c r="D2162" i="25"/>
  <c r="G2162" i="25"/>
  <c r="D2163" i="25"/>
  <c r="G2163" i="25"/>
  <c r="D2164" i="25"/>
  <c r="G2164" i="25"/>
  <c r="D2165" i="25"/>
  <c r="G2165" i="25"/>
  <c r="D2166" i="25"/>
  <c r="G2166" i="25"/>
  <c r="D2167" i="25"/>
  <c r="G2167" i="25"/>
  <c r="D2168" i="25"/>
  <c r="G2168" i="25"/>
  <c r="D2169" i="25"/>
  <c r="G2169" i="25"/>
  <c r="D2170" i="25"/>
  <c r="G2170" i="25"/>
  <c r="D2171" i="25"/>
  <c r="G2171" i="25"/>
  <c r="D2172" i="25"/>
  <c r="G2172" i="25"/>
  <c r="G2173" i="25"/>
  <c r="D2174" i="25"/>
  <c r="G2174" i="25"/>
  <c r="D2175" i="25"/>
  <c r="G2175" i="25"/>
  <c r="D2176" i="25"/>
  <c r="G2176" i="25"/>
  <c r="D2177" i="25"/>
  <c r="G2177" i="25"/>
  <c r="D2178" i="25"/>
  <c r="G2178" i="25"/>
  <c r="D2179" i="25"/>
  <c r="G2179" i="25"/>
  <c r="D2180" i="25"/>
  <c r="G2180" i="25"/>
  <c r="G2181" i="25"/>
  <c r="G2182" i="25"/>
  <c r="G2183" i="25"/>
  <c r="G2184" i="25"/>
  <c r="G2185" i="25"/>
  <c r="G2186" i="25"/>
  <c r="G2187" i="25"/>
  <c r="D2188" i="25"/>
  <c r="G2188" i="25"/>
  <c r="D2189" i="25"/>
  <c r="G2189" i="25"/>
  <c r="D2190" i="25"/>
  <c r="G2190" i="25"/>
  <c r="D2191" i="25"/>
  <c r="G2191" i="25"/>
  <c r="D2192" i="25"/>
  <c r="G2192" i="25"/>
  <c r="D2193" i="25"/>
  <c r="G2193" i="25"/>
  <c r="D2194" i="25"/>
  <c r="G2194" i="25"/>
  <c r="D2195" i="25"/>
  <c r="G2195" i="25"/>
  <c r="G2196" i="25"/>
  <c r="G2197" i="25"/>
  <c r="G2198" i="25"/>
  <c r="G2199" i="25"/>
  <c r="G2200" i="25"/>
  <c r="G2201" i="25"/>
  <c r="G2202" i="25"/>
  <c r="D2203" i="25"/>
  <c r="G2203" i="25"/>
  <c r="D2204" i="25"/>
  <c r="G2204" i="25"/>
  <c r="D2205" i="25"/>
  <c r="G2205" i="25"/>
  <c r="D2206" i="25"/>
  <c r="G2206" i="25"/>
  <c r="D2207" i="25"/>
  <c r="G2207" i="25"/>
  <c r="D2208" i="25"/>
  <c r="G2208" i="25"/>
  <c r="D2209" i="25"/>
  <c r="G2209" i="25"/>
  <c r="D2210" i="25"/>
  <c r="G2210" i="25"/>
  <c r="D2211" i="25"/>
  <c r="G2211" i="25"/>
  <c r="D2212" i="25"/>
  <c r="G2212" i="25"/>
  <c r="D2213" i="25"/>
  <c r="G2213" i="25"/>
  <c r="G2214" i="25"/>
  <c r="D2215" i="25"/>
  <c r="G2215" i="25"/>
  <c r="D2216" i="25"/>
  <c r="G2216" i="25"/>
  <c r="D2217" i="25"/>
  <c r="G2217" i="25"/>
  <c r="D2218" i="25"/>
  <c r="G2218" i="25"/>
  <c r="D2219" i="25"/>
  <c r="G2219" i="25"/>
  <c r="D2220" i="25"/>
  <c r="G2220" i="25"/>
  <c r="D2221" i="25"/>
  <c r="G2221" i="25"/>
  <c r="D2222" i="25"/>
  <c r="G2222" i="25"/>
  <c r="G2223" i="25"/>
  <c r="G2224" i="25"/>
  <c r="G2225" i="25"/>
  <c r="G2226" i="25"/>
  <c r="D2227" i="25"/>
  <c r="G2227" i="25"/>
  <c r="D2228" i="25"/>
  <c r="G2228" i="25"/>
  <c r="D2229" i="25"/>
  <c r="G2229" i="25"/>
  <c r="G2230" i="25"/>
  <c r="G2231" i="25"/>
  <c r="G2232" i="25"/>
  <c r="G2233" i="25"/>
  <c r="D2234" i="25"/>
  <c r="G2234" i="25"/>
  <c r="D2235" i="25"/>
  <c r="G2235" i="25"/>
  <c r="D2236" i="25"/>
  <c r="G2236" i="25"/>
  <c r="D2237" i="25"/>
  <c r="G2237" i="25"/>
  <c r="G2238" i="25"/>
  <c r="G2239" i="25"/>
  <c r="D2240" i="25"/>
  <c r="G2240" i="25"/>
  <c r="D2241" i="25"/>
  <c r="G2241" i="25"/>
  <c r="D2242" i="25"/>
  <c r="G2242" i="25"/>
  <c r="D2243" i="25"/>
  <c r="G2243" i="25"/>
  <c r="D2244" i="25"/>
  <c r="G2244" i="25"/>
  <c r="D2245" i="25"/>
  <c r="G2245" i="25"/>
  <c r="D2246" i="25"/>
  <c r="G2246" i="25"/>
  <c r="D2247" i="25"/>
  <c r="G2247" i="25"/>
  <c r="D2248" i="25"/>
  <c r="G2248" i="25"/>
  <c r="G2249" i="25"/>
  <c r="G2250" i="25"/>
  <c r="D2251" i="25"/>
  <c r="G2251" i="25"/>
  <c r="D2252" i="25"/>
  <c r="G2252" i="25"/>
  <c r="D2253" i="25"/>
  <c r="G2253" i="25"/>
  <c r="D2254" i="25"/>
  <c r="G2254" i="25"/>
  <c r="D2255" i="25"/>
  <c r="G2255" i="25"/>
  <c r="G2256" i="25"/>
  <c r="G2257" i="25"/>
  <c r="G2258" i="25"/>
  <c r="G2259" i="25"/>
  <c r="G2260" i="25"/>
  <c r="D2261" i="25"/>
  <c r="G2261" i="25"/>
  <c r="D2262" i="25"/>
  <c r="G2262" i="25"/>
  <c r="D2263" i="25"/>
  <c r="G2263" i="25"/>
  <c r="D2264" i="25"/>
  <c r="G2264" i="25"/>
  <c r="D2265" i="25"/>
  <c r="G2265" i="25"/>
  <c r="D2266" i="25"/>
  <c r="G2266" i="25"/>
  <c r="D2267" i="25"/>
  <c r="G2267" i="25"/>
  <c r="D2268" i="25"/>
  <c r="G2268" i="25"/>
  <c r="D2269" i="25"/>
  <c r="G2269" i="25"/>
  <c r="E2270" i="25"/>
  <c r="G2270" i="25"/>
  <c r="D2271" i="25"/>
  <c r="G2271" i="25"/>
  <c r="D2272" i="25"/>
  <c r="G2272" i="25"/>
  <c r="D2273" i="25"/>
  <c r="G2273" i="25"/>
  <c r="D2274" i="25"/>
  <c r="G2274" i="25"/>
  <c r="G2275" i="25"/>
  <c r="D2276" i="25"/>
  <c r="G2276" i="25"/>
  <c r="D2277" i="25"/>
  <c r="G2277" i="25"/>
  <c r="D2278" i="25"/>
  <c r="G2278" i="25"/>
  <c r="D2279" i="25"/>
  <c r="G2279" i="25"/>
  <c r="D2280" i="25"/>
  <c r="G2280" i="25"/>
  <c r="D2281" i="25"/>
  <c r="G2281" i="25"/>
  <c r="D2282" i="25"/>
  <c r="G2282" i="25"/>
  <c r="D2283" i="25"/>
  <c r="G2283" i="25"/>
  <c r="E2284" i="25"/>
  <c r="G2284" i="25"/>
  <c r="D2285" i="25"/>
  <c r="G2285" i="25"/>
  <c r="D2286" i="25"/>
  <c r="G2286" i="25"/>
  <c r="D2287" i="25"/>
  <c r="G2287" i="25"/>
  <c r="G2288" i="25"/>
  <c r="G2289" i="25"/>
  <c r="G2290" i="25"/>
  <c r="D2291" i="25"/>
  <c r="G2291" i="25"/>
  <c r="G2292" i="25"/>
  <c r="G2293" i="25"/>
  <c r="D2294" i="25"/>
  <c r="G2294" i="25"/>
  <c r="G2295" i="25"/>
  <c r="D2296" i="25"/>
  <c r="G2296" i="25"/>
  <c r="D2297" i="25"/>
  <c r="G2297" i="25"/>
  <c r="D2298" i="25"/>
  <c r="G2298" i="25"/>
  <c r="G2299" i="25"/>
  <c r="D2300" i="25"/>
  <c r="G2300" i="25"/>
  <c r="D2301" i="25"/>
  <c r="G2301" i="25"/>
  <c r="D2302" i="25"/>
  <c r="G2302" i="25"/>
  <c r="D2303" i="25"/>
  <c r="G2303" i="25"/>
  <c r="G2304" i="25"/>
  <c r="D2305" i="25"/>
  <c r="G2305" i="25"/>
  <c r="G2306" i="25"/>
  <c r="G2307" i="25"/>
  <c r="G2308" i="25"/>
  <c r="D2309" i="25"/>
  <c r="G2309" i="25"/>
  <c r="D2310" i="25"/>
  <c r="G2310" i="25"/>
  <c r="D2311" i="25"/>
  <c r="G2311" i="25"/>
  <c r="D2312" i="25"/>
  <c r="G2312" i="25"/>
  <c r="D2313" i="25"/>
  <c r="G2313" i="25"/>
  <c r="D2314" i="25"/>
  <c r="G2314" i="25"/>
  <c r="D2315" i="25"/>
  <c r="G2315" i="25"/>
  <c r="D2316" i="25"/>
  <c r="G2316" i="25"/>
  <c r="D2317" i="25"/>
  <c r="G2317" i="25"/>
  <c r="D2318" i="25"/>
  <c r="G2318" i="25"/>
  <c r="D2319" i="25"/>
  <c r="G2319" i="25"/>
  <c r="D2320" i="25"/>
  <c r="G2320" i="25"/>
  <c r="D2321" i="25"/>
  <c r="G2321" i="25"/>
  <c r="D2322" i="25"/>
  <c r="G2322" i="25"/>
  <c r="D2323" i="25"/>
  <c r="G2323" i="25"/>
  <c r="D2324" i="25"/>
  <c r="G2324" i="25"/>
  <c r="D2325" i="25"/>
  <c r="G2325" i="25"/>
  <c r="D2326" i="25"/>
  <c r="G2326" i="25"/>
  <c r="D2327" i="25"/>
  <c r="G2327" i="25"/>
  <c r="D2328" i="25"/>
  <c r="G2328" i="25"/>
  <c r="D2329" i="25"/>
  <c r="G2329" i="25"/>
  <c r="D2330" i="25"/>
  <c r="G2330" i="25"/>
  <c r="D2331" i="25"/>
  <c r="G2331" i="25"/>
  <c r="D2332" i="25"/>
  <c r="G2332" i="25"/>
  <c r="D2333" i="25"/>
  <c r="G2333" i="25"/>
  <c r="D2334" i="25"/>
  <c r="G2334" i="25"/>
  <c r="D2335" i="25"/>
  <c r="G2335" i="25"/>
  <c r="D2336" i="25"/>
  <c r="G2336" i="25"/>
  <c r="D2337" i="25"/>
  <c r="G2337" i="25"/>
  <c r="D2338" i="25"/>
  <c r="G2338" i="25"/>
  <c r="D2339" i="25"/>
  <c r="G2339" i="25"/>
  <c r="D2340" i="25"/>
  <c r="G2340" i="25"/>
  <c r="D2341" i="25"/>
  <c r="G2341" i="25"/>
  <c r="D2342" i="25"/>
  <c r="G2342" i="25"/>
  <c r="D2343" i="25"/>
  <c r="G2343" i="25"/>
  <c r="D2344" i="25"/>
  <c r="G2344" i="25"/>
  <c r="D2345" i="25"/>
  <c r="G2345" i="25"/>
  <c r="D2346" i="25"/>
  <c r="G2346" i="25"/>
  <c r="D2347" i="25"/>
  <c r="G2347" i="25"/>
  <c r="D2348" i="25"/>
  <c r="G2348" i="25"/>
  <c r="D2349" i="25"/>
  <c r="G2349" i="25"/>
  <c r="D2350" i="25"/>
  <c r="G2350" i="25"/>
  <c r="D2351" i="25"/>
  <c r="G2351" i="25"/>
  <c r="D2352" i="25"/>
  <c r="G2352" i="25"/>
  <c r="G2353" i="25"/>
  <c r="G2354" i="25"/>
  <c r="G2355" i="25"/>
  <c r="D2356" i="25"/>
  <c r="G2356" i="25"/>
  <c r="D2357" i="25"/>
  <c r="G2357" i="25"/>
  <c r="D2358" i="25"/>
  <c r="G2358" i="25"/>
  <c r="D2359" i="25"/>
  <c r="G2359" i="25"/>
  <c r="D2360" i="25"/>
  <c r="G2360" i="25"/>
  <c r="D2361" i="25"/>
  <c r="G2361" i="25"/>
  <c r="D2362" i="25"/>
  <c r="G2362" i="25"/>
  <c r="D2363" i="25"/>
  <c r="G2363" i="25"/>
  <c r="D2364" i="25"/>
  <c r="G2364" i="25"/>
  <c r="D2365" i="25"/>
  <c r="G2365" i="25"/>
  <c r="D2366" i="25"/>
  <c r="G2366" i="25"/>
  <c r="D2367" i="25"/>
  <c r="G2367" i="25"/>
  <c r="D2368" i="25"/>
  <c r="G2368" i="25"/>
  <c r="D2369" i="25"/>
  <c r="G2369" i="25"/>
  <c r="D2370" i="25"/>
  <c r="G2370" i="25"/>
  <c r="D2371" i="25"/>
  <c r="G2371" i="25"/>
  <c r="D2372" i="25"/>
  <c r="G2372" i="25"/>
  <c r="D2373" i="25"/>
  <c r="G2373" i="25"/>
  <c r="D2374" i="25"/>
  <c r="G2374" i="25"/>
  <c r="D2375" i="25"/>
  <c r="G2375" i="25"/>
  <c r="D2376" i="25"/>
  <c r="G2376" i="25"/>
  <c r="D2377" i="25"/>
  <c r="G2377" i="25"/>
  <c r="D2378" i="25"/>
  <c r="G2378" i="25"/>
  <c r="D2379" i="25"/>
  <c r="G2379" i="25"/>
  <c r="D2380" i="25"/>
  <c r="G2380" i="25"/>
  <c r="D2381" i="25"/>
  <c r="G2381" i="25"/>
  <c r="D2382" i="25"/>
  <c r="G2382" i="25"/>
  <c r="D2383" i="25"/>
  <c r="G2383" i="25"/>
  <c r="D2384" i="25"/>
  <c r="G2384" i="25"/>
  <c r="D2385" i="25"/>
  <c r="G2385" i="25"/>
  <c r="D2386" i="25"/>
  <c r="G2386" i="25"/>
  <c r="D2387" i="25"/>
  <c r="G2387" i="25"/>
  <c r="D2388" i="25"/>
  <c r="G2388" i="25"/>
  <c r="D2389" i="25"/>
  <c r="G2389" i="25"/>
  <c r="D2390" i="25"/>
  <c r="G2390" i="25"/>
  <c r="D2391" i="25"/>
  <c r="G2391" i="25"/>
  <c r="D2392" i="25"/>
  <c r="G2392" i="25"/>
  <c r="D2393" i="25"/>
  <c r="G2393" i="25"/>
  <c r="D2394" i="25"/>
  <c r="G2394" i="25"/>
  <c r="D2395" i="25"/>
  <c r="G2395" i="25"/>
  <c r="D2396" i="25"/>
  <c r="G2396" i="25"/>
  <c r="D2397" i="25"/>
  <c r="G2397" i="25"/>
  <c r="D2398" i="25"/>
  <c r="G2398" i="25"/>
  <c r="G2399" i="25"/>
  <c r="G2400" i="25"/>
  <c r="D2401" i="25"/>
  <c r="G2401" i="25"/>
  <c r="D2402" i="25"/>
  <c r="G2402" i="25"/>
  <c r="D2403" i="25"/>
  <c r="G2403" i="25"/>
  <c r="D2404" i="25"/>
  <c r="G2404" i="25"/>
  <c r="D2405" i="25"/>
  <c r="G2405" i="25"/>
  <c r="G2406" i="25"/>
  <c r="G2407" i="25"/>
  <c r="G2408" i="25"/>
  <c r="G2409" i="25"/>
  <c r="G2410" i="25"/>
  <c r="D2411" i="25"/>
  <c r="G2411" i="25"/>
  <c r="D2412" i="25"/>
  <c r="G2412" i="25"/>
  <c r="D2413" i="25"/>
  <c r="G2413" i="25"/>
  <c r="D2414" i="25"/>
  <c r="G2414" i="25"/>
  <c r="G2415" i="25"/>
  <c r="D2416" i="25"/>
  <c r="G2416" i="25"/>
  <c r="D2417" i="25"/>
  <c r="G2417" i="25"/>
  <c r="D2418" i="25"/>
  <c r="G2418" i="25"/>
  <c r="D2419" i="25"/>
  <c r="G2419" i="25"/>
  <c r="G2420" i="25"/>
  <c r="D2421" i="25"/>
  <c r="G2421" i="25"/>
  <c r="D2422" i="25"/>
  <c r="G2422" i="25"/>
  <c r="D2423" i="25"/>
  <c r="G2423" i="25"/>
  <c r="G2424" i="25"/>
  <c r="D2425" i="25"/>
  <c r="G2425" i="25"/>
  <c r="D2426" i="25"/>
  <c r="G2426" i="25"/>
  <c r="D2427" i="25"/>
  <c r="G2427" i="25"/>
  <c r="D2428" i="25"/>
  <c r="G2428" i="25"/>
  <c r="D2429" i="25"/>
  <c r="G2429" i="25"/>
  <c r="G2430" i="25"/>
  <c r="D2431" i="25"/>
  <c r="G2431" i="25"/>
  <c r="D2432" i="25"/>
  <c r="G2432" i="25"/>
  <c r="D2433" i="25"/>
  <c r="G2433" i="25"/>
  <c r="G2434" i="25"/>
  <c r="G2435" i="25"/>
  <c r="D2436" i="25"/>
  <c r="G2436" i="25"/>
  <c r="D2437" i="25"/>
  <c r="G2437" i="25"/>
  <c r="D2438" i="25"/>
  <c r="G2438" i="25"/>
  <c r="G2439" i="25"/>
  <c r="G2440" i="25"/>
  <c r="D2441" i="25"/>
  <c r="G2441" i="25"/>
  <c r="D2442" i="25"/>
  <c r="G2442" i="25"/>
  <c r="D2443" i="25"/>
  <c r="G2443" i="25"/>
  <c r="D2444" i="25"/>
  <c r="G2444" i="25"/>
  <c r="D2445" i="25"/>
  <c r="G2445" i="25"/>
  <c r="D2446" i="25"/>
  <c r="G2446" i="25"/>
  <c r="D2447" i="25"/>
  <c r="G2447" i="25"/>
  <c r="D2448" i="25"/>
  <c r="G2448" i="25"/>
  <c r="D2449" i="25"/>
  <c r="G2449" i="25"/>
  <c r="D2450" i="25"/>
  <c r="G2450" i="25"/>
  <c r="D2451" i="25"/>
  <c r="G2451" i="25"/>
  <c r="G2452" i="25"/>
  <c r="D2453" i="25"/>
  <c r="G2453" i="25"/>
  <c r="D2454" i="25"/>
  <c r="G2454" i="25"/>
  <c r="D2455" i="25"/>
  <c r="G2455" i="25"/>
  <c r="D2456" i="25"/>
  <c r="G2456" i="25"/>
  <c r="D2457" i="25"/>
  <c r="G2457" i="25"/>
  <c r="D2458" i="25"/>
  <c r="G2458" i="25"/>
  <c r="D2459" i="25"/>
  <c r="G2459" i="25"/>
  <c r="D2460" i="25"/>
  <c r="G2460" i="25"/>
  <c r="D2461" i="25"/>
  <c r="G2461" i="25"/>
  <c r="D2462" i="25"/>
  <c r="G2462" i="25"/>
  <c r="D2463" i="25"/>
  <c r="G2463" i="25"/>
  <c r="D2464" i="25"/>
  <c r="G2464" i="25"/>
  <c r="G2465" i="25"/>
  <c r="D2466" i="25"/>
  <c r="G2466" i="25"/>
  <c r="D2467" i="25"/>
  <c r="G2467" i="25"/>
  <c r="D2468" i="25"/>
  <c r="G2468" i="25"/>
  <c r="D2469" i="25"/>
  <c r="G2469" i="25"/>
  <c r="D2470" i="25"/>
  <c r="G2470" i="25"/>
  <c r="D2471" i="25"/>
  <c r="G2471" i="25"/>
  <c r="D2472" i="25"/>
  <c r="G2472" i="25"/>
  <c r="D2473" i="25"/>
  <c r="G2473" i="25"/>
  <c r="D2474" i="25"/>
  <c r="G2474" i="25"/>
  <c r="D2475" i="25"/>
  <c r="G2475" i="25"/>
  <c r="D2476" i="25"/>
  <c r="G2476" i="25"/>
  <c r="D2477" i="25"/>
  <c r="G2477" i="25"/>
  <c r="D2478" i="25"/>
  <c r="G2478" i="25"/>
  <c r="D2479" i="25"/>
  <c r="G2479" i="25"/>
  <c r="G2480" i="25"/>
  <c r="D2481" i="25"/>
  <c r="G2481" i="25"/>
  <c r="D2482" i="25"/>
  <c r="G2482" i="25"/>
  <c r="D2483" i="25"/>
  <c r="G2483" i="25"/>
  <c r="D2484" i="25"/>
  <c r="G2484" i="25"/>
  <c r="D2485" i="25"/>
  <c r="G2485" i="25"/>
  <c r="D2486" i="25"/>
  <c r="G2486" i="25"/>
  <c r="D2487" i="25"/>
  <c r="G2487" i="25"/>
  <c r="D2488" i="25"/>
  <c r="G2488" i="25"/>
  <c r="D2489" i="25"/>
  <c r="G2489" i="25"/>
  <c r="G2490" i="25"/>
  <c r="G2491" i="25"/>
  <c r="D2492" i="25"/>
  <c r="G2492" i="25"/>
  <c r="D2493" i="25"/>
  <c r="G2493" i="25"/>
  <c r="D2494" i="25"/>
  <c r="G2494" i="25"/>
  <c r="D2495" i="25"/>
  <c r="G2495" i="25"/>
  <c r="D2496" i="25"/>
  <c r="G2496" i="25"/>
  <c r="D2497" i="25"/>
  <c r="G2497" i="25"/>
  <c r="D2498" i="25"/>
  <c r="G2498" i="25"/>
  <c r="D2499" i="25"/>
  <c r="G2499" i="25"/>
  <c r="D2500" i="25"/>
  <c r="G2500" i="25"/>
  <c r="D2501" i="25"/>
  <c r="G2501" i="25"/>
  <c r="D2502" i="25"/>
  <c r="G2502" i="25"/>
  <c r="D2503" i="25"/>
  <c r="G2503" i="25"/>
  <c r="D2504" i="25"/>
  <c r="G2504" i="25"/>
  <c r="D2505" i="25"/>
  <c r="G2505" i="25"/>
  <c r="D2506" i="25"/>
  <c r="G2506" i="25"/>
  <c r="D2507" i="25"/>
  <c r="G2507" i="25"/>
  <c r="G2508" i="25"/>
  <c r="G2509" i="25"/>
  <c r="D2510" i="25"/>
  <c r="G2510" i="25"/>
  <c r="D2511" i="25"/>
  <c r="G2511" i="25"/>
  <c r="D2512" i="25"/>
  <c r="G2512" i="25"/>
  <c r="D2513" i="25"/>
  <c r="G2513" i="25"/>
  <c r="D2514" i="25"/>
  <c r="G2514" i="25"/>
  <c r="D2515" i="25"/>
  <c r="G2515" i="25"/>
  <c r="D2516" i="25"/>
  <c r="G2516" i="25"/>
  <c r="D2517" i="25"/>
  <c r="G2517" i="25"/>
  <c r="D2518" i="25"/>
  <c r="G2518" i="25"/>
  <c r="D2519" i="25"/>
  <c r="G2519" i="25"/>
  <c r="D2520" i="25"/>
  <c r="G2520" i="25"/>
  <c r="D2521" i="25"/>
  <c r="G2521" i="25"/>
  <c r="D2522" i="25"/>
  <c r="G2522" i="25"/>
  <c r="D2523" i="25"/>
  <c r="G2523" i="25"/>
  <c r="D2524" i="25"/>
  <c r="G2524" i="25"/>
  <c r="D2525" i="25"/>
  <c r="G2525" i="25"/>
  <c r="D2526" i="25"/>
  <c r="G2526" i="25"/>
  <c r="D2527" i="25"/>
  <c r="G2527" i="25"/>
  <c r="D2528" i="25"/>
  <c r="G2528" i="25"/>
  <c r="D2529" i="25"/>
  <c r="G2529" i="25"/>
  <c r="G2530" i="25"/>
  <c r="G2531" i="25"/>
  <c r="D2532" i="25"/>
  <c r="G2532" i="25"/>
  <c r="D2533" i="25"/>
  <c r="G2533" i="25"/>
  <c r="D2534" i="25"/>
  <c r="G2534" i="25"/>
  <c r="D2535" i="25"/>
  <c r="G2535" i="25"/>
  <c r="D2536" i="25"/>
  <c r="G2536" i="25"/>
  <c r="D2537" i="25"/>
  <c r="G2537" i="25"/>
  <c r="G2538" i="25"/>
  <c r="G2539" i="25"/>
  <c r="D2540" i="25"/>
  <c r="G2540" i="25"/>
  <c r="D2541" i="25"/>
  <c r="G2541" i="25"/>
  <c r="D2542" i="25"/>
  <c r="G2542" i="25"/>
  <c r="D2543" i="25"/>
  <c r="G2543" i="25"/>
  <c r="D2544" i="25"/>
  <c r="G2544" i="25"/>
  <c r="D2545" i="25"/>
  <c r="G2545" i="25"/>
  <c r="G2546" i="25"/>
  <c r="D2547" i="25"/>
  <c r="G2547" i="25"/>
  <c r="D2548" i="25"/>
  <c r="G2548" i="25"/>
  <c r="D2549" i="25"/>
  <c r="G2549" i="25"/>
  <c r="D2550" i="25"/>
  <c r="G2550" i="25"/>
  <c r="D2551" i="25"/>
  <c r="G2551" i="25"/>
  <c r="D2552" i="25"/>
  <c r="G2552" i="25"/>
  <c r="D2553" i="25"/>
  <c r="G2553" i="25"/>
  <c r="D2554" i="25"/>
  <c r="G2554" i="25"/>
  <c r="D2555" i="25"/>
  <c r="G2555" i="25"/>
  <c r="D2556" i="25"/>
  <c r="G2556" i="25"/>
  <c r="G2557" i="25"/>
  <c r="G2558" i="25"/>
  <c r="D2559" i="25"/>
  <c r="G2559" i="25"/>
  <c r="D2560" i="25"/>
  <c r="G2560" i="25"/>
  <c r="D2561" i="25"/>
  <c r="G2561" i="25"/>
  <c r="D2562" i="25"/>
  <c r="G2562" i="25"/>
  <c r="D2563" i="25"/>
  <c r="G2563" i="25"/>
  <c r="D2564" i="25"/>
  <c r="G2564" i="25"/>
  <c r="D2565" i="25"/>
  <c r="G2565" i="25"/>
  <c r="D2566" i="25"/>
  <c r="G2566" i="25"/>
  <c r="D2567" i="25"/>
  <c r="G2567" i="25"/>
  <c r="D2568" i="25"/>
  <c r="G2568" i="25"/>
  <c r="D2569" i="25"/>
  <c r="G2569" i="25"/>
  <c r="D2570" i="25"/>
  <c r="G2570" i="25"/>
  <c r="D2571" i="25"/>
  <c r="G2571" i="25"/>
  <c r="D2572" i="25"/>
  <c r="G2572" i="25"/>
  <c r="D2573" i="25"/>
  <c r="G2573" i="25"/>
  <c r="D2574" i="25"/>
  <c r="G2574" i="25"/>
  <c r="D2575" i="25"/>
  <c r="G2575" i="25"/>
  <c r="G2576" i="25"/>
  <c r="D2577" i="25"/>
  <c r="G2577" i="25"/>
  <c r="D2578" i="25"/>
  <c r="G2578" i="25"/>
  <c r="D2579" i="25"/>
  <c r="G2579" i="25"/>
  <c r="D2580" i="25"/>
  <c r="G2580" i="25"/>
  <c r="D2581" i="25"/>
  <c r="G2581" i="25"/>
  <c r="D2582" i="25"/>
  <c r="G2582" i="25"/>
  <c r="D2583" i="25"/>
  <c r="G2583" i="25"/>
  <c r="D2584" i="25"/>
  <c r="G2584" i="25"/>
  <c r="D2585" i="25"/>
  <c r="G2585" i="25"/>
  <c r="D2586" i="25"/>
  <c r="G2586" i="25"/>
  <c r="D2587" i="25"/>
  <c r="G2587" i="25"/>
  <c r="D2588" i="25"/>
  <c r="G2588" i="25"/>
  <c r="D2589" i="25"/>
  <c r="G2589" i="25"/>
  <c r="D2590" i="25"/>
  <c r="G2590" i="25"/>
  <c r="D2591" i="25"/>
  <c r="G2591" i="25"/>
  <c r="D2592" i="25"/>
  <c r="G2592" i="25"/>
  <c r="D2593" i="25"/>
  <c r="G2593" i="25"/>
  <c r="D2594" i="25"/>
  <c r="G2594" i="25"/>
  <c r="D2595" i="25"/>
  <c r="G2595" i="25"/>
  <c r="D2596" i="25"/>
  <c r="G2596" i="25"/>
  <c r="D2597" i="25"/>
  <c r="G2597" i="25"/>
  <c r="D2598" i="25"/>
  <c r="G2598" i="25"/>
  <c r="D2599" i="25"/>
  <c r="G2599" i="25"/>
  <c r="D2600" i="25"/>
  <c r="G2600" i="25"/>
  <c r="D2601" i="25"/>
  <c r="G2601" i="25"/>
  <c r="D2602" i="25"/>
  <c r="G2602" i="25"/>
  <c r="D2603" i="25"/>
  <c r="G2603" i="25"/>
  <c r="G2604" i="25"/>
  <c r="D2605" i="25"/>
  <c r="G2605" i="25"/>
  <c r="D2606" i="25"/>
  <c r="G2606" i="25"/>
  <c r="D2607" i="25"/>
  <c r="G2607" i="25"/>
  <c r="D2608" i="25"/>
  <c r="G2608" i="25"/>
  <c r="D2609" i="25"/>
  <c r="G2609" i="25"/>
  <c r="G2610" i="25"/>
  <c r="D2611" i="25"/>
  <c r="G2611" i="25"/>
  <c r="D2612" i="25"/>
  <c r="G2612" i="25"/>
  <c r="D2613" i="25"/>
  <c r="G2613" i="25"/>
  <c r="D2614" i="25"/>
  <c r="G2614" i="25"/>
  <c r="D2615" i="25"/>
  <c r="G2615" i="25"/>
  <c r="D2616" i="25"/>
  <c r="G2616" i="25"/>
  <c r="D2617" i="25"/>
  <c r="G2617" i="25"/>
  <c r="D2618" i="25"/>
  <c r="G2618" i="25"/>
  <c r="D2619" i="25"/>
  <c r="G2619" i="25"/>
  <c r="D2620" i="25"/>
  <c r="G2620" i="25"/>
  <c r="D2621" i="25"/>
  <c r="G2621" i="25"/>
  <c r="D2622" i="25"/>
  <c r="G2622" i="25"/>
  <c r="D2623" i="25"/>
  <c r="G2623" i="25"/>
  <c r="G2624" i="25"/>
  <c r="D2625" i="25"/>
  <c r="G2625" i="25"/>
  <c r="D2626" i="25"/>
  <c r="G2626" i="25"/>
  <c r="D2627" i="25"/>
  <c r="G2627" i="25"/>
  <c r="D2628" i="25"/>
  <c r="G2628" i="25"/>
  <c r="D2629" i="25"/>
  <c r="G2629" i="25"/>
  <c r="D2630" i="25"/>
  <c r="G2630" i="25"/>
  <c r="D2631" i="25"/>
  <c r="G2631" i="25"/>
  <c r="D2632" i="25"/>
  <c r="G2632" i="25"/>
  <c r="D2633" i="25"/>
  <c r="G2633" i="25"/>
  <c r="D2634" i="25"/>
  <c r="G2634" i="25"/>
  <c r="D2635" i="25"/>
  <c r="G2635" i="25"/>
  <c r="D2636" i="25"/>
  <c r="G2636" i="25"/>
  <c r="D2637" i="25"/>
  <c r="G2637" i="25"/>
  <c r="G2638" i="25"/>
  <c r="G2639" i="25"/>
  <c r="D2640" i="25"/>
  <c r="G2640" i="25"/>
  <c r="D2641" i="25"/>
  <c r="G2641" i="25"/>
  <c r="D2642" i="25"/>
  <c r="G2642" i="25"/>
  <c r="D2643" i="25"/>
  <c r="G2643" i="25"/>
  <c r="D2644" i="25"/>
  <c r="G2644" i="25"/>
  <c r="D2645" i="25"/>
  <c r="G2645" i="25"/>
  <c r="D2646" i="25"/>
  <c r="G2646" i="25"/>
  <c r="D2647" i="25"/>
  <c r="G2647" i="25"/>
  <c r="D2648" i="25"/>
  <c r="G2648" i="25"/>
  <c r="G2649" i="25"/>
  <c r="D2650" i="25"/>
  <c r="G2650" i="25"/>
  <c r="D2651" i="25"/>
  <c r="G2651" i="25"/>
  <c r="D2652" i="25"/>
  <c r="G2652" i="25"/>
  <c r="D2653" i="25"/>
  <c r="G2653" i="25"/>
  <c r="D2654" i="25"/>
  <c r="G2654" i="25"/>
  <c r="G2655" i="25"/>
  <c r="G2656" i="25"/>
  <c r="G2657" i="25"/>
  <c r="D2658" i="25"/>
  <c r="G2658" i="25"/>
  <c r="D2659" i="25"/>
  <c r="G2659" i="25"/>
  <c r="D2660" i="25"/>
  <c r="G2660" i="25"/>
  <c r="D2661" i="25"/>
  <c r="G2661" i="25"/>
  <c r="G2662" i="25"/>
  <c r="D2663" i="25"/>
  <c r="G2663" i="25"/>
  <c r="D2664" i="25"/>
  <c r="G2664" i="25"/>
  <c r="D2665" i="25"/>
  <c r="G2665" i="25"/>
  <c r="D2666" i="25"/>
  <c r="G2666" i="25"/>
  <c r="D2667" i="25"/>
  <c r="G2667" i="25"/>
  <c r="D2668" i="25"/>
  <c r="G2668" i="25"/>
  <c r="D2669" i="25"/>
  <c r="G2669" i="25"/>
  <c r="D2670" i="25"/>
  <c r="G2670" i="25"/>
  <c r="D2671" i="25"/>
  <c r="G2671" i="25"/>
  <c r="G2672" i="25"/>
  <c r="G2673" i="25"/>
  <c r="D2674" i="25"/>
  <c r="G2674" i="25"/>
  <c r="D2675" i="25"/>
  <c r="G2675" i="25"/>
  <c r="D2676" i="25"/>
  <c r="G2676" i="25"/>
  <c r="D2677" i="25"/>
  <c r="G2677" i="25"/>
  <c r="D2678" i="25"/>
  <c r="G2678" i="25"/>
  <c r="D2679" i="25"/>
  <c r="G2679" i="25"/>
  <c r="D2680" i="25"/>
  <c r="G2680" i="25"/>
  <c r="D2681" i="25"/>
  <c r="G2681" i="25"/>
  <c r="G2682" i="25"/>
  <c r="G2683" i="25"/>
  <c r="D2684" i="25"/>
  <c r="G2684" i="25"/>
  <c r="D2685" i="25"/>
  <c r="G2685" i="25"/>
  <c r="D2686" i="25"/>
  <c r="G2686" i="25"/>
  <c r="D2687" i="25"/>
  <c r="G2687" i="25"/>
  <c r="D2688" i="25"/>
  <c r="G2688" i="25"/>
  <c r="D2689" i="25"/>
  <c r="G2689" i="25"/>
  <c r="D2690" i="25"/>
  <c r="G2690" i="25"/>
  <c r="D2691" i="25"/>
  <c r="G2691" i="25"/>
  <c r="G2692" i="25"/>
  <c r="D2693" i="25"/>
  <c r="G2693" i="25"/>
  <c r="D2694" i="25"/>
  <c r="G2694" i="25"/>
  <c r="D2695" i="25"/>
  <c r="G2695" i="25"/>
  <c r="D2696" i="25"/>
  <c r="G2696" i="25"/>
  <c r="D2697" i="25"/>
  <c r="G2697" i="25"/>
  <c r="D2698" i="25"/>
  <c r="G2698" i="25"/>
  <c r="G2699" i="25"/>
  <c r="G2700" i="25"/>
  <c r="G2701" i="25"/>
  <c r="D2702" i="25"/>
  <c r="G2702" i="25"/>
  <c r="D2703" i="25"/>
  <c r="G2703" i="25"/>
  <c r="D2704" i="25"/>
  <c r="G2704" i="25"/>
  <c r="D2705" i="25"/>
  <c r="G2705" i="25"/>
  <c r="D2706" i="25"/>
  <c r="G2706" i="25"/>
  <c r="D2707" i="25"/>
  <c r="G2707" i="25"/>
  <c r="D2708" i="25"/>
  <c r="G2708" i="25"/>
  <c r="D2709" i="25"/>
  <c r="G2709" i="25"/>
  <c r="G2710" i="25"/>
  <c r="D2711" i="25"/>
  <c r="G2711" i="25"/>
  <c r="D2712" i="25"/>
  <c r="G2712" i="25"/>
  <c r="G2713" i="25"/>
  <c r="D2714" i="25"/>
  <c r="G2714" i="25"/>
  <c r="D2715" i="25"/>
  <c r="G2715" i="25"/>
  <c r="D2716" i="25"/>
  <c r="G2716" i="25"/>
  <c r="D2717" i="25"/>
  <c r="G2717" i="25"/>
  <c r="G2718" i="25"/>
  <c r="D2719" i="25"/>
  <c r="G2719" i="25"/>
  <c r="D2720" i="25"/>
  <c r="G2720" i="25"/>
  <c r="D2721" i="25"/>
  <c r="G2721" i="25"/>
  <c r="D2722" i="25"/>
  <c r="G2722" i="25"/>
  <c r="D2723" i="25"/>
  <c r="G2723" i="25"/>
  <c r="G2724" i="25"/>
  <c r="D2725" i="25"/>
  <c r="G2725" i="25"/>
  <c r="D2726" i="25"/>
  <c r="G2726" i="25"/>
  <c r="D2727" i="25"/>
  <c r="G2727" i="25"/>
  <c r="D2728" i="25"/>
  <c r="G2728" i="25"/>
  <c r="D2729" i="25"/>
  <c r="G2729" i="25"/>
  <c r="D2730" i="25"/>
  <c r="G2730" i="25"/>
  <c r="G2731" i="25"/>
  <c r="G2732" i="25"/>
  <c r="G2733" i="25"/>
  <c r="G2734" i="25"/>
  <c r="D2735" i="25"/>
  <c r="G2735" i="25"/>
  <c r="D2736" i="25"/>
  <c r="G2736" i="25"/>
  <c r="D2737" i="25"/>
  <c r="G2737" i="25"/>
  <c r="D2738" i="25"/>
  <c r="G2738" i="25"/>
  <c r="D2739" i="25"/>
  <c r="G2739" i="25"/>
  <c r="D2740" i="25"/>
  <c r="G2740" i="25"/>
  <c r="D2741" i="25"/>
  <c r="G2741" i="25"/>
  <c r="D2742" i="25"/>
  <c r="G2742" i="25"/>
  <c r="D2743" i="25"/>
  <c r="G2743" i="25"/>
  <c r="D2744" i="25"/>
  <c r="G2744" i="25"/>
  <c r="D2745" i="25"/>
  <c r="G2745" i="25"/>
  <c r="D2746" i="25"/>
  <c r="G2746" i="25"/>
  <c r="D2747" i="25"/>
  <c r="G2747" i="25"/>
  <c r="D2748" i="25"/>
  <c r="G2748" i="25"/>
  <c r="D2749" i="25"/>
  <c r="G2749" i="25"/>
  <c r="D2750" i="25"/>
  <c r="G2750" i="25"/>
  <c r="D2751" i="25"/>
  <c r="G2751" i="25"/>
  <c r="D2752" i="25"/>
  <c r="G2752" i="25"/>
  <c r="D2753" i="25"/>
  <c r="G2753" i="25"/>
  <c r="D2754" i="25"/>
  <c r="G2754" i="25"/>
  <c r="D2755" i="25"/>
  <c r="G2755" i="25"/>
  <c r="D2756" i="25"/>
  <c r="G2756" i="25"/>
  <c r="D2757" i="25"/>
  <c r="G2757" i="25"/>
  <c r="G2758" i="25"/>
  <c r="G2759" i="25"/>
  <c r="G2760" i="25"/>
  <c r="D2761" i="25"/>
  <c r="G2761" i="25"/>
  <c r="D2762" i="25"/>
  <c r="G2762" i="25"/>
  <c r="D2763" i="25"/>
  <c r="G2763" i="25"/>
  <c r="D2764" i="25"/>
  <c r="G2764" i="25"/>
  <c r="D2765" i="25"/>
  <c r="G2765" i="25"/>
  <c r="D2766" i="25"/>
  <c r="G2766" i="25"/>
  <c r="G2767" i="25"/>
  <c r="G2768" i="25"/>
  <c r="D2769" i="25"/>
  <c r="G2769" i="25"/>
  <c r="D2770" i="25"/>
  <c r="G2770" i="25"/>
  <c r="D2771" i="25"/>
  <c r="G2771" i="25"/>
  <c r="D2772" i="25"/>
  <c r="G2772" i="25"/>
  <c r="D2773" i="25"/>
  <c r="G2773" i="25"/>
  <c r="D2774" i="25"/>
  <c r="G2774" i="25"/>
  <c r="D2775" i="25"/>
  <c r="G2775" i="25"/>
  <c r="D2776" i="25"/>
  <c r="G2776" i="25"/>
  <c r="D2777" i="25"/>
  <c r="G2777" i="25"/>
  <c r="D2778" i="25"/>
  <c r="G2778" i="25"/>
  <c r="D2779" i="25"/>
  <c r="G2779" i="25"/>
  <c r="D2780" i="25"/>
  <c r="G2780" i="25"/>
  <c r="G2781" i="25"/>
  <c r="G2782" i="25"/>
  <c r="D2783" i="25"/>
  <c r="G2783" i="25"/>
  <c r="D2784" i="25"/>
  <c r="G2784" i="25"/>
  <c r="D2785" i="25"/>
  <c r="G2785" i="25"/>
  <c r="D2786" i="25"/>
  <c r="G2786" i="25"/>
  <c r="D2787" i="25"/>
  <c r="G2787" i="25"/>
  <c r="D2788" i="25"/>
  <c r="G2788" i="25"/>
  <c r="D2789" i="25"/>
  <c r="G2789" i="25"/>
  <c r="D2790" i="25"/>
  <c r="G2790" i="25"/>
  <c r="D2791" i="25"/>
  <c r="G2791" i="25"/>
  <c r="D2792" i="25"/>
  <c r="G2792" i="25"/>
  <c r="D2793" i="25"/>
  <c r="G2793" i="25"/>
  <c r="D2794" i="25"/>
  <c r="G2794" i="25"/>
  <c r="D2795" i="25"/>
  <c r="G2795" i="25"/>
  <c r="G2796" i="25"/>
  <c r="D2797" i="25"/>
  <c r="G2797" i="25"/>
  <c r="D2798" i="25"/>
  <c r="G2798" i="25"/>
  <c r="D2799" i="25"/>
  <c r="G2799" i="25"/>
  <c r="D2800" i="25"/>
  <c r="G2800" i="25"/>
  <c r="G2801" i="25"/>
  <c r="G2802" i="25"/>
  <c r="G2803" i="25"/>
  <c r="D2804" i="25"/>
  <c r="G2804" i="25"/>
  <c r="D2805" i="25"/>
  <c r="G2805" i="25"/>
  <c r="D2806" i="25"/>
  <c r="G2806" i="25"/>
  <c r="D2807" i="25"/>
  <c r="G2807" i="25"/>
  <c r="D2808" i="25"/>
  <c r="G2808" i="25"/>
  <c r="D2809" i="25"/>
  <c r="G2809" i="25"/>
  <c r="G2810" i="25"/>
  <c r="D2811" i="25"/>
  <c r="G2811" i="25"/>
  <c r="D2812" i="25"/>
  <c r="G2812" i="25"/>
  <c r="D2813" i="25"/>
  <c r="G2813" i="25"/>
  <c r="D2814" i="25"/>
  <c r="G2814" i="25"/>
  <c r="D2815" i="25"/>
  <c r="G2815" i="25"/>
  <c r="G2816" i="25"/>
  <c r="D2817" i="25"/>
  <c r="G2817" i="25"/>
  <c r="D2818" i="25"/>
  <c r="G2818" i="25"/>
  <c r="D2819" i="25"/>
  <c r="G2819" i="25"/>
  <c r="D2820" i="25"/>
  <c r="G2820" i="25"/>
  <c r="D2821" i="25"/>
  <c r="G2821" i="25"/>
  <c r="G2822" i="25"/>
  <c r="D2823" i="25"/>
  <c r="G2823" i="25"/>
  <c r="D2824" i="25"/>
  <c r="G2824" i="25"/>
  <c r="D2825" i="25"/>
  <c r="G2825" i="25"/>
  <c r="D2826" i="25"/>
  <c r="G2826" i="25"/>
  <c r="D2827" i="25"/>
  <c r="G2827" i="25"/>
  <c r="G2828" i="25"/>
  <c r="D2829" i="25"/>
  <c r="G2829" i="25"/>
  <c r="D2830" i="25"/>
  <c r="G2830" i="25"/>
  <c r="D2831" i="25"/>
  <c r="G2831" i="25"/>
  <c r="D2832" i="25"/>
  <c r="G2832" i="25"/>
  <c r="D2833" i="25"/>
  <c r="G2833" i="25"/>
  <c r="D2834" i="25"/>
  <c r="G2834" i="25"/>
  <c r="D2835" i="25"/>
  <c r="G2835" i="25"/>
  <c r="D2836" i="25"/>
  <c r="G2836" i="25"/>
  <c r="G2837" i="25"/>
  <c r="D2838" i="25"/>
  <c r="G2838" i="25"/>
  <c r="D2839" i="25"/>
  <c r="G2839" i="25"/>
  <c r="D2840" i="25"/>
  <c r="G2840" i="25"/>
  <c r="G2841" i="25"/>
  <c r="G2842" i="25"/>
  <c r="D2843" i="25"/>
  <c r="G2843" i="25"/>
  <c r="D2844" i="25"/>
  <c r="G2844" i="25"/>
  <c r="G2845" i="25"/>
  <c r="D2846" i="25"/>
  <c r="G2846" i="25"/>
  <c r="D2847" i="25"/>
  <c r="G2847" i="25"/>
  <c r="D2848" i="25"/>
  <c r="G2848" i="25"/>
  <c r="D2849" i="25"/>
  <c r="G2849" i="25"/>
  <c r="D2850" i="25"/>
  <c r="G2850" i="25"/>
  <c r="D2851" i="25"/>
  <c r="G2851" i="25"/>
  <c r="D2852" i="25"/>
  <c r="G2852" i="25"/>
  <c r="D2853" i="25"/>
  <c r="G2853" i="25"/>
  <c r="D2854" i="25"/>
  <c r="G2854" i="25"/>
  <c r="D2855" i="25"/>
  <c r="G2855" i="25"/>
  <c r="D2856" i="25"/>
  <c r="G2856" i="25"/>
  <c r="D2857" i="25"/>
  <c r="G2857" i="25"/>
  <c r="D2858" i="25"/>
  <c r="G2858" i="25"/>
  <c r="D2859" i="25"/>
  <c r="G2859" i="25"/>
  <c r="D2860" i="25"/>
  <c r="G2860" i="25"/>
  <c r="D2861" i="25"/>
  <c r="G2861" i="25"/>
  <c r="G2862" i="25"/>
  <c r="G2863" i="25"/>
  <c r="D2864" i="25"/>
  <c r="G2864" i="25"/>
  <c r="D2865" i="25"/>
  <c r="G2865" i="25"/>
  <c r="D2866" i="25"/>
  <c r="G2866" i="25"/>
  <c r="G2867" i="25"/>
  <c r="D2868" i="25"/>
  <c r="G2868" i="25"/>
  <c r="D2869" i="25"/>
  <c r="G2869" i="25"/>
  <c r="D2870" i="25"/>
  <c r="G2870" i="25"/>
  <c r="D2871" i="25"/>
  <c r="G2871" i="25"/>
  <c r="G2872" i="25"/>
  <c r="D2873" i="25"/>
  <c r="G2873" i="25"/>
  <c r="D2874" i="25"/>
  <c r="G2874" i="25"/>
  <c r="D2875" i="25"/>
  <c r="G2875" i="25"/>
  <c r="D2876" i="25"/>
  <c r="G2876" i="25"/>
  <c r="G2877" i="25"/>
  <c r="G2878" i="25"/>
  <c r="D2879" i="25"/>
  <c r="G2879" i="25"/>
  <c r="D2880" i="25"/>
  <c r="G2880" i="25"/>
  <c r="D2881" i="25"/>
  <c r="G2881" i="25"/>
  <c r="D2882" i="25"/>
  <c r="G2882" i="25"/>
  <c r="D2883" i="25"/>
  <c r="G2883" i="25"/>
  <c r="D2884" i="25"/>
  <c r="G2884" i="25"/>
  <c r="G2885" i="25"/>
  <c r="D2886" i="25"/>
  <c r="G2886" i="25"/>
  <c r="D2887" i="25"/>
  <c r="G2887" i="25"/>
  <c r="D2888" i="25"/>
  <c r="G2888" i="25"/>
  <c r="D2889" i="25"/>
  <c r="G2889" i="25"/>
  <c r="D2890" i="25"/>
  <c r="G2890" i="25"/>
  <c r="G2891" i="25"/>
  <c r="D2892" i="25"/>
  <c r="G2892" i="25"/>
  <c r="D2893" i="25"/>
  <c r="G2893" i="25"/>
  <c r="D2894" i="25"/>
  <c r="G2894" i="25"/>
  <c r="G2895" i="25"/>
  <c r="G2896" i="25"/>
  <c r="G2897" i="25"/>
  <c r="D2898" i="25"/>
  <c r="G2898" i="25"/>
  <c r="D2899" i="25"/>
  <c r="G2899" i="25"/>
  <c r="D2900" i="25"/>
  <c r="G2900" i="25"/>
  <c r="D2901" i="25"/>
  <c r="G2901" i="25"/>
  <c r="G2902" i="25"/>
  <c r="D2903" i="25"/>
  <c r="G2903" i="25"/>
  <c r="D2904" i="25"/>
  <c r="G2904" i="25"/>
  <c r="D2905" i="25"/>
  <c r="G2905" i="25"/>
  <c r="G2906" i="25"/>
  <c r="D2907" i="25"/>
  <c r="G2907" i="25"/>
  <c r="D2908" i="25"/>
  <c r="G2908" i="25"/>
  <c r="D2909" i="25"/>
  <c r="G2909" i="25"/>
  <c r="D2910" i="25"/>
  <c r="G2910" i="25"/>
  <c r="D2911" i="25"/>
  <c r="G2911" i="25"/>
  <c r="D2912" i="25"/>
  <c r="G2912" i="25"/>
  <c r="D2913" i="25"/>
  <c r="G2913" i="25"/>
  <c r="D2914" i="25"/>
  <c r="G2914" i="25"/>
  <c r="G2915" i="25"/>
  <c r="G2916" i="25"/>
  <c r="G2917" i="25"/>
  <c r="D2918" i="25"/>
  <c r="G2918" i="25"/>
  <c r="D2919" i="25"/>
  <c r="G2919" i="25"/>
  <c r="G2920" i="25"/>
  <c r="G2921" i="25"/>
  <c r="D2922" i="25"/>
  <c r="G2922" i="25"/>
  <c r="D2923" i="25"/>
  <c r="G2923" i="25"/>
  <c r="D2924" i="25"/>
  <c r="G2924" i="25"/>
  <c r="D2925" i="25"/>
  <c r="G2925" i="25"/>
  <c r="D2926" i="25"/>
  <c r="G2926" i="25"/>
  <c r="D2927" i="25"/>
  <c r="G2927" i="25"/>
  <c r="G2928" i="25"/>
  <c r="G2929" i="25"/>
  <c r="D2930" i="25"/>
  <c r="G2930" i="25"/>
  <c r="D2931" i="25"/>
  <c r="G2931" i="25"/>
  <c r="D2932" i="25"/>
  <c r="G2932" i="25"/>
  <c r="D2933" i="25"/>
  <c r="G2933" i="25"/>
  <c r="D2934" i="25"/>
  <c r="G2934" i="25"/>
  <c r="D2935" i="25"/>
  <c r="G2935" i="25"/>
  <c r="D2936" i="25"/>
  <c r="G2936" i="25"/>
  <c r="D2937" i="25"/>
  <c r="G2937" i="25"/>
  <c r="D2938" i="25"/>
  <c r="G2938" i="25"/>
  <c r="G2939" i="25"/>
  <c r="D2940" i="25"/>
  <c r="G2940" i="25"/>
  <c r="D2941" i="25"/>
  <c r="G2941" i="25"/>
  <c r="D2942" i="25"/>
  <c r="G2942" i="25"/>
  <c r="G2943" i="25"/>
  <c r="D2944" i="25"/>
  <c r="G2944" i="25"/>
  <c r="D2945" i="25"/>
  <c r="G2945" i="25"/>
  <c r="D2946" i="25"/>
  <c r="G2946" i="25"/>
  <c r="G2947" i="25"/>
  <c r="G2948" i="25"/>
  <c r="D2949" i="25"/>
  <c r="G2949" i="25"/>
  <c r="D2950" i="25"/>
  <c r="G2950" i="25"/>
  <c r="D2951" i="25"/>
  <c r="G2951" i="25"/>
  <c r="D2952" i="25"/>
  <c r="G2952" i="25"/>
  <c r="D2953" i="25"/>
  <c r="G2953" i="25"/>
  <c r="D2954" i="25"/>
  <c r="G2954" i="25"/>
  <c r="D2955" i="25"/>
  <c r="G2955" i="25"/>
  <c r="D2956" i="25"/>
  <c r="G2956" i="25"/>
  <c r="D2957" i="25"/>
  <c r="G2957" i="25"/>
  <c r="D2958" i="25"/>
  <c r="G2958" i="25"/>
  <c r="G2959" i="25"/>
  <c r="D2960" i="25"/>
  <c r="G2960" i="25"/>
  <c r="G2961" i="25"/>
  <c r="D2962" i="25"/>
  <c r="G2962" i="25"/>
  <c r="D2963" i="25"/>
  <c r="G2963" i="25"/>
  <c r="D2964" i="25"/>
  <c r="G2964" i="25"/>
  <c r="D2965" i="25"/>
  <c r="G2965" i="25"/>
  <c r="D2966" i="25"/>
  <c r="G2966" i="25"/>
  <c r="D2967" i="25"/>
  <c r="G2967" i="25"/>
  <c r="D2968" i="25"/>
  <c r="G2968" i="25"/>
  <c r="D2969" i="25"/>
  <c r="G2969" i="25"/>
  <c r="D2970" i="25"/>
  <c r="G2970" i="25"/>
  <c r="D2971" i="25"/>
  <c r="G2971" i="25"/>
  <c r="D2972" i="25"/>
  <c r="G2972" i="25"/>
  <c r="G2973" i="25"/>
  <c r="D2974" i="25"/>
  <c r="G2974" i="25"/>
  <c r="D2975" i="25"/>
  <c r="G2975" i="25"/>
  <c r="D2976" i="25"/>
  <c r="G2976" i="25"/>
  <c r="D2977" i="25"/>
  <c r="G2977" i="25"/>
  <c r="D2978" i="25"/>
  <c r="G2978" i="25"/>
  <c r="D2979" i="25"/>
  <c r="G2979" i="25"/>
  <c r="G2980" i="25"/>
  <c r="D2981" i="25"/>
  <c r="G2981" i="25"/>
  <c r="G2982" i="25"/>
  <c r="G2983" i="25"/>
  <c r="D2984" i="25"/>
  <c r="G2984" i="25"/>
  <c r="D2985" i="25"/>
  <c r="G2985" i="25"/>
  <c r="D2986" i="25"/>
  <c r="G2986" i="25"/>
  <c r="G2987" i="25"/>
  <c r="D2988" i="25"/>
  <c r="G2988" i="25"/>
  <c r="G2989" i="25"/>
  <c r="G2990" i="25"/>
  <c r="D2991" i="25"/>
  <c r="G2991" i="25"/>
  <c r="D2992" i="25"/>
  <c r="G2992" i="25"/>
  <c r="D2993" i="25"/>
  <c r="G2993" i="25"/>
  <c r="D2994" i="25"/>
  <c r="G2994" i="25"/>
  <c r="D2995" i="25"/>
  <c r="G2995" i="25"/>
  <c r="G2996" i="25"/>
  <c r="G2997" i="25"/>
  <c r="G2998" i="25"/>
  <c r="D2999" i="25"/>
  <c r="G2999" i="25"/>
  <c r="D3000" i="25"/>
  <c r="G3000" i="25"/>
  <c r="D3001" i="25"/>
  <c r="G3001" i="25"/>
  <c r="D3002" i="25"/>
  <c r="G3002" i="25"/>
  <c r="D3003" i="25"/>
  <c r="G3003" i="25"/>
  <c r="D3004" i="25"/>
  <c r="G3004" i="25"/>
  <c r="D3005" i="25"/>
  <c r="G3005" i="25"/>
  <c r="D3006" i="25"/>
  <c r="G3006" i="25"/>
  <c r="D3007" i="25"/>
  <c r="G3007" i="25"/>
  <c r="D3008" i="25"/>
  <c r="G3008" i="25"/>
  <c r="D3009" i="25"/>
  <c r="G3009" i="25"/>
  <c r="G3010" i="25"/>
  <c r="D3011" i="25"/>
  <c r="G3011" i="25"/>
  <c r="D3012" i="25"/>
  <c r="G3012" i="25"/>
  <c r="D3013" i="25"/>
  <c r="G3013" i="25"/>
  <c r="D3014" i="25"/>
  <c r="G3014" i="25"/>
  <c r="D3015" i="25"/>
  <c r="G3015" i="25"/>
  <c r="D3016" i="25"/>
  <c r="G3016" i="25"/>
  <c r="D3017" i="25"/>
  <c r="G3017" i="25"/>
  <c r="D3018" i="25"/>
  <c r="G3018" i="25"/>
  <c r="D3019" i="25"/>
  <c r="G3019" i="25"/>
  <c r="D3020" i="25"/>
  <c r="G3020" i="25"/>
  <c r="D3021" i="25"/>
  <c r="G3021" i="25"/>
  <c r="D3022" i="25"/>
  <c r="G3022" i="25"/>
  <c r="D3023" i="25"/>
  <c r="G3023" i="25"/>
  <c r="D3024" i="25"/>
  <c r="G3024" i="25"/>
  <c r="D3025" i="25"/>
  <c r="G3025" i="25"/>
  <c r="D3026" i="25"/>
  <c r="G3026" i="25"/>
  <c r="D3027" i="25"/>
  <c r="G3027" i="25"/>
  <c r="G3028" i="25"/>
  <c r="G3029" i="25"/>
  <c r="D3030" i="25"/>
  <c r="G3030" i="25"/>
  <c r="D3031" i="25"/>
  <c r="G3031" i="25"/>
  <c r="G3032" i="25"/>
  <c r="G3033" i="25"/>
  <c r="D3034" i="25"/>
  <c r="G3034" i="25"/>
  <c r="D3035" i="25"/>
  <c r="G3035" i="25"/>
  <c r="G3036" i="25"/>
  <c r="D3037" i="25"/>
  <c r="G3037" i="25"/>
  <c r="D3038" i="25"/>
  <c r="G3038" i="25"/>
  <c r="D3039" i="25"/>
  <c r="G3039" i="25"/>
  <c r="D3040" i="25"/>
  <c r="G3040" i="25"/>
  <c r="D3041" i="25"/>
  <c r="G3041" i="25"/>
  <c r="D3042" i="25"/>
  <c r="G3042" i="25"/>
  <c r="D3043" i="25"/>
  <c r="G3043" i="25"/>
  <c r="D3044" i="25"/>
  <c r="G3044" i="25"/>
  <c r="D3045" i="25"/>
  <c r="G3045" i="25"/>
  <c r="D3046" i="25"/>
  <c r="G3046" i="25"/>
  <c r="D3047" i="25"/>
  <c r="G3047" i="25"/>
  <c r="D3048" i="25"/>
  <c r="G3048" i="25"/>
  <c r="D3049" i="25"/>
  <c r="G3049" i="25"/>
  <c r="D3050" i="25"/>
  <c r="G3050" i="25"/>
  <c r="D3051" i="25"/>
  <c r="G3051" i="25"/>
  <c r="D3052" i="25"/>
  <c r="G3052" i="25"/>
  <c r="G3053" i="25"/>
  <c r="D3054" i="25"/>
  <c r="G3054" i="25"/>
  <c r="D3055" i="25"/>
  <c r="G3055" i="25"/>
  <c r="D3056" i="25"/>
  <c r="G3056" i="25"/>
  <c r="D3057" i="25"/>
  <c r="G3057" i="25"/>
  <c r="G3058" i="25"/>
  <c r="G3059" i="25"/>
  <c r="D3060" i="25"/>
  <c r="G3060" i="25"/>
  <c r="D3061" i="25"/>
  <c r="G3061" i="25"/>
  <c r="D3062" i="25"/>
  <c r="G3062" i="25"/>
  <c r="D3063" i="25"/>
  <c r="G3063" i="25"/>
  <c r="G3064" i="25"/>
  <c r="D3065" i="25"/>
  <c r="G3065" i="25"/>
  <c r="G3066" i="25"/>
  <c r="D3067" i="25"/>
  <c r="G3067" i="25"/>
  <c r="D3068" i="25"/>
  <c r="G3068" i="25"/>
  <c r="D3069" i="25"/>
  <c r="G3069" i="25"/>
  <c r="D3070" i="25"/>
  <c r="G3070" i="25"/>
  <c r="D3071" i="25"/>
  <c r="G3071" i="25"/>
  <c r="G3072" i="25"/>
  <c r="D3073" i="25"/>
  <c r="G3073" i="25"/>
  <c r="D3074" i="25"/>
  <c r="G3074" i="25"/>
  <c r="D3075" i="25"/>
  <c r="G3075" i="25"/>
  <c r="G3076" i="25"/>
  <c r="D3077" i="25"/>
  <c r="G3077" i="25"/>
  <c r="G3078" i="25"/>
  <c r="D3079" i="25"/>
  <c r="G3079" i="25"/>
  <c r="D3080" i="25"/>
  <c r="G3080" i="25"/>
  <c r="D3081" i="25"/>
  <c r="G3081" i="25"/>
  <c r="D3082" i="25"/>
  <c r="G3082" i="25"/>
  <c r="D3083" i="25"/>
  <c r="G3083" i="25"/>
  <c r="D3084" i="25"/>
  <c r="G3084" i="25"/>
  <c r="D3085" i="25"/>
  <c r="G3085" i="25"/>
  <c r="D3086" i="25"/>
  <c r="G3086" i="25"/>
  <c r="D3087" i="25"/>
  <c r="G3087" i="25"/>
  <c r="G3088" i="25"/>
  <c r="D3089" i="25"/>
  <c r="G3089" i="25"/>
  <c r="G3090" i="25"/>
  <c r="D3091" i="25"/>
  <c r="G3091" i="25"/>
  <c r="D3092" i="25"/>
  <c r="G3092" i="25"/>
  <c r="D3093" i="25"/>
  <c r="G3093" i="25"/>
  <c r="D3094" i="25"/>
  <c r="G3094" i="25"/>
  <c r="G3095" i="25"/>
  <c r="D3096" i="25"/>
  <c r="G3096" i="25"/>
  <c r="D3097" i="25"/>
  <c r="G3097" i="25"/>
  <c r="D3098" i="25"/>
  <c r="G3098" i="25"/>
  <c r="D3099" i="25"/>
  <c r="G3099" i="25"/>
  <c r="D3100" i="25"/>
  <c r="G3100" i="25"/>
  <c r="D3101" i="25"/>
  <c r="G3101" i="25"/>
  <c r="D3102" i="25"/>
  <c r="G3102" i="25"/>
  <c r="D3103" i="25"/>
  <c r="G3103" i="25"/>
  <c r="D3104" i="25"/>
  <c r="G3104" i="25"/>
  <c r="G3105" i="25"/>
  <c r="D3106" i="25"/>
  <c r="G3106" i="25"/>
  <c r="D3107" i="25"/>
  <c r="G3107" i="25"/>
  <c r="G3108" i="25"/>
  <c r="G3109" i="25"/>
  <c r="D3110" i="25"/>
  <c r="G3110" i="25"/>
  <c r="D3111" i="25"/>
  <c r="G3111" i="25"/>
  <c r="D3112" i="25"/>
  <c r="G3112" i="25"/>
  <c r="D3113" i="25"/>
  <c r="G3113" i="25"/>
  <c r="D3114" i="25"/>
  <c r="G3114" i="25"/>
  <c r="D3115" i="25"/>
  <c r="G3115" i="25"/>
  <c r="D3116" i="25"/>
  <c r="G3116" i="25"/>
  <c r="G3117" i="25"/>
  <c r="D3118" i="25"/>
  <c r="G3118" i="25"/>
  <c r="D3119" i="25"/>
  <c r="G3119" i="25"/>
  <c r="D3120" i="25"/>
  <c r="G3120" i="25"/>
  <c r="D3121" i="25"/>
  <c r="G3121" i="25"/>
  <c r="D3122" i="25"/>
  <c r="G3122" i="25"/>
  <c r="D3123" i="25"/>
  <c r="G3123" i="25"/>
  <c r="G3124" i="25"/>
  <c r="D3125" i="25"/>
  <c r="G3125" i="25"/>
  <c r="G3126" i="25"/>
  <c r="D3127" i="25"/>
  <c r="G3127" i="25"/>
  <c r="D3128" i="25"/>
  <c r="G3128" i="25"/>
  <c r="D3129" i="25"/>
  <c r="G3129" i="25"/>
  <c r="D3130" i="25"/>
  <c r="G3130" i="25"/>
  <c r="D3131" i="25"/>
  <c r="G3131" i="25"/>
  <c r="G3132" i="25"/>
  <c r="D3133" i="25"/>
  <c r="G3133" i="25"/>
  <c r="D3134" i="25"/>
  <c r="G3134" i="25"/>
  <c r="D3135" i="25"/>
  <c r="G3135" i="25"/>
  <c r="D3136" i="25"/>
  <c r="G3136" i="25"/>
  <c r="D3137" i="25"/>
  <c r="G3137" i="25"/>
  <c r="D3138" i="25"/>
  <c r="G3138" i="25"/>
  <c r="D3139" i="25"/>
  <c r="G3139" i="25"/>
  <c r="D3140" i="25"/>
  <c r="G3140" i="25"/>
  <c r="D3141" i="25"/>
  <c r="G3141" i="25"/>
  <c r="D3142" i="25"/>
  <c r="G3142" i="25"/>
  <c r="G3143" i="25"/>
  <c r="G3144" i="25"/>
  <c r="G3145" i="25"/>
  <c r="G3146" i="25"/>
  <c r="G3147" i="25"/>
  <c r="D3148" i="25"/>
  <c r="G3148" i="25"/>
  <c r="D3149" i="25"/>
  <c r="G3149" i="25"/>
  <c r="D3150" i="25"/>
  <c r="G3150" i="25"/>
  <c r="G3151" i="25"/>
  <c r="D3152" i="25"/>
  <c r="G3152" i="25"/>
  <c r="D3153" i="25"/>
  <c r="G3153" i="25"/>
  <c r="D3154" i="25"/>
  <c r="G3154" i="25"/>
  <c r="D3155" i="25"/>
  <c r="G3155" i="25"/>
  <c r="D3156" i="25"/>
  <c r="G3156" i="25"/>
  <c r="D3157" i="25"/>
  <c r="G3157" i="25"/>
  <c r="D3158" i="25"/>
  <c r="G3158" i="25"/>
  <c r="D3159" i="25"/>
  <c r="G3159" i="25"/>
  <c r="D3160" i="25"/>
  <c r="G3160" i="25"/>
  <c r="D3161" i="25"/>
  <c r="G3161" i="25"/>
  <c r="G3162" i="25"/>
  <c r="D3163" i="25"/>
  <c r="G3163" i="25"/>
  <c r="D3164" i="25"/>
  <c r="G3164" i="25"/>
  <c r="D3165" i="25"/>
  <c r="G3165" i="25"/>
  <c r="D3166" i="25"/>
  <c r="G3166" i="25"/>
  <c r="D3167" i="25"/>
  <c r="G3167" i="25"/>
  <c r="D3168" i="25"/>
  <c r="G3168" i="25"/>
  <c r="D3169" i="25"/>
  <c r="G3169" i="25"/>
  <c r="D3170" i="25"/>
  <c r="G3170" i="25"/>
  <c r="D3171" i="25"/>
  <c r="G3171" i="25"/>
  <c r="D3172" i="25"/>
  <c r="G3172" i="25"/>
  <c r="D3173" i="25"/>
  <c r="G3173" i="25"/>
  <c r="G3174" i="25"/>
  <c r="G3175" i="25"/>
  <c r="D3176" i="25"/>
  <c r="G3176" i="25"/>
  <c r="D3177" i="25"/>
  <c r="G3177" i="25"/>
  <c r="D3178" i="25"/>
  <c r="G3178" i="25"/>
  <c r="D3179" i="25"/>
  <c r="G3179" i="25"/>
  <c r="D3180" i="25"/>
  <c r="G3180" i="25"/>
  <c r="D3181" i="25"/>
  <c r="G3181" i="25"/>
  <c r="D3182" i="25"/>
  <c r="G3182" i="25"/>
  <c r="D3183" i="25"/>
  <c r="G3183" i="25"/>
  <c r="D3184" i="25"/>
  <c r="G3184" i="25"/>
  <c r="G3185" i="25"/>
  <c r="D3186" i="25"/>
  <c r="G3186" i="25"/>
  <c r="D3187" i="25"/>
  <c r="G3187" i="25"/>
  <c r="D3188" i="25"/>
  <c r="G3188" i="25"/>
  <c r="D3189" i="25"/>
  <c r="G3189" i="25"/>
  <c r="D3190" i="25"/>
  <c r="G3190" i="25"/>
  <c r="G3191" i="25"/>
  <c r="G3192" i="25"/>
  <c r="G3193" i="25"/>
  <c r="D3194" i="25"/>
  <c r="G3194" i="25"/>
  <c r="D3195" i="25"/>
  <c r="G3195" i="25"/>
  <c r="D3196" i="25"/>
  <c r="G3196" i="25"/>
  <c r="D3197" i="25"/>
  <c r="G3197" i="25"/>
  <c r="D3198" i="25"/>
  <c r="G3198" i="25"/>
  <c r="D3199" i="25"/>
  <c r="G3199" i="25"/>
  <c r="G3200" i="25"/>
  <c r="D3201" i="25"/>
  <c r="G3201" i="25"/>
  <c r="D3202" i="25"/>
  <c r="G3202" i="25"/>
  <c r="D3203" i="25"/>
  <c r="G3203" i="25"/>
  <c r="D3204" i="25"/>
  <c r="G3204" i="25"/>
  <c r="D3205" i="25"/>
  <c r="G3205" i="25"/>
  <c r="D3206" i="25"/>
  <c r="G3206" i="25"/>
  <c r="D3207" i="25"/>
  <c r="G3207" i="25"/>
  <c r="D3208" i="25"/>
  <c r="G3208" i="25"/>
  <c r="D3209" i="25"/>
  <c r="G3209" i="25"/>
  <c r="D3210" i="25"/>
  <c r="G3210" i="25"/>
  <c r="D3211" i="25"/>
  <c r="G3211" i="25"/>
  <c r="D3212" i="25"/>
  <c r="G3212" i="25"/>
  <c r="D3213" i="25"/>
  <c r="G3213" i="25"/>
  <c r="D3214" i="25"/>
  <c r="G3214" i="25"/>
  <c r="D3215" i="25"/>
  <c r="G3215" i="25"/>
  <c r="D3216" i="25"/>
  <c r="G3216" i="25"/>
  <c r="D3217" i="25"/>
  <c r="G3217" i="25"/>
  <c r="D3218" i="25"/>
  <c r="G3218" i="25"/>
  <c r="D3219" i="25"/>
  <c r="G3219" i="25"/>
  <c r="D3220" i="25"/>
  <c r="G3220" i="25"/>
  <c r="D3221" i="25"/>
  <c r="G3221" i="25"/>
  <c r="D3222" i="25"/>
  <c r="G3222" i="25"/>
  <c r="G3223" i="25"/>
  <c r="D3224" i="25"/>
  <c r="G3224" i="25"/>
  <c r="D3225" i="25"/>
  <c r="G3225" i="25"/>
  <c r="D3226" i="25"/>
  <c r="G3226" i="25"/>
  <c r="D3227" i="25"/>
  <c r="G3227" i="25"/>
  <c r="D3228" i="25"/>
  <c r="G3228" i="25"/>
  <c r="D3229" i="25"/>
  <c r="G3229" i="25"/>
  <c r="G3230" i="25"/>
  <c r="D3231" i="25"/>
  <c r="G3231" i="25"/>
  <c r="D3232" i="25"/>
  <c r="G3232" i="25"/>
  <c r="G3233" i="25"/>
  <c r="D3234" i="25"/>
  <c r="G3234" i="25"/>
  <c r="D3235" i="25"/>
  <c r="G3235" i="25"/>
  <c r="G3236" i="25"/>
  <c r="D3237" i="25"/>
  <c r="G3237" i="25"/>
  <c r="D3238" i="25"/>
  <c r="G3238" i="25"/>
  <c r="D3239" i="25"/>
  <c r="G3239" i="25"/>
  <c r="D3240" i="25"/>
  <c r="G3240" i="25"/>
  <c r="D3241" i="25"/>
  <c r="G3241" i="25"/>
  <c r="G3242" i="25"/>
  <c r="G3243" i="25"/>
  <c r="D3244" i="25"/>
  <c r="G3244" i="25"/>
  <c r="D3245" i="25"/>
  <c r="G3245" i="25"/>
  <c r="D3246" i="25"/>
  <c r="G3246" i="25"/>
  <c r="D3247" i="25"/>
  <c r="G3247" i="25"/>
  <c r="D3248" i="25"/>
  <c r="G3248" i="25"/>
  <c r="D3249" i="25"/>
  <c r="G3249" i="25"/>
  <c r="D3250" i="25"/>
  <c r="G3250" i="25"/>
  <c r="D3251" i="25"/>
  <c r="G3251" i="25"/>
  <c r="D3252" i="25"/>
  <c r="G3252" i="25"/>
  <c r="D3253" i="25"/>
  <c r="G3253" i="25"/>
  <c r="D3254" i="25"/>
  <c r="G3254" i="25"/>
  <c r="D3255" i="25"/>
  <c r="G3255" i="25"/>
  <c r="D3256" i="25"/>
  <c r="G3256" i="25"/>
  <c r="D3257" i="25"/>
  <c r="G3257" i="25"/>
  <c r="D3258" i="25"/>
  <c r="G3258" i="25"/>
  <c r="D3259" i="25"/>
  <c r="G3259" i="25"/>
  <c r="D3260" i="25"/>
  <c r="G3260" i="25"/>
  <c r="D3261" i="25"/>
  <c r="G3261" i="25"/>
  <c r="D3262" i="25"/>
  <c r="G3262" i="25"/>
  <c r="D3263" i="25"/>
  <c r="G3263" i="25"/>
  <c r="D3264" i="25"/>
  <c r="G3264" i="25"/>
  <c r="D3265" i="25"/>
  <c r="G3265" i="25"/>
  <c r="D3266" i="25"/>
  <c r="G3266" i="25"/>
  <c r="D3267" i="25"/>
  <c r="G3267" i="25"/>
  <c r="D3268" i="25"/>
  <c r="G3268" i="25"/>
  <c r="D3269" i="25"/>
  <c r="G3269" i="25"/>
  <c r="D3270" i="25"/>
  <c r="G3270" i="25"/>
  <c r="D3271" i="25"/>
  <c r="G3271" i="25"/>
  <c r="D3272" i="25"/>
  <c r="G3272" i="25"/>
  <c r="D3273" i="25"/>
  <c r="G3273" i="25"/>
  <c r="D3274" i="25"/>
  <c r="G3274" i="25"/>
  <c r="D3275" i="25"/>
  <c r="G3275" i="25"/>
  <c r="G3276" i="25"/>
  <c r="D3277" i="25"/>
  <c r="G3277" i="25"/>
  <c r="D3278" i="25"/>
  <c r="G3278" i="25"/>
  <c r="D3279" i="25"/>
  <c r="G3279" i="25"/>
  <c r="D3280" i="25"/>
  <c r="G3280" i="25"/>
  <c r="D3281" i="25"/>
  <c r="G3281" i="25"/>
  <c r="D3282" i="25"/>
  <c r="G3282" i="25"/>
  <c r="G3283" i="25"/>
  <c r="G3284" i="25"/>
  <c r="G3285" i="25"/>
  <c r="G3286" i="25"/>
  <c r="D3287" i="25"/>
  <c r="G3287" i="25"/>
  <c r="D3288" i="25"/>
  <c r="G3288" i="25"/>
  <c r="D3289" i="25"/>
  <c r="G3289" i="25"/>
  <c r="D3290" i="25"/>
  <c r="G3290" i="25"/>
  <c r="D3291" i="25"/>
  <c r="G3291" i="25"/>
  <c r="D3292" i="25"/>
  <c r="G3292" i="25"/>
  <c r="D3293" i="25"/>
  <c r="G3293" i="25"/>
  <c r="D3294" i="25"/>
  <c r="G3294" i="25"/>
  <c r="D3295" i="25"/>
  <c r="G3295" i="25"/>
  <c r="G3296" i="25"/>
  <c r="G3297" i="25"/>
  <c r="D3298" i="25"/>
  <c r="G3298" i="25"/>
  <c r="D3299" i="25"/>
  <c r="G3299" i="25"/>
  <c r="D3300" i="25"/>
  <c r="G3300" i="25"/>
  <c r="D3301" i="25"/>
  <c r="G3301" i="25"/>
  <c r="G3302" i="25"/>
  <c r="D3303" i="25"/>
  <c r="G3303" i="25"/>
  <c r="D3304" i="25"/>
  <c r="G3304" i="25"/>
  <c r="D3305" i="25"/>
  <c r="G3305" i="25"/>
  <c r="D3306" i="25"/>
  <c r="G3306" i="25"/>
  <c r="D3307" i="25"/>
  <c r="G3307" i="25"/>
  <c r="D3308" i="25"/>
  <c r="G3308" i="25"/>
  <c r="D3309" i="25"/>
  <c r="G3309" i="25"/>
  <c r="D3310" i="25"/>
  <c r="G3310" i="25"/>
  <c r="D3311" i="25"/>
  <c r="G3311" i="25"/>
  <c r="D3312" i="25"/>
  <c r="G3312" i="25"/>
  <c r="D3313" i="25"/>
  <c r="G3313" i="25"/>
  <c r="G3314" i="25"/>
  <c r="D3315" i="25"/>
  <c r="G3315" i="25"/>
  <c r="D3316" i="25"/>
  <c r="G3316" i="25"/>
  <c r="D3317" i="25"/>
  <c r="G3317" i="25"/>
  <c r="D3318" i="25"/>
  <c r="G3318" i="25"/>
  <c r="D3319" i="25"/>
  <c r="G3319" i="25"/>
  <c r="D3320" i="25"/>
  <c r="G3320" i="25"/>
  <c r="D3321" i="25"/>
  <c r="G3321" i="25"/>
  <c r="D3322" i="25"/>
  <c r="G3322" i="25"/>
  <c r="D3323" i="25"/>
  <c r="G3323" i="25"/>
  <c r="D3324" i="25"/>
  <c r="G3324" i="25"/>
  <c r="D3325" i="25"/>
  <c r="G3325" i="25"/>
  <c r="D3326" i="25"/>
  <c r="G3326" i="25"/>
  <c r="D3327" i="25"/>
  <c r="G3327" i="25"/>
  <c r="D3328" i="25"/>
  <c r="G3328" i="25"/>
  <c r="D3329" i="25"/>
  <c r="G3329" i="25"/>
  <c r="D3330" i="25"/>
  <c r="G3330" i="25"/>
  <c r="D3331" i="25"/>
  <c r="G3331" i="25"/>
  <c r="D3332" i="25"/>
  <c r="G3332" i="25"/>
  <c r="G3333" i="25"/>
  <c r="D3334" i="25"/>
  <c r="G3334" i="25"/>
  <c r="D3335" i="25"/>
  <c r="G3335" i="25"/>
  <c r="D3336" i="25"/>
  <c r="G3336" i="25"/>
  <c r="D3337" i="25"/>
  <c r="G3337" i="25"/>
  <c r="D3338" i="25"/>
  <c r="G3338" i="25"/>
  <c r="D3339" i="25"/>
  <c r="G3339" i="25"/>
  <c r="D3340" i="25"/>
  <c r="G3340" i="25"/>
  <c r="D3341" i="25"/>
  <c r="G3341" i="25"/>
  <c r="D3342" i="25"/>
  <c r="G3342" i="25"/>
  <c r="D3343" i="25"/>
  <c r="G3343" i="25"/>
  <c r="D3344" i="25"/>
  <c r="G3344" i="25"/>
  <c r="D3345" i="25"/>
  <c r="G3345" i="25"/>
  <c r="D3346" i="25"/>
  <c r="G3346" i="25"/>
  <c r="G3347" i="25"/>
  <c r="G3348" i="25"/>
  <c r="D3349" i="25"/>
  <c r="G3349" i="25"/>
  <c r="D3350" i="25"/>
  <c r="G3350" i="25"/>
  <c r="D3351" i="25"/>
  <c r="G3351" i="25"/>
  <c r="D3352" i="25"/>
  <c r="G3352" i="25"/>
  <c r="D3353" i="25"/>
  <c r="G3353" i="25"/>
  <c r="D3354" i="25"/>
  <c r="G3354" i="25"/>
  <c r="D3355" i="25"/>
  <c r="G3355" i="25"/>
  <c r="D3356" i="25"/>
  <c r="G3356" i="25"/>
  <c r="D3357" i="25"/>
  <c r="G3357" i="25"/>
  <c r="D3358" i="25"/>
  <c r="G3358" i="25"/>
  <c r="D3359" i="25"/>
  <c r="G3359" i="25"/>
  <c r="D3360" i="25"/>
  <c r="G3360" i="25"/>
  <c r="D3361" i="25"/>
  <c r="G3361" i="25"/>
  <c r="D3362" i="25"/>
  <c r="G3362" i="25"/>
  <c r="D3363" i="25"/>
  <c r="G3363" i="25"/>
  <c r="D3364" i="25"/>
  <c r="G3364" i="25"/>
  <c r="D3365" i="25"/>
  <c r="G3365" i="25"/>
  <c r="D3366" i="25"/>
  <c r="G3366" i="25"/>
  <c r="D3367" i="25"/>
  <c r="G3367" i="25"/>
  <c r="D3368" i="25"/>
  <c r="G3368" i="25"/>
  <c r="D3369" i="25"/>
  <c r="G3369" i="25"/>
  <c r="D3370" i="25"/>
  <c r="G3370" i="25"/>
  <c r="D3371" i="25"/>
  <c r="G3371" i="25"/>
  <c r="D3372" i="25"/>
  <c r="G3372" i="25"/>
  <c r="D3373" i="25"/>
  <c r="G3373" i="25"/>
  <c r="D3374" i="25"/>
  <c r="G3374" i="25"/>
  <c r="D3375" i="25"/>
  <c r="G3375" i="25"/>
  <c r="D3376" i="25"/>
  <c r="G3376" i="25"/>
  <c r="D3377" i="25"/>
  <c r="G3377" i="25"/>
  <c r="G3378" i="25"/>
  <c r="G3379" i="25"/>
  <c r="D3380" i="25"/>
  <c r="G3380" i="25"/>
  <c r="D3381" i="25"/>
  <c r="G3381" i="25"/>
  <c r="D3382" i="25"/>
  <c r="G3382" i="25"/>
  <c r="D3383" i="25"/>
  <c r="G3383" i="25"/>
  <c r="D3384" i="25"/>
  <c r="G3384" i="25"/>
  <c r="D3385" i="25"/>
  <c r="G3385" i="25"/>
  <c r="D3386" i="25"/>
  <c r="G3386" i="25"/>
  <c r="D3387" i="25"/>
  <c r="G3387" i="25"/>
  <c r="D3388" i="25"/>
  <c r="G3388" i="25"/>
  <c r="D3389" i="25"/>
  <c r="G3389" i="25"/>
  <c r="D3390" i="25"/>
  <c r="G3390" i="25"/>
  <c r="D3391" i="25"/>
  <c r="G3391" i="25"/>
  <c r="D3392" i="25"/>
  <c r="G3392" i="25"/>
  <c r="D3393" i="25"/>
  <c r="G3393" i="25"/>
  <c r="D3394" i="25"/>
  <c r="G3394" i="25"/>
  <c r="D3395" i="25"/>
  <c r="G3395" i="25"/>
  <c r="D3396" i="25"/>
  <c r="G3396" i="25"/>
  <c r="G3397" i="25"/>
  <c r="D3398" i="25"/>
  <c r="G3398" i="25"/>
  <c r="D3399" i="25"/>
  <c r="G3399" i="25"/>
  <c r="G3400" i="25"/>
  <c r="G3401" i="25"/>
  <c r="D3402" i="25"/>
  <c r="G3402" i="25"/>
  <c r="D3403" i="25"/>
  <c r="G3403" i="25"/>
  <c r="D3404" i="25"/>
  <c r="G3404" i="25"/>
  <c r="D3405" i="25"/>
  <c r="G3405" i="25"/>
  <c r="D3406" i="25"/>
  <c r="G3406" i="25"/>
  <c r="D3407" i="25"/>
  <c r="G3407" i="25"/>
  <c r="D3408" i="25"/>
  <c r="G3408" i="25"/>
  <c r="D3409" i="25"/>
  <c r="G3409" i="25"/>
  <c r="D3410" i="25"/>
  <c r="G3410" i="25"/>
  <c r="D3411" i="25"/>
  <c r="G3411" i="25"/>
  <c r="D3412" i="25"/>
  <c r="G3412" i="25"/>
  <c r="D3413" i="25"/>
  <c r="G3413" i="25"/>
  <c r="G3414" i="25"/>
  <c r="D3415" i="25"/>
  <c r="G3415" i="25"/>
  <c r="D3416" i="25"/>
  <c r="G3416" i="25"/>
  <c r="D3417" i="25"/>
  <c r="G3417" i="25"/>
  <c r="D3418" i="25"/>
  <c r="G3418" i="25"/>
  <c r="D3419" i="25"/>
  <c r="G3419" i="25"/>
  <c r="D3420" i="25"/>
  <c r="G3420" i="25"/>
  <c r="D3421" i="25"/>
  <c r="G3421" i="25"/>
  <c r="D3422" i="25"/>
  <c r="G3422" i="25"/>
  <c r="D3423" i="25"/>
  <c r="G3423" i="25"/>
  <c r="D3424" i="25"/>
  <c r="G3424" i="25"/>
  <c r="G3425" i="25"/>
  <c r="G3426" i="25"/>
  <c r="D3427" i="25"/>
  <c r="G3427" i="25"/>
  <c r="D3428" i="25"/>
  <c r="G3428" i="25"/>
  <c r="D3429" i="25"/>
  <c r="G3429" i="25"/>
  <c r="D3430" i="25"/>
  <c r="G3430" i="25"/>
  <c r="G3431" i="25"/>
  <c r="D3432" i="25"/>
  <c r="G3432" i="25"/>
  <c r="D3433" i="25"/>
  <c r="G3433" i="25"/>
  <c r="D3434" i="25"/>
  <c r="G3434" i="25"/>
  <c r="D3435" i="25"/>
  <c r="G3435" i="25"/>
  <c r="D3436" i="25"/>
  <c r="G3436" i="25"/>
  <c r="D3437" i="25"/>
  <c r="G3437" i="25"/>
  <c r="D3438" i="25"/>
  <c r="G3438" i="25"/>
  <c r="D3439" i="25"/>
  <c r="G3439" i="25"/>
  <c r="D3440" i="25"/>
  <c r="G3440" i="25"/>
  <c r="D3441" i="25"/>
  <c r="G3441" i="25"/>
  <c r="D3442" i="25"/>
  <c r="G3442" i="25"/>
  <c r="G3443" i="25"/>
  <c r="D3444" i="25"/>
  <c r="G3444" i="25"/>
  <c r="D3445" i="25"/>
  <c r="G3445" i="25"/>
  <c r="D3446" i="25"/>
  <c r="G3446" i="25"/>
  <c r="D3447" i="25"/>
  <c r="G3447" i="25"/>
  <c r="D3448" i="25"/>
  <c r="G3448" i="25"/>
  <c r="G3449" i="25"/>
  <c r="D3450" i="25"/>
  <c r="G3450" i="25"/>
  <c r="D3451" i="25"/>
  <c r="G3451" i="25"/>
  <c r="D3452" i="25"/>
  <c r="G3452" i="25"/>
  <c r="D3453" i="25"/>
  <c r="G3453" i="25"/>
  <c r="D3454" i="25"/>
  <c r="G3454" i="25"/>
  <c r="G3455" i="25"/>
  <c r="D3456" i="25"/>
  <c r="G3456" i="25"/>
  <c r="D3457" i="25"/>
  <c r="G3457" i="25"/>
  <c r="D3458" i="25"/>
  <c r="G3458" i="25"/>
  <c r="D3459" i="25"/>
  <c r="G3459" i="25"/>
  <c r="D3460" i="25"/>
  <c r="G3460" i="25"/>
  <c r="D3461" i="25"/>
  <c r="G3461" i="25"/>
  <c r="D3462" i="25"/>
  <c r="G3462" i="25"/>
  <c r="D3463" i="25"/>
  <c r="G3463" i="25"/>
  <c r="D3464" i="25"/>
  <c r="G3464" i="25"/>
  <c r="D3465" i="25"/>
  <c r="G3465" i="25"/>
  <c r="D3466" i="25"/>
  <c r="G3466" i="25"/>
  <c r="D3467" i="25"/>
  <c r="G3467" i="25"/>
  <c r="D3468" i="25"/>
  <c r="G3468" i="25"/>
  <c r="D3469" i="25"/>
  <c r="G3469" i="25"/>
  <c r="D3470" i="25"/>
  <c r="G3470" i="25"/>
  <c r="D3471" i="25"/>
  <c r="G3471" i="25"/>
  <c r="D3472" i="25"/>
  <c r="G3472" i="25"/>
  <c r="D3473" i="25"/>
  <c r="G3473" i="25"/>
  <c r="D3474" i="25"/>
  <c r="G3474" i="25"/>
  <c r="G3475" i="25"/>
  <c r="D3476" i="25"/>
  <c r="G3476" i="25"/>
  <c r="G3477" i="25"/>
  <c r="D3478" i="25"/>
  <c r="G3478" i="25"/>
  <c r="D3479" i="25"/>
  <c r="G3479" i="25"/>
  <c r="D3480" i="25"/>
  <c r="G3480" i="25"/>
  <c r="D3481" i="25"/>
  <c r="G3481" i="25"/>
  <c r="G3482" i="25"/>
  <c r="G3483" i="25"/>
  <c r="G3484" i="25"/>
  <c r="G3485" i="25"/>
  <c r="D3486" i="25"/>
  <c r="G3486" i="25"/>
  <c r="D3487" i="25"/>
  <c r="G3487" i="25"/>
  <c r="D3488" i="25"/>
  <c r="G3488" i="25"/>
  <c r="D3489" i="25"/>
  <c r="G3489" i="25"/>
  <c r="D3490" i="25"/>
  <c r="G3490" i="25"/>
  <c r="D3491" i="25"/>
  <c r="G3491" i="25"/>
  <c r="D3492" i="25"/>
  <c r="G3492" i="25"/>
  <c r="D3493" i="25"/>
  <c r="G3493" i="25"/>
  <c r="D3494" i="25"/>
  <c r="G3494" i="25"/>
  <c r="D3495" i="25"/>
  <c r="G3495" i="25"/>
  <c r="D3496" i="25"/>
  <c r="G3496" i="25"/>
  <c r="D3497" i="25"/>
  <c r="G3497" i="25"/>
  <c r="G3498" i="25"/>
  <c r="D3499" i="25"/>
  <c r="G3499" i="25"/>
  <c r="D3500" i="25"/>
  <c r="G3500" i="25"/>
  <c r="D3501" i="25"/>
  <c r="G3501" i="25"/>
  <c r="D3502" i="25"/>
  <c r="G3502" i="25"/>
  <c r="D3503" i="25"/>
  <c r="G3503" i="25"/>
  <c r="D3504" i="25"/>
  <c r="G3504" i="25"/>
  <c r="D3505" i="25"/>
  <c r="G3505" i="25"/>
  <c r="D3506" i="25"/>
  <c r="G3506" i="25"/>
  <c r="D3507" i="25"/>
  <c r="G3507" i="25"/>
  <c r="D3508" i="25"/>
  <c r="G3508" i="25"/>
  <c r="G3509" i="25"/>
  <c r="D3510" i="25"/>
  <c r="G3510" i="25"/>
  <c r="D3511" i="25"/>
  <c r="G3511" i="25"/>
  <c r="D3512" i="25"/>
  <c r="G3512" i="25"/>
  <c r="D3513" i="25"/>
  <c r="G3513" i="25"/>
  <c r="D3514" i="25"/>
  <c r="G3514" i="25"/>
  <c r="D3515" i="25"/>
  <c r="G3515" i="25"/>
  <c r="G3516" i="25"/>
  <c r="D3517" i="25"/>
  <c r="G3517" i="25"/>
  <c r="D3518" i="25"/>
  <c r="G3518" i="25"/>
  <c r="D3519" i="25"/>
  <c r="G3519" i="25"/>
  <c r="G3520" i="25"/>
  <c r="D3521" i="25"/>
  <c r="G3521" i="25"/>
  <c r="D3522" i="25"/>
  <c r="G3522" i="25"/>
  <c r="D3523" i="25"/>
  <c r="G3523" i="25"/>
  <c r="D3524" i="25"/>
  <c r="G3524" i="25"/>
  <c r="D3525" i="25"/>
  <c r="G3525" i="25"/>
  <c r="D3526" i="25"/>
  <c r="G3526" i="25"/>
  <c r="D3527" i="25"/>
  <c r="G3527" i="25"/>
  <c r="D3528" i="25"/>
  <c r="G3528" i="25"/>
  <c r="D3529" i="25"/>
  <c r="G3529" i="25"/>
  <c r="G3530" i="25"/>
  <c r="G3531" i="25"/>
  <c r="D3532" i="25"/>
  <c r="G3532" i="25"/>
  <c r="D3533" i="25"/>
  <c r="G3533" i="25"/>
  <c r="G3534" i="25"/>
  <c r="D3535" i="25"/>
  <c r="G3535" i="25"/>
  <c r="G3536" i="25"/>
  <c r="D3537" i="25"/>
  <c r="G3537" i="25"/>
  <c r="D3538" i="25"/>
  <c r="G3538" i="25"/>
  <c r="D3539" i="25"/>
  <c r="G3539" i="25"/>
  <c r="D3540" i="25"/>
  <c r="G3540" i="25"/>
  <c r="D3541" i="25"/>
  <c r="G3541" i="25"/>
  <c r="G3542" i="25"/>
  <c r="D3543" i="25"/>
  <c r="G3543" i="25"/>
  <c r="D3544" i="25"/>
  <c r="G3544" i="25"/>
  <c r="D3545" i="25"/>
  <c r="G3545" i="25"/>
  <c r="D3546" i="25"/>
  <c r="G3546" i="25"/>
  <c r="D3547" i="25"/>
  <c r="G3547" i="25"/>
  <c r="D3548" i="25"/>
  <c r="G3548" i="25"/>
  <c r="G3549" i="25"/>
  <c r="D3550" i="25"/>
  <c r="G3550" i="25"/>
  <c r="D3551" i="25"/>
  <c r="G3551" i="25"/>
  <c r="D3552" i="25"/>
  <c r="G3552" i="25"/>
  <c r="D3553" i="25"/>
  <c r="G3553" i="25"/>
  <c r="D3554" i="25"/>
  <c r="G3554" i="25"/>
  <c r="D3555" i="25"/>
  <c r="G3555" i="25"/>
  <c r="G3556" i="25"/>
  <c r="G3557" i="25"/>
  <c r="G3558" i="25"/>
  <c r="G3559" i="25"/>
  <c r="D3560" i="25"/>
  <c r="G3560" i="25"/>
  <c r="D3561" i="25"/>
  <c r="G3561" i="25"/>
  <c r="D3562" i="25"/>
  <c r="G3562" i="25"/>
  <c r="G3563" i="25"/>
  <c r="D3564" i="25"/>
  <c r="G3564" i="25"/>
  <c r="D3565" i="25"/>
  <c r="G3565" i="25"/>
  <c r="G3566" i="25"/>
  <c r="G3567" i="25"/>
  <c r="D3568" i="25"/>
  <c r="G3568" i="25"/>
  <c r="G3569" i="25"/>
  <c r="G3570" i="25"/>
  <c r="D3571" i="25"/>
  <c r="G3571" i="25"/>
  <c r="G3572" i="25"/>
  <c r="G3573" i="25"/>
  <c r="G3574" i="25"/>
  <c r="D3575" i="25"/>
  <c r="G3575" i="25"/>
  <c r="G3576" i="25"/>
  <c r="D3577" i="25"/>
  <c r="G3577" i="25"/>
  <c r="D3578" i="25"/>
  <c r="G3578" i="25"/>
  <c r="G3579" i="25"/>
  <c r="D3580" i="25"/>
  <c r="G3580" i="25"/>
  <c r="D3581" i="25"/>
  <c r="G3581" i="25"/>
  <c r="D3582" i="25"/>
  <c r="G3582" i="25"/>
  <c r="G3583" i="25"/>
  <c r="D3584" i="25"/>
  <c r="G3584" i="25"/>
  <c r="G3585" i="25"/>
  <c r="D3586" i="25"/>
  <c r="G3586" i="25"/>
  <c r="G3587" i="25"/>
  <c r="D3588" i="25"/>
  <c r="G3588" i="25"/>
  <c r="D3589" i="25"/>
  <c r="G3589" i="25"/>
  <c r="D3590" i="25"/>
  <c r="G3590" i="25"/>
  <c r="G3591" i="25"/>
  <c r="D3592" i="25"/>
  <c r="G3592" i="25"/>
  <c r="D3593" i="25"/>
  <c r="G3593" i="25"/>
  <c r="G3594" i="25"/>
  <c r="G3595" i="25"/>
  <c r="G3596" i="25"/>
  <c r="D3597" i="25"/>
  <c r="G3597" i="25"/>
  <c r="D3598" i="25"/>
  <c r="G3598" i="25"/>
  <c r="D3599" i="25"/>
  <c r="G3599" i="25"/>
  <c r="D3600" i="25"/>
  <c r="G3600" i="25"/>
  <c r="D3601" i="25"/>
  <c r="G3601" i="25"/>
  <c r="G3602" i="25"/>
  <c r="D3603" i="25"/>
  <c r="G3603" i="25"/>
  <c r="D3604" i="25"/>
  <c r="G3604" i="25"/>
  <c r="D3605" i="25"/>
  <c r="G3605" i="25"/>
  <c r="D3606" i="25"/>
  <c r="G3606" i="25"/>
  <c r="D3607" i="25"/>
  <c r="G3607" i="25"/>
  <c r="D3608" i="25"/>
  <c r="G3608" i="25"/>
  <c r="D3609" i="25"/>
  <c r="G3609" i="25"/>
  <c r="D3610" i="25"/>
  <c r="G3610" i="25"/>
  <c r="D3611" i="25"/>
  <c r="G3611" i="25"/>
  <c r="D3612" i="25"/>
  <c r="G3612" i="25"/>
  <c r="G3613" i="25"/>
  <c r="G3614" i="25"/>
  <c r="D3615" i="25"/>
  <c r="G3615" i="25"/>
  <c r="G3616" i="25"/>
  <c r="D3617" i="25"/>
  <c r="G3617" i="25"/>
  <c r="D3618" i="25"/>
  <c r="G3618" i="25"/>
  <c r="D3619" i="25"/>
  <c r="G3619" i="25"/>
  <c r="D3620" i="25"/>
  <c r="G3620" i="25"/>
  <c r="G3621" i="25"/>
  <c r="D3622" i="25"/>
  <c r="G3622" i="25"/>
  <c r="D3623" i="25"/>
  <c r="G3623" i="25"/>
  <c r="D3624" i="25"/>
  <c r="G3624" i="25"/>
  <c r="D3625" i="25"/>
  <c r="G3625" i="25"/>
  <c r="D3626" i="25"/>
  <c r="G3626" i="25"/>
  <c r="G3627" i="25"/>
  <c r="D3628" i="25"/>
  <c r="G3628" i="25"/>
  <c r="D3629" i="25"/>
  <c r="G3629" i="25"/>
  <c r="G3630" i="25"/>
  <c r="G3631" i="25"/>
  <c r="D3632" i="25"/>
  <c r="G3632" i="25"/>
  <c r="D3633" i="25"/>
  <c r="G3633" i="25"/>
  <c r="D3634" i="25"/>
  <c r="G3634" i="25"/>
  <c r="D3635" i="25"/>
  <c r="G3635" i="25"/>
  <c r="E3636" i="25"/>
  <c r="G3636" i="25"/>
  <c r="G3637" i="25"/>
  <c r="G3638" i="25"/>
  <c r="G3639" i="25"/>
  <c r="D3640" i="25"/>
  <c r="G3640" i="25"/>
  <c r="D3641" i="25"/>
  <c r="G3641" i="25"/>
  <c r="D3642" i="25"/>
  <c r="G3642" i="25"/>
  <c r="D3643" i="25"/>
  <c r="G3643" i="25"/>
  <c r="D3644" i="25"/>
  <c r="G3644" i="25"/>
  <c r="G3645" i="25"/>
  <c r="D3646" i="25"/>
  <c r="G3646" i="25"/>
  <c r="D3647" i="25"/>
  <c r="G3647" i="25"/>
  <c r="D3648" i="25"/>
  <c r="G3648" i="25"/>
  <c r="D3649" i="25"/>
  <c r="G3649" i="25"/>
  <c r="G3650" i="25"/>
  <c r="G3651" i="25"/>
  <c r="D3652" i="25"/>
  <c r="G3652" i="25"/>
  <c r="D3653" i="25"/>
  <c r="G3653" i="25"/>
  <c r="D3654" i="25"/>
  <c r="G3654" i="25"/>
  <c r="G3655" i="25"/>
  <c r="G3656" i="25"/>
  <c r="D3657" i="25"/>
  <c r="G3657" i="25"/>
  <c r="D3658" i="25"/>
  <c r="G3658" i="25"/>
  <c r="D3659" i="25"/>
  <c r="G3659" i="25"/>
  <c r="D3660" i="25"/>
  <c r="G3660" i="25"/>
  <c r="D3661" i="25"/>
  <c r="G3661" i="25"/>
  <c r="G3662" i="25"/>
  <c r="G3663" i="25"/>
  <c r="D3664" i="25"/>
  <c r="G3664" i="25"/>
  <c r="D3665" i="25"/>
  <c r="G3665" i="25"/>
  <c r="G3666" i="25"/>
  <c r="G3667" i="25"/>
  <c r="D3668" i="25"/>
  <c r="G3668" i="25"/>
  <c r="D3669" i="25"/>
  <c r="G3669" i="25"/>
  <c r="D3670" i="25"/>
  <c r="G3670" i="25"/>
  <c r="D3671" i="25"/>
  <c r="G3671" i="25"/>
  <c r="G3672" i="25"/>
  <c r="G3673" i="25"/>
  <c r="D3674" i="25"/>
  <c r="G3674" i="25"/>
  <c r="D3675" i="25"/>
  <c r="G3675" i="25"/>
  <c r="D3676" i="25"/>
  <c r="G3676" i="25"/>
  <c r="D3677" i="25"/>
  <c r="G3677" i="25"/>
  <c r="D3678" i="25"/>
  <c r="G3678" i="25"/>
  <c r="D3679" i="25"/>
  <c r="G3679" i="25"/>
  <c r="D3680" i="25"/>
  <c r="G3680" i="25"/>
  <c r="D3681" i="25"/>
  <c r="G3681" i="25"/>
  <c r="G3682" i="25"/>
  <c r="D3683" i="25"/>
  <c r="G3683" i="25"/>
  <c r="D3684" i="25"/>
  <c r="G3684" i="25"/>
  <c r="G3685" i="25"/>
  <c r="G3686" i="25"/>
  <c r="G3687" i="25"/>
  <c r="G3688" i="25"/>
  <c r="G3689" i="25"/>
  <c r="D3690" i="25"/>
  <c r="G3690" i="25"/>
  <c r="G3691" i="25"/>
  <c r="G3692" i="25"/>
  <c r="D3693" i="25"/>
  <c r="G3693" i="25"/>
  <c r="D3694" i="25"/>
  <c r="G3694" i="25"/>
  <c r="G3695" i="25"/>
  <c r="D3696" i="25"/>
  <c r="G3696" i="25"/>
  <c r="G3697" i="25"/>
  <c r="D3698" i="25"/>
  <c r="G3698" i="25"/>
  <c r="D3699" i="25"/>
  <c r="G3699" i="25"/>
  <c r="G3700" i="25"/>
  <c r="D3701" i="25"/>
  <c r="G3701" i="25"/>
  <c r="D3702" i="25"/>
  <c r="G3702" i="25"/>
  <c r="D3703" i="25"/>
  <c r="G3703" i="25"/>
  <c r="D3704" i="25"/>
  <c r="G3704" i="25"/>
  <c r="D3705" i="25"/>
  <c r="G3705" i="25"/>
  <c r="D3706" i="25"/>
  <c r="G3706" i="25"/>
  <c r="D3707" i="25"/>
  <c r="G3707" i="25"/>
  <c r="D3708" i="25"/>
  <c r="G3708" i="25"/>
  <c r="D3709" i="25"/>
  <c r="G3709" i="25"/>
  <c r="G3710" i="25"/>
  <c r="D3711" i="25"/>
  <c r="G3711" i="25"/>
  <c r="G3712" i="25"/>
  <c r="D3713" i="25"/>
  <c r="G3713" i="25"/>
  <c r="D3714" i="25"/>
  <c r="G3714" i="25"/>
  <c r="D3715" i="25"/>
  <c r="G3715" i="25"/>
  <c r="D3716" i="25"/>
  <c r="G3716" i="25"/>
  <c r="D3717" i="25"/>
  <c r="G3717" i="25"/>
  <c r="D3718" i="25"/>
  <c r="G3718" i="25"/>
  <c r="D3719" i="25"/>
  <c r="G3719" i="25"/>
  <c r="D3720" i="25"/>
  <c r="G3720" i="25"/>
  <c r="D3721" i="25"/>
  <c r="G3721" i="25"/>
  <c r="D3722" i="25"/>
  <c r="G3722" i="25"/>
  <c r="D3723" i="25"/>
  <c r="G3723" i="25"/>
  <c r="D3724" i="25"/>
  <c r="G3724" i="25"/>
  <c r="D3725" i="25"/>
  <c r="G3725" i="25"/>
  <c r="D3726" i="25"/>
  <c r="G3726" i="25"/>
  <c r="D3727" i="25"/>
  <c r="G3727" i="25"/>
  <c r="G3728" i="25"/>
  <c r="G3729" i="25"/>
  <c r="G3730" i="25"/>
  <c r="G3731" i="25"/>
  <c r="G3732" i="25"/>
  <c r="G3733" i="25"/>
  <c r="G3734" i="25"/>
  <c r="D3735" i="25"/>
  <c r="G3735" i="25"/>
  <c r="G3736" i="25"/>
  <c r="D3737" i="25"/>
  <c r="G3737" i="25"/>
  <c r="D3738" i="25"/>
  <c r="G3738" i="25"/>
  <c r="D3739" i="25"/>
  <c r="G3739" i="25"/>
  <c r="D3740" i="25"/>
  <c r="G3740" i="25"/>
  <c r="D3741" i="25"/>
  <c r="G3741" i="25"/>
  <c r="D3742" i="25"/>
  <c r="G3742" i="25"/>
  <c r="D3743" i="25"/>
  <c r="G3743" i="25"/>
  <c r="D3744" i="25"/>
  <c r="G3744" i="25"/>
  <c r="D3745" i="25"/>
  <c r="G3745" i="25"/>
  <c r="D3746" i="25"/>
  <c r="G3746" i="25"/>
  <c r="D3747" i="25"/>
  <c r="G3747" i="25"/>
  <c r="D3748" i="25"/>
  <c r="G3748" i="25"/>
  <c r="D3749" i="25"/>
  <c r="G3749" i="25"/>
  <c r="D3750" i="25"/>
  <c r="G3750" i="25"/>
  <c r="D3751" i="25"/>
  <c r="G3751" i="25"/>
  <c r="D3752" i="25"/>
  <c r="G3752" i="25"/>
  <c r="D3753" i="25"/>
  <c r="G3753" i="25"/>
  <c r="D3754" i="25"/>
  <c r="G3754" i="25"/>
  <c r="D3755" i="25"/>
  <c r="G3755" i="25"/>
  <c r="D3756" i="25"/>
  <c r="G3756" i="25"/>
  <c r="D3757" i="25"/>
  <c r="G3757" i="25"/>
  <c r="G3758" i="25"/>
  <c r="G3759" i="25"/>
  <c r="G3760" i="25"/>
  <c r="D3761" i="25"/>
  <c r="G3761" i="25"/>
  <c r="G3762" i="25"/>
  <c r="D3763" i="25"/>
  <c r="G3763" i="25"/>
  <c r="G3764" i="25"/>
  <c r="D3765" i="25"/>
  <c r="G3765" i="25"/>
  <c r="G3766" i="25"/>
  <c r="G3767" i="25"/>
  <c r="G3768" i="25"/>
  <c r="D3769" i="25"/>
  <c r="G3769" i="25"/>
  <c r="D3770" i="25"/>
  <c r="G3770" i="25"/>
  <c r="D3771" i="25"/>
  <c r="G3771" i="25"/>
  <c r="G3772" i="25"/>
  <c r="D3773" i="25"/>
  <c r="G3773" i="25"/>
  <c r="D3774" i="25"/>
  <c r="G3774" i="25"/>
  <c r="D3775" i="25"/>
  <c r="G3775" i="25"/>
  <c r="G3776" i="25"/>
  <c r="G3777" i="25"/>
  <c r="G3778" i="25"/>
  <c r="G3779" i="25"/>
  <c r="G3780" i="25"/>
  <c r="D3781" i="25"/>
  <c r="G3781" i="25"/>
  <c r="G3782" i="25"/>
  <c r="D3783" i="25"/>
  <c r="G3783" i="25"/>
  <c r="G3784" i="25"/>
  <c r="G3785" i="25"/>
  <c r="D3786" i="25"/>
  <c r="G3786" i="25"/>
  <c r="D3787" i="25"/>
  <c r="G3787" i="25"/>
  <c r="D3788" i="25"/>
  <c r="G3788" i="25"/>
  <c r="G3789" i="25"/>
  <c r="D3790" i="25"/>
  <c r="G3790" i="25"/>
  <c r="D3791" i="25"/>
  <c r="G3791" i="25"/>
  <c r="D3792" i="25"/>
  <c r="G3792" i="25"/>
  <c r="D3793" i="25"/>
  <c r="G3793" i="25"/>
  <c r="G3794" i="25"/>
  <c r="D3795" i="25"/>
  <c r="G3795" i="25"/>
  <c r="D3796" i="25"/>
  <c r="G3796" i="25"/>
  <c r="D3797" i="25"/>
  <c r="G3797" i="25"/>
  <c r="D3798" i="25"/>
  <c r="G3798" i="25"/>
  <c r="G3799" i="25"/>
  <c r="G3800" i="25"/>
  <c r="D3801" i="25"/>
  <c r="G3801" i="25"/>
  <c r="D3802" i="25"/>
  <c r="G3802" i="25"/>
  <c r="D3803" i="25"/>
  <c r="G3803" i="25"/>
  <c r="D3804" i="25"/>
  <c r="G3804" i="25"/>
  <c r="D3805" i="25"/>
  <c r="G3805" i="25"/>
  <c r="D3806" i="25"/>
  <c r="G3806" i="25"/>
  <c r="G3807" i="25"/>
  <c r="G3808" i="25"/>
  <c r="D3809" i="25"/>
  <c r="G3809" i="25"/>
  <c r="D3810" i="25"/>
  <c r="G3810" i="25"/>
  <c r="D3811" i="25"/>
  <c r="G3811" i="25"/>
  <c r="G3812" i="25"/>
  <c r="G3813" i="25"/>
  <c r="D3814" i="25"/>
  <c r="G3814" i="25"/>
  <c r="D3815" i="25"/>
  <c r="G3815" i="25"/>
  <c r="D3816" i="25"/>
  <c r="G3816" i="25"/>
  <c r="D3817" i="25"/>
  <c r="G3817" i="25"/>
  <c r="D3818" i="25"/>
  <c r="G3818" i="25"/>
  <c r="D3819" i="25"/>
  <c r="G3819" i="25"/>
  <c r="G3820" i="25"/>
  <c r="D3821" i="25"/>
  <c r="G3821" i="25"/>
  <c r="D3822" i="25"/>
  <c r="G3822" i="25"/>
  <c r="G3823" i="25"/>
  <c r="G3824" i="25"/>
  <c r="D3825" i="25"/>
  <c r="G3825" i="25"/>
  <c r="D3826" i="25"/>
  <c r="G3826" i="25"/>
  <c r="D3827" i="25"/>
  <c r="G3827" i="25"/>
  <c r="D3828" i="25"/>
  <c r="G3828" i="25"/>
  <c r="D3829" i="25"/>
  <c r="G3829" i="25"/>
  <c r="D3830" i="25"/>
  <c r="G3830" i="25"/>
  <c r="D3831" i="25"/>
  <c r="G3831" i="25"/>
  <c r="D3832" i="25"/>
  <c r="G3832" i="25"/>
  <c r="G3833" i="25"/>
  <c r="D3834" i="25"/>
  <c r="G3834" i="25"/>
  <c r="D3835" i="25"/>
  <c r="G3835" i="25"/>
  <c r="G3836" i="25"/>
  <c r="D3837" i="25"/>
  <c r="G3837" i="25"/>
  <c r="G3838" i="25"/>
  <c r="G3839" i="25"/>
  <c r="D3840" i="25"/>
  <c r="G3840" i="25"/>
  <c r="G3841" i="25"/>
  <c r="D3842" i="25"/>
  <c r="G3842" i="25"/>
  <c r="D3843" i="25"/>
  <c r="G3843" i="25"/>
  <c r="D3844" i="25"/>
  <c r="G3844" i="25"/>
  <c r="G3845" i="25"/>
  <c r="D3846" i="25"/>
  <c r="G3846" i="25"/>
  <c r="D3847" i="25"/>
  <c r="G3847" i="25"/>
  <c r="G3848" i="25"/>
  <c r="D3849" i="25"/>
  <c r="G3849" i="25"/>
  <c r="D3850" i="25"/>
  <c r="G3850" i="25"/>
  <c r="D3851" i="25"/>
  <c r="G3851" i="25"/>
  <c r="D3852" i="25"/>
  <c r="G3852" i="25"/>
  <c r="D3853" i="25"/>
  <c r="G3853" i="25"/>
  <c r="D3854" i="25"/>
  <c r="G3854" i="25"/>
  <c r="D3855" i="25"/>
  <c r="G3855" i="25"/>
  <c r="D3856" i="25"/>
  <c r="G3856" i="25"/>
  <c r="D3857" i="25"/>
  <c r="G3857" i="25"/>
  <c r="D3858" i="25"/>
  <c r="G3858" i="25"/>
  <c r="D3859" i="25"/>
  <c r="G3859" i="25"/>
  <c r="D3860" i="25"/>
  <c r="G3860" i="25"/>
  <c r="D3861" i="25"/>
  <c r="G3861" i="25"/>
  <c r="G3862" i="25"/>
  <c r="G3863" i="25"/>
  <c r="G3864" i="25"/>
  <c r="G3865" i="25"/>
  <c r="D3866" i="25"/>
  <c r="G3866" i="25"/>
  <c r="D3867" i="25"/>
  <c r="G3867" i="25"/>
  <c r="G3868" i="25"/>
  <c r="D3869" i="25"/>
  <c r="G3869" i="25"/>
  <c r="D3870" i="25"/>
  <c r="G3870" i="25"/>
  <c r="D3871" i="25"/>
  <c r="G3871" i="25"/>
  <c r="D3872" i="25"/>
  <c r="G3872" i="25"/>
  <c r="G3873" i="25"/>
  <c r="G3874" i="25"/>
  <c r="G3875" i="25"/>
  <c r="G3876" i="25"/>
  <c r="D3877" i="25"/>
  <c r="G3877" i="25"/>
  <c r="D3878" i="25"/>
  <c r="G3878" i="25"/>
  <c r="D3879" i="25"/>
  <c r="G3879" i="25"/>
  <c r="D3880" i="25"/>
  <c r="G3880" i="25"/>
  <c r="G3881" i="25"/>
  <c r="G3882" i="25"/>
  <c r="D3883" i="25"/>
  <c r="G3883" i="25"/>
  <c r="D3884" i="25"/>
  <c r="G3884" i="25"/>
  <c r="D3885" i="25"/>
  <c r="G3885" i="25"/>
  <c r="D3886" i="25"/>
  <c r="G3886" i="25"/>
  <c r="D3887" i="25"/>
  <c r="G3887" i="25"/>
  <c r="D3888" i="25"/>
  <c r="G3888" i="25"/>
  <c r="D3889" i="25"/>
  <c r="G3889" i="25"/>
  <c r="D3890" i="25"/>
  <c r="G3890" i="25"/>
  <c r="G3891" i="25"/>
  <c r="G3892" i="25"/>
  <c r="G3893" i="25"/>
  <c r="D3894" i="25"/>
  <c r="G3894" i="25"/>
  <c r="G3895" i="25"/>
  <c r="D3896" i="25"/>
  <c r="G3896" i="25"/>
  <c r="G3897" i="25"/>
  <c r="D3898" i="25"/>
  <c r="G3898" i="25"/>
  <c r="D3899" i="25"/>
  <c r="G3899" i="25"/>
  <c r="G3900" i="25"/>
  <c r="G3901" i="25"/>
  <c r="D3902" i="25"/>
  <c r="G3902" i="25"/>
  <c r="D3903" i="25"/>
  <c r="G3903" i="25"/>
  <c r="D3904" i="25"/>
  <c r="G3904" i="25"/>
  <c r="D3905" i="25"/>
  <c r="G3905" i="25"/>
  <c r="G3906" i="25"/>
  <c r="D3907" i="25"/>
  <c r="G3907" i="25"/>
  <c r="D3908" i="25"/>
  <c r="G3908" i="25"/>
  <c r="D3909" i="25"/>
  <c r="G3909" i="25"/>
  <c r="D3910" i="25"/>
  <c r="G3910" i="25"/>
  <c r="D3911" i="25"/>
  <c r="G3911" i="25"/>
  <c r="G3912" i="25"/>
  <c r="G3913" i="25"/>
  <c r="G3914" i="25"/>
  <c r="D3915" i="25"/>
  <c r="G3915" i="25"/>
  <c r="D3916" i="25"/>
  <c r="G3916" i="25"/>
  <c r="G3917" i="25"/>
  <c r="G3918" i="25"/>
  <c r="G3919" i="25"/>
  <c r="G3920" i="25"/>
  <c r="D3921" i="25"/>
  <c r="G3921" i="25"/>
  <c r="D3922" i="25"/>
  <c r="G3922" i="25"/>
  <c r="D3923" i="25"/>
  <c r="G3923" i="25"/>
  <c r="G3924" i="25"/>
  <c r="G3925" i="25"/>
  <c r="G3926" i="25"/>
  <c r="D3927" i="25"/>
  <c r="G3927" i="25"/>
  <c r="D3928" i="25"/>
  <c r="G3928" i="25"/>
  <c r="D3929" i="25"/>
  <c r="G3929" i="25"/>
  <c r="D3930" i="25"/>
  <c r="G3930" i="25"/>
  <c r="D3931" i="25"/>
  <c r="G3931" i="25"/>
  <c r="D3932" i="25"/>
  <c r="G3932" i="25"/>
  <c r="D3933" i="25"/>
  <c r="G3933" i="25"/>
  <c r="D3934" i="25"/>
  <c r="G3934" i="25"/>
  <c r="D3935" i="25"/>
  <c r="G3935" i="25"/>
  <c r="D3936" i="25"/>
  <c r="G3936" i="25"/>
  <c r="D3937" i="25"/>
  <c r="G3937" i="25"/>
  <c r="D3938" i="25"/>
  <c r="G3938" i="25"/>
  <c r="D3939" i="25"/>
  <c r="G3939" i="25"/>
  <c r="D3940" i="25"/>
  <c r="G3940" i="25"/>
  <c r="D3941" i="25"/>
  <c r="G3941" i="25"/>
  <c r="D3942" i="25"/>
  <c r="G3942" i="25"/>
  <c r="D3943" i="25"/>
  <c r="G3943" i="25"/>
  <c r="D3944" i="25"/>
  <c r="G3944" i="25"/>
  <c r="D3945" i="25"/>
  <c r="G3945" i="25"/>
  <c r="D3946" i="25"/>
  <c r="G3946" i="25"/>
  <c r="G3947" i="25"/>
  <c r="D3948" i="25"/>
  <c r="G3948" i="25"/>
  <c r="G3949" i="25"/>
  <c r="D3950" i="25"/>
  <c r="G3950" i="25"/>
  <c r="D3951" i="25"/>
  <c r="G3951" i="25"/>
  <c r="D3952" i="25"/>
  <c r="G3952" i="25"/>
  <c r="D3953" i="25"/>
  <c r="G3953" i="25"/>
  <c r="D3954" i="25"/>
  <c r="G3954" i="25"/>
  <c r="D3955" i="25"/>
  <c r="G3955" i="25"/>
  <c r="D3956" i="25"/>
  <c r="G3956" i="25"/>
  <c r="D3957" i="25"/>
  <c r="G3957" i="25"/>
  <c r="D3958" i="25"/>
  <c r="G3958" i="25"/>
  <c r="D3959" i="25"/>
  <c r="G3959" i="25"/>
  <c r="D3960" i="25"/>
  <c r="G3960" i="25"/>
  <c r="D3961" i="25"/>
  <c r="G3961" i="25"/>
  <c r="D3962" i="25"/>
  <c r="G3962" i="25"/>
  <c r="D3963" i="25"/>
  <c r="G3963" i="25"/>
  <c r="D3964" i="25"/>
  <c r="G3964" i="25"/>
  <c r="D3965" i="25"/>
  <c r="G3965" i="25"/>
  <c r="D3966" i="25"/>
  <c r="G3966" i="25"/>
  <c r="D3967" i="25"/>
  <c r="G3967" i="25"/>
  <c r="D3968" i="25"/>
  <c r="G3968" i="25"/>
  <c r="D3969" i="25"/>
  <c r="G3969" i="25"/>
  <c r="D3970" i="25"/>
  <c r="G3970" i="25"/>
  <c r="G3971" i="25"/>
  <c r="G3972" i="25"/>
  <c r="G3973" i="25"/>
  <c r="G3974" i="25"/>
  <c r="G3975" i="25"/>
  <c r="G3976" i="25"/>
  <c r="D3977" i="25"/>
  <c r="G3977" i="25"/>
  <c r="D3978" i="25"/>
  <c r="G3978" i="25"/>
  <c r="D3979" i="25"/>
  <c r="G3979" i="25"/>
  <c r="G3980" i="25"/>
  <c r="D3981" i="25"/>
  <c r="G3981" i="25"/>
  <c r="D3982" i="25"/>
  <c r="G3982" i="25"/>
  <c r="D3983" i="25"/>
  <c r="G3983" i="25"/>
  <c r="G3984" i="25"/>
  <c r="G3985" i="25"/>
  <c r="D3986" i="25"/>
  <c r="G3986" i="25"/>
  <c r="G3987" i="25"/>
  <c r="G3988" i="25"/>
  <c r="D3989" i="25"/>
  <c r="G3989" i="25"/>
  <c r="G3990" i="25"/>
  <c r="D3991" i="25"/>
  <c r="G3991" i="25"/>
  <c r="D3992" i="25"/>
  <c r="G3992" i="25"/>
  <c r="D3993" i="25"/>
  <c r="G3993" i="25"/>
  <c r="D3994" i="25"/>
  <c r="G3994" i="25"/>
  <c r="D3995" i="25"/>
  <c r="G3995" i="25"/>
  <c r="G3996" i="25"/>
  <c r="G3997" i="25"/>
  <c r="G3998" i="25"/>
  <c r="G3999" i="25"/>
  <c r="D4000" i="25"/>
  <c r="G4000" i="25"/>
  <c r="D4001" i="25"/>
  <c r="G4001" i="25"/>
  <c r="G4002" i="25"/>
  <c r="D4003" i="25"/>
  <c r="G4003" i="25"/>
  <c r="G4004" i="25"/>
  <c r="G4005" i="25"/>
  <c r="D4006" i="25"/>
  <c r="G4006" i="25"/>
  <c r="D4007" i="25"/>
  <c r="G4007" i="25"/>
  <c r="D4008" i="25"/>
  <c r="G4008" i="25"/>
  <c r="D4009" i="25"/>
  <c r="G4009" i="25"/>
  <c r="D4010" i="25"/>
  <c r="G4010" i="25"/>
  <c r="D4011" i="25"/>
  <c r="G4011" i="25"/>
  <c r="D4012" i="25"/>
  <c r="G4012" i="25"/>
  <c r="D4013" i="25"/>
  <c r="G4013" i="25"/>
  <c r="D4014" i="25"/>
  <c r="G4014" i="25"/>
  <c r="D4015" i="25"/>
  <c r="G4015" i="25"/>
  <c r="D4016" i="25"/>
  <c r="G4016" i="25"/>
  <c r="D4017" i="25"/>
  <c r="G4017" i="25"/>
  <c r="D4018" i="25"/>
  <c r="G4018" i="25"/>
  <c r="D4019" i="25"/>
  <c r="G4019" i="25"/>
  <c r="D4020" i="25"/>
  <c r="G4020" i="25"/>
  <c r="D4021" i="25"/>
  <c r="G4021" i="25"/>
  <c r="G4022" i="25"/>
  <c r="G4023" i="25"/>
  <c r="D4024" i="25"/>
  <c r="G4024" i="25"/>
  <c r="D4025" i="25"/>
  <c r="G4025" i="25"/>
  <c r="D4026" i="25"/>
  <c r="G4026" i="25"/>
  <c r="D4027" i="25"/>
  <c r="G4027" i="25"/>
  <c r="G4028" i="25"/>
  <c r="G4029" i="25"/>
  <c r="G4030" i="25"/>
  <c r="D4031" i="25"/>
  <c r="G4031" i="25"/>
  <c r="D4032" i="25"/>
  <c r="G4032" i="25"/>
  <c r="D4033" i="25"/>
  <c r="G4033" i="25"/>
  <c r="G4034" i="25"/>
  <c r="G4035" i="25"/>
  <c r="G4036" i="25"/>
  <c r="G4037" i="25"/>
  <c r="D4038" i="25"/>
  <c r="G4038" i="25"/>
  <c r="D4039" i="25"/>
  <c r="G4039" i="25"/>
  <c r="D4040" i="25"/>
  <c r="G4040" i="25"/>
  <c r="G4041" i="25"/>
  <c r="G4042" i="25"/>
  <c r="D4043" i="25"/>
  <c r="G4043" i="25"/>
  <c r="D4044" i="25"/>
  <c r="G4044" i="25"/>
  <c r="D4045" i="25"/>
  <c r="G4045" i="25"/>
  <c r="D4046" i="25"/>
  <c r="G4046" i="25"/>
  <c r="D4047" i="25"/>
  <c r="G4047" i="25"/>
  <c r="D4048" i="25"/>
  <c r="G4048" i="25"/>
  <c r="D4049" i="25"/>
  <c r="G4049" i="25"/>
  <c r="G4050" i="25"/>
  <c r="D4051" i="25"/>
  <c r="G4051" i="25"/>
  <c r="D4052" i="25"/>
  <c r="G4052" i="25"/>
  <c r="D4053" i="25"/>
  <c r="G4053" i="25"/>
  <c r="D4054" i="25"/>
  <c r="G4054" i="25"/>
  <c r="D4055" i="25"/>
  <c r="G4055" i="25"/>
  <c r="G4056" i="25"/>
  <c r="G4057" i="25"/>
  <c r="G4058" i="25"/>
  <c r="G4059" i="25"/>
  <c r="D4060" i="25"/>
  <c r="G4060" i="25"/>
  <c r="D4061" i="25"/>
  <c r="G4061" i="25"/>
  <c r="D4062" i="25"/>
  <c r="G4062" i="25"/>
  <c r="D4063" i="25"/>
  <c r="G4063" i="25"/>
  <c r="D4064" i="25"/>
  <c r="G4064" i="25"/>
  <c r="D4065" i="25"/>
  <c r="G4065" i="25"/>
  <c r="G4066" i="25"/>
  <c r="D4067" i="25"/>
  <c r="G4067" i="25"/>
  <c r="G4068" i="25"/>
  <c r="G4069" i="25"/>
  <c r="E4070" i="25"/>
  <c r="G4070" i="25"/>
  <c r="G4071" i="25"/>
  <c r="D4072" i="25"/>
  <c r="G4072" i="25"/>
  <c r="D4073" i="25"/>
  <c r="G4073" i="25"/>
  <c r="D4074" i="25"/>
  <c r="G4074" i="25"/>
  <c r="G4075" i="25"/>
  <c r="D4076" i="25"/>
  <c r="G4076" i="25"/>
  <c r="G4077" i="25"/>
  <c r="D4078" i="25"/>
  <c r="G4078" i="25"/>
  <c r="G4079" i="25"/>
  <c r="G4080" i="25"/>
  <c r="G4081" i="25"/>
  <c r="G4082" i="25"/>
  <c r="D4083" i="25"/>
  <c r="G4083" i="25"/>
  <c r="D4084" i="25"/>
  <c r="G4084" i="25"/>
  <c r="D4085" i="25"/>
  <c r="G4085" i="25"/>
  <c r="D4086" i="25"/>
  <c r="G4086" i="25"/>
  <c r="D4087" i="25"/>
  <c r="G4087" i="25"/>
  <c r="D4088" i="25"/>
  <c r="G4088" i="25"/>
  <c r="D4089" i="25"/>
  <c r="G4089" i="25"/>
  <c r="D4090" i="25"/>
  <c r="G4090" i="25"/>
  <c r="D4091" i="25"/>
  <c r="G4091" i="25"/>
  <c r="D4092" i="25"/>
  <c r="G4092" i="25"/>
  <c r="D4093" i="25"/>
  <c r="G4093" i="25"/>
  <c r="E4094" i="25"/>
  <c r="G4094" i="25"/>
  <c r="E4095" i="25"/>
  <c r="G4095" i="25"/>
  <c r="G4096" i="25"/>
  <c r="G4097" i="25"/>
  <c r="D4098" i="25"/>
  <c r="G4098" i="25"/>
  <c r="D4099" i="25"/>
  <c r="G4099" i="25"/>
  <c r="D4100" i="25"/>
  <c r="G4100" i="25"/>
  <c r="D4101" i="25"/>
  <c r="G4101" i="25"/>
  <c r="G4102" i="25"/>
  <c r="D4103" i="25"/>
  <c r="G4103" i="25"/>
  <c r="D4104" i="25"/>
  <c r="G4104" i="25"/>
  <c r="D4105" i="25"/>
  <c r="G4105" i="25"/>
  <c r="D4106" i="25"/>
  <c r="G4106" i="25"/>
  <c r="G4107" i="25"/>
  <c r="D4108" i="25"/>
  <c r="G4108" i="25"/>
  <c r="G4109" i="25"/>
  <c r="D4110" i="25"/>
  <c r="G4110" i="25"/>
  <c r="G4111" i="25"/>
  <c r="D4112" i="25"/>
  <c r="G4112" i="25"/>
  <c r="D4113" i="25"/>
  <c r="G4113" i="25"/>
  <c r="D4114" i="25"/>
  <c r="G4114" i="25"/>
  <c r="G4115" i="25"/>
  <c r="D4116" i="25"/>
  <c r="G4116" i="25"/>
  <c r="D4117" i="25"/>
  <c r="G4117" i="25"/>
  <c r="D4118" i="25"/>
  <c r="G4118" i="25"/>
  <c r="D4119" i="25"/>
  <c r="G4119" i="25"/>
  <c r="G4120" i="25"/>
  <c r="D4121" i="25"/>
  <c r="G4121" i="25"/>
  <c r="D4122" i="25"/>
  <c r="G4122" i="25"/>
  <c r="G4123" i="25"/>
  <c r="D4124" i="25"/>
  <c r="G4124" i="25"/>
  <c r="D4125" i="25"/>
  <c r="G4125" i="25"/>
  <c r="D4126" i="25"/>
  <c r="G4126" i="25"/>
  <c r="D4127" i="25"/>
  <c r="G4127" i="25"/>
  <c r="G4128" i="25"/>
  <c r="D4129" i="25"/>
  <c r="G4129" i="25"/>
  <c r="D4130" i="25"/>
  <c r="G4130" i="25"/>
  <c r="D4131" i="25"/>
  <c r="G4131" i="25"/>
  <c r="D4132" i="25"/>
  <c r="G4132" i="25"/>
  <c r="D4133" i="25"/>
  <c r="G4133" i="25"/>
  <c r="D4134" i="25"/>
  <c r="G4134" i="25"/>
  <c r="D4135" i="25"/>
  <c r="G4135" i="25"/>
  <c r="D4136" i="25"/>
  <c r="G4136" i="25"/>
  <c r="D4137" i="25"/>
  <c r="G4137" i="25"/>
  <c r="D4138" i="25"/>
  <c r="G4138" i="25"/>
  <c r="D4139" i="25"/>
  <c r="G4139" i="25"/>
  <c r="D4140" i="25"/>
  <c r="G4140" i="25"/>
  <c r="D4141" i="25"/>
  <c r="G4141" i="25"/>
  <c r="D4142" i="25"/>
  <c r="G4142" i="25"/>
  <c r="D4143" i="25"/>
  <c r="G4143" i="25"/>
  <c r="D4144" i="25"/>
  <c r="G4144" i="25"/>
  <c r="D4145" i="25"/>
  <c r="G4145" i="25"/>
  <c r="D4146" i="25"/>
  <c r="G4146" i="25"/>
  <c r="D4147" i="25"/>
  <c r="G4147" i="25"/>
  <c r="D4148" i="25"/>
  <c r="G4148" i="25"/>
  <c r="D4149" i="25"/>
  <c r="G4149" i="25"/>
  <c r="D4150" i="25"/>
  <c r="G4150" i="25"/>
  <c r="D4151" i="25"/>
  <c r="G4151" i="25"/>
  <c r="D4152" i="25"/>
  <c r="G4152" i="25"/>
  <c r="D4153" i="25"/>
  <c r="G4153" i="25"/>
  <c r="D4154" i="25"/>
  <c r="G4154" i="25"/>
  <c r="D4155" i="25"/>
  <c r="G4155" i="25"/>
  <c r="D4156" i="25"/>
  <c r="G4156" i="25"/>
  <c r="D4157" i="25"/>
  <c r="G4157" i="25"/>
  <c r="D4158" i="25"/>
  <c r="G4158" i="25"/>
  <c r="G4159" i="25"/>
  <c r="G4160" i="25"/>
  <c r="D4161" i="25"/>
  <c r="G4161" i="25"/>
  <c r="D4162" i="25"/>
  <c r="G4162" i="25"/>
  <c r="G4163" i="25"/>
  <c r="G4164" i="25"/>
  <c r="G4165" i="25"/>
  <c r="D4166" i="25"/>
  <c r="G4166" i="25"/>
  <c r="D4167" i="25"/>
  <c r="G4167" i="25"/>
  <c r="D4168" i="25"/>
  <c r="G4168" i="25"/>
  <c r="D4169" i="25"/>
  <c r="G4169" i="25"/>
  <c r="D4170" i="25"/>
  <c r="G4170" i="25"/>
  <c r="G4171" i="25"/>
  <c r="G4172" i="25"/>
  <c r="G4173" i="25"/>
  <c r="D4174" i="25"/>
  <c r="G4174" i="25"/>
  <c r="D4175" i="25"/>
  <c r="G4175" i="25"/>
  <c r="D4176" i="25"/>
  <c r="G4176" i="25"/>
  <c r="D4177" i="25"/>
  <c r="G4177" i="25"/>
  <c r="D4178" i="25"/>
  <c r="G4178" i="25"/>
  <c r="D4179" i="25"/>
  <c r="G4179" i="25"/>
  <c r="D4180" i="25"/>
  <c r="G4180" i="25"/>
  <c r="G4181" i="25"/>
  <c r="G4182" i="25"/>
  <c r="D4183" i="25"/>
  <c r="G4183" i="25"/>
  <c r="G4184" i="25"/>
  <c r="D4185" i="25"/>
  <c r="G4185" i="25"/>
  <c r="D4186" i="25"/>
  <c r="G4186" i="25"/>
  <c r="D4187" i="25"/>
  <c r="G4187" i="25"/>
  <c r="D4188" i="25"/>
  <c r="G4188" i="25"/>
  <c r="D4189" i="25"/>
  <c r="G4189" i="25"/>
  <c r="D4190" i="25"/>
  <c r="G4190" i="25"/>
  <c r="G4191" i="25"/>
  <c r="D4192" i="25"/>
  <c r="G4192" i="25"/>
  <c r="D4193" i="25"/>
  <c r="G4193" i="25"/>
  <c r="D4194" i="25"/>
  <c r="G4194" i="25"/>
  <c r="D4195" i="25"/>
  <c r="G4195" i="25"/>
  <c r="D4196" i="25"/>
  <c r="G4196" i="25"/>
  <c r="D4197" i="25"/>
  <c r="G4197" i="25"/>
  <c r="G4198" i="25"/>
  <c r="D4199" i="25"/>
  <c r="G4199" i="25"/>
  <c r="D4200" i="25"/>
  <c r="G4200" i="25"/>
  <c r="D4201" i="25"/>
  <c r="G4201" i="25"/>
  <c r="D4202" i="25"/>
  <c r="G4202" i="25"/>
  <c r="D4203" i="25"/>
  <c r="G4203" i="25"/>
  <c r="D4204" i="25"/>
  <c r="G4204" i="25"/>
  <c r="D4205" i="25"/>
  <c r="G4205" i="25"/>
  <c r="D4206" i="25"/>
  <c r="G4206" i="25"/>
  <c r="D4207" i="25"/>
  <c r="G4207" i="25"/>
  <c r="D4208" i="25"/>
  <c r="G4208" i="25"/>
  <c r="D4209" i="25"/>
  <c r="G4209" i="25"/>
  <c r="D4210" i="25"/>
  <c r="G4210" i="25"/>
  <c r="D4211" i="25"/>
  <c r="G4211" i="25"/>
  <c r="D4212" i="25"/>
  <c r="G4212" i="25"/>
  <c r="D4213" i="25"/>
  <c r="G4213" i="25"/>
  <c r="D4214" i="25"/>
  <c r="G4214" i="25"/>
  <c r="D4215" i="25"/>
  <c r="G4215" i="25"/>
  <c r="D4216" i="25"/>
  <c r="G4216" i="25"/>
  <c r="G4217" i="25"/>
  <c r="D4218" i="25"/>
  <c r="G4218" i="25"/>
  <c r="D4219" i="25"/>
  <c r="G4219" i="25"/>
  <c r="D4220" i="25"/>
  <c r="G4220" i="25"/>
  <c r="D4221" i="25"/>
  <c r="G4221" i="25"/>
  <c r="D4222" i="25"/>
  <c r="G4222" i="25"/>
  <c r="D4223" i="25"/>
  <c r="G4223" i="25"/>
  <c r="D4224" i="25"/>
  <c r="G4224" i="25"/>
  <c r="D4225" i="25"/>
  <c r="G4225" i="25"/>
  <c r="D4226" i="25"/>
  <c r="G4226" i="25"/>
  <c r="D4227" i="25"/>
  <c r="G4227" i="25"/>
  <c r="D4228" i="25"/>
  <c r="G4228" i="25"/>
  <c r="G4229" i="25"/>
  <c r="E4230" i="25"/>
  <c r="G4230" i="25"/>
  <c r="G4231" i="25"/>
  <c r="D4232" i="25"/>
  <c r="G4232" i="25"/>
  <c r="D4233" i="25"/>
  <c r="G4233" i="25"/>
  <c r="D4234" i="25"/>
  <c r="G4234" i="25"/>
  <c r="G4235" i="25"/>
  <c r="G4236" i="25"/>
  <c r="G4237" i="25"/>
  <c r="D4238" i="25"/>
  <c r="G4238" i="25"/>
  <c r="D4239" i="25"/>
  <c r="G4239" i="25"/>
  <c r="D4240" i="25"/>
  <c r="G4240" i="25"/>
  <c r="G4241" i="25"/>
  <c r="D4242" i="25"/>
  <c r="G4242" i="25"/>
  <c r="D4243" i="25"/>
  <c r="G4243" i="25"/>
  <c r="D4244" i="25"/>
  <c r="G4244" i="25"/>
  <c r="G4245" i="25"/>
  <c r="G4246" i="25"/>
  <c r="G4247" i="25"/>
  <c r="D4248" i="25"/>
  <c r="G4248" i="25"/>
  <c r="D4249" i="25"/>
  <c r="G4249" i="25"/>
  <c r="D4250" i="25"/>
  <c r="G4250" i="25"/>
  <c r="G4251" i="25"/>
  <c r="E4252" i="25"/>
  <c r="G4252" i="25"/>
  <c r="G4253" i="25"/>
  <c r="G4254" i="25"/>
  <c r="D4255" i="25"/>
  <c r="G4255" i="25"/>
  <c r="D4256" i="25"/>
  <c r="G4256" i="25"/>
  <c r="D4257" i="25"/>
  <c r="G4257" i="25"/>
  <c r="D4258" i="25"/>
  <c r="G4258" i="25"/>
  <c r="D4259" i="25"/>
  <c r="G4259" i="25"/>
  <c r="D4260" i="25"/>
  <c r="G4260" i="25"/>
  <c r="D4261" i="25"/>
  <c r="G4261" i="25"/>
  <c r="D4262" i="25"/>
  <c r="G4262" i="25"/>
  <c r="D4263" i="25"/>
  <c r="G4263" i="25"/>
  <c r="D4264" i="25"/>
  <c r="G4264" i="25"/>
  <c r="D4265" i="25"/>
  <c r="G4265" i="25"/>
  <c r="D4266" i="25"/>
  <c r="G4266" i="25"/>
  <c r="D4267" i="25"/>
  <c r="G4267" i="25"/>
  <c r="D4268" i="25"/>
  <c r="G4268" i="25"/>
  <c r="D4269" i="25"/>
  <c r="G4269" i="25"/>
  <c r="D4270" i="25"/>
  <c r="G4270" i="25"/>
  <c r="D4271" i="25"/>
  <c r="G4271" i="25"/>
  <c r="D4272" i="25"/>
  <c r="G4272" i="25"/>
  <c r="G4273" i="25"/>
  <c r="G4274" i="25"/>
  <c r="D4275" i="25"/>
  <c r="G4275" i="25"/>
  <c r="D4276" i="25"/>
  <c r="G4276" i="25"/>
  <c r="D4277" i="25"/>
  <c r="G4277" i="25"/>
  <c r="G4278" i="25"/>
  <c r="D4279" i="25"/>
  <c r="G4279" i="25"/>
  <c r="G4280" i="25"/>
  <c r="D4281" i="25"/>
  <c r="G4281" i="25"/>
  <c r="D4282" i="25"/>
  <c r="G4282" i="25"/>
  <c r="D4283" i="25"/>
  <c r="G4283" i="25"/>
  <c r="G4284" i="25"/>
  <c r="D4285" i="25"/>
  <c r="G4285" i="25"/>
  <c r="G4286" i="25"/>
  <c r="D4287" i="25"/>
  <c r="G4287" i="25"/>
  <c r="E4288" i="25"/>
  <c r="G4288" i="25"/>
  <c r="G4289" i="25"/>
  <c r="G4290" i="25"/>
  <c r="D4291" i="25"/>
  <c r="G4291" i="25"/>
  <c r="D4292" i="25"/>
  <c r="G4292" i="25"/>
  <c r="D4293" i="25"/>
  <c r="G4293" i="25"/>
  <c r="D4294" i="25"/>
  <c r="G4294" i="25"/>
  <c r="G4295" i="25"/>
  <c r="G4296" i="25"/>
  <c r="G4297" i="25"/>
  <c r="D4298" i="25"/>
  <c r="G4298" i="25"/>
  <c r="D4299" i="25"/>
  <c r="G4299" i="25"/>
  <c r="D4300" i="25"/>
  <c r="G4300" i="25"/>
  <c r="D4301" i="25"/>
  <c r="G4301" i="25"/>
  <c r="D4302" i="25"/>
  <c r="G4302" i="25"/>
  <c r="G4303" i="25"/>
  <c r="D4304" i="25"/>
  <c r="G4304" i="25"/>
  <c r="D4305" i="25"/>
  <c r="G4305" i="25"/>
  <c r="G4306" i="25"/>
  <c r="D4307" i="25"/>
  <c r="G4307" i="25"/>
  <c r="D4308" i="25"/>
  <c r="G4308" i="25"/>
  <c r="D4309" i="25"/>
  <c r="G4309" i="25"/>
  <c r="G4310" i="25"/>
  <c r="G4311" i="25"/>
  <c r="D4312" i="25"/>
  <c r="G4312" i="25"/>
  <c r="D4313" i="25"/>
  <c r="G4313" i="25"/>
  <c r="D4314" i="25"/>
  <c r="G4314" i="25"/>
  <c r="D4315" i="25"/>
  <c r="G4315" i="25"/>
  <c r="G4316" i="25"/>
  <c r="D4317" i="25"/>
  <c r="G4317" i="25"/>
  <c r="D4318" i="25"/>
  <c r="G4318" i="25"/>
  <c r="D4319" i="25"/>
  <c r="G4319" i="25"/>
  <c r="D4320" i="25"/>
  <c r="G4320" i="25"/>
  <c r="D4321" i="25"/>
  <c r="G4321" i="25"/>
  <c r="G4322" i="25"/>
  <c r="D4323" i="25"/>
  <c r="G4323" i="25"/>
  <c r="D4324" i="25"/>
  <c r="G4324" i="25"/>
  <c r="D4325" i="25"/>
  <c r="G4325" i="25"/>
  <c r="D4326" i="25"/>
  <c r="G4326" i="25"/>
  <c r="D4327" i="25"/>
  <c r="G4327" i="25"/>
  <c r="D4328" i="25"/>
  <c r="G4328" i="25"/>
  <c r="D4329" i="25"/>
  <c r="G4329" i="25"/>
  <c r="D4330" i="25"/>
  <c r="G4330" i="25"/>
  <c r="D4331" i="25"/>
  <c r="G4331" i="25"/>
  <c r="G4332" i="25"/>
  <c r="D4333" i="25"/>
  <c r="G4333" i="25"/>
  <c r="D4334" i="25"/>
  <c r="G4334" i="25"/>
  <c r="D4335" i="25"/>
  <c r="G4335" i="25"/>
  <c r="D4336" i="25"/>
  <c r="G4336" i="25"/>
  <c r="D4337" i="25"/>
  <c r="G4337" i="25"/>
  <c r="D4338" i="25"/>
  <c r="G4338" i="25"/>
  <c r="D4339" i="25"/>
  <c r="G4339" i="25"/>
  <c r="D4340" i="25"/>
  <c r="G4340" i="25"/>
  <c r="G4341" i="25"/>
  <c r="G4342" i="25"/>
  <c r="D4343" i="25"/>
  <c r="G4343" i="25"/>
  <c r="D4344" i="25"/>
  <c r="G4344" i="25"/>
  <c r="D4345" i="25"/>
  <c r="G4345" i="25"/>
  <c r="D4346" i="25"/>
  <c r="G4346" i="25"/>
  <c r="D4347" i="25"/>
  <c r="G4347" i="25"/>
  <c r="D4348" i="25"/>
  <c r="G4348" i="25"/>
  <c r="D4349" i="25"/>
  <c r="G4349" i="25"/>
  <c r="G4350" i="25"/>
  <c r="D4351" i="25"/>
  <c r="G4351" i="25"/>
  <c r="D4352" i="25"/>
  <c r="G4352" i="25"/>
  <c r="D4353" i="25"/>
  <c r="G4353" i="25"/>
  <c r="D4354" i="25"/>
  <c r="G4354" i="25"/>
  <c r="G4355" i="25"/>
  <c r="D4356" i="25"/>
  <c r="G4356" i="25"/>
  <c r="D4357" i="25"/>
  <c r="G4357" i="25"/>
  <c r="D4358" i="25"/>
  <c r="G4358" i="25"/>
  <c r="G4359" i="25"/>
  <c r="G4360" i="25"/>
  <c r="G4361" i="25"/>
  <c r="G4362" i="25"/>
  <c r="D4363" i="25"/>
  <c r="G4363" i="25"/>
  <c r="D4364" i="25"/>
  <c r="G4364" i="25"/>
  <c r="D4365" i="25"/>
  <c r="G4365" i="25"/>
  <c r="D4366" i="25"/>
  <c r="G4366" i="25"/>
  <c r="D4367" i="25"/>
  <c r="G4367" i="25"/>
  <c r="D4368" i="25"/>
  <c r="G4368" i="25"/>
  <c r="D4369" i="25"/>
  <c r="G4369" i="25"/>
  <c r="D4370" i="25"/>
  <c r="G4370" i="25"/>
  <c r="D4371" i="25"/>
  <c r="G4371" i="25"/>
  <c r="D4372" i="25"/>
  <c r="G4372" i="25"/>
  <c r="D4373" i="25"/>
  <c r="G4373" i="25"/>
  <c r="G4374" i="25"/>
  <c r="G4375" i="25"/>
  <c r="D4376" i="25"/>
  <c r="G4376" i="25"/>
  <c r="D4377" i="25"/>
  <c r="G4377" i="25"/>
  <c r="G4378" i="25"/>
  <c r="D4379" i="25"/>
  <c r="G4379" i="25"/>
  <c r="D4380" i="25"/>
  <c r="G4380" i="25"/>
  <c r="D4381" i="25"/>
  <c r="G4381" i="25"/>
  <c r="D4382" i="25"/>
  <c r="G4382" i="25"/>
  <c r="D4383" i="25"/>
  <c r="G4383" i="25"/>
  <c r="D4384" i="25"/>
  <c r="G4384" i="25"/>
  <c r="D4385" i="25"/>
  <c r="G4385" i="25"/>
  <c r="D4386" i="25"/>
  <c r="G4386" i="25"/>
  <c r="G4387" i="25"/>
  <c r="D4388" i="25"/>
  <c r="G4388" i="25"/>
  <c r="D4389" i="25"/>
  <c r="G4389" i="25"/>
  <c r="D4390" i="25"/>
  <c r="G4390" i="25"/>
  <c r="G4391" i="25"/>
  <c r="G4392" i="25"/>
  <c r="D4393" i="25"/>
  <c r="G4393" i="25"/>
  <c r="D4394" i="25"/>
  <c r="G4394" i="25"/>
  <c r="D4395" i="25"/>
  <c r="G4395" i="25"/>
  <c r="D4396" i="25"/>
  <c r="G4396" i="25"/>
  <c r="D4397" i="25"/>
  <c r="G4397" i="25"/>
  <c r="D4398" i="25"/>
  <c r="G4398" i="25"/>
  <c r="D4399" i="25"/>
  <c r="G4399" i="25"/>
  <c r="D4400" i="25"/>
  <c r="G4400" i="25"/>
  <c r="G4401" i="25"/>
  <c r="D4402" i="25"/>
  <c r="G4402" i="25"/>
  <c r="D4403" i="25"/>
  <c r="G4403" i="25"/>
  <c r="D4404" i="25"/>
  <c r="G4404" i="25"/>
  <c r="D4405" i="25"/>
  <c r="G4405" i="25"/>
  <c r="G4406" i="25"/>
  <c r="D4407" i="25"/>
  <c r="G4407" i="25"/>
  <c r="D4408" i="25"/>
  <c r="G4408" i="25"/>
  <c r="D4409" i="25"/>
  <c r="G4409" i="25"/>
  <c r="G4410" i="25"/>
  <c r="D4411" i="25"/>
  <c r="G4411" i="25"/>
  <c r="G4412" i="25"/>
  <c r="D4413" i="25"/>
  <c r="G4413" i="25"/>
  <c r="D4414" i="25"/>
  <c r="G4414" i="25"/>
  <c r="D4415" i="25"/>
  <c r="G4415" i="25"/>
  <c r="G4416" i="25"/>
  <c r="D4417" i="25"/>
  <c r="G4417" i="25"/>
  <c r="D4418" i="25"/>
  <c r="G4418" i="25"/>
  <c r="D4419" i="25"/>
  <c r="G4419" i="25"/>
  <c r="D4420" i="25"/>
  <c r="G4420" i="25"/>
  <c r="D4421" i="25"/>
  <c r="G4421" i="25"/>
  <c r="D4422" i="25"/>
  <c r="G4422" i="25"/>
  <c r="D4423" i="25"/>
  <c r="G4423" i="25"/>
  <c r="D4424" i="25"/>
  <c r="G4424" i="25"/>
  <c r="D4425" i="25"/>
  <c r="G4425" i="25"/>
  <c r="D4426" i="25"/>
  <c r="G4426" i="25"/>
  <c r="D4427" i="25"/>
  <c r="G4427" i="25"/>
  <c r="D4428" i="25"/>
  <c r="G4428" i="25"/>
  <c r="D4429" i="25"/>
  <c r="G4429" i="25"/>
  <c r="G4430" i="25"/>
  <c r="D4431" i="25"/>
  <c r="G4431" i="25"/>
  <c r="D4432" i="25"/>
  <c r="G4432" i="25"/>
  <c r="D4433" i="25"/>
  <c r="G4433" i="25"/>
  <c r="D4434" i="25"/>
  <c r="G4434" i="25"/>
  <c r="G4435" i="25"/>
  <c r="G4436" i="25"/>
  <c r="G4437" i="25"/>
  <c r="D4438" i="25"/>
  <c r="G4438" i="25"/>
  <c r="D4439" i="25"/>
  <c r="G4439" i="25"/>
  <c r="D4440" i="25"/>
  <c r="G4440" i="25"/>
  <c r="D4441" i="25"/>
  <c r="G4441" i="25"/>
  <c r="G4442" i="25"/>
  <c r="G4443" i="25"/>
  <c r="D4444" i="25"/>
  <c r="G4444" i="25"/>
  <c r="D4445" i="25"/>
  <c r="G4445" i="25"/>
  <c r="G4446" i="25"/>
  <c r="G4447" i="25"/>
  <c r="D4448" i="25"/>
  <c r="G4448" i="25"/>
  <c r="D4449" i="25"/>
  <c r="G4449" i="25"/>
  <c r="G4450" i="25"/>
  <c r="D4451" i="25"/>
  <c r="G4451" i="25"/>
  <c r="D4452" i="25"/>
  <c r="G4452" i="25"/>
  <c r="D4453" i="25"/>
  <c r="G4453" i="25"/>
  <c r="G4454" i="25"/>
  <c r="G4455" i="25"/>
  <c r="D4456" i="25"/>
  <c r="G4456" i="25"/>
  <c r="D4457" i="25"/>
  <c r="G4457" i="25"/>
  <c r="D4458" i="25"/>
  <c r="G4458" i="25"/>
  <c r="G4459" i="25"/>
  <c r="D4460" i="25"/>
  <c r="G4460" i="25"/>
  <c r="D4461" i="25"/>
  <c r="G4461" i="25"/>
  <c r="G4462" i="25"/>
  <c r="G4463" i="25"/>
  <c r="D4464" i="25"/>
  <c r="G4464" i="25"/>
  <c r="D4465" i="25"/>
  <c r="G4465" i="25"/>
  <c r="D4466" i="25"/>
  <c r="G4466" i="25"/>
  <c r="G4467" i="25"/>
  <c r="D4468" i="25"/>
  <c r="G4468" i="25"/>
  <c r="G4469" i="25"/>
  <c r="D4470" i="25"/>
  <c r="G4470" i="25"/>
  <c r="D4471" i="25"/>
  <c r="G4471" i="25"/>
  <c r="D4472" i="25"/>
  <c r="G4472" i="25"/>
  <c r="D4473" i="25"/>
  <c r="G4473" i="25"/>
  <c r="D4474" i="25"/>
  <c r="G4474" i="25"/>
  <c r="D4475" i="25"/>
  <c r="G4475" i="25"/>
  <c r="D4476" i="25"/>
  <c r="G4476" i="25"/>
  <c r="D4477" i="25"/>
  <c r="G4477" i="25"/>
  <c r="D4478" i="25"/>
  <c r="G4478" i="25"/>
  <c r="D4479" i="25"/>
  <c r="G4479" i="25"/>
  <c r="G4480" i="25"/>
  <c r="G4481" i="25"/>
  <c r="G4482" i="25"/>
  <c r="D4483" i="25"/>
  <c r="G4483" i="25"/>
  <c r="D4484" i="25"/>
  <c r="G4484" i="25"/>
  <c r="D4485" i="25"/>
  <c r="G4485" i="25"/>
  <c r="D4486" i="25"/>
  <c r="G4486" i="25"/>
  <c r="G4487" i="25"/>
  <c r="G4488" i="25"/>
  <c r="D4489" i="25"/>
  <c r="G4489" i="25"/>
  <c r="G4490" i="25"/>
  <c r="G4491" i="25"/>
  <c r="G4492" i="25"/>
  <c r="G4493" i="25"/>
  <c r="G4494" i="25"/>
  <c r="D4495" i="25"/>
  <c r="G4495" i="25"/>
  <c r="D4496" i="25"/>
  <c r="G4496" i="25"/>
  <c r="D4497" i="25"/>
  <c r="G4497" i="25"/>
  <c r="D4498" i="25"/>
  <c r="G4498" i="25"/>
  <c r="D4499" i="25"/>
  <c r="G4499" i="25"/>
  <c r="D4500" i="25"/>
  <c r="G4500" i="25"/>
  <c r="D4501" i="25"/>
  <c r="G4501" i="25"/>
  <c r="D4502" i="25"/>
  <c r="G4502" i="25"/>
  <c r="D4503" i="25"/>
  <c r="G4503" i="25"/>
  <c r="G4504" i="25"/>
  <c r="G4505" i="25"/>
  <c r="D4506" i="25"/>
  <c r="G4506" i="25"/>
  <c r="D4507" i="25"/>
  <c r="G4507" i="25"/>
  <c r="D4508" i="25"/>
  <c r="G4508" i="25"/>
  <c r="D4509" i="25"/>
  <c r="G4509" i="25"/>
  <c r="G4510" i="25"/>
  <c r="D4511" i="25"/>
  <c r="G4511" i="25"/>
  <c r="G4512" i="25"/>
  <c r="G4513" i="25"/>
  <c r="G4514" i="25"/>
  <c r="G4515" i="25"/>
  <c r="G4516" i="25"/>
  <c r="D4517" i="25"/>
  <c r="G4517" i="25"/>
  <c r="D4518" i="25"/>
  <c r="G4518" i="25"/>
  <c r="D4519" i="25"/>
  <c r="G4519" i="25"/>
  <c r="G4520" i="25"/>
  <c r="G4521" i="25"/>
  <c r="G4522" i="25"/>
  <c r="G4523" i="25"/>
  <c r="D4524" i="25"/>
  <c r="G4524" i="25"/>
  <c r="G4525" i="25"/>
  <c r="G4526" i="25"/>
  <c r="G4527" i="25"/>
  <c r="D4528" i="25"/>
  <c r="G4528" i="25"/>
  <c r="D4529" i="25"/>
  <c r="G4529" i="25"/>
  <c r="G4530" i="25"/>
  <c r="G4531" i="25"/>
  <c r="D4532" i="25"/>
  <c r="G4532" i="25"/>
  <c r="G4533" i="25"/>
  <c r="G4534" i="25"/>
  <c r="D4535" i="25"/>
  <c r="G4535" i="25"/>
  <c r="D4536" i="25"/>
  <c r="G4536" i="25"/>
  <c r="D4537" i="25"/>
  <c r="G4537" i="25"/>
  <c r="D4538" i="25"/>
  <c r="G4538" i="25"/>
  <c r="D4539" i="25"/>
  <c r="G4539" i="25"/>
  <c r="D4540" i="25"/>
  <c r="G4540" i="25"/>
  <c r="D4541" i="25"/>
  <c r="G4541" i="25"/>
  <c r="G4542" i="25"/>
  <c r="D4543" i="25"/>
  <c r="G4543" i="25"/>
  <c r="D4544" i="25"/>
  <c r="G4544" i="25"/>
  <c r="D4545" i="25"/>
  <c r="G4545" i="25"/>
  <c r="D4546" i="25"/>
  <c r="G4546" i="25"/>
  <c r="G4547" i="25"/>
  <c r="D4548" i="25"/>
  <c r="G4548" i="25"/>
  <c r="D4549" i="25"/>
  <c r="G4549" i="25"/>
  <c r="G4550" i="25"/>
  <c r="D4551" i="25"/>
  <c r="G4551" i="25"/>
  <c r="D4552" i="25"/>
  <c r="G4552" i="25"/>
  <c r="D4553" i="25"/>
  <c r="G4553" i="25"/>
  <c r="G4554" i="25"/>
  <c r="D4555" i="25"/>
  <c r="G4555" i="25"/>
  <c r="D4556" i="25"/>
  <c r="G4556" i="25"/>
  <c r="D4557" i="25"/>
  <c r="G4557" i="25"/>
  <c r="D4558" i="25"/>
  <c r="G4558" i="25"/>
  <c r="D4559" i="25"/>
  <c r="G4559" i="25"/>
  <c r="D4560" i="25"/>
  <c r="G4560" i="25"/>
  <c r="D4561" i="25"/>
  <c r="G4561" i="25"/>
  <c r="G4562" i="25"/>
  <c r="G4563" i="25"/>
  <c r="D4564" i="25"/>
  <c r="G4564" i="25"/>
  <c r="D4565" i="25"/>
  <c r="G4565" i="25"/>
  <c r="D4566" i="25"/>
  <c r="G4566" i="25"/>
  <c r="D4567" i="25"/>
  <c r="G4567" i="25"/>
  <c r="G4568" i="25"/>
  <c r="G4569" i="25"/>
  <c r="G4570" i="25"/>
  <c r="G4571" i="25"/>
  <c r="G4572" i="25"/>
  <c r="G4573" i="25"/>
  <c r="D4574" i="25"/>
  <c r="G4574" i="25"/>
  <c r="D4575" i="25"/>
  <c r="G4575" i="25"/>
  <c r="D4576" i="25"/>
  <c r="G4576" i="25"/>
  <c r="D4577" i="25"/>
  <c r="G4577" i="25"/>
  <c r="D4578" i="25"/>
  <c r="G4578" i="25"/>
  <c r="G4579" i="25"/>
  <c r="G4580" i="25"/>
  <c r="D4581" i="25"/>
  <c r="G4581" i="25"/>
  <c r="D4582" i="25"/>
  <c r="G4582" i="25"/>
  <c r="D4583" i="25"/>
  <c r="G4583" i="25"/>
  <c r="G4584" i="25"/>
  <c r="G4585" i="25"/>
  <c r="D4586" i="25"/>
  <c r="G4586" i="25"/>
  <c r="D4587" i="25"/>
  <c r="G4587" i="25"/>
  <c r="D4588" i="25"/>
  <c r="G4588" i="25"/>
  <c r="D4589" i="25"/>
  <c r="G4589" i="25"/>
  <c r="D4590" i="25"/>
  <c r="G4590" i="25"/>
  <c r="D4591" i="25"/>
  <c r="G4591" i="25"/>
  <c r="G4592" i="25"/>
  <c r="G4593" i="25"/>
  <c r="G4594" i="25"/>
  <c r="G4595" i="25"/>
  <c r="G4596" i="25"/>
  <c r="D4597" i="25"/>
  <c r="G4597" i="25"/>
  <c r="D4598" i="25"/>
  <c r="G4598" i="25"/>
  <c r="D4599" i="25"/>
  <c r="G4599" i="25"/>
  <c r="G4600" i="25"/>
  <c r="D4601" i="25"/>
  <c r="G4601" i="25"/>
  <c r="D4602" i="25"/>
  <c r="G4602" i="25"/>
  <c r="D4603" i="25"/>
  <c r="G4603" i="25"/>
  <c r="D4604" i="25"/>
  <c r="G4604" i="25"/>
  <c r="D4605" i="25"/>
  <c r="G4605" i="25"/>
  <c r="D4606" i="25"/>
  <c r="G4606" i="25"/>
  <c r="G4607" i="25"/>
  <c r="D4608" i="25"/>
  <c r="G4608" i="25"/>
  <c r="D4609" i="25"/>
  <c r="G4609" i="25"/>
  <c r="D4610" i="25"/>
  <c r="G4610" i="25"/>
  <c r="D4611" i="25"/>
  <c r="G4611" i="25"/>
  <c r="G4612" i="25"/>
  <c r="G4613" i="25"/>
  <c r="D4614" i="25"/>
  <c r="G4614" i="25"/>
  <c r="D4615" i="25"/>
  <c r="G4615" i="25"/>
  <c r="D4616" i="25"/>
  <c r="G4616" i="25"/>
  <c r="D4617" i="25"/>
  <c r="G4617" i="25"/>
  <c r="D4618" i="25"/>
  <c r="G4618" i="25"/>
  <c r="D4619" i="25"/>
  <c r="G4619" i="25"/>
  <c r="G4620" i="25"/>
  <c r="D4621" i="25"/>
  <c r="G4621" i="25"/>
  <c r="D4622" i="25"/>
  <c r="G4622" i="25"/>
  <c r="D4623" i="25"/>
  <c r="G4623" i="25"/>
  <c r="D4624" i="25"/>
  <c r="G4624" i="25"/>
  <c r="D4625" i="25"/>
  <c r="G4625" i="25"/>
  <c r="D4626" i="25"/>
  <c r="G4626" i="25"/>
  <c r="G4627" i="25"/>
  <c r="G4628" i="25"/>
  <c r="G4629" i="25"/>
  <c r="D4630" i="25"/>
  <c r="G4630" i="25"/>
  <c r="G4631" i="25"/>
  <c r="G4632" i="25"/>
  <c r="G4633" i="25"/>
  <c r="G4634" i="25"/>
  <c r="G4635" i="25"/>
  <c r="D4636" i="25"/>
  <c r="G4636" i="25"/>
  <c r="D4637" i="25"/>
  <c r="G4637" i="25"/>
  <c r="D4638" i="25"/>
  <c r="G4638" i="25"/>
  <c r="G4639" i="25"/>
  <c r="G4640" i="25"/>
  <c r="D4641" i="25"/>
  <c r="G4641" i="25"/>
  <c r="D4642" i="25"/>
  <c r="G4642" i="25"/>
  <c r="D4643" i="25"/>
  <c r="G4643" i="25"/>
  <c r="D4644" i="25"/>
  <c r="G4644" i="25"/>
  <c r="D4645" i="25"/>
  <c r="G4645" i="25"/>
  <c r="D4646" i="25"/>
  <c r="G4646" i="25"/>
  <c r="D4647" i="25"/>
  <c r="G4647" i="25"/>
  <c r="G4648" i="25"/>
  <c r="G4649" i="25"/>
  <c r="G4650" i="25"/>
  <c r="G4651" i="25"/>
  <c r="G4652" i="25"/>
  <c r="G4653" i="25"/>
  <c r="G4654" i="25"/>
  <c r="G4655" i="25"/>
  <c r="G4656" i="25"/>
  <c r="D4657" i="25"/>
  <c r="G4657" i="25"/>
  <c r="D4658" i="25"/>
  <c r="G4658" i="25"/>
  <c r="G4659" i="25"/>
  <c r="D4660" i="25"/>
  <c r="G4660" i="25"/>
  <c r="G4661" i="25"/>
  <c r="G4662" i="25"/>
  <c r="G4663" i="25"/>
  <c r="G4664" i="25"/>
  <c r="G4665" i="25"/>
  <c r="G4666" i="25"/>
  <c r="G4667" i="25"/>
  <c r="G4668" i="25"/>
  <c r="G4669" i="25"/>
  <c r="G4670" i="25"/>
  <c r="G4671" i="25"/>
  <c r="G4672" i="25"/>
  <c r="G4673" i="25"/>
  <c r="G4674" i="25"/>
  <c r="G4675" i="25"/>
  <c r="G4676" i="25"/>
  <c r="G4677" i="25"/>
  <c r="D4678" i="25"/>
  <c r="G4678" i="25"/>
  <c r="D4679" i="25"/>
  <c r="G4679" i="25"/>
  <c r="D4680" i="25"/>
  <c r="G4680" i="25"/>
  <c r="D4681" i="25"/>
  <c r="G4681" i="25"/>
  <c r="D4682" i="25"/>
  <c r="G4682" i="25"/>
  <c r="G4683" i="25"/>
  <c r="D4684" i="25"/>
  <c r="G4684" i="25"/>
  <c r="D4685" i="25"/>
  <c r="G4685" i="25"/>
  <c r="D4686" i="25"/>
  <c r="G4686" i="25"/>
  <c r="G4687" i="25"/>
  <c r="D4688" i="25"/>
  <c r="G4688" i="25"/>
  <c r="D4689" i="25"/>
  <c r="G4689" i="25"/>
  <c r="D4690" i="25"/>
  <c r="G4690" i="25"/>
  <c r="D4691" i="25"/>
  <c r="G4691" i="25"/>
  <c r="D4692" i="25"/>
  <c r="G4692" i="25"/>
  <c r="G4693" i="25"/>
  <c r="D4694" i="25"/>
  <c r="G4694" i="25"/>
  <c r="D4695" i="25"/>
  <c r="G4695" i="25"/>
  <c r="D4696" i="25"/>
  <c r="G4696" i="25"/>
  <c r="G4697" i="25"/>
  <c r="G4698" i="25"/>
  <c r="D4699" i="25"/>
  <c r="G4699" i="25"/>
  <c r="D4700" i="25"/>
  <c r="G4700" i="25"/>
  <c r="G4701" i="25"/>
  <c r="G4702" i="25"/>
  <c r="D4703" i="25"/>
  <c r="G4703" i="25"/>
  <c r="D4704" i="25"/>
  <c r="G4704" i="25"/>
  <c r="G4705" i="25"/>
  <c r="D4706" i="25"/>
  <c r="G4706" i="25"/>
  <c r="G4707" i="25"/>
  <c r="G4708" i="25"/>
  <c r="G4709" i="25"/>
  <c r="D4710" i="25"/>
  <c r="G4710" i="25"/>
  <c r="D4711" i="25"/>
  <c r="G4711" i="25"/>
  <c r="G4712" i="25"/>
  <c r="D4713" i="25"/>
  <c r="G4713" i="25"/>
  <c r="D4714" i="25"/>
  <c r="G4714" i="25"/>
  <c r="D4715" i="25"/>
  <c r="G4715" i="25"/>
  <c r="G4716" i="25"/>
  <c r="G4717" i="25"/>
  <c r="G4718" i="25"/>
  <c r="G4719" i="25"/>
  <c r="D4720" i="25"/>
  <c r="G4720" i="25"/>
  <c r="D4721" i="25"/>
  <c r="G4721" i="25"/>
  <c r="D4722" i="25"/>
  <c r="G4722" i="25"/>
  <c r="D4723" i="25"/>
  <c r="G4723" i="25"/>
  <c r="D4724" i="25"/>
  <c r="G4724" i="25"/>
  <c r="D4725" i="25"/>
  <c r="G4725" i="25"/>
  <c r="D4726" i="25"/>
  <c r="G4726" i="25"/>
  <c r="G4727" i="25"/>
  <c r="D4728" i="25"/>
  <c r="G4728" i="25"/>
  <c r="D4729" i="25"/>
  <c r="G4729" i="25"/>
  <c r="G4730" i="25"/>
  <c r="D4731" i="25"/>
  <c r="G4731" i="25"/>
  <c r="D4732" i="25"/>
  <c r="G4732" i="25"/>
  <c r="G4733" i="25"/>
  <c r="D4734" i="25"/>
  <c r="G4734" i="25"/>
  <c r="D4735" i="25"/>
  <c r="G4735" i="25"/>
  <c r="D4736" i="25"/>
  <c r="G4736" i="25"/>
  <c r="D4737" i="25"/>
  <c r="G4737" i="25"/>
  <c r="G4738" i="25"/>
  <c r="G4739" i="25"/>
  <c r="G4740" i="25"/>
  <c r="G4741" i="25"/>
  <c r="G4742" i="25"/>
  <c r="G4743" i="25"/>
  <c r="D4744" i="25"/>
  <c r="G4744" i="25"/>
  <c r="D4745" i="25"/>
  <c r="G4745" i="25"/>
  <c r="D4746" i="25"/>
  <c r="G4746" i="25"/>
  <c r="G4747" i="25"/>
  <c r="G4748" i="25"/>
  <c r="G4749" i="25"/>
  <c r="D4750" i="25"/>
  <c r="G4750" i="25"/>
  <c r="G4751" i="25"/>
  <c r="D4752" i="25"/>
  <c r="G4752" i="25"/>
  <c r="D4753" i="25"/>
  <c r="G4753" i="25"/>
  <c r="D4754" i="25"/>
  <c r="G4754" i="25"/>
  <c r="D4755" i="25"/>
  <c r="G4755" i="25"/>
  <c r="D4756" i="25"/>
  <c r="G4756" i="25"/>
  <c r="G4757" i="25"/>
  <c r="G4758" i="25"/>
  <c r="D4759" i="25"/>
  <c r="G4759" i="25"/>
  <c r="G4760" i="25"/>
  <c r="D4761" i="25"/>
  <c r="G4761" i="25"/>
  <c r="D4762" i="25"/>
  <c r="G4762" i="25"/>
  <c r="D4763" i="25"/>
  <c r="G4763" i="25"/>
  <c r="D4764" i="25"/>
  <c r="G4764" i="25"/>
  <c r="G4765" i="25"/>
  <c r="G4766" i="25"/>
  <c r="D4767" i="25"/>
  <c r="G4767" i="25"/>
  <c r="G4768" i="25"/>
  <c r="D4769" i="25"/>
  <c r="G4769" i="25"/>
  <c r="G4770" i="25"/>
  <c r="D4771" i="25"/>
  <c r="G4771" i="25"/>
  <c r="G4772" i="25"/>
  <c r="D4773" i="25"/>
  <c r="G4773" i="25"/>
  <c r="G4774" i="25"/>
  <c r="D4775" i="25"/>
  <c r="G4775" i="25"/>
  <c r="G4776" i="25"/>
  <c r="D4777" i="25"/>
  <c r="G4777" i="25"/>
  <c r="D4778" i="25"/>
  <c r="G4778" i="25"/>
  <c r="D4779" i="25"/>
  <c r="G4779" i="25"/>
  <c r="D4780" i="25"/>
  <c r="G4780" i="25"/>
  <c r="D4781" i="25"/>
  <c r="G4781" i="25"/>
  <c r="D4782" i="25"/>
  <c r="G4782" i="25"/>
  <c r="D4783" i="25"/>
  <c r="G4783" i="25"/>
  <c r="D4784" i="25"/>
  <c r="G4784" i="25"/>
  <c r="D4785" i="25"/>
  <c r="G4785" i="25"/>
  <c r="G4786" i="25"/>
  <c r="G4787" i="25"/>
  <c r="D4788" i="25"/>
  <c r="G4788" i="25"/>
  <c r="D4789" i="25"/>
  <c r="G4789" i="25"/>
  <c r="G4790" i="25"/>
  <c r="D4791" i="25"/>
  <c r="G4791" i="25"/>
  <c r="D4792" i="25"/>
  <c r="G4792" i="25"/>
  <c r="D4793" i="25"/>
  <c r="G4793" i="25"/>
  <c r="G4794" i="25"/>
  <c r="G4795" i="25"/>
  <c r="G4796" i="25"/>
  <c r="G4797" i="25"/>
  <c r="D4798" i="25"/>
  <c r="G4798" i="25"/>
  <c r="D4799" i="25"/>
  <c r="G4799" i="25"/>
  <c r="D4800" i="25"/>
  <c r="G4800" i="25"/>
  <c r="D4801" i="25"/>
  <c r="G4801" i="25"/>
  <c r="G4802" i="25"/>
  <c r="G4803" i="25"/>
  <c r="G4804" i="25"/>
  <c r="D4805" i="25"/>
  <c r="G4805" i="25"/>
  <c r="G4806" i="25"/>
  <c r="D4807" i="25"/>
  <c r="G4807" i="25"/>
  <c r="D4808" i="25"/>
  <c r="G4808" i="25"/>
  <c r="D4809" i="25"/>
  <c r="G4809" i="25"/>
  <c r="D4810" i="25"/>
  <c r="G4810" i="25"/>
  <c r="G4811" i="25"/>
  <c r="G4812" i="25"/>
  <c r="G4813" i="25"/>
  <c r="G4814" i="25"/>
  <c r="G4815" i="25"/>
  <c r="G4816" i="25"/>
  <c r="D4817" i="25"/>
  <c r="G4817" i="25"/>
  <c r="G4818" i="25"/>
  <c r="G4819" i="25"/>
  <c r="G4820" i="25"/>
  <c r="G4821" i="25"/>
  <c r="G4822" i="25"/>
  <c r="G4823" i="25"/>
  <c r="G4824" i="25"/>
  <c r="G4825" i="25"/>
  <c r="G4826" i="25"/>
  <c r="G4827" i="25"/>
  <c r="D4828" i="25"/>
  <c r="G4828" i="25"/>
  <c r="D4829" i="25"/>
  <c r="G4829" i="25"/>
  <c r="D4830" i="25"/>
  <c r="G4830" i="25"/>
  <c r="D4831" i="25"/>
  <c r="G4831" i="25"/>
  <c r="D4832" i="25"/>
  <c r="G4832" i="25"/>
  <c r="G4833" i="25"/>
  <c r="G4834" i="25"/>
  <c r="D4835" i="25"/>
  <c r="G4835" i="25"/>
  <c r="D4836" i="25"/>
  <c r="G4836" i="25"/>
  <c r="G4837" i="25"/>
  <c r="D4838" i="25"/>
  <c r="G4838" i="25"/>
  <c r="D4839" i="25"/>
  <c r="G4839" i="25"/>
  <c r="G4840" i="25"/>
  <c r="D4841" i="25"/>
  <c r="G4841" i="25"/>
  <c r="G4842" i="25"/>
  <c r="D4843" i="25"/>
  <c r="G4843" i="25"/>
  <c r="D4844" i="25"/>
  <c r="G4844" i="25"/>
  <c r="D4845" i="25"/>
  <c r="G4845" i="25"/>
  <c r="G4846" i="25"/>
  <c r="G4847" i="25"/>
  <c r="G4848" i="25"/>
  <c r="G4849" i="25"/>
  <c r="G4850" i="25"/>
  <c r="D4851" i="25"/>
  <c r="G4851" i="25"/>
  <c r="G4852" i="25"/>
  <c r="G4853" i="25"/>
  <c r="D4854" i="25"/>
  <c r="G4854" i="25"/>
  <c r="D4855" i="25"/>
  <c r="G4855" i="25"/>
  <c r="G4856" i="25"/>
  <c r="G4857" i="25"/>
  <c r="G4858" i="25"/>
  <c r="D4859" i="25"/>
  <c r="G4859" i="25"/>
  <c r="D4860" i="25"/>
  <c r="G4860" i="25"/>
  <c r="D4861" i="25"/>
  <c r="G4861" i="25"/>
  <c r="G4862" i="25"/>
  <c r="D4863" i="25"/>
  <c r="G4863" i="25"/>
  <c r="D4864" i="25"/>
  <c r="G4864" i="25"/>
  <c r="G4865" i="25"/>
  <c r="D4866" i="25"/>
  <c r="G4866" i="25"/>
  <c r="D4867" i="25"/>
  <c r="G4867" i="25"/>
  <c r="G4868" i="25"/>
  <c r="G4869" i="25"/>
  <c r="D4870" i="25"/>
  <c r="G4870" i="25"/>
  <c r="D4871" i="25"/>
  <c r="G4871" i="25"/>
  <c r="D4872" i="25"/>
  <c r="G4872" i="25"/>
  <c r="G4873" i="25"/>
  <c r="D4874" i="25"/>
  <c r="G4874" i="25"/>
  <c r="G4875" i="25"/>
  <c r="G4876" i="25"/>
  <c r="G4877" i="25"/>
  <c r="G4878" i="25"/>
  <c r="D4879" i="25"/>
  <c r="G4879" i="25"/>
  <c r="D4880" i="25"/>
  <c r="G4880" i="25"/>
  <c r="G4881" i="25"/>
  <c r="G4882" i="25"/>
  <c r="G4883" i="25"/>
  <c r="G4884" i="25"/>
  <c r="D4885" i="25"/>
  <c r="G4885" i="25"/>
  <c r="D4886" i="25"/>
  <c r="G4886" i="25"/>
  <c r="D4887" i="25"/>
  <c r="G4887" i="25"/>
  <c r="D4888" i="25"/>
  <c r="G4888" i="25"/>
  <c r="G4889" i="25"/>
  <c r="G4890" i="25"/>
  <c r="G4891" i="25"/>
  <c r="D4892" i="25"/>
  <c r="G4892" i="25"/>
  <c r="D4893" i="25"/>
  <c r="G4893" i="25"/>
  <c r="D4894" i="25"/>
  <c r="G4894" i="25"/>
  <c r="D4895" i="25"/>
  <c r="G4895" i="25"/>
  <c r="D4896" i="25"/>
  <c r="G4896" i="25"/>
  <c r="D4897" i="25"/>
  <c r="G4897" i="25"/>
  <c r="D4898" i="25"/>
  <c r="G4898" i="25"/>
  <c r="G4899" i="25"/>
  <c r="G4900" i="25"/>
  <c r="G4901" i="25"/>
  <c r="G4902" i="25"/>
  <c r="G4903" i="25"/>
  <c r="G4904" i="25"/>
  <c r="G4905" i="25"/>
  <c r="G4906" i="25"/>
  <c r="D4907" i="25"/>
  <c r="G4907" i="25"/>
  <c r="D4908" i="25"/>
  <c r="G4908" i="25"/>
  <c r="G4909" i="25"/>
  <c r="D4910" i="25"/>
  <c r="G4910" i="25"/>
  <c r="D4911" i="25"/>
  <c r="G4911" i="25"/>
  <c r="G4912" i="25"/>
  <c r="G4913" i="25"/>
  <c r="G4914" i="25"/>
  <c r="D4915" i="25"/>
  <c r="G4915" i="25"/>
  <c r="G4916" i="25"/>
  <c r="D4917" i="25"/>
  <c r="G4917" i="25"/>
  <c r="D4918" i="25"/>
  <c r="G4918" i="25"/>
  <c r="D4919" i="25"/>
  <c r="G4919" i="25"/>
  <c r="G4920" i="25"/>
  <c r="D4921" i="25"/>
  <c r="G4921" i="25"/>
  <c r="D4922" i="25"/>
  <c r="G4922" i="25"/>
  <c r="D4923" i="25"/>
  <c r="G4923" i="25"/>
  <c r="D4924" i="25"/>
  <c r="G4924" i="25"/>
  <c r="D4925" i="25"/>
  <c r="G4925" i="25"/>
  <c r="D4926" i="25"/>
  <c r="G4926" i="25"/>
  <c r="G4927" i="25"/>
  <c r="D4928" i="25"/>
  <c r="G4928" i="25"/>
  <c r="D4929" i="25"/>
  <c r="G4929" i="25"/>
  <c r="G4930" i="25"/>
  <c r="G4931" i="25"/>
  <c r="D4932" i="25"/>
  <c r="G4932" i="25"/>
  <c r="D4933" i="25"/>
  <c r="G4933" i="25"/>
  <c r="D4934" i="25"/>
  <c r="G4934" i="25"/>
  <c r="D4935" i="25"/>
  <c r="G4935" i="25"/>
  <c r="D4936" i="25"/>
  <c r="G4936" i="25"/>
  <c r="G4937" i="25"/>
  <c r="G4938" i="25"/>
  <c r="D4939" i="25"/>
  <c r="G4939" i="25"/>
  <c r="G4940" i="25"/>
  <c r="G4941" i="25"/>
  <c r="G4942" i="25"/>
  <c r="G4943" i="25"/>
  <c r="D4944" i="25"/>
  <c r="G4944" i="25"/>
  <c r="D4945" i="25"/>
  <c r="G4945" i="25"/>
  <c r="D4946" i="25"/>
  <c r="G4946" i="25"/>
  <c r="D4947" i="25"/>
  <c r="G4947" i="25"/>
  <c r="D4948" i="25"/>
  <c r="G4948" i="25"/>
  <c r="D4949" i="25"/>
  <c r="G4949" i="25"/>
  <c r="G4950" i="25"/>
  <c r="G4951" i="25"/>
  <c r="G4952" i="25"/>
  <c r="G4953" i="25"/>
  <c r="G4954" i="25"/>
  <c r="G4955" i="25"/>
  <c r="G4956" i="25"/>
  <c r="G4957" i="25"/>
  <c r="G4958" i="25"/>
  <c r="D4959" i="25"/>
  <c r="G4959" i="25"/>
  <c r="D4960" i="25"/>
  <c r="G4960" i="25"/>
  <c r="D4961" i="25"/>
  <c r="G4961" i="25"/>
  <c r="G4962" i="25"/>
  <c r="D4963" i="25"/>
  <c r="G4963" i="25"/>
  <c r="D4964" i="25"/>
  <c r="G4964" i="25"/>
  <c r="D4965" i="25"/>
  <c r="G4965" i="25"/>
  <c r="D4966" i="25"/>
  <c r="G4966" i="25"/>
  <c r="G4967" i="25"/>
  <c r="G4968" i="25"/>
  <c r="D4969" i="25"/>
  <c r="G4969" i="25"/>
  <c r="D4970" i="25"/>
  <c r="G4970" i="25"/>
  <c r="D4971" i="25"/>
  <c r="G4971" i="25"/>
  <c r="D4972" i="25"/>
  <c r="G4972" i="25"/>
  <c r="D4973" i="25"/>
  <c r="G4973" i="25"/>
  <c r="D4974" i="25"/>
  <c r="G4974" i="25"/>
  <c r="G4975" i="25"/>
  <c r="G4976" i="25"/>
  <c r="G4977" i="25"/>
  <c r="D4978" i="25"/>
  <c r="G4978" i="25"/>
  <c r="D4979" i="25"/>
  <c r="G4979" i="25"/>
  <c r="G4980" i="25"/>
  <c r="G4981" i="25"/>
  <c r="G4982" i="25"/>
  <c r="G4983" i="25"/>
  <c r="G4984" i="25"/>
  <c r="D4985" i="25"/>
  <c r="G4985" i="25"/>
  <c r="G4986" i="25"/>
  <c r="D4987" i="25"/>
  <c r="G4987" i="25"/>
  <c r="D4988" i="25"/>
  <c r="G4988" i="25"/>
  <c r="D4989" i="25"/>
  <c r="G4989" i="25"/>
  <c r="D4990" i="25"/>
  <c r="G4990" i="25"/>
  <c r="D4991" i="25"/>
  <c r="G4991" i="25"/>
  <c r="G4992" i="25"/>
  <c r="D4993" i="25"/>
  <c r="G4993" i="25"/>
  <c r="D4994" i="25"/>
  <c r="G4994" i="25"/>
  <c r="G4995" i="25"/>
  <c r="G4996" i="25"/>
  <c r="G4997" i="25"/>
  <c r="G4998" i="25"/>
  <c r="D4999" i="25"/>
  <c r="G4999" i="25"/>
  <c r="G5000" i="25"/>
  <c r="G5001" i="25"/>
  <c r="D5002" i="25"/>
  <c r="G5002" i="25"/>
  <c r="D5003" i="25"/>
  <c r="G5003" i="25"/>
  <c r="D5004" i="25"/>
  <c r="G5004" i="25"/>
  <c r="D5005" i="25"/>
  <c r="G5005" i="25"/>
  <c r="G5006" i="25"/>
  <c r="G5007" i="25"/>
  <c r="G5008" i="25"/>
  <c r="G5009" i="25"/>
  <c r="D5010" i="25"/>
  <c r="G5010" i="25"/>
  <c r="D5011" i="25"/>
  <c r="G5011" i="25"/>
  <c r="D5012" i="25"/>
  <c r="G5012" i="25"/>
  <c r="D5013" i="25"/>
  <c r="G5013" i="25"/>
  <c r="G5014" i="25"/>
  <c r="D5015" i="25"/>
  <c r="G5015" i="25"/>
  <c r="G5016" i="25"/>
  <c r="D5017" i="25"/>
  <c r="G5017" i="25"/>
  <c r="D5018" i="25"/>
  <c r="G5018" i="25"/>
  <c r="D5019" i="25"/>
  <c r="G5019" i="25"/>
  <c r="G5020" i="25"/>
  <c r="G5021" i="25"/>
  <c r="D5022" i="25"/>
  <c r="G5022" i="25"/>
  <c r="G5023" i="25"/>
  <c r="G5024" i="25"/>
  <c r="G5025" i="25"/>
  <c r="G5026" i="25"/>
  <c r="D5027" i="25"/>
  <c r="G5027" i="25"/>
  <c r="D5028" i="25"/>
  <c r="G5028" i="25"/>
  <c r="D5029" i="25"/>
  <c r="G5029" i="25"/>
  <c r="D5030" i="25"/>
  <c r="G5030" i="25"/>
  <c r="D5031" i="25"/>
  <c r="G5031" i="25"/>
  <c r="D5032" i="25"/>
  <c r="G5032" i="25"/>
  <c r="G5033" i="25"/>
  <c r="D5034" i="25"/>
  <c r="G5034" i="25"/>
  <c r="D5035" i="25"/>
  <c r="G5035" i="25"/>
  <c r="G5036" i="25"/>
  <c r="G5037" i="25"/>
  <c r="G5038" i="25"/>
  <c r="G5039" i="25"/>
  <c r="G5040" i="25"/>
  <c r="G5041" i="25"/>
  <c r="G5042" i="25"/>
  <c r="G5043" i="25"/>
  <c r="D5044" i="25"/>
  <c r="G5044" i="25"/>
  <c r="G5045" i="25"/>
  <c r="G5046" i="25"/>
  <c r="G5047" i="25"/>
  <c r="G5048" i="25"/>
  <c r="D5049" i="25"/>
  <c r="G5049" i="25"/>
  <c r="D5050" i="25"/>
  <c r="G5050" i="25"/>
  <c r="D5051" i="25"/>
  <c r="G5051" i="25"/>
  <c r="D5052" i="25"/>
  <c r="G5052" i="25"/>
  <c r="G5053" i="25"/>
  <c r="G5054" i="25"/>
  <c r="G5055" i="25"/>
  <c r="G5056" i="25"/>
  <c r="G5057" i="25"/>
  <c r="G5058" i="25"/>
  <c r="G5059" i="25"/>
  <c r="E5060" i="25"/>
  <c r="G5060" i="25"/>
  <c r="G5061" i="25"/>
  <c r="D5062" i="25"/>
  <c r="G5062" i="25"/>
  <c r="D5063" i="25"/>
  <c r="G5063" i="25"/>
  <c r="D5064" i="25"/>
  <c r="G5064" i="25"/>
  <c r="G5065" i="25"/>
  <c r="D5066" i="25"/>
  <c r="G5066" i="25"/>
  <c r="D5067" i="25"/>
  <c r="G5067" i="25"/>
  <c r="D5068" i="25"/>
  <c r="G5068" i="25"/>
  <c r="D5069" i="25"/>
  <c r="G5069" i="25"/>
  <c r="G5070" i="25"/>
  <c r="G5071" i="25"/>
  <c r="G5072" i="25"/>
  <c r="D5073" i="25"/>
  <c r="G5073" i="25"/>
  <c r="G5074" i="25"/>
  <c r="G5075" i="25"/>
  <c r="G5076" i="25"/>
  <c r="D5077" i="25"/>
  <c r="G5077" i="25"/>
  <c r="G5078" i="25"/>
  <c r="G5079" i="25"/>
  <c r="G5080" i="25"/>
  <c r="D5081" i="25"/>
  <c r="G5081" i="25"/>
  <c r="D5082" i="25"/>
  <c r="G5082" i="25"/>
  <c r="D5083" i="25"/>
  <c r="G5083" i="25"/>
  <c r="G5084" i="25"/>
  <c r="D5085" i="25"/>
  <c r="G5085" i="25"/>
  <c r="D5086" i="25"/>
  <c r="G5086" i="25"/>
  <c r="D5087" i="25"/>
  <c r="G5087" i="25"/>
  <c r="G5088" i="25"/>
  <c r="G5089" i="25"/>
  <c r="D5090" i="25"/>
  <c r="G5090" i="25"/>
  <c r="D5091" i="25"/>
  <c r="G5091" i="25"/>
  <c r="D5092" i="25"/>
  <c r="G5092" i="25"/>
  <c r="D5093" i="25"/>
  <c r="G5093" i="25"/>
  <c r="D5094" i="25"/>
  <c r="G5094" i="25"/>
  <c r="G5095" i="25"/>
  <c r="G5096" i="25"/>
  <c r="D5097" i="25"/>
  <c r="G5097" i="25"/>
  <c r="D5098" i="25"/>
  <c r="G5098" i="25"/>
  <c r="D5099" i="25"/>
  <c r="G5099" i="25"/>
  <c r="D5100" i="25"/>
  <c r="G5100" i="25"/>
  <c r="D5101" i="25"/>
  <c r="G5101" i="25"/>
  <c r="D5102" i="25"/>
  <c r="G5102" i="25"/>
  <c r="D5103" i="25"/>
  <c r="G5103" i="25"/>
  <c r="D5104" i="25"/>
  <c r="G5104" i="25"/>
  <c r="D5105" i="25"/>
  <c r="G5105" i="25"/>
  <c r="D5106" i="25"/>
  <c r="G5106" i="25"/>
  <c r="D5107" i="25"/>
  <c r="G5107" i="25"/>
  <c r="G5108" i="25"/>
  <c r="D5109" i="25"/>
  <c r="G5109" i="25"/>
  <c r="D5110" i="25"/>
  <c r="G5110" i="25"/>
  <c r="D5111" i="25"/>
  <c r="G5111" i="25"/>
  <c r="D5112" i="25"/>
  <c r="G5112" i="25"/>
  <c r="D5113" i="25"/>
  <c r="G5113" i="25"/>
  <c r="D5114" i="25"/>
  <c r="G5114" i="25"/>
  <c r="D5115" i="25"/>
  <c r="G5115" i="25"/>
  <c r="D5116" i="25"/>
  <c r="G5116" i="25"/>
  <c r="G5117" i="25"/>
  <c r="D5118" i="25"/>
  <c r="G5118" i="25"/>
  <c r="D5119" i="25"/>
  <c r="G5119" i="25"/>
  <c r="G5120" i="25"/>
  <c r="D5121" i="25"/>
  <c r="G5121" i="25"/>
  <c r="G5122" i="25"/>
  <c r="G5123" i="25"/>
  <c r="E5124" i="25"/>
  <c r="G5124" i="25"/>
  <c r="D5125" i="25"/>
  <c r="G5125" i="25"/>
  <c r="D5126" i="25"/>
  <c r="G5126" i="25"/>
  <c r="D5127" i="25"/>
  <c r="G5127" i="25"/>
  <c r="G5128" i="25"/>
  <c r="G5129" i="25"/>
  <c r="G5130" i="25"/>
  <c r="D5131" i="25"/>
  <c r="G5131" i="25"/>
  <c r="G5132" i="25"/>
  <c r="D5133" i="25"/>
  <c r="G5133" i="25"/>
  <c r="D5134" i="25"/>
  <c r="G5134" i="25"/>
  <c r="D5135" i="25"/>
  <c r="G5135" i="25"/>
  <c r="G5136" i="25"/>
  <c r="G5137" i="25"/>
  <c r="G5138" i="25"/>
  <c r="G5139" i="25"/>
  <c r="G5140" i="25"/>
  <c r="D5141" i="25"/>
  <c r="G5141" i="25"/>
  <c r="D5142" i="25"/>
  <c r="G5142" i="25"/>
  <c r="D5143" i="25"/>
  <c r="G5143" i="25"/>
  <c r="G5144" i="25"/>
  <c r="G5145" i="25"/>
  <c r="G5146" i="25"/>
  <c r="G5147" i="25"/>
  <c r="G5148" i="25"/>
  <c r="G5149" i="25"/>
  <c r="G5150" i="25"/>
  <c r="G5151" i="25"/>
  <c r="G5152" i="25"/>
  <c r="G5153" i="25"/>
  <c r="G5154" i="25"/>
  <c r="D5155" i="25"/>
  <c r="G5155" i="25"/>
  <c r="D5156" i="25"/>
  <c r="G5156" i="25"/>
  <c r="G5157" i="25"/>
  <c r="G5158" i="25"/>
  <c r="G5159" i="25"/>
  <c r="G5160" i="25"/>
  <c r="D5161" i="25"/>
  <c r="G5161" i="25"/>
  <c r="D5162" i="25"/>
  <c r="G5162" i="25"/>
  <c r="G5163" i="25"/>
  <c r="G5164" i="25"/>
  <c r="G5165" i="25"/>
  <c r="G5166" i="25"/>
  <c r="G5167" i="25"/>
  <c r="G5168" i="25"/>
  <c r="D5169" i="25"/>
  <c r="G5169" i="25"/>
  <c r="D5170" i="25"/>
  <c r="G5170" i="25"/>
  <c r="D5171" i="25"/>
  <c r="G5171" i="25"/>
  <c r="G5172" i="25"/>
  <c r="G5173" i="25"/>
  <c r="D5174" i="25"/>
  <c r="G5174" i="25"/>
  <c r="D5175" i="25"/>
  <c r="G5175" i="25"/>
  <c r="D5176" i="25"/>
  <c r="G5176" i="25"/>
  <c r="G5177" i="25"/>
  <c r="D5178" i="25"/>
  <c r="G5178" i="25"/>
  <c r="D5179" i="25"/>
  <c r="G5179" i="25"/>
  <c r="D5180" i="25"/>
  <c r="G5180" i="25"/>
  <c r="D5181" i="25"/>
  <c r="G5181" i="25"/>
  <c r="G5182" i="25"/>
  <c r="D5183" i="25"/>
  <c r="G5183" i="25"/>
  <c r="G5184" i="25"/>
  <c r="G5185" i="25"/>
  <c r="G5186" i="25"/>
  <c r="D5187" i="25"/>
  <c r="G5187" i="25"/>
  <c r="G5188" i="25"/>
  <c r="G5189" i="25"/>
  <c r="D5190" i="25"/>
  <c r="G5190" i="25"/>
  <c r="G5191" i="25"/>
  <c r="G5192" i="25"/>
  <c r="D5193" i="25"/>
  <c r="G5193" i="25"/>
  <c r="D5194" i="25"/>
  <c r="G5194" i="25"/>
  <c r="D5195" i="25"/>
  <c r="G5195" i="25"/>
  <c r="G5196" i="25"/>
  <c r="G5197" i="25"/>
  <c r="G5198" i="25"/>
  <c r="G5199" i="25"/>
  <c r="G5200" i="25"/>
  <c r="D5201" i="25"/>
  <c r="G5201" i="25"/>
  <c r="G5202" i="25"/>
  <c r="G5203" i="25"/>
  <c r="D5204" i="25"/>
  <c r="G5204" i="25"/>
  <c r="D5205" i="25"/>
  <c r="G5205" i="25"/>
  <c r="D5206" i="25"/>
  <c r="G5206" i="25"/>
  <c r="D5207" i="25"/>
  <c r="G5207" i="25"/>
  <c r="G5208" i="25"/>
  <c r="D5209" i="25"/>
  <c r="G5209" i="25"/>
  <c r="D5210" i="25"/>
  <c r="G5210" i="25"/>
  <c r="G5211" i="25"/>
  <c r="G5212" i="25"/>
  <c r="G5213" i="25"/>
  <c r="D5214" i="25"/>
  <c r="G5214" i="25"/>
  <c r="G5215" i="25"/>
  <c r="G5216" i="25"/>
  <c r="G5217" i="25"/>
  <c r="G5218" i="25"/>
  <c r="D5219" i="25"/>
  <c r="G5219" i="25"/>
  <c r="D5220" i="25"/>
  <c r="G5220" i="25"/>
  <c r="D5221" i="25"/>
  <c r="G5221" i="25"/>
  <c r="D5222" i="25"/>
  <c r="G5222" i="25"/>
  <c r="G5223" i="25"/>
  <c r="G5224" i="25"/>
  <c r="D5225" i="25"/>
  <c r="G5225" i="25"/>
  <c r="D5226" i="25"/>
  <c r="G5226" i="25"/>
  <c r="G5227" i="25"/>
  <c r="G5228" i="25"/>
  <c r="D5229" i="25"/>
  <c r="G5229" i="25"/>
  <c r="G5230" i="25"/>
  <c r="D5231" i="25"/>
  <c r="G5231" i="25"/>
  <c r="G5232" i="25"/>
  <c r="G5233" i="25"/>
  <c r="G5234" i="25"/>
  <c r="D5235" i="25"/>
  <c r="G5235" i="25"/>
  <c r="D5236" i="25"/>
  <c r="G5236" i="25"/>
  <c r="D5237" i="25"/>
  <c r="G5237" i="25"/>
  <c r="G5238" i="25"/>
  <c r="D5239" i="25"/>
  <c r="G5239" i="25"/>
  <c r="D5240" i="25"/>
  <c r="G5240" i="25"/>
  <c r="D5241" i="25"/>
  <c r="G5241" i="25"/>
  <c r="D5242" i="25"/>
  <c r="G5242" i="25"/>
  <c r="D5243" i="25"/>
  <c r="G5243" i="25"/>
  <c r="D5244" i="25"/>
  <c r="G5244" i="25"/>
  <c r="D5245" i="25"/>
  <c r="G5245" i="25"/>
  <c r="G5246" i="25"/>
  <c r="D5247" i="25"/>
  <c r="G5247" i="25"/>
  <c r="D5248" i="25"/>
  <c r="G5248" i="25"/>
  <c r="D5249" i="25"/>
  <c r="G5249" i="25"/>
  <c r="G5250" i="25"/>
  <c r="G5251" i="25"/>
  <c r="D5252" i="25"/>
  <c r="G5252" i="25"/>
  <c r="G5253" i="25"/>
  <c r="D5254" i="25"/>
  <c r="G5254" i="25"/>
  <c r="D5255" i="25"/>
  <c r="G5255" i="25"/>
  <c r="D5256" i="25"/>
  <c r="G5256" i="25"/>
  <c r="G5257" i="25"/>
  <c r="G5258" i="25"/>
  <c r="G5259" i="25"/>
  <c r="G5260" i="25"/>
  <c r="D5261" i="25"/>
  <c r="G5261" i="25"/>
  <c r="D5262" i="25"/>
  <c r="G5262" i="25"/>
  <c r="G5263" i="25"/>
  <c r="G5264" i="25"/>
  <c r="G5265" i="25"/>
  <c r="G5266" i="25"/>
  <c r="D5267" i="25"/>
  <c r="G5267" i="25"/>
  <c r="D5268" i="25"/>
  <c r="G5268" i="25"/>
  <c r="D5269" i="25"/>
  <c r="G5269" i="25"/>
  <c r="D5270" i="25"/>
  <c r="G5270" i="25"/>
  <c r="D5271" i="25"/>
  <c r="G5271" i="25"/>
  <c r="D5272" i="25"/>
  <c r="G5272" i="25"/>
  <c r="G5273" i="25"/>
  <c r="G5274" i="25"/>
  <c r="G5275" i="25"/>
  <c r="D5276" i="25"/>
  <c r="G5276" i="25"/>
  <c r="D5277" i="25"/>
  <c r="G5277" i="25"/>
  <c r="G5278" i="25"/>
  <c r="G5279" i="25"/>
  <c r="D5280" i="25"/>
  <c r="G5280" i="25"/>
  <c r="D5281" i="25"/>
  <c r="G5281" i="25"/>
  <c r="G5282" i="25"/>
  <c r="G5283" i="25"/>
  <c r="G5284" i="25"/>
  <c r="G5285" i="25"/>
  <c r="G5286" i="25"/>
  <c r="G5287" i="25"/>
  <c r="D5288" i="25"/>
  <c r="G5288" i="25"/>
  <c r="D5289" i="25"/>
  <c r="G5289" i="25"/>
  <c r="D5290" i="25"/>
  <c r="G5290" i="25"/>
  <c r="G5291" i="25"/>
  <c r="D5292" i="25"/>
  <c r="G5292" i="25"/>
  <c r="D5293" i="25"/>
  <c r="G5293" i="25"/>
  <c r="D5294" i="25"/>
  <c r="G5294" i="25"/>
  <c r="D5295" i="25"/>
  <c r="G5295" i="25"/>
  <c r="D5296" i="25"/>
  <c r="G5296" i="25"/>
  <c r="G5297" i="25"/>
  <c r="G5298" i="25"/>
  <c r="D5299" i="25"/>
  <c r="G5299" i="25"/>
  <c r="D5300" i="25"/>
  <c r="G5300" i="25"/>
  <c r="D5301" i="25"/>
  <c r="G5301" i="25"/>
  <c r="G5302" i="25"/>
  <c r="G5303" i="25"/>
  <c r="G5304" i="25"/>
  <c r="D5305" i="25"/>
  <c r="G5305" i="25"/>
  <c r="G5306" i="25"/>
  <c r="G5307" i="25"/>
  <c r="G5308" i="25"/>
  <c r="G5309" i="25"/>
  <c r="G5310" i="25"/>
  <c r="G5311" i="25"/>
  <c r="G5312" i="25"/>
  <c r="G5313" i="25"/>
  <c r="G5314" i="25"/>
  <c r="G5315" i="25"/>
  <c r="G5316" i="25"/>
  <c r="D5317" i="25"/>
  <c r="G5317" i="25"/>
  <c r="D5318" i="25"/>
  <c r="G5318" i="25"/>
  <c r="G5319" i="25"/>
  <c r="D5320" i="25"/>
  <c r="G5320" i="25"/>
  <c r="D5321" i="25"/>
  <c r="G5321" i="25"/>
  <c r="D5322" i="25"/>
  <c r="G5322" i="25"/>
  <c r="D5323" i="25"/>
  <c r="G5323" i="25"/>
  <c r="G5324" i="25"/>
  <c r="G5325" i="25"/>
  <c r="D5326" i="25"/>
  <c r="G5326" i="25"/>
  <c r="D5327" i="25"/>
  <c r="G5327" i="25"/>
  <c r="D5328" i="25"/>
  <c r="G5328" i="25"/>
  <c r="G5329" i="25"/>
  <c r="D5330" i="25"/>
  <c r="G5330" i="25"/>
  <c r="G5331" i="25"/>
  <c r="G5332" i="25"/>
  <c r="D5333" i="25"/>
  <c r="G5333" i="25"/>
  <c r="D5334" i="25"/>
  <c r="G5334" i="25"/>
  <c r="D5335" i="25"/>
  <c r="G5335" i="25"/>
  <c r="D5336" i="25"/>
  <c r="G5336" i="25"/>
  <c r="D5337" i="25"/>
  <c r="G5337" i="25"/>
  <c r="D5338" i="25"/>
  <c r="G5338" i="25"/>
  <c r="D5339" i="25"/>
  <c r="G5339" i="25"/>
  <c r="D5340" i="25"/>
  <c r="G5340" i="25"/>
  <c r="G5341" i="25"/>
  <c r="G5342" i="25"/>
  <c r="D5343" i="25"/>
  <c r="G5343" i="25"/>
  <c r="G5344" i="25"/>
  <c r="G5345" i="25"/>
  <c r="D5346" i="25"/>
  <c r="G5346" i="25"/>
  <c r="D5347" i="25"/>
  <c r="G5347" i="25"/>
  <c r="D5348" i="25"/>
  <c r="G5348" i="25"/>
  <c r="D5349" i="25"/>
  <c r="G5349" i="25"/>
  <c r="G5350" i="25"/>
  <c r="G5351" i="25"/>
  <c r="G5352" i="25"/>
  <c r="D5353" i="25"/>
  <c r="G5353" i="25"/>
  <c r="D5354" i="25"/>
  <c r="G5354" i="25"/>
  <c r="G5355" i="25"/>
  <c r="G5356" i="25"/>
  <c r="D5357" i="25"/>
  <c r="G5357" i="25"/>
  <c r="D5358" i="25"/>
  <c r="G5358" i="25"/>
  <c r="G5359" i="25"/>
  <c r="D5360" i="25"/>
  <c r="G5360" i="25"/>
  <c r="D5361" i="25"/>
  <c r="G5361" i="25"/>
  <c r="D5362" i="25"/>
  <c r="G5362" i="25"/>
  <c r="D5363" i="25"/>
  <c r="G5363" i="25"/>
  <c r="G5364" i="25"/>
  <c r="G5365" i="25"/>
  <c r="G5366" i="25"/>
  <c r="G5367" i="25"/>
  <c r="G5368" i="25"/>
  <c r="G5369" i="25"/>
  <c r="D5370" i="25"/>
  <c r="G5370" i="25"/>
  <c r="D5371" i="25"/>
  <c r="G5371" i="25"/>
  <c r="G5372" i="25"/>
  <c r="G5373" i="25"/>
  <c r="D5374" i="25"/>
  <c r="G5374" i="25"/>
  <c r="D5375" i="25"/>
  <c r="G5375" i="25"/>
  <c r="D5376" i="25"/>
  <c r="G5376" i="25"/>
  <c r="D5377" i="25"/>
  <c r="G5377" i="25"/>
  <c r="D5378" i="25"/>
  <c r="G5378" i="25"/>
  <c r="D5379" i="25"/>
  <c r="G5379" i="25"/>
  <c r="G5380" i="25"/>
  <c r="G5381" i="25"/>
  <c r="G5382" i="25"/>
  <c r="G5383" i="25"/>
  <c r="D5384" i="25"/>
  <c r="G5384" i="25"/>
  <c r="D5385" i="25"/>
  <c r="G5385" i="25"/>
  <c r="D5386" i="25"/>
  <c r="G5386" i="25"/>
  <c r="D5387" i="25"/>
  <c r="G5387" i="25"/>
  <c r="D5388" i="25"/>
  <c r="G5388" i="25"/>
  <c r="D5389" i="25"/>
  <c r="G5389" i="25"/>
  <c r="G5390" i="25"/>
  <c r="G5391" i="25"/>
  <c r="G5392" i="25"/>
  <c r="D5393" i="25"/>
  <c r="G5393" i="25"/>
  <c r="D5394" i="25"/>
  <c r="G5394" i="25"/>
  <c r="G5395" i="25"/>
  <c r="G5396" i="25"/>
  <c r="G5397" i="25"/>
  <c r="G5398" i="25"/>
  <c r="G5399" i="25"/>
  <c r="D5400" i="25"/>
  <c r="G5400" i="25"/>
  <c r="D5401" i="25"/>
  <c r="G5401" i="25"/>
  <c r="D5402" i="25"/>
  <c r="G5402" i="25"/>
  <c r="D5403" i="25"/>
  <c r="G5403" i="25"/>
  <c r="D5404" i="25"/>
  <c r="G5404" i="25"/>
  <c r="G5405" i="25"/>
  <c r="G5406" i="25"/>
  <c r="G5407" i="25"/>
  <c r="G5408" i="25"/>
  <c r="D5409" i="25"/>
  <c r="G5409" i="25"/>
  <c r="D5410" i="25"/>
  <c r="G5410" i="25"/>
  <c r="D5411" i="25"/>
  <c r="G5411" i="25"/>
  <c r="G5412" i="25"/>
  <c r="G5413" i="25"/>
  <c r="G5414" i="25"/>
  <c r="G5415" i="25"/>
  <c r="D5416" i="25"/>
  <c r="G5416" i="25"/>
  <c r="D5417" i="25"/>
  <c r="G5417" i="25"/>
  <c r="G5418" i="25"/>
  <c r="G5419" i="25"/>
  <c r="G5420" i="25"/>
  <c r="D5421" i="25"/>
  <c r="G5421" i="25"/>
  <c r="D5422" i="25"/>
  <c r="G5422" i="25"/>
  <c r="D5423" i="25"/>
  <c r="G5423" i="25"/>
  <c r="D5424" i="25"/>
  <c r="G5424" i="25"/>
  <c r="D5425" i="25"/>
  <c r="G5425" i="25"/>
  <c r="D5426" i="25"/>
  <c r="G5426" i="25"/>
  <c r="D5427" i="25"/>
  <c r="G5427" i="25"/>
  <c r="D5428" i="25"/>
  <c r="G5428" i="25"/>
  <c r="D5429" i="25"/>
  <c r="G5429" i="25"/>
  <c r="G5430" i="25"/>
  <c r="G5431" i="25"/>
  <c r="G5432" i="25"/>
  <c r="G5433" i="25"/>
  <c r="G5434" i="25"/>
  <c r="G5435" i="25"/>
  <c r="G5436" i="25"/>
  <c r="G5437" i="25"/>
  <c r="G5438" i="25"/>
  <c r="G5439" i="25"/>
  <c r="G5440" i="25"/>
  <c r="G5441" i="25"/>
  <c r="G5442" i="25"/>
  <c r="G5443" i="25"/>
  <c r="G5444" i="25"/>
  <c r="G5445" i="25"/>
  <c r="G5446" i="25"/>
  <c r="G5447" i="25"/>
  <c r="G5448" i="25"/>
  <c r="G5449" i="25"/>
  <c r="G5450" i="25"/>
  <c r="D5451" i="25"/>
  <c r="G5451" i="25"/>
  <c r="D5452" i="25"/>
  <c r="G5452" i="25"/>
  <c r="D5453" i="25"/>
  <c r="G5453" i="25"/>
  <c r="D5454" i="25"/>
  <c r="G5454" i="25"/>
  <c r="G5455" i="25"/>
  <c r="D5456" i="25"/>
  <c r="G5456" i="25"/>
  <c r="D5457" i="25"/>
  <c r="G5457" i="25"/>
  <c r="D5458" i="25"/>
  <c r="G5458" i="25"/>
  <c r="D5459" i="25"/>
  <c r="G5459" i="25"/>
  <c r="G5460" i="25"/>
  <c r="G5461" i="25"/>
  <c r="D5462" i="25"/>
  <c r="G5462" i="25"/>
  <c r="D5463" i="25"/>
  <c r="G5463" i="25"/>
  <c r="D5464" i="25"/>
  <c r="G5464" i="25"/>
  <c r="D5465" i="25"/>
  <c r="G5465" i="25"/>
  <c r="D5466" i="25"/>
  <c r="G5466" i="25"/>
  <c r="D5467" i="25"/>
  <c r="G5467" i="25"/>
  <c r="D5468" i="25"/>
  <c r="G5468" i="25"/>
  <c r="D5469" i="25"/>
  <c r="G5469" i="25"/>
  <c r="D5470" i="25"/>
  <c r="G5470" i="25"/>
  <c r="D5471" i="25"/>
  <c r="G5471" i="25"/>
  <c r="D5472" i="25"/>
  <c r="G5472" i="25"/>
  <c r="D5473" i="25"/>
  <c r="G5473" i="25"/>
  <c r="D5474" i="25"/>
  <c r="G5474" i="25"/>
  <c r="G5475" i="25"/>
  <c r="G5476" i="25"/>
  <c r="G5477" i="25"/>
  <c r="G5478" i="25"/>
  <c r="G5479" i="25"/>
  <c r="G5480" i="25"/>
  <c r="G5481" i="25"/>
  <c r="G5482" i="25"/>
  <c r="G5483" i="25"/>
  <c r="D5484" i="25"/>
  <c r="G5484" i="25"/>
  <c r="G5485" i="25"/>
  <c r="G5486" i="25"/>
  <c r="G5487" i="25"/>
  <c r="D5488" i="25"/>
  <c r="G5488" i="25"/>
  <c r="D5489" i="25"/>
  <c r="G5489" i="25"/>
  <c r="G5490" i="25"/>
  <c r="G5491" i="25"/>
  <c r="G5492" i="25"/>
  <c r="G5493" i="25"/>
  <c r="D5494" i="25"/>
  <c r="G5494" i="25"/>
  <c r="D5495" i="25"/>
  <c r="G5495" i="25"/>
  <c r="D5496" i="25"/>
  <c r="G5496" i="25"/>
  <c r="D5497" i="25"/>
  <c r="G5497" i="25"/>
  <c r="G5498" i="25"/>
  <c r="G5499" i="25"/>
  <c r="G5500" i="25"/>
  <c r="G5501" i="25"/>
  <c r="G5502" i="25"/>
  <c r="G5503" i="25"/>
  <c r="G5504" i="25"/>
  <c r="G5505" i="25"/>
  <c r="D5506" i="25"/>
  <c r="G5506" i="25"/>
  <c r="G5507" i="25"/>
  <c r="D5508" i="25"/>
  <c r="G5508" i="25"/>
  <c r="D5509" i="25"/>
  <c r="G5509" i="25"/>
  <c r="D5510" i="25"/>
  <c r="G5510" i="25"/>
  <c r="G5511" i="25"/>
  <c r="G5512" i="25"/>
  <c r="D5513" i="25"/>
  <c r="G5513" i="25"/>
  <c r="G5514" i="25"/>
  <c r="G5515" i="25"/>
  <c r="D5516" i="25"/>
  <c r="G5516" i="25"/>
  <c r="G5517" i="25"/>
  <c r="G5518" i="25"/>
  <c r="G5519" i="25"/>
  <c r="D5520" i="25"/>
  <c r="G5520" i="25"/>
  <c r="D5521" i="25"/>
  <c r="G5521" i="25"/>
  <c r="D5522" i="25"/>
  <c r="G5522" i="25"/>
  <c r="D5523" i="25"/>
  <c r="G5523" i="25"/>
  <c r="D5524" i="25"/>
  <c r="G5524" i="25"/>
  <c r="G5525" i="25"/>
  <c r="G5526" i="25"/>
  <c r="D5527" i="25"/>
  <c r="G5527" i="25"/>
  <c r="D5528" i="25"/>
  <c r="G5528" i="25"/>
  <c r="D5529" i="25"/>
  <c r="G5529" i="25"/>
  <c r="G5530" i="25"/>
  <c r="G5531" i="25"/>
  <c r="D5532" i="25"/>
  <c r="G5532" i="25"/>
  <c r="D5533" i="25"/>
  <c r="G5533" i="25"/>
  <c r="G5534" i="25"/>
  <c r="G5535" i="25"/>
  <c r="G5536" i="25"/>
  <c r="G5537" i="25"/>
  <c r="D5538" i="25"/>
  <c r="G5538" i="25"/>
  <c r="G5539" i="25"/>
  <c r="G5540" i="25"/>
  <c r="G5541" i="25"/>
  <c r="G5542" i="25"/>
  <c r="D5543" i="25"/>
  <c r="G5543" i="25"/>
  <c r="D5544" i="25"/>
  <c r="G5544" i="25"/>
  <c r="G5545" i="25"/>
  <c r="D5546" i="25"/>
  <c r="G5546" i="25"/>
  <c r="D5547" i="25"/>
  <c r="G5547" i="25"/>
  <c r="D5548" i="25"/>
  <c r="G5548" i="25"/>
  <c r="G5549" i="25"/>
  <c r="G5550" i="25"/>
  <c r="G5551" i="25"/>
  <c r="D5552" i="25"/>
  <c r="G5552" i="25"/>
  <c r="D5553" i="25"/>
  <c r="G5553" i="25"/>
  <c r="D5554" i="25"/>
  <c r="G5554" i="25"/>
  <c r="D5555" i="25"/>
  <c r="G5555" i="25"/>
  <c r="D5556" i="25"/>
  <c r="G5556" i="25"/>
  <c r="D5557" i="25"/>
  <c r="G5557" i="25"/>
  <c r="D5558" i="25"/>
  <c r="G5558" i="25"/>
  <c r="D5559" i="25"/>
  <c r="G5559" i="25"/>
  <c r="D5560" i="25"/>
  <c r="G5560" i="25"/>
  <c r="G5561" i="25"/>
  <c r="G5562" i="25"/>
  <c r="D5563" i="25"/>
  <c r="G5563" i="25"/>
  <c r="G5564" i="25"/>
  <c r="D5565" i="25"/>
  <c r="G5565" i="25"/>
  <c r="D5566" i="25"/>
  <c r="G5566" i="25"/>
  <c r="G5567" i="25"/>
  <c r="G5568" i="25"/>
  <c r="G5569" i="25"/>
  <c r="D5570" i="25"/>
  <c r="G5570" i="25"/>
  <c r="G5571" i="25"/>
  <c r="G5572" i="25"/>
  <c r="G5573" i="25"/>
  <c r="G5574" i="25"/>
  <c r="D5575" i="25"/>
  <c r="G5575" i="25"/>
  <c r="D5576" i="25"/>
  <c r="G5576" i="25"/>
  <c r="D5577" i="25"/>
  <c r="G5577" i="25"/>
  <c r="G5578" i="25"/>
  <c r="G5579" i="25"/>
  <c r="G5580" i="25"/>
  <c r="G5581" i="25"/>
  <c r="G5582" i="25"/>
  <c r="D5583" i="25"/>
  <c r="G5583" i="25"/>
  <c r="G5584" i="25"/>
  <c r="D5585" i="25"/>
  <c r="G5585" i="25"/>
  <c r="D5586" i="25"/>
  <c r="G5586" i="25"/>
  <c r="G5587" i="25"/>
  <c r="G5588" i="25"/>
  <c r="D5589" i="25"/>
  <c r="G5589" i="25"/>
  <c r="D5590" i="25"/>
  <c r="G5590" i="25"/>
  <c r="D5591" i="25"/>
  <c r="G5591" i="25"/>
  <c r="G5592" i="25"/>
  <c r="G5593" i="25"/>
  <c r="G5594" i="25"/>
  <c r="G5595" i="25"/>
  <c r="G5596" i="25"/>
  <c r="G5597" i="25"/>
  <c r="D5598" i="25"/>
  <c r="G5598" i="25"/>
  <c r="D5599" i="25"/>
  <c r="G5599" i="25"/>
  <c r="G5600" i="25"/>
  <c r="D5601" i="25"/>
  <c r="G5601" i="25"/>
  <c r="D5602" i="25"/>
  <c r="G5602" i="25"/>
  <c r="D5603" i="25"/>
  <c r="G5603" i="25"/>
  <c r="G5604" i="25"/>
  <c r="G5605" i="25"/>
  <c r="D5606" i="25"/>
  <c r="G5606" i="25"/>
  <c r="G5607" i="25"/>
  <c r="D5608" i="25"/>
  <c r="G5608" i="25"/>
  <c r="D5609" i="25"/>
  <c r="G5609" i="25"/>
  <c r="D5610" i="25"/>
  <c r="G5610" i="25"/>
  <c r="D5611" i="25"/>
  <c r="G5611" i="25"/>
  <c r="G5612" i="25"/>
  <c r="G5613" i="25"/>
  <c r="G5614" i="25"/>
  <c r="G5615" i="25"/>
  <c r="D5616" i="25"/>
  <c r="G5616" i="25"/>
  <c r="G5617" i="25"/>
  <c r="D5618" i="25"/>
  <c r="G5618" i="25"/>
  <c r="G5619" i="25"/>
  <c r="D5620" i="25"/>
  <c r="G5620" i="25"/>
  <c r="G5621" i="25"/>
  <c r="G5622" i="25"/>
  <c r="G5623" i="25"/>
  <c r="G5624" i="25"/>
  <c r="G5625" i="25"/>
  <c r="D5626" i="25"/>
  <c r="G5626" i="25"/>
  <c r="D5627" i="25"/>
  <c r="G5627" i="25"/>
  <c r="D5628" i="25"/>
  <c r="G5628" i="25"/>
  <c r="G5629" i="25"/>
  <c r="D5630" i="25"/>
  <c r="G5630" i="25"/>
  <c r="D5631" i="25"/>
  <c r="G5631" i="25"/>
  <c r="D5632" i="25"/>
  <c r="G5632" i="25"/>
  <c r="D5633" i="25"/>
  <c r="G5633" i="25"/>
  <c r="G5634" i="25"/>
  <c r="G5635" i="25"/>
  <c r="G5636" i="25"/>
  <c r="G5637" i="25"/>
  <c r="G5638" i="25"/>
  <c r="D5639" i="25"/>
  <c r="G5639" i="25"/>
  <c r="D5640" i="25"/>
  <c r="G5640" i="25"/>
  <c r="D5641" i="25"/>
  <c r="G5641" i="25"/>
  <c r="D5642" i="25"/>
  <c r="G5642" i="25"/>
  <c r="D5643" i="25"/>
  <c r="G5643" i="25"/>
  <c r="G5644" i="25"/>
  <c r="G5645" i="25"/>
  <c r="G5646" i="25"/>
  <c r="G5647" i="25"/>
  <c r="G5648" i="25"/>
  <c r="G5649" i="25"/>
  <c r="D5650" i="25"/>
  <c r="G5650" i="25"/>
  <c r="G5651" i="25"/>
  <c r="D5652" i="25"/>
  <c r="G5652" i="25"/>
  <c r="D5653" i="25"/>
  <c r="G5653" i="25"/>
  <c r="D5654" i="25"/>
  <c r="G5654" i="25"/>
  <c r="G5655" i="25"/>
  <c r="G5656" i="25"/>
  <c r="G5657" i="25"/>
  <c r="G5658" i="25"/>
  <c r="G5659" i="25"/>
  <c r="D5660" i="25"/>
  <c r="G5660" i="25"/>
  <c r="G5661" i="25"/>
  <c r="G5662" i="25"/>
  <c r="G5663" i="25"/>
  <c r="G5664" i="25"/>
  <c r="D5665" i="25"/>
  <c r="G5665" i="25"/>
  <c r="D5666" i="25"/>
  <c r="G5666" i="25"/>
  <c r="D5667" i="25"/>
  <c r="G5667" i="25"/>
  <c r="D5668" i="25"/>
  <c r="G5668" i="25"/>
  <c r="D5669" i="25"/>
  <c r="G5669" i="25"/>
  <c r="G5670" i="25"/>
  <c r="G5671" i="25"/>
  <c r="G5672" i="25"/>
  <c r="G5673" i="25"/>
  <c r="G5674" i="25"/>
  <c r="G5675" i="25"/>
  <c r="G5676" i="25"/>
  <c r="G5677" i="25"/>
  <c r="G5678" i="25"/>
  <c r="D5679" i="25"/>
  <c r="G5679" i="25"/>
  <c r="D5680" i="25"/>
  <c r="G5680" i="25"/>
  <c r="D5681" i="25"/>
  <c r="G5681" i="25"/>
  <c r="G5682" i="25"/>
  <c r="G5683" i="25"/>
  <c r="D5684" i="25"/>
  <c r="G5684" i="25"/>
  <c r="D5685" i="25"/>
  <c r="G5685" i="25"/>
  <c r="D5686" i="25"/>
  <c r="G5686" i="25"/>
  <c r="G5687" i="25"/>
  <c r="D5688" i="25"/>
  <c r="G5688" i="25"/>
  <c r="G5689" i="25"/>
  <c r="G5690" i="25"/>
  <c r="G5691" i="25"/>
  <c r="G5692" i="25"/>
  <c r="D5693" i="25"/>
  <c r="G5693" i="25"/>
  <c r="G5694" i="25"/>
  <c r="G5695" i="25"/>
  <c r="G5696" i="25"/>
  <c r="G5697" i="25"/>
  <c r="G5698" i="25"/>
  <c r="G5699" i="25"/>
  <c r="D5700" i="25"/>
  <c r="G5700" i="25"/>
  <c r="G5701" i="25"/>
  <c r="D5702" i="25"/>
  <c r="G5702" i="25"/>
  <c r="D5703" i="25"/>
  <c r="G5703" i="25"/>
  <c r="G5704" i="25"/>
  <c r="G5705" i="25"/>
  <c r="D5706" i="25"/>
  <c r="G5706" i="25"/>
  <c r="D5707" i="25"/>
  <c r="G5707" i="25"/>
  <c r="G5708" i="25"/>
  <c r="D5709" i="25"/>
  <c r="G5709" i="25"/>
  <c r="G5710" i="25"/>
  <c r="D5711" i="25"/>
  <c r="G5711" i="25"/>
  <c r="G5712" i="25"/>
  <c r="G5713" i="25"/>
  <c r="D5714" i="25"/>
  <c r="G5714" i="25"/>
  <c r="D5715" i="25"/>
  <c r="G5715" i="25"/>
  <c r="D5716" i="25"/>
  <c r="G5716" i="25"/>
  <c r="D5717" i="25"/>
  <c r="G5717" i="25"/>
  <c r="D5718" i="25"/>
  <c r="G5718" i="25"/>
  <c r="D5719" i="25"/>
  <c r="G5719" i="25"/>
  <c r="G5720" i="25"/>
  <c r="D5721" i="25"/>
  <c r="G5721" i="25"/>
  <c r="G5722" i="25"/>
  <c r="G5723" i="25"/>
  <c r="G5724" i="25"/>
  <c r="G5725" i="25"/>
  <c r="D5726" i="25"/>
  <c r="G5726" i="25"/>
  <c r="G5727" i="25"/>
  <c r="G5728" i="25"/>
  <c r="D5729" i="25"/>
  <c r="G5729" i="25"/>
  <c r="D5730" i="25"/>
  <c r="G5730" i="25"/>
  <c r="G5731" i="25"/>
  <c r="D5732" i="25"/>
  <c r="G5732" i="25"/>
  <c r="D5733" i="25"/>
  <c r="G5733" i="25"/>
  <c r="D5734" i="25"/>
  <c r="G5734" i="25"/>
  <c r="D5735" i="25"/>
  <c r="G5735" i="25"/>
  <c r="D5736" i="25"/>
  <c r="G5736" i="25"/>
  <c r="D5737" i="25"/>
  <c r="G5737" i="25"/>
  <c r="G5738" i="25"/>
  <c r="D5739" i="25"/>
  <c r="G5739" i="25"/>
  <c r="D5740" i="25"/>
  <c r="G5740" i="25"/>
  <c r="G5741" i="25"/>
  <c r="G5742" i="25"/>
  <c r="D5743" i="25"/>
  <c r="G5743" i="25"/>
  <c r="D5744" i="25"/>
  <c r="G5744" i="25"/>
  <c r="D5745" i="25"/>
  <c r="G5745" i="25"/>
  <c r="D5746" i="25"/>
  <c r="G5746" i="25"/>
  <c r="D5747" i="25"/>
  <c r="G5747" i="25"/>
  <c r="G5748" i="25"/>
  <c r="G5749" i="25"/>
  <c r="D5750" i="25"/>
  <c r="G5750" i="25"/>
  <c r="G5751" i="25"/>
  <c r="G5752" i="25"/>
  <c r="G5753" i="25"/>
  <c r="D5754" i="25"/>
  <c r="G5754" i="25"/>
  <c r="G5755" i="25"/>
  <c r="G5756" i="25"/>
  <c r="G5757" i="25"/>
  <c r="G5758" i="25"/>
  <c r="G5759" i="25"/>
  <c r="D5760" i="25"/>
  <c r="G5760" i="25"/>
  <c r="D5761" i="25"/>
  <c r="G5761" i="25"/>
  <c r="D5762" i="25"/>
  <c r="G5762" i="25"/>
  <c r="D5763" i="25"/>
  <c r="G5763" i="25"/>
  <c r="D5764" i="25"/>
  <c r="G5764" i="25"/>
  <c r="D5765" i="25"/>
  <c r="G5765" i="25"/>
  <c r="D5766" i="25"/>
  <c r="G5766" i="25"/>
  <c r="G5767" i="25"/>
  <c r="G5768" i="25"/>
  <c r="G5769" i="25"/>
  <c r="D5770" i="25"/>
  <c r="G5770" i="25"/>
  <c r="D5771" i="25"/>
  <c r="G5771" i="25"/>
  <c r="G5772" i="25"/>
  <c r="D5773" i="25"/>
  <c r="G5773" i="25"/>
  <c r="G5774" i="25"/>
  <c r="G5775" i="25"/>
  <c r="G5776" i="25"/>
  <c r="G5777" i="25"/>
  <c r="G5778" i="25"/>
  <c r="D5779" i="25"/>
  <c r="G5779" i="25"/>
  <c r="D5780" i="25"/>
  <c r="G5780" i="25"/>
  <c r="D5781" i="25"/>
  <c r="G5781" i="25"/>
  <c r="G5782" i="25"/>
  <c r="D5783" i="25"/>
  <c r="G5783" i="25"/>
  <c r="D5784" i="25"/>
  <c r="G5784" i="25"/>
  <c r="G5785" i="25"/>
  <c r="G5786" i="25"/>
  <c r="D5787" i="25"/>
  <c r="G5787" i="25"/>
  <c r="D5788" i="25"/>
  <c r="G5788" i="25"/>
  <c r="D5789" i="25"/>
  <c r="G5789" i="25"/>
  <c r="G5790" i="25"/>
  <c r="G5791" i="25"/>
  <c r="G5792" i="25"/>
  <c r="G5793" i="25"/>
  <c r="G5794" i="25"/>
  <c r="G5795" i="25"/>
  <c r="G5796" i="25"/>
  <c r="G5797" i="25"/>
  <c r="D5798" i="25"/>
  <c r="G5798" i="25"/>
  <c r="D5799" i="25"/>
  <c r="G5799" i="25"/>
  <c r="D5800" i="25"/>
  <c r="G5800" i="25"/>
  <c r="D5801" i="25"/>
  <c r="G5801" i="25"/>
  <c r="G5802" i="25"/>
  <c r="D5803" i="25"/>
  <c r="G5803" i="25"/>
  <c r="D5804" i="25"/>
  <c r="G5804" i="25"/>
  <c r="D5805" i="25"/>
  <c r="G5805" i="25"/>
  <c r="G5806" i="25"/>
  <c r="G5807" i="25"/>
  <c r="D5808" i="25"/>
  <c r="G5808" i="25"/>
  <c r="G5809" i="25"/>
  <c r="G5810" i="25"/>
  <c r="G5811" i="25"/>
  <c r="G5812" i="25"/>
  <c r="G5813" i="25"/>
  <c r="G5814" i="25"/>
  <c r="D5815" i="25"/>
  <c r="G5815" i="25"/>
  <c r="D5816" i="25"/>
  <c r="G5816" i="25"/>
  <c r="D5817" i="25"/>
  <c r="G5817" i="25"/>
  <c r="G5818" i="25"/>
  <c r="G5819" i="25"/>
  <c r="D5820" i="25"/>
  <c r="G5820" i="25"/>
  <c r="D5821" i="25"/>
  <c r="G5821" i="25"/>
  <c r="G5822" i="25"/>
  <c r="D5823" i="25"/>
  <c r="G5823" i="25"/>
  <c r="D5824" i="25"/>
  <c r="G5824" i="25"/>
  <c r="D5825" i="25"/>
  <c r="G5825" i="25"/>
  <c r="D5826" i="25"/>
  <c r="G5826" i="25"/>
  <c r="D5827" i="25"/>
  <c r="G5827" i="25"/>
  <c r="D5828" i="25"/>
  <c r="G5828" i="25"/>
  <c r="D5829" i="25"/>
  <c r="G5829" i="25"/>
  <c r="D5830" i="25"/>
  <c r="G5830" i="25"/>
  <c r="G5831" i="25"/>
  <c r="G5832" i="25"/>
  <c r="D5833" i="25"/>
  <c r="G5833" i="25"/>
  <c r="D5834" i="25"/>
  <c r="G5834" i="25"/>
  <c r="D5835" i="25"/>
  <c r="G5835" i="25"/>
  <c r="D5836" i="25"/>
  <c r="G5836" i="25"/>
  <c r="D5837" i="25"/>
  <c r="G5837" i="25"/>
  <c r="D5838" i="25"/>
  <c r="G5838" i="25"/>
  <c r="G5839" i="25"/>
  <c r="G5840" i="25"/>
  <c r="G5841" i="25"/>
  <c r="G5842" i="25"/>
  <c r="D5843" i="25"/>
  <c r="G5843" i="25"/>
  <c r="G5844" i="25"/>
  <c r="G5845" i="25"/>
  <c r="G5846" i="25"/>
  <c r="G5847" i="25"/>
  <c r="G5848" i="25"/>
  <c r="G5849" i="25"/>
  <c r="G5850" i="25"/>
  <c r="D5851" i="25"/>
  <c r="G5851" i="25"/>
  <c r="D5852" i="25"/>
  <c r="G5852" i="25"/>
  <c r="G5853" i="25"/>
  <c r="D5854" i="25"/>
  <c r="G5854" i="25"/>
  <c r="D5855" i="25"/>
  <c r="G5855" i="25"/>
  <c r="D5856" i="25"/>
  <c r="G5856" i="25"/>
  <c r="D5857" i="25"/>
  <c r="G5857" i="25"/>
  <c r="G5858" i="25"/>
  <c r="G5859" i="25"/>
  <c r="G5860" i="25"/>
  <c r="G5861" i="25"/>
  <c r="D5862" i="25"/>
  <c r="G5862" i="25"/>
  <c r="D5863" i="25"/>
  <c r="G5863" i="25"/>
  <c r="D5864" i="25"/>
  <c r="G5864" i="25"/>
  <c r="D5865" i="25"/>
  <c r="G5865" i="25"/>
  <c r="D5866" i="25"/>
  <c r="G5866" i="25"/>
  <c r="D5867" i="25"/>
  <c r="G5867" i="25"/>
  <c r="G5868" i="25"/>
  <c r="G5869" i="25"/>
  <c r="G5870" i="25"/>
  <c r="G5871" i="25"/>
  <c r="G5872" i="25"/>
  <c r="G5873" i="25"/>
  <c r="G5874" i="25"/>
  <c r="G5875" i="25"/>
  <c r="D5876" i="25"/>
  <c r="G5876" i="25"/>
  <c r="D5877" i="25"/>
  <c r="G5877" i="25"/>
  <c r="G5878" i="25"/>
  <c r="G5879" i="25"/>
  <c r="G5880" i="25"/>
  <c r="D5881" i="25"/>
  <c r="G5881" i="25"/>
  <c r="G5882" i="25"/>
  <c r="G5883" i="25"/>
  <c r="G5884" i="25"/>
  <c r="G5885" i="25"/>
  <c r="G5886" i="25"/>
  <c r="G5887" i="25"/>
  <c r="D5888" i="25"/>
  <c r="G5888" i="25"/>
  <c r="D5889" i="25"/>
  <c r="G5889" i="25"/>
  <c r="D5890" i="25"/>
  <c r="G5890" i="25"/>
  <c r="G5891" i="25"/>
  <c r="G5892" i="25"/>
  <c r="G5893" i="25"/>
  <c r="D5894" i="25"/>
  <c r="G5894" i="25"/>
  <c r="D5895" i="25"/>
  <c r="G5895" i="25"/>
  <c r="D5896" i="25"/>
  <c r="G5896" i="25"/>
  <c r="D5897" i="25"/>
  <c r="G5897" i="25"/>
  <c r="G5898" i="25"/>
  <c r="D5899" i="25"/>
  <c r="G5899" i="25"/>
  <c r="D5900" i="25"/>
  <c r="G5900" i="25"/>
  <c r="D5901" i="25"/>
  <c r="G5901" i="25"/>
  <c r="D5902" i="25"/>
  <c r="G5902" i="25"/>
  <c r="D5903" i="25"/>
  <c r="G5903" i="25"/>
  <c r="G5904" i="25"/>
  <c r="G5905" i="25"/>
  <c r="G5906" i="25"/>
  <c r="D5907" i="25"/>
  <c r="G5907" i="25"/>
  <c r="D5908" i="25"/>
  <c r="G5908" i="25"/>
  <c r="D5909" i="25"/>
  <c r="G5909" i="25"/>
  <c r="D5910" i="25"/>
  <c r="G5910" i="25"/>
  <c r="D5911" i="25"/>
  <c r="G5911" i="25"/>
  <c r="D5912" i="25"/>
  <c r="G5912" i="25"/>
  <c r="D5913" i="25"/>
  <c r="G5913" i="25"/>
  <c r="D5914" i="25"/>
  <c r="G5914" i="25"/>
  <c r="G5915" i="25"/>
  <c r="G5916" i="25"/>
  <c r="G5917" i="25"/>
  <c r="G5918" i="25"/>
  <c r="G5919" i="25"/>
  <c r="G5920" i="25"/>
  <c r="G5921" i="25"/>
  <c r="G5922" i="25"/>
  <c r="D5923" i="25"/>
  <c r="G5923" i="25"/>
  <c r="D5924" i="25"/>
  <c r="G5924" i="25"/>
  <c r="D5925" i="25"/>
  <c r="G5925" i="25"/>
  <c r="D5926" i="25"/>
  <c r="G5926" i="25"/>
  <c r="D5927" i="25"/>
  <c r="G5927" i="25"/>
  <c r="G5928" i="25"/>
  <c r="G5929" i="25"/>
  <c r="G5930" i="25"/>
  <c r="D5931" i="25"/>
  <c r="G5931" i="25"/>
  <c r="D5932" i="25"/>
  <c r="G5932" i="25"/>
  <c r="D5933" i="25"/>
  <c r="G5933" i="25"/>
  <c r="D5934" i="25"/>
  <c r="G5934" i="25"/>
  <c r="D5935" i="25"/>
  <c r="G5935" i="25"/>
  <c r="G5936" i="25"/>
  <c r="D5937" i="25"/>
  <c r="G5937" i="25"/>
  <c r="D5938" i="25"/>
  <c r="G5938" i="25"/>
  <c r="D5939" i="25"/>
  <c r="G5939" i="25"/>
  <c r="G5940" i="25"/>
  <c r="G5941" i="25"/>
  <c r="G5942" i="25"/>
  <c r="G5943" i="25"/>
  <c r="G5944" i="25"/>
  <c r="G5945" i="25"/>
  <c r="G5946" i="25"/>
  <c r="G5947" i="25"/>
  <c r="D5948" i="25"/>
  <c r="G5948" i="25"/>
  <c r="D5949" i="25"/>
  <c r="G5949" i="25"/>
  <c r="D5950" i="25"/>
  <c r="G5950" i="25"/>
  <c r="D5951" i="25"/>
  <c r="G5951" i="25"/>
  <c r="D5952" i="25"/>
  <c r="G5952" i="25"/>
  <c r="D5953" i="25"/>
  <c r="G5953" i="25"/>
  <c r="D5954" i="25"/>
  <c r="G5954" i="25"/>
  <c r="D5955" i="25"/>
  <c r="G5955" i="25"/>
  <c r="G5956" i="25"/>
  <c r="D5957" i="25"/>
  <c r="G5957" i="25"/>
  <c r="D5958" i="25"/>
  <c r="G5958" i="25"/>
  <c r="D5959" i="25"/>
  <c r="G5959" i="25"/>
  <c r="G5960" i="25"/>
  <c r="G5961" i="25"/>
  <c r="G5962" i="25"/>
  <c r="G5963" i="25"/>
  <c r="D5964" i="25"/>
  <c r="G5964" i="25"/>
  <c r="D5965" i="25"/>
  <c r="G5965" i="25"/>
  <c r="D5966" i="25"/>
  <c r="G5966" i="25"/>
  <c r="D5967" i="25"/>
  <c r="G5967" i="25"/>
  <c r="G5968" i="25"/>
  <c r="G5969" i="25"/>
  <c r="G5970" i="25"/>
  <c r="G5971" i="25"/>
  <c r="G5972" i="25"/>
  <c r="G5973" i="25"/>
  <c r="G5974" i="25"/>
  <c r="D5975" i="25"/>
  <c r="G5975" i="25"/>
  <c r="G5976" i="25"/>
  <c r="G5977" i="25"/>
  <c r="G5978" i="25"/>
  <c r="D5979" i="25"/>
  <c r="G5979" i="25"/>
  <c r="D5980" i="25"/>
  <c r="G5980" i="25"/>
  <c r="D5981" i="25"/>
  <c r="G5981" i="25"/>
  <c r="G5982" i="25"/>
  <c r="G5983" i="25"/>
  <c r="G5984" i="25"/>
  <c r="G5985" i="25"/>
  <c r="G5986" i="25"/>
  <c r="G5987" i="25"/>
  <c r="G5988" i="25"/>
  <c r="G5989" i="25"/>
  <c r="G2" i="24"/>
  <c r="G3" i="24"/>
  <c r="G4" i="24"/>
  <c r="G5" i="24"/>
  <c r="G6" i="24"/>
  <c r="G7" i="24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31" i="24"/>
  <c r="G32" i="24"/>
  <c r="G33" i="24"/>
  <c r="G34" i="24"/>
  <c r="G35" i="24"/>
  <c r="G36" i="24"/>
  <c r="G37" i="24"/>
  <c r="G38" i="24"/>
  <c r="G39" i="24"/>
  <c r="G40" i="24"/>
  <c r="G41" i="24"/>
  <c r="G42" i="24"/>
  <c r="G43" i="24"/>
  <c r="G44" i="24"/>
  <c r="G45" i="24"/>
  <c r="G46" i="24"/>
  <c r="G47" i="24"/>
  <c r="G48" i="24"/>
  <c r="G49" i="24"/>
  <c r="G50" i="24"/>
  <c r="G51" i="24"/>
  <c r="G52" i="24"/>
  <c r="G53" i="24"/>
  <c r="G54" i="24"/>
  <c r="G55" i="24"/>
  <c r="G56" i="24"/>
  <c r="G57" i="24"/>
  <c r="G58" i="24"/>
  <c r="G59" i="24"/>
  <c r="G60" i="24"/>
  <c r="G61" i="24"/>
  <c r="G62" i="24"/>
  <c r="G63" i="24"/>
  <c r="G64" i="24"/>
  <c r="G65" i="24"/>
  <c r="G66" i="24"/>
  <c r="G67" i="24"/>
  <c r="G68" i="24"/>
  <c r="G69" i="24"/>
  <c r="G70" i="24"/>
  <c r="G71" i="24"/>
  <c r="G72" i="24"/>
  <c r="G73" i="24"/>
  <c r="G74" i="24"/>
  <c r="G75" i="24"/>
  <c r="G76" i="24"/>
  <c r="G77" i="24"/>
  <c r="G78" i="24"/>
  <c r="G79" i="24"/>
  <c r="G80" i="24"/>
  <c r="G81" i="24"/>
  <c r="G82" i="24"/>
  <c r="G83" i="24"/>
  <c r="G84" i="24"/>
  <c r="G85" i="24"/>
  <c r="G86" i="24"/>
  <c r="G87" i="24"/>
  <c r="G88" i="24"/>
  <c r="G89" i="24"/>
  <c r="G90" i="24"/>
  <c r="G91" i="24"/>
  <c r="G92" i="24"/>
  <c r="G93" i="24"/>
  <c r="G94" i="24"/>
  <c r="G95" i="24"/>
  <c r="G96" i="24"/>
  <c r="G97" i="24"/>
  <c r="G98" i="24"/>
  <c r="G99" i="24"/>
  <c r="G100" i="24"/>
  <c r="G101" i="24"/>
  <c r="G102" i="24"/>
  <c r="G103" i="24"/>
  <c r="G104" i="24"/>
  <c r="G105" i="24"/>
  <c r="G106" i="24"/>
  <c r="G107" i="24"/>
  <c r="G108" i="24"/>
  <c r="G109" i="24"/>
  <c r="G110" i="24"/>
  <c r="G111" i="24"/>
  <c r="G112" i="24"/>
  <c r="G113" i="24"/>
  <c r="G114" i="24"/>
  <c r="G115" i="24"/>
  <c r="G116" i="24"/>
  <c r="G117" i="24"/>
  <c r="G118" i="24"/>
  <c r="G119" i="24"/>
  <c r="G120" i="24"/>
  <c r="G121" i="24"/>
  <c r="G122" i="24"/>
  <c r="G123" i="24"/>
  <c r="G124" i="24"/>
  <c r="G125" i="24"/>
  <c r="G126" i="24"/>
  <c r="G127" i="24"/>
  <c r="G128" i="24"/>
  <c r="G129" i="24"/>
  <c r="G130" i="24"/>
  <c r="G131" i="24"/>
  <c r="G132" i="24"/>
  <c r="G133" i="24"/>
  <c r="G134" i="24"/>
  <c r="G135" i="24"/>
  <c r="G136" i="24"/>
  <c r="G137" i="24"/>
  <c r="G138" i="24"/>
  <c r="G139" i="24"/>
  <c r="G140" i="24"/>
  <c r="G141" i="24"/>
  <c r="G142" i="24"/>
  <c r="G143" i="24"/>
  <c r="G144" i="24"/>
  <c r="G145" i="24"/>
  <c r="G146" i="24"/>
  <c r="G147" i="24"/>
  <c r="G148" i="24"/>
  <c r="G149" i="24"/>
  <c r="G150" i="24"/>
  <c r="G151" i="24"/>
  <c r="G152" i="24"/>
  <c r="G153" i="24"/>
  <c r="G154" i="24"/>
  <c r="G155" i="24"/>
  <c r="G156" i="24"/>
  <c r="G157" i="24"/>
  <c r="G158" i="24"/>
  <c r="G159" i="24"/>
  <c r="G160" i="24"/>
  <c r="G161" i="24"/>
  <c r="G162" i="24"/>
  <c r="G163" i="24"/>
  <c r="G164" i="24"/>
  <c r="G165" i="24"/>
  <c r="G166" i="24"/>
  <c r="G167" i="24"/>
  <c r="G168" i="24"/>
  <c r="G169" i="24"/>
  <c r="G170" i="24"/>
  <c r="G171" i="24"/>
  <c r="G172" i="24"/>
  <c r="G173" i="24"/>
  <c r="G174" i="24"/>
  <c r="G175" i="24"/>
  <c r="G176" i="24"/>
  <c r="G177" i="24"/>
  <c r="G178" i="24"/>
  <c r="G179" i="24"/>
  <c r="G180" i="24"/>
  <c r="G181" i="24"/>
  <c r="G182" i="24"/>
  <c r="G183" i="24"/>
  <c r="G184" i="24"/>
  <c r="G185" i="24"/>
  <c r="G186" i="24"/>
  <c r="G187" i="24"/>
  <c r="G188" i="24"/>
  <c r="G189" i="24"/>
  <c r="G190" i="24"/>
  <c r="G191" i="24"/>
  <c r="G192" i="24"/>
  <c r="G193" i="24"/>
  <c r="G194" i="24"/>
  <c r="G195" i="24"/>
  <c r="G196" i="24"/>
  <c r="G197" i="24"/>
  <c r="G198" i="24"/>
  <c r="G199" i="24"/>
  <c r="G200" i="24"/>
  <c r="G201" i="24"/>
  <c r="G202" i="24"/>
  <c r="G203" i="24"/>
  <c r="G204" i="24"/>
  <c r="G205" i="24"/>
  <c r="G206" i="24"/>
  <c r="G207" i="24"/>
  <c r="G208" i="24"/>
  <c r="G209" i="24"/>
  <c r="G210" i="24"/>
  <c r="G211" i="24"/>
  <c r="G212" i="24"/>
  <c r="G213" i="24"/>
  <c r="G214" i="24"/>
  <c r="G215" i="24"/>
  <c r="G216" i="24"/>
  <c r="G217" i="24"/>
  <c r="G218" i="24"/>
  <c r="G219" i="24"/>
  <c r="G220" i="24"/>
  <c r="G221" i="24"/>
  <c r="G222" i="24"/>
  <c r="G223" i="24"/>
  <c r="G224" i="24"/>
  <c r="G225" i="24"/>
  <c r="G226" i="24"/>
  <c r="G227" i="24"/>
  <c r="G228" i="24"/>
  <c r="G229" i="24"/>
  <c r="G230" i="24"/>
  <c r="G231" i="24"/>
  <c r="G232" i="24"/>
  <c r="G233" i="24"/>
  <c r="G234" i="24"/>
  <c r="G235" i="24"/>
  <c r="G236" i="24"/>
  <c r="G237" i="24"/>
  <c r="G238" i="24"/>
  <c r="G239" i="24"/>
  <c r="G240" i="24"/>
  <c r="G241" i="24"/>
  <c r="G242" i="24"/>
  <c r="G243" i="24"/>
  <c r="G244" i="24"/>
  <c r="G245" i="24"/>
  <c r="G246" i="24"/>
  <c r="G247" i="24"/>
  <c r="G248" i="24"/>
  <c r="G249" i="24"/>
  <c r="G250" i="24"/>
  <c r="G2" i="23"/>
  <c r="G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8" i="23"/>
  <c r="G99" i="23"/>
  <c r="G100" i="23"/>
  <c r="G101" i="23"/>
  <c r="G102" i="23"/>
  <c r="G103" i="23"/>
  <c r="G104" i="23"/>
  <c r="G105" i="23"/>
  <c r="G106" i="23"/>
  <c r="G107" i="23"/>
  <c r="G108" i="23"/>
  <c r="G109" i="23"/>
  <c r="G110" i="23"/>
  <c r="G111" i="23"/>
  <c r="G112" i="23"/>
  <c r="G113" i="23"/>
  <c r="G114" i="23"/>
  <c r="G115" i="23"/>
  <c r="G116" i="23"/>
  <c r="G117" i="23"/>
  <c r="G118" i="23"/>
  <c r="G119" i="23"/>
  <c r="G120" i="23"/>
  <c r="G121" i="23"/>
  <c r="G122" i="23"/>
  <c r="G123" i="23"/>
  <c r="G124" i="23"/>
  <c r="G125" i="23"/>
  <c r="G126" i="23"/>
  <c r="G127" i="23"/>
  <c r="G128" i="23"/>
  <c r="G129" i="23"/>
  <c r="G130" i="23"/>
  <c r="G131" i="23"/>
  <c r="G132" i="23"/>
  <c r="G133" i="23"/>
  <c r="G134" i="23"/>
  <c r="G135" i="23"/>
  <c r="G136" i="23"/>
  <c r="G137" i="23"/>
  <c r="G138" i="23"/>
  <c r="G139" i="23"/>
  <c r="G140" i="23"/>
  <c r="G141" i="23"/>
  <c r="G142" i="23"/>
  <c r="G143" i="23"/>
  <c r="G144" i="23"/>
  <c r="G145" i="23"/>
  <c r="G146" i="23"/>
  <c r="G147" i="23"/>
  <c r="G148" i="23"/>
  <c r="G149" i="23"/>
  <c r="G150" i="23"/>
  <c r="G151" i="23"/>
  <c r="G152" i="23"/>
  <c r="G153" i="23"/>
  <c r="G154" i="23"/>
  <c r="G155" i="23"/>
  <c r="G156" i="23"/>
  <c r="G157" i="23"/>
  <c r="G158" i="23"/>
  <c r="G159" i="23"/>
  <c r="G160" i="23"/>
  <c r="G161" i="23"/>
  <c r="G162" i="23"/>
  <c r="G163" i="23"/>
  <c r="G164" i="23"/>
  <c r="G165" i="23"/>
  <c r="G166" i="23"/>
  <c r="G167" i="23"/>
  <c r="G168" i="23"/>
  <c r="G169" i="23"/>
  <c r="G170" i="23"/>
  <c r="G171" i="23"/>
  <c r="G172" i="23"/>
  <c r="G173" i="23"/>
  <c r="G174" i="23"/>
  <c r="G175" i="23"/>
  <c r="G176" i="23"/>
  <c r="G177" i="23"/>
  <c r="G178" i="23"/>
  <c r="G179" i="23"/>
  <c r="G180" i="23"/>
  <c r="G181" i="23"/>
  <c r="G182" i="23"/>
  <c r="G183" i="23"/>
  <c r="G184" i="23"/>
  <c r="G185" i="23"/>
  <c r="G186" i="23"/>
  <c r="G187" i="23"/>
  <c r="G188" i="23"/>
  <c r="G189" i="23"/>
  <c r="G190" i="23"/>
  <c r="G191" i="23"/>
  <c r="G192" i="23"/>
  <c r="G193" i="23"/>
  <c r="G194" i="23"/>
  <c r="G195" i="23"/>
  <c r="G196" i="23"/>
  <c r="G197" i="23"/>
  <c r="G198" i="23"/>
  <c r="G199" i="23"/>
  <c r="G200" i="23"/>
  <c r="G201" i="23"/>
  <c r="G202" i="23"/>
  <c r="G203" i="23"/>
  <c r="G204" i="23"/>
  <c r="G205" i="23"/>
  <c r="G206" i="23"/>
  <c r="G207" i="23"/>
  <c r="G208" i="23"/>
  <c r="G209" i="23"/>
  <c r="G210" i="23"/>
  <c r="G211" i="23"/>
  <c r="G212" i="23"/>
  <c r="G213" i="23"/>
  <c r="G214" i="23"/>
  <c r="G215" i="23"/>
  <c r="G216" i="23"/>
  <c r="G217" i="23"/>
  <c r="G218" i="23"/>
  <c r="G219" i="23"/>
  <c r="G220" i="23"/>
  <c r="G221" i="23"/>
  <c r="G222" i="23"/>
  <c r="G223" i="23"/>
  <c r="G224" i="23"/>
  <c r="G225" i="23"/>
  <c r="G226" i="23"/>
  <c r="G227" i="23"/>
  <c r="G228" i="23"/>
  <c r="G229" i="23"/>
  <c r="G230" i="23"/>
  <c r="G231" i="23"/>
  <c r="G232" i="23"/>
  <c r="G233" i="23"/>
  <c r="G234" i="23"/>
  <c r="G235" i="23"/>
  <c r="G236" i="23"/>
  <c r="G237" i="23"/>
  <c r="G238" i="23"/>
  <c r="G239" i="23"/>
  <c r="G240" i="23"/>
  <c r="G241" i="23"/>
  <c r="G242" i="23"/>
  <c r="G243" i="23"/>
  <c r="G244" i="23"/>
  <c r="G245" i="23"/>
  <c r="G246" i="23"/>
  <c r="G247" i="23"/>
  <c r="G248" i="23"/>
  <c r="G249" i="23"/>
  <c r="G250" i="23"/>
  <c r="G2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G201" i="22"/>
  <c r="G202" i="22"/>
  <c r="G203" i="22"/>
  <c r="G204" i="22"/>
  <c r="G205" i="22"/>
  <c r="G206" i="22"/>
  <c r="G207" i="22"/>
  <c r="G208" i="22"/>
  <c r="G209" i="22"/>
  <c r="G210" i="22"/>
  <c r="G211" i="22"/>
  <c r="G212" i="22"/>
  <c r="G213" i="22"/>
  <c r="G214" i="22"/>
  <c r="G215" i="22"/>
  <c r="G216" i="22"/>
  <c r="G217" i="22"/>
  <c r="G218" i="22"/>
  <c r="G219" i="22"/>
  <c r="G220" i="22"/>
  <c r="G221" i="22"/>
  <c r="G222" i="22"/>
  <c r="G223" i="22"/>
  <c r="G224" i="22"/>
  <c r="G225" i="22"/>
  <c r="G226" i="22"/>
  <c r="G227" i="22"/>
  <c r="G228" i="22"/>
  <c r="G229" i="22"/>
  <c r="G230" i="22"/>
  <c r="G231" i="22"/>
  <c r="G232" i="22"/>
  <c r="G233" i="22"/>
  <c r="G234" i="22"/>
  <c r="G235" i="22"/>
  <c r="G236" i="22"/>
  <c r="G237" i="22"/>
  <c r="G238" i="22"/>
  <c r="G239" i="22"/>
  <c r="G240" i="22"/>
  <c r="G241" i="22"/>
  <c r="G242" i="22"/>
  <c r="G243" i="22"/>
  <c r="G244" i="22"/>
  <c r="G245" i="22"/>
  <c r="G246" i="22"/>
  <c r="G247" i="22"/>
  <c r="G248" i="22"/>
  <c r="G249" i="22"/>
  <c r="G250" i="22"/>
  <c r="G2" i="21"/>
  <c r="G3" i="21"/>
  <c r="G4" i="21"/>
  <c r="G5" i="21"/>
  <c r="G2" i="20"/>
  <c r="G3" i="20"/>
  <c r="G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201" i="20"/>
  <c r="G202" i="20"/>
  <c r="G203" i="20"/>
  <c r="G204" i="20"/>
  <c r="G205" i="20"/>
  <c r="G206" i="20"/>
  <c r="G207" i="20"/>
  <c r="G208" i="20"/>
  <c r="G209" i="20"/>
  <c r="G210" i="20"/>
  <c r="G211" i="20"/>
  <c r="G212" i="20"/>
  <c r="G213" i="20"/>
  <c r="G214" i="20"/>
  <c r="G215" i="20"/>
  <c r="G216" i="20"/>
  <c r="G217" i="20"/>
  <c r="G218" i="20"/>
  <c r="G219" i="20"/>
  <c r="G220" i="20"/>
  <c r="G221" i="20"/>
  <c r="G222" i="20"/>
  <c r="G223" i="20"/>
  <c r="G224" i="20"/>
  <c r="G225" i="20"/>
  <c r="G226" i="20"/>
  <c r="G227" i="20"/>
  <c r="G228" i="20"/>
  <c r="G229" i="20"/>
  <c r="G230" i="20"/>
  <c r="G231" i="20"/>
  <c r="G232" i="20"/>
  <c r="G233" i="20"/>
  <c r="G234" i="20"/>
  <c r="G235" i="20"/>
  <c r="G236" i="20"/>
  <c r="D237" i="20"/>
  <c r="G237" i="20"/>
  <c r="G238" i="20"/>
  <c r="G239" i="20"/>
  <c r="G240" i="20"/>
  <c r="G241" i="20"/>
  <c r="D242" i="20"/>
  <c r="G242" i="20"/>
  <c r="D243" i="20"/>
  <c r="G243" i="20"/>
  <c r="G244" i="20"/>
  <c r="D245" i="20"/>
  <c r="G245" i="20"/>
  <c r="E246" i="20"/>
  <c r="G246" i="20"/>
  <c r="G247" i="20"/>
  <c r="G248" i="20"/>
  <c r="D249" i="20"/>
  <c r="G249" i="20"/>
  <c r="D250" i="20"/>
  <c r="G250" i="20"/>
  <c r="D251" i="20"/>
  <c r="G251" i="20"/>
  <c r="D252" i="20"/>
  <c r="G252" i="20"/>
  <c r="G253" i="20"/>
  <c r="G254" i="20"/>
  <c r="G255" i="20"/>
  <c r="G256" i="20"/>
  <c r="D257" i="20"/>
  <c r="G257" i="20"/>
  <c r="D258" i="20"/>
  <c r="G258" i="20"/>
  <c r="G259" i="20"/>
  <c r="G260" i="20"/>
  <c r="G261" i="20"/>
  <c r="G262" i="20"/>
  <c r="G263" i="20"/>
  <c r="G264" i="20"/>
  <c r="G265" i="20"/>
  <c r="G266" i="20"/>
  <c r="G267" i="20"/>
  <c r="D268" i="20"/>
  <c r="G268" i="20"/>
  <c r="D269" i="20"/>
  <c r="G269" i="20"/>
  <c r="G270" i="20"/>
  <c r="D271" i="20"/>
  <c r="G271" i="20"/>
  <c r="G272" i="20"/>
  <c r="G273" i="20"/>
  <c r="G274" i="20"/>
  <c r="G275" i="20"/>
  <c r="G276" i="20"/>
  <c r="D277" i="20"/>
  <c r="G277" i="20"/>
  <c r="D278" i="20"/>
  <c r="G278" i="20"/>
  <c r="D279" i="20"/>
  <c r="G279" i="20"/>
  <c r="G280" i="20"/>
  <c r="G281" i="20"/>
  <c r="D282" i="20"/>
  <c r="G282" i="20"/>
  <c r="G283" i="20"/>
  <c r="G284" i="20"/>
  <c r="D285" i="20"/>
  <c r="G285" i="20"/>
  <c r="D286" i="20"/>
  <c r="G286" i="20"/>
  <c r="D287" i="20"/>
  <c r="G287" i="20"/>
  <c r="D288" i="20"/>
  <c r="G288" i="20"/>
  <c r="G289" i="20"/>
  <c r="G290" i="20"/>
  <c r="G291" i="20"/>
  <c r="D292" i="20"/>
  <c r="G292" i="20"/>
  <c r="D293" i="20"/>
  <c r="G293" i="20"/>
  <c r="G294" i="20"/>
  <c r="G295" i="20"/>
  <c r="G296" i="20"/>
  <c r="G297" i="20"/>
  <c r="D298" i="20"/>
  <c r="G298" i="20"/>
  <c r="D299" i="20"/>
  <c r="G299" i="20"/>
  <c r="G300" i="20"/>
  <c r="G301" i="20"/>
  <c r="G302" i="20"/>
  <c r="D303" i="20"/>
  <c r="G303" i="20"/>
  <c r="G304" i="20"/>
  <c r="G305" i="20"/>
  <c r="D306" i="20"/>
  <c r="G306" i="20"/>
  <c r="G307" i="20"/>
  <c r="G308" i="20"/>
  <c r="G309" i="20"/>
  <c r="G310" i="20"/>
  <c r="D311" i="20"/>
  <c r="G311" i="20"/>
  <c r="G312" i="20"/>
  <c r="D313" i="20"/>
  <c r="G313" i="20"/>
  <c r="G314" i="20"/>
  <c r="G315" i="20"/>
  <c r="D316" i="20"/>
  <c r="G316" i="20"/>
  <c r="G317" i="20"/>
  <c r="G318" i="20"/>
  <c r="D319" i="20"/>
  <c r="G319" i="20"/>
  <c r="D320" i="20"/>
  <c r="G320" i="20"/>
  <c r="D321" i="20"/>
  <c r="G321" i="20"/>
  <c r="D322" i="20"/>
  <c r="G322" i="20"/>
  <c r="D323" i="20"/>
  <c r="G323" i="20"/>
  <c r="D324" i="20"/>
  <c r="G324" i="20"/>
  <c r="D325" i="20"/>
  <c r="G325" i="20"/>
  <c r="D326" i="20"/>
  <c r="G326" i="20"/>
  <c r="D327" i="20"/>
  <c r="G327" i="20"/>
  <c r="D328" i="20"/>
  <c r="G328" i="20"/>
  <c r="D329" i="20"/>
  <c r="G329" i="20"/>
  <c r="D330" i="20"/>
  <c r="G330" i="20"/>
  <c r="D331" i="20"/>
  <c r="G331" i="20"/>
  <c r="D332" i="20"/>
  <c r="G332" i="20"/>
  <c r="D333" i="20"/>
  <c r="G333" i="20"/>
  <c r="G334" i="20"/>
  <c r="G335" i="20"/>
  <c r="G2" i="19"/>
  <c r="G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17" i="19"/>
  <c r="G218" i="19"/>
  <c r="G219" i="19"/>
  <c r="G220" i="19"/>
  <c r="G221" i="19"/>
  <c r="G222" i="19"/>
  <c r="G223" i="19"/>
  <c r="G224" i="19"/>
  <c r="G2" i="18"/>
  <c r="G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49" i="18"/>
  <c r="G150" i="18"/>
  <c r="G151" i="18"/>
  <c r="G152" i="18"/>
  <c r="G153" i="18"/>
  <c r="G154" i="18"/>
  <c r="G155" i="18"/>
  <c r="G156" i="18"/>
  <c r="G157" i="18"/>
  <c r="G158" i="18"/>
  <c r="G159" i="18"/>
  <c r="G160" i="18"/>
  <c r="G161" i="18"/>
  <c r="G162" i="18"/>
  <c r="G163" i="18"/>
  <c r="G164" i="18"/>
  <c r="G165" i="18"/>
  <c r="G166" i="18"/>
  <c r="G167" i="18"/>
  <c r="G168" i="18"/>
  <c r="G169" i="18"/>
  <c r="G170" i="18"/>
  <c r="G171" i="18"/>
  <c r="G172" i="18"/>
  <c r="G173" i="18"/>
  <c r="G174" i="18"/>
  <c r="G175" i="18"/>
  <c r="G176" i="18"/>
  <c r="G177" i="18"/>
  <c r="G178" i="18"/>
  <c r="G179" i="18"/>
  <c r="G180" i="18"/>
  <c r="G181" i="18"/>
  <c r="G182" i="18"/>
  <c r="G183" i="18"/>
  <c r="G184" i="18"/>
  <c r="G185" i="18"/>
  <c r="G186" i="18"/>
  <c r="G187" i="18"/>
  <c r="G188" i="18"/>
  <c r="G189" i="18"/>
  <c r="G190" i="18"/>
  <c r="G191" i="18"/>
  <c r="G192" i="18"/>
  <c r="G193" i="18"/>
  <c r="G194" i="18"/>
  <c r="G195" i="18"/>
  <c r="G196" i="18"/>
  <c r="G197" i="18"/>
  <c r="G198" i="18"/>
  <c r="G199" i="18"/>
  <c r="G200" i="18"/>
  <c r="G201" i="18"/>
  <c r="G202" i="18"/>
  <c r="G203" i="18"/>
  <c r="G204" i="18"/>
  <c r="G205" i="18"/>
  <c r="G206" i="18"/>
  <c r="G207" i="18"/>
  <c r="G208" i="18"/>
  <c r="G209" i="18"/>
  <c r="G210" i="18"/>
  <c r="G211" i="18"/>
  <c r="G212" i="18"/>
  <c r="G213" i="18"/>
  <c r="G214" i="18"/>
  <c r="G215" i="18"/>
  <c r="G216" i="18"/>
  <c r="G217" i="18"/>
  <c r="G218" i="18"/>
  <c r="G219" i="18"/>
  <c r="G220" i="18"/>
  <c r="G221" i="18"/>
  <c r="G222" i="18"/>
  <c r="G223" i="18"/>
  <c r="G224" i="18"/>
  <c r="G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" i="16"/>
  <c r="G3" i="16"/>
  <c r="G4" i="16"/>
  <c r="G5" i="16"/>
  <c r="G2" i="15"/>
  <c r="G3" i="15"/>
  <c r="G2" i="14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45" i="14"/>
  <c r="G246" i="14"/>
  <c r="G247" i="14"/>
  <c r="G248" i="14"/>
  <c r="G249" i="14"/>
  <c r="G250" i="14"/>
  <c r="G251" i="14"/>
  <c r="B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2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67" i="12"/>
  <c r="B268" i="12"/>
  <c r="B269" i="12"/>
  <c r="B270" i="12"/>
  <c r="B271" i="12"/>
  <c r="B272" i="12"/>
  <c r="B273" i="12"/>
  <c r="B274" i="12"/>
  <c r="B275" i="12"/>
  <c r="B276" i="12"/>
  <c r="B277" i="12"/>
  <c r="B278" i="12"/>
  <c r="B281" i="12"/>
  <c r="B282" i="12"/>
  <c r="B283" i="12"/>
  <c r="B28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4" i="12"/>
  <c r="B305" i="12"/>
  <c r="B306" i="12"/>
  <c r="B307" i="12"/>
  <c r="B308" i="12"/>
  <c r="B309" i="12"/>
  <c r="B310" i="12"/>
  <c r="B311" i="12"/>
  <c r="B312" i="12"/>
  <c r="B313" i="12"/>
  <c r="B314" i="12"/>
  <c r="B315" i="12"/>
  <c r="B316" i="12"/>
  <c r="B317" i="12"/>
  <c r="B318" i="12"/>
  <c r="B319" i="12"/>
  <c r="B320" i="12"/>
  <c r="B321" i="12"/>
  <c r="B322" i="12"/>
  <c r="B323" i="12"/>
  <c r="B324" i="12"/>
  <c r="B325" i="12"/>
  <c r="B326" i="12"/>
  <c r="B327" i="12"/>
  <c r="B328" i="12"/>
  <c r="B329" i="12"/>
  <c r="B330" i="12"/>
  <c r="B331" i="12"/>
  <c r="B332" i="12"/>
  <c r="B333" i="12"/>
  <c r="B334" i="12"/>
  <c r="B335" i="12"/>
  <c r="B336" i="12"/>
  <c r="B337" i="12"/>
  <c r="B338" i="12"/>
  <c r="B339" i="12"/>
  <c r="B340" i="12"/>
  <c r="B341" i="12"/>
  <c r="B342" i="12"/>
  <c r="B343" i="12"/>
  <c r="C343" i="12"/>
  <c r="B344" i="12"/>
  <c r="B345" i="12"/>
  <c r="B346" i="12"/>
  <c r="B347" i="12"/>
  <c r="B348" i="12"/>
  <c r="B349" i="12"/>
  <c r="B350" i="12"/>
  <c r="B351" i="12"/>
  <c r="B352" i="12"/>
  <c r="B353" i="12"/>
  <c r="B354" i="12"/>
  <c r="B355" i="12"/>
  <c r="B356" i="12"/>
  <c r="B357" i="12"/>
  <c r="B358" i="12"/>
  <c r="B359" i="12"/>
  <c r="B360" i="12"/>
  <c r="B361" i="12"/>
  <c r="B362" i="12"/>
  <c r="B363" i="12"/>
  <c r="B364" i="12"/>
  <c r="B365" i="12"/>
  <c r="B366" i="12"/>
  <c r="B367" i="12"/>
  <c r="B368" i="12"/>
  <c r="B369" i="12"/>
  <c r="B370" i="12"/>
  <c r="B371" i="12"/>
  <c r="B372" i="12"/>
  <c r="B373" i="12"/>
  <c r="B374" i="12"/>
  <c r="B375" i="12"/>
  <c r="B376" i="12"/>
  <c r="B377" i="12"/>
  <c r="B378" i="12"/>
  <c r="B379" i="12"/>
  <c r="B380" i="12"/>
  <c r="B381" i="12"/>
  <c r="B382" i="12"/>
  <c r="B383" i="12"/>
  <c r="B384" i="12"/>
  <c r="B385" i="12"/>
  <c r="B386" i="12"/>
  <c r="B387" i="12"/>
  <c r="B388" i="12"/>
  <c r="B389" i="12"/>
  <c r="B390" i="12"/>
  <c r="B391" i="12"/>
  <c r="B392" i="12"/>
  <c r="B393" i="12"/>
  <c r="B394" i="12"/>
  <c r="B395" i="12"/>
  <c r="B396" i="12"/>
  <c r="B397" i="12"/>
  <c r="B398" i="12"/>
  <c r="B399" i="12"/>
  <c r="B400" i="12"/>
  <c r="B401" i="12"/>
  <c r="B402" i="12"/>
  <c r="B403" i="12"/>
  <c r="B404" i="12"/>
  <c r="B405" i="12"/>
  <c r="B406" i="12"/>
  <c r="B407" i="12"/>
  <c r="B408" i="12"/>
  <c r="B409" i="12"/>
  <c r="B410" i="12"/>
  <c r="B411" i="12"/>
  <c r="B412" i="12"/>
  <c r="B413" i="12"/>
  <c r="B414" i="12"/>
  <c r="B415" i="12"/>
  <c r="B416" i="12"/>
  <c r="B417" i="12"/>
  <c r="B418" i="12"/>
  <c r="B419" i="12"/>
  <c r="B420" i="12"/>
  <c r="B421" i="12"/>
  <c r="B422" i="12"/>
  <c r="B423" i="12"/>
  <c r="B424" i="12"/>
  <c r="B425" i="12"/>
  <c r="B426" i="12"/>
  <c r="B427" i="12"/>
  <c r="B428" i="12"/>
  <c r="B429" i="12"/>
  <c r="B430" i="12"/>
  <c r="B431" i="12"/>
  <c r="B432" i="12"/>
  <c r="B433" i="12"/>
  <c r="B434" i="12"/>
  <c r="B435" i="12"/>
  <c r="B436" i="12"/>
  <c r="B437" i="12"/>
  <c r="B438" i="12"/>
  <c r="B439" i="12"/>
  <c r="B440" i="12"/>
  <c r="B441" i="12"/>
  <c r="B442" i="12"/>
  <c r="B443" i="12"/>
  <c r="B444" i="12"/>
  <c r="B445" i="12"/>
  <c r="B446" i="12"/>
  <c r="B447" i="12"/>
  <c r="B448" i="12"/>
  <c r="B449" i="12"/>
  <c r="B450" i="12"/>
  <c r="B451" i="12"/>
  <c r="B452" i="12"/>
  <c r="B453" i="12"/>
  <c r="B454" i="12"/>
  <c r="B455" i="12"/>
  <c r="B456" i="12"/>
  <c r="B457" i="12"/>
  <c r="B458" i="12"/>
  <c r="B459" i="12"/>
  <c r="B460" i="12"/>
  <c r="B461" i="12"/>
  <c r="B462" i="12"/>
  <c r="B463" i="12"/>
  <c r="B464" i="12"/>
  <c r="B465" i="12"/>
  <c r="B466" i="12"/>
  <c r="B467" i="12"/>
  <c r="B468" i="12"/>
  <c r="B469" i="12"/>
  <c r="B470" i="12"/>
  <c r="B471" i="12"/>
  <c r="B472" i="12"/>
  <c r="B473" i="12"/>
  <c r="B474" i="12"/>
  <c r="B475" i="12"/>
  <c r="B476" i="12"/>
  <c r="B477" i="12"/>
  <c r="B478" i="12"/>
  <c r="B479" i="12"/>
  <c r="B480" i="12"/>
  <c r="B481" i="12"/>
  <c r="B482" i="12"/>
  <c r="B483" i="12"/>
  <c r="B484" i="12"/>
  <c r="B485" i="12"/>
  <c r="B486" i="12"/>
  <c r="B487" i="12"/>
  <c r="B488" i="12"/>
  <c r="B489" i="12"/>
  <c r="B490" i="12"/>
  <c r="B491" i="12"/>
  <c r="B492" i="12"/>
  <c r="B493" i="12"/>
  <c r="B494" i="12"/>
  <c r="B495" i="12"/>
  <c r="B496" i="12"/>
  <c r="B497" i="12"/>
  <c r="B498" i="12"/>
  <c r="B499" i="12"/>
  <c r="B500" i="12"/>
  <c r="B501" i="12"/>
  <c r="B502" i="12"/>
  <c r="B503" i="12"/>
  <c r="B504" i="12"/>
  <c r="B505" i="12"/>
  <c r="B506" i="12"/>
  <c r="B507" i="12"/>
  <c r="B508" i="12"/>
  <c r="B509" i="12"/>
  <c r="B510" i="12"/>
  <c r="B511" i="12"/>
  <c r="B512" i="12"/>
  <c r="B513" i="12"/>
  <c r="B514" i="12"/>
  <c r="B515" i="12"/>
  <c r="B516" i="12"/>
  <c r="B517" i="12"/>
  <c r="B518" i="12"/>
  <c r="B519" i="12"/>
  <c r="B520" i="12"/>
  <c r="B521" i="12"/>
  <c r="B522" i="12"/>
  <c r="B523" i="12"/>
  <c r="B524" i="12"/>
  <c r="B525" i="12"/>
  <c r="B526" i="12"/>
  <c r="B527" i="12"/>
  <c r="B528" i="12"/>
  <c r="B529" i="12"/>
  <c r="B530" i="12"/>
  <c r="B531" i="12"/>
  <c r="B532" i="12"/>
  <c r="B533" i="12"/>
  <c r="B534" i="12"/>
  <c r="B535" i="12"/>
  <c r="B536" i="12"/>
  <c r="B537" i="12"/>
  <c r="B538" i="12"/>
  <c r="B539" i="12"/>
  <c r="B540" i="12"/>
  <c r="B541" i="12"/>
  <c r="B542" i="12"/>
  <c r="B543" i="12"/>
  <c r="B544" i="12"/>
  <c r="B545" i="12"/>
  <c r="B546" i="12"/>
  <c r="B547" i="12"/>
  <c r="B548" i="12"/>
  <c r="B549" i="12"/>
  <c r="B550" i="12"/>
  <c r="B551" i="12"/>
  <c r="B552" i="12"/>
  <c r="B553" i="12"/>
  <c r="B554" i="12"/>
  <c r="B555" i="12"/>
  <c r="B556" i="12"/>
  <c r="B557" i="12"/>
  <c r="B558" i="12"/>
  <c r="B559" i="12"/>
  <c r="B560" i="12"/>
  <c r="B561" i="12"/>
  <c r="B562" i="12"/>
  <c r="B563" i="12"/>
  <c r="B564" i="12"/>
  <c r="B565" i="12"/>
  <c r="B566" i="12"/>
  <c r="B567" i="12"/>
  <c r="B568" i="12"/>
  <c r="B569" i="12"/>
  <c r="B570" i="12"/>
  <c r="B571" i="12"/>
  <c r="B572" i="12"/>
  <c r="B573" i="12"/>
  <c r="B574" i="12"/>
  <c r="B575" i="12"/>
  <c r="B576" i="12"/>
  <c r="B577" i="12"/>
  <c r="B578" i="12"/>
  <c r="B579" i="12"/>
  <c r="B580" i="12"/>
  <c r="B581" i="12"/>
  <c r="B582" i="12"/>
  <c r="B583" i="12"/>
  <c r="B584" i="12"/>
  <c r="B585" i="12"/>
  <c r="B586" i="12"/>
  <c r="B587" i="12"/>
  <c r="B588" i="12"/>
  <c r="B589" i="12"/>
  <c r="B590" i="12"/>
  <c r="B591" i="12"/>
  <c r="B592" i="12"/>
  <c r="B593" i="12"/>
  <c r="B594" i="12"/>
  <c r="B595" i="12"/>
  <c r="B596" i="12"/>
  <c r="B597" i="12"/>
  <c r="B598" i="12"/>
  <c r="B599" i="12"/>
  <c r="B600" i="12"/>
  <c r="B601" i="12"/>
  <c r="B602" i="12"/>
  <c r="B603" i="12"/>
  <c r="B604" i="12"/>
  <c r="B605" i="12"/>
  <c r="B606" i="12"/>
  <c r="B607" i="12"/>
  <c r="B608" i="12"/>
  <c r="B609" i="12"/>
  <c r="B610" i="12"/>
  <c r="B611" i="12"/>
  <c r="B612" i="12"/>
  <c r="B613" i="12"/>
  <c r="B614" i="12"/>
  <c r="B615" i="12"/>
  <c r="B616" i="12"/>
  <c r="B617" i="12"/>
  <c r="B618" i="12"/>
  <c r="B619" i="12"/>
  <c r="B620" i="12"/>
  <c r="B621" i="12"/>
  <c r="B622" i="12"/>
  <c r="B623" i="12"/>
  <c r="B624" i="12"/>
  <c r="B625" i="12"/>
  <c r="B626" i="12"/>
  <c r="B627" i="12"/>
  <c r="B628" i="12"/>
  <c r="B629" i="12"/>
  <c r="B630" i="12"/>
  <c r="B631" i="12"/>
  <c r="B632" i="12"/>
  <c r="B633" i="12"/>
  <c r="B634" i="12"/>
  <c r="B635" i="12"/>
  <c r="B636" i="12"/>
  <c r="B637" i="12"/>
  <c r="B638" i="12"/>
  <c r="B639" i="12"/>
  <c r="B640" i="12"/>
  <c r="B641" i="12"/>
  <c r="B642" i="12"/>
  <c r="B643" i="12"/>
  <c r="B644" i="12"/>
  <c r="B645" i="12"/>
  <c r="B646" i="12"/>
  <c r="B647" i="12"/>
  <c r="B648" i="12"/>
  <c r="B649" i="12"/>
  <c r="B650" i="12"/>
  <c r="B651" i="12"/>
  <c r="B652" i="12"/>
  <c r="B653" i="12"/>
  <c r="B654" i="12"/>
  <c r="B655" i="12"/>
  <c r="B656" i="12"/>
  <c r="B657" i="12"/>
  <c r="B658" i="12"/>
  <c r="B659" i="12"/>
  <c r="B660" i="12"/>
  <c r="B661" i="12"/>
  <c r="B662" i="12"/>
  <c r="B663" i="12"/>
  <c r="B664" i="12"/>
  <c r="B665" i="12"/>
  <c r="B666" i="12"/>
  <c r="B667" i="12"/>
  <c r="B668" i="12"/>
  <c r="B669" i="12"/>
  <c r="B670" i="12"/>
  <c r="B671" i="12"/>
  <c r="B672" i="12"/>
  <c r="B673" i="12"/>
  <c r="B674" i="12"/>
  <c r="B675" i="12"/>
  <c r="B676" i="12"/>
  <c r="B677" i="12"/>
  <c r="B678" i="12"/>
  <c r="B679" i="12"/>
  <c r="B680" i="12"/>
  <c r="B681" i="12"/>
  <c r="B682" i="12"/>
  <c r="B683" i="12"/>
  <c r="B684" i="12"/>
  <c r="B685" i="12"/>
  <c r="B686" i="12"/>
  <c r="B687" i="12"/>
  <c r="B688" i="12"/>
  <c r="B689" i="12"/>
  <c r="B690" i="12"/>
  <c r="B691" i="12"/>
  <c r="B692" i="12"/>
  <c r="B693" i="12"/>
  <c r="B694" i="12"/>
  <c r="B695" i="12"/>
  <c r="B696" i="12"/>
  <c r="B697" i="12"/>
  <c r="B698" i="12"/>
  <c r="B699" i="12"/>
  <c r="B700" i="12"/>
  <c r="B701" i="12"/>
  <c r="B702" i="12"/>
  <c r="B703" i="12"/>
  <c r="B704" i="12"/>
  <c r="B705" i="12"/>
  <c r="B706" i="12"/>
  <c r="B707" i="12"/>
  <c r="B708" i="12"/>
  <c r="B709" i="12"/>
  <c r="B710" i="12"/>
  <c r="B711" i="12"/>
  <c r="B712" i="12"/>
  <c r="B713" i="12"/>
  <c r="B714" i="12"/>
  <c r="B715" i="12"/>
  <c r="B716" i="12"/>
  <c r="B717" i="12"/>
  <c r="B718" i="12"/>
  <c r="B719" i="12"/>
  <c r="B720" i="12"/>
  <c r="B721" i="12"/>
  <c r="B722" i="12"/>
  <c r="B723" i="12"/>
  <c r="B724" i="12"/>
  <c r="B725" i="12"/>
  <c r="B726" i="12"/>
  <c r="B727" i="12"/>
  <c r="B728" i="12"/>
  <c r="B729" i="12"/>
  <c r="B730" i="12"/>
  <c r="B731" i="12"/>
  <c r="B732" i="12"/>
  <c r="B733" i="12"/>
  <c r="B734" i="12"/>
  <c r="B735" i="12"/>
  <c r="B736" i="12"/>
  <c r="B737" i="12"/>
  <c r="B738" i="12"/>
  <c r="B739" i="12"/>
  <c r="B740" i="12"/>
  <c r="B741" i="12"/>
  <c r="B742" i="12"/>
  <c r="B743" i="12"/>
  <c r="B744" i="12"/>
  <c r="B745" i="12"/>
  <c r="B746" i="12"/>
  <c r="B747" i="12"/>
  <c r="B748" i="12"/>
  <c r="B749" i="12"/>
  <c r="B750" i="12"/>
  <c r="B751" i="12"/>
  <c r="B752" i="12"/>
  <c r="B753" i="12"/>
  <c r="B754" i="12"/>
  <c r="B755" i="12"/>
  <c r="B756" i="12"/>
  <c r="B757" i="12"/>
  <c r="B758" i="12"/>
  <c r="B759" i="12"/>
  <c r="B760" i="12"/>
  <c r="B761" i="12"/>
  <c r="B762" i="12"/>
  <c r="B763" i="12"/>
  <c r="B764" i="12"/>
  <c r="B765" i="12"/>
  <c r="B766" i="12"/>
  <c r="B767" i="12"/>
  <c r="B768" i="12"/>
  <c r="B769" i="12"/>
  <c r="B770" i="12"/>
  <c r="B771" i="12"/>
  <c r="B772" i="12"/>
  <c r="B773" i="12"/>
  <c r="B774" i="12"/>
  <c r="B775" i="12"/>
  <c r="B776" i="12"/>
  <c r="B777" i="12"/>
  <c r="B778" i="12"/>
  <c r="B779" i="12"/>
  <c r="B780" i="12"/>
  <c r="B781" i="12"/>
  <c r="B782" i="12"/>
  <c r="B783" i="12"/>
  <c r="B784" i="12"/>
  <c r="B785" i="12"/>
  <c r="B786" i="12"/>
  <c r="B787" i="12"/>
  <c r="B788" i="12"/>
  <c r="B789" i="12"/>
  <c r="B790" i="12"/>
  <c r="B791" i="12"/>
  <c r="B792" i="12"/>
  <c r="B793" i="12"/>
  <c r="B794" i="12"/>
  <c r="B795" i="12"/>
  <c r="B796" i="12"/>
  <c r="B797" i="12"/>
  <c r="B798" i="12"/>
  <c r="B799" i="12"/>
  <c r="B800" i="12"/>
  <c r="B801" i="12"/>
  <c r="B802" i="12"/>
  <c r="B803" i="12"/>
  <c r="B804" i="12"/>
  <c r="B805" i="12"/>
  <c r="B806" i="12"/>
  <c r="B807" i="12"/>
  <c r="B808" i="12"/>
  <c r="B809" i="12"/>
  <c r="B810" i="12"/>
  <c r="B811" i="12"/>
  <c r="B812" i="12"/>
  <c r="B813" i="12"/>
  <c r="B814" i="12"/>
  <c r="B815" i="12"/>
  <c r="B816" i="12"/>
  <c r="B817" i="12"/>
  <c r="B818" i="12"/>
  <c r="B819" i="12"/>
  <c r="B820" i="12"/>
  <c r="B821" i="12"/>
  <c r="B822" i="12"/>
  <c r="B823" i="12"/>
  <c r="B824" i="12"/>
  <c r="B825" i="12"/>
  <c r="B826" i="12"/>
  <c r="B827" i="12"/>
  <c r="B828" i="12"/>
  <c r="B829" i="12"/>
  <c r="B830" i="12"/>
  <c r="B831" i="12"/>
  <c r="B832" i="12"/>
  <c r="B833" i="12"/>
  <c r="B834" i="12"/>
  <c r="B835" i="12"/>
  <c r="B836" i="12"/>
  <c r="B837" i="12"/>
  <c r="B838" i="12"/>
  <c r="B839" i="12"/>
  <c r="B840" i="12"/>
  <c r="B841" i="12"/>
  <c r="B842" i="12"/>
  <c r="B843" i="12"/>
  <c r="B844" i="12"/>
  <c r="B845" i="12"/>
  <c r="B846" i="12"/>
  <c r="B847" i="12"/>
  <c r="B848" i="12"/>
  <c r="B849" i="12"/>
  <c r="B850" i="12"/>
  <c r="B851" i="12"/>
  <c r="B852" i="12"/>
  <c r="B853" i="12"/>
  <c r="B854" i="12"/>
  <c r="B855" i="12"/>
  <c r="B856" i="12"/>
  <c r="B857" i="12"/>
  <c r="B858" i="12"/>
  <c r="B859" i="12"/>
  <c r="B860" i="12"/>
  <c r="B861" i="12"/>
  <c r="B862" i="12"/>
  <c r="B863" i="12"/>
  <c r="B864" i="12"/>
  <c r="B865" i="12"/>
  <c r="B866" i="12"/>
  <c r="B867" i="12"/>
  <c r="B868" i="12"/>
  <c r="B869" i="12"/>
  <c r="B870" i="12"/>
  <c r="B871" i="12"/>
  <c r="B872" i="12"/>
  <c r="B873" i="12"/>
  <c r="B874" i="12"/>
  <c r="B875" i="12"/>
  <c r="B876" i="12"/>
  <c r="B877" i="12"/>
  <c r="B878" i="12"/>
  <c r="B879" i="12"/>
  <c r="B880" i="12"/>
  <c r="B881" i="12"/>
  <c r="B882" i="12"/>
  <c r="B883" i="12"/>
  <c r="B884" i="12"/>
  <c r="B885" i="12"/>
  <c r="B886" i="12"/>
  <c r="B887" i="12"/>
  <c r="B888" i="12"/>
  <c r="B889" i="12"/>
  <c r="B890" i="12"/>
  <c r="B891" i="12"/>
  <c r="B892" i="12"/>
  <c r="B893" i="12"/>
  <c r="B894" i="12"/>
  <c r="B895" i="12"/>
  <c r="B896" i="12"/>
  <c r="B897" i="12"/>
  <c r="B898" i="12"/>
  <c r="B899" i="12"/>
  <c r="B900" i="12"/>
  <c r="B901" i="12"/>
  <c r="B902" i="12"/>
  <c r="B903" i="12"/>
  <c r="B904" i="12"/>
  <c r="B905" i="12"/>
  <c r="B906" i="12"/>
  <c r="B907" i="12"/>
  <c r="B908" i="12"/>
  <c r="B909" i="12"/>
  <c r="B910" i="12"/>
  <c r="B911" i="12"/>
  <c r="B912" i="12"/>
  <c r="B913" i="12"/>
  <c r="B914" i="12"/>
  <c r="B915" i="12"/>
  <c r="B916" i="12"/>
  <c r="B917" i="12"/>
  <c r="B918" i="12"/>
  <c r="B919" i="12"/>
  <c r="B920" i="12"/>
  <c r="B921" i="12"/>
  <c r="B922" i="12"/>
  <c r="B923" i="12"/>
  <c r="B924" i="12"/>
  <c r="B925" i="12"/>
  <c r="B926" i="12"/>
  <c r="B927" i="12"/>
  <c r="B928" i="12"/>
  <c r="B929" i="12"/>
  <c r="B930" i="12"/>
  <c r="B931" i="12"/>
  <c r="B932" i="12"/>
  <c r="B933" i="12"/>
  <c r="B616" i="3"/>
  <c r="B617" i="3"/>
  <c r="B618" i="3"/>
  <c r="B619" i="3"/>
  <c r="B620" i="3"/>
  <c r="B621" i="3"/>
  <c r="B622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2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7" i="3"/>
  <c r="B719" i="3"/>
  <c r="B721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9" i="3"/>
  <c r="B740" i="3"/>
  <c r="B742" i="3"/>
  <c r="B743" i="3"/>
  <c r="B744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4" i="3"/>
  <c r="B855" i="3"/>
  <c r="B856" i="3"/>
  <c r="B861" i="3"/>
  <c r="B865" i="3"/>
  <c r="B866" i="3"/>
  <c r="B868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5" i="3"/>
  <c r="B887" i="3"/>
  <c r="B888" i="3"/>
  <c r="B889" i="3"/>
  <c r="B890" i="3"/>
  <c r="B891" i="3"/>
  <c r="B892" i="3"/>
  <c r="B893" i="3"/>
  <c r="B895" i="3"/>
  <c r="B896" i="3"/>
  <c r="B898" i="3"/>
  <c r="B899" i="3"/>
  <c r="B900" i="3"/>
  <c r="B901" i="3"/>
  <c r="B902" i="3"/>
  <c r="B907" i="3"/>
  <c r="B908" i="3"/>
  <c r="B910" i="3"/>
  <c r="B911" i="3"/>
  <c r="B912" i="3"/>
  <c r="B913" i="3"/>
  <c r="B914" i="3"/>
  <c r="B915" i="3"/>
  <c r="B916" i="3"/>
  <c r="B917" i="3"/>
  <c r="B918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3" i="3"/>
  <c r="B964" i="3"/>
  <c r="B966" i="3"/>
  <c r="B968" i="3"/>
  <c r="B971" i="3"/>
  <c r="B972" i="3"/>
  <c r="B973" i="3"/>
  <c r="B974" i="3"/>
  <c r="B975" i="3"/>
  <c r="B976" i="3"/>
  <c r="B977" i="3"/>
  <c r="B978" i="3"/>
  <c r="B979" i="3"/>
  <c r="B980" i="3"/>
  <c r="B981" i="3"/>
  <c r="B983" i="3"/>
  <c r="B984" i="3"/>
  <c r="B985" i="3"/>
  <c r="B986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6" i="3"/>
  <c r="B1127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5" i="3"/>
  <c r="B1216" i="3"/>
  <c r="B1217" i="3"/>
  <c r="B1218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4" i="3"/>
  <c r="B1265" i="3"/>
  <c r="B1266" i="3"/>
  <c r="B1267" i="3"/>
  <c r="B1268" i="3"/>
  <c r="B1272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98" i="3"/>
  <c r="B1301" i="3"/>
  <c r="B1302" i="3"/>
  <c r="B1303" i="3"/>
  <c r="B1315" i="3"/>
  <c r="B1316" i="3"/>
  <c r="B1320" i="3"/>
  <c r="B1321" i="3"/>
  <c r="B1322" i="3"/>
  <c r="B1323" i="3"/>
  <c r="B1325" i="3"/>
  <c r="B1330" i="3"/>
  <c r="B1331" i="3"/>
  <c r="B1332" i="3"/>
  <c r="B1333" i="3"/>
  <c r="B1334" i="3"/>
  <c r="B1336" i="3"/>
  <c r="B1337" i="3"/>
  <c r="B1340" i="3"/>
  <c r="B1341" i="3"/>
  <c r="B1342" i="3"/>
  <c r="B1343" i="3"/>
  <c r="B1346" i="3"/>
  <c r="B1347" i="3"/>
  <c r="B1348" i="3"/>
  <c r="B1349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9" i="3"/>
  <c r="B1370" i="3"/>
  <c r="B1371" i="3"/>
  <c r="B1374" i="3"/>
  <c r="B1376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400" i="3"/>
  <c r="B1401" i="3"/>
  <c r="B1403" i="3"/>
  <c r="B1404" i="3"/>
  <c r="B1405" i="3"/>
  <c r="B1406" i="3"/>
  <c r="B1407" i="3"/>
  <c r="B1408" i="3"/>
  <c r="B1410" i="3"/>
  <c r="B1411" i="3"/>
  <c r="B1417" i="3"/>
  <c r="B1419" i="3"/>
  <c r="B1420" i="3"/>
  <c r="B1421" i="3"/>
  <c r="B1422" i="3"/>
  <c r="B1423" i="3"/>
  <c r="B1424" i="3"/>
  <c r="B1425" i="3"/>
  <c r="B1426" i="3"/>
  <c r="B1427" i="3"/>
  <c r="B1428" i="3"/>
  <c r="B1431" i="3"/>
  <c r="B1432" i="3"/>
  <c r="B1433" i="3"/>
  <c r="B1434" i="3"/>
  <c r="B1435" i="3"/>
  <c r="B1437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2" i="3"/>
  <c r="B1527" i="3"/>
  <c r="B1529" i="3"/>
  <c r="B1530" i="3"/>
  <c r="B1531" i="3"/>
  <c r="B1532" i="3"/>
  <c r="B1541" i="3"/>
  <c r="B1542" i="3"/>
  <c r="B1543" i="3"/>
  <c r="B1544" i="3"/>
  <c r="B1545" i="3"/>
  <c r="B1546" i="3"/>
  <c r="B1547" i="3"/>
  <c r="B1548" i="3"/>
  <c r="B1552" i="3"/>
  <c r="B1553" i="3"/>
  <c r="B1554" i="3"/>
  <c r="B1555" i="3"/>
  <c r="B1561" i="3"/>
  <c r="B1562" i="3"/>
  <c r="B1563" i="3"/>
  <c r="B1564" i="3"/>
  <c r="B1565" i="3"/>
  <c r="B1566" i="3"/>
  <c r="B1567" i="3"/>
  <c r="B1571" i="3"/>
  <c r="B1572" i="3"/>
  <c r="B1573" i="3"/>
  <c r="B1574" i="3"/>
  <c r="B1575" i="3"/>
  <c r="B1576" i="3"/>
  <c r="B1578" i="3"/>
  <c r="B1579" i="3"/>
  <c r="B1580" i="3"/>
  <c r="B1601" i="3"/>
  <c r="B1602" i="3"/>
  <c r="B1603" i="3"/>
  <c r="B1604" i="3"/>
  <c r="B1605" i="3"/>
  <c r="B1606" i="3"/>
  <c r="B1607" i="3"/>
  <c r="B1609" i="3"/>
  <c r="B1614" i="3"/>
  <c r="B1616" i="3"/>
  <c r="B1618" i="3"/>
  <c r="B1619" i="3"/>
  <c r="B1622" i="3"/>
  <c r="B1623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41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8" i="3"/>
  <c r="B1961" i="3"/>
  <c r="B1965" i="3"/>
  <c r="B1966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2000" i="3"/>
  <c r="B2001" i="3"/>
  <c r="B2002" i="3"/>
  <c r="B2003" i="3"/>
  <c r="B2004" i="3"/>
  <c r="B2005" i="3"/>
  <c r="B2006" i="3"/>
  <c r="B2009" i="3"/>
  <c r="B2011" i="3"/>
  <c r="B2012" i="3"/>
  <c r="B2013" i="3"/>
  <c r="B2045" i="3"/>
  <c r="B2046" i="3"/>
  <c r="B2047" i="3"/>
  <c r="B2048" i="3"/>
  <c r="B2050" i="3"/>
  <c r="B2054" i="3"/>
  <c r="B2056" i="3"/>
  <c r="B2057" i="3"/>
  <c r="B2060" i="3"/>
  <c r="B2062" i="3"/>
  <c r="B2066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6" i="3"/>
  <c r="B2128" i="3"/>
  <c r="B2130" i="3"/>
  <c r="B2131" i="3"/>
  <c r="B2132" i="3"/>
  <c r="B2133" i="3"/>
  <c r="B2142" i="3"/>
  <c r="B2143" i="3"/>
  <c r="B2144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99" i="3"/>
  <c r="B2200" i="3"/>
  <c r="B2201" i="3"/>
  <c r="B2202" i="3"/>
  <c r="B2203" i="3"/>
  <c r="B2204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45" i="3"/>
  <c r="B2246" i="3"/>
  <c r="B2247" i="3"/>
  <c r="B2248" i="3"/>
  <c r="B2249" i="3"/>
  <c r="B2250" i="3"/>
  <c r="B2252" i="3"/>
  <c r="B2260" i="3"/>
  <c r="B2261" i="3"/>
  <c r="B2263" i="3"/>
  <c r="B2266" i="3"/>
  <c r="B2267" i="3"/>
  <c r="B2273" i="3"/>
  <c r="B2283" i="3"/>
  <c r="B2284" i="3"/>
  <c r="B2285" i="3"/>
  <c r="B2286" i="3"/>
  <c r="B2287" i="3"/>
  <c r="B2299" i="3"/>
  <c r="B2300" i="3"/>
  <c r="B2301" i="3"/>
  <c r="B2302" i="3"/>
  <c r="B2303" i="3"/>
  <c r="B2304" i="3"/>
  <c r="B2305" i="3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1" i="1"/>
  <c r="A152" i="1"/>
  <c r="A153" i="1"/>
  <c r="A154" i="1"/>
  <c r="A155" i="1"/>
  <c r="A156" i="1"/>
  <c r="A157" i="1"/>
  <c r="A158" i="1"/>
  <c r="A159" i="1"/>
  <c r="A160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40" i="1"/>
  <c r="A341" i="1"/>
  <c r="A342" i="1"/>
  <c r="A343" i="1"/>
  <c r="A344" i="1"/>
  <c r="A345" i="1"/>
  <c r="A346" i="1"/>
  <c r="A347" i="1"/>
  <c r="A348" i="1"/>
  <c r="A349" i="1"/>
  <c r="A351" i="1"/>
  <c r="A352" i="1"/>
  <c r="A354" i="1"/>
  <c r="A356" i="1"/>
  <c r="A357" i="1"/>
  <c r="A359" i="1"/>
  <c r="A361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9" i="1"/>
  <c r="A381" i="1"/>
  <c r="A383" i="1"/>
  <c r="A384" i="1"/>
  <c r="A385" i="1"/>
  <c r="A386" i="1"/>
  <c r="A387" i="1"/>
  <c r="A388" i="1"/>
  <c r="A390" i="1"/>
  <c r="A392" i="1"/>
  <c r="A394" i="1"/>
  <c r="A395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3" i="1"/>
  <c r="A425" i="1"/>
  <c r="A426" i="1"/>
  <c r="A427" i="1"/>
  <c r="A428" i="1"/>
  <c r="A429" i="1"/>
  <c r="A430" i="1"/>
  <c r="A432" i="1"/>
  <c r="A433" i="1"/>
  <c r="A434" i="1"/>
  <c r="A435" i="1"/>
  <c r="A436" i="1"/>
  <c r="A438" i="1"/>
  <c r="A439" i="1"/>
  <c r="A440" i="1"/>
  <c r="A441" i="1"/>
  <c r="A442" i="1"/>
  <c r="A443" i="1"/>
  <c r="A444" i="1"/>
  <c r="A446" i="1"/>
  <c r="A448" i="1"/>
  <c r="A450" i="1"/>
  <c r="A452" i="1"/>
  <c r="A454" i="1"/>
  <c r="A456" i="1"/>
  <c r="A458" i="1"/>
  <c r="A460" i="1"/>
  <c r="A461" i="1"/>
  <c r="A462" i="1"/>
  <c r="A463" i="1"/>
  <c r="A464" i="1"/>
  <c r="A465" i="1"/>
  <c r="A467" i="1"/>
  <c r="A469" i="1"/>
  <c r="A470" i="1"/>
  <c r="A471" i="1"/>
  <c r="A472" i="1"/>
  <c r="A473" i="1"/>
  <c r="A474" i="1"/>
  <c r="A475" i="1"/>
  <c r="A476" i="1"/>
  <c r="A477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</calcChain>
</file>

<file path=xl/sharedStrings.xml><?xml version="1.0" encoding="utf-8"?>
<sst xmlns="http://schemas.openxmlformats.org/spreadsheetml/2006/main" count="68262" uniqueCount="17552">
  <si>
    <t>Numéro</t>
  </si>
  <si>
    <t>Intitulé</t>
  </si>
  <si>
    <t>AKZO NOBEL</t>
  </si>
  <si>
    <t>AIGLOR</t>
  </si>
  <si>
    <t>LACAPRO</t>
  </si>
  <si>
    <t>LUKUS TRADE MAROC</t>
  </si>
  <si>
    <t>MONDIAL THRADE</t>
  </si>
  <si>
    <t>LA MAISON ITALIEN</t>
  </si>
  <si>
    <t>GLOBAL TRANSMISSION</t>
  </si>
  <si>
    <t>EXPRESS DISTRUBTION</t>
  </si>
  <si>
    <t>OURIKA PEINTURE</t>
  </si>
  <si>
    <t>LPEE</t>
  </si>
  <si>
    <t>L3E</t>
  </si>
  <si>
    <t>LABORATOIRE  MAGI</t>
  </si>
  <si>
    <t>LABTRONIC</t>
  </si>
  <si>
    <t>FG INDUSTRIE</t>
  </si>
  <si>
    <t>HADJ FERTTATE</t>
  </si>
  <si>
    <t>HADJ MOHAMED NADO</t>
  </si>
  <si>
    <t>BEN HAJ FRERES</t>
  </si>
  <si>
    <t>BELLEOUCH RABIE</t>
  </si>
  <si>
    <t>BEN CHRIF MOHAMED</t>
  </si>
  <si>
    <t>BENCHARIF NOUREDD</t>
  </si>
  <si>
    <t>BOUTALEB DISTRIBUTION</t>
  </si>
  <si>
    <t>BENIDENT</t>
  </si>
  <si>
    <t>BERLAB</t>
  </si>
  <si>
    <t>AUTO FILLER</t>
  </si>
  <si>
    <t>BY CAR</t>
  </si>
  <si>
    <t>BELAID LAHMED</t>
  </si>
  <si>
    <t>HONAI AHMED</t>
  </si>
  <si>
    <t>MANUPEINT</t>
  </si>
  <si>
    <t>MAPROF</t>
  </si>
  <si>
    <t>HANIN MOHAMED</t>
  </si>
  <si>
    <t>MARCHIM</t>
  </si>
  <si>
    <t>MANI FRERES PEINTURES</t>
  </si>
  <si>
    <t>MULTICOLLES</t>
  </si>
  <si>
    <t>HOUCHE OUTILS</t>
  </si>
  <si>
    <t>MODIAM</t>
  </si>
  <si>
    <t>MADANI PEINTURE</t>
  </si>
  <si>
    <t>MRICA</t>
  </si>
  <si>
    <t>MEGA CHIMIE</t>
  </si>
  <si>
    <t>MAC GOLD</t>
  </si>
  <si>
    <t>MADY PEINTURE</t>
  </si>
  <si>
    <t>MIDI PEINTURE</t>
  </si>
  <si>
    <t>MIRGON</t>
  </si>
  <si>
    <t>MAG TRADING</t>
  </si>
  <si>
    <t>MAGIC PEINTURE</t>
  </si>
  <si>
    <t>MILLERIE DAR ESSALAM</t>
  </si>
  <si>
    <t>MARDIS</t>
  </si>
  <si>
    <t>MONOPOL  PEINTURE</t>
  </si>
  <si>
    <t>MANULAND</t>
  </si>
  <si>
    <t>MOURAD PEINTURE</t>
  </si>
  <si>
    <t>MAAMORA CARROSSERIE</t>
  </si>
  <si>
    <t>MATASA</t>
  </si>
  <si>
    <t>MOSHI MOSHI</t>
  </si>
  <si>
    <t>MULTI ACT</t>
  </si>
  <si>
    <t>NAJIM BENCHARIF</t>
  </si>
  <si>
    <t>NAZIH MOHAMED</t>
  </si>
  <si>
    <t>NEJMA COLOR</t>
  </si>
  <si>
    <t>NCCIC</t>
  </si>
  <si>
    <t>J 2 J</t>
  </si>
  <si>
    <t>OUTINAS</t>
  </si>
  <si>
    <t>ORCHAZIT</t>
  </si>
  <si>
    <t>PRODEC</t>
  </si>
  <si>
    <t>PALAIS DE LA PEINTURE</t>
  </si>
  <si>
    <t>PEINTURE HASSANI</t>
  </si>
  <si>
    <t>PEINTURE BRAHIM</t>
  </si>
  <si>
    <t>PEINTURE ABERKANE</t>
  </si>
  <si>
    <t>PLASTEX</t>
  </si>
  <si>
    <t>PREPEINT</t>
  </si>
  <si>
    <t>POLYCOMMERCE</t>
  </si>
  <si>
    <t>PPG SERVICE COMPRISE</t>
  </si>
  <si>
    <t>POWER PEINT</t>
  </si>
  <si>
    <t>PEINTURE ASSAADA</t>
  </si>
  <si>
    <t>PRODUIT JAVEL KOUTOUBIA</t>
  </si>
  <si>
    <t>Q AND Q</t>
  </si>
  <si>
    <t>PROPAG</t>
  </si>
  <si>
    <t>BITUMA</t>
  </si>
  <si>
    <t>REPCA</t>
  </si>
  <si>
    <t>RACHID BENATTAR</t>
  </si>
  <si>
    <t>ROCHE OUTILS</t>
  </si>
  <si>
    <t>KOUISS ABDELKADER</t>
  </si>
  <si>
    <t>RIF COLOR</t>
  </si>
  <si>
    <t>RICH PEINT</t>
  </si>
  <si>
    <t>RIHANI NAJIB</t>
  </si>
  <si>
    <t>RAI COSMET</t>
  </si>
  <si>
    <t>BOBELEC</t>
  </si>
  <si>
    <t>SOKADEP</t>
  </si>
  <si>
    <t>SODECSO</t>
  </si>
  <si>
    <t>SODIT COLOR</t>
  </si>
  <si>
    <t>SARA CHIM</t>
  </si>
  <si>
    <t>SOMEDROG</t>
  </si>
  <si>
    <t>SMP</t>
  </si>
  <si>
    <t>SEOUL PEINTURE</t>
  </si>
  <si>
    <t>SFCM</t>
  </si>
  <si>
    <t>SCAEL MAROC</t>
  </si>
  <si>
    <t>SIDNI COLOR</t>
  </si>
  <si>
    <t>SANIFER</t>
  </si>
  <si>
    <t>SONEFI</t>
  </si>
  <si>
    <t>SOCOBEN</t>
  </si>
  <si>
    <t>SONAFIP</t>
  </si>
  <si>
    <t>SIKA MAROC</t>
  </si>
  <si>
    <t>SOREXI</t>
  </si>
  <si>
    <t>SCANDI MAROC</t>
  </si>
  <si>
    <t>STARCOL</t>
  </si>
  <si>
    <t>SICOMED</t>
  </si>
  <si>
    <t>SODEPRIM</t>
  </si>
  <si>
    <t>SOMATHES</t>
  </si>
  <si>
    <t>SIRFA</t>
  </si>
  <si>
    <t>SEVEN COLOR</t>
  </si>
  <si>
    <t>SOFACHIME</t>
  </si>
  <si>
    <t>STAR SODA</t>
  </si>
  <si>
    <t>SOCOMALEK</t>
  </si>
  <si>
    <t>SOLAIT</t>
  </si>
  <si>
    <t>STAR COLOR</t>
  </si>
  <si>
    <t>STAND COLOR</t>
  </si>
  <si>
    <t>SEBTI  ABDELLATIF</t>
  </si>
  <si>
    <t>HAYAT ZITOUNI</t>
  </si>
  <si>
    <t>SOMPAGRAF</t>
  </si>
  <si>
    <t>SOLDIVE ASNI</t>
  </si>
  <si>
    <t>SAIMACO</t>
  </si>
  <si>
    <t>SBTR</t>
  </si>
  <si>
    <t>SOFADIP</t>
  </si>
  <si>
    <t>FENNASI</t>
  </si>
  <si>
    <t>PLANETE  HUILES</t>
  </si>
  <si>
    <t>SOCIETE IBNOU  ZAYAD</t>
  </si>
  <si>
    <t>SERVICE TOTAL</t>
  </si>
  <si>
    <t>SOGERMA</t>
  </si>
  <si>
    <t>SAGHRO BITUME</t>
  </si>
  <si>
    <t>LES AROMES DU MAROC</t>
  </si>
  <si>
    <t>SDTM</t>
  </si>
  <si>
    <t>SOCIETE MAROCAINE</t>
  </si>
  <si>
    <t>SOPRIAM</t>
  </si>
  <si>
    <t>SMDTI</t>
  </si>
  <si>
    <t>TOUTA BAHROUN</t>
  </si>
  <si>
    <t>TADLA PEINTURE</t>
  </si>
  <si>
    <t>UTS INTERNATIONAL</t>
  </si>
  <si>
    <t>MIDEL PEINTURE</t>
  </si>
  <si>
    <t>TRENAL</t>
  </si>
  <si>
    <t>TISSIR COLOR</t>
  </si>
  <si>
    <t>TERRE NOUVELLE</t>
  </si>
  <si>
    <t>UMADENT</t>
  </si>
  <si>
    <t>STE GARAGE AUTO ZEROUALI</t>
  </si>
  <si>
    <t>HADJ ALI</t>
  </si>
  <si>
    <t>MASSADA COORPORATION</t>
  </si>
  <si>
    <t>MULTI DISTRIBUTION ET TRADING</t>
  </si>
  <si>
    <t>MASNAOUI</t>
  </si>
  <si>
    <t>BITULIFE</t>
  </si>
  <si>
    <t>BZO COLOR</t>
  </si>
  <si>
    <t>BIMOURNE HANANE</t>
  </si>
  <si>
    <t>ETABLISSEMENT BEN HAMIDA ET CIE</t>
  </si>
  <si>
    <t>AOURIK LAHCEN</t>
  </si>
  <si>
    <t>DROGUERIE BOUDIH</t>
  </si>
  <si>
    <t>ISRA AUTO</t>
  </si>
  <si>
    <t>OUTIRED</t>
  </si>
  <si>
    <t>JAD DISTRIBUTION</t>
  </si>
  <si>
    <t>BSBS</t>
  </si>
  <si>
    <t>ASTA COLOR</t>
  </si>
  <si>
    <t>ERREGRAGUI KADIM</t>
  </si>
  <si>
    <t>POSITIVE GENERATION</t>
  </si>
  <si>
    <t>PRODUITS CHIMIQUES AGOUZAL</t>
  </si>
  <si>
    <t>AZIZ MAATAOUI</t>
  </si>
  <si>
    <t>KRIMOU</t>
  </si>
  <si>
    <t>LA ROUTE MAROCAINE</t>
  </si>
  <si>
    <t>SERFA MAROC</t>
  </si>
  <si>
    <t>SFAK STAR</t>
  </si>
  <si>
    <t>SHAIBI REDOUANE</t>
  </si>
  <si>
    <t>SIGMA</t>
  </si>
  <si>
    <t>SIOF CONSERVERIES</t>
  </si>
  <si>
    <t>SMAFIA</t>
  </si>
  <si>
    <t>MATRIX PEINTURES</t>
  </si>
  <si>
    <t>SOCIETE ZAIM</t>
  </si>
  <si>
    <t>SYBA EQUIPEMENT</t>
  </si>
  <si>
    <t xml:space="preserve">LAFFAR ABDELATIF </t>
  </si>
  <si>
    <t>SEDKI ABSDESLAM</t>
  </si>
  <si>
    <t>TANGER NEROLI</t>
  </si>
  <si>
    <t>TAOURMATE</t>
  </si>
  <si>
    <t>TKIK ABDELKADER</t>
  </si>
  <si>
    <t>A2S</t>
  </si>
  <si>
    <t>MEHDI CHAMROUK</t>
  </si>
  <si>
    <t>ZANOUTI BOUJEMAA</t>
  </si>
  <si>
    <t>MOGADOR CHIMIE</t>
  </si>
  <si>
    <t>CADILHAC</t>
  </si>
  <si>
    <t>CHROMA COLOR</t>
  </si>
  <si>
    <t>CHARCUTERIE MIAMI</t>
  </si>
  <si>
    <t>CMEFI</t>
  </si>
  <si>
    <t>COFABRI BITUME</t>
  </si>
  <si>
    <t>CALTE CHIMIE</t>
  </si>
  <si>
    <t>AUTO MOVE</t>
  </si>
  <si>
    <t>CASA DENTAIRE</t>
  </si>
  <si>
    <t>MOSTAFA MIDELT</t>
  </si>
  <si>
    <t>MOURTIB ABDERRAZAK</t>
  </si>
  <si>
    <t>BENCHAKROUN MOHAMED</t>
  </si>
  <si>
    <t>AIDI BOUCHAIB</t>
  </si>
  <si>
    <t>G T F I</t>
  </si>
  <si>
    <t>KETTANI AHMED</t>
  </si>
  <si>
    <t>RAFII</t>
  </si>
  <si>
    <t>RICHARD</t>
  </si>
  <si>
    <t>VAISSIERE ET AMAR</t>
  </si>
  <si>
    <t>NAMOUH RACHID</t>
  </si>
  <si>
    <t>NMCI</t>
  </si>
  <si>
    <t>NS DENTAL</t>
  </si>
  <si>
    <t>BEKKARI OMAR</t>
  </si>
  <si>
    <t>SAKI OMAR</t>
  </si>
  <si>
    <t>OUARRAK</t>
  </si>
  <si>
    <t>PEINTURE AL AAHD</t>
  </si>
  <si>
    <t>PEINTURE ENNAKHIL</t>
  </si>
  <si>
    <t>PEINTURE MAHASSINE</t>
  </si>
  <si>
    <t>PETRO LABO</t>
  </si>
  <si>
    <t>PLASTIMA</t>
  </si>
  <si>
    <t>DROGUERIE OMAR</t>
  </si>
  <si>
    <t>SEP NEGOCE</t>
  </si>
  <si>
    <t>SERI DIFFUSION</t>
  </si>
  <si>
    <t>SETA COLOR</t>
  </si>
  <si>
    <t>SIBAGHATE</t>
  </si>
  <si>
    <t>SINTRAM</t>
  </si>
  <si>
    <t>SODIPRO</t>
  </si>
  <si>
    <t>SOTECA</t>
  </si>
  <si>
    <t>TASKAL</t>
  </si>
  <si>
    <t xml:space="preserve">TITAN               </t>
  </si>
  <si>
    <t>TODESCO</t>
  </si>
  <si>
    <t>TOUAF MOHEMED</t>
  </si>
  <si>
    <t>VERLAB</t>
  </si>
  <si>
    <t>WAHAT KARIM</t>
  </si>
  <si>
    <t>YARDEN MAROC</t>
  </si>
  <si>
    <t>CARMOPEINT</t>
  </si>
  <si>
    <t>CARREAU TAOUNAT</t>
  </si>
  <si>
    <t>BS2M.COM</t>
  </si>
  <si>
    <t>CLAL INDUSTRIE</t>
  </si>
  <si>
    <t>CHAI ANDRIEUX</t>
  </si>
  <si>
    <t>COMAGER</t>
  </si>
  <si>
    <t>CCIC</t>
  </si>
  <si>
    <t>CHLOBO</t>
  </si>
  <si>
    <t>COCOMAR</t>
  </si>
  <si>
    <t>DROGUERIE GURTILI</t>
  </si>
  <si>
    <t>CROCPAINT</t>
  </si>
  <si>
    <t>COLODEC</t>
  </si>
  <si>
    <t>COMPTOIR DE LA PATISSERIE</t>
  </si>
  <si>
    <t>COVIMA</t>
  </si>
  <si>
    <t>COMPTOIR DE REFINISHING</t>
  </si>
  <si>
    <t>CHIMIE YASSINE</t>
  </si>
  <si>
    <t>CMA INVEST</t>
  </si>
  <si>
    <t>COLAS DU MAROC</t>
  </si>
  <si>
    <t>ALFA CHIMIE</t>
  </si>
  <si>
    <t>COVEC</t>
  </si>
  <si>
    <t>COLOPEINT</t>
  </si>
  <si>
    <t>CEBACHIM</t>
  </si>
  <si>
    <t>BS CHIMIE</t>
  </si>
  <si>
    <t>ZAANANE MOHAMED</t>
  </si>
  <si>
    <t>MOSHFI SAID</t>
  </si>
  <si>
    <t>ALYAC</t>
  </si>
  <si>
    <t>ENRETEC</t>
  </si>
  <si>
    <t>ECONOMAT DU MAGHREB</t>
  </si>
  <si>
    <t>ENERGY AUTO</t>
  </si>
  <si>
    <t>EUROTEX</t>
  </si>
  <si>
    <t>ENNASRE QUINCAILLERIE SARL</t>
  </si>
  <si>
    <t>EQUIMATIP</t>
  </si>
  <si>
    <t>EURONET WORK</t>
  </si>
  <si>
    <t>ERRACHIDIA CAREAU</t>
  </si>
  <si>
    <t>ETABLISSEMENT GRAND BAZAR</t>
  </si>
  <si>
    <t>DROGUERIE OUSAMA</t>
  </si>
  <si>
    <t>ESECAR</t>
  </si>
  <si>
    <t>ARCOL</t>
  </si>
  <si>
    <t>ETABLISSEMENT HADJ TALAL</t>
  </si>
  <si>
    <t>EUROFANEG</t>
  </si>
  <si>
    <t>ECOTRA</t>
  </si>
  <si>
    <t>ESPACE KHALIJ</t>
  </si>
  <si>
    <t>AGHARASS PEINTURE</t>
  </si>
  <si>
    <t>ARENA PEINTURE</t>
  </si>
  <si>
    <t>EUROPREFA</t>
  </si>
  <si>
    <t>ETRACHEM</t>
  </si>
  <si>
    <t>EL HAROUCHI HASSAN</t>
  </si>
  <si>
    <t>DROGUERIE AL AMAL</t>
  </si>
  <si>
    <t>ALICOMAR</t>
  </si>
  <si>
    <t>AMAL ZAGORA</t>
  </si>
  <si>
    <t>ETS ALCAYDE</t>
  </si>
  <si>
    <t>ACHRO</t>
  </si>
  <si>
    <t>AMIRA BOUGIE</t>
  </si>
  <si>
    <t>2B COLOR</t>
  </si>
  <si>
    <t>AXOMAR</t>
  </si>
  <si>
    <t>DROGUERIE BAKHAT</t>
  </si>
  <si>
    <t>DROGUERIE 12 RAMA</t>
  </si>
  <si>
    <t>DINLAB</t>
  </si>
  <si>
    <t>DROGUERIE TERMIDI</t>
  </si>
  <si>
    <t>DIOUANI COLOR</t>
  </si>
  <si>
    <t xml:space="preserve">DROGUERIE AHLAOU </t>
  </si>
  <si>
    <t>DELTA DROGUERIE</t>
  </si>
  <si>
    <t>NESSMA FLAVOR</t>
  </si>
  <si>
    <t>DROGUERIE AL MASSIRA</t>
  </si>
  <si>
    <t>ADDICSIA</t>
  </si>
  <si>
    <t>DIMA GRAISSE</t>
  </si>
  <si>
    <t>DROGUERIE AHLAN ALWAN</t>
  </si>
  <si>
    <t>DROGUERIE AL AMAN</t>
  </si>
  <si>
    <t>DROGUERIE BAGHDAD</t>
  </si>
  <si>
    <t>DROGUERIE CHIGUER</t>
  </si>
  <si>
    <t>DROGUERIE MESSOUDIA</t>
  </si>
  <si>
    <t>DECOPIN</t>
  </si>
  <si>
    <t>DROGUERIE AL BARAKA</t>
  </si>
  <si>
    <t>DROGUERIE GRAND BAZAR</t>
  </si>
  <si>
    <t>DROGUERIE ABERKANE</t>
  </si>
  <si>
    <t>DROGUERIE AL HASSANI</t>
  </si>
  <si>
    <t>DROGUERIE NOUR</t>
  </si>
  <si>
    <t>AUTOMATION PRINT</t>
  </si>
  <si>
    <t>DROGUERIE ANDALOUS</t>
  </si>
  <si>
    <t>DROGUERIE AJERRAR</t>
  </si>
  <si>
    <t>DRIOUCH SBAGHA</t>
  </si>
  <si>
    <t>DROGUERIE AYOUB</t>
  </si>
  <si>
    <t>DROGUERIE TAHILAB</t>
  </si>
  <si>
    <t>DROGUERIE VOLTAIRE</t>
  </si>
  <si>
    <t>DROGUERIE NOUREDDINE</t>
  </si>
  <si>
    <t>DROGUERIE SHEMS</t>
  </si>
  <si>
    <t>DROGUERIE TARIK</t>
  </si>
  <si>
    <t>DROGUERIE AIT OUBELLA</t>
  </si>
  <si>
    <t>DEMAR SOLUTIONS</t>
  </si>
  <si>
    <t>DROGUERIE INDUSTRIELLE</t>
  </si>
  <si>
    <t>CABINET AOUANI</t>
  </si>
  <si>
    <t>DROGUERIE RIAD</t>
  </si>
  <si>
    <t>DROGUERIE GENERAL</t>
  </si>
  <si>
    <t>DROGUERIE AL FATH</t>
  </si>
  <si>
    <t>DROGUERIE RAMI</t>
  </si>
  <si>
    <t>DROGUERIE ERRAZAK</t>
  </si>
  <si>
    <t>DROGUERIE NEDRLAND</t>
  </si>
  <si>
    <t>DROGUERIE EL CHIFA</t>
  </si>
  <si>
    <t>DROGUERIE DROLISA</t>
  </si>
  <si>
    <t>DROGUERIE AL MAZRIA</t>
  </si>
  <si>
    <t>DROGUERIE AMANAR</t>
  </si>
  <si>
    <t>DETROIT NECTARS</t>
  </si>
  <si>
    <t>FAUCON COLOR</t>
  </si>
  <si>
    <t>ABH SYSTEM</t>
  </si>
  <si>
    <t>ABIDAR ALI</t>
  </si>
  <si>
    <t>AGRICO ASDIM</t>
  </si>
  <si>
    <t>AHLA</t>
  </si>
  <si>
    <t>AKHABELLA</t>
  </si>
  <si>
    <t>AL MOUMTAZ NATURAL PRODUCT</t>
  </si>
  <si>
    <t>ALCHEM</t>
  </si>
  <si>
    <t>ALL GREEN LABORATOIRE</t>
  </si>
  <si>
    <t>ALMENARA BUREAU</t>
  </si>
  <si>
    <t>APIZER BIO PRODUIT</t>
  </si>
  <si>
    <t>ARC PHARMA</t>
  </si>
  <si>
    <t>ARCHIBETON</t>
  </si>
  <si>
    <t>ARGAN MOGADOR</t>
  </si>
  <si>
    <t>ARGAN OIL COMPANY</t>
  </si>
  <si>
    <t>ARGAN SOUSS</t>
  </si>
  <si>
    <t>ARGANAWA</t>
  </si>
  <si>
    <t>ARGANEVE</t>
  </si>
  <si>
    <t>ARGANIA VELVETINE</t>
  </si>
  <si>
    <t>FACOP</t>
  </si>
  <si>
    <t>ARGANIER DE L'ATLAS</t>
  </si>
  <si>
    <t>ARGAN'S</t>
  </si>
  <si>
    <t>AROMES ET MONTAGNES</t>
  </si>
  <si>
    <t>ARTISANAL BIO ATTITUDE</t>
  </si>
  <si>
    <t>AS MEDICAL CARE</t>
  </si>
  <si>
    <t>ASSAISS ET TAMOUNTE</t>
  </si>
  <si>
    <t>ASSOCIATION AL MOBADARA</t>
  </si>
  <si>
    <t>ASSOCIATION EL BATOUL</t>
  </si>
  <si>
    <t>BI-MEDIATION</t>
  </si>
  <si>
    <t>FALCOZ</t>
  </si>
  <si>
    <t>BIO ADORATES</t>
  </si>
  <si>
    <t>BIO ET ZIN</t>
  </si>
  <si>
    <t>BIO LYS</t>
  </si>
  <si>
    <t>BIO PUR</t>
  </si>
  <si>
    <t>BIOVENDIS</t>
  </si>
  <si>
    <t>BODY LAND</t>
  </si>
  <si>
    <t>BULLS AND LIONS</t>
  </si>
  <si>
    <t>CASARTISAN EXPORT</t>
  </si>
  <si>
    <t>CHAMITA</t>
  </si>
  <si>
    <t>FLIXICAP</t>
  </si>
  <si>
    <t>CHARME DU MAROC</t>
  </si>
  <si>
    <t>CIP GOUM YOUSSEF</t>
  </si>
  <si>
    <t>COLIBRI DEVELOPPEMENT</t>
  </si>
  <si>
    <t>COMPTOIR AGRICOLE AL FADILA</t>
  </si>
  <si>
    <t>COMPTOIR AGRICOLE AROMATHERAPIE</t>
  </si>
  <si>
    <t>COOP WIRGANE</t>
  </si>
  <si>
    <t>COOP AL BARANESS</t>
  </si>
  <si>
    <t>COOP AL MOUSTAKBAL</t>
  </si>
  <si>
    <t>COOP AL WIFAK</t>
  </si>
  <si>
    <t>COOP AMANAR</t>
  </si>
  <si>
    <t>COOP APICOLE ATAKWA</t>
  </si>
  <si>
    <t>COOP ARGANE EL KHEIR</t>
  </si>
  <si>
    <t>COOP DEMNATE PROD FORESTIERS</t>
  </si>
  <si>
    <t>COOP TAITMATINE</t>
  </si>
  <si>
    <t>COOP AFOULKI IDMINE AGADIR</t>
  </si>
  <si>
    <t>COOP KAOUKI</t>
  </si>
  <si>
    <t>DAME NATURE</t>
  </si>
  <si>
    <t>DAR AL HAKIM</t>
  </si>
  <si>
    <t>DIMA TERROIR</t>
  </si>
  <si>
    <t>GRAPHOCHIME</t>
  </si>
  <si>
    <t>EFAS</t>
  </si>
  <si>
    <t>EL HOUSNY YOUSSEF</t>
  </si>
  <si>
    <t>ENDURING SUN</t>
  </si>
  <si>
    <t>ESPACE BIO NATURE</t>
  </si>
  <si>
    <t>EZZARZOUR MOSTAFA</t>
  </si>
  <si>
    <t>FAMOMI</t>
  </si>
  <si>
    <t>FELLAH GZOULA</t>
  </si>
  <si>
    <t>FLEUR DE THE</t>
  </si>
  <si>
    <t>FINDUS MAROC</t>
  </si>
  <si>
    <t>FLEUR ROZE</t>
  </si>
  <si>
    <t xml:space="preserve">FONDATION ORIENT </t>
  </si>
  <si>
    <t>GIE ARGAN TAROUDANT</t>
  </si>
  <si>
    <t>GIE VITARGAN</t>
  </si>
  <si>
    <t>GLOBAL TREASURES</t>
  </si>
  <si>
    <t>GREEN COM</t>
  </si>
  <si>
    <t>H2EA</t>
  </si>
  <si>
    <t>HATIM GOUSRIR</t>
  </si>
  <si>
    <t>HORIZON PARTNERS</t>
  </si>
  <si>
    <t>FAPRODENT</t>
  </si>
  <si>
    <t>LA SULTANA MARRAKECH</t>
  </si>
  <si>
    <t>SEH RYAD MOGADOR OPERA</t>
  </si>
  <si>
    <t>IBN AIBIL SAID</t>
  </si>
  <si>
    <t>ILHAM LAMRANI</t>
  </si>
  <si>
    <t>IMAN SAOUI</t>
  </si>
  <si>
    <t>IRCOS LABORATOIRE</t>
  </si>
  <si>
    <t>JERRA FLORE</t>
  </si>
  <si>
    <t>KEROS INTERIOR PARFUME</t>
  </si>
  <si>
    <t>KINANA</t>
  </si>
  <si>
    <t>KINESPA</t>
  </si>
  <si>
    <t>LABEL BIO</t>
  </si>
  <si>
    <t>LABORATOIRE KPH</t>
  </si>
  <si>
    <t>LABORATOIRE LE CONDOR</t>
  </si>
  <si>
    <t>LACTALIA</t>
  </si>
  <si>
    <t>LAMSA</t>
  </si>
  <si>
    <t>ASEBBANE LARBI</t>
  </si>
  <si>
    <t>OUCHOU LAURA</t>
  </si>
  <si>
    <t>LB COSMETICS</t>
  </si>
  <si>
    <t>LBC LAB</t>
  </si>
  <si>
    <t>LE MARCHE DES SAVEURS</t>
  </si>
  <si>
    <t>LE PANIER DU FERMIER</t>
  </si>
  <si>
    <t>LES CONFINS DU MAROC</t>
  </si>
  <si>
    <t>LES HUILES D'ESSAOUIRA</t>
  </si>
  <si>
    <t>LES JARDINS DU SOUSS</t>
  </si>
  <si>
    <t>LES PORCELAINES DE MARRAKECH</t>
  </si>
  <si>
    <t>LES RENDEZ VOUS DU SOLEIL</t>
  </si>
  <si>
    <t>LES REVES DE TERROIR</t>
  </si>
  <si>
    <t>LILIs GOURMANDISE</t>
  </si>
  <si>
    <t>FADIPAC</t>
  </si>
  <si>
    <t>MAILBACK</t>
  </si>
  <si>
    <t>MAIS ARGANA</t>
  </si>
  <si>
    <t>MANZIL LA TORTUE</t>
  </si>
  <si>
    <t>MAROCARTZA / TISMARO</t>
  </si>
  <si>
    <t>MARRAKECH COSMETUDE</t>
  </si>
  <si>
    <t>MATURALIA</t>
  </si>
  <si>
    <t>MERAMIRI</t>
  </si>
  <si>
    <t>SLASSI NARJISS</t>
  </si>
  <si>
    <t>MOGADOR HUILERIE</t>
  </si>
  <si>
    <t>MOMS COSMETICS</t>
  </si>
  <si>
    <t>BENZEKRI</t>
  </si>
  <si>
    <t>BRITAL HICHAM</t>
  </si>
  <si>
    <t>TARIK</t>
  </si>
  <si>
    <t>MUST CONSULTING IBD</t>
  </si>
  <si>
    <t>MY BIO</t>
  </si>
  <si>
    <t>ALSHEM</t>
  </si>
  <si>
    <t>NATURAL HARMONY</t>
  </si>
  <si>
    <t>NATURALINE</t>
  </si>
  <si>
    <t>FABRICOM</t>
  </si>
  <si>
    <t>NATURESENS</t>
  </si>
  <si>
    <t>NATURIA BIO SHOP</t>
  </si>
  <si>
    <t>NEGOPAC</t>
  </si>
  <si>
    <t>NOPAL INDUSTRIE</t>
  </si>
  <si>
    <t>NOURRITURE ET CON</t>
  </si>
  <si>
    <t>O'DASSIA PEINTURE</t>
  </si>
  <si>
    <t>OPTIM BUSINESS</t>
  </si>
  <si>
    <t>PACK SYSTEM</t>
  </si>
  <si>
    <t>PARTEC</t>
  </si>
  <si>
    <t>PHARMACIE DU RIF</t>
  </si>
  <si>
    <t>PHARMACIE CEDRE D</t>
  </si>
  <si>
    <t>PHARMACIE DE L UN</t>
  </si>
  <si>
    <t>POLY AGRO MAROC</t>
  </si>
  <si>
    <t>PROMOSELMA</t>
  </si>
  <si>
    <t>RAYHAN SHOP</t>
  </si>
  <si>
    <t>COOP SABBAR RHAMN</t>
  </si>
  <si>
    <t>SAHARA CACTUS</t>
  </si>
  <si>
    <t>SALVEMA MAROC GOU</t>
  </si>
  <si>
    <t>SERROUT JENNA</t>
  </si>
  <si>
    <t>PARA ARGANI</t>
  </si>
  <si>
    <t>SOUSS TERROIR</t>
  </si>
  <si>
    <t>SUD ARGAN PRODUIT</t>
  </si>
  <si>
    <t>SUD MAROC SERVICE</t>
  </si>
  <si>
    <t>SWAN COSMETIQUE</t>
  </si>
  <si>
    <t>TEMSAMANI</t>
  </si>
  <si>
    <t>UCFA</t>
  </si>
  <si>
    <t>UNIFAN</t>
  </si>
  <si>
    <t>VALINCIA</t>
  </si>
  <si>
    <t>YALIM</t>
  </si>
  <si>
    <t>POLYCTRO</t>
  </si>
  <si>
    <t>ZARAPHYT</t>
  </si>
  <si>
    <t>ZITOUN DE MARRAKE</t>
  </si>
  <si>
    <t>PANIER SAVEURS</t>
  </si>
  <si>
    <t>DEUHN</t>
  </si>
  <si>
    <t>DROGUERIE KAROUN</t>
  </si>
  <si>
    <t>ABDELHADI BAATI</t>
  </si>
  <si>
    <t>ALMAPACK</t>
  </si>
  <si>
    <t>BARI DISTRIBUTION</t>
  </si>
  <si>
    <t>AROMET</t>
  </si>
  <si>
    <t>AFRIQUE ETANCHEITE</t>
  </si>
  <si>
    <t>ARESCOT</t>
  </si>
  <si>
    <t>AKRAM PEINTURE AU</t>
  </si>
  <si>
    <t>GIEM</t>
  </si>
  <si>
    <t>GH STOP</t>
  </si>
  <si>
    <t>GRAPHICHIMIE</t>
  </si>
  <si>
    <t>GTR</t>
  </si>
  <si>
    <t>GARAGE ZITOUNA</t>
  </si>
  <si>
    <t>GOUDRAR KHALID</t>
  </si>
  <si>
    <t>GUEROUANI</t>
  </si>
  <si>
    <t>GHAZALA MESSAGERI</t>
  </si>
  <si>
    <t>BEN ALI</t>
  </si>
  <si>
    <t>ATLAS OLIVE OILS</t>
  </si>
  <si>
    <t>ARAZA PEINT</t>
  </si>
  <si>
    <t>IMAPE</t>
  </si>
  <si>
    <t>IMIANE</t>
  </si>
  <si>
    <t>ISOPAINT</t>
  </si>
  <si>
    <t>DROGUERIE DRISSI</t>
  </si>
  <si>
    <t>INAPEQ</t>
  </si>
  <si>
    <t>DROGUERIE TAMRI</t>
  </si>
  <si>
    <t>IDA GOUGMAR</t>
  </si>
  <si>
    <t>EPSILON LAB</t>
  </si>
  <si>
    <t>ARD GUISSER</t>
  </si>
  <si>
    <t>DROGUERIE TALEB</t>
  </si>
  <si>
    <t>HEMPEL MAROC</t>
  </si>
  <si>
    <t>JACK INDUSTRIE</t>
  </si>
  <si>
    <t>HANDS PEINT</t>
  </si>
  <si>
    <t>MELTON MAGHREB</t>
  </si>
  <si>
    <t>JABRI ABDENNOUR</t>
  </si>
  <si>
    <t>HERITIERS GUESSOU</t>
  </si>
  <si>
    <t>HARMAZ DOHA</t>
  </si>
  <si>
    <t>JARDIN MAJORELLE</t>
  </si>
  <si>
    <t>EL RHAZZAR HAKIM</t>
  </si>
  <si>
    <t>JET WALLY</t>
  </si>
  <si>
    <t>CLIENT DIVERS</t>
  </si>
  <si>
    <t>ARTS DU SOLEIL</t>
  </si>
  <si>
    <t>IKING</t>
  </si>
  <si>
    <t>SEVAM</t>
  </si>
  <si>
    <t>PERFECT AFRICA DI</t>
  </si>
  <si>
    <t xml:space="preserve">JEMNI DES HUILES </t>
  </si>
  <si>
    <t>BILINT N CO</t>
  </si>
  <si>
    <t>HERBA BLANCA</t>
  </si>
  <si>
    <t>SGS MAROC</t>
  </si>
  <si>
    <t>ORCADOR</t>
  </si>
  <si>
    <t>BIO GAMME</t>
  </si>
  <si>
    <t>UNIMER GROUPE</t>
  </si>
  <si>
    <t>FD PEINTURE</t>
  </si>
  <si>
    <t>BENKIRANE MERIEM</t>
  </si>
  <si>
    <t>AGRATEL</t>
  </si>
  <si>
    <t>VIMA SOUSS</t>
  </si>
  <si>
    <t>SOQUMOL</t>
  </si>
  <si>
    <t>REBEI HICHAM</t>
  </si>
  <si>
    <t>ROULLOIS KHAIRA</t>
  </si>
  <si>
    <t>VAILLANT DANIEL M</t>
  </si>
  <si>
    <t>SEBBAG JULIETTE</t>
  </si>
  <si>
    <t>DROGUERIE MCELLA</t>
  </si>
  <si>
    <t>SICOPA</t>
  </si>
  <si>
    <t>TRADISFOOD</t>
  </si>
  <si>
    <t>KTZ CONSULTING</t>
  </si>
  <si>
    <t>AZERZOUR MOSTAPHA</t>
  </si>
  <si>
    <t>MOUMINE MOHAMED</t>
  </si>
  <si>
    <t>ARGAN STAR</t>
  </si>
  <si>
    <t>PROMICOM</t>
  </si>
  <si>
    <t>AYA JANNATE</t>
  </si>
  <si>
    <t xml:space="preserve">HERBORISTERIE DU </t>
  </si>
  <si>
    <t>GA CONCEPT</t>
  </si>
  <si>
    <t>NATURALIS</t>
  </si>
  <si>
    <t>VITAESENS</t>
  </si>
  <si>
    <t>GAP ARGAN</t>
  </si>
  <si>
    <t>THE ARGAN MAGIC</t>
  </si>
  <si>
    <t>RACHIMAR</t>
  </si>
  <si>
    <t>SMARA PARKING sar</t>
  </si>
  <si>
    <t>FENYADI</t>
  </si>
  <si>
    <t>HORIZON INDUSTRIE</t>
  </si>
  <si>
    <t>PHYTORAMA sarl</t>
  </si>
  <si>
    <t>BIOCHOP</t>
  </si>
  <si>
    <t>LABOTANIC</t>
  </si>
  <si>
    <t>HOTEL LA TOUR HAS</t>
  </si>
  <si>
    <t>AMAZONIA</t>
  </si>
  <si>
    <t>LESART COMMUNICAT</t>
  </si>
  <si>
    <t>PRODIGIA</t>
  </si>
  <si>
    <t>PARA SANS GLUTEN</t>
  </si>
  <si>
    <t>PIONAGRI sarl</t>
  </si>
  <si>
    <t>BENI YAALA ZKARA</t>
  </si>
  <si>
    <t>YOUKARI</t>
  </si>
  <si>
    <t>ML EVENT</t>
  </si>
  <si>
    <t>COOP AL BARAKA ES</t>
  </si>
  <si>
    <t>BITUMEN sarl</t>
  </si>
  <si>
    <t>YVANISENS</t>
  </si>
  <si>
    <t>DEPASHA</t>
  </si>
  <si>
    <t>SALON TONELLA</t>
  </si>
  <si>
    <t>PACOS RABAT</t>
  </si>
  <si>
    <t>ONG MOUVEMENT POU</t>
  </si>
  <si>
    <t>IRAQI ALI</t>
  </si>
  <si>
    <t>SAMARA</t>
  </si>
  <si>
    <t>MKR sarl</t>
  </si>
  <si>
    <t>COOP AGHINANE</t>
  </si>
  <si>
    <t>ONE2MARKETPLUS</t>
  </si>
  <si>
    <t>ASSISTANCE SAADA</t>
  </si>
  <si>
    <t>BOUJEMAA BOUSENGA</t>
  </si>
  <si>
    <t>PHARMACIE MEGAMAL</t>
  </si>
  <si>
    <t>EL MIJHAR STORE</t>
  </si>
  <si>
    <t>TRACOTEQ sarl</t>
  </si>
  <si>
    <t>EXTRA D.P SARL</t>
  </si>
  <si>
    <t>LIM CONSULTING</t>
  </si>
  <si>
    <t>OLIVOIL</t>
  </si>
  <si>
    <t>PHARMACIE MZOUDIA</t>
  </si>
  <si>
    <t>MAROC MOVIE</t>
  </si>
  <si>
    <t>ZED PEINTURE</t>
  </si>
  <si>
    <t>MAJILAB</t>
  </si>
  <si>
    <t>KR NATURE</t>
  </si>
  <si>
    <t xml:space="preserve">MORROCAN ORGANIC </t>
  </si>
  <si>
    <t>TRADITION D'ARGAN</t>
  </si>
  <si>
    <t>JEAN MARIE SANTAN</t>
  </si>
  <si>
    <t>ANNEES LUMIERES</t>
  </si>
  <si>
    <t>FARMASI FRAGRANCE</t>
  </si>
  <si>
    <t>PARAELAN</t>
  </si>
  <si>
    <t>SWEENY</t>
  </si>
  <si>
    <t>NAYOKA</t>
  </si>
  <si>
    <t>PASSION ARGAN</t>
  </si>
  <si>
    <t>BEST CLEAN</t>
  </si>
  <si>
    <t>ARGALISS</t>
  </si>
  <si>
    <t>INOVAG</t>
  </si>
  <si>
    <t>DAR FUSHIA</t>
  </si>
  <si>
    <t>JAPAS</t>
  </si>
  <si>
    <t>SMAFEC</t>
  </si>
  <si>
    <t>CHAMA BUSINESS sa</t>
  </si>
  <si>
    <t>MARRAKECH SIGN</t>
  </si>
  <si>
    <t>ARVECO</t>
  </si>
  <si>
    <t>COSMETIQUE MEDICA</t>
  </si>
  <si>
    <t>RAIS TRADE</t>
  </si>
  <si>
    <t>CAMILO ACOSTA</t>
  </si>
  <si>
    <t>TRAITEUR BERRADA</t>
  </si>
  <si>
    <t>ASSOCIATION AFDF</t>
  </si>
  <si>
    <t>CERAI-Alhucemas</t>
  </si>
  <si>
    <t>HDH</t>
  </si>
  <si>
    <t>BIO COSMED</t>
  </si>
  <si>
    <t>CSAM - CPTOIR SEL</t>
  </si>
  <si>
    <t>NATURAL SOURCE sa</t>
  </si>
  <si>
    <t>BERRADA BOUCHRA</t>
  </si>
  <si>
    <t>RACING KIT AUTO</t>
  </si>
  <si>
    <t>GPAUMA</t>
  </si>
  <si>
    <t>COOP TAHT AL AIN</t>
  </si>
  <si>
    <t>SEGH S.A.R.L</t>
  </si>
  <si>
    <t>ORGANIC SHOP</t>
  </si>
  <si>
    <t>PHARMACIE LUMIERE</t>
  </si>
  <si>
    <t>RENTAL</t>
  </si>
  <si>
    <t>HUILE DARGAN</t>
  </si>
  <si>
    <t>LES CONSERVES MEK</t>
  </si>
  <si>
    <t>COOP YACOUT</t>
  </si>
  <si>
    <t>JIHANE RAQIQ</t>
  </si>
  <si>
    <t>COULEMON</t>
  </si>
  <si>
    <t>BAINS DE MARRAKEC</t>
  </si>
  <si>
    <t>DELICHEF</t>
  </si>
  <si>
    <t>KELMO</t>
  </si>
  <si>
    <t>COOP TALOUZT FEMI</t>
  </si>
  <si>
    <t>SOMIA</t>
  </si>
  <si>
    <t>M.EMBALLAGE</t>
  </si>
  <si>
    <t>MON TAPIS</t>
  </si>
  <si>
    <t>PAYS D'ARGAN EXPO</t>
  </si>
  <si>
    <t>COOP AZIR</t>
  </si>
  <si>
    <t>AGOUZAL AHMED</t>
  </si>
  <si>
    <t>MARRAK</t>
  </si>
  <si>
    <t>NATIMEX</t>
  </si>
  <si>
    <t>BHA</t>
  </si>
  <si>
    <t>TEX PIECE SARL</t>
  </si>
  <si>
    <t>PHARMACIE EL MASJ</t>
  </si>
  <si>
    <t>KHODRI ABDELALI</t>
  </si>
  <si>
    <t>PHARMACIE ANBARY</t>
  </si>
  <si>
    <t>ABDELLAH GOLF</t>
  </si>
  <si>
    <t>PROMADEC</t>
  </si>
  <si>
    <t>CENTRE AFRICAIN P</t>
  </si>
  <si>
    <t>MOROCCAN COSMETIC</t>
  </si>
  <si>
    <t>ZYMOPHAR</t>
  </si>
  <si>
    <t>VITROPLANT MAROC</t>
  </si>
  <si>
    <t>COOP CHAHDAT ANNA</t>
  </si>
  <si>
    <t>ORIPERLE</t>
  </si>
  <si>
    <t>ASIL COSMETIC sar</t>
  </si>
  <si>
    <t>COOP L'EST OUJDA</t>
  </si>
  <si>
    <t>WORK NET EXCHANGE</t>
  </si>
  <si>
    <t>PARNASSE INDUSTRI</t>
  </si>
  <si>
    <t>MARBAR CHIMIE</t>
  </si>
  <si>
    <t>AFRIQUIA LUBRIFIA</t>
  </si>
  <si>
    <t>MINALYS</t>
  </si>
  <si>
    <t>MACRYL</t>
  </si>
  <si>
    <t>MORKOCH</t>
  </si>
  <si>
    <t>BIO TISSIR</t>
  </si>
  <si>
    <t>BAKOURY BRAHIM</t>
  </si>
  <si>
    <t>SABLA FOOD</t>
  </si>
  <si>
    <t>PHARMACIE IBN SIN</t>
  </si>
  <si>
    <t>BENJEXPORT</t>
  </si>
  <si>
    <t>LOVE EAT CARE</t>
  </si>
  <si>
    <t>CHOUMISSA sarl</t>
  </si>
  <si>
    <t>BIO COSMETIQUE</t>
  </si>
  <si>
    <t>HIGHT NEGOCE</t>
  </si>
  <si>
    <t>INABRA</t>
  </si>
  <si>
    <t>LILLA FOOD</t>
  </si>
  <si>
    <t>MIRY ARGANA</t>
  </si>
  <si>
    <t>VISPRO</t>
  </si>
  <si>
    <t>ARGANEX</t>
  </si>
  <si>
    <t>COOP TAMAYNOUTE</t>
  </si>
  <si>
    <t>DIAFACOM</t>
  </si>
  <si>
    <t>EASYLOG</t>
  </si>
  <si>
    <t>ARMONYA</t>
  </si>
  <si>
    <t>KH IMPORT EXPORT</t>
  </si>
  <si>
    <t>MASTER CHIMICAL</t>
  </si>
  <si>
    <t>LUBRIFIANT AL AKH</t>
  </si>
  <si>
    <t>CHIMICOLOR PAINTS</t>
  </si>
  <si>
    <t>AGUENAOU FATIMA</t>
  </si>
  <si>
    <t>PELISSARD SARL</t>
  </si>
  <si>
    <t>COLOR PELLE</t>
  </si>
  <si>
    <t>KHIAM CUIR</t>
  </si>
  <si>
    <t>SOCAMAR</t>
  </si>
  <si>
    <t>ARGANE ADRAR</t>
  </si>
  <si>
    <t>SOFASIA</t>
  </si>
  <si>
    <t>NORD COLOR</t>
  </si>
  <si>
    <t>AGRICONSULTING MA</t>
  </si>
  <si>
    <t xml:space="preserve">SANTE ASSISTANCE </t>
  </si>
  <si>
    <t>COOP ARGANANOUMSK</t>
  </si>
  <si>
    <t>BUZZICHELLI</t>
  </si>
  <si>
    <t>NATURO PATHI MARO</t>
  </si>
  <si>
    <t>DROGUERIE QUINCAILLERIE DE LONDRES</t>
  </si>
  <si>
    <t>MARPHI</t>
  </si>
  <si>
    <t>COSMETIC HORIZONS</t>
  </si>
  <si>
    <t>DONIA ALAACHAB</t>
  </si>
  <si>
    <t>ROSAVER</t>
  </si>
  <si>
    <t>LAARIBI BOIS</t>
  </si>
  <si>
    <t>DROGUERIE HANIN</t>
  </si>
  <si>
    <t>DAMANDIS</t>
  </si>
  <si>
    <t>BIENVENUE AU MARO</t>
  </si>
  <si>
    <t>HUILES D OLIVES D</t>
  </si>
  <si>
    <t>BOUBKER</t>
  </si>
  <si>
    <t>PERFUME HOUSE</t>
  </si>
  <si>
    <t>TOP SAVEURS</t>
  </si>
  <si>
    <t>LOUHMADI</t>
  </si>
  <si>
    <t>SUKAR ET MELA</t>
  </si>
  <si>
    <t>LAMSAT CHIFAE</t>
  </si>
  <si>
    <t xml:space="preserve">LA MAROCAINE DES </t>
  </si>
  <si>
    <t>VITALUS</t>
  </si>
  <si>
    <t>COOP EL ANASER</t>
  </si>
  <si>
    <t>ULILI sarl</t>
  </si>
  <si>
    <t>COOP OUMNIA</t>
  </si>
  <si>
    <t>COOP EL HOUDA</t>
  </si>
  <si>
    <t>COOP AZZOHOUR</t>
  </si>
  <si>
    <t>ANS</t>
  </si>
  <si>
    <t>EL HOUSSINE NAIMI</t>
  </si>
  <si>
    <t>TIGONTAF ARGANE</t>
  </si>
  <si>
    <t>ART'DIF</t>
  </si>
  <si>
    <t>COOP AJDDIGUE</t>
  </si>
  <si>
    <t>SONALI</t>
  </si>
  <si>
    <t>TOP SCIENCE</t>
  </si>
  <si>
    <t>MEHDI RICHE</t>
  </si>
  <si>
    <t>COOP ARSAT ANAKHI</t>
  </si>
  <si>
    <t>ATLAS PRO INDUSTR</t>
  </si>
  <si>
    <t>BUSINESS MARKET M</t>
  </si>
  <si>
    <t>COOP NADA</t>
  </si>
  <si>
    <t>ALLIAN'SPA</t>
  </si>
  <si>
    <t>LOUNASDA</t>
  </si>
  <si>
    <t>ATRAFEL SA MALI</t>
  </si>
  <si>
    <t>COMPAGNIE CHERIFI</t>
  </si>
  <si>
    <t>MAROCAINE DES IND</t>
  </si>
  <si>
    <t>VITALYS CONSEIL</t>
  </si>
  <si>
    <t>COMPUGRAPH</t>
  </si>
  <si>
    <t>CHIWATE AL JANOB</t>
  </si>
  <si>
    <t>FES TERROIR sarl</t>
  </si>
  <si>
    <t>DELTA CAPSULE</t>
  </si>
  <si>
    <t>ARGAN SHOP</t>
  </si>
  <si>
    <t>MOROCCOS</t>
  </si>
  <si>
    <t>RENFOR-BAT</t>
  </si>
  <si>
    <t>CHIT</t>
  </si>
  <si>
    <t>BIO OIL EL KARAM</t>
  </si>
  <si>
    <t>TATOFT ASSO PRODU</t>
  </si>
  <si>
    <t>TAIBI HAMID</t>
  </si>
  <si>
    <t>GIE TSOULI</t>
  </si>
  <si>
    <t>BO DESIGN</t>
  </si>
  <si>
    <t>GIE PAM TAOUNATE</t>
  </si>
  <si>
    <t>NAHDA MEZGUIDA</t>
  </si>
  <si>
    <t>BOUJILAC</t>
  </si>
  <si>
    <t>GIE AIN AICHA</t>
  </si>
  <si>
    <t>COOP JIBALE ATLAS</t>
  </si>
  <si>
    <t>AGRIBLED</t>
  </si>
  <si>
    <t>KENZORIENT SARL</t>
  </si>
  <si>
    <t>NOHA PARK ET LOISI</t>
  </si>
  <si>
    <t>CORPODIM</t>
  </si>
  <si>
    <t>COOP NOUARA</t>
  </si>
  <si>
    <t>WASSA AGRO GROUP</t>
  </si>
  <si>
    <t>AGRO NAFISS sarl</t>
  </si>
  <si>
    <t>COOP TOUDARTE</t>
  </si>
  <si>
    <t>PEINTURE EL HOUDA</t>
  </si>
  <si>
    <t>MAITRES DU PAIN</t>
  </si>
  <si>
    <t>L.IZZA sarl</t>
  </si>
  <si>
    <t>COPPERATIVE ABNAA</t>
  </si>
  <si>
    <t>COOP ABNAA MADINA</t>
  </si>
  <si>
    <t>PATISSERIE DES SA</t>
  </si>
  <si>
    <t>PAZHO SERVICES</t>
  </si>
  <si>
    <t>AFRITOSMAROC</t>
  </si>
  <si>
    <t>COOP AMJAD</t>
  </si>
  <si>
    <t>AZOR</t>
  </si>
  <si>
    <t>CAVES DES ILES</t>
  </si>
  <si>
    <t>COOP EL BARAKA NA</t>
  </si>
  <si>
    <t>ASSOCIATION PLANT</t>
  </si>
  <si>
    <t>COOP LHWAFI</t>
  </si>
  <si>
    <t>ASSOCIATION DES A</t>
  </si>
  <si>
    <t>FISATEX</t>
  </si>
  <si>
    <t>AL MARKAZ DISTRIB</t>
  </si>
  <si>
    <t>COOP AL BARAKA AG</t>
  </si>
  <si>
    <t>COOP AZERGUE</t>
  </si>
  <si>
    <t>COOP NAHDA</t>
  </si>
  <si>
    <t>LAKHAL DISTRIBUTI</t>
  </si>
  <si>
    <t>TAHA TIJARA</t>
  </si>
  <si>
    <t xml:space="preserve">CHOUMICHA NATURE </t>
  </si>
  <si>
    <t>FHA SYSTEM sarl</t>
  </si>
  <si>
    <t>CENTRE SPECIALISE</t>
  </si>
  <si>
    <t>DKM GROUP</t>
  </si>
  <si>
    <t>HELIOS PRODUCTION</t>
  </si>
  <si>
    <t>NAHLAT AL MAGHREB</t>
  </si>
  <si>
    <t>COOP TIZIA</t>
  </si>
  <si>
    <t>MIEL LACHKAR</t>
  </si>
  <si>
    <t>COOP TOUMENT</t>
  </si>
  <si>
    <t>SPJ</t>
  </si>
  <si>
    <t>ASSOCIATION ANNOJ</t>
  </si>
  <si>
    <t>BELFAKIR REDOUANE</t>
  </si>
  <si>
    <t>BIO-VERT sarl</t>
  </si>
  <si>
    <t>UNITED PROJETS sa</t>
  </si>
  <si>
    <t>COMPLEXE AGROALIM</t>
  </si>
  <si>
    <t xml:space="preserve">BUSINESS TOURS &amp; </t>
  </si>
  <si>
    <t>BERTIT EL MOSTAPH</t>
  </si>
  <si>
    <t>SWEET CACTUS</t>
  </si>
  <si>
    <t>COOP BECMA</t>
  </si>
  <si>
    <t>AIT IZDIR HOUCINE</t>
  </si>
  <si>
    <t>BIORANGINA</t>
  </si>
  <si>
    <t>COOP ZRIGAT</t>
  </si>
  <si>
    <t>GIE AOUFOUSS ERRA</t>
  </si>
  <si>
    <t>COTE MAISON</t>
  </si>
  <si>
    <t>COOP  AJAABOU</t>
  </si>
  <si>
    <t>EL FAZAZI BILAL</t>
  </si>
  <si>
    <t>BK MEDICAL</t>
  </si>
  <si>
    <t>FOREVER ARGAN</t>
  </si>
  <si>
    <t>KOSMANBEAUTY</t>
  </si>
  <si>
    <t>TERBER</t>
  </si>
  <si>
    <t>ATLAS CATERING AI</t>
  </si>
  <si>
    <t>SEDEBIC</t>
  </si>
  <si>
    <t>ZAIDI SABIR</t>
  </si>
  <si>
    <t>SMEC MAURITANIE</t>
  </si>
  <si>
    <t>MIPA-AG MAROC</t>
  </si>
  <si>
    <t>MEK EQUIPEMENT</t>
  </si>
  <si>
    <t>COREXIM</t>
  </si>
  <si>
    <t>LAPARA SARL</t>
  </si>
  <si>
    <t>COOP ZIZ</t>
  </si>
  <si>
    <t>PHARMACIE RYAD SO</t>
  </si>
  <si>
    <t xml:space="preserve">KINE DOUCE HEURE </t>
  </si>
  <si>
    <t>MCSD</t>
  </si>
  <si>
    <t>PRODECAR</t>
  </si>
  <si>
    <t>PHARM INVEST</t>
  </si>
  <si>
    <t>FOURNITURE EQUIPE</t>
  </si>
  <si>
    <t>BIOUI TRAVAUX</t>
  </si>
  <si>
    <t>TRICOL</t>
  </si>
  <si>
    <t>LECHHAB ABDELGHAN</t>
  </si>
  <si>
    <t>D'ALOVE sarl</t>
  </si>
  <si>
    <t>AMYS</t>
  </si>
  <si>
    <t>COOP ELBARAKA TAO</t>
  </si>
  <si>
    <t>COOP FRITISSA</t>
  </si>
  <si>
    <t>SMBS</t>
  </si>
  <si>
    <t>ETS AIT BENNANI</t>
  </si>
  <si>
    <t>ETA IMEX</t>
  </si>
  <si>
    <t>OPTIMA CHIMIE</t>
  </si>
  <si>
    <t>COOP TARGA</t>
  </si>
  <si>
    <t>DRINKEL BIO</t>
  </si>
  <si>
    <t>IXELENCE</t>
  </si>
  <si>
    <t>SALAM PEINTURE</t>
  </si>
  <si>
    <t xml:space="preserve">AGOUMI KHALIL </t>
  </si>
  <si>
    <t>VIE NATURE</t>
  </si>
  <si>
    <t>OLIVINVEST sarl</t>
  </si>
  <si>
    <t>PHARMACIE DU GHAR</t>
  </si>
  <si>
    <t>AMARI</t>
  </si>
  <si>
    <t>PHARMA-S</t>
  </si>
  <si>
    <t>ROSA HUILE</t>
  </si>
  <si>
    <t>SAADAOUI ABDELKADER</t>
  </si>
  <si>
    <t>PHARMACIE AL BACH</t>
  </si>
  <si>
    <t>BIOPROP</t>
  </si>
  <si>
    <t>S2A</t>
  </si>
  <si>
    <t>PRODIET sarl</t>
  </si>
  <si>
    <t>COSMALINE</t>
  </si>
  <si>
    <t>TADAWOL TRADE</t>
  </si>
  <si>
    <t>MCN AGRO</t>
  </si>
  <si>
    <t>AUTO MOTO TOUNSI</t>
  </si>
  <si>
    <t>COOP TAIBA CHIFAE</t>
  </si>
  <si>
    <t>VITALY COLOR</t>
  </si>
  <si>
    <t>SORIA NATURE</t>
  </si>
  <si>
    <t>ASSOCIATION MAROB</t>
  </si>
  <si>
    <t>TAKARKOURTE sarl</t>
  </si>
  <si>
    <t>ENERSUN HOLDING</t>
  </si>
  <si>
    <t>AKKAR MOHAMMED</t>
  </si>
  <si>
    <t>ABTAL AGDAL</t>
  </si>
  <si>
    <t>YAPRO</t>
  </si>
  <si>
    <t>MZM</t>
  </si>
  <si>
    <t>DIAMANT DISTRIBUT</t>
  </si>
  <si>
    <t>BIOPAM</t>
  </si>
  <si>
    <t>APM</t>
  </si>
  <si>
    <t>LEBOMIN sarl</t>
  </si>
  <si>
    <t>MAGIC ARGANA</t>
  </si>
  <si>
    <t>PARA HM</t>
  </si>
  <si>
    <t>ARGANE WORLD OIL</t>
  </si>
  <si>
    <t>TRADIPAL</t>
  </si>
  <si>
    <t>OULD BIHA MOHAMED</t>
  </si>
  <si>
    <t>2 SEI ET NEGOCE</t>
  </si>
  <si>
    <t>GIE TERROIRS SOLI</t>
  </si>
  <si>
    <t>COOP BENI AMIR</t>
  </si>
  <si>
    <t>COOP DEMNATE DE L</t>
  </si>
  <si>
    <t>COOP DIR EL KSIBA</t>
  </si>
  <si>
    <t>BADIR SIDI MOHAME</t>
  </si>
  <si>
    <t>PLASTIQUE INTER</t>
  </si>
  <si>
    <t>RUNI Ets</t>
  </si>
  <si>
    <t>ZBAKH YOUSSEF</t>
  </si>
  <si>
    <t>MABIOMA</t>
  </si>
  <si>
    <t>COOP AL OUKHOUA</t>
  </si>
  <si>
    <t>COMAJIB</t>
  </si>
  <si>
    <t>BIO ASSIL</t>
  </si>
  <si>
    <t>OXFAM ITALIA</t>
  </si>
  <si>
    <t>SOCAPRAG</t>
  </si>
  <si>
    <t>ORIENTAL GROUP</t>
  </si>
  <si>
    <t>L'APPROVISIONNEUR</t>
  </si>
  <si>
    <t>ARGAN MAGIE S.A.R</t>
  </si>
  <si>
    <t>OXYGENE</t>
  </si>
  <si>
    <t>DISTRIBIO</t>
  </si>
  <si>
    <t>RUCHERS DE L'ATLA</t>
  </si>
  <si>
    <t>SOMEDIS</t>
  </si>
  <si>
    <t>ZINEGLOB</t>
  </si>
  <si>
    <t>ENERGI-TECH TRANS</t>
  </si>
  <si>
    <t>PHYTO VIE</t>
  </si>
  <si>
    <t>ESPACE PARA BELLA</t>
  </si>
  <si>
    <t>ZOUINKA HICHAM</t>
  </si>
  <si>
    <t>ELIXIRIUM</t>
  </si>
  <si>
    <t>SECU PORTES</t>
  </si>
  <si>
    <t>AHMED TAZI</t>
  </si>
  <si>
    <t>EURAFRIC</t>
  </si>
  <si>
    <t>SARIM AGRO</t>
  </si>
  <si>
    <t>NOEMIE CREATION</t>
  </si>
  <si>
    <t>NOUR UNIVERS sarl</t>
  </si>
  <si>
    <t>APIDEV</t>
  </si>
  <si>
    <t>AL BARAHMIA</t>
  </si>
  <si>
    <t>ASEL TECHNOLOGY</t>
  </si>
  <si>
    <t xml:space="preserve">COOP GENERAL DES </t>
  </si>
  <si>
    <t>REDA DITRIBUTION</t>
  </si>
  <si>
    <t>PADEC - SENEGAL</t>
  </si>
  <si>
    <t>OLVEA ATLANTIC</t>
  </si>
  <si>
    <t>QUALITY 4 YOU</t>
  </si>
  <si>
    <t>HOMEOPHARMA</t>
  </si>
  <si>
    <t>PAR NATURE BIO</t>
  </si>
  <si>
    <t>COOP AL FADL</t>
  </si>
  <si>
    <t>OUTIBENDAR</t>
  </si>
  <si>
    <t>MIEL BEN DAOUD</t>
  </si>
  <si>
    <t>BIO PEINT sarl</t>
  </si>
  <si>
    <t>SONA COLOR</t>
  </si>
  <si>
    <t>AL BATRAE TAWABIL</t>
  </si>
  <si>
    <t>COOP AMAL DE TAMA</t>
  </si>
  <si>
    <t>TECOS MARITIME S.</t>
  </si>
  <si>
    <t>LA FERME BIO</t>
  </si>
  <si>
    <t>PHARMACIE CHELLAH</t>
  </si>
  <si>
    <t>NEGOCEDET</t>
  </si>
  <si>
    <t>SASKABUSH TOLET</t>
  </si>
  <si>
    <t>PHARMACIE LA ROTO</t>
  </si>
  <si>
    <t>ECLADECO</t>
  </si>
  <si>
    <t>ABTAS INDUSTRIE</t>
  </si>
  <si>
    <t>DROGUERIE SIDI BO</t>
  </si>
  <si>
    <t>L'ART D'HOTELERIE</t>
  </si>
  <si>
    <t>FERME PEDAGOGIQUE</t>
  </si>
  <si>
    <t>ARGAN OIL ZAD</t>
  </si>
  <si>
    <t>PHARMACIE MARJANE</t>
  </si>
  <si>
    <t>CONSERVERIE ESSALAMA</t>
  </si>
  <si>
    <t>ASSOCIATION IBN A</t>
  </si>
  <si>
    <t>COOP ANZAR</t>
  </si>
  <si>
    <t>MW SYSTEM</t>
  </si>
  <si>
    <t>ZIZMULTISERVICES</t>
  </si>
  <si>
    <t>COOP AOUKIDA</t>
  </si>
  <si>
    <t>EUROVETROCAP</t>
  </si>
  <si>
    <t>MARNY</t>
  </si>
  <si>
    <t>VIESEVE-ART</t>
  </si>
  <si>
    <t>BLUEPEPPER COMPAN</t>
  </si>
  <si>
    <t>MAGICOLLE sarl</t>
  </si>
  <si>
    <t>DROGUERIE NASSIM</t>
  </si>
  <si>
    <t>PHARMACIE EL KOUT</t>
  </si>
  <si>
    <t>JBABDI ABDALLAH</t>
  </si>
  <si>
    <t>EL MOUSSAOUI SIHA</t>
  </si>
  <si>
    <t>DAR ARGANA</t>
  </si>
  <si>
    <t>EL HILALI JALILA</t>
  </si>
  <si>
    <t>ADHAM BELMOUDEN</t>
  </si>
  <si>
    <t>BEST.CO</t>
  </si>
  <si>
    <t>IMPACT</t>
  </si>
  <si>
    <t>MEDI INVEST GROUP</t>
  </si>
  <si>
    <t>AIMRANE D'INGENIE</t>
  </si>
  <si>
    <t>ELMAY</t>
  </si>
  <si>
    <t xml:space="preserve">MAROC TERROIR ET </t>
  </si>
  <si>
    <t>HAMMAM SECRETS Sa</t>
  </si>
  <si>
    <t>BELFAKIR SAID</t>
  </si>
  <si>
    <t>BOUADE SAID</t>
  </si>
  <si>
    <t>KENZ MAROC</t>
  </si>
  <si>
    <t>DEL SUR</t>
  </si>
  <si>
    <t>AGRO POLE OLIVIER</t>
  </si>
  <si>
    <t>MCI SANTE ANIMALE</t>
  </si>
  <si>
    <t>GHANI CHIMIQUES</t>
  </si>
  <si>
    <t>JABALI MOHAMED</t>
  </si>
  <si>
    <t>LABOTEST</t>
  </si>
  <si>
    <t>BEN CHRIF AHMED</t>
  </si>
  <si>
    <t>BAJ IMPORT EXPORT</t>
  </si>
  <si>
    <t>CPTOIR MAROCAIN D</t>
  </si>
  <si>
    <t>RIAD KALAA</t>
  </si>
  <si>
    <t>NORTH AFRICA  AGR</t>
  </si>
  <si>
    <t>LORILLEUX MAROC</t>
  </si>
  <si>
    <t>LES JARDINS DE NA</t>
  </si>
  <si>
    <t>ASS LA REINSERTIO</t>
  </si>
  <si>
    <t>BAPLAST S.A.R.L</t>
  </si>
  <si>
    <t>ARGAPUR</t>
  </si>
  <si>
    <t>TAZARINE EVENEMEN</t>
  </si>
  <si>
    <t>GUERTOUMY ABDENNA</t>
  </si>
  <si>
    <t>DINAGRO</t>
  </si>
  <si>
    <t>CHANTAL BEAUTE</t>
  </si>
  <si>
    <t>ALLO PAELLA</t>
  </si>
  <si>
    <t>ENRIQUE GARCIA GA</t>
  </si>
  <si>
    <t>ELV FROM MAROC</t>
  </si>
  <si>
    <t>VILLA LILIA</t>
  </si>
  <si>
    <t>ARGANDEL</t>
  </si>
  <si>
    <t>COTE BOUGIE</t>
  </si>
  <si>
    <t>SACHETS MAROC</t>
  </si>
  <si>
    <t>SUD BIO MAROC</t>
  </si>
  <si>
    <t>DAR SOUSSIA</t>
  </si>
  <si>
    <t>DECORS COMPOSITES</t>
  </si>
  <si>
    <t>KLAS s.a.r.l</t>
  </si>
  <si>
    <t>COMPTOIR BIO</t>
  </si>
  <si>
    <t>LA MOGADOR SARL</t>
  </si>
  <si>
    <t>BAZOUNA STORE</t>
  </si>
  <si>
    <t>BOUAYAD MEHDI</t>
  </si>
  <si>
    <t>SOTOTRACOM</t>
  </si>
  <si>
    <t>COOP DES DATTES</t>
  </si>
  <si>
    <t>S.B.R AGRI ESPACE</t>
  </si>
  <si>
    <t>KHALID TAOUSSI</t>
  </si>
  <si>
    <t>KIRY AHMED</t>
  </si>
  <si>
    <t>IKRA YOUSSEF</t>
  </si>
  <si>
    <t>BUTTER FLY CONCEP</t>
  </si>
  <si>
    <t>COOP TAMOUNTE AIT</t>
  </si>
  <si>
    <t>IGOUDAR DISTRIBUT</t>
  </si>
  <si>
    <t>PROGRAMME OASIS T</t>
  </si>
  <si>
    <t>MOSAIC PALAIS AZI</t>
  </si>
  <si>
    <t>FILALI SVP</t>
  </si>
  <si>
    <t>ZAMANI ABELKADER</t>
  </si>
  <si>
    <t>JAWAD</t>
  </si>
  <si>
    <t>HERBANATURE</t>
  </si>
  <si>
    <t>REMILI SUD</t>
  </si>
  <si>
    <t>SMAC</t>
  </si>
  <si>
    <t>AMRANE</t>
  </si>
  <si>
    <t>ARGAMAR</t>
  </si>
  <si>
    <t>COOP TARGANTE</t>
  </si>
  <si>
    <t>IGRANE ARGAN</t>
  </si>
  <si>
    <t>MEDIUM TRAVAUX</t>
  </si>
  <si>
    <t>HASSAN MOSLIH</t>
  </si>
  <si>
    <t>JEAN BASTITE  DEL</t>
  </si>
  <si>
    <t>GACHES CHIMIE SPE</t>
  </si>
  <si>
    <t>CENTRE DES AFFAIR</t>
  </si>
  <si>
    <t xml:space="preserve">Ets AINOURAHMATY </t>
  </si>
  <si>
    <t>PROXIM MEDIA GROU</t>
  </si>
  <si>
    <t>LA MAGREBINE DE D</t>
  </si>
  <si>
    <t>MACHBAETE SARA</t>
  </si>
  <si>
    <t>ARGAN MIRLEFT</t>
  </si>
  <si>
    <t>RIAD DJEMANNA</t>
  </si>
  <si>
    <t>STRETTA DI MANO S</t>
  </si>
  <si>
    <t>BIOFARMA SENE SEN</t>
  </si>
  <si>
    <t>CENTRE DECO</t>
  </si>
  <si>
    <t>KONOUZ JIBAL IMOU</t>
  </si>
  <si>
    <t>RIAD CHERGUI</t>
  </si>
  <si>
    <t>SAHARA MULTIPRO</t>
  </si>
  <si>
    <t>SYNERGIE FEMMES S</t>
  </si>
  <si>
    <t>CENTRALE ACHAT AN</t>
  </si>
  <si>
    <t>ZENA EXOTIC FRUIT</t>
  </si>
  <si>
    <t>RYAD FRUIT</t>
  </si>
  <si>
    <t xml:space="preserve">MOROCCAN NATURAL </t>
  </si>
  <si>
    <t>POLTEC MAROC</t>
  </si>
  <si>
    <t>TRANS VICTORY</t>
  </si>
  <si>
    <t>AL AKHAWAIN COSME</t>
  </si>
  <si>
    <t>COLAS EMULSION</t>
  </si>
  <si>
    <t>PETRO-SURVEY</t>
  </si>
  <si>
    <t>BOHI MAROC sarl</t>
  </si>
  <si>
    <t>HMIDANI ABDERRAHM</t>
  </si>
  <si>
    <t xml:space="preserve">PHARMACIE ESPOIR </t>
  </si>
  <si>
    <t>CAIRE CENTRE TANG</t>
  </si>
  <si>
    <t>IMPEX MOROCCO 4 Y</t>
  </si>
  <si>
    <t>ISOTEC MAROC</t>
  </si>
  <si>
    <t>ILOHA</t>
  </si>
  <si>
    <t>EREBUS MAROC</t>
  </si>
  <si>
    <t>VERGER IHLAL</t>
  </si>
  <si>
    <t>SAVON D'ALEP</t>
  </si>
  <si>
    <t>PLASTIPRO</t>
  </si>
  <si>
    <t>MKDIS sarl</t>
  </si>
  <si>
    <t>SPEMAG</t>
  </si>
  <si>
    <t>KOUNOUZ OF MOROCC</t>
  </si>
  <si>
    <t>RESTAURANT MURAIL</t>
  </si>
  <si>
    <t>KING REVETEMENT S</t>
  </si>
  <si>
    <t>IFAS MAGHREB</t>
  </si>
  <si>
    <t>UNIVERS BIO PRODU</t>
  </si>
  <si>
    <t>JASSI sarl</t>
  </si>
  <si>
    <t>SENCHA</t>
  </si>
  <si>
    <t>STE D'EXPLOITATIO</t>
  </si>
  <si>
    <t>DROGUERIE OIAGAGU</t>
  </si>
  <si>
    <t>ABUGINGER  GIE SE</t>
  </si>
  <si>
    <t>ROYAL PALM Marrak</t>
  </si>
  <si>
    <t>COOP THAWMAT</t>
  </si>
  <si>
    <t xml:space="preserve">LES SURPRISES DE </t>
  </si>
  <si>
    <t>LE MOULIN DE TAME</t>
  </si>
  <si>
    <t>C.M.P.A</t>
  </si>
  <si>
    <t>JNANE ZERHOUN</t>
  </si>
  <si>
    <t>OUASIS DU SUD sar</t>
  </si>
  <si>
    <t>LES DELICES GOURM</t>
  </si>
  <si>
    <t>GARIDI KOUBA ALGE</t>
  </si>
  <si>
    <t>ENIA</t>
  </si>
  <si>
    <t>L'ART DU BAIN</t>
  </si>
  <si>
    <t>JHIOUI HATIM</t>
  </si>
  <si>
    <t>SIGMA TECHNOLOGIE</t>
  </si>
  <si>
    <t>ECLATDERM SENEGAL</t>
  </si>
  <si>
    <t>HAFID ABDELOUAHAB</t>
  </si>
  <si>
    <t>PRINTPOINT</t>
  </si>
  <si>
    <t>BOUIFADENE MOHAME</t>
  </si>
  <si>
    <t>AFYACH SARL</t>
  </si>
  <si>
    <t>COSMETIQUE SABHI</t>
  </si>
  <si>
    <t>ASSOCIATION AL KA</t>
  </si>
  <si>
    <t>PARIS ARABESQUES</t>
  </si>
  <si>
    <t>DAR EL FAKIA</t>
  </si>
  <si>
    <t>SAOAS: OMNIUM AGR</t>
  </si>
  <si>
    <t>KEYSTONE INTERNAT</t>
  </si>
  <si>
    <t>KI NATURE ET SANT</t>
  </si>
  <si>
    <t>SPTS</t>
  </si>
  <si>
    <t>MAROC TOUT ENERGI</t>
  </si>
  <si>
    <t>BEAUTY FRESH</t>
  </si>
  <si>
    <t>EIGENVALUE</t>
  </si>
  <si>
    <t>NSA INVEST</t>
  </si>
  <si>
    <t>AGRID MEKNES</t>
  </si>
  <si>
    <t>ARGANIA</t>
  </si>
  <si>
    <t>EL OUAFI MOHAMED</t>
  </si>
  <si>
    <t>HANA K</t>
  </si>
  <si>
    <t>PHARMACIE KHEOPS</t>
  </si>
  <si>
    <t>LAASRI ABDELLAH</t>
  </si>
  <si>
    <t>AKFAF</t>
  </si>
  <si>
    <t>PEINTURE CHAMPION</t>
  </si>
  <si>
    <t>MILD EVENTS SARL</t>
  </si>
  <si>
    <t>MEDIPROMO SARL</t>
  </si>
  <si>
    <t>MENARA MEDICAL</t>
  </si>
  <si>
    <t>IMEX GENERAL</t>
  </si>
  <si>
    <t>ABDELJALIL MEHDI</t>
  </si>
  <si>
    <t>SGTSMORA</t>
  </si>
  <si>
    <t>VECTORIUM</t>
  </si>
  <si>
    <t>A2M NEGOCE SARL</t>
  </si>
  <si>
    <t>UNIVERS PHARMA</t>
  </si>
  <si>
    <t>MILOSA INTERNATIO</t>
  </si>
  <si>
    <t>WASSOULI MUSTAPHA</t>
  </si>
  <si>
    <t>PLANTE DOUKALA</t>
  </si>
  <si>
    <t>TRANS SERVICES SA</t>
  </si>
  <si>
    <t xml:space="preserve">SO-EXPORT IMPORT </t>
  </si>
  <si>
    <t>PRO SEMAT</t>
  </si>
  <si>
    <t>POINT PRODUCTION</t>
  </si>
  <si>
    <t>MULTISERVICE POUR LE COMMERCE</t>
  </si>
  <si>
    <t>GIE APIMA</t>
  </si>
  <si>
    <t>GIE AHLAF HUILE D</t>
  </si>
  <si>
    <t>OUTIMAR</t>
  </si>
  <si>
    <t>AFRICAN DES HUILE</t>
  </si>
  <si>
    <t>CARI START</t>
  </si>
  <si>
    <t>FORMA ZEN</t>
  </si>
  <si>
    <t>AZZI MOHAMMED</t>
  </si>
  <si>
    <t>COOP SIDI MOUSSA</t>
  </si>
  <si>
    <t>DROGUERIE ELAHMAD</t>
  </si>
  <si>
    <t>PFIZER MAROC</t>
  </si>
  <si>
    <t>MORCHID EL IDRISS</t>
  </si>
  <si>
    <t>EL HADDAD TARIK</t>
  </si>
  <si>
    <t>SAIBOUS AHMED</t>
  </si>
  <si>
    <t>SAVON DE MARRAKEC</t>
  </si>
  <si>
    <t>AA CHIMIE S.A.R.L</t>
  </si>
  <si>
    <t>AIT RIAD YOUSSEF</t>
  </si>
  <si>
    <t>EL KAMOUSS SARA</t>
  </si>
  <si>
    <t xml:space="preserve">AKHDDAR SAHRAOUI </t>
  </si>
  <si>
    <t>YANDEDIOP</t>
  </si>
  <si>
    <t>GLO FOODS</t>
  </si>
  <si>
    <t>JASMINE COMMUNICA</t>
  </si>
  <si>
    <t>ASSOCIATION TITAO</t>
  </si>
  <si>
    <t xml:space="preserve">PREMIUM FOOD AND </t>
  </si>
  <si>
    <t>RACHA OLIVES</t>
  </si>
  <si>
    <t>ETS ZIN ZIN</t>
  </si>
  <si>
    <t>SOCIETE CONSERVES</t>
  </si>
  <si>
    <t>BUTINA MIEL</t>
  </si>
  <si>
    <t>INTERNATIONAL FRE</t>
  </si>
  <si>
    <t>PARA SABEM</t>
  </si>
  <si>
    <t>MARIBELL SKOB GRO</t>
  </si>
  <si>
    <t>HALIB QUILLIEN MA</t>
  </si>
  <si>
    <t>PRIMUS SERVICES</t>
  </si>
  <si>
    <t>IDÆCLAIRE</t>
  </si>
  <si>
    <t>NADIFI CONSULTING</t>
  </si>
  <si>
    <t>DROGUERIE ALPHA</t>
  </si>
  <si>
    <t>JEAN DUFLOT SARL</t>
  </si>
  <si>
    <t>StÚ INSTRULAB Mar</t>
  </si>
  <si>
    <t>ORKILA MAROC</t>
  </si>
  <si>
    <t>MAHI ZOUBIR</t>
  </si>
  <si>
    <t>EL GANA MOHAMED</t>
  </si>
  <si>
    <t>SABEM</t>
  </si>
  <si>
    <t>PURE EXPERIENCE</t>
  </si>
  <si>
    <t>KAHENA AMFAD</t>
  </si>
  <si>
    <t>NAHASS INVEST</t>
  </si>
  <si>
    <t>ATELIER NATURE</t>
  </si>
  <si>
    <t>ACOFARMA LAB</t>
  </si>
  <si>
    <t>ABDELKARIM MOURAD</t>
  </si>
  <si>
    <t>SHIZEN</t>
  </si>
  <si>
    <t>BIO SPHERE</t>
  </si>
  <si>
    <t>EXPERIA GLOBE</t>
  </si>
  <si>
    <t>MARINA COSMETIC</t>
  </si>
  <si>
    <t>BENSAID YASSIN</t>
  </si>
  <si>
    <t>OUAZZANI MOULAY A</t>
  </si>
  <si>
    <t>FIDARI</t>
  </si>
  <si>
    <t>MANAHIL AIT BAAMR</t>
  </si>
  <si>
    <t>ASSOCIATION HASSI</t>
  </si>
  <si>
    <t>EVEMBA OKO JOSE L</t>
  </si>
  <si>
    <t>DROGUERIE EL HORI</t>
  </si>
  <si>
    <t>PHARMACIE BELAKHD</t>
  </si>
  <si>
    <t>AGUIMEX</t>
  </si>
  <si>
    <t>PROMANOVA</t>
  </si>
  <si>
    <t>COTE PARA</t>
  </si>
  <si>
    <t xml:space="preserve">ORGANIC SOURCING </t>
  </si>
  <si>
    <t>CHIWATES DU TERRO</t>
  </si>
  <si>
    <t>ZAKARIA AHMED</t>
  </si>
  <si>
    <t>PEINTURE AL BOUKHARI</t>
  </si>
  <si>
    <t>LABORATOIRES BORI</t>
  </si>
  <si>
    <t>BANZ</t>
  </si>
  <si>
    <t>RAMI HASSAN</t>
  </si>
  <si>
    <t>RAHAPACK</t>
  </si>
  <si>
    <t>ESTEVAL SENEGAL</t>
  </si>
  <si>
    <t>FREE BUSINSS CLAS</t>
  </si>
  <si>
    <t>MTS WILD SERVICES</t>
  </si>
  <si>
    <t>COMASIG</t>
  </si>
  <si>
    <t>ADGHAL GROUPE</t>
  </si>
  <si>
    <t>BOUKHLIFI JAWAD</t>
  </si>
  <si>
    <t>VERDEORTO SARL AU</t>
  </si>
  <si>
    <t>COOP ASLAL</t>
  </si>
  <si>
    <t>COOP OULED ELKORA</t>
  </si>
  <si>
    <t>BIOCHARM TUNISIE</t>
  </si>
  <si>
    <t>CHO COMPANY TUNIS</t>
  </si>
  <si>
    <t>CANADA BEST LIFE</t>
  </si>
  <si>
    <t>NOUR-DINE KARD</t>
  </si>
  <si>
    <t>SAIDA MELLOUKI</t>
  </si>
  <si>
    <t xml:space="preserve">PHARMACIE NASSIM </t>
  </si>
  <si>
    <t>BEAUTE NATUREL</t>
  </si>
  <si>
    <t>DOMAINES DE LA PO</t>
  </si>
  <si>
    <t>JAC DISTRIBUTION</t>
  </si>
  <si>
    <t>SODISTMA</t>
  </si>
  <si>
    <t>DROGUERIE NAJAH A</t>
  </si>
  <si>
    <t xml:space="preserve">HERITAGE BERBERE </t>
  </si>
  <si>
    <t>COOP JABAL ALAM</t>
  </si>
  <si>
    <t>SALMI EL HAFID</t>
  </si>
  <si>
    <t>BAKKALI ABDELMAJI</t>
  </si>
  <si>
    <t>ORCHIDEE THAI INS</t>
  </si>
  <si>
    <t>BELAROME</t>
  </si>
  <si>
    <t>K - Entreprise MA</t>
  </si>
  <si>
    <t>ARGANOX</t>
  </si>
  <si>
    <t>SAYBOLT MAROC</t>
  </si>
  <si>
    <t>MYPUB</t>
  </si>
  <si>
    <t>ASMENT DE TEMARA</t>
  </si>
  <si>
    <t>EL JAAFARI RACHID</t>
  </si>
  <si>
    <t>MAROC INTERNATION</t>
  </si>
  <si>
    <t>PHARMACIE ALAMRAN</t>
  </si>
  <si>
    <t>BAIT AL OUD</t>
  </si>
  <si>
    <t>CENTRE ZEIN</t>
  </si>
  <si>
    <t>ARGANASMETIC</t>
  </si>
  <si>
    <t>DIVERS DHY</t>
  </si>
  <si>
    <t>BEN &amp; SONS PACKAG</t>
  </si>
  <si>
    <t>RIHANI MOUHCINE</t>
  </si>
  <si>
    <t>SENNOUNI TARIK</t>
  </si>
  <si>
    <t>KHAIRAOUI ABDELHA</t>
  </si>
  <si>
    <t>MAROLIPES</t>
  </si>
  <si>
    <t>COOP AL ATLAS SAG</t>
  </si>
  <si>
    <t>COOP ASSID DEV DU</t>
  </si>
  <si>
    <t>AD COOP</t>
  </si>
  <si>
    <t>COSMO TERRE</t>
  </si>
  <si>
    <t>DAVINCI MAROC</t>
  </si>
  <si>
    <t>ARGALISTA</t>
  </si>
  <si>
    <t>KARIM MOHAMED</t>
  </si>
  <si>
    <t>JABER RAHAL</t>
  </si>
  <si>
    <t>SADQI ALI</t>
  </si>
  <si>
    <t>KINTESSENS</t>
  </si>
  <si>
    <t>LYLAS COS</t>
  </si>
  <si>
    <t xml:space="preserve">SBAO Ste Blanche </t>
  </si>
  <si>
    <t>AMAECO sarl</t>
  </si>
  <si>
    <t>MED COAST</t>
  </si>
  <si>
    <t>SALUSWORLD</t>
  </si>
  <si>
    <t>PARA CASA</t>
  </si>
  <si>
    <t>SOMAFACO</t>
  </si>
  <si>
    <t>DIAMANT PAVE</t>
  </si>
  <si>
    <t>ASS AMAL P/ FEMME</t>
  </si>
  <si>
    <t>EMIRATI MOROCCAN</t>
  </si>
  <si>
    <t>JO AND JO MARRAKE</t>
  </si>
  <si>
    <t>ML DISTRIBUTION</t>
  </si>
  <si>
    <t>EL OUADRIGHI ABDE</t>
  </si>
  <si>
    <t>COOP MIEL DE VIE</t>
  </si>
  <si>
    <t>SOS NEGOCE</t>
  </si>
  <si>
    <t>ASSOCIATION AL FA</t>
  </si>
  <si>
    <t>PLAFAHUILE</t>
  </si>
  <si>
    <t>ETABLISSEMENT EL OUJDI</t>
  </si>
  <si>
    <t>POWER PROTECTION</t>
  </si>
  <si>
    <t>THINK 2 THINK.COM</t>
  </si>
  <si>
    <t>ATL EXPORT</t>
  </si>
  <si>
    <t>ROSAYAS</t>
  </si>
  <si>
    <t>ASSOCIATION AMSSF</t>
  </si>
  <si>
    <t>ALNA ENGINEERING</t>
  </si>
  <si>
    <t>BERBER SECRET</t>
  </si>
  <si>
    <t>ISMO GLOBAL TRADI</t>
  </si>
  <si>
    <t>LIQUIDATION IMPOR</t>
  </si>
  <si>
    <t>SOUSS ARGANE</t>
  </si>
  <si>
    <t>SWISS TRADE INTER</t>
  </si>
  <si>
    <t>HADDAD OUSSAMA</t>
  </si>
  <si>
    <t>SWIN CHOUS</t>
  </si>
  <si>
    <t>GASTRONOMIA NAPOL</t>
  </si>
  <si>
    <t>COOP FEUILLES VER</t>
  </si>
  <si>
    <t>COPROCHIM</t>
  </si>
  <si>
    <t>COOP MIDELT BIO</t>
  </si>
  <si>
    <t>AMARANTE</t>
  </si>
  <si>
    <t>SATEM TUNISIE</t>
  </si>
  <si>
    <t>SCASCO</t>
  </si>
  <si>
    <t>CELVER CLEAN</t>
  </si>
  <si>
    <t>DOMAINE RAS AL AY</t>
  </si>
  <si>
    <t>VMM</t>
  </si>
  <si>
    <t>CHAGHOUANI RACHID</t>
  </si>
  <si>
    <t>JEBLI MESSOUD</t>
  </si>
  <si>
    <t>COOP RABOUHAT</t>
  </si>
  <si>
    <t>COOP DRISSIA</t>
  </si>
  <si>
    <t>COOP TADAMOUNE</t>
  </si>
  <si>
    <t>DROGUERIE EL JOUL</t>
  </si>
  <si>
    <t>RITUELS D'ORIENT</t>
  </si>
  <si>
    <t>KANALI MOSTAPHA</t>
  </si>
  <si>
    <t>STE CONSERVERIE M</t>
  </si>
  <si>
    <t>COOP TAZKMOUT</t>
  </si>
  <si>
    <t>MECHACHI OMAR</t>
  </si>
  <si>
    <t>ALIGOD AHMED</t>
  </si>
  <si>
    <t>PCP</t>
  </si>
  <si>
    <t>AFRICA SEEDS SA</t>
  </si>
  <si>
    <t>WILLY BAEY</t>
  </si>
  <si>
    <t>RIF SESCO</t>
  </si>
  <si>
    <t>BOTERROIRS SARL</t>
  </si>
  <si>
    <t>POWER JOB SOLUTIO</t>
  </si>
  <si>
    <t>SMARCOS</t>
  </si>
  <si>
    <t>AFRA PEINT</t>
  </si>
  <si>
    <t>DAR ARGANE BIO</t>
  </si>
  <si>
    <t>CONSERVERIE LES P</t>
  </si>
  <si>
    <t>ESPACE PARFUMS</t>
  </si>
  <si>
    <t>MAPARCO</t>
  </si>
  <si>
    <t>GOLFOIL</t>
  </si>
  <si>
    <t>OLIVOIL SARL</t>
  </si>
  <si>
    <t>JABRANE NEZHA</t>
  </si>
  <si>
    <t>SHELTER</t>
  </si>
  <si>
    <t>CORALIA</t>
  </si>
  <si>
    <t>MARKET AND CO</t>
  </si>
  <si>
    <t>RAMA DE PARFUMS s</t>
  </si>
  <si>
    <t>RJR TRANDING &amp; CO</t>
  </si>
  <si>
    <t>SACINO sarl</t>
  </si>
  <si>
    <t>ETS AMAL</t>
  </si>
  <si>
    <t>EL MESKINI ABD RAHMANE</t>
  </si>
  <si>
    <t xml:space="preserve">COSMETIC NATURAL </t>
  </si>
  <si>
    <t>AZBANE LABORATOIR</t>
  </si>
  <si>
    <t>COOP TIFAOUT NOUG</t>
  </si>
  <si>
    <t>COOP AWAT TIGHMAR</t>
  </si>
  <si>
    <t>COOP BAYTI</t>
  </si>
  <si>
    <t>GIE TIZARGANE</t>
  </si>
  <si>
    <t>COOP ALKHADRAA</t>
  </si>
  <si>
    <t>GROUPE BRASSERIES</t>
  </si>
  <si>
    <t>TETRAPOLES</t>
  </si>
  <si>
    <t>AD SYSTEMES SARL</t>
  </si>
  <si>
    <t>PHARMACIE YASMINA</t>
  </si>
  <si>
    <t>ALI N' PRODUCTION</t>
  </si>
  <si>
    <t>NASFAD</t>
  </si>
  <si>
    <t>MENSOURI KHALID</t>
  </si>
  <si>
    <t>BENBEL MUSTAPHA</t>
  </si>
  <si>
    <t>BEADZOO SARL</t>
  </si>
  <si>
    <t>VILLA HOUDA</t>
  </si>
  <si>
    <t>FATIMA TETOUANIA</t>
  </si>
  <si>
    <t>TIJAN sarl</t>
  </si>
  <si>
    <t>MRISS M HAMED</t>
  </si>
  <si>
    <t>RAMDANE FOUAD</t>
  </si>
  <si>
    <t>NAJIB TAGHRID</t>
  </si>
  <si>
    <t>BABK SARL</t>
  </si>
  <si>
    <t>IMAN'ART</t>
  </si>
  <si>
    <t>JOUDI ABDERRAHMAN</t>
  </si>
  <si>
    <t>LE GRAND PRINTEMPS</t>
  </si>
  <si>
    <t>GHAYLANI</t>
  </si>
  <si>
    <t>SECRET D'UNE GAZE</t>
  </si>
  <si>
    <t>ABBASY MOUNA</t>
  </si>
  <si>
    <t>AAZ ARGAN</t>
  </si>
  <si>
    <t>SINCECO SARL</t>
  </si>
  <si>
    <t>BIOGAN</t>
  </si>
  <si>
    <t>MIRACLE DU SUD</t>
  </si>
  <si>
    <t>ALTER ENERGY</t>
  </si>
  <si>
    <t>ARTIWOOD</t>
  </si>
  <si>
    <t>HERBORISTE MADAGA</t>
  </si>
  <si>
    <t>BISTRO IMPORT</t>
  </si>
  <si>
    <t>GHIRASS NATURE</t>
  </si>
  <si>
    <t>DIVERSEY MAROC</t>
  </si>
  <si>
    <t>MONOGRAMME</t>
  </si>
  <si>
    <t>JUICE &amp; NECTAR PA</t>
  </si>
  <si>
    <t>COSALINE</t>
  </si>
  <si>
    <t>ABBOU ET FILS</t>
  </si>
  <si>
    <t>DROGUERIE ASAKA</t>
  </si>
  <si>
    <t>NATURA ET NATURO</t>
  </si>
  <si>
    <t>ENTRBIOHUIL</t>
  </si>
  <si>
    <t>HS PARTNERS</t>
  </si>
  <si>
    <t>NECTAROME</t>
  </si>
  <si>
    <t>RABEH REDA</t>
  </si>
  <si>
    <t>TAROMED</t>
  </si>
  <si>
    <t>CONFORT LAB</t>
  </si>
  <si>
    <t>L'ATELIER MOGADOR</t>
  </si>
  <si>
    <t>GOLF PRODUCTS</t>
  </si>
  <si>
    <t>MOCT</t>
  </si>
  <si>
    <t>MOUDDAHI SAID</t>
  </si>
  <si>
    <t>DROGUERIE SALAM B</t>
  </si>
  <si>
    <t>ASSO MIGRATION ET</t>
  </si>
  <si>
    <t>NILGUN SARL</t>
  </si>
  <si>
    <t>JAFEP</t>
  </si>
  <si>
    <t>ASSTRA COLOR</t>
  </si>
  <si>
    <t>PANNA NEGOCE sarl</t>
  </si>
  <si>
    <t>LUDI SCIENCE</t>
  </si>
  <si>
    <t>MEDSTART</t>
  </si>
  <si>
    <t>FLORATUS SARLAU</t>
  </si>
  <si>
    <t>LA VICTOIRE PIECE</t>
  </si>
  <si>
    <t>LMGC</t>
  </si>
  <si>
    <t>PAFA SENEGAL</t>
  </si>
  <si>
    <t>HICHAM MESRAR</t>
  </si>
  <si>
    <t>RAPIDO CONCEPT</t>
  </si>
  <si>
    <t>LA SULTANA OUALID</t>
  </si>
  <si>
    <t>FMS IMPORT EXPORT</t>
  </si>
  <si>
    <t>VC DISTRIBUTION</t>
  </si>
  <si>
    <t>FRESHKA</t>
  </si>
  <si>
    <t>KAIZEN PEINTURE</t>
  </si>
  <si>
    <t>ESPACE COSMETIC</t>
  </si>
  <si>
    <t>PARA 2000</t>
  </si>
  <si>
    <t>DROGUERIE ZAIDI S</t>
  </si>
  <si>
    <t>HERBORISTE CARAVA</t>
  </si>
  <si>
    <t>AROMATIC</t>
  </si>
  <si>
    <t>AG'OS EXPORT</t>
  </si>
  <si>
    <t>HUILERIES OUM RAB</t>
  </si>
  <si>
    <t>ETABLISSEMENT KAW</t>
  </si>
  <si>
    <t>OXYPAINT</t>
  </si>
  <si>
    <t>BYTRA SYSTEME</t>
  </si>
  <si>
    <t>KELLA COSMETICS</t>
  </si>
  <si>
    <t>SO HA SABLE SARL</t>
  </si>
  <si>
    <t>GLOBAL PROJETS</t>
  </si>
  <si>
    <t>LES ATELIERS DU T</t>
  </si>
  <si>
    <t>MAGHRIB FOOD STOR</t>
  </si>
  <si>
    <t>AKSAY MUSTAPHA</t>
  </si>
  <si>
    <t>OAM INDUSTRIE</t>
  </si>
  <si>
    <t>KORTOBI HICHAM</t>
  </si>
  <si>
    <t>ETABLISSEMENT BEL</t>
  </si>
  <si>
    <t>CHRAIBI OMAR</t>
  </si>
  <si>
    <t>TRADE INFINITY</t>
  </si>
  <si>
    <t xml:space="preserve">MERYEM CHERKAOUI </t>
  </si>
  <si>
    <t>ZAINA AGUENAOU</t>
  </si>
  <si>
    <t>CERCLE D'EXCELLEN</t>
  </si>
  <si>
    <t>AFRICADIS</t>
  </si>
  <si>
    <t>AROMAPEDIA</t>
  </si>
  <si>
    <t>WITHLIFE</t>
  </si>
  <si>
    <t>NEW AFRICAN SERVICE</t>
  </si>
  <si>
    <t>JILALI NAOU</t>
  </si>
  <si>
    <t>MONSIEUR MEUBLE</t>
  </si>
  <si>
    <t>COOP SOUKTANA</t>
  </si>
  <si>
    <t>LABO SANTE</t>
  </si>
  <si>
    <t>DEBBAGH MOHAMED</t>
  </si>
  <si>
    <t>YASKA</t>
  </si>
  <si>
    <t>KADIGRAF</t>
  </si>
  <si>
    <t>GLORIA PEINTURE</t>
  </si>
  <si>
    <t>ELG COSMETICS</t>
  </si>
  <si>
    <t>MASKAT KEROS FRAG</t>
  </si>
  <si>
    <t xml:space="preserve">PHARMACIE ESPACE </t>
  </si>
  <si>
    <t>MBS</t>
  </si>
  <si>
    <t>AHRAM MOHAMED</t>
  </si>
  <si>
    <t>ISIDRO MOULES</t>
  </si>
  <si>
    <t>PROMAGRAPH</t>
  </si>
  <si>
    <t>ORZENA</t>
  </si>
  <si>
    <t>DISACCESS</t>
  </si>
  <si>
    <t>RACHIMARR</t>
  </si>
  <si>
    <t>DIYA FASHION GROU</t>
  </si>
  <si>
    <t>LES SENTEURS D'HI</t>
  </si>
  <si>
    <t>MAD SY SARL GUINE</t>
  </si>
  <si>
    <t>BENCHAIB-SALAH ED</t>
  </si>
  <si>
    <t>SANDID MOUNIA</t>
  </si>
  <si>
    <t>DELCOM</t>
  </si>
  <si>
    <t>ARGANA'S</t>
  </si>
  <si>
    <t>COOP MAROC VERT</t>
  </si>
  <si>
    <t>IMB</t>
  </si>
  <si>
    <t>COOP AGRICOLE BEL</t>
  </si>
  <si>
    <t>S.O.H.A.F sarl</t>
  </si>
  <si>
    <t>CHOUF OU CHRI</t>
  </si>
  <si>
    <t>TANARGAN</t>
  </si>
  <si>
    <t>211 SAVEURS</t>
  </si>
  <si>
    <t>MIEL DHAILI</t>
  </si>
  <si>
    <t>IMANI IMPORT EXPO</t>
  </si>
  <si>
    <t>BIO BELLA</t>
  </si>
  <si>
    <t>HIPPI HASSAN</t>
  </si>
  <si>
    <t>COOP TAMAZAGHT</t>
  </si>
  <si>
    <t>BLED CONSERVES</t>
  </si>
  <si>
    <t>AFOUS ARGAN</t>
  </si>
  <si>
    <t>COOP MANAHIL SOUS</t>
  </si>
  <si>
    <t>BAROUZI KHADIJA</t>
  </si>
  <si>
    <t>SOCRECH</t>
  </si>
  <si>
    <t>PARANATURE</t>
  </si>
  <si>
    <t>COOP AL OUTMANIYA</t>
  </si>
  <si>
    <t>PRIVILEGIA COMMUN</t>
  </si>
  <si>
    <t>ARGANIE</t>
  </si>
  <si>
    <t>ATELIA SOLEIL D A</t>
  </si>
  <si>
    <t>COOP MIEL MEJJI</t>
  </si>
  <si>
    <t>ASKOUR LAHCEN</t>
  </si>
  <si>
    <t>RAOUARAS SARL</t>
  </si>
  <si>
    <t>INTERNATIONAL BUS</t>
  </si>
  <si>
    <t>CASERNE VERTE ARG</t>
  </si>
  <si>
    <t>DELICES DU LIBAN</t>
  </si>
  <si>
    <t>SIMAB</t>
  </si>
  <si>
    <t>LES BONS CHANTIER</t>
  </si>
  <si>
    <t>DKT MAROC</t>
  </si>
  <si>
    <t>SALY-BIO</t>
  </si>
  <si>
    <t>SAFRAN &amp; EPICES P</t>
  </si>
  <si>
    <t>MAXI BIO</t>
  </si>
  <si>
    <t>LODARE</t>
  </si>
  <si>
    <t>END2END</t>
  </si>
  <si>
    <t>EL GANA NOUREDDIN</t>
  </si>
  <si>
    <t>LAHLOU MOHAMED JALIL</t>
  </si>
  <si>
    <t>BRAHIM TAGANZA</t>
  </si>
  <si>
    <t>SAID SADOQ</t>
  </si>
  <si>
    <t>AZIZ AKHEZANE</t>
  </si>
  <si>
    <t>UNIMEDICA</t>
  </si>
  <si>
    <t>VALIAMO</t>
  </si>
  <si>
    <t>ARGAN PALACE</t>
  </si>
  <si>
    <t>COOP ARGANE MEJJI</t>
  </si>
  <si>
    <t>ARGANIS</t>
  </si>
  <si>
    <t>BIO FOR YOU</t>
  </si>
  <si>
    <t>DRUG STORE EL CHIFA</t>
  </si>
  <si>
    <t>AGHSANE</t>
  </si>
  <si>
    <t>COOP APICOLE TAZW</t>
  </si>
  <si>
    <t>OUALI SAAD</t>
  </si>
  <si>
    <t>GAHMOU ABDELLAH</t>
  </si>
  <si>
    <t>EL OUAHMANI AHMED</t>
  </si>
  <si>
    <t>LAARBI MOSTAFA</t>
  </si>
  <si>
    <t>ESPACE PALMIERS</t>
  </si>
  <si>
    <t>AKHEZANE MBARK</t>
  </si>
  <si>
    <t>PHARMACIE LA MOSQ</t>
  </si>
  <si>
    <t>ARGAN BELADI</t>
  </si>
  <si>
    <t>COOP TIGUEMINE AR</t>
  </si>
  <si>
    <t>SIMAB MAROC</t>
  </si>
  <si>
    <t>OUAZZANI HASSANE</t>
  </si>
  <si>
    <t>GH STOP COLLE</t>
  </si>
  <si>
    <t>SAM COSMETIC</t>
  </si>
  <si>
    <t>AITMA SENS</t>
  </si>
  <si>
    <t>IMPRIMERIE PAPETE</t>
  </si>
  <si>
    <t>ARAGAN BIO</t>
  </si>
  <si>
    <t>TATNI HIND</t>
  </si>
  <si>
    <t>STUDIO VDM</t>
  </si>
  <si>
    <t>ROHIMEX</t>
  </si>
  <si>
    <t>MISS JAWHARA</t>
  </si>
  <si>
    <t>HD COSMETICS sarl</t>
  </si>
  <si>
    <t xml:space="preserve">ASSOCIATION EDEN </t>
  </si>
  <si>
    <t>PHARMACIE ACHOURO</t>
  </si>
  <si>
    <t>PYRAMIDE PROTECTI</t>
  </si>
  <si>
    <t>ENTREPRISE HOUAR</t>
  </si>
  <si>
    <t>RACHID ABARDY</t>
  </si>
  <si>
    <t>ORGAMOR Sarl</t>
  </si>
  <si>
    <t xml:space="preserve">GIE ZOUYOUT OUED </t>
  </si>
  <si>
    <t>RIF TRADING</t>
  </si>
  <si>
    <t xml:space="preserve">PHARMACIE MELLAH </t>
  </si>
  <si>
    <t>EL ICHRAQ INTERNA</t>
  </si>
  <si>
    <t>TUFAYUR</t>
  </si>
  <si>
    <t>FIRSTMINUTE EXPOR</t>
  </si>
  <si>
    <t xml:space="preserve">HUILERIES ANOUAR </t>
  </si>
  <si>
    <t>LE SIMOUN</t>
  </si>
  <si>
    <t>TRIA GROUP</t>
  </si>
  <si>
    <t>SAFA NATURE</t>
  </si>
  <si>
    <t>SCENT'IN</t>
  </si>
  <si>
    <t>FATIHI ABDELLATIF</t>
  </si>
  <si>
    <t>MARLIM</t>
  </si>
  <si>
    <t>KHOUZ LAHCEN</t>
  </si>
  <si>
    <t>HANYN ABDELOUASSI</t>
  </si>
  <si>
    <t>MENNIR KHALID</t>
  </si>
  <si>
    <t>BACHA HASSAN</t>
  </si>
  <si>
    <t>AHANSAL AYOUB</t>
  </si>
  <si>
    <t>BENOZEN NABIL</t>
  </si>
  <si>
    <t>RAKILI BADREDDINE</t>
  </si>
  <si>
    <t>CLE CONCEPT COMMU</t>
  </si>
  <si>
    <t>AZUR FISH SARL AU</t>
  </si>
  <si>
    <t>FIRST MINUTE EXPO</t>
  </si>
  <si>
    <t>FOSSOL PEINTURE</t>
  </si>
  <si>
    <t>MASTER COAT</t>
  </si>
  <si>
    <t>ASIA SAMET</t>
  </si>
  <si>
    <t>SAFA GRAFIC</t>
  </si>
  <si>
    <t>MEDIC EVERST</t>
  </si>
  <si>
    <t>UPPER</t>
  </si>
  <si>
    <t>KABA DJAKAGBE</t>
  </si>
  <si>
    <t>SPINOSA</t>
  </si>
  <si>
    <t>FLORIDA PEINTURE</t>
  </si>
  <si>
    <t>PRODISPHAR</t>
  </si>
  <si>
    <t>LAZRAK MOHAMMED</t>
  </si>
  <si>
    <t>LARAICHI OMAR</t>
  </si>
  <si>
    <t>ROSA NATURE</t>
  </si>
  <si>
    <t>SGS TANGER MEDITERRANEE</t>
  </si>
  <si>
    <t>H DESIGN</t>
  </si>
  <si>
    <t>EL ARRASSI RACHID</t>
  </si>
  <si>
    <t>LES ATELIERS AFYA</t>
  </si>
  <si>
    <t>TANGER BUSINESS C</t>
  </si>
  <si>
    <t>NG RETAIL sarl</t>
  </si>
  <si>
    <t>MAX WORLD TRADE</t>
  </si>
  <si>
    <t>SADIKI OMAR</t>
  </si>
  <si>
    <t>LOULENA SARL</t>
  </si>
  <si>
    <t>ZINZIN</t>
  </si>
  <si>
    <t>SALECK SOUEIDY</t>
  </si>
  <si>
    <t>MOROCCO'S SECRET</t>
  </si>
  <si>
    <t>DISTRIBUTION BRHI</t>
  </si>
  <si>
    <t>BAKHOUSS NADIA</t>
  </si>
  <si>
    <t>L'AUTHENTICITE SA</t>
  </si>
  <si>
    <t>L&amp;E COSMETIQUE</t>
  </si>
  <si>
    <t>PRET A MANGER</t>
  </si>
  <si>
    <t>EL OUAZZANI MEHDI</t>
  </si>
  <si>
    <t>WINE SAKOUR</t>
  </si>
  <si>
    <t>MORINGA GROUP</t>
  </si>
  <si>
    <t>HILBAT</t>
  </si>
  <si>
    <t>SIDIBE EXPORT</t>
  </si>
  <si>
    <t>COSMORIENT</t>
  </si>
  <si>
    <t>PHARMA SENS</t>
  </si>
  <si>
    <t>COOP AL KHOUZAMA</t>
  </si>
  <si>
    <t>COIFFURE DU LIBAN</t>
  </si>
  <si>
    <t>AZOUZI MOUNIR</t>
  </si>
  <si>
    <t>REDOUANE SOMADI</t>
  </si>
  <si>
    <t>RAMLI ABDELAHAY</t>
  </si>
  <si>
    <t>VINDI</t>
  </si>
  <si>
    <t>MANSOURIA COMPANY</t>
  </si>
  <si>
    <t>HAFSA SAMAC</t>
  </si>
  <si>
    <t>GENMED</t>
  </si>
  <si>
    <t>PHARMACIE PARANFA</t>
  </si>
  <si>
    <t>NEGOCE WORLD COMP</t>
  </si>
  <si>
    <t>DROGUERIE BAMOUSS</t>
  </si>
  <si>
    <t>FONDATION FARASHA</t>
  </si>
  <si>
    <t>ANZAL KHALID</t>
  </si>
  <si>
    <t>RHEA COSMETICS</t>
  </si>
  <si>
    <t>CAPILMA GROUPE</t>
  </si>
  <si>
    <t>AFRIKISSIME</t>
  </si>
  <si>
    <t>COGEPRA</t>
  </si>
  <si>
    <t>FAYLAL BIO</t>
  </si>
  <si>
    <t>SOILVITA MAROC</t>
  </si>
  <si>
    <t>NATERRA'SOL</t>
  </si>
  <si>
    <t>EURAFRICS PIECES</t>
  </si>
  <si>
    <t>ECOCHIM</t>
  </si>
  <si>
    <t>FODES</t>
  </si>
  <si>
    <t>MOGADOR MALL</t>
  </si>
  <si>
    <t>MERCI DELEUZE</t>
  </si>
  <si>
    <t>ZINE-O-BELDI</t>
  </si>
  <si>
    <t>PGS INVEST</t>
  </si>
  <si>
    <t>CAMSA SARL</t>
  </si>
  <si>
    <t>DISTRA</t>
  </si>
  <si>
    <t>NOUR HOUSES</t>
  </si>
  <si>
    <t>KINANE NAJIB</t>
  </si>
  <si>
    <t>PHARMACIE ARRAHMA</t>
  </si>
  <si>
    <t>FEDRAVET SA</t>
  </si>
  <si>
    <t>BONZAI</t>
  </si>
  <si>
    <t>ARGAMAROC sarl</t>
  </si>
  <si>
    <t>GAZELLE DU MAROC</t>
  </si>
  <si>
    <t>CLERMONT</t>
  </si>
  <si>
    <t>COOP AGRICOLE HAS</t>
  </si>
  <si>
    <t>HASSAD INVEST</t>
  </si>
  <si>
    <t>OILS OF THE WORLD</t>
  </si>
  <si>
    <t>ORIGINAL PEINTURE</t>
  </si>
  <si>
    <t>SYLCHI &amp; CO</t>
  </si>
  <si>
    <t>AWA GLOBAL PRODUC</t>
  </si>
  <si>
    <t>HIGHT DECOR</t>
  </si>
  <si>
    <t>AFRICAN OF AGRICU</t>
  </si>
  <si>
    <t>FAIR BUSINESS COM</t>
  </si>
  <si>
    <t>SYS TECHNOLOGY</t>
  </si>
  <si>
    <t>ABTAS INDSUTRIE</t>
  </si>
  <si>
    <t>COLORADO PEINTURES</t>
  </si>
  <si>
    <t>LACASEM</t>
  </si>
  <si>
    <t>ARGONAIR SAN GROU</t>
  </si>
  <si>
    <t>KHALID AKHEZANE</t>
  </si>
  <si>
    <t>CONSERVERIES SAFA</t>
  </si>
  <si>
    <t>OURIKA PRESTIGE</t>
  </si>
  <si>
    <t>MY GIFTS</t>
  </si>
  <si>
    <t>JOTUN MAROC</t>
  </si>
  <si>
    <t>SWEET SUNNAH SOCI</t>
  </si>
  <si>
    <t>PREMICE</t>
  </si>
  <si>
    <t>ORIENTAL FELLOUS</t>
  </si>
  <si>
    <t>WILD BUTTERFLY</t>
  </si>
  <si>
    <t>LIZHA PRESTIGE</t>
  </si>
  <si>
    <t>FATI PACK</t>
  </si>
  <si>
    <t>MOURAD JAZOULI</t>
  </si>
  <si>
    <t>BIO AGADIR</t>
  </si>
  <si>
    <t>DIETETIQUE.MA</t>
  </si>
  <si>
    <t>MEDINA HERBAL</t>
  </si>
  <si>
    <t>COOP TALIWINE</t>
  </si>
  <si>
    <t>POINT PARA</t>
  </si>
  <si>
    <t>ESPACE BIO SARL</t>
  </si>
  <si>
    <t>DAR RHIZLANE</t>
  </si>
  <si>
    <t>KINEKIRAMA S.A</t>
  </si>
  <si>
    <t>MAROC NATURE</t>
  </si>
  <si>
    <t>COOP FEMMES SOLID</t>
  </si>
  <si>
    <t>2 HL ETANCHEITE</t>
  </si>
  <si>
    <t>ANBAR HAMID</t>
  </si>
  <si>
    <t>NORTH AFRICA HEAL</t>
  </si>
  <si>
    <t>MON BLANC</t>
  </si>
  <si>
    <t>EL HALABI YOUSSEF</t>
  </si>
  <si>
    <t>JAMAL AGHENDA</t>
  </si>
  <si>
    <t>NASSIRI LAHCEN</t>
  </si>
  <si>
    <t>EL BAROUDI MOHAME</t>
  </si>
  <si>
    <t>QUALIAGRO-AGAFAI</t>
  </si>
  <si>
    <t>MOROCCAN SECRET</t>
  </si>
  <si>
    <t>EL AOURF SARL</t>
  </si>
  <si>
    <t>KARIM MUSTAPHA</t>
  </si>
  <si>
    <t>STE SIHA LUBRIFIA</t>
  </si>
  <si>
    <t>LUANCE SARL</t>
  </si>
  <si>
    <t>ARGAN SOLO sarl</t>
  </si>
  <si>
    <t>WELLNESS</t>
  </si>
  <si>
    <t>PHARMACIE FILALI</t>
  </si>
  <si>
    <t>NANOPROTECH</t>
  </si>
  <si>
    <t>MEKLAB SERVICES</t>
  </si>
  <si>
    <t>TIFIRASS BRAHIM</t>
  </si>
  <si>
    <t>YOUSNINE KHALID</t>
  </si>
  <si>
    <t>TOP SERVICE ABDOU</t>
  </si>
  <si>
    <t>AFFIS PEINTURE</t>
  </si>
  <si>
    <t>ELILOU</t>
  </si>
  <si>
    <t>S.K GROUPE</t>
  </si>
  <si>
    <t>MARRAKECH TOP AGR</t>
  </si>
  <si>
    <t>FIVORY-NAT PHARM</t>
  </si>
  <si>
    <t>BLOOK</t>
  </si>
  <si>
    <t>ARGANITA</t>
  </si>
  <si>
    <t>ETABLISSEMENT SOUSS</t>
  </si>
  <si>
    <t>FAUCON CHIMIE</t>
  </si>
  <si>
    <t>KAMLAFLOR MAROC</t>
  </si>
  <si>
    <t>HUIL D'ARGAN TAMA</t>
  </si>
  <si>
    <t>KASBAH D'ARGANE</t>
  </si>
  <si>
    <t xml:space="preserve">ARGAN D'OR Maroc </t>
  </si>
  <si>
    <t>PHYTO ESPACE</t>
  </si>
  <si>
    <t>AMOUD</t>
  </si>
  <si>
    <t>ETABLISSEMENT AGU</t>
  </si>
  <si>
    <t>NUTRITECH AGRO</t>
  </si>
  <si>
    <t>MAIMISH &amp; TZATZA</t>
  </si>
  <si>
    <t>MAROC DESSERT INT</t>
  </si>
  <si>
    <t>COMPTOIR DE BEAUT</t>
  </si>
  <si>
    <t>DAME HUILE</t>
  </si>
  <si>
    <t>MARINE SPECIES FISH MAROC</t>
  </si>
  <si>
    <t>GATEXPO SARL</t>
  </si>
  <si>
    <t>DOGUERIE AMOGAY</t>
  </si>
  <si>
    <t>JAAFAR SERVICES</t>
  </si>
  <si>
    <t>AGARDE AUTO</t>
  </si>
  <si>
    <t>BELHADJ</t>
  </si>
  <si>
    <t>PEIN DOM</t>
  </si>
  <si>
    <t>VALSPAR</t>
  </si>
  <si>
    <t>PEINTURE AL AMAL</t>
  </si>
  <si>
    <t xml:space="preserve">TECHNICAL SYSTEM </t>
  </si>
  <si>
    <t>NCS - NADIFI CONS</t>
  </si>
  <si>
    <t>ESPACE BRICOLAGE</t>
  </si>
  <si>
    <t>DROGUERIE AMOGAY</t>
  </si>
  <si>
    <t>BATIFIX</t>
  </si>
  <si>
    <t>MOROCCAN ORGANIC</t>
  </si>
  <si>
    <t>SCIENCES-LAB S.A.</t>
  </si>
  <si>
    <t>NOUR COSMETIQUE</t>
  </si>
  <si>
    <t>HUILERIES RHAMNA</t>
  </si>
  <si>
    <t>ASS AL MAJD AL KH</t>
  </si>
  <si>
    <t>DARIF MARWANE</t>
  </si>
  <si>
    <t>M-ARTS SARL</t>
  </si>
  <si>
    <t>COOP ARRACHADE</t>
  </si>
  <si>
    <t>COOP NEIMA</t>
  </si>
  <si>
    <t>DISTRIMATEK</t>
  </si>
  <si>
    <t>EPURE</t>
  </si>
  <si>
    <t>GLOBAL TRADE TODAY</t>
  </si>
  <si>
    <t>SOFAPAS</t>
  </si>
  <si>
    <t>HERBPHARMA</t>
  </si>
  <si>
    <t>DAR ATTAJMIL</t>
  </si>
  <si>
    <t>ZINE DECOR</t>
  </si>
  <si>
    <t>HYGIENE ORIENT</t>
  </si>
  <si>
    <t>DURIEU AFRIQUE</t>
  </si>
  <si>
    <t>SKIN FOOD</t>
  </si>
  <si>
    <t>PLAXI POUSS COSME</t>
  </si>
  <si>
    <t>FADO AGRO FOOD</t>
  </si>
  <si>
    <t>BERIC</t>
  </si>
  <si>
    <t>PREPARATION AL MA</t>
  </si>
  <si>
    <t>KANJAOUI ABDELFET</t>
  </si>
  <si>
    <t>SEDECO sarl</t>
  </si>
  <si>
    <t>CAMA SERVICES</t>
  </si>
  <si>
    <t>COOP TAMOUNTE  CF</t>
  </si>
  <si>
    <t>DROGUERIE OUCHEN</t>
  </si>
  <si>
    <t xml:space="preserve">COOP AFOULKI AIT </t>
  </si>
  <si>
    <t>PRODISTOP</t>
  </si>
  <si>
    <t>BIOCIP MAROC</t>
  </si>
  <si>
    <t>SIPROMED</t>
  </si>
  <si>
    <t>DRA SOUSS MASSA D</t>
  </si>
  <si>
    <t>ADN PHARMA</t>
  </si>
  <si>
    <t>HUILEAROME</t>
  </si>
  <si>
    <t>SADBAR</t>
  </si>
  <si>
    <t>YOUNZITECH</t>
  </si>
  <si>
    <t>COOP AFOULKI TEMA</t>
  </si>
  <si>
    <t>BO-TERROIRS</t>
  </si>
  <si>
    <t>PONTIS INVEST</t>
  </si>
  <si>
    <t>MANUFACTURE COSME</t>
  </si>
  <si>
    <t>IKB INTERNATIONAL</t>
  </si>
  <si>
    <t>O.C.E.</t>
  </si>
  <si>
    <t>COOP TAZROURTE</t>
  </si>
  <si>
    <t>DATRA</t>
  </si>
  <si>
    <t>DIE AND JO MARRAC</t>
  </si>
  <si>
    <t>INSPECTORATE</t>
  </si>
  <si>
    <t>INTERBUCO SARL</t>
  </si>
  <si>
    <t>GALERIE GERMAN MO</t>
  </si>
  <si>
    <t>KNA Services</t>
  </si>
  <si>
    <t>MAKE ME BIOTIFUL</t>
  </si>
  <si>
    <t>AYOUZ PEINTURE</t>
  </si>
  <si>
    <t>CENTRE DE SIGNALISATION</t>
  </si>
  <si>
    <t>ASSOCIATION DOUAR</t>
  </si>
  <si>
    <t>AL MENARA BUREAU</t>
  </si>
  <si>
    <t>MADANARGAN sarl</t>
  </si>
  <si>
    <t>DIS PLUS MAROC</t>
  </si>
  <si>
    <t>EXODIA</t>
  </si>
  <si>
    <t>INFO ADIL</t>
  </si>
  <si>
    <t>LACHGARCO</t>
  </si>
  <si>
    <t>RANIFA sarl</t>
  </si>
  <si>
    <t>LA ROUTE DU NORD</t>
  </si>
  <si>
    <t>COVERPLAT</t>
  </si>
  <si>
    <t>CONAGRO</t>
  </si>
  <si>
    <t>INSTA DEC</t>
  </si>
  <si>
    <t>PHARMACIE RIMA</t>
  </si>
  <si>
    <t>INWA NATURE</t>
  </si>
  <si>
    <t>PHENIDIS</t>
  </si>
  <si>
    <t>BIOFLAVOUR</t>
  </si>
  <si>
    <t>EUROBI sarl</t>
  </si>
  <si>
    <t>EXCELLENCE SAFRAN</t>
  </si>
  <si>
    <t>MOKHTARI MANUTENT</t>
  </si>
  <si>
    <t>ALTAPRO</t>
  </si>
  <si>
    <t>ARROUD MOUNIR</t>
  </si>
  <si>
    <t>BIOLOOK</t>
  </si>
  <si>
    <t>UNIVERS FOOD</t>
  </si>
  <si>
    <t>ARGALIFE sarl</t>
  </si>
  <si>
    <t>WUSTENSAND Sarl</t>
  </si>
  <si>
    <t>MISS ARGANA</t>
  </si>
  <si>
    <t>AGRIAL</t>
  </si>
  <si>
    <t>HISTOIR D'ART</t>
  </si>
  <si>
    <t>BIOZEEN</t>
  </si>
  <si>
    <t>COOP AKNARI</t>
  </si>
  <si>
    <t>COOP TAZOUKNIT</t>
  </si>
  <si>
    <t>COOP APIA</t>
  </si>
  <si>
    <t>BAB MOULAY DRISS</t>
  </si>
  <si>
    <t>123 SAFRAN</t>
  </si>
  <si>
    <t>NASSAMAT ZAMAN</t>
  </si>
  <si>
    <t>COOP MARJANA</t>
  </si>
  <si>
    <t>SPIRULINE VITALGU</t>
  </si>
  <si>
    <t>MAYMANA</t>
  </si>
  <si>
    <t>TRIOMUS</t>
  </si>
  <si>
    <t>SOFOTEM</t>
  </si>
  <si>
    <t>RLOGISTIC</t>
  </si>
  <si>
    <t>TRINITY</t>
  </si>
  <si>
    <t>L'ARTISANT NATURE</t>
  </si>
  <si>
    <t>AJBAN TAMOUDA</t>
  </si>
  <si>
    <t>ARGANE TECHNOLOGI</t>
  </si>
  <si>
    <t>FASHION SECRET</t>
  </si>
  <si>
    <t>CHEZ MERYAMA</t>
  </si>
  <si>
    <t>NATURAL ZEN</t>
  </si>
  <si>
    <t>HSB</t>
  </si>
  <si>
    <t>COOP EL FAIDHA</t>
  </si>
  <si>
    <t>NORA DISTRIBUTION</t>
  </si>
  <si>
    <t>AGRONORMA</t>
  </si>
  <si>
    <t>SLIM DIET COOK</t>
  </si>
  <si>
    <t>CHALOUPE</t>
  </si>
  <si>
    <t>CPCM</t>
  </si>
  <si>
    <t>LAAFAR ABDELLATIF</t>
  </si>
  <si>
    <t xml:space="preserve">LES HUILERIES DU </t>
  </si>
  <si>
    <t>ZOOTECH</t>
  </si>
  <si>
    <t>LA MAISON ATLAS</t>
  </si>
  <si>
    <t>TAFOUKT TRAITEUR</t>
  </si>
  <si>
    <t>SANTIS</t>
  </si>
  <si>
    <t>ASIA STORE</t>
  </si>
  <si>
    <t>L MANSION</t>
  </si>
  <si>
    <t>SJ SEBBAG JULIETT</t>
  </si>
  <si>
    <t>ADAGUEN</t>
  </si>
  <si>
    <t>ASSOCIATION AGRIC</t>
  </si>
  <si>
    <t>COLIBRI NATURE</t>
  </si>
  <si>
    <t>AV SERVICES</t>
  </si>
  <si>
    <t xml:space="preserve">MOGADOR PRODUITS </t>
  </si>
  <si>
    <t>ARTGANO</t>
  </si>
  <si>
    <t>TRESORS DU TERROI</t>
  </si>
  <si>
    <t>SOCIETE JARDIN MA</t>
  </si>
  <si>
    <t>BIO MERYEM sarl</t>
  </si>
  <si>
    <t>BRINS D'ORIENT Sa</t>
  </si>
  <si>
    <t>AUZOUD</t>
  </si>
  <si>
    <t>LES PARFUMS DU SOLEIL</t>
  </si>
  <si>
    <t>LES JARDINS DE MA</t>
  </si>
  <si>
    <t>ZOUBIDA TRADE sar</t>
  </si>
  <si>
    <t>ARGANISME COSMETI</t>
  </si>
  <si>
    <t>CODIPE</t>
  </si>
  <si>
    <t>SABL'ART</t>
  </si>
  <si>
    <t>LESIEUR CRISTAL</t>
  </si>
  <si>
    <t>VISION CHIMIQUE</t>
  </si>
  <si>
    <t>LIPIDICS Sarl</t>
  </si>
  <si>
    <t>AIDES DEVELEPPEME</t>
  </si>
  <si>
    <t>DROGUERIE SALAM</t>
  </si>
  <si>
    <t xml:space="preserve">TAZI BENJELLOUN </t>
  </si>
  <si>
    <t>PHARMACIE 3 MARS</t>
  </si>
  <si>
    <t>CACTUS COMMODITIE</t>
  </si>
  <si>
    <t xml:space="preserve">LES LABORATOIRES </t>
  </si>
  <si>
    <t>AYA COSMETIQUE</t>
  </si>
  <si>
    <t>LES SENS DE MARRA</t>
  </si>
  <si>
    <t>OVERSEAS EVENT</t>
  </si>
  <si>
    <t>FEMIELLA</t>
  </si>
  <si>
    <t>INDOKA</t>
  </si>
  <si>
    <t>COOP TAZRIL</t>
  </si>
  <si>
    <t>NOPALIS</t>
  </si>
  <si>
    <t>PHARMACIE LE GALI</t>
  </si>
  <si>
    <t>EDEN TREASURES</t>
  </si>
  <si>
    <t>HERBORIE EL HOUDA</t>
  </si>
  <si>
    <t>MARRAKECH TAZAKOU</t>
  </si>
  <si>
    <t>SHELL VIVO LUBRIC</t>
  </si>
  <si>
    <t>TYAZA OILS</t>
  </si>
  <si>
    <t>MAARIF ART</t>
  </si>
  <si>
    <t>MALAK BIO</t>
  </si>
  <si>
    <t>GOLDENDATES</t>
  </si>
  <si>
    <t>HUILE ATLAS DE MA</t>
  </si>
  <si>
    <t>ALLPACKAGING</t>
  </si>
  <si>
    <t>COOP FEMININE TIM</t>
  </si>
  <si>
    <t>ARGAMED</t>
  </si>
  <si>
    <t>BIO EARTH</t>
  </si>
  <si>
    <t>ALAA GLOBAL ENGIN</t>
  </si>
  <si>
    <t>COOP MOGADOR</t>
  </si>
  <si>
    <t>INSTIT AGRONOMIQU</t>
  </si>
  <si>
    <t>COOP ARGANAT</t>
  </si>
  <si>
    <t xml:space="preserve">COOP TIGHANIMINE </t>
  </si>
  <si>
    <t>GROUPEX</t>
  </si>
  <si>
    <t>ACHEHBOUNE PRODUC</t>
  </si>
  <si>
    <t>MOROCCAN SOUK</t>
  </si>
  <si>
    <t>COOP TAMESNA</t>
  </si>
  <si>
    <t>INOV GREEN SAISS</t>
  </si>
  <si>
    <t>COMPTOIR DE PROFI</t>
  </si>
  <si>
    <t>TERRES ET TERROIR</t>
  </si>
  <si>
    <t>COOP TAGMAT AZIAR</t>
  </si>
  <si>
    <t>MOROCCANSOUL</t>
  </si>
  <si>
    <t>PHYTOBIO AROMS</t>
  </si>
  <si>
    <t>SEALEADS</t>
  </si>
  <si>
    <t>COOP AGUERD</t>
  </si>
  <si>
    <t>VIRGIN HOTEL MARO</t>
  </si>
  <si>
    <t>SUP HERBES MAROC</t>
  </si>
  <si>
    <t>MAZAGAN AGRICO IR</t>
  </si>
  <si>
    <t>NEW PEPPERS</t>
  </si>
  <si>
    <t>COMASEM</t>
  </si>
  <si>
    <t>AMINO-FOOD</t>
  </si>
  <si>
    <t>EL JABALI MHAMED</t>
  </si>
  <si>
    <t>COOP ARGANE TAFIO</t>
  </si>
  <si>
    <t>ASS AMITIE SOLIDA</t>
  </si>
  <si>
    <t>ATLAS SAFRAN</t>
  </si>
  <si>
    <t>RIAD DES AROMES</t>
  </si>
  <si>
    <t>ARGANE ESSAOUIRA</t>
  </si>
  <si>
    <t>SHENO</t>
  </si>
  <si>
    <t>S.K HEALTH</t>
  </si>
  <si>
    <t>COMONNOW</t>
  </si>
  <si>
    <t>OMOROCCO sarl</t>
  </si>
  <si>
    <t>COOP OSSARAT JIBA</t>
  </si>
  <si>
    <t>HOME STORY</t>
  </si>
  <si>
    <t>MIEL DAR BELAMRI</t>
  </si>
  <si>
    <t>TRADEMAR</t>
  </si>
  <si>
    <t>L'OR ROUGE DE TAL</t>
  </si>
  <si>
    <t>COOP OULED AMER</t>
  </si>
  <si>
    <t>CONSERVERIES AL ADARISSA</t>
  </si>
  <si>
    <t>GIE TARGANINE</t>
  </si>
  <si>
    <t>HADJ KADDOUR</t>
  </si>
  <si>
    <t>ANSEYE</t>
  </si>
  <si>
    <t>NEOC</t>
  </si>
  <si>
    <t>PRESTASHOP</t>
  </si>
  <si>
    <t>EUCLEAD</t>
  </si>
  <si>
    <t>COOP AJDIGN'TARGA</t>
  </si>
  <si>
    <t>JOUHOT ALAIN</t>
  </si>
  <si>
    <t>ONLY NATURAL SARL</t>
  </si>
  <si>
    <t>FST ERRACHIDIA</t>
  </si>
  <si>
    <t>BIO BIO</t>
  </si>
  <si>
    <t>ABSIM MAROC</t>
  </si>
  <si>
    <t>GIE PTW</t>
  </si>
  <si>
    <t>COOP SOFFI ROSE N</t>
  </si>
  <si>
    <t>COOP IKBAR AGRICO</t>
  </si>
  <si>
    <t>KOUTOUBIA</t>
  </si>
  <si>
    <t>ADRAR SOUSS</t>
  </si>
  <si>
    <t>LA MAROCAINE DE L</t>
  </si>
  <si>
    <t>COOP AZEMMOUR</t>
  </si>
  <si>
    <t>SDI INTERNATIONAL</t>
  </si>
  <si>
    <t>ASM AERO</t>
  </si>
  <si>
    <t>SOUSS NATUREL</t>
  </si>
  <si>
    <t>MAISON D'ASA</t>
  </si>
  <si>
    <t xml:space="preserve">BUY MORE TRADINC </t>
  </si>
  <si>
    <t xml:space="preserve">SIBAGHAT SAYARAT </t>
  </si>
  <si>
    <t>PROCESS ENGINERIN</t>
  </si>
  <si>
    <t>LES SECRETS DE LU</t>
  </si>
  <si>
    <t>FATMI NADIA</t>
  </si>
  <si>
    <t>SUNCHEM</t>
  </si>
  <si>
    <t>SE2I</t>
  </si>
  <si>
    <t>COOP TAZOUKNITE</t>
  </si>
  <si>
    <t>STE AFRICAINE DES</t>
  </si>
  <si>
    <t>REDA SAVEURS FOOD</t>
  </si>
  <si>
    <t>PHARMACHEM</t>
  </si>
  <si>
    <t>SOUSS SAFFRON</t>
  </si>
  <si>
    <t>ESSENTIEL BIO</t>
  </si>
  <si>
    <t>DAR AZAAFARAN GIE</t>
  </si>
  <si>
    <t>ZINE ARGANA</t>
  </si>
  <si>
    <t>AIRMOND</t>
  </si>
  <si>
    <t>SOHNA</t>
  </si>
  <si>
    <t>COOP FLORA</t>
  </si>
  <si>
    <t>BILAL ABDELHAK</t>
  </si>
  <si>
    <t>NOUR PRODUIT AGRICOLE</t>
  </si>
  <si>
    <t>BRUNI GLASS</t>
  </si>
  <si>
    <t>CENTRE YASMINA</t>
  </si>
  <si>
    <t>TERROIR ET TRADIT</t>
  </si>
  <si>
    <t>ABDELKALEK ZIANE</t>
  </si>
  <si>
    <t>LABORATOIRES BIOT</t>
  </si>
  <si>
    <t>OLIAGRUM</t>
  </si>
  <si>
    <t>MEGA PUB</t>
  </si>
  <si>
    <t>REVES DE TERROIR</t>
  </si>
  <si>
    <t>YAZAKI</t>
  </si>
  <si>
    <t>CIFRADE</t>
  </si>
  <si>
    <t>IKLIL AL ATLAS</t>
  </si>
  <si>
    <t>JAGMOUZI</t>
  </si>
  <si>
    <t>VISIODENT</t>
  </si>
  <si>
    <t>UNIQUE FOODS</t>
  </si>
  <si>
    <t>COOP AL BARAKA TA</t>
  </si>
  <si>
    <t>NFG SANTE</t>
  </si>
  <si>
    <t>SCANDIMAR</t>
  </si>
  <si>
    <t>BOUJEMAOUI</t>
  </si>
  <si>
    <t>SOLIDIS</t>
  </si>
  <si>
    <t>GREEN SMILE</t>
  </si>
  <si>
    <t>ANAGA</t>
  </si>
  <si>
    <t>UBMC</t>
  </si>
  <si>
    <t>MOULAY BRAHIM EL ALOUANI</t>
  </si>
  <si>
    <t>CHERIF CONSERVES</t>
  </si>
  <si>
    <t xml:space="preserve">HARMONIE PARFUMS </t>
  </si>
  <si>
    <t>FORUM DE DISTRIBU</t>
  </si>
  <si>
    <t>IMEXTRANS</t>
  </si>
  <si>
    <t>NATURALISE PARA</t>
  </si>
  <si>
    <t>EXTRA PAINTS</t>
  </si>
  <si>
    <t>MODERN PACK</t>
  </si>
  <si>
    <t>EL HOUARI MOHAMED</t>
  </si>
  <si>
    <t>MTB SARL</t>
  </si>
  <si>
    <t>EDEPAM</t>
  </si>
  <si>
    <t>TECAD SARL</t>
  </si>
  <si>
    <t>SUPRAFLEX</t>
  </si>
  <si>
    <t>Ste HIND PEINTURE</t>
  </si>
  <si>
    <t>PCNA</t>
  </si>
  <si>
    <t>PEINTURE CHAMALIA</t>
  </si>
  <si>
    <t>SOGEFERMA</t>
  </si>
  <si>
    <t>DROUGUERIE RACHID</t>
  </si>
  <si>
    <t>SAIS LUBRIFIANT</t>
  </si>
  <si>
    <t>AMCOR FLEXIBLES</t>
  </si>
  <si>
    <t>MOUJRI ABDELLAH</t>
  </si>
  <si>
    <t>AK MOGADOR</t>
  </si>
  <si>
    <t>CONSERVERIES OUALILI</t>
  </si>
  <si>
    <t>ROLINO</t>
  </si>
  <si>
    <t>BIMAKERN</t>
  </si>
  <si>
    <t>BLOUMINE HP SARL</t>
  </si>
  <si>
    <t>FALIZE</t>
  </si>
  <si>
    <t>SIAR</t>
  </si>
  <si>
    <t>KOMEZMAR</t>
  </si>
  <si>
    <t>KHAYDA HAMID</t>
  </si>
  <si>
    <t>RHONE CHIMIE INDUSTRIE MAROC</t>
  </si>
  <si>
    <t>AMRASS</t>
  </si>
  <si>
    <t>JIL EMBALLAGES</t>
  </si>
  <si>
    <t>LARATES</t>
  </si>
  <si>
    <t>HADI YOUSSEF</t>
  </si>
  <si>
    <t>BOUZEKRI MLY CHRIF</t>
  </si>
  <si>
    <t>GLX FOOD TRADING SARL</t>
  </si>
  <si>
    <t>MEDITERRANEE FOOD INDUSTRIES</t>
  </si>
  <si>
    <t>CSV</t>
  </si>
  <si>
    <t>MASTER GROUP</t>
  </si>
  <si>
    <t>SOKADICOM</t>
  </si>
  <si>
    <t>AVM CHIM</t>
  </si>
  <si>
    <t>STE TOUBKAL</t>
  </si>
  <si>
    <t>ENERGIE FROID</t>
  </si>
  <si>
    <t>ELDORADO PEINTURES</t>
  </si>
  <si>
    <t>MAXI COLOR</t>
  </si>
  <si>
    <t>BOUJDI DISTRIBUTION</t>
  </si>
  <si>
    <t>EL HOUNAY AHMED</t>
  </si>
  <si>
    <t>UNIVERS PRODUCT</t>
  </si>
  <si>
    <t>RACHID KHORIBGA</t>
  </si>
  <si>
    <t>AGAMIN</t>
  </si>
  <si>
    <t>PARC INDUSTRIEL</t>
  </si>
  <si>
    <t>LE JUTRAVE SARL</t>
  </si>
  <si>
    <t>DROGUERIE TAFRAOUT</t>
  </si>
  <si>
    <t>SAB REAL S.A.R.L</t>
  </si>
  <si>
    <t>RACHID KHACHABA</t>
  </si>
  <si>
    <t>TAMDA COULEUR</t>
  </si>
  <si>
    <t>ATLADIS</t>
  </si>
  <si>
    <t>COMPTOIR LES COULEURS DU NORDS</t>
  </si>
  <si>
    <t>LA CAFETIERE</t>
  </si>
  <si>
    <t>BRICONEGO</t>
  </si>
  <si>
    <t>LAURA FISH</t>
  </si>
  <si>
    <t>SNL</t>
  </si>
  <si>
    <t>KORA PEINTURE</t>
  </si>
  <si>
    <t xml:space="preserve">EL HOUARI IKHWANE </t>
  </si>
  <si>
    <t>ASSLAK AL MAGHREB SARL</t>
  </si>
  <si>
    <t>2 S 2 D</t>
  </si>
  <si>
    <t>MPLABO</t>
  </si>
  <si>
    <t>SOCIETE ATLANTIQUE D'ANCHOIS</t>
  </si>
  <si>
    <t>ZINAEXPORT</t>
  </si>
  <si>
    <t>AMAROC SA</t>
  </si>
  <si>
    <t>ENVENTAIRA SARL AU</t>
  </si>
  <si>
    <t>PLANET PEINTURE</t>
  </si>
  <si>
    <t>VERONA GUSTO</t>
  </si>
  <si>
    <t>SOMIDOR</t>
  </si>
  <si>
    <t>PETRO GEORGE</t>
  </si>
  <si>
    <t>SHAMS COLOR</t>
  </si>
  <si>
    <t>AGRIDEV</t>
  </si>
  <si>
    <t>SODEX MAROC</t>
  </si>
  <si>
    <t>INDOY SARL</t>
  </si>
  <si>
    <t>ETS AMAIZ</t>
  </si>
  <si>
    <t>ASFAR PEINTURE</t>
  </si>
  <si>
    <t>SKMAD</t>
  </si>
  <si>
    <t>GLOBAL CONTROL &amp; SERVICES</t>
  </si>
  <si>
    <t>DROGUERIE MOUSSAOUI</t>
  </si>
  <si>
    <t>PASTOR</t>
  </si>
  <si>
    <t>4 UP TECHNOLOGY</t>
  </si>
  <si>
    <t>STE BISCO BOIS</t>
  </si>
  <si>
    <t>JOTEX</t>
  </si>
  <si>
    <t>NOTAM SARL</t>
  </si>
  <si>
    <t>COLO-MAR PEINTURES</t>
  </si>
  <si>
    <t>EXTRA PAINT</t>
  </si>
  <si>
    <t>MANDARONA</t>
  </si>
  <si>
    <t>STE INDUSTRIE CHIMIQUE EUROTEX</t>
  </si>
  <si>
    <t>GIEM GENERALE INDUSTRIELLE</t>
  </si>
  <si>
    <t>ALMOUTAHIDOUNE</t>
  </si>
  <si>
    <t>ALWAN PAINTS</t>
  </si>
  <si>
    <t>CONSERVERIE MODERN ESSAKY</t>
  </si>
  <si>
    <t>KONOUZ RAYYAN SARL</t>
  </si>
  <si>
    <t>LACHGUER OMAR</t>
  </si>
  <si>
    <t>AIT ABDERAHMAN ABDESLAM ET JAWAD</t>
  </si>
  <si>
    <t>KHALID JABRANE CHERRADI</t>
  </si>
  <si>
    <t>ABOUELFAID ABDELMAJID</t>
  </si>
  <si>
    <t>HADJ AHMED BEN MOUSSA</t>
  </si>
  <si>
    <t>STE AYOUR</t>
  </si>
  <si>
    <t>LAHSEN OUCHEN</t>
  </si>
  <si>
    <t>LCMS MAROC</t>
  </si>
  <si>
    <t>ENAJRAOUI MOHAMMED</t>
  </si>
  <si>
    <t>RUCHES DU SOUSS</t>
  </si>
  <si>
    <t>MIGAROMES</t>
  </si>
  <si>
    <t xml:space="preserve">MUSTANG COLOR </t>
  </si>
  <si>
    <t>AFILAME SARL</t>
  </si>
  <si>
    <t>FLAMBO-Ets TAHAR BEL HADJ</t>
  </si>
  <si>
    <t>SOCIETE MIEL DU MAROC</t>
  </si>
  <si>
    <t>TM TRADING</t>
  </si>
  <si>
    <t>STE SATMI SARL</t>
  </si>
  <si>
    <t>PEINT SIK ELFATH</t>
  </si>
  <si>
    <t>SUBLICOM</t>
  </si>
  <si>
    <t>BEAU DE ROCHAS</t>
  </si>
  <si>
    <t>SANDING GROUP MAROC</t>
  </si>
  <si>
    <t>AOUZAL ABD ARRAHIM</t>
  </si>
  <si>
    <t>MEHDI TOUMITE</t>
  </si>
  <si>
    <t>TRICOL COLORS</t>
  </si>
  <si>
    <t>OUSSOUD AL-MAGHRIB</t>
  </si>
  <si>
    <t>MAROC SHOW BATIM</t>
  </si>
  <si>
    <t>STE PETROMIN OILS DU MAROC</t>
  </si>
  <si>
    <t>STE CHIMIE PROPRE</t>
  </si>
  <si>
    <t>Ben Hadj freres Bhf</t>
  </si>
  <si>
    <t>AIGUEBELLE</t>
  </si>
  <si>
    <t>MATCO MAROC</t>
  </si>
  <si>
    <t xml:space="preserve">AW SOUDAGE </t>
  </si>
  <si>
    <t xml:space="preserve">GARAGE AUTO CARL BENZ </t>
  </si>
  <si>
    <t xml:space="preserve">DENIA HOLDING  S.A  </t>
  </si>
  <si>
    <t>STERI FOOD</t>
  </si>
  <si>
    <t>ARBORESCENCE</t>
  </si>
  <si>
    <t>E G B S</t>
  </si>
  <si>
    <t>DAFLEX COLOR</t>
  </si>
  <si>
    <t>CASATOOLS SARL</t>
  </si>
  <si>
    <t>CHIMIPLEX</t>
  </si>
  <si>
    <t>CARTIER SAADA</t>
  </si>
  <si>
    <t>CONSERVERIE ZAGMOUZI</t>
  </si>
  <si>
    <t>FRAMACO</t>
  </si>
  <si>
    <t>MARRAKECH TOP AGRO EXPORT</t>
  </si>
  <si>
    <t>DRY CHIM</t>
  </si>
  <si>
    <t>EUROCOULEUR</t>
  </si>
  <si>
    <t>INNOVA PAINT SARL</t>
  </si>
  <si>
    <t>ACMATEC</t>
  </si>
  <si>
    <t>METALSCATOLA AFRIQUE</t>
  </si>
  <si>
    <t>STARCHIM</t>
  </si>
  <si>
    <t>ESSAIH ISSAM</t>
  </si>
  <si>
    <t>ABS- Alpha Bio Service</t>
  </si>
  <si>
    <t>COMPLEX D'ANALYSE AGRICOLE</t>
  </si>
  <si>
    <t>STE LUISANT DIAMANT</t>
  </si>
  <si>
    <t>MEDIPCOM</t>
  </si>
  <si>
    <t>U P F I</t>
  </si>
  <si>
    <t>Ste BIJOUMARS S.A</t>
  </si>
  <si>
    <t>AUXILIAR CONSERVERA</t>
  </si>
  <si>
    <t>ENVASES EUROPE</t>
  </si>
  <si>
    <t>AVEZ</t>
  </si>
  <si>
    <t>SILVER FOOD</t>
  </si>
  <si>
    <t>STE PROMOTION ARTS GRAPHIQUES</t>
  </si>
  <si>
    <t>SUN SOUSS</t>
  </si>
  <si>
    <t>A J S PROTECTION</t>
  </si>
  <si>
    <t>STE CAOUTCHOUTIERE DES ZENATAS</t>
  </si>
  <si>
    <t>DROGUERIE LAHCEN</t>
  </si>
  <si>
    <t>SOCIETE DINA BOTTLING COMPANY</t>
  </si>
  <si>
    <t>SAADA PEINTURE</t>
  </si>
  <si>
    <t>DAMANAGRI</t>
  </si>
  <si>
    <t>STE MAURITANIENNE DE PEINTURE</t>
  </si>
  <si>
    <t>TOUCONCEPT</t>
  </si>
  <si>
    <t>YKK MAROC</t>
  </si>
  <si>
    <t>STGN</t>
  </si>
  <si>
    <t>GCBI</t>
  </si>
  <si>
    <t>ARIZONA PEINTURE</t>
  </si>
  <si>
    <t>NOVALUB</t>
  </si>
  <si>
    <t>PETROCAB</t>
  </si>
  <si>
    <t>EPORAL SARL</t>
  </si>
  <si>
    <t>SOUSSPRES</t>
  </si>
  <si>
    <t>NOUREDDINE ABBOU</t>
  </si>
  <si>
    <t>GROUP IFZIG TRANDING COMPAGNY</t>
  </si>
  <si>
    <t>VCR</t>
  </si>
  <si>
    <t>RABII &amp; FILS</t>
  </si>
  <si>
    <t>YOUGOS LAVIE CHIMIE</t>
  </si>
  <si>
    <t>REVECOP SARL</t>
  </si>
  <si>
    <t>ENNASR ALIMENTAIRE AFRIQUAINE</t>
  </si>
  <si>
    <t>ROCSTONES CONSTRUCTION</t>
  </si>
  <si>
    <t>STE OUCHARMOUH DES MATERIAUX</t>
  </si>
  <si>
    <t>SOLUTION BOIS</t>
  </si>
  <si>
    <t>STE AGAMIN TRAVAUX DIVERS</t>
  </si>
  <si>
    <t>ASBO PRODUIT SARL</t>
  </si>
  <si>
    <t>VERJAT PAINTS</t>
  </si>
  <si>
    <t>STANDARD OIL</t>
  </si>
  <si>
    <t>SIDEN</t>
  </si>
  <si>
    <t>GAMA ETANCHE</t>
  </si>
  <si>
    <t>SOCIETE PIECES MOTOCYCLE</t>
  </si>
  <si>
    <t>AR PEINT</t>
  </si>
  <si>
    <t>SANITAIRE ELBAHJA</t>
  </si>
  <si>
    <t>HIBA H COLOR</t>
  </si>
  <si>
    <t>POSE INDUSTRIE</t>
  </si>
  <si>
    <t>PATIBIS S .A</t>
  </si>
  <si>
    <t>FIRST SIGNALS</t>
  </si>
  <si>
    <t>MITO PEINTURE ECOLOGIQUES</t>
  </si>
  <si>
    <t>ENVIRONMENT SOLUTION</t>
  </si>
  <si>
    <t>STE BAPLAST</t>
  </si>
  <si>
    <t>ADRAR COLOR</t>
  </si>
  <si>
    <t>AZIM DISTRIBUTION</t>
  </si>
  <si>
    <t>TISSA PEINTURES SARL</t>
  </si>
  <si>
    <t>LES FERMES DU MORINGA MAROC</t>
  </si>
  <si>
    <t>LAK COSMETIQUE</t>
  </si>
  <si>
    <t>LUXE COLOR</t>
  </si>
  <si>
    <t>ALWANE KOREA</t>
  </si>
  <si>
    <t>HALL EPICES</t>
  </si>
  <si>
    <t>IDENTAL MOROCCO</t>
  </si>
  <si>
    <t>AIGLE CHIM</t>
  </si>
  <si>
    <t>STE BORGONE</t>
  </si>
  <si>
    <t xml:space="preserve">LES BAINS DE MARRAKECH </t>
  </si>
  <si>
    <t>EXTRA CLINE</t>
  </si>
  <si>
    <t>ETABLISSEMENT ROUX</t>
  </si>
  <si>
    <t>BRICO BEST SARL</t>
  </si>
  <si>
    <t>ESSADDIK EL FARHI</t>
  </si>
  <si>
    <t>BELLAKHDAR LAHOUSSAINE</t>
  </si>
  <si>
    <t>MAHJOUBI NOUREDDINE</t>
  </si>
  <si>
    <t>SABONI AHMED</t>
  </si>
  <si>
    <t>OUHSSOU MOHAMED</t>
  </si>
  <si>
    <t>ABDELHAK ERRAKABI</t>
  </si>
  <si>
    <t>LA PIE NOIRE</t>
  </si>
  <si>
    <t>C M P A</t>
  </si>
  <si>
    <t>ROSACHIM</t>
  </si>
  <si>
    <t>AW SOUDAGE</t>
  </si>
  <si>
    <t>NEWTECHNEGOCE</t>
  </si>
  <si>
    <t>EL HANSALI ITKANE</t>
  </si>
  <si>
    <t>INOVATIO HEATH CARE</t>
  </si>
  <si>
    <t>RESIPRO SARL</t>
  </si>
  <si>
    <t>COMPTOIR ZAHIR</t>
  </si>
  <si>
    <t>DAOUD</t>
  </si>
  <si>
    <t>ALFA COATING</t>
  </si>
  <si>
    <t>NUICAR S.A.R. A.U</t>
  </si>
  <si>
    <t>ECOMAB</t>
  </si>
  <si>
    <t>KASTROUL</t>
  </si>
  <si>
    <t>STE SAFTI</t>
  </si>
  <si>
    <t>GARAGE BEAU DE ROCHAS</t>
  </si>
  <si>
    <t>SOCIETE INFOSPP</t>
  </si>
  <si>
    <t>DYNAMIC COLOR</t>
  </si>
  <si>
    <t>QUALITY SEA PRODUCT SARL</t>
  </si>
  <si>
    <t>ETS AGUEDACH FRERES</t>
  </si>
  <si>
    <t>NEW FASA OIL</t>
  </si>
  <si>
    <t>RIF SISCOU</t>
  </si>
  <si>
    <t>FRAIS CAPRICES</t>
  </si>
  <si>
    <t>MASSILLY MAROC</t>
  </si>
  <si>
    <t>VIRGINIA EPICES</t>
  </si>
  <si>
    <t>L.M.A FRESH</t>
  </si>
  <si>
    <t>STE LAZAR</t>
  </si>
  <si>
    <t>EL MOURABITE HASSAN</t>
  </si>
  <si>
    <t>STE AKABEN SARL</t>
  </si>
  <si>
    <t>BOURROU ABDELLAH</t>
  </si>
  <si>
    <t>STE FIDO NEGOCE</t>
  </si>
  <si>
    <t>GROUPEMENT ALIMENTAIRE REUNI</t>
  </si>
  <si>
    <t>PROMALI</t>
  </si>
  <si>
    <t>BIG OUTIL</t>
  </si>
  <si>
    <t>SAFDI ART</t>
  </si>
  <si>
    <t>DISTRIM PLUS</t>
  </si>
  <si>
    <t>KHIYI RACHID</t>
  </si>
  <si>
    <t>BRICOLAGE BELHASSAN</t>
  </si>
  <si>
    <t>ROSA MAROC</t>
  </si>
  <si>
    <t>BHIRAT ELECTRIC</t>
  </si>
  <si>
    <t>STE AL KIMYA</t>
  </si>
  <si>
    <t>STE MATEF</t>
  </si>
  <si>
    <t>SIPP S.A</t>
  </si>
  <si>
    <t>MEDAOUI COMMERCE</t>
  </si>
  <si>
    <t>ISTANBOUL COLLE</t>
  </si>
  <si>
    <t>GROUPE MOJAZINE</t>
  </si>
  <si>
    <t>FRIO EQUIPEMENT</t>
  </si>
  <si>
    <t>AGREQUIP DU MAGHREB</t>
  </si>
  <si>
    <t>CLEAN ENVIRONMENT</t>
  </si>
  <si>
    <t>MOGA DOREPICES</t>
  </si>
  <si>
    <t>NEIMA ET RIZK</t>
  </si>
  <si>
    <t xml:space="preserve">MHN FISH </t>
  </si>
  <si>
    <t>VEOS ATLANTIC</t>
  </si>
  <si>
    <t>ARGWAY PEINTURE</t>
  </si>
  <si>
    <t>SWNB SARL</t>
  </si>
  <si>
    <t>SERVINE</t>
  </si>
  <si>
    <t>RACHID OUBARI</t>
  </si>
  <si>
    <t>COOPERATIVE EMPREINTE POSITIVE</t>
  </si>
  <si>
    <t>BRICO BEST</t>
  </si>
  <si>
    <t>PETROM</t>
  </si>
  <si>
    <t>ARIDIS SARL</t>
  </si>
  <si>
    <t>ALLO DELIVERY</t>
  </si>
  <si>
    <t>OUBIG SARL</t>
  </si>
  <si>
    <t>L C P INDUSTRIE SARL</t>
  </si>
  <si>
    <t>BRICOIMSOUSS</t>
  </si>
  <si>
    <t>PHYTO PROD S.A</t>
  </si>
  <si>
    <t>HAMZA OUHADER</t>
  </si>
  <si>
    <t>VALENCIA COULEURS</t>
  </si>
  <si>
    <t>JAWDA VINYLIQUE</t>
  </si>
  <si>
    <t>BOUAZZOUZ IMPORT EXPORT</t>
  </si>
  <si>
    <t>VICTORIA PAINT SARL</t>
  </si>
  <si>
    <t>DODIREC</t>
  </si>
  <si>
    <t>AZAARI OTHMAN</t>
  </si>
  <si>
    <t>IMPRIM VERT</t>
  </si>
  <si>
    <t xml:space="preserve">STE MILKY ICE </t>
  </si>
  <si>
    <t>SYFAW INDUSTRIE</t>
  </si>
  <si>
    <t>ALFA COATING INDUSTRIES</t>
  </si>
  <si>
    <t>PRESTIGE CARROSSERIE</t>
  </si>
  <si>
    <t>RADOUANE EL JAOUHARI</t>
  </si>
  <si>
    <t>MY BAHARAT</t>
  </si>
  <si>
    <t>WORLD PACK</t>
  </si>
  <si>
    <t>MOHAMED SOUSSI</t>
  </si>
  <si>
    <t>SOMA BITUM</t>
  </si>
  <si>
    <t>LES RESIDENCES ANGAD</t>
  </si>
  <si>
    <t>COOPERATIVE MY SPICES</t>
  </si>
  <si>
    <t>MALAK ET MAYSSAE</t>
  </si>
  <si>
    <t>CONSERVAL</t>
  </si>
  <si>
    <t>STE ORANGE PEINTURES</t>
  </si>
  <si>
    <t>KHALID MASSAR</t>
  </si>
  <si>
    <t>GRIMEX</t>
  </si>
  <si>
    <t>SCY PEINT</t>
  </si>
  <si>
    <t>SEPCA SARL</t>
  </si>
  <si>
    <t>COOPERATIVE BIOJABALIA</t>
  </si>
  <si>
    <t>ADAM EL BARAKA</t>
  </si>
  <si>
    <t>JOZY LIGHTS</t>
  </si>
  <si>
    <t>MAATAK JAMAL</t>
  </si>
  <si>
    <t>GRTP</t>
  </si>
  <si>
    <t>IMGHAREN</t>
  </si>
  <si>
    <t>AHOUCH LAHCEN</t>
  </si>
  <si>
    <t>AHOUCH AHMED</t>
  </si>
  <si>
    <t>OPTIMAL FACILITY MANAGEMENT</t>
  </si>
  <si>
    <t>PHYTO AROMA</t>
  </si>
  <si>
    <t>TIZI COLOR</t>
  </si>
  <si>
    <t>ASTH MANUTENTION</t>
  </si>
  <si>
    <t>SANISET</t>
  </si>
  <si>
    <t xml:space="preserve">STE JANAH FRERES </t>
  </si>
  <si>
    <t>DETERGNET RIDA CHIMIE</t>
  </si>
  <si>
    <t>WAFA PAINT</t>
  </si>
  <si>
    <t>L'ABEILLE DU SOUSS</t>
  </si>
  <si>
    <t>CATTLEYA S.R.L</t>
  </si>
  <si>
    <t>CONSERVES TAM</t>
  </si>
  <si>
    <t>MERCATIK</t>
  </si>
  <si>
    <t>KBF COSMETICS</t>
  </si>
  <si>
    <t>SEDRIC S.A</t>
  </si>
  <si>
    <t>NEOVADA SARL</t>
  </si>
  <si>
    <t>SEK CORPORATION</t>
  </si>
  <si>
    <t>ARTC BAT</t>
  </si>
  <si>
    <t>DUXOL SARL</t>
  </si>
  <si>
    <t>ETS WACO</t>
  </si>
  <si>
    <t>ABOULFDAM MOHAMMED</t>
  </si>
  <si>
    <t>AUTO TONIC</t>
  </si>
  <si>
    <t>MERVEILLES DES MERS</t>
  </si>
  <si>
    <t>FARAH MATERIAUX SARL</t>
  </si>
  <si>
    <t>STE SCERO</t>
  </si>
  <si>
    <t>ETS MBARKI</t>
  </si>
  <si>
    <t>MOHAMED BEYYATO</t>
  </si>
  <si>
    <t>ABDELOUAHED MOUYAH</t>
  </si>
  <si>
    <t>STE HHY COMPANY</t>
  </si>
  <si>
    <t>CONTRASTE SUD SARL AU</t>
  </si>
  <si>
    <t>IKY PEINT SERVICE SARL</t>
  </si>
  <si>
    <t>KANFAOUI SANITAIRE SARL</t>
  </si>
  <si>
    <t>MARDAL SARL</t>
  </si>
  <si>
    <t>DASMA SARL</t>
  </si>
  <si>
    <t>KJ BAT</t>
  </si>
  <si>
    <t>FATIMA ZAHRA ANDALOUSSI</t>
  </si>
  <si>
    <t>MOUAOUIA RACHID</t>
  </si>
  <si>
    <t>ZAIDI AHMED</t>
  </si>
  <si>
    <t>LEADER COMPANY OF DISTRIBUTION CHEM</t>
  </si>
  <si>
    <t>KARZAZI ABDELLAH</t>
  </si>
  <si>
    <t>AL MARAI VIANDES</t>
  </si>
  <si>
    <t>UNIVERS LABO</t>
  </si>
  <si>
    <t>HYGIMAR</t>
  </si>
  <si>
    <t>DROGUERIE TAOUHID</t>
  </si>
  <si>
    <t>AARAB SLIMANE</t>
  </si>
  <si>
    <t>SOCIETE PROMARCHE SARL</t>
  </si>
  <si>
    <t>MAOHOUB RABIA</t>
  </si>
  <si>
    <t>DOUZI MOHAMMED</t>
  </si>
  <si>
    <t>BOUCHNANE IMPORT SARL AU</t>
  </si>
  <si>
    <t>BOUCHNID EL HASSANE</t>
  </si>
  <si>
    <t>YAZZA HASSAN</t>
  </si>
  <si>
    <t>SAMIR MAATAK</t>
  </si>
  <si>
    <t>RAGHIFI ABDESLAM</t>
  </si>
  <si>
    <t>POLY LASIR</t>
  </si>
  <si>
    <t>BRAHIM EL AISSAOUI</t>
  </si>
  <si>
    <t>DRISSI SIDI MOURAD</t>
  </si>
  <si>
    <t>ABDELKADER MANADIR</t>
  </si>
  <si>
    <t>DROGUERIE DE PORT</t>
  </si>
  <si>
    <t>AUTOCRAFT</t>
  </si>
  <si>
    <t>MHS PAINT</t>
  </si>
  <si>
    <t>AHOUCH HOUCINE</t>
  </si>
  <si>
    <t>AZUL PAINT</t>
  </si>
  <si>
    <t>DRISSI SIDI SMAIL</t>
  </si>
  <si>
    <t>SOMAREG</t>
  </si>
  <si>
    <t>Q P R SERVICE AUTO SARL</t>
  </si>
  <si>
    <t>STE L H D N SARL</t>
  </si>
  <si>
    <t>NOOR PEINTURE</t>
  </si>
  <si>
    <t>KTSYS</t>
  </si>
  <si>
    <t>MLY MED AIT EL MOUDDEN</t>
  </si>
  <si>
    <t>TOP CAOUTCHOUE ET TRONSSMISSION</t>
  </si>
  <si>
    <t>LEADER COLOR</t>
  </si>
  <si>
    <t>LA PERLE D'OUEST</t>
  </si>
  <si>
    <t>OSCAR COLOR</t>
  </si>
  <si>
    <t>KASSOUSS MOHAMED</t>
  </si>
  <si>
    <t>REX COLOR PEINTURES</t>
  </si>
  <si>
    <t>BEST MAINTENANCE SERVICE</t>
  </si>
  <si>
    <t>FOURNITURE.MA</t>
  </si>
  <si>
    <t>DECOKAD</t>
  </si>
  <si>
    <t>ABERKANE MOHAMED</t>
  </si>
  <si>
    <t>OMAR BSISS</t>
  </si>
  <si>
    <t>BASMA BRICO SARL</t>
  </si>
  <si>
    <t>OCEAMIC LAAYOUNE</t>
  </si>
  <si>
    <t>S.C.M.EQUIPEMENT</t>
  </si>
  <si>
    <t>CAPRISAF</t>
  </si>
  <si>
    <t>KAMAL ELAJLANI</t>
  </si>
  <si>
    <t>BELMA</t>
  </si>
  <si>
    <t>LES CONSERVERIES MAROCAINE DOHA</t>
  </si>
  <si>
    <t>SIMPA SAMARA</t>
  </si>
  <si>
    <t>UNION DES PECHERIES AFRICAINES</t>
  </si>
  <si>
    <t>ORGAFOOD</t>
  </si>
  <si>
    <t>LAAYOUN CONSERVE NAGJIR</t>
  </si>
  <si>
    <t>ESSALHI MAROC</t>
  </si>
  <si>
    <t>MAGI-TEST</t>
  </si>
  <si>
    <t>FOODIS</t>
  </si>
  <si>
    <t>ABATTOIRE SAHEL</t>
  </si>
  <si>
    <t>CHARCUTERIE SAHEL</t>
  </si>
  <si>
    <t>ABDELJABAR SOULAMI</t>
  </si>
  <si>
    <t>AGRO-VENUSES</t>
  </si>
  <si>
    <t>VITAFORM MENA</t>
  </si>
  <si>
    <t>CAPSCIENCES</t>
  </si>
  <si>
    <t>ABDERRAHMANE BAROUDI</t>
  </si>
  <si>
    <t>ABDELFATAH BENAZI</t>
  </si>
  <si>
    <t>NAFTSHALL</t>
  </si>
  <si>
    <t>ONAS NEGOCE SARL</t>
  </si>
  <si>
    <t>POLYCHEF INGENIERIE</t>
  </si>
  <si>
    <t>RITEB RACHID</t>
  </si>
  <si>
    <t>UNIVERSAL PEINT SARL</t>
  </si>
  <si>
    <t>MAZAGON FISH</t>
  </si>
  <si>
    <t>STE HORIZON EXPRESS SERVICES</t>
  </si>
  <si>
    <t>LOGI FOOD MAROC</t>
  </si>
  <si>
    <t>MASSALA EPICES</t>
  </si>
  <si>
    <t>SOGENCO</t>
  </si>
  <si>
    <t>FRUITS AND LEGUMES BY BARRAQ</t>
  </si>
  <si>
    <t>CHAYGAR BRAHIM</t>
  </si>
  <si>
    <t>BUREAU VERITAS MAROC</t>
  </si>
  <si>
    <t>ALI AIT LHADJ</t>
  </si>
  <si>
    <t>RAZED COLOR</t>
  </si>
  <si>
    <t xml:space="preserve">EMAGINTECH </t>
  </si>
  <si>
    <t>STE MEDCOS SARL</t>
  </si>
  <si>
    <t>EL HDAGA FOOD</t>
  </si>
  <si>
    <t>EXPERMETAL</t>
  </si>
  <si>
    <t>LABELCOS</t>
  </si>
  <si>
    <t>COQ INDUSTRIE</t>
  </si>
  <si>
    <t>ZOUHAIR AKH EL ARAB</t>
  </si>
  <si>
    <t>MONAROME</t>
  </si>
  <si>
    <t>ATLANTIC SARDINE ANCHOVIE TAN-TAN</t>
  </si>
  <si>
    <t>GRAISSE BELLEVILLE</t>
  </si>
  <si>
    <t>SOZA PEINT</t>
  </si>
  <si>
    <t>RACHID OUHOUD</t>
  </si>
  <si>
    <t>ABDLKRIM LGZOUBA</t>
  </si>
  <si>
    <t>ELMEKHROUBI RACHID</t>
  </si>
  <si>
    <t>GROUP IFIZIG TRADING COMPANY</t>
  </si>
  <si>
    <t>GENI HYGIENE</t>
  </si>
  <si>
    <t>AL AZHAR ABDELMJID</t>
  </si>
  <si>
    <t>NUTS  LINA</t>
  </si>
  <si>
    <t>ECOTIF</t>
  </si>
  <si>
    <t>MAZZA CHIMIE</t>
  </si>
  <si>
    <t>BUFFA</t>
  </si>
  <si>
    <t>KAMAL TARBOUCH</t>
  </si>
  <si>
    <t>MAGIC WALLS</t>
  </si>
  <si>
    <t>AFRICA WORLD BUSINESS</t>
  </si>
  <si>
    <t>OUBOUQSSI YOUSSEF</t>
  </si>
  <si>
    <t xml:space="preserve">LINAM </t>
  </si>
  <si>
    <t>STE NOUVELLE AVEIRO MAROC</t>
  </si>
  <si>
    <t>DROGUERIE ESOUBAII</t>
  </si>
  <si>
    <t>BOUTIQUES DOMAINES AGRICOLES</t>
  </si>
  <si>
    <t>HICHAM MAGUERRA</t>
  </si>
  <si>
    <t>HELIOS CHIMIE SARL</t>
  </si>
  <si>
    <t>STE IBERKAL</t>
  </si>
  <si>
    <t>VISCA FOOD</t>
  </si>
  <si>
    <t>ENTREPRISES ITALY</t>
  </si>
  <si>
    <t>B2I GROUP</t>
  </si>
  <si>
    <t>EL IDRISSI EL ALOUANI MY BRAHIM</t>
  </si>
  <si>
    <t>SORETP</t>
  </si>
  <si>
    <t>ABDLKRIM TALBAOUI</t>
  </si>
  <si>
    <t>STE YAHYA AL FIRDAOUSS SARL AU</t>
  </si>
  <si>
    <t>EL MOURABIT OMAR</t>
  </si>
  <si>
    <t>MHAMMED EL MAALLEM</t>
  </si>
  <si>
    <t>MELLOUKI ABDELGHANI</t>
  </si>
  <si>
    <t>OUAZZANI TOUHAMI AHMED</t>
  </si>
  <si>
    <t>GRAVO LASER</t>
  </si>
  <si>
    <t>SAAD KHALIL</t>
  </si>
  <si>
    <t>VISIBILITY</t>
  </si>
  <si>
    <t>LUXE COLOR PLUS</t>
  </si>
  <si>
    <t>MIDAV</t>
  </si>
  <si>
    <t xml:space="preserve">INTER OIL </t>
  </si>
  <si>
    <t>TECH FOND</t>
  </si>
  <si>
    <t>DROGUERIE SALMA SARL</t>
  </si>
  <si>
    <t>ZMSM</t>
  </si>
  <si>
    <t>ETS AMAL HERITIERS BEN BRAHIM AH</t>
  </si>
  <si>
    <t>ZOUITANE MOHSSINE</t>
  </si>
  <si>
    <t>OUBOUQSSI OMAR</t>
  </si>
  <si>
    <t>JANAH ABDELJALIL</t>
  </si>
  <si>
    <t>TAOUSSI RABAH</t>
  </si>
  <si>
    <t>ROCHES FER</t>
  </si>
  <si>
    <t>PERLITE PRO SARL</t>
  </si>
  <si>
    <t>ACHIBEST FOOD</t>
  </si>
  <si>
    <t>MULTI CONSERVES MAROC</t>
  </si>
  <si>
    <t xml:space="preserve">HALA &amp; PARTNERS </t>
  </si>
  <si>
    <t>MARINE INDUSTRIE CHIMIE</t>
  </si>
  <si>
    <t>BOURCHANIN &amp; CIE</t>
  </si>
  <si>
    <t>ISMAILI MOULAY IDRISS</t>
  </si>
  <si>
    <t>HICHAM TAMARIS</t>
  </si>
  <si>
    <t>KHALID AIGLO</t>
  </si>
  <si>
    <t>SOCIETE G.T.I CARROSSERIE</t>
  </si>
  <si>
    <t>SOCIETE EPICEA</t>
  </si>
  <si>
    <t>TAHRIYNE MOHAMMED</t>
  </si>
  <si>
    <t>BAAZIZ MOHAMED</t>
  </si>
  <si>
    <t>MERZOUQUI BENYOUNES</t>
  </si>
  <si>
    <t>NEUTROPLAST MAROC</t>
  </si>
  <si>
    <t>STE MIL YOU PARFUM SARL</t>
  </si>
  <si>
    <t>CARPID SARL</t>
  </si>
  <si>
    <t>ODICOLOR MAROC</t>
  </si>
  <si>
    <t>ROSACOLOR</t>
  </si>
  <si>
    <t>BE.COMMERCE</t>
  </si>
  <si>
    <t>LABORATOIRES MEDIPACO</t>
  </si>
  <si>
    <t>SABBAR MOHAMED</t>
  </si>
  <si>
    <t>KHADAMAT PRO</t>
  </si>
  <si>
    <t>PETROLUB SARLAU</t>
  </si>
  <si>
    <t>KLIMENS</t>
  </si>
  <si>
    <t>BRAZAGO PEINTURE</t>
  </si>
  <si>
    <t>HOUAR</t>
  </si>
  <si>
    <t>SAADAOUI ABDELGHANI</t>
  </si>
  <si>
    <t>CAPTOOLS INDUSTRIES</t>
  </si>
  <si>
    <t>EXPRESS LUBRIFIANTS</t>
  </si>
  <si>
    <t>AUTO SERVICE NOUACEUR</t>
  </si>
  <si>
    <t>SAID ED MBARK</t>
  </si>
  <si>
    <t>SANIWORLD</t>
  </si>
  <si>
    <t>STE CAPEMA</t>
  </si>
  <si>
    <t>PEINTURE ROMA COLOR</t>
  </si>
  <si>
    <t>CONSERVERIE DE LA GIRONDE</t>
  </si>
  <si>
    <t>STE SENADRO SARL</t>
  </si>
  <si>
    <t>STE INTERCONTINENTAL CAOUACHOUC</t>
  </si>
  <si>
    <t>RECUP OIL SARL</t>
  </si>
  <si>
    <t>TITANIUM PEINTURE SARL</t>
  </si>
  <si>
    <t>UNICONSERVES</t>
  </si>
  <si>
    <t>ORE DECOR</t>
  </si>
  <si>
    <t>SIDTRAV</t>
  </si>
  <si>
    <t>VICTUS &amp; TRADITUM FOODS</t>
  </si>
  <si>
    <t>SODIREP</t>
  </si>
  <si>
    <t>UNIVERS CAOUTCHOUC</t>
  </si>
  <si>
    <t>OLYMPIA SAKA SARL</t>
  </si>
  <si>
    <t>SAHARA COLLE PEINTURE</t>
  </si>
  <si>
    <t>DM COLOR</t>
  </si>
  <si>
    <t>ELHOUARI OMAR</t>
  </si>
  <si>
    <t>SABCA MAROC</t>
  </si>
  <si>
    <t>CALTE CHIMIQUE</t>
  </si>
  <si>
    <t>EPICES GIRONA</t>
  </si>
  <si>
    <t>ACT NEGOCE</t>
  </si>
  <si>
    <t>COPAG</t>
  </si>
  <si>
    <t>UNELEC MULTECH</t>
  </si>
  <si>
    <t>COOPERATIVE APIA</t>
  </si>
  <si>
    <t>B2S INDUSTRIE</t>
  </si>
  <si>
    <t>STE TRAVMIL</t>
  </si>
  <si>
    <t>VEGETAL EPICE</t>
  </si>
  <si>
    <t>STE DORE CONSTRUCTION</t>
  </si>
  <si>
    <t>SGS Tanger Méditerranée SARL(AU)</t>
  </si>
  <si>
    <t>KHALID HARATI</t>
  </si>
  <si>
    <t>ATLANTIC HOME SARDINES</t>
  </si>
  <si>
    <t>LABTRONICS</t>
  </si>
  <si>
    <t>FKG MAROC</t>
  </si>
  <si>
    <t>MERIEM PEINT</t>
  </si>
  <si>
    <t>LMH</t>
  </si>
  <si>
    <t>MAZOZ PEINT</t>
  </si>
  <si>
    <t>LA BOUTIQUE MAROCAINE DU CONVOYEUR</t>
  </si>
  <si>
    <t>LA CHOUQUETTE DISTRIBUTION</t>
  </si>
  <si>
    <t>STBI</t>
  </si>
  <si>
    <t>OSKA MAROC</t>
  </si>
  <si>
    <t>DIVA MAROC</t>
  </si>
  <si>
    <t>AMADIR</t>
  </si>
  <si>
    <t>MOHAMED ZERBAN</t>
  </si>
  <si>
    <t>STE FREINAGE TANGER</t>
  </si>
  <si>
    <t>SOLVE MAROC INDUSTRIE SARL</t>
  </si>
  <si>
    <t>MEAT CORP</t>
  </si>
  <si>
    <t>MANTEX</t>
  </si>
  <si>
    <t>Belhassan Complexe Industriel et Commercial</t>
  </si>
  <si>
    <t>ETS OUBAHA &amp; FILS</t>
  </si>
  <si>
    <t>STE AMALOU PLASTIQUE SARL</t>
  </si>
  <si>
    <t>PELADA SARL</t>
  </si>
  <si>
    <t>SAHEL INDUSTRIE SARL</t>
  </si>
  <si>
    <t>EUROPRO</t>
  </si>
  <si>
    <t>AMSPEC</t>
  </si>
  <si>
    <t>CUMAREX</t>
  </si>
  <si>
    <t>ZEN DISTRIBUTION</t>
  </si>
  <si>
    <t>TOUTANE LIMITED</t>
  </si>
  <si>
    <t>CHRONO FISH</t>
  </si>
  <si>
    <t>VERONA GOLD</t>
  </si>
  <si>
    <t>LOGIDOU</t>
  </si>
  <si>
    <t>ELEGANCE LUBRIFIANTS</t>
  </si>
  <si>
    <t>NASSIMA FOOD</t>
  </si>
  <si>
    <t>RITEB SAMIR</t>
  </si>
  <si>
    <t>MOHAMMED SOUALEM</t>
  </si>
  <si>
    <t>AMZAL ABDELAZIZ</t>
  </si>
  <si>
    <t>PROJET-TS</t>
  </si>
  <si>
    <t>OUSSAD MOHAMED</t>
  </si>
  <si>
    <t>HAMDOUNE SOURI</t>
  </si>
  <si>
    <t>ENOU CONSTRUCTION</t>
  </si>
  <si>
    <t>STE PAVO COLOR</t>
  </si>
  <si>
    <t>HORTICOM</t>
  </si>
  <si>
    <t>TOP BETON</t>
  </si>
  <si>
    <t>CODETRAM SARL</t>
  </si>
  <si>
    <t>RESI STAR</t>
  </si>
  <si>
    <t>LARKIN &amp; EDDY DISTRIBUTION</t>
  </si>
  <si>
    <t xml:space="preserve">ABC AGRO SARL </t>
  </si>
  <si>
    <t>ATLAS CONFITS</t>
  </si>
  <si>
    <t>CHARCUTERIE EUROMAR SARL</t>
  </si>
  <si>
    <t>MOGANOR</t>
  </si>
  <si>
    <t>MAROC ASSAISONNEMENTS SARL</t>
  </si>
  <si>
    <t>BELKABOUSS JAMILA</t>
  </si>
  <si>
    <t>INTERNATIONAL CANNING COMPANY</t>
  </si>
  <si>
    <t>NOUI PARTS AND SERVICES</t>
  </si>
  <si>
    <t>CHOURAFI YOUSSEF</t>
  </si>
  <si>
    <t>NETRAM SARL AU</t>
  </si>
  <si>
    <t>AZID FISH MAROC SARL</t>
  </si>
  <si>
    <t>ABIOCEN E NEGOCE</t>
  </si>
  <si>
    <t>BATILUX</t>
  </si>
  <si>
    <t>SOCIETE SLEEVETIK</t>
  </si>
  <si>
    <t>KHALDYS</t>
  </si>
  <si>
    <t>SOCO KACEMI SARL</t>
  </si>
  <si>
    <t>MONTA CORP</t>
  </si>
  <si>
    <t>MEGATRIX COLOR</t>
  </si>
  <si>
    <t xml:space="preserve">STE MAGHREB OCEAN FOOD </t>
  </si>
  <si>
    <t>OGICOM</t>
  </si>
  <si>
    <t>ATUNEROS DEL SUR</t>
  </si>
  <si>
    <t>TECHNAUTO</t>
  </si>
  <si>
    <t>CAPREL</t>
  </si>
  <si>
    <t>EL MRABET MOHAMED</t>
  </si>
  <si>
    <t>RAMACOLOR PEINTURE</t>
  </si>
  <si>
    <t>MOSTAFA LAMUDATE</t>
  </si>
  <si>
    <t>FIDO  FOOD</t>
  </si>
  <si>
    <t>BOU OUZALIM</t>
  </si>
  <si>
    <t>LITTLEMA SARL</t>
  </si>
  <si>
    <t>KENZI MOHAMMED</t>
  </si>
  <si>
    <t>MHAMDI ALAOUI HACHEM</t>
  </si>
  <si>
    <t>ZAITOUNI JABRAN</t>
  </si>
  <si>
    <t>ALTEATRA</t>
  </si>
  <si>
    <t>NEW VITA</t>
  </si>
  <si>
    <t>NETPAK</t>
  </si>
  <si>
    <t>EXTRA LOOK AUTO</t>
  </si>
  <si>
    <t>KAIZEN DISTRIBUTEUR</t>
  </si>
  <si>
    <t>EXP.DIST SARL</t>
  </si>
  <si>
    <t>LIMPI MAROC</t>
  </si>
  <si>
    <t>ALYATEC</t>
  </si>
  <si>
    <t xml:space="preserve">Pélagique industrie </t>
  </si>
  <si>
    <t>PESCADO</t>
  </si>
  <si>
    <t>FAST AMBALAJ</t>
  </si>
  <si>
    <t>AGROMAC1</t>
  </si>
  <si>
    <t>STE TLATIG NEGOCE</t>
  </si>
  <si>
    <t>BAKHAT MOHAMED</t>
  </si>
  <si>
    <t>SBAI IBRAHIM</t>
  </si>
  <si>
    <t>COLD FOOD</t>
  </si>
  <si>
    <t>TRAMAUTO</t>
  </si>
  <si>
    <t>PADIART</t>
  </si>
  <si>
    <t>ARABIA FOOD</t>
  </si>
  <si>
    <t>EPICES NOUR</t>
  </si>
  <si>
    <t>FATINA FOOD BUSINESS</t>
  </si>
  <si>
    <t>GREEN LIFE TECH</t>
  </si>
  <si>
    <t>CONSERVAJAR</t>
  </si>
  <si>
    <t>ATELIER TEULI</t>
  </si>
  <si>
    <t>PELAGIC PRO</t>
  </si>
  <si>
    <t>MAROC BUSINESS BAKKERY SARL</t>
  </si>
  <si>
    <t>ROSACOLOR PEINTURES</t>
  </si>
  <si>
    <t>RESTER ECO</t>
  </si>
  <si>
    <t>STE SEMPACOLLE SARL</t>
  </si>
  <si>
    <t>STE ASAKA WORLD</t>
  </si>
  <si>
    <t>SALWAN DE PÊCHE MARITIME</t>
  </si>
  <si>
    <t>SOMA LUBRIFIANTS SARL</t>
  </si>
  <si>
    <t>MAI CHAKIB</t>
  </si>
  <si>
    <t>RATIM</t>
  </si>
  <si>
    <t>ALPHA COLLE</t>
  </si>
  <si>
    <t>AKOUAS CLEAN</t>
  </si>
  <si>
    <t>UNIVERS FOOD TRADING</t>
  </si>
  <si>
    <t>MOUSSTRAF</t>
  </si>
  <si>
    <t>SOMME MAROC</t>
  </si>
  <si>
    <t>OLEA CAPITAL SLE BERTIN</t>
  </si>
  <si>
    <t>ZWAWRI INCORPORATION SARL</t>
  </si>
  <si>
    <t>GOODIE FRIST</t>
  </si>
  <si>
    <t>TRANS ATLANTIC CANNED</t>
  </si>
  <si>
    <t>SAREX</t>
  </si>
  <si>
    <t>STE ADROC</t>
  </si>
  <si>
    <t>ADA PEINT</t>
  </si>
  <si>
    <t>LABOFOOD</t>
  </si>
  <si>
    <t>FABRILUB</t>
  </si>
  <si>
    <t xml:space="preserve">STE HORIZON PACK </t>
  </si>
  <si>
    <t>CARO PEINT</t>
  </si>
  <si>
    <t>BEUGIN MAROC</t>
  </si>
  <si>
    <t>BAKHAT ALI</t>
  </si>
  <si>
    <t>NATUREL CORE</t>
  </si>
  <si>
    <t>M ASSALA EPICES</t>
  </si>
  <si>
    <t>JIL LOGISTIQUE</t>
  </si>
  <si>
    <t>STE MAROCAINE DES EPICES REHAMNA</t>
  </si>
  <si>
    <t>BOUHIKY ET FILS BUSNESS SERVICE AND NEGOCE SARL</t>
  </si>
  <si>
    <t>PN STORE MAROC</t>
  </si>
  <si>
    <t>EQUIPEMENT CHEFCHAOUNI SARL</t>
  </si>
  <si>
    <t>LES BIOS D'AGADIR</t>
  </si>
  <si>
    <t>SAAD EQUIPEMENT</t>
  </si>
  <si>
    <t>MOHAMED SOUALEM WARDA</t>
  </si>
  <si>
    <t>GROUPO</t>
  </si>
  <si>
    <t>SILVER SERTISSAGE</t>
  </si>
  <si>
    <t>MAMOUNI ALAOUI ABDERRAHMANE</t>
  </si>
  <si>
    <t>STE PRTECT PLUS YOUNY</t>
  </si>
  <si>
    <t>BIDA GRAPH SARL</t>
  </si>
  <si>
    <t>AGRI ORGANIC DOMAINE DE CHTOUKA SARL</t>
  </si>
  <si>
    <t>YAZZA ALI</t>
  </si>
  <si>
    <t>PROGIGA SARL</t>
  </si>
  <si>
    <t xml:space="preserve">L.G.M.C </t>
  </si>
  <si>
    <t>M2FC SARL AU</t>
  </si>
  <si>
    <t>DOUCHANI ABDELLATIF</t>
  </si>
  <si>
    <t>EXKYM</t>
  </si>
  <si>
    <t>KEMICA</t>
  </si>
  <si>
    <t>BARGACH MOHAMED</t>
  </si>
  <si>
    <t>TERRE D'EPICE SARL</t>
  </si>
  <si>
    <t>TRIBOLOGIE</t>
  </si>
  <si>
    <t>AGRO FOOD INDUSTRIE</t>
  </si>
  <si>
    <t>KAROUN ABDERRAHIM</t>
  </si>
  <si>
    <t>BOLGOT LATIFA OU EL MOUBAREK YOUNES</t>
  </si>
  <si>
    <t>LINIAGE PEINTURES</t>
  </si>
  <si>
    <t>PLARUCE ENGINEERING</t>
  </si>
  <si>
    <t>MOHAMED WAKRIM</t>
  </si>
  <si>
    <t>GOLBAL FILTERING SOLUTION</t>
  </si>
  <si>
    <t>MILOUD BOGUERIN</t>
  </si>
  <si>
    <t xml:space="preserve">ERG DELICES </t>
  </si>
  <si>
    <t>PROXIMA INDUSTRIEL</t>
  </si>
  <si>
    <t>CHARKAOUI RHIMOU</t>
  </si>
  <si>
    <t>RACHID AITTIFAST</t>
  </si>
  <si>
    <t>SOUFIANE EL BAKKARI</t>
  </si>
  <si>
    <t>SUN PACKAGING ET GRAPHICS</t>
  </si>
  <si>
    <t>SOGAP</t>
  </si>
  <si>
    <t>M SOUAH EL HOUSSAINE</t>
  </si>
  <si>
    <t>MOROCCAN ATLANTIC PILCHARDUS</t>
  </si>
  <si>
    <t>TAFDIS</t>
  </si>
  <si>
    <t>SOCIETE JANANE ZEMZAMI</t>
  </si>
  <si>
    <t>MAJILAB MAROC</t>
  </si>
  <si>
    <t>ALTERNATIVE SERVICE</t>
  </si>
  <si>
    <t>YOUSSEF OUAHBI</t>
  </si>
  <si>
    <t>DH CREATIVE PAINT</t>
  </si>
  <si>
    <t>SOCIETE SOGAP</t>
  </si>
  <si>
    <t>AKHERSOUM MOHAMED</t>
  </si>
  <si>
    <t>GRATIM</t>
  </si>
  <si>
    <t>STE LAMINI FOOD</t>
  </si>
  <si>
    <t>SOCIETE AGRICOLE LES DEUX DOMAINES</t>
  </si>
  <si>
    <t>EURAFRIC SERVICE ET INGENIERIE</t>
  </si>
  <si>
    <t>WAFA SOUSS</t>
  </si>
  <si>
    <t>BE. PEINTURE</t>
  </si>
  <si>
    <t>AGRI CHALLENGE</t>
  </si>
  <si>
    <t>UNIVERS DELI</t>
  </si>
  <si>
    <t>ATUNEROS DEL SUR CONSERVAS</t>
  </si>
  <si>
    <t>IDNAFOOD</t>
  </si>
  <si>
    <t>ALMADINA BIHI</t>
  </si>
  <si>
    <t>RAHAU SOLUTIONS</t>
  </si>
  <si>
    <t>ACQ INFO.</t>
  </si>
  <si>
    <t>STE ROSA FERTYL SARL</t>
  </si>
  <si>
    <t>GENIAL DELICE</t>
  </si>
  <si>
    <t>ADFERT MAROC</t>
  </si>
  <si>
    <t>STE NORTH AFRICAN FOODS PRODUCT COMPANY SARL AU</t>
  </si>
  <si>
    <t>TOP CONNEXION LOGISTIQUE</t>
  </si>
  <si>
    <t>LABORATOIRE MAROCAIN D'HYGIENE</t>
  </si>
  <si>
    <t>BOURZIK MOKHTAR</t>
  </si>
  <si>
    <t>ISOLACK</t>
  </si>
  <si>
    <t>STE BOUARGANE FOOD</t>
  </si>
  <si>
    <t>URCIMAR,S.A</t>
  </si>
  <si>
    <t>NATURAL BIO FOOD</t>
  </si>
  <si>
    <t>4 FAMILLE</t>
  </si>
  <si>
    <t>NOUTFIA ABDELMALAK</t>
  </si>
  <si>
    <t>LA CONSERVERIE MODERNE DU SUD</t>
  </si>
  <si>
    <t>CONSERVERIES PELAGIQUES DE DAKHLA</t>
  </si>
  <si>
    <t>ALEOSAN AGRO</t>
  </si>
  <si>
    <t>IBDAA COLOR</t>
  </si>
  <si>
    <t xml:space="preserve">VITRO PACK SARLAU </t>
  </si>
  <si>
    <t>EDS ENGINEERING COMPANY</t>
  </si>
  <si>
    <t>MS ENPRESA</t>
  </si>
  <si>
    <t>SOMAP ET SERVICE</t>
  </si>
  <si>
    <t>JILPROPRIETA FONDIARA</t>
  </si>
  <si>
    <t>TOUFA FOOD</t>
  </si>
  <si>
    <t xml:space="preserve">ANALAB SARLAU </t>
  </si>
  <si>
    <t>ANDALUS FOOD GROUP</t>
  </si>
  <si>
    <t>TUNAMAX</t>
  </si>
  <si>
    <t>MOROCCAN FOOD PROCESSING</t>
  </si>
  <si>
    <t>POLYSPACE INDUST</t>
  </si>
  <si>
    <t>WAD SERVICES INDUSTRIES</t>
  </si>
  <si>
    <t>COMMERCIAMAR EXPO</t>
  </si>
  <si>
    <t>SIDNI IFNI FISH SARL</t>
  </si>
  <si>
    <t>DELICES AMINE SARLAU</t>
  </si>
  <si>
    <t>J'AIME ARDI</t>
  </si>
  <si>
    <t>DOUILI MULTI WORKS</t>
  </si>
  <si>
    <t>SUDAK MAROC</t>
  </si>
  <si>
    <t>ILSOTRA DISTRIBUTION</t>
  </si>
  <si>
    <t>REYAD PESCA</t>
  </si>
  <si>
    <t>B&amp;G Fromagerie</t>
  </si>
  <si>
    <t>FOOD PROCESS</t>
  </si>
  <si>
    <t>SERVICES TRAVAUX PROVISIONS</t>
  </si>
  <si>
    <t>SARIBEKIR AMBALAJ SANAYI VE</t>
  </si>
  <si>
    <t>OLIV MARK</t>
  </si>
  <si>
    <t>BENDARI KHADDOUJ</t>
  </si>
  <si>
    <t>SAMIA FADILI</t>
  </si>
  <si>
    <t>AIT IZOUAN ABDELAH</t>
  </si>
  <si>
    <t>AJOUGHLAL MOHAMED</t>
  </si>
  <si>
    <t>T.D.H.A.</t>
  </si>
  <si>
    <t>GLOMATEST</t>
  </si>
  <si>
    <t>EL BAHIJ YOUSSEF</t>
  </si>
  <si>
    <t>AMMOR ZINEB</t>
  </si>
  <si>
    <t>LIXUS BETON SARL</t>
  </si>
  <si>
    <t>ROCK &amp; MAN SARL</t>
  </si>
  <si>
    <t>FDL CHEMICALS</t>
  </si>
  <si>
    <t>FADLI SAID</t>
  </si>
  <si>
    <t xml:space="preserve">MOHAMED AHOUJI   </t>
  </si>
  <si>
    <t>RIZAL Sarl</t>
  </si>
  <si>
    <t>MOUTII ERRAHMANI LAHMIDI</t>
  </si>
  <si>
    <t>SAHELMIX</t>
  </si>
  <si>
    <t>Deliz food processing</t>
  </si>
  <si>
    <t>CONSERVES NORA</t>
  </si>
  <si>
    <t>STE DIAGNOLINE</t>
  </si>
  <si>
    <t>STE REVECOP</t>
  </si>
  <si>
    <t>CONSTANCE DISTRIBUTION</t>
  </si>
  <si>
    <t>GREEN DOKTOR</t>
  </si>
  <si>
    <t>NORDIC DESIGN</t>
  </si>
  <si>
    <t>YOUSSRA TRANS NEGOCE</t>
  </si>
  <si>
    <t>RIO CAIMA</t>
  </si>
  <si>
    <t xml:space="preserve">ALCION PLASTICOS </t>
  </si>
  <si>
    <t>BEMASA CAPS</t>
  </si>
  <si>
    <t>ENVASES METALURGI</t>
  </si>
  <si>
    <t>IMTO</t>
  </si>
  <si>
    <t>REPLI</t>
  </si>
  <si>
    <t>JUVASA</t>
  </si>
  <si>
    <t>SACCOF PACKAGING</t>
  </si>
  <si>
    <t>EURAFRIC PIECES SARL</t>
  </si>
  <si>
    <t>DATA DEV SARL</t>
  </si>
  <si>
    <t>FASTEN</t>
  </si>
  <si>
    <t>PIRAMAL</t>
  </si>
  <si>
    <t>LIMEA FISMA</t>
  </si>
  <si>
    <t>MWV ITALIA</t>
  </si>
  <si>
    <t>SILFA METAL PACKA</t>
  </si>
  <si>
    <t>FOUNISSEURS DIVERS</t>
  </si>
  <si>
    <t>GENERALE INCENDIE</t>
  </si>
  <si>
    <t>KERIX</t>
  </si>
  <si>
    <t>FIRST INFORMATIQUE</t>
  </si>
  <si>
    <t>AUTOROUTES DU MAROC</t>
  </si>
  <si>
    <t>TELECONTACT</t>
  </si>
  <si>
    <t>LYDEC</t>
  </si>
  <si>
    <t>MICROCHOIX MAROC</t>
  </si>
  <si>
    <t>GENERAL-BUREAU</t>
  </si>
  <si>
    <t>DEPOT AIN HARROUD</t>
  </si>
  <si>
    <t>MAROC TELECOM</t>
  </si>
  <si>
    <t>ATLAS VOYAGE</t>
  </si>
  <si>
    <t>BRICOMA</t>
  </si>
  <si>
    <t>CABINET AISSE</t>
  </si>
  <si>
    <t>M BRICOLAGE</t>
  </si>
  <si>
    <t>REKRUTE</t>
  </si>
  <si>
    <t>ROYAL AIR MAROC</t>
  </si>
  <si>
    <t>WAFA ASSURANCE</t>
  </si>
  <si>
    <t>RIAD SABAH</t>
  </si>
  <si>
    <t>MICRODATA</t>
  </si>
  <si>
    <t>VEILLE TECHNOLOGIE</t>
  </si>
  <si>
    <t>MAROC EXPRESS</t>
  </si>
  <si>
    <t>ASSURANCE EL ANDA</t>
  </si>
  <si>
    <t>ROUCHE OUTILS</t>
  </si>
  <si>
    <t>SERENIS ASSURANCE</t>
  </si>
  <si>
    <t>TRANSPORT LOCAL</t>
  </si>
  <si>
    <t>SPEDIMEX</t>
  </si>
  <si>
    <t>DOUANE</t>
  </si>
  <si>
    <t>MARSA MAROC</t>
  </si>
  <si>
    <t>STCMA</t>
  </si>
  <si>
    <t>DHL MAROC</t>
  </si>
  <si>
    <t>LA VOIE EXPRESS</t>
  </si>
  <si>
    <t>PANOMARIQUE TRANS</t>
  </si>
  <si>
    <t>RAM - TRANSPORT I</t>
  </si>
  <si>
    <t>GLOBAL NETWORK LO</t>
  </si>
  <si>
    <t>IFS NEUTRAL MARIT</t>
  </si>
  <si>
    <t>CTM MESSAGERIE</t>
  </si>
  <si>
    <t>LASRY MAROC</t>
  </si>
  <si>
    <t>SAGET MAROC</t>
  </si>
  <si>
    <t>GEFCO TRANSPORT</t>
  </si>
  <si>
    <t xml:space="preserve">MARBAR LOGISTICS </t>
  </si>
  <si>
    <t>M&amp;M</t>
  </si>
  <si>
    <t>PROLOGISTIC TRANS</t>
  </si>
  <si>
    <t>STE TRANSPORT MOU</t>
  </si>
  <si>
    <t>ATLAS MESSAGERIE</t>
  </si>
  <si>
    <t>SEAGOLINE</t>
  </si>
  <si>
    <t>SJL MAGHREB</t>
  </si>
  <si>
    <t>SONOCO Métal Packaging Maroc</t>
  </si>
  <si>
    <t>MUTRONIC</t>
  </si>
  <si>
    <t>OFFSET POLYPLAST</t>
  </si>
  <si>
    <t>MANUFACTURE D'EMB</t>
  </si>
  <si>
    <t>PARA2000</t>
  </si>
  <si>
    <t>GREIF</t>
  </si>
  <si>
    <t>LES EMBALLAGES MODERNES</t>
  </si>
  <si>
    <t>COVERPLA</t>
  </si>
  <si>
    <t>CASA-PACKING</t>
  </si>
  <si>
    <t>SOCIETE CENTRALE D'EMBALLAGES</t>
  </si>
  <si>
    <t xml:space="preserve">SOCIETE LIBANAISE POUR L'INDUSTRIE </t>
  </si>
  <si>
    <t>MASSILLY</t>
  </si>
  <si>
    <t>WORLD FIDUCIAIRE</t>
  </si>
  <si>
    <t>METTALLIFNI</t>
  </si>
  <si>
    <t>SAMWA SARL</t>
  </si>
  <si>
    <t>POLYACCESSOIRES</t>
  </si>
  <si>
    <t xml:space="preserve">PORTNET </t>
  </si>
  <si>
    <t>WEC LINES</t>
  </si>
  <si>
    <t>STATION EL MAMOUNIA</t>
  </si>
  <si>
    <t>ALL LINES SHIPPING</t>
  </si>
  <si>
    <t>GALION FRNS ETRG</t>
  </si>
  <si>
    <t>SOTRALIS</t>
  </si>
  <si>
    <t>AVEZ SAS</t>
  </si>
  <si>
    <t>LOYER MR ROCK</t>
  </si>
  <si>
    <t>KING 4 MEDIA</t>
  </si>
  <si>
    <t>HANINECONSEIL</t>
  </si>
  <si>
    <t>MOROCCO TOURS</t>
  </si>
  <si>
    <t>LOYER LA GIRONDE</t>
  </si>
  <si>
    <t>AGL ASSURANCE</t>
  </si>
  <si>
    <t>FEDEX</t>
  </si>
  <si>
    <t>ASMAE FORWARDING EXPRESS</t>
  </si>
  <si>
    <t>NAVIGHREB</t>
  </si>
  <si>
    <t>JUSTCLIM</t>
  </si>
  <si>
    <t>STE FH ELECTRIC</t>
  </si>
  <si>
    <t>CROWN FOOD ESPANA</t>
  </si>
  <si>
    <t>BENDARI KHADOUJ</t>
  </si>
  <si>
    <t>ENTEPOT CONSULTING</t>
  </si>
  <si>
    <t>SALAM GRAVURE</t>
  </si>
  <si>
    <t>METALSCATOLA ITALIE</t>
  </si>
  <si>
    <t>STE CERAME AMBIANCE INFINI</t>
  </si>
  <si>
    <t>COLOMAR</t>
  </si>
  <si>
    <t>LOYER MR GHOUNAIM AIN SBAA</t>
  </si>
  <si>
    <t>AUXILIAR CONSERVERA SA</t>
  </si>
  <si>
    <t>EIMSUP</t>
  </si>
  <si>
    <t>GES MAROC</t>
  </si>
  <si>
    <t>ARKAS MAROC</t>
  </si>
  <si>
    <t>ALUFA PUB</t>
  </si>
  <si>
    <t>ALI RHOUNAIM</t>
  </si>
  <si>
    <t>OPDR</t>
  </si>
  <si>
    <t>PREMIUM LOCATION</t>
  </si>
  <si>
    <t>SOUSS PIENTURES</t>
  </si>
  <si>
    <t>ASSKO PACK</t>
  </si>
  <si>
    <t>AJARIF INFO</t>
  </si>
  <si>
    <t>SOMACHAME</t>
  </si>
  <si>
    <t>SOMALAM</t>
  </si>
  <si>
    <t>KARE ACCOUNTING</t>
  </si>
  <si>
    <t>MOGETRAC</t>
  </si>
  <si>
    <t>MTL</t>
  </si>
  <si>
    <t>CARREFOUR</t>
  </si>
  <si>
    <t xml:space="preserve">OP BOX </t>
  </si>
  <si>
    <t>EXMARIS</t>
  </si>
  <si>
    <t>TRANS EL HAMMAZ SARL AU</t>
  </si>
  <si>
    <t>MAXI AUTO</t>
  </si>
  <si>
    <t>G LOG MAROC</t>
  </si>
  <si>
    <t>IBEROSTAR</t>
  </si>
  <si>
    <t>LIMANETRANS SARL AU</t>
  </si>
  <si>
    <t>DAR MAKTOUB</t>
  </si>
  <si>
    <t>MAROC LEASING</t>
  </si>
  <si>
    <t>HOTEL EMILIO MORETTI</t>
  </si>
  <si>
    <t>AUTO LOOK</t>
  </si>
  <si>
    <t>CENTRALE AUTO CHERIFIENNE</t>
  </si>
  <si>
    <t>STATION TOTAL MAHATA SARL</t>
  </si>
  <si>
    <t xml:space="preserve">ROCAMORA </t>
  </si>
  <si>
    <t>ANWAR ET ELYAS TRANS</t>
  </si>
  <si>
    <t>KARTI MOHAMED - AVOCAT</t>
  </si>
  <si>
    <t>OUSSAAD NEGOCE</t>
  </si>
  <si>
    <t>TOTAL MAROC SA</t>
  </si>
  <si>
    <t>EE INDUSTRIAL CONSULTING</t>
  </si>
  <si>
    <t>COEUR DE SERTISSAGE</t>
  </si>
  <si>
    <t>INTER PLI</t>
  </si>
  <si>
    <t>DABA MAROC</t>
  </si>
  <si>
    <t>IKEA ZENATA</t>
  </si>
  <si>
    <t>COSMO NATURE</t>
  </si>
  <si>
    <t>LE CABESTAN</t>
  </si>
  <si>
    <t>STL AR</t>
  </si>
  <si>
    <t>EULER HERMES ACMAR</t>
  </si>
  <si>
    <t>RESTOPRO PIZZA</t>
  </si>
  <si>
    <t>DAR KAMAR</t>
  </si>
  <si>
    <t>FNAC CASA MM</t>
  </si>
  <si>
    <t>WAFA BAIL</t>
  </si>
  <si>
    <t>BESTMARK</t>
  </si>
  <si>
    <t>AYOUTRANS</t>
  </si>
  <si>
    <t>AUTO NEJMA</t>
  </si>
  <si>
    <t>BISTROT CHIC</t>
  </si>
  <si>
    <t>FENETRE SUR COUR</t>
  </si>
  <si>
    <t>OSTREA OUALIDIA</t>
  </si>
  <si>
    <t>SOFITEL MOGADOR</t>
  </si>
  <si>
    <t>KITEA GEANT BOUSKOURA</t>
  </si>
  <si>
    <t>LUNIM INDUSTRIE</t>
  </si>
  <si>
    <t>INSTITUT FRANCAIS</t>
  </si>
  <si>
    <t>DECATHLON</t>
  </si>
  <si>
    <t>MAZAGAN BEACH RESORT</t>
  </si>
  <si>
    <t>LILYS RESTO CASA</t>
  </si>
  <si>
    <t>I RESTORANTE ITALIANO</t>
  </si>
  <si>
    <t>SIMULATOR ONLINE</t>
  </si>
  <si>
    <t>LA PAUSE TAJINE</t>
  </si>
  <si>
    <t>MARJANE</t>
  </si>
  <si>
    <t>DSV TRANSPORT</t>
  </si>
  <si>
    <t>MR KITABRI HASSANE</t>
  </si>
  <si>
    <t>Mme ZINEB AMMOR</t>
  </si>
  <si>
    <t>SK CONTRACT</t>
  </si>
  <si>
    <t>HJM TRANS</t>
  </si>
  <si>
    <t>JTTL</t>
  </si>
  <si>
    <t>CAP-AOUYAL-FRICO TRANSPORT</t>
  </si>
  <si>
    <t>DISTRIMPEX SARL</t>
  </si>
  <si>
    <t>ABOU RAYANE</t>
  </si>
  <si>
    <t>GRUPO COMOBI</t>
  </si>
  <si>
    <t>YMMI TRANS</t>
  </si>
  <si>
    <t>ENVASES UNIVERSALES</t>
  </si>
  <si>
    <t>INNOVER TRANSPORT</t>
  </si>
  <si>
    <t>AZUR VOYAGES</t>
  </si>
  <si>
    <t>I2M TRANS</t>
  </si>
  <si>
    <t>SALAH EL BAHRAWI</t>
  </si>
  <si>
    <t>RENAULT COMMERCE MAROC</t>
  </si>
  <si>
    <t>SAS SOREMA</t>
  </si>
  <si>
    <t>S.A JAC N.V</t>
  </si>
  <si>
    <t>COMPOSANT DIFFUSION</t>
  </si>
  <si>
    <t>MALLARD FERRIERE</t>
  </si>
  <si>
    <t xml:space="preserve">HENGEL </t>
  </si>
  <si>
    <t>Sarten Ambalaj Sanayi ve Ticaret AS</t>
  </si>
  <si>
    <t>Novio Packaging BV</t>
  </si>
  <si>
    <t>ORANGE</t>
  </si>
  <si>
    <t>IVRMAD</t>
  </si>
  <si>
    <t>SAFI MED</t>
  </si>
  <si>
    <t>LE PORT DE NEGOCE</t>
  </si>
  <si>
    <t>CHAJARI BUSNISS</t>
  </si>
  <si>
    <t>ALAMSIM</t>
  </si>
  <si>
    <t>MARGLORY</t>
  </si>
  <si>
    <t>TRO</t>
  </si>
  <si>
    <t>METRO TRAVAUX</t>
  </si>
  <si>
    <t>Saribekir Ambalaj - SBK</t>
  </si>
  <si>
    <t>ACHBOUKH ABDELKARIM</t>
  </si>
  <si>
    <t>SOMAFERG</t>
  </si>
  <si>
    <t>BDP INTERNATIONAL</t>
  </si>
  <si>
    <t>VECTORYS</t>
  </si>
  <si>
    <t>TBG -TRANSPORT BEN EL GHALI</t>
  </si>
  <si>
    <t>GLUD</t>
  </si>
  <si>
    <t>RECOING &amp; JACQUETY</t>
  </si>
  <si>
    <t>ADVALUE</t>
  </si>
  <si>
    <t>GIUSEPPE LOGISTIKA</t>
  </si>
  <si>
    <t>COFACE MAROC</t>
  </si>
  <si>
    <t>MOON ASSUR (EX PREVAS)</t>
  </si>
  <si>
    <t>RAY CARGO</t>
  </si>
  <si>
    <t>BOUHOU NEGOCE</t>
  </si>
  <si>
    <t xml:space="preserve">MSEFER &amp; ASSOCIES </t>
  </si>
  <si>
    <t>DISYSTEM</t>
  </si>
  <si>
    <t>N4T MATERIALS</t>
  </si>
  <si>
    <t>ILIP S.r.l.</t>
  </si>
  <si>
    <t>BREXIT</t>
  </si>
  <si>
    <t>NOTRE COM</t>
  </si>
  <si>
    <t>E-PARTENAIRE</t>
  </si>
  <si>
    <t>SRM</t>
  </si>
  <si>
    <t>SOGELEASE</t>
  </si>
  <si>
    <t>R2M INDUSTRIE</t>
  </si>
  <si>
    <t>AHMED OUBARI</t>
  </si>
  <si>
    <t>ONEE</t>
  </si>
  <si>
    <t>ELECTROPLANET</t>
  </si>
  <si>
    <t>SENATOR</t>
  </si>
  <si>
    <t>SMAA</t>
  </si>
  <si>
    <t>STE HORIZON EXPRESS</t>
  </si>
  <si>
    <t>TOP BUREAU</t>
  </si>
  <si>
    <t xml:space="preserve">SCANDINAVIAN AUTO </t>
  </si>
  <si>
    <t>NWARA TRANS</t>
  </si>
  <si>
    <t>CONTINENTAL STEEL</t>
  </si>
  <si>
    <t>SOCIETE SAWSAN NEGOCE</t>
  </si>
  <si>
    <t xml:space="preserve">RC NEGOCE </t>
  </si>
  <si>
    <t>NADI NEGOCE</t>
  </si>
  <si>
    <t>RIMA RAFIK</t>
  </si>
  <si>
    <t>SOCAF</t>
  </si>
  <si>
    <t>DB SCHENKER MAROC</t>
  </si>
  <si>
    <t>HCME</t>
  </si>
  <si>
    <t>SALVA INDUSTRIAL</t>
  </si>
  <si>
    <t>PANEM INTERNATIONAL SAS</t>
  </si>
  <si>
    <t>MALLARD FRRIERE</t>
  </si>
  <si>
    <t>MSC MAROC</t>
  </si>
  <si>
    <t>RM SYSTEME SARL</t>
  </si>
  <si>
    <t>AVOCATS MOHAMED BENCHAKROUN &amp; KHADIJA EL ALAMI</t>
  </si>
  <si>
    <t>DECOSTORY</t>
  </si>
  <si>
    <t>PADEL NUESTRO</t>
  </si>
  <si>
    <t>RAMSA</t>
  </si>
  <si>
    <t>LES ALLIANCES</t>
  </si>
  <si>
    <t>STATE COM</t>
  </si>
  <si>
    <t>HCEM AUTOMOBILE</t>
  </si>
  <si>
    <t>Y.M.F EXTREME MOTORS</t>
  </si>
  <si>
    <t>SMEIA</t>
  </si>
  <si>
    <t xml:space="preserve">DAREB HITECH </t>
  </si>
  <si>
    <t>HMY</t>
  </si>
  <si>
    <t>ESPACE BADR</t>
  </si>
  <si>
    <t>MASSILY PORTUGAL</t>
  </si>
  <si>
    <t>OMNILOGISTIC</t>
  </si>
  <si>
    <t>BJORN</t>
  </si>
  <si>
    <t>GTPROTECT</t>
  </si>
  <si>
    <t>ASSURANCES ATLANTIQUE SUD</t>
  </si>
  <si>
    <t>ALLIANZ MAROC</t>
  </si>
  <si>
    <t>VINTEKK</t>
  </si>
  <si>
    <t>CMA CGM MAROC</t>
  </si>
  <si>
    <t>ALLO UNIVERS NETTOYAGE</t>
  </si>
  <si>
    <t xml:space="preserve">OTOKTONE </t>
  </si>
  <si>
    <t>SARGA SURF CAMP</t>
  </si>
  <si>
    <t>CHAMS ENERGY SOLUTIONS</t>
  </si>
  <si>
    <t>ARSLAN</t>
  </si>
  <si>
    <t xml:space="preserve">MOROPACK </t>
  </si>
  <si>
    <t>CHAIN PREJECT</t>
  </si>
  <si>
    <t>MOBIL TWO SARL</t>
  </si>
  <si>
    <t>MIDDLE EAST GLASS CONTAINERS-SADAT CO.S.A.E</t>
  </si>
  <si>
    <t xml:space="preserve">LIWICOM </t>
  </si>
  <si>
    <t>BASTURK CAM SANAYI VE TICARET</t>
  </si>
  <si>
    <t>KANDIL</t>
  </si>
  <si>
    <t>MOHAMED FEKHAR</t>
  </si>
  <si>
    <t>JAD TRAVEL</t>
  </si>
  <si>
    <t>OCONTROL</t>
  </si>
  <si>
    <t>SAT MESSAGERIE</t>
  </si>
  <si>
    <t>ENVASES IBERICA</t>
  </si>
  <si>
    <t>BA GLASS</t>
  </si>
  <si>
    <t>LOCOFREIGHT</t>
  </si>
  <si>
    <t>MAERSK MAROC</t>
  </si>
  <si>
    <t>PNEURAMA</t>
  </si>
  <si>
    <t xml:space="preserve">MIDAS </t>
  </si>
  <si>
    <t>MAGHREB CONSULTING</t>
  </si>
  <si>
    <t>KYM BUREAUTIQUE</t>
  </si>
  <si>
    <t>SUPRATOURS MESSAGERIE</t>
  </si>
  <si>
    <t>ASSURANCE IFRY</t>
  </si>
  <si>
    <t>COSCO SHIPING</t>
  </si>
  <si>
    <t>GROUP AUTO PLUS</t>
  </si>
  <si>
    <t xml:space="preserve">AMANA EXPRESS </t>
  </si>
  <si>
    <t>NEW SUN DISTRIBUTION EXPRESS</t>
  </si>
  <si>
    <t>BEJDIS SARL</t>
  </si>
  <si>
    <t>SISECAM DIS TICARET A.S</t>
  </si>
  <si>
    <t>EXPERT FREIGHT</t>
  </si>
  <si>
    <t>GHAZALA MESSAGERIE</t>
  </si>
  <si>
    <t>GAMMA TRANSIT</t>
  </si>
  <si>
    <t>PNEUMATIQUE SOUSS</t>
  </si>
  <si>
    <t>IMANE SAFOUI</t>
  </si>
  <si>
    <t>AIRFRANCE</t>
  </si>
  <si>
    <t>PADEL MAROC NACHO PAYAN</t>
  </si>
  <si>
    <t>DOUNIA MATRIAUX CONSTRUCTION</t>
  </si>
  <si>
    <t>AUTO HALL</t>
  </si>
  <si>
    <t>MTR EXPRESS</t>
  </si>
  <si>
    <t>MAFRE MAROC ASSISTANCE</t>
  </si>
  <si>
    <t>MALI ZELLIJ DISTRIBUTION</t>
  </si>
  <si>
    <t>SG MANUTENTION</t>
  </si>
  <si>
    <t>SOCIETE REGIONALE MULTISERVICES CASA-SETTAT</t>
  </si>
  <si>
    <t>TRANS UNIVERS</t>
  </si>
  <si>
    <t>CCEI POOL MAROC</t>
  </si>
  <si>
    <t>BERLIN PACKAGING ITALY S.P.A</t>
  </si>
  <si>
    <t>UNIVERS DIGITAL</t>
  </si>
  <si>
    <t>AMUZEUM</t>
  </si>
  <si>
    <t>TRAFIMAR MAROC</t>
  </si>
  <si>
    <t>BOOKMANIA</t>
  </si>
  <si>
    <t>LES BATISSEURS DU FUTUR</t>
  </si>
  <si>
    <t>ASNITRANS</t>
  </si>
  <si>
    <t>SALAH ELBAHRAWI</t>
  </si>
  <si>
    <t>SRM SOUSS MASSA</t>
  </si>
  <si>
    <t>GF METHOD</t>
  </si>
  <si>
    <t>KENNEDY HOSPITALITY RESORT</t>
  </si>
  <si>
    <t xml:space="preserve">COLONIE RESIDENCES </t>
  </si>
  <si>
    <t>LA CANTINE FAMILY</t>
  </si>
  <si>
    <t>AIRARABIA</t>
  </si>
  <si>
    <t>TOYOTA DU MAROC</t>
  </si>
  <si>
    <t>RELAX HOTELS</t>
  </si>
  <si>
    <t>MY CHOCOLAT SARL</t>
  </si>
  <si>
    <t>CASA GALICIA</t>
  </si>
  <si>
    <t xml:space="preserve">TILDI HOTEL </t>
  </si>
  <si>
    <t>RISTORANTE ITALIANO</t>
  </si>
  <si>
    <t>LA PLAYA</t>
  </si>
  <si>
    <t>RESTOPRO BOUSKOURA</t>
  </si>
  <si>
    <t>INCONA</t>
  </si>
  <si>
    <t xml:space="preserve">MCDONAL'S </t>
  </si>
  <si>
    <t>RESTAURANT ZAYNA</t>
  </si>
  <si>
    <t>DAR LYS</t>
  </si>
  <si>
    <t>ATLAS HOSPITALITY TERMINUS</t>
  </si>
  <si>
    <t xml:space="preserve">BOUACHRA ELEC </t>
  </si>
  <si>
    <t>MAROC EQUIPEMENT SERVICE</t>
  </si>
  <si>
    <t>ROYAL MANSOUR</t>
  </si>
  <si>
    <t>LITTLE MAMMA</t>
  </si>
  <si>
    <t>LE TIRE BOUCHON</t>
  </si>
  <si>
    <t>RESTAURANT KOYA</t>
  </si>
  <si>
    <t>ONCF</t>
  </si>
  <si>
    <t>CASA PADRE</t>
  </si>
  <si>
    <t>SNACK AMINE</t>
  </si>
  <si>
    <t>WAFA GRANIT</t>
  </si>
  <si>
    <t>SOFITEL AGADIR ROYAL BAY</t>
  </si>
  <si>
    <t xml:space="preserve">TRESALUM </t>
  </si>
  <si>
    <t>RIBSON</t>
  </si>
  <si>
    <t>GRP ANDALOUS</t>
  </si>
  <si>
    <t xml:space="preserve">WEEZEVENT </t>
  </si>
  <si>
    <t>NESPRESSO</t>
  </si>
  <si>
    <t>TECHNIC SOLUTIONS SERVICES</t>
  </si>
  <si>
    <t>TISSIR TIRE</t>
  </si>
  <si>
    <t>IDO BUILD</t>
  </si>
  <si>
    <t>ATELIER GOURMAND</t>
  </si>
  <si>
    <t xml:space="preserve">BLEND </t>
  </si>
  <si>
    <t>LUXURY EL ANDALOUS</t>
  </si>
  <si>
    <t>LE DELI ROBUCHON</t>
  </si>
  <si>
    <t xml:space="preserve">KEREST SARL </t>
  </si>
  <si>
    <t>NORI REST</t>
  </si>
  <si>
    <t>LE PETIT CORNICHON</t>
  </si>
  <si>
    <t>PALAIS ANTHEA</t>
  </si>
  <si>
    <t>LAPIZ PRIVE</t>
  </si>
  <si>
    <t>METARUN NEGOCE</t>
  </si>
  <si>
    <t>B.MOUH NEGOCE</t>
  </si>
  <si>
    <t>S.I.A.M</t>
  </si>
  <si>
    <t>JET DRIVE</t>
  </si>
  <si>
    <t>FATIHA OUCHANE</t>
  </si>
  <si>
    <t xml:space="preserve">ETABLISSEMENT SOUSS </t>
  </si>
  <si>
    <t>CLOUD PRINT</t>
  </si>
  <si>
    <t xml:space="preserve">COLORADO </t>
  </si>
  <si>
    <t>IBIS</t>
  </si>
  <si>
    <t xml:space="preserve">ODASSIA </t>
  </si>
  <si>
    <t>AUTO COOL</t>
  </si>
  <si>
    <t>ZENATA CLUB</t>
  </si>
  <si>
    <t>BOUSANIKT</t>
  </si>
  <si>
    <t>REST BEACH COMPANY</t>
  </si>
  <si>
    <t>RCW SARL</t>
  </si>
  <si>
    <t>ROBUCHON CLUBHOUSE</t>
  </si>
  <si>
    <t>THE RITZ CARLTON</t>
  </si>
  <si>
    <t>COMPTOIR UNIVERSEL GLOBAL</t>
  </si>
  <si>
    <t>MANAL ELEC</t>
  </si>
  <si>
    <t>ITALCIA</t>
  </si>
  <si>
    <t>B&amp;B HOTEL PORTO</t>
  </si>
  <si>
    <t xml:space="preserve">HOTEL OCCIDENTAL VIGO </t>
  </si>
  <si>
    <t>SILVER AUTO SERVICE</t>
  </si>
  <si>
    <t>TABLE III REST</t>
  </si>
  <si>
    <t>RESTOPRO</t>
  </si>
  <si>
    <t>PAUL CIEL</t>
  </si>
  <si>
    <t>RITUEL AGADIR</t>
  </si>
  <si>
    <t>ZANZI BAR</t>
  </si>
  <si>
    <t>AFRIQUE WATER</t>
  </si>
  <si>
    <t>MAGHREB FLUIDE</t>
  </si>
  <si>
    <t>XV SERVICES</t>
  </si>
  <si>
    <t>PULLMAN DU SUD</t>
  </si>
  <si>
    <t>MAROC DESSERT</t>
  </si>
  <si>
    <t>KHARBOUCH SAID</t>
  </si>
  <si>
    <t>EQUIPEMENT BASSIF</t>
  </si>
  <si>
    <t xml:space="preserve">LUCY IN THE SKY </t>
  </si>
  <si>
    <t>RELAIS DE PARIS</t>
  </si>
  <si>
    <t>GUICHET MAROC</t>
  </si>
  <si>
    <t>SEPALUMIC MAROC</t>
  </si>
  <si>
    <t>VTAR</t>
  </si>
  <si>
    <t>PREFACE</t>
  </si>
  <si>
    <t>UPLINE COURTAGE</t>
  </si>
  <si>
    <t>JOES BEACH</t>
  </si>
  <si>
    <t>DEKRA AUTOMOTIVE</t>
  </si>
  <si>
    <t>BAIE BLANCH</t>
  </si>
  <si>
    <t>LARBRE DE ZOE</t>
  </si>
  <si>
    <t xml:space="preserve">ILOLI </t>
  </si>
  <si>
    <t>DAR BABA</t>
  </si>
  <si>
    <t>KOOL SMOOTHIE</t>
  </si>
  <si>
    <t>RYAD WATIER</t>
  </si>
  <si>
    <t>HOTEL PRESTIGE AGADIR SPA</t>
  </si>
  <si>
    <t xml:space="preserve">L'ARDOISE GOURMANDE </t>
  </si>
  <si>
    <t xml:space="preserve">TIKIDA BEACH </t>
  </si>
  <si>
    <t xml:space="preserve">LONGUE VIE HOTEL </t>
  </si>
  <si>
    <t xml:space="preserve">EXLOITATION ZEITOUN </t>
  </si>
  <si>
    <t xml:space="preserve">PURE PASSION </t>
  </si>
  <si>
    <t xml:space="preserve">BUDDHA BAR </t>
  </si>
  <si>
    <t>THE VIEW AGADIR</t>
  </si>
  <si>
    <t>RIAD VILLA BLANCHE</t>
  </si>
  <si>
    <t>OASIS CAFE</t>
  </si>
  <si>
    <t>RMA ASSURANCE</t>
  </si>
  <si>
    <t xml:space="preserve">POWER FILL </t>
  </si>
  <si>
    <t>REST BABA TURC</t>
  </si>
  <si>
    <t>TST</t>
  </si>
  <si>
    <t>NOMOS SERVICES</t>
  </si>
  <si>
    <t xml:space="preserve">STE FRERES HAUTS </t>
  </si>
  <si>
    <t>TOVTS</t>
  </si>
  <si>
    <t xml:space="preserve">DANI WEB </t>
  </si>
  <si>
    <t>STE CARROSSERIE ABOUELFALAH</t>
  </si>
  <si>
    <t>GAMA ALMANAR ATELIER</t>
  </si>
  <si>
    <t>AUTO ASSISTANCE</t>
  </si>
  <si>
    <t>J&amp;M TECHNOLOGIE</t>
  </si>
  <si>
    <t>CAFC</t>
  </si>
  <si>
    <t>HOTEL DAKHLA SOUTH BAY</t>
  </si>
  <si>
    <t xml:space="preserve">PALM CULINAIRE </t>
  </si>
  <si>
    <t>DA NOLITA</t>
  </si>
  <si>
    <t>UNION MARRUECOS SOLUCION</t>
  </si>
  <si>
    <t xml:space="preserve">FADELA GRILL </t>
  </si>
  <si>
    <t>GOOD FOOD MIAMI</t>
  </si>
  <si>
    <t xml:space="preserve">ISTIRAHA STATION </t>
  </si>
  <si>
    <t xml:space="preserve">REZO ROUTE </t>
  </si>
  <si>
    <t>BARCELO FES MEDINA</t>
  </si>
  <si>
    <t>SAHGUN AMBALAJ KIMYA VE GIDA SAN</t>
  </si>
  <si>
    <t>COUTITRA SERVICE</t>
  </si>
  <si>
    <t>MAQAM DES HABOUS</t>
  </si>
  <si>
    <t>CENTRO PORSCHE MARBELLA</t>
  </si>
  <si>
    <t>LA BODEGA DE CASABLANCA</t>
  </si>
  <si>
    <t>AUTO BLADI</t>
  </si>
  <si>
    <t>SH MARKET</t>
  </si>
  <si>
    <t>AXA ASSURANCE</t>
  </si>
  <si>
    <t>MAISON OLIIER</t>
  </si>
  <si>
    <t>AFMA ASSURANCE</t>
  </si>
  <si>
    <t>SCHENKER MAROC</t>
  </si>
  <si>
    <t>ECO TERRE</t>
  </si>
  <si>
    <t>MALTI HICHAM</t>
  </si>
  <si>
    <t>PATCHI GHANDI</t>
  </si>
  <si>
    <t xml:space="preserve">GRIPAC </t>
  </si>
  <si>
    <t xml:space="preserve">REST RYAD DU PECHEUR </t>
  </si>
  <si>
    <t>REST OH MY BUN</t>
  </si>
  <si>
    <t>MTT EXPERTISES</t>
  </si>
  <si>
    <t>STE MAROCAINE DE PROMOTION</t>
  </si>
  <si>
    <t>SWIFT DESK</t>
  </si>
  <si>
    <t>V5 DIGITAL</t>
  </si>
  <si>
    <t>KOMFORAUTO</t>
  </si>
  <si>
    <t>REST KOYA</t>
  </si>
  <si>
    <t xml:space="preserve">FAIRMONT ROYAL </t>
  </si>
  <si>
    <t>NEW ANFA NEGOCE</t>
  </si>
  <si>
    <t>MT POLYVALENTE</t>
  </si>
  <si>
    <t>INDUSTRIAS BETIK, S.A</t>
  </si>
  <si>
    <t>BAB MANSOUR</t>
  </si>
  <si>
    <t>SODISMA</t>
  </si>
  <si>
    <t>RIAD PASSIFLORA</t>
  </si>
  <si>
    <t>LOS PESCADEROS</t>
  </si>
  <si>
    <t>MP TRANSPORT</t>
  </si>
  <si>
    <t>CONFORT &amp; DESIGN MEUBLES DE BUREAU</t>
  </si>
  <si>
    <t>LE 7EME CIEL</t>
  </si>
  <si>
    <t>BALEARIA</t>
  </si>
  <si>
    <t>CAFE M</t>
  </si>
  <si>
    <t>ARIS</t>
  </si>
  <si>
    <t>Type</t>
  </si>
  <si>
    <t>Référence article</t>
  </si>
  <si>
    <t>Désignation</t>
  </si>
  <si>
    <t>Nomenclature</t>
  </si>
  <si>
    <t>Famille</t>
  </si>
  <si>
    <t>Standard</t>
  </si>
  <si>
    <t>ZIMOHMY</t>
  </si>
  <si>
    <t>MOBILIE MAGASIN HMY</t>
  </si>
  <si>
    <t>Aucune</t>
  </si>
  <si>
    <t>ZAC</t>
  </si>
  <si>
    <t>ZDESCOMPTE</t>
  </si>
  <si>
    <t>DESCOMPTE</t>
  </si>
  <si>
    <t>ZTX</t>
  </si>
  <si>
    <t>Z8457000000011</t>
  </si>
  <si>
    <t>STAR VIE BASALTO OSIRIS</t>
  </si>
  <si>
    <t>ZRQ</t>
  </si>
  <si>
    <t>Z8452000000542</t>
  </si>
  <si>
    <t xml:space="preserve">STAR VIE PRODIGY 24K </t>
  </si>
  <si>
    <t>Z8445402249060</t>
  </si>
  <si>
    <t xml:space="preserve">NECESER BULLPADEL D.CASE CORAL </t>
  </si>
  <si>
    <t>ZSAC</t>
  </si>
  <si>
    <t>Z8445402248964</t>
  </si>
  <si>
    <t xml:space="preserve">BOLSA BULLPADEL NEGRO MUJER  </t>
  </si>
  <si>
    <t>Z8445402248797</t>
  </si>
  <si>
    <t xml:space="preserve">BOLSA BULLPADEL PERFORMANCE CORAL  </t>
  </si>
  <si>
    <t>Z8445402248780</t>
  </si>
  <si>
    <t xml:space="preserve">BOLSA BULLPADEL BPP-23014 PERFORMANCE KAKI  </t>
  </si>
  <si>
    <t>Z8445402248773</t>
  </si>
  <si>
    <t xml:space="preserve">BOLSA BULLPADEL BPP-23014 PERFORMANCE NEGRO AZUL  </t>
  </si>
  <si>
    <t>Z8445402248520</t>
  </si>
  <si>
    <t xml:space="preserve">BULPPADEL ELITE W MUJER 2023 </t>
  </si>
  <si>
    <t>Z8445402248513</t>
  </si>
  <si>
    <t xml:space="preserve">BULLPADEL FLOW W MUJER 2023 </t>
  </si>
  <si>
    <t>Z8445402248506</t>
  </si>
  <si>
    <t xml:space="preserve">BULLPADEL VERTEX 03 W MUJER 2023 </t>
  </si>
  <si>
    <t>Z8445402248490</t>
  </si>
  <si>
    <t xml:space="preserve">BULLPADEL VERTEX 03 COMFORT 2023 </t>
  </si>
  <si>
    <t>Z8445402248483</t>
  </si>
  <si>
    <t xml:space="preserve">BULLPADEL VERTEX 03 CTR 2023 </t>
  </si>
  <si>
    <t>Z8445402248476</t>
  </si>
  <si>
    <t xml:space="preserve">BULLPADEL VERTEX 03 2023 </t>
  </si>
  <si>
    <t>Z8445402248445</t>
  </si>
  <si>
    <t xml:space="preserve">BULLPADEL HACK 03 2023 </t>
  </si>
  <si>
    <t>Z8445402213382</t>
  </si>
  <si>
    <t xml:space="preserve">MOCHILA BULLPADEL FUN S GRIS  </t>
  </si>
  <si>
    <t>Z8445402202416</t>
  </si>
  <si>
    <t xml:space="preserve">PALETERO BULLPADEL XSERIES BPP22004 NARANJA  </t>
  </si>
  <si>
    <t>Z8445402126071</t>
  </si>
  <si>
    <t xml:space="preserve">NECESER BULLPADEL BPP-22018 HACK NEGRO  </t>
  </si>
  <si>
    <t>Z8445402125838</t>
  </si>
  <si>
    <t xml:space="preserve">MOCHILA BULLPADEL BPM-22001 HACK  </t>
  </si>
  <si>
    <t>Z8445402125678</t>
  </si>
  <si>
    <t xml:space="preserve">BOLSA BULLPADEL BPP 22006 FLOW NEGRO  </t>
  </si>
  <si>
    <t>Z8445402125616</t>
  </si>
  <si>
    <t xml:space="preserve">BOLSA BULLPADEL BPP-22001 VERTEX  </t>
  </si>
  <si>
    <t>Z8445402125371</t>
  </si>
  <si>
    <t xml:space="preserve">BOLSA BULLPADEL BPP 22012 HACK NEGRO  </t>
  </si>
  <si>
    <t>Z8445402125272</t>
  </si>
  <si>
    <t xml:space="preserve">BULLPADEL VERTEX JUNIOR GIRL </t>
  </si>
  <si>
    <t>Z8445402125258</t>
  </si>
  <si>
    <t xml:space="preserve">BULLPADEL VERTEX JUNIOR BOY </t>
  </si>
  <si>
    <t>Z8445402125210</t>
  </si>
  <si>
    <t xml:space="preserve">BULLPADEL INDIGA W MUJER </t>
  </si>
  <si>
    <t>Z8445402125197</t>
  </si>
  <si>
    <t xml:space="preserve">BULLPADEL INDIGA POWER 2022 </t>
  </si>
  <si>
    <t>Z8445402125173</t>
  </si>
  <si>
    <t xml:space="preserve">BULLPADEL INDIGA CONTROL </t>
  </si>
  <si>
    <t>Z8445402125159</t>
  </si>
  <si>
    <t xml:space="preserve">BULLPADEL BP10 EVO 2022 </t>
  </si>
  <si>
    <t>Z8445402125074</t>
  </si>
  <si>
    <t xml:space="preserve">BULLPADEL AXYM DB 2022 </t>
  </si>
  <si>
    <t>Z8445402125050</t>
  </si>
  <si>
    <t xml:space="preserve">BULLPADEL IONIC CONTROL </t>
  </si>
  <si>
    <t>Z8445402125036</t>
  </si>
  <si>
    <t xml:space="preserve">BULLPADEL IONIC POWER </t>
  </si>
  <si>
    <t>Z8441000000249</t>
  </si>
  <si>
    <t xml:space="preserve">PALETERO STAR VIE TITANIA PRO  </t>
  </si>
  <si>
    <t>Z8441000000232</t>
  </si>
  <si>
    <t xml:space="preserve">PALETERO STAR VIE BASALTO PRO  </t>
  </si>
  <si>
    <t>Z8437024363538</t>
  </si>
  <si>
    <t>STARVIE METHEORA DUAL 2023</t>
  </si>
  <si>
    <t>Z8437024363460</t>
  </si>
  <si>
    <t xml:space="preserve">PALETERO STARVIE TITANIA LINE PTITANIALINE </t>
  </si>
  <si>
    <t>Z8437024363453</t>
  </si>
  <si>
    <t xml:space="preserve">PALETERO STARVIE AQUILA LINE PAQUILINE </t>
  </si>
  <si>
    <t>Z8437024363439</t>
  </si>
  <si>
    <t xml:space="preserve">PALETERO STARVIE BASALTO TOUR BAG PBASTB </t>
  </si>
  <si>
    <t>Z8437024363422</t>
  </si>
  <si>
    <t xml:space="preserve">PALETERO STARVIE TRITON 2.0 BAG PTRITON2-0 </t>
  </si>
  <si>
    <t>Z8437024363354</t>
  </si>
  <si>
    <t>STARVIE DRONOS GALAXY SPEED 2.0 2023</t>
  </si>
  <si>
    <t>Z8437024363248</t>
  </si>
  <si>
    <t>STARVIE ARCADIA 2.0 2023</t>
  </si>
  <si>
    <t>Z8437024363231</t>
  </si>
  <si>
    <t>STARVIE VESTA 2.0 2023</t>
  </si>
  <si>
    <t>Z8437024363200</t>
  </si>
  <si>
    <t>STARVIE TITANIA KEPLER PRO 2.0 2023</t>
  </si>
  <si>
    <t>Z8437024363187</t>
  </si>
  <si>
    <t>STARVIE AQUILA SPACE PRO 2.0 2023</t>
  </si>
  <si>
    <t>Z8437024363149</t>
  </si>
  <si>
    <t>STARVIE BASALTO OSIRIS PRO 2.0 2023</t>
  </si>
  <si>
    <t>Z8437024363125</t>
  </si>
  <si>
    <t xml:space="preserve">STARVIE TRITÓN PRO 2.0 2023 </t>
  </si>
  <si>
    <t>Z8436603192767</t>
  </si>
  <si>
    <t xml:space="preserve">NOX SILHOUTTE CASUAL SERIES 23 </t>
  </si>
  <si>
    <t>Z8436603192538</t>
  </si>
  <si>
    <t>NOX MP10 GEM ATOMIKAS 23</t>
  </si>
  <si>
    <t>Z8436603192521</t>
  </si>
  <si>
    <t xml:space="preserve">NOX MJ10 GEM ATOMIKAS 23 </t>
  </si>
  <si>
    <t>Z8436603192491</t>
  </si>
  <si>
    <t>NOX ML10 SHOTGUN LUXURY SERIES 23</t>
  </si>
  <si>
    <t>Z8436603192163</t>
  </si>
  <si>
    <t xml:space="preserve">NOX AT10 GENIUS 12K BY AGUSTIN TAPIA 23 </t>
  </si>
  <si>
    <t>Z8436603192156</t>
  </si>
  <si>
    <t xml:space="preserve">NOX AT10 GENIUS 18K BY AGUSTÍN TAPIA 23 </t>
  </si>
  <si>
    <t>Z8436603190947</t>
  </si>
  <si>
    <t xml:space="preserve">NOX MM2 PRO </t>
  </si>
  <si>
    <t>Z8436572008335</t>
  </si>
  <si>
    <t xml:space="preserve">BLACK CROWN HURRICANE 2022 </t>
  </si>
  <si>
    <t>Z8436572007505</t>
  </si>
  <si>
    <t xml:space="preserve">PALETERO BLACK CROWN HURRICANE GRIS VERDE FLUOR  </t>
  </si>
  <si>
    <t>Z8436572004702</t>
  </si>
  <si>
    <t xml:space="preserve">BLACK CROWN PITON ATTACK PLUS </t>
  </si>
  <si>
    <t>Z8436572003514</t>
  </si>
  <si>
    <t xml:space="preserve">BLACK CROWN PITON AIR 20 </t>
  </si>
  <si>
    <t>Z8436572001169</t>
  </si>
  <si>
    <t xml:space="preserve">BLACK CROWN PITON 7.0 </t>
  </si>
  <si>
    <t>Z8436572000032</t>
  </si>
  <si>
    <t xml:space="preserve">BLACK CROWN PITON 4.0 </t>
  </si>
  <si>
    <t>Z8436567661750</t>
  </si>
  <si>
    <t xml:space="preserve">NOX ML10 SHOTGUN LUXURY SERIES 2022 </t>
  </si>
  <si>
    <t>Z8436567661743</t>
  </si>
  <si>
    <t xml:space="preserve">NOX AT10 GENIUS BY AGUSTÍN TAPIA 2022 </t>
  </si>
  <si>
    <t>Z8436567661590</t>
  </si>
  <si>
    <t xml:space="preserve">NOX ULTIMATE POWER 3 ORO </t>
  </si>
  <si>
    <t>Z8436567654837</t>
  </si>
  <si>
    <t xml:space="preserve">PALETERO NOX PADEL TOUR NEGRO BPTOURNEGRO  </t>
  </si>
  <si>
    <t>Z8436520099644</t>
  </si>
  <si>
    <t>BLACK CROWN HURRICANE PRO 2.0 2023</t>
  </si>
  <si>
    <t>Z8436520099569</t>
  </si>
  <si>
    <t>BLACK CROWN SPECIAL 16K 2023</t>
  </si>
  <si>
    <t>Z8436049561301</t>
  </si>
  <si>
    <t>BOTE 120 UD OVERGRIPS NOX PRO COLORES</t>
  </si>
  <si>
    <t>Z8435536771063</t>
  </si>
  <si>
    <t xml:space="preserve">SIUX SG COPPER EDITION 18K (España) </t>
  </si>
  <si>
    <t>Z8435536771049</t>
  </si>
  <si>
    <t xml:space="preserve">SIUX SG DIABLO REVOLUTION II SANYO PRO (Marruecos) </t>
  </si>
  <si>
    <t>Z8435536768568</t>
  </si>
  <si>
    <t>POLO PADEL NUESTRO HOMBRE CUELLO(61052010) (Portugal) L</t>
  </si>
  <si>
    <t>Z8435536768483</t>
  </si>
  <si>
    <t>POLO PADEL NUESTRO CUELLO MUJER(61052010) (Portugal) M</t>
  </si>
  <si>
    <t>Z8435536767998</t>
  </si>
  <si>
    <t xml:space="preserve">SIUX ELECTRA ST1 M (Marruecos) </t>
  </si>
  <si>
    <t>Z8435536761927</t>
  </si>
  <si>
    <t>GORRA TECNICA PADEL NUESTRO LOGO NUEVO</t>
  </si>
  <si>
    <t>Z8435536752109</t>
  </si>
  <si>
    <t xml:space="preserve">SIUX ELECTRA ST2 </t>
  </si>
  <si>
    <t>Z8435536752079</t>
  </si>
  <si>
    <t xml:space="preserve">SIUX DIABLO REVOLUTION II AIR (Marruecos) </t>
  </si>
  <si>
    <t>Z8435536746177</t>
  </si>
  <si>
    <t xml:space="preserve">MOCHILA SIUX FUSION AZUL  </t>
  </si>
  <si>
    <t>Z8435536746146</t>
  </si>
  <si>
    <t xml:space="preserve">MOCHILA SIUX FUSION NEGRO ROJO  </t>
  </si>
  <si>
    <t>Z8435536745828</t>
  </si>
  <si>
    <t xml:space="preserve">SIUX PEGASUS 3K 2022 </t>
  </si>
  <si>
    <t>Z8435536745811</t>
  </si>
  <si>
    <t xml:space="preserve">SIUX PEGASUS 3K AMARILLO 2022 (Marruecos) </t>
  </si>
  <si>
    <t>Z8435536745521</t>
  </si>
  <si>
    <t xml:space="preserve">SIUX CURVE AVANT AMARILLO </t>
  </si>
  <si>
    <t>Z8435536745392</t>
  </si>
  <si>
    <t>SIUX TSUNAMI ALL BLACK 3K ROJO</t>
  </si>
  <si>
    <t>Z8435536744241</t>
  </si>
  <si>
    <t>SIUX SX6 WOMAN 2022</t>
  </si>
  <si>
    <t>Z8435536738547</t>
  </si>
  <si>
    <t xml:space="preserve">SIUX TSUNAMI JUNIOR </t>
  </si>
  <si>
    <t>Z8435536737670</t>
  </si>
  <si>
    <t xml:space="preserve">PALETERO SIUX COMBI TOUR PÚRPURA  </t>
  </si>
  <si>
    <t>Z8435536737663</t>
  </si>
  <si>
    <t xml:space="preserve">PALETERO SIUX COMBI TOUR AZUL  </t>
  </si>
  <si>
    <t>Z8435536737649</t>
  </si>
  <si>
    <t xml:space="preserve">PALETERO SIUX COMBI TOUR AMARILLO  </t>
  </si>
  <si>
    <t>Z8435536734976</t>
  </si>
  <si>
    <t xml:space="preserve">SIUX DIABLO ALL BLACK 2020 AMG01  (España) </t>
  </si>
  <si>
    <t>Z8435536728715</t>
  </si>
  <si>
    <t xml:space="preserve">MOCHILA SIUX TRAIL 2.0 GOLD  </t>
  </si>
  <si>
    <t>Z8435536723956</t>
  </si>
  <si>
    <t>TAMBOR OVERGRIPS SIUX PRO X60 BLANCO PERFORADO</t>
  </si>
  <si>
    <t>Z8435393586787</t>
  </si>
  <si>
    <t xml:space="preserve">BOLSO DROP SHOT LIMA 22 COBRE MUJER  </t>
  </si>
  <si>
    <t>Z8435393583748</t>
  </si>
  <si>
    <t xml:space="preserve">DROP SHOT CONQUEROR 10 </t>
  </si>
  <si>
    <t>Z8435393583731</t>
  </si>
  <si>
    <t xml:space="preserve">DROP SHOT CONQUEROR 10 SOFT </t>
  </si>
  <si>
    <t>Z8435393583625</t>
  </si>
  <si>
    <t xml:space="preserve">DROP SHOT DELTA 2.0 </t>
  </si>
  <si>
    <t>Z8434417357549</t>
  </si>
  <si>
    <t xml:space="preserve">PALETERO BULLPADEL XSERIES NEGRO AZUL  </t>
  </si>
  <si>
    <t>Z8434417357501</t>
  </si>
  <si>
    <t xml:space="preserve">MOCHILA BULLPADEL X-COMPACT AMARILLO  </t>
  </si>
  <si>
    <t>Z8403001230926</t>
  </si>
  <si>
    <t xml:space="preserve">PALETERO VARLION BEGINS RED 220301602  </t>
  </si>
  <si>
    <t>Z8403001230834</t>
  </si>
  <si>
    <t xml:space="preserve">PALETERO VARLION SUMMUM PRO MARRON  </t>
  </si>
  <si>
    <t>Z8402004199865</t>
  </si>
  <si>
    <t xml:space="preserve">PROTECTOR VARLION HEXAGON NEGRO (Switzerland) </t>
  </si>
  <si>
    <t>Z8401010262198</t>
  </si>
  <si>
    <t xml:space="preserve">VARLION BOURNE CARBON 3 PRISMA 2023  (España) </t>
  </si>
  <si>
    <t>Z8401010262167</t>
  </si>
  <si>
    <t xml:space="preserve">VARLION MAXIMA PRISMA SOFT 2023  (España) </t>
  </si>
  <si>
    <t>Z8401010262150</t>
  </si>
  <si>
    <t xml:space="preserve">VARLION LW SUMMUM PRISMA AIRFLOW W 2023  (España) </t>
  </si>
  <si>
    <t>Z8401010262112</t>
  </si>
  <si>
    <t xml:space="preserve">VARLION BOURNE PRISMA AIRFLOW W LIMA 2023  (España) </t>
  </si>
  <si>
    <t>Z8401008201987</t>
  </si>
  <si>
    <t xml:space="preserve">VARLION LW HEXAGON 8.8  (España) </t>
  </si>
  <si>
    <t>Z8401002250455</t>
  </si>
  <si>
    <t xml:space="preserve">VARLION CARRERA C BLACK LTD  (España) </t>
  </si>
  <si>
    <t>Z726423468592</t>
  </si>
  <si>
    <t xml:space="preserve">HEAD DELTA MOTION 2022 </t>
  </si>
  <si>
    <t>Z724794637593</t>
  </si>
  <si>
    <t xml:space="preserve">HEAD SPEED PRO X 2023 </t>
  </si>
  <si>
    <t>Z724794637579</t>
  </si>
  <si>
    <t xml:space="preserve">HEAD SPEED MOTION 2023 </t>
  </si>
  <si>
    <t>Z724794637562</t>
  </si>
  <si>
    <t xml:space="preserve">HEAD SPEED PRO 2023 </t>
  </si>
  <si>
    <t>Z724794634325</t>
  </si>
  <si>
    <t xml:space="preserve">HEAD EVO SPEED 2023 </t>
  </si>
  <si>
    <t>Z724794634226</t>
  </si>
  <si>
    <t xml:space="preserve">HEAD ZEPHYR UL 2023 </t>
  </si>
  <si>
    <t>Z724794627471</t>
  </si>
  <si>
    <t xml:space="preserve">MOCHILA HEAD TOUR 25 L ROSA  </t>
  </si>
  <si>
    <t>Z724794406618</t>
  </si>
  <si>
    <t xml:space="preserve">PALETERO HEAD TOUR TEAM MONSTERCOMBI NEGRO NARANJA  </t>
  </si>
  <si>
    <t>Z724794397312</t>
  </si>
  <si>
    <t xml:space="preserve">HEAD EVO DELTA 2022 </t>
  </si>
  <si>
    <t>Z724794376713</t>
  </si>
  <si>
    <t xml:space="preserve">HEAD EDGE LTD NARANJA </t>
  </si>
  <si>
    <t>Z724794375938</t>
  </si>
  <si>
    <t xml:space="preserve">PALETERO HEAD ELITE PADEL SUPERCOMBI 283702 BKWH  </t>
  </si>
  <si>
    <t>Z724794256268</t>
  </si>
  <si>
    <t>HEAD ULTIMATE POWER II</t>
  </si>
  <si>
    <t>Z724794221945</t>
  </si>
  <si>
    <t xml:space="preserve">HEAD FLASH W 2022 228272 </t>
  </si>
  <si>
    <t>Z7155-P</t>
  </si>
  <si>
    <t xml:space="preserve">GORRA HEAD NEGRA PROMOTION CAP     </t>
  </si>
  <si>
    <t>Z7053-P</t>
  </si>
  <si>
    <t xml:space="preserve">OVERGRIP ADIDAS 3 UNIDADES ROSA     </t>
  </si>
  <si>
    <t>Z7051-P</t>
  </si>
  <si>
    <t xml:space="preserve">OVERGRIP ADIDAS 3 UNIDADES BLANCO     </t>
  </si>
  <si>
    <t>Z7031-P</t>
  </si>
  <si>
    <t xml:space="preserve">CUBO DE 25 OVERGRIP ADIDAS     </t>
  </si>
  <si>
    <t>Z7029-P</t>
  </si>
  <si>
    <t xml:space="preserve">PROTECTOR ADIDAS ANTISHOCK TRANSPARENTE     </t>
  </si>
  <si>
    <t>Z32370-P</t>
  </si>
  <si>
    <t xml:space="preserve">CAJON BOTE BOLAS ADIDAS SPEEDRX BL1XA3U14    </t>
  </si>
  <si>
    <t>ZBL</t>
  </si>
  <si>
    <t>Z32245-2-140-P</t>
  </si>
  <si>
    <t>ADIDAS DEFIANT SPEED W CLAY CORE GX7135 MUJER   T 39 1/3</t>
  </si>
  <si>
    <t>ZCH</t>
  </si>
  <si>
    <t>Z32245-2-135-P</t>
  </si>
  <si>
    <t>ADIDAS DEFIANT SPEED W CLAY CORE GX7135 MUJER  T 38 2/3</t>
  </si>
  <si>
    <t>Z32245-2-13-P</t>
  </si>
  <si>
    <t>ADIDAS DEFIANT SPEED W CLAY CORE GX7135 MUJER  T 40</t>
  </si>
  <si>
    <t>Z32245-2-11-P</t>
  </si>
  <si>
    <t>ADIDAS DEFIANT SPEED W CLAY CORE GX7135 MUJER   T 38</t>
  </si>
  <si>
    <t>Z32223-1-4-P</t>
  </si>
  <si>
    <t>CAMISETA DE TIRANTES ADIDAS CLUB HN6199   L</t>
  </si>
  <si>
    <t>Z32223-1-3-P</t>
  </si>
  <si>
    <t>CAMISETA DE TIRANTES ADIDAS CLUB HN6199   M</t>
  </si>
  <si>
    <t>Z32223-1-2-P</t>
  </si>
  <si>
    <t>CAMISETA DE TIRANTES ADIDAS CLUB HN6199   S</t>
  </si>
  <si>
    <t>Z31828-1-5-P</t>
  </si>
  <si>
    <t>PANTALON CORTO ADIDAS CLUB GL5400    XL</t>
  </si>
  <si>
    <t>Z31828-1-4-P</t>
  </si>
  <si>
    <t>PANTALON CORTO ADIDAS CLUB GL5400    L</t>
  </si>
  <si>
    <t>Z31828-1-3-P</t>
  </si>
  <si>
    <t>PANTALON CORTO ADIDAS CLUB GL5400    M</t>
  </si>
  <si>
    <t>Z31541-2-16-P</t>
  </si>
  <si>
    <t>NIKE AIR COURT VAPOR PRO CZ0220 401 43</t>
  </si>
  <si>
    <t>Z31455-2-55-P</t>
  </si>
  <si>
    <t>ADIDAS ADIZERO UBERSONIC 4 M CLAY CO GY4004  T 44 2/3</t>
  </si>
  <si>
    <t>Z31455-2-54-P</t>
  </si>
  <si>
    <t>ADIDAS ADIZERO UBERSONIC 4 M CLAY CO GY4004  T 43 1/3</t>
  </si>
  <si>
    <t>Z31455-2-53-P</t>
  </si>
  <si>
    <t>ADIDAS ADIZERO UBERSONIC 4 M CLAY CO GY4004  T 42 2/3</t>
  </si>
  <si>
    <t>Z31439-1-4-P</t>
  </si>
  <si>
    <t>FALDA NOX TEAM T22MFATBL MUJER    L</t>
  </si>
  <si>
    <t>Z31439-1-3-P</t>
  </si>
  <si>
    <t>FALDA NOX TEAM T22MFATBL MUJER    M</t>
  </si>
  <si>
    <t>Z31439-1-2-P</t>
  </si>
  <si>
    <t>FALDA NOX TEAM T22MFATBL MUJER    S</t>
  </si>
  <si>
    <t>Z31436-1-4-P</t>
  </si>
  <si>
    <t>CAMISETA TIRANTES NOX TEAM FIT T22MCATTFBL MUJER    L</t>
  </si>
  <si>
    <t>Z31436-1-3-P</t>
  </si>
  <si>
    <t>CAMISETA TIRANTES NOX TEAM FIT T22MCATTFBL MUJER    M</t>
  </si>
  <si>
    <t>Z31436-1-2-P</t>
  </si>
  <si>
    <t>CAMISETA TIRANTES NOX TEAM FIT T22MCATTFBL MUJER    S</t>
  </si>
  <si>
    <t>Z31434-1-4-P</t>
  </si>
  <si>
    <t>SHORT NOX TEAM T22HSHTDB M</t>
  </si>
  <si>
    <t>Z31434-1-3-P</t>
  </si>
  <si>
    <t>SHORT NOX TEAM T22HSHTDB L</t>
  </si>
  <si>
    <t>Z31431-1-5-P</t>
  </si>
  <si>
    <t>CAMISETA NOX TEAM REGULAR T22HCATRDB    XL</t>
  </si>
  <si>
    <t>Z31431-1-4-P</t>
  </si>
  <si>
    <t>CAMISETA NOX TEAM REGULAR T22HCATRDB  M</t>
  </si>
  <si>
    <t>Z31431-1-3-P</t>
  </si>
  <si>
    <t>CAMISETA NOX TEAM REGULAR T22HCATRDB  L</t>
  </si>
  <si>
    <t>Z31430-1-5-P</t>
  </si>
  <si>
    <t>CAMISETA NOX TEAM REGULAR T22HCATRGR    XL</t>
  </si>
  <si>
    <t>Z31430-1-4-P</t>
  </si>
  <si>
    <t>CAMISETA NOX TEAM REGULAR T22HCATRGR    L</t>
  </si>
  <si>
    <t>Z31430-1-3-P</t>
  </si>
  <si>
    <t>CAMISETA NOX TEAM REGULAR T22HCATRGR    M</t>
  </si>
  <si>
    <t>Z31429-1-5-P</t>
  </si>
  <si>
    <t>POLO NOX TEAM T22HPOTRBL    XL</t>
  </si>
  <si>
    <t>Z31429-1-4-P</t>
  </si>
  <si>
    <t>POLO NOX TEAM T22HPOTRBL    L</t>
  </si>
  <si>
    <t>Z31429-1-3-P</t>
  </si>
  <si>
    <t>POLO NOX TEAM T22HPOTRBL    M</t>
  </si>
  <si>
    <t>Z31410-1-5-P</t>
  </si>
  <si>
    <t>SHORT NOX PRO PIRATE T22HSHPROPIB    XL</t>
  </si>
  <si>
    <t>Z31410-1-4-P</t>
  </si>
  <si>
    <t>SHORT NOX PRO PIRATE T22HSHPROPIB    L</t>
  </si>
  <si>
    <t>Z31392-1-4-P</t>
  </si>
  <si>
    <t>CAMISETA BASIC NOX T21HCABAZMBL    L</t>
  </si>
  <si>
    <t>Z31253-2-18-P</t>
  </si>
  <si>
    <t>BULLPADEL HACK HYBRID PN 22 BLANCO AZ15012000   T 45</t>
  </si>
  <si>
    <t>Z31253-2-17-P</t>
  </si>
  <si>
    <t>BULLPADEL HACK HYBRID PN 22 BLANCO AZ15012000   T 44</t>
  </si>
  <si>
    <t>Z31253-2-16-P</t>
  </si>
  <si>
    <t>BULLPADEL HACK HYBRID PN 22 BLANCO AZ15012000   T 43</t>
  </si>
  <si>
    <t>Z31253-2-15-P</t>
  </si>
  <si>
    <t>BULLPADEL HACK HYBRID PN 22 BLANCO AZ15012000  T 42</t>
  </si>
  <si>
    <t>Z31253-2-14-P</t>
  </si>
  <si>
    <t>BULLPADEL HACK HYBRID PN 22 BLANCO AZ15012000   T 41</t>
  </si>
  <si>
    <t>Z31186-1-5-P</t>
  </si>
  <si>
    <t>BERMUDA JOMA ECO CHAMPIONSHIP NAVY WHT 102841.332    XL</t>
  </si>
  <si>
    <t>Z31186-1-4-P</t>
  </si>
  <si>
    <t>BERMUDA JOMA ECO CHAMPIONSHIP NAVY WHT 102841.332    L</t>
  </si>
  <si>
    <t>Z31186-1-3-P</t>
  </si>
  <si>
    <t>BERMUDA JOMA ECO CHAMPIONSHIP NAVY WHT 102841.332    M</t>
  </si>
  <si>
    <t>Z31175-1-4-P</t>
  </si>
  <si>
    <t>CAMISETA JOMA M/C ECO CHAMP AZUL NAVY 102748.773   L</t>
  </si>
  <si>
    <t>Z31175-1-3-P</t>
  </si>
  <si>
    <t>CAMISETA JOMA M/C ECO CHAMP AZUL NAVY 102748.773    M</t>
  </si>
  <si>
    <t>Z31136-1-4-P</t>
  </si>
  <si>
    <t>CAMISETA JOMA ESSENTIAL 2 WHT-NAVY 101508.203   L</t>
  </si>
  <si>
    <t>Z31136-1-3-P</t>
  </si>
  <si>
    <t>CAMISETA JOMA ESSENTIAL 2 WHT-NAVY 101508.203    M</t>
  </si>
  <si>
    <t>Z31132-1-4-P</t>
  </si>
  <si>
    <t>CAMISETA JOMA WINNER ANTRACITA-NEGRO 100946.151    L</t>
  </si>
  <si>
    <t>Z31132-1-3-P</t>
  </si>
  <si>
    <t>CAMISETA JOMA WINNER ANTRACITA-NEGRO 100946.151   M</t>
  </si>
  <si>
    <t>Z30998-1-5-P</t>
  </si>
  <si>
    <t>CONJUNTO JHAYBER JEANS SPORTNET DA23046-35    XL</t>
  </si>
  <si>
    <t>Z30998-1-4-P</t>
  </si>
  <si>
    <t>CONJUNTO JHAYBER JEANS SPORTNET DA23046-35    L</t>
  </si>
  <si>
    <t>Z30998-1-3-P</t>
  </si>
  <si>
    <t>CONJUNTO JHAYBER JEANS SPORTNET DA23046-35    M</t>
  </si>
  <si>
    <t>Z30994-1-5-P</t>
  </si>
  <si>
    <t>CONJUNTO JHAYBER MOSAIC BLACK DA23045-200    XL</t>
  </si>
  <si>
    <t>Z30994-1-4-P</t>
  </si>
  <si>
    <t>CONJUNTO JHAYBER MOSAIC BLACK DA23045-200    L</t>
  </si>
  <si>
    <t>Z30994-1-3-P</t>
  </si>
  <si>
    <t>CONJUNTO JHAYBER MOSAIC BLACK DA23045-200    M</t>
  </si>
  <si>
    <t>Z30948-P</t>
  </si>
  <si>
    <t xml:space="preserve">MUNEQUERA VARLION CLASSIC  CELESTE ACCTEA220303400 W     </t>
  </si>
  <si>
    <t>Z30946-P</t>
  </si>
  <si>
    <t xml:space="preserve">MUNEQUERA VARLION CLASSIC PINK ACCTEA220301700 W </t>
  </si>
  <si>
    <t>Z30944-P</t>
  </si>
  <si>
    <t xml:space="preserve">MUNEQUERA VARLION CLASSIC NAVY/WH CCTEA220203600 </t>
  </si>
  <si>
    <t>Z30941-P</t>
  </si>
  <si>
    <t xml:space="preserve">MUNEQUERA VARLION CLASSIC GREEN ACCTEA220202900 </t>
  </si>
  <si>
    <t>Z30927-2-35-P</t>
  </si>
  <si>
    <t>BULLPADEL NEXT HYB PR W 22I AZ AZ64073000  T 39.5</t>
  </si>
  <si>
    <t>Z30927-2-34-P</t>
  </si>
  <si>
    <t>BULLPADEL NEXT HYB PR W 22I AZ AZ64073000  T 38.5</t>
  </si>
  <si>
    <t>Z30927-2-33-P</t>
  </si>
  <si>
    <t>BULLPADEL NEXT HYB PR W 22I AZ AZ64073000  T 37.5</t>
  </si>
  <si>
    <t>Z30925-2-13-P</t>
  </si>
  <si>
    <t>BULLPADEL FLOW HYB FLY 22I BL-K AZ63012015 MUJER  T 40</t>
  </si>
  <si>
    <t>Z30925-2-12-P</t>
  </si>
  <si>
    <t>BULLPADEL FLOW HYB FLY 22I BL-K AZ63012015 MUJER  T 39</t>
  </si>
  <si>
    <t>Z30925-2-11-P</t>
  </si>
  <si>
    <t>BULLPADEL FLOW HYB FLY 22I BL-K AZ63012015 MUJER   T 38</t>
  </si>
  <si>
    <t>Z30913-P</t>
  </si>
  <si>
    <t xml:space="preserve">MUNEQUERA BULLPADEL BPMU225 FW 420 005MUJER     </t>
  </si>
  <si>
    <t>Z30912-P</t>
  </si>
  <si>
    <t xml:space="preserve">GORRA BULLPADEL BPV2233 FW 057 MUJER     </t>
  </si>
  <si>
    <t>Z30911-P</t>
  </si>
  <si>
    <t xml:space="preserve">GORRA BULLPADEL BPV2233 FW 005 MUJER     </t>
  </si>
  <si>
    <t>Z30910-P</t>
  </si>
  <si>
    <t xml:space="preserve">GORRA BULLPADEL BPG2210 FW 721     </t>
  </si>
  <si>
    <t>Z30907-P</t>
  </si>
  <si>
    <t xml:space="preserve">GORRA BULLPADEL BPG2211 FW 012     </t>
  </si>
  <si>
    <t>Z30906-P</t>
  </si>
  <si>
    <t xml:space="preserve">GORRA BULLPADEL BPG2211 FW 005     </t>
  </si>
  <si>
    <t>Z30712-1-5-P</t>
  </si>
  <si>
    <t>CAMISETA BULLPADEL COJIN 721 AG20721000    XL</t>
  </si>
  <si>
    <t>Z30712-1-4-P</t>
  </si>
  <si>
    <t>CAMISETA BULLPADEL COJIN 721 AG20721000    L</t>
  </si>
  <si>
    <t>Z30712-1-3-P</t>
  </si>
  <si>
    <t>CAMISETA BULLPADEL COJIN 721 AG20721000    M</t>
  </si>
  <si>
    <t>Z30710-1-3-P</t>
  </si>
  <si>
    <t>CAMISETA BULLPADEL COATI 712 AG27712000  M</t>
  </si>
  <si>
    <t>Z30701-1-3-P</t>
  </si>
  <si>
    <t>CAMISETA BULLPADEL MIXTA 084 AI22084000  M</t>
  </si>
  <si>
    <t>Z30667-1-3-P</t>
  </si>
  <si>
    <t>SHORT BULLPADEL CODAL M 004 AG15004000  M</t>
  </si>
  <si>
    <t>Z30665-1-5-P</t>
  </si>
  <si>
    <t>SHORT BULLPADEL COCHI AG26184000    XL</t>
  </si>
  <si>
    <t>Z30665-1-4-P</t>
  </si>
  <si>
    <t>SHORT BULLPADEL COCHI AG26184000    L</t>
  </si>
  <si>
    <t>Z30665-1-3-P</t>
  </si>
  <si>
    <t>SHORT BULLPADEL COCHI AG26184000    M</t>
  </si>
  <si>
    <t>Z30664-1-5-P</t>
  </si>
  <si>
    <t>SHORT BULLPADEL COFRE 004 AG10004000    XL</t>
  </si>
  <si>
    <t>Z30664-1-4-P</t>
  </si>
  <si>
    <t>SHORT BULLPADEL COFRE 004 AG10004000    L</t>
  </si>
  <si>
    <t>Z30664-1-3-P</t>
  </si>
  <si>
    <t>SHORT BULLPADEL COFRE 004 AG10004000    M</t>
  </si>
  <si>
    <t>Z30657-1-3-P</t>
  </si>
  <si>
    <t>SHORT BULLPADEL MOLER 005 AI24005000  M</t>
  </si>
  <si>
    <t>Z30506-2-18-P</t>
  </si>
  <si>
    <t>JOMA T.SLAM MEN 2203 MARINO TSLAMW2203PN  T 45</t>
  </si>
  <si>
    <t>Z30506-2-17-P</t>
  </si>
  <si>
    <t>JOMA T.SLAM MEN 2203 MARINO TSLAMW2203PN   T 44</t>
  </si>
  <si>
    <t>Z30506-2-16-P</t>
  </si>
  <si>
    <t>JOMA T.SLAM MEN 2203 MARINO TSLAMW2203PN  T 43</t>
  </si>
  <si>
    <t>Z30506-2-15-P</t>
  </si>
  <si>
    <t>JOMA T.SLAM MEN 2203 MARINO TSLAMW2203PN  T 42</t>
  </si>
  <si>
    <t>Z30503-2-12-P</t>
  </si>
  <si>
    <t>JOMA T.SLAM 2202 BLANCO FUCSIA TSLALW2202P MUJER   T 39</t>
  </si>
  <si>
    <t>Z30503-2-11-P</t>
  </si>
  <si>
    <t>JOMA T.SLAM 2202 BLANCO FUCSIA TSLALW2202P MUJER  T 38</t>
  </si>
  <si>
    <t>Z30503-2-10-P</t>
  </si>
  <si>
    <t>JOMA T.SLAM 2202 BLANCO FUCSIA TSLALW2202P MUJER   T 37</t>
  </si>
  <si>
    <t>Z30488-2-18-P</t>
  </si>
  <si>
    <t>JOMA T.OPEN 2232 BLANCO ROJO AZUL TOPENW2232PN  T 45</t>
  </si>
  <si>
    <t>Z30488-2-17-P</t>
  </si>
  <si>
    <t>JOMA T.OPEN 2232 BLANCO ROJO AZUL TOPENW2232PN   T 44</t>
  </si>
  <si>
    <t>Z30488-2-16-P</t>
  </si>
  <si>
    <t>JOMA T.OPEN 2232 BLANCO ROJO AZUL TOPENW2232PN   T 43</t>
  </si>
  <si>
    <t>Z30488-2-15-P</t>
  </si>
  <si>
    <t>JOMA T.OPEN 2232 BLANCO ROJO AZUL TOPENW2232PN  T 42</t>
  </si>
  <si>
    <t>Z30488-2-14-P</t>
  </si>
  <si>
    <t>JOMA T.OPEN 2232 BLANCO ROJO AZUL TOPENW2232PN  T 41</t>
  </si>
  <si>
    <t>Z30483-2-17-P</t>
  </si>
  <si>
    <t>JOMA T.OPEN 22 CLAY NEGRO CORAL TOPENW2201PN  T 44</t>
  </si>
  <si>
    <t>Z30483-2-16-P</t>
  </si>
  <si>
    <t>JOMA T.OPEN 22 CLAY NEGRO CORAL TOPENW2201PN  T 43</t>
  </si>
  <si>
    <t>Z30483-2-15-P</t>
  </si>
  <si>
    <t>JOMA T.OPEN 22 CLAY NEGRO CORAL TOPENW2201PN  T 42</t>
  </si>
  <si>
    <t>Z30418-1-5-P</t>
  </si>
  <si>
    <t>CAMISETA SIUX SANYO NEGRO (Portugal)  XL</t>
  </si>
  <si>
    <t>Z30418-1-4-P</t>
  </si>
  <si>
    <t>CAMISETA SIUX SANYO NEGRO (Portugal)  L</t>
  </si>
  <si>
    <t>Z30418-1-3-P</t>
  </si>
  <si>
    <t>CAMISETA SIUX SANYO NEGRO (Portugal)  M</t>
  </si>
  <si>
    <t>Z30402-1-4-P</t>
  </si>
  <si>
    <t>CAMISETA ADIDAS CLUB HN6194 MUJER    L</t>
  </si>
  <si>
    <t>Z30402-1-3-P</t>
  </si>
  <si>
    <t>CAMISETA ADIDAS CLUB HN6194 MUJER    M</t>
  </si>
  <si>
    <t>Z30402-1-2-P</t>
  </si>
  <si>
    <t>CAMISETA ADIDAS CLUB HN6194 MUJER    S</t>
  </si>
  <si>
    <t>Z30318-P</t>
  </si>
  <si>
    <t xml:space="preserve">DROP SHOT CANYON PRO DP264024 </t>
  </si>
  <si>
    <t>Z30271-1-5-P</t>
  </si>
  <si>
    <t>CAMISETA ADIDAS ENT22 HC0450    XL</t>
  </si>
  <si>
    <t>Z30271-1-4-P</t>
  </si>
  <si>
    <t>CAMISETA ADIDAS ENT22 HC0450    L</t>
  </si>
  <si>
    <t>Z30271-1-3-P</t>
  </si>
  <si>
    <t>CAMISETA ADIDAS ENT22 HC0450    M</t>
  </si>
  <si>
    <t>Z30270-1-5-P</t>
  </si>
  <si>
    <t>CAMISETA ADIDAS ENT22 HC0449    XL</t>
  </si>
  <si>
    <t>Z30270-1-4-P</t>
  </si>
  <si>
    <t>CAMISETA ADIDAS ENT22 HC0449    L</t>
  </si>
  <si>
    <t>Z30270-1-3-P</t>
  </si>
  <si>
    <t>CAMISETA ADIDAS ENT22 HC0449    M</t>
  </si>
  <si>
    <t>Z30268-1-4-P</t>
  </si>
  <si>
    <t>PANTALON CORTO ADIDAS ENT22 TR HB0575 L</t>
  </si>
  <si>
    <t>Z30266-1-5-P</t>
  </si>
  <si>
    <t>PANTALON CORTO ADIDAS ENT22 TR H57488    XL</t>
  </si>
  <si>
    <t>Z30266-1-4-P</t>
  </si>
  <si>
    <t>PANTALON CORTO ADIDAS ENT22 TR H57488    L</t>
  </si>
  <si>
    <t>Z30266-1-3-P</t>
  </si>
  <si>
    <t>PANTALON CORTO ADIDAS ENT22 TR H57488    M</t>
  </si>
  <si>
    <t>Z30263-1-4-P</t>
  </si>
  <si>
    <t>FALDA ADIDAS PLEAT HN6189 MUJER    L</t>
  </si>
  <si>
    <t>Z30263-1-3-P</t>
  </si>
  <si>
    <t>FALDA ADIDAS PLEAT HN6189 MUJER    M</t>
  </si>
  <si>
    <t>Z30263-1-2-P</t>
  </si>
  <si>
    <t>FALDA ADIDAS PLEAT HN6189 MUJER    S</t>
  </si>
  <si>
    <t>Z30226-1-4-P</t>
  </si>
  <si>
    <t>GORRA ASICS PF 3043A073 400     L</t>
  </si>
  <si>
    <t>Z30226-1-3-P</t>
  </si>
  <si>
    <t>GORRA ASICS PF 3043A073 400     M</t>
  </si>
  <si>
    <t>Z30224-1-4-P</t>
  </si>
  <si>
    <t>GORRA ASICS PF 3043A073 001     L</t>
  </si>
  <si>
    <t>Z30224-1-3-P</t>
  </si>
  <si>
    <t>GORRA ASICS PF 3043A073 001     M</t>
  </si>
  <si>
    <t>Z30216-2-41-P</t>
  </si>
  <si>
    <t>ASICS SOLUTION SPEED FF 2 CLAY1041A187 300  T 44.5</t>
  </si>
  <si>
    <t>Z30216-2-40-P</t>
  </si>
  <si>
    <t>ASICS SOLUTION SPEED FF 2 CLAY1041A187 300  T 43.5</t>
  </si>
  <si>
    <t>Z30216-2-39-P</t>
  </si>
  <si>
    <t>ASICS SOLUTION SPEED FF 2 CLAY1041A187 300   T 42.5</t>
  </si>
  <si>
    <t>Z30216-2-37-P</t>
  </si>
  <si>
    <t>ASICS SOLUTION SPEED FF 2 CLAY1041A187 300  T 41.5</t>
  </si>
  <si>
    <t>Z30188-1-4-P</t>
  </si>
  <si>
    <t>CAMISETA ASICS COURT 2042A157 100 MUJER    L</t>
  </si>
  <si>
    <t>Z30188-1-3-P</t>
  </si>
  <si>
    <t>CAMISETA ASICS COURT 2042A157 100 MUJER    M</t>
  </si>
  <si>
    <t>Z30188-1-2-P</t>
  </si>
  <si>
    <t>CAMISETA ASICS COURT 2042A157 100 MUJER    S</t>
  </si>
  <si>
    <t>Z30174-1-4-P</t>
  </si>
  <si>
    <t>CAMISETA ASICS COURT M 2041A138 400    L</t>
  </si>
  <si>
    <t>Z30174-1-3-P</t>
  </si>
  <si>
    <t>CAMISETA ASICS COURT M 2041A138 400    M</t>
  </si>
  <si>
    <t>Z30173-1-5-P</t>
  </si>
  <si>
    <t>CAMISETA ASICS COURT M 2041A138 400    XL</t>
  </si>
  <si>
    <t>Z30173-1-4-P</t>
  </si>
  <si>
    <t>Z30173-1-3-P</t>
  </si>
  <si>
    <t>Z30128-1-3-P</t>
  </si>
  <si>
    <t>CAMISETA ASICS CORE TANK 2012C334 401 MUJER    M</t>
  </si>
  <si>
    <t>Z30128-1-2-P</t>
  </si>
  <si>
    <t>CAMISETA ASICS CORE TANK 2012C334 401 MUJER    S</t>
  </si>
  <si>
    <t>Z30126-1-3-P</t>
  </si>
  <si>
    <t>CAMISETA ASICS CORE TANK 2012C331 701 MUJER    M</t>
  </si>
  <si>
    <t>Z30126-1-2-P</t>
  </si>
  <si>
    <t>CAMISETA ASICS CORE TANK 2012C331 701 MUJER    S</t>
  </si>
  <si>
    <t>Z30119-1-5-P</t>
  </si>
  <si>
    <t>CAMISETA ASICS CORE 2011C341 020    XL</t>
  </si>
  <si>
    <t>Z30119-1-4-P</t>
  </si>
  <si>
    <t>CAMISETA ASICS CORE 2011C341 020    L</t>
  </si>
  <si>
    <t>Z30119-1-3-P</t>
  </si>
  <si>
    <t>CAMISETA ASICS CORE 2011C341 020    M</t>
  </si>
  <si>
    <t>Z30116-1-4-P</t>
  </si>
  <si>
    <t>CAMISETA ASICS CORE TOP 2011C334 402    L</t>
  </si>
  <si>
    <t>Z30116-1-3-P</t>
  </si>
  <si>
    <t>CAMISETA ASICS CORE TOP 2011C334 402    M</t>
  </si>
  <si>
    <t>Z30116-1-2-P</t>
  </si>
  <si>
    <t>CAMISETA ASICS CORE TOP 2011C334 402    S</t>
  </si>
  <si>
    <t>Z30074-P</t>
  </si>
  <si>
    <t xml:space="preserve">GORRA DROP SHOT CAMDEN MN DC264007     </t>
  </si>
  <si>
    <t>Z30071-P</t>
  </si>
  <si>
    <t xml:space="preserve">GORRA DROP SHOT DAKOTA G DC264004     </t>
  </si>
  <si>
    <t>Z29977-P</t>
  </si>
  <si>
    <t xml:space="preserve">PALETERO ADIDAS CARBON CONTROL BG6PB5 U45 OFP     </t>
  </si>
  <si>
    <t>Z29963-2-41-P</t>
  </si>
  <si>
    <t>ASICS GEL-RESOLUTION 8 CLAY 1041A346 960  T 44.5</t>
  </si>
  <si>
    <t>Z29963-2-40-P</t>
  </si>
  <si>
    <t>ASICS GEL-RESOLUTION 8 CLAY 1041A346 960  T 43.5</t>
  </si>
  <si>
    <t>Z29963-2-39-P</t>
  </si>
  <si>
    <t>ASICS GEL-RESOLUTION 8 CLAY 1041A346 960  T 42.5</t>
  </si>
  <si>
    <t>Z29963-2-15-P</t>
  </si>
  <si>
    <t>ASICS GEL-RESOLUTION 8 CLAY 1041A346 960  T 42</t>
  </si>
  <si>
    <t>Z29961-2-13-P</t>
  </si>
  <si>
    <t>ASICS GEL-CHALLENGER 13 PADEL 1042A205 400 MUJER   T 40</t>
  </si>
  <si>
    <t>Z29961-2-12-P</t>
  </si>
  <si>
    <t>ASICS GEL-CHALLENGER 13 PADEL 1042A205 400 MUJER   T 39</t>
  </si>
  <si>
    <t>Z29961-2-11-P</t>
  </si>
  <si>
    <t>ASICS GEL-CHALLENGER 13 PADEL 1042A205 400 MUJER   T 38</t>
  </si>
  <si>
    <t>Z29960-2-41-P</t>
  </si>
  <si>
    <t>ASICS GEL-CHALLENGER 13 PADEL 1041A315 401  T 44.5</t>
  </si>
  <si>
    <t>Z29960-2-40-P</t>
  </si>
  <si>
    <t>ASICS GEL-CHALLENGER 13 PADEL 1041A315 401   T 43.5</t>
  </si>
  <si>
    <t>Z29960-2-39-P</t>
  </si>
  <si>
    <t>ASICS GEL-CHALLENGER 13 PADEL 1041A315 401  T 42.5</t>
  </si>
  <si>
    <t>Z29960-2-37-P</t>
  </si>
  <si>
    <t>ASICS GEL-CHALLENGER 13 PADEL 1041A315 401  T 41.5</t>
  </si>
  <si>
    <t>Z29952-2-36-P</t>
  </si>
  <si>
    <t>ASICS SOLUTION SWIFT FF CLAY 1042A198 104 MUJER  T 40.5</t>
  </si>
  <si>
    <t>Z29952-2-13-P</t>
  </si>
  <si>
    <t>ASICS SOLUTION SWIFT FF CLAY 1042A198 104 MUJER   T 40</t>
  </si>
  <si>
    <t>Z29952-2-12-P</t>
  </si>
  <si>
    <t>ASICS SOLUTION SWIFT FF CLAY 1042A198 104 MUJER   T 39</t>
  </si>
  <si>
    <t>Z29952-2-11-P</t>
  </si>
  <si>
    <t>ASICS SOLUTION SWIFT FF CLAY 1042A198 104 MUJER   T 38</t>
  </si>
  <si>
    <t>Z29949-2-36-P</t>
  </si>
  <si>
    <t>ASICS GEL-CHALLENGER 13 CLAY 1042A165 103 MUJER   T 40.5</t>
  </si>
  <si>
    <t>Z29949-2-13-P</t>
  </si>
  <si>
    <t>ASICS GEL-CHALLENGER 13 CLAY 1042A165 103 MUJER  T 40</t>
  </si>
  <si>
    <t>Z29949-2-12-P</t>
  </si>
  <si>
    <t>ASICS GEL-CHALLENGER 13 CLAY 1042A165 103 MUJER   T 39</t>
  </si>
  <si>
    <t>Z29949-2-11-P</t>
  </si>
  <si>
    <t>ASICS GEL-CHALLENGER 13 CLAY 1042A165 103 MUJER  T 38</t>
  </si>
  <si>
    <t>Z29942-2-41-P</t>
  </si>
  <si>
    <t>ASICS GEL-RESOLUTION 8 CLAY 1041A076 405  T 44.5</t>
  </si>
  <si>
    <t>Z29942-2-40-P</t>
  </si>
  <si>
    <t>ASICS GEL-RESOLUTION 8 CLAY 1041A076 405  T 43.5</t>
  </si>
  <si>
    <t>Z29942-2-39-P</t>
  </si>
  <si>
    <t>ASICS GEL-RESOLUTION 8 CLAY 1041A076 405  T 42.5</t>
  </si>
  <si>
    <t>Z29942-2-37-P</t>
  </si>
  <si>
    <t>ASICS GEL-RESOLUTION 8 CLAY 1041A076 405   T 41.5</t>
  </si>
  <si>
    <t>Z29924-2-36-P</t>
  </si>
  <si>
    <t>ASICS GEL-PADEL PRO 5 1042A200 100 MUJER  T 40.5</t>
  </si>
  <si>
    <t>Z29924-2-35-P</t>
  </si>
  <si>
    <t>ASICS GEL-PADEL PRO 5 1042A200 100 MUJER  T 39.5</t>
  </si>
  <si>
    <t>Z29924-2-11-P</t>
  </si>
  <si>
    <t>ASICS GEL-PADEL PRO 5 1042A200 100 MUJER  T 38</t>
  </si>
  <si>
    <t>Z29920-2-41-P</t>
  </si>
  <si>
    <t>ASICS GEL PADEL PRO 5 AZUL BLANCO 1041A302 403   T 44.5</t>
  </si>
  <si>
    <t>Z29920-2-40-P</t>
  </si>
  <si>
    <t>ASICS GEL PADEL PRO 5 AZUL BLANCO 1041A302 403   T 43.5</t>
  </si>
  <si>
    <t>Z29920-2-39-P</t>
  </si>
  <si>
    <t>ASICS GEL PADEL PRO 5 AZUL BLANCO 1041A302 403  T 42.5</t>
  </si>
  <si>
    <t>Z29920-2-37-P</t>
  </si>
  <si>
    <t>ASICS GEL PADEL PRO 5 AZUL BLANCO 1041A302 403  T 41.5</t>
  </si>
  <si>
    <t>Z29918-2-41-P</t>
  </si>
  <si>
    <t>ASICS GEL DEDICATE 7 CLAY BLANCO AZUL 1041A224 103  T 44.5</t>
  </si>
  <si>
    <t>Z29918-2-40-P</t>
  </si>
  <si>
    <t>ASICS GEL DEDICATE 7 CLAY BLANCO AZUL 1041A224 103  T 43.5</t>
  </si>
  <si>
    <t>Z29918-2-39-P</t>
  </si>
  <si>
    <t>ASICS GEL DEDICATE 7 CLAY BLANCO AZUL 1041A224 103   T 42.5</t>
  </si>
  <si>
    <t>Z29918-2-37-P</t>
  </si>
  <si>
    <t>ASICS GEL DEDICATE 7 CLAY BLANCO AZUL 1041A224 103  T 41.5</t>
  </si>
  <si>
    <t>Z29910-2-15-P</t>
  </si>
  <si>
    <t>ASICS GEL-GAME 8 CLAY-OC 1041A193 407  42</t>
  </si>
  <si>
    <t>Z29703-1-5-P</t>
  </si>
  <si>
    <t>POLO NIKE COURT DRI-FIT DH0857 480    XL</t>
  </si>
  <si>
    <t>Z29703-1-4-P</t>
  </si>
  <si>
    <t>POLO NIKE COURT DRI-FIT DH0857 480    L</t>
  </si>
  <si>
    <t>Z29703-1-3-P</t>
  </si>
  <si>
    <t>POLO NIKE COURT DRI-FIT DH0857 480    M</t>
  </si>
  <si>
    <t>Z29702-1-3-P</t>
  </si>
  <si>
    <t>POLO NIKE COURT DRI-FIT DH0857 451 M</t>
  </si>
  <si>
    <t>Z29574-P</t>
  </si>
  <si>
    <t xml:space="preserve">PALETERO HEAD CORE PADEL ULTIMATE 284221 WHGR ODP     </t>
  </si>
  <si>
    <t>Z29553-P</t>
  </si>
  <si>
    <t xml:space="preserve">OVERGRIPS VARLION SUMMUM AIR X3 ACCRAA2006008  (Japan)   </t>
  </si>
  <si>
    <t>Z29547-P</t>
  </si>
  <si>
    <t xml:space="preserve">OVERGRIPS VARLION H2O X3 MULTICOLOR ACCRAA2003021  (Japan)   </t>
  </si>
  <si>
    <t>Z29544-P</t>
  </si>
  <si>
    <t xml:space="preserve">OVERGRIPS VARLION H2O X3 GREEN ACCRAA200301703 </t>
  </si>
  <si>
    <t>Z29523-P</t>
  </si>
  <si>
    <t xml:space="preserve">VARLION LW CTI DIFUSOR BLACK RACKCC2216015 </t>
  </si>
  <si>
    <t>Z29501-P</t>
  </si>
  <si>
    <t xml:space="preserve">VARLION LW CARBON 8 PRISMA PANSY MUJER RACKCC2210 </t>
  </si>
  <si>
    <t>Z29499-P</t>
  </si>
  <si>
    <t xml:space="preserve">VARLION LW SUMMUM PRISMA S RACKCC2207 </t>
  </si>
  <si>
    <t>Z29487-1-4-P</t>
  </si>
  <si>
    <t>CAMISETA NIKE COURT DRY-FIT DJ4167 100   L</t>
  </si>
  <si>
    <t>Z29487-1-3-P</t>
  </si>
  <si>
    <t>CAMISETA NIKE COURT DRY-FIT DJ4167 100   M</t>
  </si>
  <si>
    <t>Z29467-1-4-P</t>
  </si>
  <si>
    <t>FALDA HEAD CLUB BASIC 814399 AN MUJER    L</t>
  </si>
  <si>
    <t>Z29467-1-3-P</t>
  </si>
  <si>
    <t>FALDA HEAD CLUB BASIC 814399 AN MUJER    M</t>
  </si>
  <si>
    <t>Z29467-1-2-P</t>
  </si>
  <si>
    <t>FALDA HEAD CLUB BASIC 814399 AN MUJER    S</t>
  </si>
  <si>
    <t>Z29258-1-4-P</t>
  </si>
  <si>
    <t>SHORT BULLPADEL TOCON 088 AJ65088000 MUJER    L</t>
  </si>
  <si>
    <t>Z29258-1-3-P</t>
  </si>
  <si>
    <t>SHORT BULLPADEL TOCON 088 AJ65088000 MUJER    M</t>
  </si>
  <si>
    <t>Z29258-1-2-P</t>
  </si>
  <si>
    <t>SHORT BULLPADEL TOCON 088 AJ65088000 MUJER    S</t>
  </si>
  <si>
    <t>Z29257-1-4-P</t>
  </si>
  <si>
    <t>CAMISETA BULLPADEL TOMAR 008 AJ53008000 MUJER    L</t>
  </si>
  <si>
    <t>Z29257-1-3-P</t>
  </si>
  <si>
    <t>CAMISETA BULLPADEL TOMAR 008 AJ53008000 MUJER    M</t>
  </si>
  <si>
    <t>Z29257-1-2-P</t>
  </si>
  <si>
    <t>CAMISETA BULLPADEL TOMAR 008 AJ53008000 MUJER    S</t>
  </si>
  <si>
    <t>Z29219-P</t>
  </si>
  <si>
    <t xml:space="preserve">PALETERO VARLION SUMMUM PINK 220202802     </t>
  </si>
  <si>
    <t>Z29212-P</t>
  </si>
  <si>
    <t xml:space="preserve">PALETERO VARLION SUMMUM PRO GREEN 220102702     </t>
  </si>
  <si>
    <t>Z29209-P</t>
  </si>
  <si>
    <t xml:space="preserve">PALETERO VARLION SUMMUM PRO GREY 220101402     </t>
  </si>
  <si>
    <t>Z29154-P</t>
  </si>
  <si>
    <t xml:space="preserve">MUNEQUERA TECNIFIBRE 2PK 54WRISBLAC NEGRO    </t>
  </si>
  <si>
    <t>Z29115-1-5-P</t>
  </si>
  <si>
    <t>CAMISETA HEAD PADEL TYPO 811442 PT    XL</t>
  </si>
  <si>
    <t>Z29115-1-4-P</t>
  </si>
  <si>
    <t>CAMISETA HEAD PADEL TYPO 811442 PT    L</t>
  </si>
  <si>
    <t>Z29115-1-3-P</t>
  </si>
  <si>
    <t>CAMISETA HEAD PADEL TYPO 811442 PT    M</t>
  </si>
  <si>
    <t>Z29096-1-4-P</t>
  </si>
  <si>
    <t>CAMISETA SIN MANGAS HEAD SPIRIT MUJER 814542 RS    L</t>
  </si>
  <si>
    <t>Z29096-1-3-P</t>
  </si>
  <si>
    <t>CAMISETA SIN MANGAS HEAD SPIRIT MUJER 814542 RS    M</t>
  </si>
  <si>
    <t>Z29096-1-2-P</t>
  </si>
  <si>
    <t>CAMISETA SIN MANGAS HEAD SPIRIT MUJER 814542 RS    S</t>
  </si>
  <si>
    <t>Z29092-1-4-P</t>
  </si>
  <si>
    <t>CAMISETA HEAD TIE-BREAK MUJER 814502 NGXW    L</t>
  </si>
  <si>
    <t>Z29092-1-3-P</t>
  </si>
  <si>
    <t>CAMISETA HEAD TIE-BREAK MUJER 814502 NGXW    M</t>
  </si>
  <si>
    <t>Z29092-1-2-P</t>
  </si>
  <si>
    <t>CAMISETA HEAD TIE-BREAK MUJER 814502 NGXW    S</t>
  </si>
  <si>
    <t>Z28934-1-5-P</t>
  </si>
  <si>
    <t>CAMISETA HEAD CLUB CARL 811489 RDWH    XL</t>
  </si>
  <si>
    <t>Z28934-1-4-P</t>
  </si>
  <si>
    <t>CAMISETA HEAD CLUB CARL 811489 RDWH    L</t>
  </si>
  <si>
    <t>Z28934-1-3-P</t>
  </si>
  <si>
    <t>CAMISETA HEAD CLUB CARL 811489 RDWH    M</t>
  </si>
  <si>
    <t>Z28715-1-5-P</t>
  </si>
  <si>
    <t>CAMISETA HEAD PLAY TECH 811502 XMDB    XL</t>
  </si>
  <si>
    <t>Z28715-1-4-P</t>
  </si>
  <si>
    <t>CAMISETA HEAD PLAY TECH 811502 XMDB    L</t>
  </si>
  <si>
    <t>Z28715-1-3-P</t>
  </si>
  <si>
    <t>CAMISETA HEAD PLAY TECH 811502 XMDB    M</t>
  </si>
  <si>
    <t>Z28471-P</t>
  </si>
  <si>
    <t xml:space="preserve">RS CLASSIC PADEL PERFORATED OVERGRIP 3-PACK 83014 </t>
  </si>
  <si>
    <t>Z28249-P</t>
  </si>
  <si>
    <t xml:space="preserve">VARLION LW DIFUSOR W 2021 RACPAC2010015 </t>
  </si>
  <si>
    <t>Z28192-P</t>
  </si>
  <si>
    <t xml:space="preserve">CAJON DE BOLAS VARLION SUMMUM PRO W EXP    </t>
  </si>
  <si>
    <t>Z27414-1-3-P</t>
  </si>
  <si>
    <t>POLO ADIDAS ENT22 HB5328    M</t>
  </si>
  <si>
    <t>Z27396-1-5-P</t>
  </si>
  <si>
    <t>POLO ADIDAS ENT22 H57487    XL</t>
  </si>
  <si>
    <t>Z27396-1-4-P</t>
  </si>
  <si>
    <t>POLO ADIDAS ENT22 H57487    L</t>
  </si>
  <si>
    <t>Z27396-1-3-P</t>
  </si>
  <si>
    <t>POLO ADIDAS ENT22 H57487    M</t>
  </si>
  <si>
    <t>Z27321-1-5-P</t>
  </si>
  <si>
    <t>POLO ADIDAS M 3S PQ PS GK9138    XL</t>
  </si>
  <si>
    <t>Z27321-1-4-P</t>
  </si>
  <si>
    <t>POLO ADIDAS M 3S PQ PS GK9138    L</t>
  </si>
  <si>
    <t>Z27321-1-3-P</t>
  </si>
  <si>
    <t>POLO ADIDAS M 3S PQ PS GK9138    M</t>
  </si>
  <si>
    <t>Z26810-1-4-P</t>
  </si>
  <si>
    <t>SHORT ASICS COURT W 2042A186 404 MUJER    L</t>
  </si>
  <si>
    <t>Z26810-1-3-P</t>
  </si>
  <si>
    <t>SHORT ASICS COURT W 2042A186 404 MUJER    M</t>
  </si>
  <si>
    <t>Z26810-1-2-P</t>
  </si>
  <si>
    <t>SHORT ASICS COURT W 2042A186 404 MUJER    S</t>
  </si>
  <si>
    <t>Z26773-2-35-P</t>
  </si>
  <si>
    <t>ASICS PADEL LIMA FF 1042A144 710 MUJER  39.5</t>
  </si>
  <si>
    <t>Z26755-2-41-P</t>
  </si>
  <si>
    <t>ASICS PADEL LIMA FF 1041A199 409  T 44.5</t>
  </si>
  <si>
    <t>Z26755-2-40-P</t>
  </si>
  <si>
    <t>ASICS PADEL LIMA FF 1041A199 409  T 43.5</t>
  </si>
  <si>
    <t>Z26755-2-15-P</t>
  </si>
  <si>
    <t>ASICS PADEL LIMA FF 1041A199 409   T 42</t>
  </si>
  <si>
    <t>Z26571-2-13-P</t>
  </si>
  <si>
    <t>HEAD SPRINT PRO 3.5 CLAY 274052 SALI MUJER  T 40</t>
  </si>
  <si>
    <t>Z26571-2-12-P</t>
  </si>
  <si>
    <t>HEAD SPRINT PRO 3.5 CLAY 274052 SALI MUJER  T 39</t>
  </si>
  <si>
    <t>Z26571-2-11-P</t>
  </si>
  <si>
    <t>HEAD SPRINT PRO 3.5 CLAY 274052 SALI MUJER  T 38</t>
  </si>
  <si>
    <t>Z26569-2-12-P</t>
  </si>
  <si>
    <t>HEAD SPRINT PRO 3.5 CLAY 274032 BSTE MUJER  T 39</t>
  </si>
  <si>
    <t>Z26569-2-11-P</t>
  </si>
  <si>
    <t>HEAD SPRINT PRO 3.5 CLAY 274032 BSTE MUJER  T 38</t>
  </si>
  <si>
    <t>Z26566-2-16-P</t>
  </si>
  <si>
    <t>HEAD SPRINT PRO 3.5 SANYO 273622 WH  43</t>
  </si>
  <si>
    <t>Z26565-2-18-P</t>
  </si>
  <si>
    <t>HEAD SPRINT PRO 3.5 SANYO 273612 BSOR  T 45</t>
  </si>
  <si>
    <t>Z26565-2-17-P</t>
  </si>
  <si>
    <t>HEAD SPRINT PRO 3.5 SANYO 273612 BSOR  T 44</t>
  </si>
  <si>
    <t>Z26565-2-16-P</t>
  </si>
  <si>
    <t>HEAD SPRINT PRO 3.5 SANYO 273612 BSOR  T 43</t>
  </si>
  <si>
    <t>Z26565-2-15-P</t>
  </si>
  <si>
    <t>HEAD SPRINT PRO 3.5 SANYO 273612 BSOR  T 42</t>
  </si>
  <si>
    <t>Z26565-2-14-P</t>
  </si>
  <si>
    <t>HEAD SPRINT PRO 3.5 SANYO 273612 BSOR  T 41</t>
  </si>
  <si>
    <t>Z26550-2-18-P</t>
  </si>
  <si>
    <t>HEAD SPRINT PRO 3.5 CLAY 273092 WH  T 45</t>
  </si>
  <si>
    <t>Z26550-2-17-P</t>
  </si>
  <si>
    <t>HEAD SPRINT PRO 3.5 CLAY 273092 WH  T 44</t>
  </si>
  <si>
    <t>Z26550-2-16-P</t>
  </si>
  <si>
    <t>HEAD SPRINT PRO 3.5 CLAY 273092 WH  T 43</t>
  </si>
  <si>
    <t>Z26550-2-15-P</t>
  </si>
  <si>
    <t>HEAD SPRINT PRO 3.5 CLAY 273092 WH  T 42</t>
  </si>
  <si>
    <t>Z26546-2-18-P</t>
  </si>
  <si>
    <t>HEAD SPRINT PRO 3.5 CLAY 273072 GRYE  T 45</t>
  </si>
  <si>
    <t>Z26546-2-17-P</t>
  </si>
  <si>
    <t>HEAD SPRINT PRO 3.5 CLAY 273072 GRYE  T 44</t>
  </si>
  <si>
    <t>Z26546-2-16-P</t>
  </si>
  <si>
    <t>HEAD SPRINT PRO 3.5 CLAY 273072 GRYE  T 43</t>
  </si>
  <si>
    <t>Z26546-2-15-P</t>
  </si>
  <si>
    <t>HEAD SPRINT PRO 3.5 CLAY 273072 GRYE  T 42</t>
  </si>
  <si>
    <t>Z26518-P</t>
  </si>
  <si>
    <t xml:space="preserve">STAR VIE ASTRUM ERIS ASTRUM22 </t>
  </si>
  <si>
    <t>Z26507-P</t>
  </si>
  <si>
    <t xml:space="preserve">PAR MUNEQUERA STAR VIE ROJA STAR WHITE MR21     </t>
  </si>
  <si>
    <t>Z26506-P</t>
  </si>
  <si>
    <t xml:space="preserve">MUNEQUERA STAR VIE NEGRA STAR RED MN21X1     </t>
  </si>
  <si>
    <t>Z26505-P</t>
  </si>
  <si>
    <t xml:space="preserve">PAR MUNEQUERA STAR VIE NEGRA STAR DORADA MN21 </t>
  </si>
  <si>
    <t>Z26504-P</t>
  </si>
  <si>
    <t xml:space="preserve">PAR MUNEQUERA STAR VIE MORADA STAR YELLOW MM21     </t>
  </si>
  <si>
    <t>Z26501-P</t>
  </si>
  <si>
    <t xml:space="preserve">PROTECTOR STAR VIE PVC STAR VIE MORADO PT21M  (España)   </t>
  </si>
  <si>
    <t>Z26500-P</t>
  </si>
  <si>
    <t xml:space="preserve">PROTECTOR STAR VIE PVC STAR VIE DORADO PT21D  (España)   </t>
  </si>
  <si>
    <t>Z26433-P</t>
  </si>
  <si>
    <t xml:space="preserve">HEAD DELTA PRO 228102 </t>
  </si>
  <si>
    <t>Z26409-P</t>
  </si>
  <si>
    <t xml:space="preserve">BLACK CROWN SPECIAL POWER </t>
  </si>
  <si>
    <t>Z26355-P</t>
  </si>
  <si>
    <t xml:space="preserve">CAJON 24 BOTES BULLPADEL FIP NEXT PRO AF43000000     </t>
  </si>
  <si>
    <t>Z26335-1-4-P</t>
  </si>
  <si>
    <t>CAMISETA BULLPADEL EULARI 973 W232973000 MUJER    L</t>
  </si>
  <si>
    <t>Z26335-1-3-P</t>
  </si>
  <si>
    <t>CAMISETA BULLPADEL EULARI 973 W232973000 MUJER    M</t>
  </si>
  <si>
    <t>Z26333-1-4-P</t>
  </si>
  <si>
    <t>FALDA BULLPADEL BULDER 005 W437005000 MUJER    L</t>
  </si>
  <si>
    <t>Z26333-1-3-P</t>
  </si>
  <si>
    <t>FALDA BULLPADEL BULDER 005 W437005000 MUJER    M</t>
  </si>
  <si>
    <t>Z26333-1-2-P</t>
  </si>
  <si>
    <t>FALDA BULLPADEL BULDER 005 W437005000 MUJER    S</t>
  </si>
  <si>
    <t>Z26330-1-4-P</t>
  </si>
  <si>
    <t>CAMISETA BULLPADEL BUBLEX 005 W176005000 MUJER    L</t>
  </si>
  <si>
    <t>Z26330-1-3-P</t>
  </si>
  <si>
    <t>CAMISETA BULLPADEL BUBLEX 005 W176005000 MUJER    M</t>
  </si>
  <si>
    <t>Z26330-1-2-P</t>
  </si>
  <si>
    <t>CAMISETA BULLPADEL BUBLEX 005 W176005000 MUJER    S</t>
  </si>
  <si>
    <t>Z26326-1-4-P</t>
  </si>
  <si>
    <t>SUDADERA BULLPADEL EDORTA 497 W205497000 MUJER    L</t>
  </si>
  <si>
    <t>Z26326-1-3-P</t>
  </si>
  <si>
    <t>SUDADERA BULLPADEL EDORTA 497 W205497000 MUJER    M</t>
  </si>
  <si>
    <t>Z26326-1-2-P</t>
  </si>
  <si>
    <t>SUDADERA BULLPADEL EDORTA 497 W205497000 MUJER    S</t>
  </si>
  <si>
    <t>Z26325-1-4-P</t>
  </si>
  <si>
    <t>SUDADERA BULLPADEL BERAUN 005 W166005000 MUJER    L</t>
  </si>
  <si>
    <t>Z26325-1-3-P</t>
  </si>
  <si>
    <t>SUDADERA BULLPADEL BERAUN 005 W166005000 MUJER    M</t>
  </si>
  <si>
    <t>Z26325-1-2-P</t>
  </si>
  <si>
    <t>SUDADERA BULLPADEL BERAUN 005 W166005000 MUJER    S</t>
  </si>
  <si>
    <t>Z26311-1-4-P</t>
  </si>
  <si>
    <t>FALDA BULLPADEL ETORNE 497 W230497000 MUJER    L</t>
  </si>
  <si>
    <t>Z26311-1-3-P</t>
  </si>
  <si>
    <t>FALDA BULLPADEL ETORNE 497 W230497000 MUJER    M</t>
  </si>
  <si>
    <t>Z26311-1-2-P</t>
  </si>
  <si>
    <t>FALDA BULLPADEL ETORNE 497 W230497000 MUJER    S</t>
  </si>
  <si>
    <t>Z26309-1-4-P</t>
  </si>
  <si>
    <t>CAMISETA BULLPADEL ERIETE 423 W223423000 MUJER    L</t>
  </si>
  <si>
    <t>Z26309-1-3-P</t>
  </si>
  <si>
    <t>CAMISETA BULLPADEL ERIETE 423 W223423000 MUJER    M</t>
  </si>
  <si>
    <t>Z26309-1-2-P</t>
  </si>
  <si>
    <t>CAMISETA BULLPADEL ERIETE 423 W223423000 MUJER    S</t>
  </si>
  <si>
    <t>Z26303-1-5-P</t>
  </si>
  <si>
    <t>CAMISETA BULLPADEL TAYIL 016 W355016000    XL</t>
  </si>
  <si>
    <t>Z26303-1-4-P</t>
  </si>
  <si>
    <t>CAMISETA BULLPADEL TAYIL 016 W355016000    L</t>
  </si>
  <si>
    <t>Z26303-1-3-P</t>
  </si>
  <si>
    <t>CAMISETA BULLPADEL TAYIL 016 W355016000    M</t>
  </si>
  <si>
    <t>Z26301-1-5-P</t>
  </si>
  <si>
    <t>SUDADERA BULLPADEL TESANA 005 W361005000    XL</t>
  </si>
  <si>
    <t>Z26301-1-4-P</t>
  </si>
  <si>
    <t>SUDADERA BULLPADEL TESANA 005 W361005000    L</t>
  </si>
  <si>
    <t>Z26301-1-3-P</t>
  </si>
  <si>
    <t>SUDADERA BULLPADEL TESANA 005 W361005000    M</t>
  </si>
  <si>
    <t>Z26284-1-5-P</t>
  </si>
  <si>
    <t>SUDADERA BULLPADEL KARAKAL 423 V934423000    XL</t>
  </si>
  <si>
    <t>Z26284-1-4-P</t>
  </si>
  <si>
    <t>SUDADERA BULLPADEL KARAKAL 423 V934423000    L</t>
  </si>
  <si>
    <t>Z26284-1-3-P</t>
  </si>
  <si>
    <t>SUDADERA BULLPADEL KARAKAL 423 V934423000    M</t>
  </si>
  <si>
    <t>Z26282-1-5-P</t>
  </si>
  <si>
    <t>CAMISETA BULLPADELARKEL 060W288060000    XL</t>
  </si>
  <si>
    <t>Z26282-1-4-P</t>
  </si>
  <si>
    <t>CAMISETA BULLPADELARKEL 060W288060000    L</t>
  </si>
  <si>
    <t>Z26282-1-3-P</t>
  </si>
  <si>
    <t>CAMISETA BULLPADELARKEL 060W288060000    M</t>
  </si>
  <si>
    <t>Z26280-1-5-P</t>
  </si>
  <si>
    <t>CAMISETA BULLPADELEDER 005W292005000    XL</t>
  </si>
  <si>
    <t>Z26280-1-4-P</t>
  </si>
  <si>
    <t>CAMISETA BULLPADELEDER 005W292005000    L</t>
  </si>
  <si>
    <t>Z26280-1-2-P</t>
  </si>
  <si>
    <t>CAMISETA BULLPADELEDER 005W292005000    S</t>
  </si>
  <si>
    <t>Z26265-1-5-P</t>
  </si>
  <si>
    <t>POLO BULLPADEL MADON 138 W285138000    XL</t>
  </si>
  <si>
    <t>Z26265-1-4-P</t>
  </si>
  <si>
    <t>POLO BULLPADEL MADON 138 W285138000    L</t>
  </si>
  <si>
    <t>Z26265-1-3-P</t>
  </si>
  <si>
    <t>POLO BULLPADEL MADON 138 W285138000    M</t>
  </si>
  <si>
    <t>Z26264-1-5-P</t>
  </si>
  <si>
    <t>CAMISETA BULLPADEL CHER 497 W799497000    XL</t>
  </si>
  <si>
    <t>Z26264-1-4-P</t>
  </si>
  <si>
    <t>CAMISETA BULLPADEL CHER 497 W799497000    L</t>
  </si>
  <si>
    <t>Z26264-1-3-P</t>
  </si>
  <si>
    <t>CAMISETA BULLPADEL CHER 497 W799497000    M</t>
  </si>
  <si>
    <t>Z26262-1-5-P</t>
  </si>
  <si>
    <t>CAMISETA BULLPADEL CHER 012 W799012000    XL</t>
  </si>
  <si>
    <t>Z26262-1-2-P</t>
  </si>
  <si>
    <t>CAMISETA BULLPADEL CHER 012 W799012000    S</t>
  </si>
  <si>
    <t>Z26235-1-5-P</t>
  </si>
  <si>
    <t>SHORT BULLPADEL CONSOLA 497 N861497000    XL</t>
  </si>
  <si>
    <t>Z26235-1-4-P</t>
  </si>
  <si>
    <t>SHORT BULLPADEL CONSOLA 497 N861497000    L</t>
  </si>
  <si>
    <t>Z26235-1-3-P</t>
  </si>
  <si>
    <t>SHORT BULLPADEL CONSOLA 497 N861497000    M</t>
  </si>
  <si>
    <t>Z26191-1-4-P</t>
  </si>
  <si>
    <t>SHORT BULLPADEL WPT REMUNE 004 Q588004000    L</t>
  </si>
  <si>
    <t>Z26180-1-5-P</t>
  </si>
  <si>
    <t>SHORT BULLPADEL WPT RIOPALE 026 N462026000    XL</t>
  </si>
  <si>
    <t>Z26180-1-4-P</t>
  </si>
  <si>
    <t>SHORT BULLPADEL WPT RIOPALE 026 N462026000    L</t>
  </si>
  <si>
    <t>Z26172-1-5-P</t>
  </si>
  <si>
    <t>POLO BULLPADEL WPT RODEO 004 1663004000    XL</t>
  </si>
  <si>
    <t>Z26172-1-4-P</t>
  </si>
  <si>
    <t>POLO BULLPADEL WPT RODEO 004 1663004000    L</t>
  </si>
  <si>
    <t>Z26172-1-3-P</t>
  </si>
  <si>
    <t>POLO BULLPADEL WPT RODEO 004 1663004000    M</t>
  </si>
  <si>
    <t>Z26167-1-5-P</t>
  </si>
  <si>
    <t>CAMISETA BULLPADEL WPT RIDE 151 Q375151000    XL</t>
  </si>
  <si>
    <t>Z26167-1-4-P</t>
  </si>
  <si>
    <t>CAMISETA BULLPADEL WPT RIDE 151 Q375151000    L</t>
  </si>
  <si>
    <t>Z26167-1-3-P</t>
  </si>
  <si>
    <t>CAMISETA BULLPADEL WPT RIDE 151 Q375151000    M</t>
  </si>
  <si>
    <t>Z26156-P</t>
  </si>
  <si>
    <t xml:space="preserve">NECESER BULLPADEL BPP-22008 D.CASE 750 AU80750000     </t>
  </si>
  <si>
    <t>Z26138-P</t>
  </si>
  <si>
    <t xml:space="preserve">BOLSA BULLPADEL BPP-22014 PERFORMANCE 21 </t>
  </si>
  <si>
    <t>Z26137-P</t>
  </si>
  <si>
    <t xml:space="preserve">BOLSA BULLPADEL BPP-22014 PERFORMANCE 05 </t>
  </si>
  <si>
    <t>Z26096-2-13-P</t>
  </si>
  <si>
    <t>BULLPADEL FLOW HYB FLY 22V SALM AU95973000   T 40</t>
  </si>
  <si>
    <t>Z26096-2-12-P</t>
  </si>
  <si>
    <t>BULLPADEL FLOW HYB FLY 22V SALM AU95973000  T 39</t>
  </si>
  <si>
    <t>Z26096-2-11-P</t>
  </si>
  <si>
    <t>BULLPADEL FLOW HYB FLY 22V SALM AU95973000  T 38</t>
  </si>
  <si>
    <t>Z26096-2-10-P</t>
  </si>
  <si>
    <t>BULLPADEL FLOW HYB FLY 22V SALM AU95973000   T 37</t>
  </si>
  <si>
    <t>Z26093-2-18-P</t>
  </si>
  <si>
    <t>BULLPADEL BEKER 22V GRIS OSCURO AU94006000  T 45</t>
  </si>
  <si>
    <t>Z26093-2-17-P</t>
  </si>
  <si>
    <t>BULLPADEL BEKER 22V GRIS OSCURO AU94006000  T 44</t>
  </si>
  <si>
    <t>Z26093-2-16-P</t>
  </si>
  <si>
    <t>BULLPADEL BEKER 22V GRIS OSCURO AU94006000  T 43</t>
  </si>
  <si>
    <t>Z26093-2-15-P</t>
  </si>
  <si>
    <t>BULLPADEL BEKER 22V GRIS OSCURO AU94006000  T 42</t>
  </si>
  <si>
    <t>Z26087-2-41-P</t>
  </si>
  <si>
    <t>BULLPADEL VERTEX GRIP 22V MNO AU91004000  T 44.5</t>
  </si>
  <si>
    <t>Z26087-2-40-P</t>
  </si>
  <si>
    <t>BULLPADEL VERTEX GRIP 22V MNO AU91004000   T 43.5</t>
  </si>
  <si>
    <t>Z26087-2-39-P</t>
  </si>
  <si>
    <t>BULLPADEL VERTEX GRIP 22V MNO AU91004000  T 42.5</t>
  </si>
  <si>
    <t>Z26087-2-15-P</t>
  </si>
  <si>
    <t>BULLPADEL VERTEX GRIP 22V MNO AU91004000 42</t>
  </si>
  <si>
    <t>Z26081-2-17-P</t>
  </si>
  <si>
    <t>BULLPADEL HACK HYB FLY 22V NEG AU88005000   T 44</t>
  </si>
  <si>
    <t>Z26081-2-16-P</t>
  </si>
  <si>
    <t>BULLPADEL HACK HYB FLY 22V NEG AU88005000  T 43</t>
  </si>
  <si>
    <t>Z26081-2-15-P</t>
  </si>
  <si>
    <t>BULLPADEL HACK HYB FLY 22V NEG AU88005000  T 42</t>
  </si>
  <si>
    <t>Z26081-2-14-P</t>
  </si>
  <si>
    <t>BULLPADEL HACK HYB FLY 22V NEG AU88005000  T 41</t>
  </si>
  <si>
    <t>Z26080-2-18-P</t>
  </si>
  <si>
    <t>BULLPADEL HACK HYB FLY 22V B/R AU88012001  T 45</t>
  </si>
  <si>
    <t>Z26080-2-17-P</t>
  </si>
  <si>
    <t>BULLPADEL HACK HYB FLY 22V B/R AU88012001  T 44</t>
  </si>
  <si>
    <t>Z26080-2-16-P</t>
  </si>
  <si>
    <t>BULLPADEL HACK HYB FLY 22V B/R AU88012001  T 43</t>
  </si>
  <si>
    <t>Z26080-2-15-P</t>
  </si>
  <si>
    <t>BULLPADEL HACK HYB FLY 22V B/R AU88012001  T 42</t>
  </si>
  <si>
    <t>Z26080-2-14-P</t>
  </si>
  <si>
    <t>BULLPADEL HACK HYB FLY 22V B/R AU88012001  T 41</t>
  </si>
  <si>
    <t>Z26049-P</t>
  </si>
  <si>
    <t xml:space="preserve">GORRA BULLPADEL WPT BPV-WPT2214 004 AN80004000     </t>
  </si>
  <si>
    <t>Z26047-P</t>
  </si>
  <si>
    <t xml:space="preserve">GORRA BULLPADEL WPT BPG-WPT2213 004 AN76004000     </t>
  </si>
  <si>
    <t>Z25823-1-3-P</t>
  </si>
  <si>
    <t>CAMISETA ADIDAS CF1036 M</t>
  </si>
  <si>
    <t>Z25716-P</t>
  </si>
  <si>
    <t xml:space="preserve">PALETERO ADIDAS CONTROL LIMA BG6PA0U28     </t>
  </si>
  <si>
    <t>Z25710-P</t>
  </si>
  <si>
    <t xml:space="preserve">PALETERO ADIDAS CONTROL 3.0 BG3PB4U03 </t>
  </si>
  <si>
    <t>Z25696-P</t>
  </si>
  <si>
    <t xml:space="preserve">PALETERO ADIDAS MULTIGAME BG1PC3U31 </t>
  </si>
  <si>
    <t>Z25659-P</t>
  </si>
  <si>
    <t xml:space="preserve">ADIDAS ADIPOWER CTRL 3.1 RK1CC9U17 </t>
  </si>
  <si>
    <t>Z25645-P</t>
  </si>
  <si>
    <t xml:space="preserve">PACK 3 OVERGRIP TECNIFIBRE PLAYERS PRO 52ATPPLAWH </t>
  </si>
  <si>
    <t>Z25636-P</t>
  </si>
  <si>
    <t xml:space="preserve">BOLSA 12 OVERGRIP TECNIFIBRE CONTACT P. 52ATPCON12     </t>
  </si>
  <si>
    <t>Z25633-P</t>
  </si>
  <si>
    <t xml:space="preserve">PACK 3 OVERGRIP TECNIFIBRE CONTACT PRO 52ATPCONBK </t>
  </si>
  <si>
    <t>Z25462-P</t>
  </si>
  <si>
    <t xml:space="preserve">NECESER NOX WPT NECNEWPT     </t>
  </si>
  <si>
    <t>Z25435-2-17-P</t>
  </si>
  <si>
    <t>NOX AT10 CALAT10SEANVY.  T 44</t>
  </si>
  <si>
    <t>Z25435-2-16-P</t>
  </si>
  <si>
    <t>NOX AT10 CALAT10SEANVY.  T 43</t>
  </si>
  <si>
    <t>Z25435-2-15-P</t>
  </si>
  <si>
    <t>NOX AT10 CALAT10SEANVY.  T 42</t>
  </si>
  <si>
    <t>Z25435-2-14-P</t>
  </si>
  <si>
    <t>NOX AT10 CALAT10SEANVY.  T 41</t>
  </si>
  <si>
    <t>Z25433-2-17-P</t>
  </si>
  <si>
    <t>NOX ML10 HEXA CALMLHEXNYLIM  T 44</t>
  </si>
  <si>
    <t>Z25433-2-16-P</t>
  </si>
  <si>
    <t>NOX ML10 HEXA CALMLHEXNYLIM  T 43</t>
  </si>
  <si>
    <t>Z25433-2-15-P</t>
  </si>
  <si>
    <t>NOX ML10 HEXA CALMLHEXNYLIM  T 42</t>
  </si>
  <si>
    <t>Z25433-2-14-P</t>
  </si>
  <si>
    <t>NOX ML10 HEXA CALMLHEXNYLIM  T 41</t>
  </si>
  <si>
    <t>Z25432-2-13-P</t>
  </si>
  <si>
    <t>NOX AT10 LUX CALATLUXTLIME MUJER  T 40</t>
  </si>
  <si>
    <t>Z25432-2-12-P</t>
  </si>
  <si>
    <t>NOX AT10 LUX CALATLUXTLIME MUJER  T 39</t>
  </si>
  <si>
    <t>Z25432-2-11-P</t>
  </si>
  <si>
    <t>NOX AT10 LUX CALATLUXTLIME MUJER   T 38</t>
  </si>
  <si>
    <t>Z25431-2-16-P</t>
  </si>
  <si>
    <t>NOX AT10 LUX AZUL NAVY CALATLUXNAVY 43</t>
  </si>
  <si>
    <t>Z25431-2-15-P</t>
  </si>
  <si>
    <t>NOX AT10 LUX AZUL NAVY CALATLUXNAVY 42</t>
  </si>
  <si>
    <t>Z25417-P</t>
  </si>
  <si>
    <t xml:space="preserve">NOX MP10 GEMELAS ATOMIKAS BY MAPI PMP10LUX22 </t>
  </si>
  <si>
    <t>Z25415-P</t>
  </si>
  <si>
    <t xml:space="preserve">NOX ML10 PRO CUP LUXURY SERIES </t>
  </si>
  <si>
    <t>Z25339-2-18-P</t>
  </si>
  <si>
    <t>BULLPADEL VERTEX LIGHT 21 NEGRO AMARILLO AE17005000   T 45</t>
  </si>
  <si>
    <t>Z25339-2-17-P</t>
  </si>
  <si>
    <t>BULLPADEL VERTEX LIGHT 21 NEGRO AMARILLO AE17005000   T 44</t>
  </si>
  <si>
    <t>Z25339-2-16-P</t>
  </si>
  <si>
    <t>BULLPADEL VERTEX LIGHT 21 NEGRO AMARILLO AE17005000   T 43</t>
  </si>
  <si>
    <t>Z25339-2-15-P</t>
  </si>
  <si>
    <t>BULLPADEL VERTEX LIGHT 21 NEGRO AMARILLO AE17005000   T 42</t>
  </si>
  <si>
    <t>Z25214-P</t>
  </si>
  <si>
    <t xml:space="preserve">TAMBOR 50 GRIPS BULLPADEL GB1201 </t>
  </si>
  <si>
    <t>Z25186-P</t>
  </si>
  <si>
    <t xml:space="preserve">SIUX ELECTRA ST1 </t>
  </si>
  <si>
    <t>Z25044-1-5-P</t>
  </si>
  <si>
    <t>POLO BULLPADEL CRIZE BLANCO    XL</t>
  </si>
  <si>
    <t>Z25044-1-4-P</t>
  </si>
  <si>
    <t>POLO BULLPADEL CRIZE 012    L</t>
  </si>
  <si>
    <t>Z25044-1-3-P</t>
  </si>
  <si>
    <t>POLO BULLPADEL CRIZE BLANCO    M</t>
  </si>
  <si>
    <t>Z24851-P</t>
  </si>
  <si>
    <t xml:space="preserve">PROTECTOR STAR VIE PVC LOGO NEGRO </t>
  </si>
  <si>
    <t>Z24838-P</t>
  </si>
  <si>
    <t xml:space="preserve">PROTECTOR NOX ML10 10TH ANNIVERSARY NEGRO ROJO </t>
  </si>
  <si>
    <t>Z24568-P</t>
  </si>
  <si>
    <t xml:space="preserve">MUÑEQUERA PEQUEÑA ADIDAS TENNIS NEGRO BLANCO     </t>
  </si>
  <si>
    <t>Z24567-P</t>
  </si>
  <si>
    <t xml:space="preserve">MUÑEQUERA GRANDE ADIDAS BLANCO NEGRO     </t>
  </si>
  <si>
    <t>Z24210-P</t>
  </si>
  <si>
    <t xml:space="preserve">BLISTER OVERGRIPS SIUX PRO X3 PERFORADO ROSA FLUOR     </t>
  </si>
  <si>
    <t>Z24129-2-18-P</t>
  </si>
  <si>
    <t>NOX AT10 NEGRO NARANJA CALAT10NENA  T 45</t>
  </si>
  <si>
    <t>Z24129-2-17-P</t>
  </si>
  <si>
    <t>NOX AT10 NEGRO NARANJA CALAT10NENA  T 44</t>
  </si>
  <si>
    <t>Z24129-2-16-P</t>
  </si>
  <si>
    <t>NOX AT10 NEGRO NARANJA CALAT10NENA  T 43</t>
  </si>
  <si>
    <t>Z24129-2-14-P</t>
  </si>
  <si>
    <t>NOX AT10 NEGRO NARANJA CALAT10NENA  T 41</t>
  </si>
  <si>
    <t>Z24122-1-4-P</t>
  </si>
  <si>
    <t>CAMISETA ASICS SILVER SS AZUL AZUFRE MUJER    L</t>
  </si>
  <si>
    <t>Z24122-1-3-P</t>
  </si>
  <si>
    <t>CAMISETA ASICS SILVER SS TOP 2012A029 402   M</t>
  </si>
  <si>
    <t>Z24122-1-2-P</t>
  </si>
  <si>
    <t>CAMISETA ASICS SILVER SS AZUL AZUFRE MUJER    S</t>
  </si>
  <si>
    <t>Z22725-P</t>
  </si>
  <si>
    <t xml:space="preserve">HEAD WRISTBAND 2.5 AZUL     </t>
  </si>
  <si>
    <t>Z22481-1-4-P</t>
  </si>
  <si>
    <t>FALDA CLUB ADIDAS GL5468    L</t>
  </si>
  <si>
    <t>Z22481-1-3-P</t>
  </si>
  <si>
    <t>FALDA CLUB ADIDAS GL5468    M</t>
  </si>
  <si>
    <t>Z22481-1-2-P</t>
  </si>
  <si>
    <t>FALDA CLUB ADIDAS GL5468    S</t>
  </si>
  <si>
    <t>Z22086-P</t>
  </si>
  <si>
    <t xml:space="preserve">OVERGRIP BULLPADEL GB-1201 NEGRO     </t>
  </si>
  <si>
    <t>Z21824-P</t>
  </si>
  <si>
    <t xml:space="preserve">STAR VIE DRONOS GALAXY </t>
  </si>
  <si>
    <t>Z21215-1-5-P</t>
  </si>
  <si>
    <t>CORTAVIENTOS NOX TEAM T20MCOAZ MUJER    L</t>
  </si>
  <si>
    <t>Z21215-1-4-P</t>
  </si>
  <si>
    <t>CORTAVIENTOS NOX TEAM T20MCOAZ MUJER    M</t>
  </si>
  <si>
    <t>Z21215-1-3-P</t>
  </si>
  <si>
    <t>CORTAVIENTOS NOX TEAM T20MCOAZ MUJER    S</t>
  </si>
  <si>
    <t>Z21215-1-2-P</t>
  </si>
  <si>
    <t xml:space="preserve">CAJON NOX 24 BOTES DE 3 PELOTAS DE PADEL PRO TITANIUM     </t>
  </si>
  <si>
    <t>Z20809-P</t>
  </si>
  <si>
    <t>CAJA 100 OVERGRIP SIUX LISO MULTICOLOR</t>
  </si>
  <si>
    <t>Z19359-1-4-P</t>
  </si>
  <si>
    <t>NOX POLO MUJER META 10TH T19MPOME10    L</t>
  </si>
  <si>
    <t>Z19359-1-3-P</t>
  </si>
  <si>
    <t>NOX POLO MUJER META 10TH T19MPOME10    M</t>
  </si>
  <si>
    <t>Z19359-1-2-P</t>
  </si>
  <si>
    <t>NOX POLO MUJER META 10TH T19MPOME10    S</t>
  </si>
  <si>
    <t>Z18907-P</t>
  </si>
  <si>
    <t xml:space="preserve">ANTIVIBRADOR SHOCKOUT NARANJA  (España)   </t>
  </si>
  <si>
    <t>Z18906-P</t>
  </si>
  <si>
    <t xml:space="preserve">ANTIVIBRADOR SHOCKOUT AZUL  (España)   </t>
  </si>
  <si>
    <t>Z18904-P</t>
  </si>
  <si>
    <t xml:space="preserve">ANTIVIBRADOR SHOCKOUT AMARILLO  (España)   </t>
  </si>
  <si>
    <t>Z18903-P</t>
  </si>
  <si>
    <t>ANTIVIBRADOR SHOCKOUT ROJO 100-0001</t>
  </si>
  <si>
    <t>Z18288-1-4-P</t>
  </si>
  <si>
    <t>HEAD CLUB SHORTS 811379 BK    L</t>
  </si>
  <si>
    <t>Z18288-1-3-P</t>
  </si>
  <si>
    <t>HEAD CLUB SHORTS 811379 BK    M</t>
  </si>
  <si>
    <t>Z18288-1-2-P</t>
  </si>
  <si>
    <t>HEAD CLUB SHORTS 811379 BK    S</t>
  </si>
  <si>
    <t>Z17540-P</t>
  </si>
  <si>
    <t xml:space="preserve">TAMBOR 50 PROTECTORES SIUX TRANSPARENTE SX1450     </t>
  </si>
  <si>
    <t>Z17531-P</t>
  </si>
  <si>
    <t xml:space="preserve">HEAD ANTISHOCK SKIN PADDLE 288503     </t>
  </si>
  <si>
    <t>Z17474-P</t>
  </si>
  <si>
    <t xml:space="preserve">PALETERO NOX PADEL TOUR BLUE MARINE BPTOURAZUL     </t>
  </si>
  <si>
    <t>Z17344-1-5-P</t>
  </si>
  <si>
    <t>HEAD CLUB SHORTS 811379 DB    XL</t>
  </si>
  <si>
    <t>Z17344-1-4-P</t>
  </si>
  <si>
    <t>HEAD CLUB SHORTS 811379 DB    L</t>
  </si>
  <si>
    <t>Z17344-1-3-P</t>
  </si>
  <si>
    <t>HEAD CLUB SHORTS 811379 DB    M</t>
  </si>
  <si>
    <t>Z17308-P</t>
  </si>
  <si>
    <t xml:space="preserve">HEAD PROMOTION CAP 287299 NV     </t>
  </si>
  <si>
    <t>Z17304-P</t>
  </si>
  <si>
    <t xml:space="preserve">HEAD PRO PLAYER WOMENS VISOR 287139 BK     </t>
  </si>
  <si>
    <t>Z17289-P</t>
  </si>
  <si>
    <t xml:space="preserve">PALETERO HEAD CORE PADEL COMBI 283889 BKNY ODP     </t>
  </si>
  <si>
    <t>Z17016-P</t>
  </si>
  <si>
    <t xml:space="preserve">BLISTER OVERGRIPS SIUX PRO X3 VARIOS COLORES PREFO </t>
  </si>
  <si>
    <t>Z17015-P</t>
  </si>
  <si>
    <t xml:space="preserve">BLISTER OVERGRIPS SIUX PRO X3 AZUL PREFORADO     </t>
  </si>
  <si>
    <t>Z17012-P</t>
  </si>
  <si>
    <t xml:space="preserve">BLISTER OVERGRIPS SIUX PRO X3 NEGRO PREFORADO </t>
  </si>
  <si>
    <t>Z17011-P</t>
  </si>
  <si>
    <t xml:space="preserve">BLISTER OVERGRIPS SIUX PRO X3 BLANCO PERFORADO     </t>
  </si>
  <si>
    <t>Z17002-P</t>
  </si>
  <si>
    <t xml:space="preserve">BOLSA OVERGRIPS SIUX PRO X12 BLANCO PERFORADO     </t>
  </si>
  <si>
    <t>Z16934-P</t>
  </si>
  <si>
    <t xml:space="preserve">MUÑEQUERA DUNLOP PRO X2 NEGRO </t>
  </si>
  <si>
    <t>Z1675-P</t>
  </si>
  <si>
    <t xml:space="preserve">BLACK CROWN PITON </t>
  </si>
  <si>
    <t>Z16669-P</t>
  </si>
  <si>
    <t xml:space="preserve">PROTECTOR BULLPADEL CUSTOM WEIGHT 005 455593     </t>
  </si>
  <si>
    <t>Z16135-P</t>
  </si>
  <si>
    <t xml:space="preserve">CAJÓN PELOTAS PADEL HEAD PADEL PRO S     </t>
  </si>
  <si>
    <t>Z16122-P</t>
  </si>
  <si>
    <t>CUBO 60 OVERGRIPS WILSON PERFORADOS BLANCOS</t>
  </si>
  <si>
    <t>Z15969-P</t>
  </si>
  <si>
    <t xml:space="preserve">GRIP BULLPADEL HESACORE  (Italy)   </t>
  </si>
  <si>
    <t>Z15855-P</t>
  </si>
  <si>
    <t xml:space="preserve">CUBO 50 OVERGRIP BULLPADEL GB-1604     </t>
  </si>
  <si>
    <t>Z14943-P</t>
  </si>
  <si>
    <t xml:space="preserve">BLISTER NOX OVERGRIPS PRO COLORES 3 UNIDADES OVPROBLCO3     </t>
  </si>
  <si>
    <t>Z13528-P</t>
  </si>
  <si>
    <t xml:space="preserve">OVERGRIP BULLPADEL GB-1705 NARANJA     </t>
  </si>
  <si>
    <t>Z13526-P</t>
  </si>
  <si>
    <t xml:space="preserve">OVERGRIP BULLPADEL GB-1603 BLANCO     </t>
  </si>
  <si>
    <t>Z13314-P</t>
  </si>
  <si>
    <t xml:space="preserve">OVERGRIP BULLPADEL 3 UNIDADES GB-1202 CELESTE     </t>
  </si>
  <si>
    <t>Z13308-P</t>
  </si>
  <si>
    <t xml:space="preserve">PROTECTOR BULLPADEL FRAME 3 UNIDADES NEGRO     </t>
  </si>
  <si>
    <t>Z106456-2-41-P</t>
  </si>
  <si>
    <t>ZAPATILLAS HEAD SPRINT TEAM 3.0 273841 DBTE  T 44.5</t>
  </si>
  <si>
    <t>Z106456-2-16-P</t>
  </si>
  <si>
    <t>ZAPATILLAS HEAD SPRINT TEAM 3.0 273841 DBTE  T 43</t>
  </si>
  <si>
    <t>Z106456-2-15-P</t>
  </si>
  <si>
    <t>ZAPATILLAS HEAD SPRINT TEAM 3.0 273841 DBTE  T 42</t>
  </si>
  <si>
    <t>Z104409-2-55-P</t>
  </si>
  <si>
    <t>ZAPATILLAS ADIDAS SOLEMATCH CONTROL M HQ8440  T 44 2/3</t>
  </si>
  <si>
    <t>Z104409-2-54-P</t>
  </si>
  <si>
    <t>ZAPATILLAS ADIDAS SOLEMATCH CONTROL M HQ8440  T 43 1/3</t>
  </si>
  <si>
    <t>Z104409-2-53-P</t>
  </si>
  <si>
    <t>ZAPATILLAS ADIDAS SOLEMATCH CONTROL M HQ8440  T 42 2/3</t>
  </si>
  <si>
    <t>Z104409-2-52-P</t>
  </si>
  <si>
    <t>ZAPATILLAS ADIDAS SOLEMATCH CONTROL M HQ8440  T 41 1/3</t>
  </si>
  <si>
    <t>Z104389-2-140-P</t>
  </si>
  <si>
    <t>ZAPATILLAS ADIDAS SOLEMATCH CONTROL W CLAY HQ8448 MUJER   T 39 1/3</t>
  </si>
  <si>
    <t>Z104389-2-135-P</t>
  </si>
  <si>
    <t>ZAPATILLAS ADIDAS SOLEMATCH CONTROL W CLAY HQ8448 MUJER  T 38 2/3</t>
  </si>
  <si>
    <t>Z104389-2-13-P</t>
  </si>
  <si>
    <t>ZAPATILLAS ADIDAS SOLEMATCH CONTROL W CLAY HQ8448 MUJER   T 40</t>
  </si>
  <si>
    <t>Z104389-2-11-P</t>
  </si>
  <si>
    <t>ZAPATILLAS ADIDAS SOLEMATCH CONTROL W CLAY HQ8448 MUJER  T 38</t>
  </si>
  <si>
    <t>Z104360-2-87-P</t>
  </si>
  <si>
    <t>ZAPATILLAS ADIDAS AVAFLASH HP5272 MUJER  T 40 2/3</t>
  </si>
  <si>
    <t>Z104360-2-140-P</t>
  </si>
  <si>
    <t>ZAPATILLAS ADIDAS AVAFLASH HP5272 MUJER  T 39 1/3</t>
  </si>
  <si>
    <t>Z104360-2-135-P</t>
  </si>
  <si>
    <t>ZAPATILLAS ADIDAS AVAFLASH HP5272 MUJER  T 38 2/3</t>
  </si>
  <si>
    <t>Z104360-2-11-P</t>
  </si>
  <si>
    <t>ZAPATILLAS ADIDAS AVAFLASH HP5272 MUJER  T 38</t>
  </si>
  <si>
    <t>Z104338-2-55-P</t>
  </si>
  <si>
    <t>ZAPATILLAS ADIDAS BARRICADE M HQ8917  T 44 2/3</t>
  </si>
  <si>
    <t>Z104338-2-54-P</t>
  </si>
  <si>
    <t>ZAPATILLAS ADIDAS BARRICADE M HQ8917  T 43 1/3</t>
  </si>
  <si>
    <t>Z104338-2-53-P</t>
  </si>
  <si>
    <t>ZAPATILLAS ADIDAS BARRICADE M HQ8917  T 42 2/3</t>
  </si>
  <si>
    <t>Z104338-2-52-P</t>
  </si>
  <si>
    <t>ZAPATILLAS ADIDAS BARRICADE M HQ8917  T 41 1/3</t>
  </si>
  <si>
    <t>Z104321-2-56-P</t>
  </si>
  <si>
    <t>ZAPATILLAS ADIDAS COURTFLASH SPEED HQ8482  T 45 1/3</t>
  </si>
  <si>
    <t>Z104321-2-55-P</t>
  </si>
  <si>
    <t>ZAPATILLAS ADIDAS COURTFLASH SPEED HQ8482  T 44 2/3</t>
  </si>
  <si>
    <t>Z104321-2-54-P</t>
  </si>
  <si>
    <t>ZAPATILLAS ADIDAS COURTFLASH SPEED HQ8482  T 43 1/3</t>
  </si>
  <si>
    <t>Z104321-2-53-P</t>
  </si>
  <si>
    <t>ZAPATILLAS ADIDAS COURTFLASH SPEED HQ8482 T 42 2/3</t>
  </si>
  <si>
    <t>Z104321-2-52-P</t>
  </si>
  <si>
    <t>ZAPATILLAS ADIDAS COURTFLASH SPEED HQ8482  T 41 1/3</t>
  </si>
  <si>
    <t>Z104084-2-36-P</t>
  </si>
  <si>
    <t>ASICS SOLUTION SPEED FF 2 CLAY 1042A134-104 MUJER  T 40.5</t>
  </si>
  <si>
    <t>Z104084-2-35-P</t>
  </si>
  <si>
    <t>ASICS SOLUTION SPEED FF 2 CLAY 1042A134-104 MUJER  T 39.5</t>
  </si>
  <si>
    <t>Z104084-2-12-P</t>
  </si>
  <si>
    <t>ASICS SOLUTION SPEED FF 2 CLAY 1042A134-104 MUJER  T 39</t>
  </si>
  <si>
    <t>Z104084-2-11-P</t>
  </si>
  <si>
    <t>ASICS SOLUTION SPEED FF 2 CLAY 1042A134-104 MUJER    T 38</t>
  </si>
  <si>
    <t>Z103972-2-41-P</t>
  </si>
  <si>
    <t>ZAPATILLAS ASICS GEL-GAME 9 PADEL 1041A336 400  T 44.5</t>
  </si>
  <si>
    <t>Z103972-2-40-P</t>
  </si>
  <si>
    <t>ZAPATILLAS ASICS GEL-GAME 9 PADEL 1041A336 400  T 43.5</t>
  </si>
  <si>
    <t>Z103972-2-39-P</t>
  </si>
  <si>
    <t>ZAPATILLAS ASICS GEL-GAME 9 PADEL 1041A336 400  T 42.5</t>
  </si>
  <si>
    <t>Z103972-2-18-P</t>
  </si>
  <si>
    <t>ZAPATILLAS ASICS GEL-GAME 9 PADEL 1041A336 400  T 45</t>
  </si>
  <si>
    <t>Z103971-2-41-P</t>
  </si>
  <si>
    <t>ZAPATILLAS ASICS GEL-GAME 9 PADEL 1041A336 100  T 44.5</t>
  </si>
  <si>
    <t>Z103971-2-40-P</t>
  </si>
  <si>
    <t>ZAPATILLAS ASICS GEL-GAME 9 PADEL 1041A336 100  T 43.5</t>
  </si>
  <si>
    <t>Z103971-2-39-P</t>
  </si>
  <si>
    <t>ZAPATILLAS ASICS GEL-GAME 9 PADEL 1041A336 100  T 42.5</t>
  </si>
  <si>
    <t>Z103971-2-37-P</t>
  </si>
  <si>
    <t>ZAPATILLAS ASICS GEL-GAME 9 PADEL 1041A336 100  T 41.5</t>
  </si>
  <si>
    <t>Z103971-2-18-P</t>
  </si>
  <si>
    <t>ZAPATILLAS ASICS GEL-GAME 9 PADEL 1041A336 100  T 45</t>
  </si>
  <si>
    <t>Z103799-2-41-P</t>
  </si>
  <si>
    <t>ZAPATILLAS ASICS SOLUTION SPEED FF 2 CLAY 1041A187 402  T 44.5</t>
  </si>
  <si>
    <t>Z103799-2-40-P</t>
  </si>
  <si>
    <t>ZAPATILLAS ASICS SOLUTION SPEED FF 2 CLAY 1041A187 402  T 43.5</t>
  </si>
  <si>
    <t>Z103799-2-39-P</t>
  </si>
  <si>
    <t>ZAPATILLAS ASICS SOLUTION SPEED FF 2 CLAY 1041A187 402  T 42.5</t>
  </si>
  <si>
    <t>Z103799-2-37-P</t>
  </si>
  <si>
    <t>ZAPATILLAS ASICS SOLUTION SPEED FF 2 CLAY 1041A187 402  T 41.5</t>
  </si>
  <si>
    <t>Z097512711005</t>
  </si>
  <si>
    <t xml:space="preserve">WILSON BELA PRO V2  </t>
  </si>
  <si>
    <t>Z097512699990</t>
  </si>
  <si>
    <t xml:space="preserve">WILSON BELA ELITE V2 ROJO </t>
  </si>
  <si>
    <t>Z097512699976</t>
  </si>
  <si>
    <t>WILSON BELA LT V2 BLANCO</t>
  </si>
  <si>
    <t>Z097512511223</t>
  </si>
  <si>
    <t xml:space="preserve">WILSON ULTRA ELITE V2 PADEL  </t>
  </si>
  <si>
    <t>Z097512511094</t>
  </si>
  <si>
    <t xml:space="preserve">PALETERO WILSON BELA SUPER TOUR  </t>
  </si>
  <si>
    <t>Z097512511087</t>
  </si>
  <si>
    <t xml:space="preserve">PALETERO WILSON BELA SUPER TOUR NEGRO WR8901201001  </t>
  </si>
  <si>
    <t>Z045566923073</t>
  </si>
  <si>
    <t xml:space="preserve">PALETERO DUNLOP TOUR INTRO LT WHT/BLK 10316697 OFP  </t>
  </si>
  <si>
    <t>Z045566923059</t>
  </si>
  <si>
    <t xml:space="preserve">PALETERO DUNLOP TOUR INTRO LT BLK/PNK 10316692 OFP  </t>
  </si>
  <si>
    <t>Z045566922991</t>
  </si>
  <si>
    <t xml:space="preserve">PALETERO DUNLOP TOUR INTRO LT BLK/WHT 10316696 OFP  </t>
  </si>
  <si>
    <t>CAMISETA JOMA COMBI MARINO OSCURO XXL</t>
  </si>
  <si>
    <t>CAMISETA JOMA COMBI MARINO OSCURO XL</t>
  </si>
  <si>
    <t>CAMISETA JOMA COMBI MARINO OSCURO L</t>
  </si>
  <si>
    <t>CAMISETA JOMA COMBI MARINO OSCURO M</t>
  </si>
  <si>
    <t>CAMISETA JOMA COMBI MARINO OSCURO S</t>
  </si>
  <si>
    <t>BERMUDA JOMA DRIVE L</t>
  </si>
  <si>
    <t>BERMUDA JOMA DRIVE M</t>
  </si>
  <si>
    <t>9995207837089_</t>
  </si>
  <si>
    <t>MEDIUM JOMA SOCKS 43/46</t>
  </si>
  <si>
    <t>9995207837072_</t>
  </si>
  <si>
    <t>MEDIUM JOMA SOCKS 39/42</t>
  </si>
  <si>
    <t>9995207737082_</t>
  </si>
  <si>
    <t>INVISIBLE JOMA SOCKS 43/46</t>
  </si>
  <si>
    <t>9995207737075_</t>
  </si>
  <si>
    <t>INVISIBLE JOMA SOCKS 39/42</t>
  </si>
  <si>
    <t>9995207737068_</t>
  </si>
  <si>
    <t>INVISIBLE JOMA SOCKS 35/38</t>
  </si>
  <si>
    <t>9995207637085_</t>
  </si>
  <si>
    <t>9995207637078_</t>
  </si>
  <si>
    <t>9995207637061_</t>
  </si>
  <si>
    <t>9995207437081_</t>
  </si>
  <si>
    <t>JOMA ANKLE SOCKS 43/46</t>
  </si>
  <si>
    <t>9995207437074_</t>
  </si>
  <si>
    <t>JOMA ANKLE SOCKS 39/42</t>
  </si>
  <si>
    <t>9995207437067_</t>
  </si>
  <si>
    <t>JOMA ANKLE SOCKS 35/38</t>
  </si>
  <si>
    <t>9995207337084_</t>
  </si>
  <si>
    <t>ZAPATILLAS WILSON RUSH PRO 4.5 WRS336 44</t>
  </si>
  <si>
    <t>ZAPATILLAS WILSON RUSH PRO 4.5 WRS336 42</t>
  </si>
  <si>
    <t>ZAPATILLAS WILSON RUSH PRO 4.5 WRS336 44 2/3</t>
  </si>
  <si>
    <t>ZAPATILLAS WILSON RUSH PRO 4.5 WRS336 42 2/3</t>
  </si>
  <si>
    <t>ZAPATILLAS WILSON RUSH PRO 4.5 WRS336 41 1/3</t>
  </si>
  <si>
    <t>ZAPATILLAS WILSON RUSH PRO 4.5WRS336 45 1/3</t>
  </si>
  <si>
    <t>ZAPATILLAS WILSON RUSH PRO 4.5 WRS336 43 1/3</t>
  </si>
  <si>
    <t>ZAPATILLAS WILSON BELA TOUR WRS331580 45 1/3</t>
  </si>
  <si>
    <t>ZAPATILLAS WILSON BELA TOUR WRS331580 44 2/3</t>
  </si>
  <si>
    <t>ZAPATILLAS WILSON BELA TOUR WRS331580 46 2/3</t>
  </si>
  <si>
    <t>ZAPATILLAS WILSON BELA TOUR WRS331580 41 1/3</t>
  </si>
  <si>
    <t>ZAPATILLAS WILSON BELA TOUR WRS331580 42 2/3</t>
  </si>
  <si>
    <t>ZAPATILLAS WILSON BELA TOUR WRS331580 43 1/3</t>
  </si>
  <si>
    <t xml:space="preserve">WILSON CUPRA PADEL V2 </t>
  </si>
  <si>
    <t>ZAPATILLAS WILSON HURAKN PRO WRS330450  45 1/3</t>
  </si>
  <si>
    <t>ZAPATILLAS WILSON HURAKN PRO WRS330450  44 2/3</t>
  </si>
  <si>
    <t>ZAPATILLAS WILSON HURAKN PRO WRS330450 43 1/3</t>
  </si>
  <si>
    <t>ZAPATILLAS WILSON HURAKN PRO WRS330450   42 2/3</t>
  </si>
  <si>
    <t>WILSON BELA PRO ROJO WRS331170 44 2/3</t>
  </si>
  <si>
    <t>WILSON BELA PRO ROJO WRS331170 43 1/3</t>
  </si>
  <si>
    <t>WILSON BELA PRO ROJO WRS331170 42 2/3</t>
  </si>
  <si>
    <t>WILSON CUPRA PADEL 6H2050539</t>
  </si>
  <si>
    <t xml:space="preserve"> PROTECTOR DE PALA PADEL NUESTRO  </t>
  </si>
  <si>
    <t>CINTA PROTECCIÓN WILSON PADEL GUARD</t>
  </si>
  <si>
    <t>GORRA ASICS ESNT BLANCO</t>
  </si>
  <si>
    <t>GORRA ASICS ESNT NEGRO</t>
  </si>
  <si>
    <t>8718837148414_</t>
  </si>
  <si>
    <t>ASICS PRFM VISOR</t>
  </si>
  <si>
    <t>VISERA ASICS PRFM VISOR 3013A278-001</t>
  </si>
  <si>
    <t>8718837138224_</t>
  </si>
  <si>
    <t>3 SOCK PAIRS ASICS PED 43/46</t>
  </si>
  <si>
    <t>8718837138217_</t>
  </si>
  <si>
    <t>3 SOCK PAIRS ASICS PED 39/42</t>
  </si>
  <si>
    <t>8718837138187_</t>
  </si>
  <si>
    <t>8718837138170_</t>
  </si>
  <si>
    <t>8718837138064_</t>
  </si>
  <si>
    <t>PACK OF 3 PAIRS ASICS QUARTER SOCKS43/46</t>
  </si>
  <si>
    <t>8718837138057_</t>
  </si>
  <si>
    <t>PACK OF 3 PAIRS ASICS QUARTER SOCKS39/42</t>
  </si>
  <si>
    <t>8718837020789_</t>
  </si>
  <si>
    <t>ASICS 6PPK Crew Shocks 39/42</t>
  </si>
  <si>
    <t>8445757157607_</t>
  </si>
  <si>
    <t>ZAPATILLAS JOMA T.SPIN LADY 2305 TSPILS2305P MUJER 40</t>
  </si>
  <si>
    <t>8445757157591_</t>
  </si>
  <si>
    <t>ZAPATILLAS JOMA T.SPIN LADY 2305 TSPILS2305P MUJER 39</t>
  </si>
  <si>
    <t>ZAPATILLAS JOMA T.POINT LADY 2301 TPOILS2301P MUJER 37</t>
  </si>
  <si>
    <t>ZAPATILLAS MUNICH PADX 57 PADEL 403 46</t>
  </si>
  <si>
    <t>ZAPATILLAS MUNICH PADX 57 PADEL 403 45</t>
  </si>
  <si>
    <t>ZAPATILLAS MUNICH PADX 57 PADEL 403 44</t>
  </si>
  <si>
    <t>ZAPATILLAS MUNICH PADX 57 PADEL 403 43</t>
  </si>
  <si>
    <t>ZAPATILLAS MUNICH PADX 57 PADEL 403 42</t>
  </si>
  <si>
    <t>ZAPATILLAS MUNICH PADX 57 PADEL 403 41</t>
  </si>
  <si>
    <t>ZAPATILLAS MUNICH ATOMIK44</t>
  </si>
  <si>
    <t>ZAPATILLAS MUNICH ATOMIK43</t>
  </si>
  <si>
    <t>ZAPATILLAS MUNICH ATOMIK42</t>
  </si>
  <si>
    <t>ZAPATILLAS MUNICH ATOMIK41</t>
  </si>
  <si>
    <t>ZAPATILLA MUNICH PADX STUPA 46 PADEL 46</t>
  </si>
  <si>
    <t>ZAPATILLA MUNICH PADX STUPA 45</t>
  </si>
  <si>
    <t>ZAPATILLA MUNICH PADX STUPA 44</t>
  </si>
  <si>
    <t>ZAPATILLA MUNICH PADX STUPA 43</t>
  </si>
  <si>
    <t>ZAPATILLA MUNICH PADX STUPA 46 PADEL 42</t>
  </si>
  <si>
    <t>ZAPATILLA MUNICH PADX STUPA 41</t>
  </si>
  <si>
    <t>8445648157082_</t>
  </si>
  <si>
    <t>WOMENS LILAC AND PINK MUNICH PADX 34 PADEL 40</t>
  </si>
  <si>
    <t>8445648157075_</t>
  </si>
  <si>
    <t>WOMENS LILAC AND PINK MUNICH PADX 34 PADEL 39</t>
  </si>
  <si>
    <t>8445648157068_</t>
  </si>
  <si>
    <t>WOMENS LILAC AND PINK MUNICH PADX 34 PADEL 38</t>
  </si>
  <si>
    <t>8445648157051_</t>
  </si>
  <si>
    <t>WOMENS LILAC AND PINK MUNICH PADX 34 PADEL 37</t>
  </si>
  <si>
    <t>8445648156863_</t>
  </si>
  <si>
    <t>BLUE AND LIME GREEN MUNICH PADX 32 PADEL 44</t>
  </si>
  <si>
    <t>8445648156856_</t>
  </si>
  <si>
    <t>BLUE AND LIME GREEN MUNICH PADX 32 PADEL 43</t>
  </si>
  <si>
    <t>8445648156849_</t>
  </si>
  <si>
    <t>BLUE AND LIME GREEN MUNICH PADX 32 PADEL 42</t>
  </si>
  <si>
    <t>MUNICH PADX 30 AZUL MARINO NARANJA 44</t>
  </si>
  <si>
    <t>MUNICH PADX 30 AZUL MARINO NARANJA 43</t>
  </si>
  <si>
    <t>MUNICH PADX 30 AZUL MARINO NARANJA 42</t>
  </si>
  <si>
    <t>MUNICH PADX 30 AZUL MARINO NARANJA 4034030 41</t>
  </si>
  <si>
    <t>JOMA T.SLAM MEN 2224 GRANATE TSLAMW2224 45</t>
  </si>
  <si>
    <t>JOMA T.SLAM MEN 2224 GRANATE TSLAMW2224 44.5</t>
  </si>
  <si>
    <t>JOMA T.SLAM MEN 2224 GRANATE TSLAMW2224 44</t>
  </si>
  <si>
    <t>JOMA T.SLAM MEN 2224 GRANATE TSLAMW2224 43.5</t>
  </si>
  <si>
    <t>JOMA T.SLAM MEN 2224 GRANATE TSLAMW2224 43</t>
  </si>
  <si>
    <t>JOMA T.SLAM MEN 2224 GRANATE TSLAMW2224 42.5</t>
  </si>
  <si>
    <t>JOMA T.SLAM MEN 2224 GRANATE TSLAMW2224 42</t>
  </si>
  <si>
    <t>JOMA T.SLAM MEN 2224 GRANATE TSLAMW2224 41</t>
  </si>
  <si>
    <t>JOMA T.SLAM MEN 22 MARINO TSLAMW2203 44.5</t>
  </si>
  <si>
    <t>JOMA T.SLAM MEN 22 MARINO TSLAMW2203 43.5</t>
  </si>
  <si>
    <t>JOMA T.SLAM MEN 22 MARINO TSLAMW2203 42.5</t>
  </si>
  <si>
    <t>JOMA T.SLAM MEN 22 MARINO TSLAMW2203  41</t>
  </si>
  <si>
    <t>8445456974147_</t>
  </si>
  <si>
    <t>JOMA T.POINT MEN 2202 BLANCO 45</t>
  </si>
  <si>
    <t>8445456974123_</t>
  </si>
  <si>
    <t>JOMA T.POINT MEN 2202 BLANCO 44</t>
  </si>
  <si>
    <t>8445456974109_</t>
  </si>
  <si>
    <t>JOMA T.POINT MEN 2202 BLANCO 43</t>
  </si>
  <si>
    <t>8445456974086_</t>
  </si>
  <si>
    <t>JOMA T.POINT MEN 2202 BLANCO 42</t>
  </si>
  <si>
    <t>8445456973997_</t>
  </si>
  <si>
    <t>JOMA T.POINT MEN 2201 NEGRO VERDE 45</t>
  </si>
  <si>
    <t>JOMA T.POINT MEN 2201 NEGRO VERDE MX TPOINW2201 44.5</t>
  </si>
  <si>
    <t>8445456973973_</t>
  </si>
  <si>
    <t>JOMA T.POINT MEN 2201 NEGRO VERDE 44</t>
  </si>
  <si>
    <t>JOMA T.POINT MEN 2201 NEGRO VERDE MX TPOINW2201 43.5</t>
  </si>
  <si>
    <t>8445456973959_</t>
  </si>
  <si>
    <t>JOMA T.POINT MEN 2201 NEGRO VERDE 43</t>
  </si>
  <si>
    <t>JOMA T.POINT MEN 2201 NEGRO VERDE MX TPOINW2201 42,5</t>
  </si>
  <si>
    <t>8445456973935_</t>
  </si>
  <si>
    <t>JOMA T.POINT MEN 2201 NEGRO VERDE 42</t>
  </si>
  <si>
    <t>JOMA T.POINT MEN 2201 NEGRO VERDE MX TPOINW2201 41</t>
  </si>
  <si>
    <t>JOMA T.POINT MEN 2201 NEGRO VERDE MX TPOINW2201 40.5</t>
  </si>
  <si>
    <t>JOMA T.POINT MEN 2201 NEGRO VERDE MXTPOINW2201 42</t>
  </si>
  <si>
    <t>CALCETINES ENEBE FUTURE GRIS/NEGRO A000337.A43/46</t>
  </si>
  <si>
    <t>CALCETINES ENEBE FUTUREGRIS/NEGRO (9506999035/38</t>
  </si>
  <si>
    <t>CALCETINES ENEBE FUTURE BLANCO/ GRISA000337.243/46</t>
  </si>
  <si>
    <t>CALCETINES ENEBE FUTURE BLANCO/ GRIS A000337.239/42</t>
  </si>
  <si>
    <t>CALCETINES ENEBE FUTURE BLANCO/ GRIS A000337.235/38</t>
  </si>
  <si>
    <t>PALETERO BLACK CROWN ULTIMATE SERIES V2 MARINO/ CELESTE</t>
  </si>
  <si>
    <t>PALA BLACK CROWN PITON 12 SILVER</t>
  </si>
  <si>
    <t>PALA BLACK CROWN PITON PREMIUM 24</t>
  </si>
  <si>
    <t>MUÃ‘EQUERA BLACK CROWN LONG</t>
  </si>
  <si>
    <t>PALETERO BLACK CROWN ULTIMATE SERIES</t>
  </si>
  <si>
    <t>CALCETINES ENEBE FUTURE NEGRO/ GRIS A000337.A43/46</t>
  </si>
  <si>
    <t>PROTECTOR SOFTEE PADEL DORA</t>
  </si>
  <si>
    <t>8445090050641_</t>
  </si>
  <si>
    <t xml:space="preserve">BLACK SOFTEE BALL BASKET </t>
  </si>
  <si>
    <t>BLISTER 3 OVERGRIPS PRO VIBOR-A LISO AZUL</t>
  </si>
  <si>
    <t>BLISTER OVERGRIPS VIBOR-A PRO X3 LISO NEGRO</t>
  </si>
  <si>
    <t>8445090040833_</t>
  </si>
  <si>
    <t>PROTECTOR SOFTEE PADEL TRANSPARENTE</t>
  </si>
  <si>
    <t>PALETERO SOFTEE PADEL PREMIUM NEGRO ROJO</t>
  </si>
  <si>
    <t>CALCETINES ENEBE FUTURE GRIS/NEGRO A000337.39/42</t>
  </si>
  <si>
    <t>PALA STARVIE KENTA ETERNAL PRO</t>
  </si>
  <si>
    <t>8437024363286_</t>
  </si>
  <si>
    <t>NECESER STARVIE TRITON NTRITON</t>
  </si>
  <si>
    <t>8437024363026_</t>
  </si>
  <si>
    <t>GORRA STARVIE PRO</t>
  </si>
  <si>
    <t>8437009222898_</t>
  </si>
  <si>
    <t>PALA PRINCE TITAN ULTRA LIGHT JUNIOR</t>
  </si>
  <si>
    <t xml:space="preserve"> PALETERO SIUX PULSE 200Ã“27  </t>
  </si>
  <si>
    <t xml:space="preserve"> SIUX BEAT HYBRID 3 AIR  </t>
  </si>
  <si>
    <t xml:space="preserve"> SIUX BEAT HYBRID 3 </t>
  </si>
  <si>
    <t xml:space="preserve"> SIUX ASTRA HYBRID   </t>
  </si>
  <si>
    <t xml:space="preserve"> PALA SIUX ASTRA HYBRID AIR 200058   </t>
  </si>
  <si>
    <t xml:space="preserve"> SIUX FENIX PRO GLOW PURPLE 2026  </t>
  </si>
  <si>
    <t xml:space="preserve">STARVIE ASTRUM + PSTAMP31000 </t>
  </si>
  <si>
    <t>STARVIE TRITON POWER  + PSTTB31000</t>
  </si>
  <si>
    <t xml:space="preserve">STARVIE TRITON BALANCE + PSTTB31000 </t>
  </si>
  <si>
    <t>PALA STARVIE RAPTOR PSTRS21000</t>
  </si>
  <si>
    <t>PALA STARVIE TRITÃ“N PRO PSTTRP21000</t>
  </si>
  <si>
    <t>PALA STARVIE METHEORA DUAL PSTMD21000</t>
  </si>
  <si>
    <t>PALA STARVIE BRAVA PSTBV21000</t>
  </si>
  <si>
    <t>PALA STARVIE BRAVA PRO PSTBVP21000</t>
  </si>
  <si>
    <t>PALA STARVIE BASALTO PRO PSTBP21000</t>
  </si>
  <si>
    <t>NECESER STARVIE TRITON NSTTR4100</t>
  </si>
  <si>
    <t>PALA STARVIE TRITON SOFT</t>
  </si>
  <si>
    <t xml:space="preserve">PALETERO STARVIE PADEL ELITE BSTEL31000 </t>
  </si>
  <si>
    <t xml:space="preserve">PALA STARVIE DRONOS ULTRA SPEED SOFT </t>
  </si>
  <si>
    <t xml:space="preserve">PALA STARVIE BASALTO PRO </t>
  </si>
  <si>
    <t>PALA STARVIE ASTRUM</t>
  </si>
  <si>
    <t>PALA STARVIE METHEORA DUAL PSTMD</t>
  </si>
  <si>
    <t xml:space="preserve">PALA NOX EQUATION </t>
  </si>
  <si>
    <t xml:space="preserve">NOX EQUATION LIGHT PEQULIADV25 </t>
  </si>
  <si>
    <t>PALA NOX TL10 QUANTUM 12K BY TINO LIBAAK PTL10LUXQ25</t>
  </si>
  <si>
    <t>NOX ML10 QUANTUM 3K BY MIGUEL LAMPERTI 2025</t>
  </si>
  <si>
    <t>PALA NOX AT10 GENIUS 12K BY AGUSTIN TAPIA PAT10GENIUS25</t>
  </si>
  <si>
    <t>PALA NOX AT10 GENIUS ATTACK 12K BY AGUSTIN TAPIA PAT10GENIUSAT25</t>
  </si>
  <si>
    <t>PALA NOX AT10 GENIUS ATTACK 18K ALUM BY AGUSTIN TAPIA PAT10GENIU</t>
  </si>
  <si>
    <t>PALA NOX AT10 GENIUS 18K ALUM BY AGUSTIN TAPIA PAT10GENIUS1825</t>
  </si>
  <si>
    <t>NOX AT10 PRO CUP COMFORT BY AGUSTIN TAPIA 2025</t>
  </si>
  <si>
    <t>CAMISETA NOX SPONSORS AT10 T24CASPATDBXL</t>
  </si>
  <si>
    <t>CAMISETA NOX SPONSORS AT10 T24CASPATDBL</t>
  </si>
  <si>
    <t>CAMISETA NOX SPONSORS AT10 T24CASPATDBM</t>
  </si>
  <si>
    <t>CAMISETA NOX SPONSORS AT10 T24CASPATDBS</t>
  </si>
  <si>
    <t>CAMISETA NOX TEAM REGULAR BLANCO XL</t>
  </si>
  <si>
    <t>CAMISETA NOX TEAM REGULAR BLANCO L</t>
  </si>
  <si>
    <t>CAMISETA NOX TEAM REGULAR BLANCO M</t>
  </si>
  <si>
    <t>CAMISETA NOX TEAM REGULAR BLANCO S</t>
  </si>
  <si>
    <t>CAMISETA NOX TEAM REGULAR BLACK T24HCATRBL XL</t>
  </si>
  <si>
    <t>CAMISETA NOX TEAM REGULAR BLACK T24HCATRBL L</t>
  </si>
  <si>
    <t>CAMISETA NOX TEAM REGULAR BLACK T24HCATRBL M</t>
  </si>
  <si>
    <t>CAMISETA NOX TEAM REGULAR BLACK T24HCATRBL S</t>
  </si>
  <si>
    <t>ZAPATILLAS NOX AT10 PRO CALAT10GATI MUJER40</t>
  </si>
  <si>
    <t>ZAPATILLAS NOX AT10 PRO CALAT10GATI MUJER39</t>
  </si>
  <si>
    <t>ZAPATILLAS NOX AT10 PRO CALAT10GATI MUJER38</t>
  </si>
  <si>
    <t>ZAPATILLAS NOX AT10 PRO CALAT10GATI MUJER37</t>
  </si>
  <si>
    <t xml:space="preserve"> NOX AT10 PRO CALAT10BLRE 45</t>
  </si>
  <si>
    <t xml:space="preserve"> NOX AT10 PRO CALAT10BLRE 44</t>
  </si>
  <si>
    <t xml:space="preserve"> NOX AT10 PRO CALAT10BLRE 43</t>
  </si>
  <si>
    <t xml:space="preserve"> NOX AT10 PRO CALAT10BLRE 42</t>
  </si>
  <si>
    <t xml:space="preserve"> NOX AT10 PRO CALAT10BLRE  41</t>
  </si>
  <si>
    <t xml:space="preserve"> NOX AT10 PRO CALAT10BLRE 40</t>
  </si>
  <si>
    <t>ZAPATILLAS NOX AT10 PRO CALAT10BLGO 44</t>
  </si>
  <si>
    <t>ZAPATILLAS NOX AT10 PRO CALAT10BLGO 43</t>
  </si>
  <si>
    <t>ZAPATILLAS NOX AT10 PRO CALAT10BL42</t>
  </si>
  <si>
    <t>ZAPATILLAS NOX AT10 PRO CALAT10WHITE 45</t>
  </si>
  <si>
    <t>ZAPATILLAS NOX AT10 PRO CALAT10WHITE  41</t>
  </si>
  <si>
    <t>ZAPATILLAS NOX NERBO CALUXNERWHSB 45</t>
  </si>
  <si>
    <t>ZAPATILLAS NOX NERBO CALUXNERWHSB 44</t>
  </si>
  <si>
    <t>ZAPATILLAS NOX NERBO CALUXNERWHSB 43</t>
  </si>
  <si>
    <t>ZAPATILLAS NOX NERBO CALUXNERWHSB 42</t>
  </si>
  <si>
    <t>ZAPATILLAS NOX NERBO CALUXNERWHSB 41</t>
  </si>
  <si>
    <t>ZAPATILLAS NOX ML10 HEXA CALMLHEXBL45</t>
  </si>
  <si>
    <t>ZAPATILLAS NOX ML10 HEXA CALMLHEXBLGS 44</t>
  </si>
  <si>
    <t>ZAPATILLAS NOX ML10 HEXA CALMLHEXBLGS 43</t>
  </si>
  <si>
    <t>ZAPATILLAS NOX ML10 HEXA42</t>
  </si>
  <si>
    <t xml:space="preserve"> NOX ML10 HEXA CALMLHEXBLGS  41</t>
  </si>
  <si>
    <t>ZAPATILLAS NOX ML10 HEXA CALMLHEXBL40</t>
  </si>
  <si>
    <t>PALETERO NOX STREET SERIES BPSTBLGR</t>
  </si>
  <si>
    <t>PALETERO NOX STREET SERIES BPSTGRPI</t>
  </si>
  <si>
    <t>PALETERO NOX AT10 TEAM BPAT10TEGRGR</t>
  </si>
  <si>
    <t>NECESER NOX LUXURY SERIES NECLUXGRBL</t>
  </si>
  <si>
    <t xml:space="preserve">MOCHILA NOX LUXURY OPEN SERIES MOCOPENBLRE </t>
  </si>
  <si>
    <t xml:space="preserve"> MOCHILA NOX LUXURY MASTER SERIES MOCLUXMASTER </t>
  </si>
  <si>
    <t>PALETERO NOX LUXURY OPEN SERIES BPOPENBLRE</t>
  </si>
  <si>
    <t>PALETERO NOX LUXURY OPEN SERIES BPOPENBLBR</t>
  </si>
  <si>
    <t>PALETERO NOX LUXURY MASTER SERIES BPLUXMASTER</t>
  </si>
  <si>
    <t>VESTIDO NOX PRO CHARCOAL GREY T24FWMVESCG XL</t>
  </si>
  <si>
    <t>VESTIDO NOX PRO CHARCOAL GREY T24FWMVESCG L</t>
  </si>
  <si>
    <t>VESTIDO NOX PRO CHARCOAL GREY T24FWMVESCG M</t>
  </si>
  <si>
    <t>CAMISETA NOX PRO MISTY GREY T24FWHCAMG L</t>
  </si>
  <si>
    <t>CAMISETA NOX PRO MISTY GREY T24FWHCAMG M</t>
  </si>
  <si>
    <t>CAMISETA NOX PRO LILY GREEN T24FWHCALG L</t>
  </si>
  <si>
    <t>NOX ML10 PRO CUP 3K 2024</t>
  </si>
  <si>
    <t>NOX ML10 BAHIA 12K 2024</t>
  </si>
  <si>
    <t>NOX ML10 SHOTGUN 18K</t>
  </si>
  <si>
    <t>NOX AT10 GENIUS 12K AGUSTIN TAPIA 2024</t>
  </si>
  <si>
    <t>NOX AT10 GENIUS 18K AGUSTIN TAPIA 2024</t>
  </si>
  <si>
    <t>NOX AT GENIUS ATTACK 18K AGUSTÃN TAPIA 2024</t>
  </si>
  <si>
    <t>PALA NOX PACK AT GENIUS LIMITED EDITION</t>
  </si>
  <si>
    <t>MOCHILA NOX STREET MOCSTGREY</t>
  </si>
  <si>
    <t>MOCHILA NOX STREET MOCSTBLLG</t>
  </si>
  <si>
    <t>PALETERO NOX PRO SERIES BPPROSCAMEL</t>
  </si>
  <si>
    <t>PALETERO NOX PRO SERIES BPPROSBLACK</t>
  </si>
  <si>
    <t>PALETERO NOX PRO SERIES BPPROSBLUE</t>
  </si>
  <si>
    <t>MOCHILA NOX PRO SERIES MOCPROSBLUE</t>
  </si>
  <si>
    <t xml:space="preserve">MOCHILA NOX PRO SERIES MOCPROSBLACK </t>
  </si>
  <si>
    <t>ZAPATILLAS NOX AT10 CALAT10WHBL   46</t>
  </si>
  <si>
    <t>ZAPATILLAS NOX AT10 CALAT10WHBL   44</t>
  </si>
  <si>
    <t>ZAPATILLAS NOX AT10 CALAT10WHBL   43</t>
  </si>
  <si>
    <t>ZAPATILLAS NOX AT10 CALAT10WHBL   42</t>
  </si>
  <si>
    <t>ZAPATILLAS NOX AT10 CALAT10WHBL  41</t>
  </si>
  <si>
    <t>8436603194310_</t>
  </si>
  <si>
    <t>ZAPATILLAS NOX AT10 CALAT10FIRB 44</t>
  </si>
  <si>
    <t>8436603194303_</t>
  </si>
  <si>
    <t>ZAPATILLAS NOX AT10 CALAT10FIRB 43</t>
  </si>
  <si>
    <t>8436603194280_</t>
  </si>
  <si>
    <t>ZAPATILLAS NOX AT10 CALAT10FIRB 41</t>
  </si>
  <si>
    <t>ZAPATILLAS NOX ML10 HEXA CALMLHEXBLFR 40</t>
  </si>
  <si>
    <t>NOX VK10</t>
  </si>
  <si>
    <t>GRIP NOX CUSTOM 6 UNIDADES</t>
  </si>
  <si>
    <t>8436603193245___</t>
  </si>
  <si>
    <t>SHORT NOX PRO XL</t>
  </si>
  <si>
    <t>8436603193092_</t>
  </si>
  <si>
    <t>CAMISETA NOX PRO REGULAR T23SSHCACB XL</t>
  </si>
  <si>
    <t>8436603193085_</t>
  </si>
  <si>
    <t>CAMISETA NOX PRO REGULAR T23SSHCACBL</t>
  </si>
  <si>
    <t>8436603193078_</t>
  </si>
  <si>
    <t>CAMISETA NOX PRO REGULAR T23SSHCACB M</t>
  </si>
  <si>
    <t>NOX X-ONE CASUAL SERIES PXONE23</t>
  </si>
  <si>
    <t>8436603192651_</t>
  </si>
  <si>
    <t>MUÃ‘EQUERA LARGA BLISTER NOX</t>
  </si>
  <si>
    <t>8436603192637_</t>
  </si>
  <si>
    <t>MUÃ‘EQUERA BLISTERNOX X2</t>
  </si>
  <si>
    <t>8436603192156_</t>
  </si>
  <si>
    <t>NOX AT10 GENIUS 18K BY AGUSTÃN TAPIA 23</t>
  </si>
  <si>
    <t>NOX TEMPO WPT LUXURY SERIES 23</t>
  </si>
  <si>
    <t>MOCHILA NOX STREET PACK GRIS</t>
  </si>
  <si>
    <t>8436603192071_</t>
  </si>
  <si>
    <t>MOCHILA NOX AT10 TEAM SERIES BLK/RD MOCAT10TEBLR</t>
  </si>
  <si>
    <t>PALETERO NOX AT10 COMPETITION TROLLEY NEGRO AZUL</t>
  </si>
  <si>
    <t>8436603192040_</t>
  </si>
  <si>
    <t>PALETERO NOX AT10 COMPETITION XL COMP</t>
  </si>
  <si>
    <t>8436603191449_</t>
  </si>
  <si>
    <t>SHORT NOX TEAMXL</t>
  </si>
  <si>
    <t>SHORT NOX TEAM T22HSHTDBS</t>
  </si>
  <si>
    <t>SHORT NOX TEAM T22HSHTBLXL</t>
  </si>
  <si>
    <t>SHORT NOX TEAM T22HSHTBLL</t>
  </si>
  <si>
    <t>SHORT NOX TEAM T22HSHTBLM</t>
  </si>
  <si>
    <t>SHORT NOX TEAM T22HSHTBLS</t>
  </si>
  <si>
    <t>SHORT NOX TEAM T22HSHTWHXL</t>
  </si>
  <si>
    <t>SHORT NOX TEAM T22HSHTWHL</t>
  </si>
  <si>
    <t>SHORT NOX TEAM T22HSHTWHS</t>
  </si>
  <si>
    <t>SHORT NOX TEAM T22HSHTREXL</t>
  </si>
  <si>
    <t>SHORT NOX TEAM T22HSHTREL</t>
  </si>
  <si>
    <t>SHORT NOX TEAM T22HSHTREM</t>
  </si>
  <si>
    <t>SHORT NOX TEAM T22HSHTRES</t>
  </si>
  <si>
    <t>8436603191241_</t>
  </si>
  <si>
    <t>CAMISETA NOX TEAM REGULAR T22HCATRGRXL</t>
  </si>
  <si>
    <t>8436603191227_</t>
  </si>
  <si>
    <t>CAMISETA NOX TEAM REGULAR T22HCATRGRM</t>
  </si>
  <si>
    <t>CAMISETA NOX TEAM REGULAR T22HCATRGRS</t>
  </si>
  <si>
    <t>8436603191180_</t>
  </si>
  <si>
    <t>CAMISETA NOX TEAM REGULAR T22HCATRDB L</t>
  </si>
  <si>
    <t>CAMISETA NOX TEAM REGULAR T22HCATRDB M</t>
  </si>
  <si>
    <t xml:space="preserve">MOCHILA MM2 PRO </t>
  </si>
  <si>
    <t>CORTAVIENTOS NOX PRO T22HCOPRORB XL</t>
  </si>
  <si>
    <t>CORTAVIENTOS NOX PRO T22HCOPRORB L</t>
  </si>
  <si>
    <t>CORTAVIENTOS NOX PRO T22HCOPRORB M</t>
  </si>
  <si>
    <t>SHORT NOX PRO T22HSHPROSB XL</t>
  </si>
  <si>
    <t>SHORT NOX PRO T22HSHPROSB L</t>
  </si>
  <si>
    <t>8436603190404_</t>
  </si>
  <si>
    <t>SHORT NOX PROM</t>
  </si>
  <si>
    <t>SHORT NOX PRO T22HSHPROSB S</t>
  </si>
  <si>
    <t>CAMISETA NOX PRO REGULAR AZUL CELESTE XL</t>
  </si>
  <si>
    <t>8436603190251_</t>
  </si>
  <si>
    <t>CAMISETA NOX PRO REGULAR AZUL CELESTEM</t>
  </si>
  <si>
    <t>CAMISETA NOX PRO REGULAR AZUL CELESTE S</t>
  </si>
  <si>
    <t xml:space="preserve">MYSTICA ICARO YELLOW </t>
  </si>
  <si>
    <t xml:space="preserve">MYSTICA ICARO BLUE </t>
  </si>
  <si>
    <t>CINTA DE SUJECIÃ“N DE RÃ“TULA SIUX</t>
  </si>
  <si>
    <t xml:space="preserve">BLACK CROWN SPECIAL </t>
  </si>
  <si>
    <t>8436572004702_</t>
  </si>
  <si>
    <t>BLACK CROWN PITON ATTACK PLUS</t>
  </si>
  <si>
    <t>8436572003521_</t>
  </si>
  <si>
    <t>BLACK CROWN PITON NAKANO 3K</t>
  </si>
  <si>
    <t>8436572001169_</t>
  </si>
  <si>
    <t>BLACK CROWN PITON 7.0</t>
  </si>
  <si>
    <t>8436567664546_</t>
  </si>
  <si>
    <t>NOX LOAD 3D</t>
  </si>
  <si>
    <t>CORTAVIENTOS NOX PRO GRIS OSCURO XL</t>
  </si>
  <si>
    <t>CORTAVIENTOS NOX PRO GRIS OSCURO M</t>
  </si>
  <si>
    <t>8436567661712_</t>
  </si>
  <si>
    <t>NOX AT GENIUS ATTACK 18K 2022</t>
  </si>
  <si>
    <t>NOX ULTIMATE POWER FIBER BLACK LTD</t>
  </si>
  <si>
    <t>CORTAVIENTOS NOX PRO T21IHCORPAZRO XL</t>
  </si>
  <si>
    <t>CORTAVIENTOS NOX PRO T21IHCORPAZRO M</t>
  </si>
  <si>
    <t>CORTAVIENTOS NOX PRO T21IHCORPAZRO S</t>
  </si>
  <si>
    <t>NOX AT10 NEGRO NARANJA CALAT10NENA 40</t>
  </si>
  <si>
    <t xml:space="preserve"> FUNDÃ NOX PRO NYLON FUNDAPRO  </t>
  </si>
  <si>
    <t>NOX X-ONE C.6</t>
  </si>
  <si>
    <t>BOTE 120 UD OVERGRIP NOX PRO EXTRA GRIP BOT120OVEXGRIP</t>
  </si>
  <si>
    <t>TOALLA POTENCIADORA GRIP NOX BY GORILLA CATOAGRNO2</t>
  </si>
  <si>
    <t>8436567653373_</t>
  </si>
  <si>
    <t>RED NOX FOLDING BASKET WITH WHEELS</t>
  </si>
  <si>
    <t>8436567653366_</t>
  </si>
  <si>
    <t>RED NOX BALL COLLECTOR TUBE</t>
  </si>
  <si>
    <t>CUBO LOK DE OVERGRIPS x60 WHITE AC1TA0WH</t>
  </si>
  <si>
    <t>BLISTER SET OF PADEL OVERGRIP 4 UNITS LOK GREEN AC1BA1GR Green</t>
  </si>
  <si>
    <t>ZAPATILLERO  ALL  FOR  PADEL  SHOE  BAG AG</t>
  </si>
  <si>
    <t>PALETEROALL FOR PADEL RACKETBAG CONTROL 3.3 PINK</t>
  </si>
  <si>
    <t>PALETERO ALLÂ FORÂ PADELÂ RACKETBAGÂ CONTROLÂ 3.3Â BLUE</t>
  </si>
  <si>
    <t xml:space="preserve">BOLSO ALL FOR PADEL WEEKENDER BAG ANTHRACITE </t>
  </si>
  <si>
    <t xml:space="preserve">PALETERO ALL FOR PADELRACKETBAG MULTIGAME 3.3 GREY </t>
  </si>
  <si>
    <t>PALETERO ALL FOR PADEL RACKETBAG MULTIGAME 3.3 BLACK</t>
  </si>
  <si>
    <t>ALL FOR PADEL CROSS IT LIGHT</t>
  </si>
  <si>
    <t>PALA ALL FOR PADEL CROSS IT CTRL</t>
  </si>
  <si>
    <t>ALL FOR PADEL CROSS IT</t>
  </si>
  <si>
    <t>ALL FOR PADEL ADIPOWER JUNIOR 3.3</t>
  </si>
  <si>
    <t xml:space="preserve"> ALL FOR PADEL MATCH LIGHT 3.3 2023 </t>
  </si>
  <si>
    <t>AFP MATCH 3.3 BLACK LIME 2024</t>
  </si>
  <si>
    <t>ALL FOR PADEL MATCH 3.3 BLACK RED 2024</t>
  </si>
  <si>
    <t>AFP DRIVE LIGHT 3.3</t>
  </si>
  <si>
    <t>AFP DRIVE 3.3 VINTAGE</t>
  </si>
  <si>
    <t>ALL FOR PADELRX SERIES LIME 2024</t>
  </si>
  <si>
    <t>ALL FOR PADEL  RX SERIES LIGHT 2024</t>
  </si>
  <si>
    <t>PALA ALL FOR PADELADIPOWER TEAM LIGHT 3.3</t>
  </si>
  <si>
    <t>AFP METALBONE TEAM 3.3 2024</t>
  </si>
  <si>
    <t>AFP METALBONE CARBON CTRL 3.3 2024</t>
  </si>
  <si>
    <t>ALL FOR PADEL METALBONE CARBON 3.3 2024</t>
  </si>
  <si>
    <t>AFP ADIPOWER LIGHT 3.3</t>
  </si>
  <si>
    <t xml:space="preserve">ALL FOR PADEL ADIPOWER CTRL 3.3 </t>
  </si>
  <si>
    <t>AFP ADIPOWER MULTIWEIGHT CTRL 3.3</t>
  </si>
  <si>
    <t>AFP ADIPOWER MULTIWEIGHT 3.3</t>
  </si>
  <si>
    <t>AFP METALBONE HRD+ 2024</t>
  </si>
  <si>
    <t>AFP METALBONE CTRL 3.3 2024</t>
  </si>
  <si>
    <t>AFP METALBONE 3.3 2024</t>
  </si>
  <si>
    <t>ALL FOR PADEL XTREME BLACK LIMA</t>
  </si>
  <si>
    <t>AFP MASTER LTD2023</t>
  </si>
  <si>
    <t>TUBO RECOGEPELOTAS ALL FOR PADEL  SPEED RX AC1VA2U10</t>
  </si>
  <si>
    <t>CUBO DE OVERGRIP 25 UNIDADES ALL FOR PADEL</t>
  </si>
  <si>
    <t>OVERGRIP ALL FOR PADEL AC2BA2WH</t>
  </si>
  <si>
    <t xml:space="preserve"> OVERGRIP ALL FOR PADEL AC2BA2RD  </t>
  </si>
  <si>
    <t xml:space="preserve"> OVERGRIP ALL FOR PADEL AC2BÃ2BK  </t>
  </si>
  <si>
    <t>OVERGRIP AFP 3 UNIDADES AC2BA1YE</t>
  </si>
  <si>
    <t>OVERGRIP AFP 3 UNIDADES AC2BA1OR</t>
  </si>
  <si>
    <t>SET OVERGRIP ALL FOR PADEL 3 UNIDADES AC2BA1WH</t>
  </si>
  <si>
    <t>SET OVERGRIP ALL FOR PADEL  3 UNIDADES BL</t>
  </si>
  <si>
    <t>8436548248079_</t>
  </si>
  <si>
    <t>NECESER ALL FOR PADEL ACCESORY BAG GALAN</t>
  </si>
  <si>
    <t>PALETERO All For Padel TOUR 3.2 BG2PA0U56</t>
  </si>
  <si>
    <t xml:space="preserve">AFP ADIPOWER TEAM 2023 </t>
  </si>
  <si>
    <t>8436548247713_</t>
  </si>
  <si>
    <t xml:space="preserve">AFP W TEAM WOMAN 2023 </t>
  </si>
  <si>
    <t>AFP ADIPOWER CTRL TEAM 2023</t>
  </si>
  <si>
    <t>8436548247683_</t>
  </si>
  <si>
    <t>AFP CTRL 3.2 2023</t>
  </si>
  <si>
    <t>AFP ADIPOWER MULTIWEIGHT CTRL 2023</t>
  </si>
  <si>
    <t>8436548247669_</t>
  </si>
  <si>
    <t>ALL FOR PADEL METALBONE CTRL 3.2 2023</t>
  </si>
  <si>
    <t>8436548247621_</t>
  </si>
  <si>
    <t>AFP METALBONE HRD 3.2 2023</t>
  </si>
  <si>
    <t>PALETERO All For Padel CONTROL AZUL</t>
  </si>
  <si>
    <t xml:space="preserve">AFP RADOGAR CTRL 3D </t>
  </si>
  <si>
    <t>RECOGEPELOTAS AFP BALL SPEED RX</t>
  </si>
  <si>
    <t xml:space="preserve">AFP RYZE PRO </t>
  </si>
  <si>
    <t>ALL FOR PADEL ESSEX CTRL BLACK WHITE</t>
  </si>
  <si>
    <t>PALETERO ADIDAS!CARBON CONTROL NEGRO BLANCO</t>
  </si>
  <si>
    <t>PALETERO ADIDAS  CARBON CONTROL NEGRO</t>
  </si>
  <si>
    <t xml:space="preserve"> PALETERO ALL FOR PADEL CONTROL NEGRO BLANCO  </t>
  </si>
  <si>
    <t>PALETERO ADIDAS  CONTROL NEGRO NARANJA</t>
  </si>
  <si>
    <t>OVERGRIP ALL FOR PADEL  3 UNIDADES NARANJA</t>
  </si>
  <si>
    <t>PALETERO ADIDAS  CONTROL BG6PA1U28</t>
  </si>
  <si>
    <t>8436520099675_</t>
  </si>
  <si>
    <t>PADELBAG BLACK CROWN HURRICANE GREY MELON</t>
  </si>
  <si>
    <t>BLACK CROWN PITON ATTACK 16K</t>
  </si>
  <si>
    <t>MUÃ‘EQUERA NOX BLISTER NEGRA 2 UD</t>
  </si>
  <si>
    <t>TAMBOR OVERGRIPS NOX PADEL PRO BLANCO</t>
  </si>
  <si>
    <t>OVERGRIP NOX PRO BLANCO BLISTER 3 UNIDADES</t>
  </si>
  <si>
    <t>8436049560342_</t>
  </si>
  <si>
    <t>CALCETINES CA A BAJA NOX BLANCO GRIS MUJER35/39</t>
  </si>
  <si>
    <t xml:space="preserve">PALA NOX X-ZERO BLUE PXZERÃ•IÃ‰Ã‰ </t>
  </si>
  <si>
    <t xml:space="preserve">PALA NOXX-ZERO RED PXZERORE </t>
  </si>
  <si>
    <t xml:space="preserve">PALA NOX X-HERO BLUE PXHEROBL </t>
  </si>
  <si>
    <t xml:space="preserve">PALÃ NÃ•X XHÃŠÃ‰IO REÃ• PXHEROFTE </t>
  </si>
  <si>
    <t>PALA NOX EQUATION SOFT ADVANCED PEQUSADV26</t>
  </si>
  <si>
    <t>PALA NOX EQUATION HARD ADVANCED PEQUHADV26 (9506510000)</t>
  </si>
  <si>
    <t xml:space="preserve">PALA NOX VK10 VENTUS CONTROL 12K BY ARANZAZU OSORO PVK1OVENTUS12 </t>
  </si>
  <si>
    <t xml:space="preserve">PALA NOX AT10 GENIUS ATTACK 12K ALUM XTREME BY AGUSTIN TAPIA PAT </t>
  </si>
  <si>
    <t xml:space="preserve">PALA NOX AT10 GENIUS 12K ALUM XTREME BY AGUSTIN TAPIA PAT1OGENIU </t>
  </si>
  <si>
    <t>PALA NOX AT10 GENIUS ATTACK 18K ALUM BY AGUSTIN TAPIA PAT1OGENIU</t>
  </si>
  <si>
    <t xml:space="preserve">PALA NOX AT10 GENIUS 18K ALUMBY AGUSTIN TAPIA PAT10GENIUS1826 </t>
  </si>
  <si>
    <t xml:space="preserve"> PACK PALA NOX AT GENIUS OFFICIÃL RACKET BAP1 (BUENOS AIRES) PACK  </t>
  </si>
  <si>
    <t>VESTIDO MUJER PRO T25SSMVEDT DUSTY VAINILLE L</t>
  </si>
  <si>
    <t>VESTIDO MUJER PRO T25SSMVEDT DUSTY VAINILLE M</t>
  </si>
  <si>
    <t>VESTIDO MUJER PRO T25SSMVEDT DUSTY VAINILLE S</t>
  </si>
  <si>
    <t>FALDA MUJER PRO T25SSMFADT DUSTY TURL</t>
  </si>
  <si>
    <t>FALDA MUJER PRO T25SSMFADT DUSTY TURQUOISEM</t>
  </si>
  <si>
    <t>FALDA MUJER PRO T25SSMFADT DUSTY TURQUOISES</t>
  </si>
  <si>
    <t>CAMISETA TIRANTES MUJER PRO T25SSMCATDT DUSTY TURQUOISE L</t>
  </si>
  <si>
    <t>CAMISETA TIRANTES MUJER PRO T25SSMCATDT DUSTY TURQUOISE M</t>
  </si>
  <si>
    <t>CAMISETA TIRANTES MUJER PRO T25SSMCATDT DUSTY TURQUOISE S</t>
  </si>
  <si>
    <t>SHORT NOX PRO T25SSHSHDT DUSTY TURQUXL</t>
  </si>
  <si>
    <t>SHORT NOX PRO T25SSHSHDT DUSTY TURL</t>
  </si>
  <si>
    <t>SHORT NOX PRO T25SSHSHDT DUSTY TURM</t>
  </si>
  <si>
    <t>SHORT NOX PRO T25SSHSHDT DUSTY TURS</t>
  </si>
  <si>
    <t>SHORT NOX PRO T25SSHSHMO MOCK ORANGE DEGRXL</t>
  </si>
  <si>
    <t>SHORT NOX PRO T25SSHSHMO MOCK ORANGE DEGRL</t>
  </si>
  <si>
    <t>SHORT NOX PRO T25SSHSHMO MOCK ORANGE DEGRM</t>
  </si>
  <si>
    <t>SHORT NOX PRO T25SSHSHMO MOCK ORANGE DEGRS</t>
  </si>
  <si>
    <t>CAMISETA NOX PRO T25SSHCAMO MOCK ORANGE DEGRXL</t>
  </si>
  <si>
    <t>CAMISETA NOX PRO T25SSHCAMO MOCK ORANGE DEGRL</t>
  </si>
  <si>
    <t>CAMISETA NOX PRO T25SSHCAMO MOCK ORANGE DEGRM</t>
  </si>
  <si>
    <t>CAMISETA NOX PRO T25SSHCAMO MOCK ORANGE DEGRS</t>
  </si>
  <si>
    <t>CAMISETA NOX PRO T25SSHCADT DUSTY TURQUXL</t>
  </si>
  <si>
    <t>CAMISETA NOX PRO T25SSHCADT DUSTY TURQUL</t>
  </si>
  <si>
    <t>CAMISETA NOX PRO T25SSHCADT DUSTY TURQUM</t>
  </si>
  <si>
    <t>CAMISETA NOX PRO T25SSHCADT DUSTY TURQUS</t>
  </si>
  <si>
    <t>PALETERO NOX PRO SERIES WHITE BPPROSWHITE</t>
  </si>
  <si>
    <t>PALETERO NOX ML10 TEAM BLACK/CLAY BPML10TEBLCL</t>
  </si>
  <si>
    <t>PALETERO NOX ML10 TEAM WHITE/GREY BPML10TEWHGR</t>
  </si>
  <si>
    <t>PALETERO NOX ML10 TEAM BLACK/BLUE BPML10TEBLBL</t>
  </si>
  <si>
    <t>PACK AT GENIUS LIMITED EDITION PACKPATLTD25</t>
  </si>
  <si>
    <t>SIUX ELECTRA ST3 SPECIAL EDITION</t>
  </si>
  <si>
    <t>PANTALÃ“N SIUX CLUB 25 HOMBRE MXL</t>
  </si>
  <si>
    <t>PANTALÃ“N SIUX CLUB 25 HOMBRE MAM</t>
  </si>
  <si>
    <t>PANTALÃ“N SIUX CLUB 25 HOMBRE BLXL</t>
  </si>
  <si>
    <t>PANTALÃ“N SIUX CLUB 25 HOMBRE BLL</t>
  </si>
  <si>
    <t>PANTALÃ“N SIUX CLUB 25 HOMBRE BLM</t>
  </si>
  <si>
    <t>PANTALÃ“N SIUX CLUB 25 HOMBRE BLS</t>
  </si>
  <si>
    <t>CAMISETA SIUX CLUB 25 HOMBRE NEXL</t>
  </si>
  <si>
    <t>CAMISETA SIUX CLUB 25 HOMBRE NEGL</t>
  </si>
  <si>
    <t>CAMISETA SIUX CLUB 25 HOMBRE NEGM</t>
  </si>
  <si>
    <t>CAMISETA SIUX CLUB 25 HOMBRE NEGS</t>
  </si>
  <si>
    <t>CAMISETA SIUX CLUB 25 HOMBRE BLANXL</t>
  </si>
  <si>
    <t>CAMISETA SIUX CLUB 25 HOMBRE BLANL</t>
  </si>
  <si>
    <t>CAMISETA SIUX CLUB 25 HOMBRE BLAM</t>
  </si>
  <si>
    <t>CAMISETA SIUX CLUB 25 HOMBRE BLANS</t>
  </si>
  <si>
    <t>CAMISETA SIUX CLUB 25 HOMBRE MARIXL</t>
  </si>
  <si>
    <t>CAMISETA SIUX CLUB 25 HOMBRE MARIL</t>
  </si>
  <si>
    <t>CAMISETA SIUX CLUB 25 HOMBRE MARM</t>
  </si>
  <si>
    <t>CAMISETA SIUX CLUB 25 HOMBRE MARIS</t>
  </si>
  <si>
    <t xml:space="preserve">SIUX BEAT JUNIOR 2025 </t>
  </si>
  <si>
    <t>SIUX DIABLO GO 4</t>
  </si>
  <si>
    <t>SIUX FENIX ELITE 5</t>
  </si>
  <si>
    <t>SIUX DIABLO ELITE 4 (95065100) (EspaÃ±a) (8435762902859)</t>
  </si>
  <si>
    <t>SIUX FENIX PRO 5 2025</t>
  </si>
  <si>
    <t>SIUX ELECTRA STUPA PRO ST4</t>
  </si>
  <si>
    <t>SIUX DIABLO PRO 4</t>
  </si>
  <si>
    <t>TOALLA SIUX FLASH</t>
  </si>
  <si>
    <t>CAMISETA SIUX HOMBRE MATCH 24 GRISXL</t>
  </si>
  <si>
    <t>CAMISETA SIUX HOMBRE MATCH 24L</t>
  </si>
  <si>
    <t>CAMISETA SIUX HOMBRE MATCH 24 GRISM</t>
  </si>
  <si>
    <t>CAMISETA SIUX HOMBRE MATCH 24 GRISS</t>
  </si>
  <si>
    <t>FALDA DROP SHOT LIRIO DT322L</t>
  </si>
  <si>
    <t>FALDA DROP SHOT LIRIO DT3226M</t>
  </si>
  <si>
    <t>FALDA DROP SHOT ONIX DT3226L</t>
  </si>
  <si>
    <t>FALDA DROP SHOT ONIX DT322M</t>
  </si>
  <si>
    <t>FALDA DROP SHOT ONIX DT3226S</t>
  </si>
  <si>
    <t>FALDA DROP SHOT LYS DT3226L</t>
  </si>
  <si>
    <t>FALDA DROP SHOT LYS DT3226M</t>
  </si>
  <si>
    <t>FALDA DROP SHOT LYS DT3226S</t>
  </si>
  <si>
    <t>CAMISETA DROP SHOT LIRIO DT3223L</t>
  </si>
  <si>
    <t>CAMISETA DROP SHOT LIRIO DT3223M</t>
  </si>
  <si>
    <t>CAMISETA DROP SHOT LIRIO DT3223S</t>
  </si>
  <si>
    <t>CAMISETA DROP SHOT ONIX DT3223L</t>
  </si>
  <si>
    <t>CAMISETA DROP SHOT ONIX DT3223M</t>
  </si>
  <si>
    <t>CAMISETA DROP SHOT LYS DT3223L</t>
  </si>
  <si>
    <t>CAMISETA DROP SHOT LYS DT3223M</t>
  </si>
  <si>
    <t>CAMISETA DROP SHOT LYS DT3223S</t>
  </si>
  <si>
    <t xml:space="preserve">PALA DROP SHOT AXION ATTACK 1.0 </t>
  </si>
  <si>
    <t xml:space="preserve">PALA DROP SHOT CANYON PRO ATTACK 1.0 DP324018 </t>
  </si>
  <si>
    <t xml:space="preserve">PALA DROP SHOT EXPLORER PRO CONTROL 1.0 </t>
  </si>
  <si>
    <t xml:space="preserve">PALA DROP SHOT CANYON PRO COMFORT 1.0 </t>
  </si>
  <si>
    <t>PALA DROP SHOT CONQUEROR CONFORT</t>
  </si>
  <si>
    <t>PALA DROP SHOT CONQUEROR ATTACK</t>
  </si>
  <si>
    <t xml:space="preserve"> PALETERO ALL FOR PADEL TOUR BRONZE 2026 AB2PA3U57  </t>
  </si>
  <si>
    <t xml:space="preserve"> PALETERO ALL FOR PADEL MULTIGAME TONAL BLACK 2026 ABI PA8U10  </t>
  </si>
  <si>
    <t xml:space="preserve"> PALA ALL FOR PADEL MATCH 2026 BLACK/GREEN AR5GA4U28 </t>
  </si>
  <si>
    <t xml:space="preserve"> ALL FOR PADEL CROSSIT LIGHT 2026 AR1CB3U87  </t>
  </si>
  <si>
    <t xml:space="preserve"> PALA ALL FOR PADEL METALBONE TEAM 2026 AR2AA3U22  </t>
  </si>
  <si>
    <t xml:space="preserve"> PALA ALL FOR PADEL METALBONE CARBON CTRL 2026  </t>
  </si>
  <si>
    <t xml:space="preserve"> PARA ALL FOR PADEL METALBONE CARBON 2026  </t>
  </si>
  <si>
    <t xml:space="preserve"> PALA ALL FOR PADEL METALBONE HRD 2026  </t>
  </si>
  <si>
    <t xml:space="preserve"> PALA ALL FOR PADEL METALBONE CTRL 2026 AR1CB0U22  </t>
  </si>
  <si>
    <t xml:space="preserve"> ALL FOR PADEL METALBONE 2026 (9506510000)  </t>
  </si>
  <si>
    <t>NECESER ADIDAS SAND 3.4</t>
  </si>
  <si>
    <t>NECESER ALL FOR PADEL OFFWHITE 3.4 AB5NA1U64</t>
  </si>
  <si>
    <t xml:space="preserve">NECESER ALL FOR PADEL BLACK/RED 3.4 AB5NA0U22 </t>
  </si>
  <si>
    <t>PALETERO ADIDAS  TOUR BLUE 3.4</t>
  </si>
  <si>
    <t xml:space="preserve">PALETERO!ADIDAS  MULTIGAME SAND 3.4 </t>
  </si>
  <si>
    <t>ALL  FOR  PADEL  MATCH  BLUE  3.4</t>
  </si>
  <si>
    <t xml:space="preserve">ALL FOR PADEL DRIVE LIGHT 3.4 </t>
  </si>
  <si>
    <t xml:space="preserve">ALL FOR PADEL DRIVE GREY 3.4 </t>
  </si>
  <si>
    <t xml:space="preserve">ALL FOR PADEL DRIVE BLACK 3.4 </t>
  </si>
  <si>
    <t>PALA ALL FOR PADEL RX SERIES RED 3.4</t>
  </si>
  <si>
    <t>PALA ALL FOR PADEL RX SERIES LIGHT 3.4</t>
  </si>
  <si>
    <t>PALA ALL FOR PADEL RX SERIES LIME 3.4</t>
  </si>
  <si>
    <t>PALA ALL FOR PADEL CROSS LT TEAM LIGHT 25</t>
  </si>
  <si>
    <t xml:space="preserve">CROSS LT LIGHT 3.4 </t>
  </si>
  <si>
    <t>PALA ALL FOR PADEL ADIPOWER CARBON LIGHT 25</t>
  </si>
  <si>
    <t>PALA ALL FOR PADEL ADIPOWER CARBON CTRL 25</t>
  </si>
  <si>
    <t>PALA ALL FOR PADEL ADIPOWER MULTIWEIGHT CTRL 3.4</t>
  </si>
  <si>
    <t>PALA ALL FOR PADEL METALBONE TEAM LIGHT 3.4</t>
  </si>
  <si>
    <t>PALA ALL FOR PADEL METALBONE TEAM 3.4</t>
  </si>
  <si>
    <t>PALA ALL FOR PADEL METALBONE CARBON CTRL 3.4</t>
  </si>
  <si>
    <t>PALA  ALL FOR PADEL  METALBONE CARBON 3.4</t>
  </si>
  <si>
    <t>PALA ALL FOR PADEL METALBONE HRD+ 3.4</t>
  </si>
  <si>
    <t>PALA ALL FOR PADEL METALBONE CTRL 3.4</t>
  </si>
  <si>
    <t>METALBONE 3.4 AR1AA0U22</t>
  </si>
  <si>
    <t>PALA ALL FOR PADEL ADIPOWER LEGEND 2024</t>
  </si>
  <si>
    <t>PALA ALL FOR PADEL CROSSIT PRO EDT 2024</t>
  </si>
  <si>
    <t>PALA ALL FOR PADEL METALBONE PRO ETD</t>
  </si>
  <si>
    <t>TUBO RECOGEPELOTAS SOFTEE 15 PELOTAS AZUL</t>
  </si>
  <si>
    <t>SHORT ENDLESS HEAT 40035 BLUE L</t>
  </si>
  <si>
    <t>SHORT ENDLESS HEAT 40035 BLUE M</t>
  </si>
  <si>
    <t>8435547998138_</t>
  </si>
  <si>
    <t>CAMISETA ENDLESS ACE DIAMOND DEGRADE BLACKXL</t>
  </si>
  <si>
    <t>8435547998121_</t>
  </si>
  <si>
    <t>CAMISETA ENDLESS ACE DIAMOND DEGRADE 40217 BLACK L</t>
  </si>
  <si>
    <t>8435547998114_</t>
  </si>
  <si>
    <t>CAMISETA ENDLESS ACE DIAMOND DEGRADE 40217 BLACKM</t>
  </si>
  <si>
    <t>CAMISETA  ENDLESS  ACE  IZZY  40187  BLUE RUBI L</t>
  </si>
  <si>
    <t>CAMISETA  ENDLESS  ACE  IZZY  40187  BLUE RUBI M</t>
  </si>
  <si>
    <t>8435547995298_</t>
  </si>
  <si>
    <t>FALDA ENDLESS ICONIC 40205 GREENXL</t>
  </si>
  <si>
    <t>8435547995281_</t>
  </si>
  <si>
    <t>FALDA ENDLESS ICONIC 40205 GREENL</t>
  </si>
  <si>
    <t>8435547995274_</t>
  </si>
  <si>
    <t>FALDA ENDLESS ICONIC 40205 GREENM</t>
  </si>
  <si>
    <t>8435547995267_</t>
  </si>
  <si>
    <t>FALDA ENDLESS ICONIC 40205 GREENS</t>
  </si>
  <si>
    <t>8435547995250_</t>
  </si>
  <si>
    <t>FALDA ENDLESS ICONIC 40205 GREENXS</t>
  </si>
  <si>
    <t>8435547995243_</t>
  </si>
  <si>
    <t>FALDA ENDLESS ICONIC 40205 BLACK GREENXL</t>
  </si>
  <si>
    <t>8435547995236_</t>
  </si>
  <si>
    <t>FALDA ENDLESS ICONIC 40205 BLACK GREEN L</t>
  </si>
  <si>
    <t>8435547995229_</t>
  </si>
  <si>
    <t>FALDA ENDLESS ICONIC 40205 BLACK GREEN M</t>
  </si>
  <si>
    <t>8435547995212_</t>
  </si>
  <si>
    <t>FALDA ENDLESS ICONIC 40205 BLACK GREEN S</t>
  </si>
  <si>
    <t>8435547994338_</t>
  </si>
  <si>
    <t>FLOW WOMAN ENDLESS T-SHIRTL</t>
  </si>
  <si>
    <t>8435547994321_</t>
  </si>
  <si>
    <t>FLOWWOMAN ENDLESS T-SHIRT M</t>
  </si>
  <si>
    <t>8435547994314_</t>
  </si>
  <si>
    <t xml:space="preserve"> FLOW WOMAN ENDLESS T-SHIRT S</t>
  </si>
  <si>
    <t>8435547994307_</t>
  </si>
  <si>
    <t>FLOW WOMAN ENDLESS T-SHIRT XS</t>
  </si>
  <si>
    <t>8435547991702_</t>
  </si>
  <si>
    <t>CAMISETA ENDLESS UNLIMITED DIAMOND 40194 BLK BLUEXL</t>
  </si>
  <si>
    <t>8435547991696_</t>
  </si>
  <si>
    <t>CAMISETA ENDLESS UNLIMITED DIAMOND 40194 BLK BLUE L</t>
  </si>
  <si>
    <t>8435547991689_</t>
  </si>
  <si>
    <t>CAMISETA ENDLESS UNLIMITED DIAMOND 40194 BLK BLUE M</t>
  </si>
  <si>
    <t>8435547989778_</t>
  </si>
  <si>
    <t>SHORT ENDLESS ACE FLAK 40189 BLUE XL</t>
  </si>
  <si>
    <t>8435547989761_</t>
  </si>
  <si>
    <t>SHORT ENDLESS ACE FLAK 40189 BLUE L</t>
  </si>
  <si>
    <t>8435547989754_</t>
  </si>
  <si>
    <t>SHORT ENDLESS ACE FLAK 40189 BLUE M</t>
  </si>
  <si>
    <t>8435547984131_</t>
  </si>
  <si>
    <t>FALDA ENDLESS LUX RIBBON 40171 TITANIUM MUJERXL</t>
  </si>
  <si>
    <t>8435547984124_</t>
  </si>
  <si>
    <t>FALDA ENDLESS LUX RIBBON 40171 TITANIUM MUJERL</t>
  </si>
  <si>
    <t>8435547984117_</t>
  </si>
  <si>
    <t>FALDA ENDLESS LUX RIBBON 40171 TITANIUM MUJERM</t>
  </si>
  <si>
    <t>8435547984100_</t>
  </si>
  <si>
    <t>FALDA ENDLESS LUX RIBBON 40171 TITANIUM MUJERS</t>
  </si>
  <si>
    <t>8435547984094_</t>
  </si>
  <si>
    <t>FALDA ENDLESS LUX RIBBON 40171 TITANIUM MUJERXS</t>
  </si>
  <si>
    <t>8435547983981_</t>
  </si>
  <si>
    <t>CAMISETA ENDLESS LUX RIBBON 40170 BLK TITANM MUJERXL</t>
  </si>
  <si>
    <t>8435547983974_</t>
  </si>
  <si>
    <t>CAMISETA ENDLESS LUX RIBBON 40170 BLK TITANM MUJER L</t>
  </si>
  <si>
    <t>8435547983967_</t>
  </si>
  <si>
    <t>CAMISETA ENDLESS LUX RIBBON 40170 BLK TITANM MUJERM</t>
  </si>
  <si>
    <t>8435547983950_</t>
  </si>
  <si>
    <t>CAMISETA ENDLESS LUX RIBBON 40170 BLK TITANM MUJER S</t>
  </si>
  <si>
    <t>8435547983943_</t>
  </si>
  <si>
    <t>CAMISETA ENDLESS LUX RIBBON 40170 BLK TITANM MUJERXS</t>
  </si>
  <si>
    <t>8435547978918_</t>
  </si>
  <si>
    <t>PANTAL N CORTO ENDLESS SLASH NEGRO XL</t>
  </si>
  <si>
    <t>8435547978901_</t>
  </si>
  <si>
    <t>PANTAL N CORTO ENDLESS SLASH NEGRO L</t>
  </si>
  <si>
    <t>8435547978895_</t>
  </si>
  <si>
    <t>SHORT ENDLESS SLASH 40141 BLACK M</t>
  </si>
  <si>
    <t>PANTALON SIUX HOMBRE MATCH 24 GRIS XL</t>
  </si>
  <si>
    <t>PANTALON SIUX HOMBRE MATCH 24 GRIS S</t>
  </si>
  <si>
    <t>PACK 2 MUÃ‘EQUERAS SIUX ICON ROYAL</t>
  </si>
  <si>
    <t>PACK 2 MUÃ‘EQUERAS SIUX ICON AZUL</t>
  </si>
  <si>
    <t>PACK 3 CALCETINES SIUX CAÃ‘A ALTA GRISES 35/38</t>
  </si>
  <si>
    <t>PACK 3 CALCETINES SIUX CAÃ‘A ALTA GRISES 43/46</t>
  </si>
  <si>
    <t>PACK 3 CALCETINES SIUX CAÃ‘A ALTA GRISES 39/42</t>
  </si>
  <si>
    <t>PACK 3 CALCETINES SIUX CAÃ‘A ALTA MIX 43/46</t>
  </si>
  <si>
    <t>PACK 3 CALCETINES SIUX CAÃ‘A ALTA MIX 39/42</t>
  </si>
  <si>
    <t>SIUX BEAT KID JUNIOR</t>
  </si>
  <si>
    <t>SIUX BEAT CONTROL</t>
  </si>
  <si>
    <t>PANTALON SIUX EMAN HOMBRE AZUL L</t>
  </si>
  <si>
    <t>PANTALON SIUX EMAN HOMBRE AZUL M</t>
  </si>
  <si>
    <t>POLO SIUX EMAN HOMBRE AZUL L</t>
  </si>
  <si>
    <t>POLO SIUX EMAN HOMBRE AZUL M</t>
  </si>
  <si>
    <t>PALETERO SIUX DIABLO SANYO</t>
  </si>
  <si>
    <t xml:space="preserve">PALETERO SIUX TRILOGY PATTY SS24 </t>
  </si>
  <si>
    <t xml:space="preserve">SIUX BEAT HYBRID </t>
  </si>
  <si>
    <t>SIUX DIABLO GO 3</t>
  </si>
  <si>
    <t>SIUX DIABLO REVOLUTION 3 JUNIOR</t>
  </si>
  <si>
    <t>SIUX DIABLO REVOLUTION LITE 3</t>
  </si>
  <si>
    <t>SIUX DIABLO REVOLUTION III SANYO PRO</t>
  </si>
  <si>
    <t xml:space="preserve">SIUX ELECTRA GO 3 </t>
  </si>
  <si>
    <t>SIUX ELECTRA JR ST3</t>
  </si>
  <si>
    <t>SIUX ELECTRA ST3 LITE</t>
  </si>
  <si>
    <t>SIUX ELECTRA ST3 PRO</t>
  </si>
  <si>
    <t>SIUX FENIX PRO 4</t>
  </si>
  <si>
    <t>SIUX FENIX IV LITE</t>
  </si>
  <si>
    <t xml:space="preserve">SIUX SPYDER REVOLUTION 3 LITE ATTACK HARD </t>
  </si>
  <si>
    <t>SIUX SPYDER LITE CTRL 3 HARD 2024</t>
  </si>
  <si>
    <t>SIUX TRILOGY GO 4</t>
  </si>
  <si>
    <t>SIUX TRILOGY LITE AIR 4</t>
  </si>
  <si>
    <t>SIUX TRILOGY CONTROL PRO 4</t>
  </si>
  <si>
    <t>CAMISETA PROMOCIONAL MUJER PADEL NUESTRO LIGHT BLL</t>
  </si>
  <si>
    <t>CAMISETA PROMOCIONAL MUJER PADEL NUESTRO LIGHT BLM</t>
  </si>
  <si>
    <t>CAMISETA PROMOCIONAL MUJER PADEL NUESTRO LIGHT BLS</t>
  </si>
  <si>
    <t>CAMISETA PROMOCIONAL MUJER PADEL NUESTRO RL</t>
  </si>
  <si>
    <t>CAMISETA PROMOCIONAL MUJER PADEL NUESTRO RM</t>
  </si>
  <si>
    <t>CAMISETA PROMOCIONAL MUJER PADEL NUESTRO RS</t>
  </si>
  <si>
    <t>CAMISETA PROMOCIONALMUJERPADEL NUESTRO WHIL</t>
  </si>
  <si>
    <t>CAMISETA PROMOCIONAL MUJER PADEL NUESTRO WHIM</t>
  </si>
  <si>
    <t>CAMISETA PROMOCIONAL MUJER PADEL NUESTRO WHIS</t>
  </si>
  <si>
    <t>CAMISETA PN AZUL BLANCO L</t>
  </si>
  <si>
    <t>CAMISETA PROMOCIONAL HOMBRE PADEL NUESTRO LIL</t>
  </si>
  <si>
    <t>CAMISETA PROMOCIONAL HOMBRE PADEL NUESTRO LIM</t>
  </si>
  <si>
    <t>CAMISETA PROMOCIONAL HOMBRE PADEL NUESTROWXXL</t>
  </si>
  <si>
    <t>CAMISETA PROMOCIONAL HOMBRE PADEL NUESTRO WHIXL</t>
  </si>
  <si>
    <t>CAMISETA PROMOCIONAL HOMBRE PADEL NUESTRO WHIL</t>
  </si>
  <si>
    <t>CAMISETA PROMOCIONAL HOMBRE PADEL NUESTRO WHIM</t>
  </si>
  <si>
    <t>CAMISETA PROMOCIONAL HOMBRE PADEL NUESTRO WHIS</t>
  </si>
  <si>
    <t>CAMISETA PN NAVY AMARILLA XL</t>
  </si>
  <si>
    <t>CAMISETA PN NAVY/AMARILLA  L</t>
  </si>
  <si>
    <t>CAMISETA PN NAVY AMARILLA M</t>
  </si>
  <si>
    <t>8435536792525_</t>
  </si>
  <si>
    <t>TOALLA PN AZUL</t>
  </si>
  <si>
    <t>8435536792518_</t>
  </si>
  <si>
    <t>TOALLA SIUX MARINA</t>
  </si>
  <si>
    <t>TUBO RECOGEPELOTAS SIUX 15 PLTS ROJO</t>
  </si>
  <si>
    <t>TUBO RECOGEPELOTAS SIUX 15 PLTS TRANSPARENTE</t>
  </si>
  <si>
    <t>TUBO RECOGEPELOTAS SIUX 15 PLTS AMARILLO</t>
  </si>
  <si>
    <t>MUÃ‘EQUERA NEGRA CLUB SIUX LARGA (Portugal)</t>
  </si>
  <si>
    <t>8435536789471_</t>
  </si>
  <si>
    <t>MUÃ‘EQUERA BLANCA SIUX LARGA</t>
  </si>
  <si>
    <t>CAJÃ“N SIUX NEO BALLS x24</t>
  </si>
  <si>
    <t xml:space="preserve">CAJÃ“N SIUX NEO BALLS SPEEDx24 </t>
  </si>
  <si>
    <t>SIUX DIABLO REVOLUTION 3K 2023</t>
  </si>
  <si>
    <t>SIUX PRO GRIP PERFORATED X3 BLANCO</t>
  </si>
  <si>
    <t>CAMISETA PN HOMBRE MARINO XL</t>
  </si>
  <si>
    <t>CAMISETA TORNEO B2B PN HOMBRE MARINO L</t>
  </si>
  <si>
    <t>CAMISETA TORNEO B2B PN HOMBRE MARINO M</t>
  </si>
  <si>
    <t>CAMISETA PN HOMBRE NEGRA  L</t>
  </si>
  <si>
    <t>CAMISETA PN HOMBRE NEGRA  M</t>
  </si>
  <si>
    <t>CAMISETA TORNEO B2B PN MUJER MARINO M</t>
  </si>
  <si>
    <t>CAMISETA TORNEO B2B PN MUJER MARINO S</t>
  </si>
  <si>
    <t>COMPETITION GORRA MARINO</t>
  </si>
  <si>
    <t>8435536787736Y</t>
  </si>
  <si>
    <t>COMPETITION GORRA NEGRA</t>
  </si>
  <si>
    <t>8435536787736X</t>
  </si>
  <si>
    <t>COMPETITION GORRA BLANCA</t>
  </si>
  <si>
    <t>PANTALÃ“N SIUX HOMBRE ELITE NAVY BLUE XL</t>
  </si>
  <si>
    <t>PANTALÃ“N SIUX HOMBRE ELITE NAVY BLUE L</t>
  </si>
  <si>
    <t>PANTALÃ“N SIUX HOMBRE ELITE NAVY BLUE M</t>
  </si>
  <si>
    <t>PANTALÃ“N SIUX HOMBRE ELITE NAVY BLUE S</t>
  </si>
  <si>
    <t>PANTALÃ“N SIUX HOMBRE ELITE GREEN XL</t>
  </si>
  <si>
    <t>PANTALÃ“N SIUX HOMBRE ELITE GREEN L</t>
  </si>
  <si>
    <t>PANTALÃ“N SIUX HOMBRE ELITE GREEN M</t>
  </si>
  <si>
    <t>FALDA SIUX MUJER DESIRE GREEL</t>
  </si>
  <si>
    <t>FALDA SIUX MUJER DESIRE GREEM</t>
  </si>
  <si>
    <t>FALDA SIUX MUJER DESIRE GREES</t>
  </si>
  <si>
    <t>PACK 3 CALCETINES NEGROS DHAKA CAÃ‘A ALTA 43/46</t>
  </si>
  <si>
    <t>8435536782731_</t>
  </si>
  <si>
    <t>PACK 3 CALCETINES BLANCOS DHAKA43/46</t>
  </si>
  <si>
    <t>8435536782724_</t>
  </si>
  <si>
    <t>PACK 3 CALCETINES BLANCOS DHAKA 39/42</t>
  </si>
  <si>
    <t>CAMISETA SIUX HOMBRE EMPIRE NAVY BLUE XL</t>
  </si>
  <si>
    <t>CAMISETA SIUX HOMBRE EMPIRE NAVY BLUE L</t>
  </si>
  <si>
    <t>CAMISETA SIUX HOMBRE EMPIRE NAVY BLUE M</t>
  </si>
  <si>
    <t>CAMISETA SIUX HOMBRE EMPIRE NAVY BLUE S</t>
  </si>
  <si>
    <t>CAMISETA SIUX HOMBRE COMBER WHITE L</t>
  </si>
  <si>
    <t>CAMISETA SIUX HOMBRE COMBER WHITE M</t>
  </si>
  <si>
    <t>CAMISETA SIUX HOMBRE COMBER WHITE S</t>
  </si>
  <si>
    <t xml:space="preserve">CAMISETA   SIUX   HOMBRE   EMPIRE   GREEN XL </t>
  </si>
  <si>
    <t>CAMISETA  SIUX  HOMBRE  EMPIRE GREEN  L</t>
  </si>
  <si>
    <t>CAMISETA  SIUX  HOMBRE  EMPIRE GREEN M</t>
  </si>
  <si>
    <t>CAMISETA SIN MANGAS SIUX MUJER WISH GREEN L</t>
  </si>
  <si>
    <t>CAMISETA SIN MANGAS SIUX MUJER WISH GREEN M</t>
  </si>
  <si>
    <t>CAMISETA SIN MANGAS SIUX MUJER WISH GREEN S</t>
  </si>
  <si>
    <t>8435536780669_</t>
  </si>
  <si>
    <t>PACK 3 CALCETINES GRISES DHAKA 43/46</t>
  </si>
  <si>
    <t>8435536780652_</t>
  </si>
  <si>
    <t>PACK 3 CALCETINES GRISES DHAKA CA A MEDIA 39/42</t>
  </si>
  <si>
    <t>8435536780645_</t>
  </si>
  <si>
    <t>PACK 3 CALCETINES GRISES DHAKA CA A MEDIA 35/38</t>
  </si>
  <si>
    <t>PACK 3 CALCETINES SIUX NEGROS DHAKA CAÃ‘A MEDIA 43/46</t>
  </si>
  <si>
    <t>CAMISETA ELECTRA STUPA AZUL  XL</t>
  </si>
  <si>
    <t>CAMISETA ELECTRA STUPA AZUL  L</t>
  </si>
  <si>
    <t>CAMISETA ELECTRA STUPA AZUL  M</t>
  </si>
  <si>
    <t>CAMISETA ELECTRA STUPA AZUL  S</t>
  </si>
  <si>
    <t>8435536778055_</t>
  </si>
  <si>
    <t>CAMISETA SIUX DIABLO SANYO OFFICIAL WHITEXL</t>
  </si>
  <si>
    <t>8435536778048_</t>
  </si>
  <si>
    <t>CAMISETA SIUX DIABLO SANYO OFFICIAL WHITEL</t>
  </si>
  <si>
    <t>8435536778031_</t>
  </si>
  <si>
    <t>CAMISETA SIUX DIABLO SANYO OFFICIAL WHITEM</t>
  </si>
  <si>
    <t>PALETERO SIUX ELECTRA STUPA BLACK</t>
  </si>
  <si>
    <t>8435536777720_</t>
  </si>
  <si>
    <t>CAMISETA SIUX ELECTRA STUPA OFFICIAL BLACK XL</t>
  </si>
  <si>
    <t>8435536777713_</t>
  </si>
  <si>
    <t>CAMISETA SIUX ELECTRA STUPA OFFICIAL BLACKL</t>
  </si>
  <si>
    <t>8435536777706_</t>
  </si>
  <si>
    <t>CAMISETA SIUX ELECTRA STUPA OFFICIAL BLACKM</t>
  </si>
  <si>
    <t>PANTALON SIUX CLUB NAVY BLUE XL</t>
  </si>
  <si>
    <t>PANTALON SIUX CLUB NAVY BLUE L</t>
  </si>
  <si>
    <t>PANTALON SIUX CLUB NAVY BLUE M</t>
  </si>
  <si>
    <t>PANTALON SIUX CLUB NAVY BLUE S</t>
  </si>
  <si>
    <t>PANTALON SIUX CLUB BLACK XL</t>
  </si>
  <si>
    <t>PANTALON SIUX CLUB BLACK L</t>
  </si>
  <si>
    <t>CAMISETA SIUX CLUB NAVY BLUE L</t>
  </si>
  <si>
    <t>CAMISETA SIUX CLUB NAVY BLUE M</t>
  </si>
  <si>
    <t>CAMISETA SIUX CLUB WHITE L</t>
  </si>
  <si>
    <t>CAMISETA SIUX HOMBRE CLUB BLANCA M</t>
  </si>
  <si>
    <t>CAMISETA SIUX HOMBRE CLUB BLANCA S</t>
  </si>
  <si>
    <t>CAMISETA SIUX CLUB BLACK L</t>
  </si>
  <si>
    <t>CAMISETA SIUX CLUB BLACK M</t>
  </si>
  <si>
    <t>8435536775344_</t>
  </si>
  <si>
    <t>SKIRT SIYX WOMAN WAVE XL</t>
  </si>
  <si>
    <t>8435536775337_</t>
  </si>
  <si>
    <t>SKIRT SIYX WOMAN WAVE L</t>
  </si>
  <si>
    <t>8435536775320_</t>
  </si>
  <si>
    <t>SKIRT SIYX WOMAN WAVE BLUE M</t>
  </si>
  <si>
    <t>8435536775313_</t>
  </si>
  <si>
    <t>SKIRT SIYX WOMAN WAVES S</t>
  </si>
  <si>
    <t>8435536775306_</t>
  </si>
  <si>
    <t>SKI RT SIYX WOMAN WAVE XS</t>
  </si>
  <si>
    <t>8435536775290_</t>
  </si>
  <si>
    <t>CAMISETA SIUX MUJER WAVE XL</t>
  </si>
  <si>
    <t>8435536775283_</t>
  </si>
  <si>
    <t>CAMISETA SIUX MUJER WAVEL</t>
  </si>
  <si>
    <t>8435536775276_</t>
  </si>
  <si>
    <t>CAMISETA SIUX MUJER WAVE ROYALM</t>
  </si>
  <si>
    <t>8435536775269_</t>
  </si>
  <si>
    <t>CAMISETA SIUX MUJER WAVE ROYALS</t>
  </si>
  <si>
    <t>CAMISETA SIUX MUJER WAVE ROYAL XS</t>
  </si>
  <si>
    <t>8435536772008_</t>
  </si>
  <si>
    <t>CALCETIN SIUX INVISIBLE EVIL BLANCO/NEGRO 40/42</t>
  </si>
  <si>
    <t>8435536771964_</t>
  </si>
  <si>
    <t>CALCETIN SIUX INVISIBLE EVIL BLANCO/NEGRO 43/45</t>
  </si>
  <si>
    <t>CHAPAS PN LOGO NU</t>
  </si>
  <si>
    <t>CAJA BOLÃGRAFOS PN MERCHANDISING 50 UNIDAD</t>
  </si>
  <si>
    <t>SIUX ST2 DE STUPA CONTROL</t>
  </si>
  <si>
    <t>8435536767967_</t>
  </si>
  <si>
    <t>SIUX ST2 DE STUPA HIBRID</t>
  </si>
  <si>
    <t>8435536758613_</t>
  </si>
  <si>
    <t>SIUX DIABLO JEWEL WOMAN DRESS XL</t>
  </si>
  <si>
    <t>8435536758606_</t>
  </si>
  <si>
    <t>SIUX DIABLO JEWEL WOMAN DRESS L</t>
  </si>
  <si>
    <t>8435536758590_</t>
  </si>
  <si>
    <t>SIUX DIABLO JEWEL WOMAN DRESS M</t>
  </si>
  <si>
    <t>8435536758583_</t>
  </si>
  <si>
    <t>SIUX DIABLO JEWEL WOMAN DRESS S</t>
  </si>
  <si>
    <t>8435536758576_</t>
  </si>
  <si>
    <t>SIUX DIABLO JEWEL WOMAN DRESS XS</t>
  </si>
  <si>
    <t>8435536756510_</t>
  </si>
  <si>
    <t>SIUX BODOVA T-SHIRTL</t>
  </si>
  <si>
    <t>8435536756503_</t>
  </si>
  <si>
    <t>SIUX BODOVA T-SHIRT M</t>
  </si>
  <si>
    <t>8435536756466_</t>
  </si>
  <si>
    <t>SIUX BODOVA T-SHIRT XL</t>
  </si>
  <si>
    <t>8435536756459_</t>
  </si>
  <si>
    <t>SIUX BODOVA T-SHIRT L</t>
  </si>
  <si>
    <t>8435536756442_</t>
  </si>
  <si>
    <t>CAMISETA SIUX ZEMPER L</t>
  </si>
  <si>
    <t>CAMISETA SIUX ZEMPER M</t>
  </si>
  <si>
    <t>8435536753793_</t>
  </si>
  <si>
    <t>SHORT PANTS SIUX DIABLO RIBBONXL</t>
  </si>
  <si>
    <t>8435536753786_</t>
  </si>
  <si>
    <t>SHORT PANTS SIUX DIABLO RIBBON L</t>
  </si>
  <si>
    <t>8435536753779_</t>
  </si>
  <si>
    <t>SHORT PANTS SIUX DIABLO RIBBONM</t>
  </si>
  <si>
    <t>PANTALON CORTO SIUX DIABLO SERIES NEGRO L</t>
  </si>
  <si>
    <t>SIUX FENIX II 3K</t>
  </si>
  <si>
    <t>SIUX TRILOGY ATTACK 3 2023</t>
  </si>
  <si>
    <t xml:space="preserve">SIUX TRILOGY II CONTROL 24K PATTY LLAGUNO 2023 </t>
  </si>
  <si>
    <t>8435536752109_</t>
  </si>
  <si>
    <t>SIUX ELECTRA ST2</t>
  </si>
  <si>
    <t>SIUX FENIX III JAVI RUIZ PRO</t>
  </si>
  <si>
    <t>8435536748225_</t>
  </si>
  <si>
    <t>WHITE SIUX DIABLO DRESSXL</t>
  </si>
  <si>
    <t>8435536748218_</t>
  </si>
  <si>
    <t>WHITE SIUX DIABLO DRESS L</t>
  </si>
  <si>
    <t>8435536748201_</t>
  </si>
  <si>
    <t>WHITE SIUX DIABLO DRESS M</t>
  </si>
  <si>
    <t>8435536748195_</t>
  </si>
  <si>
    <t>WHITE SIUX DIABLO DRESS S</t>
  </si>
  <si>
    <t>MOCHILA SIUX FUSION NEGRO ROJO</t>
  </si>
  <si>
    <t>SIUX VIKING III</t>
  </si>
  <si>
    <t xml:space="preserve">SIUX SX6 2022 </t>
  </si>
  <si>
    <t>SIUX BLACK CARBON REVOLUTION 3K</t>
  </si>
  <si>
    <t>ORYGEN INTRUDER</t>
  </si>
  <si>
    <t>8435536735140_</t>
  </si>
  <si>
    <t xml:space="preserve">MULTICOLOURED SIUX </t>
  </si>
  <si>
    <t xml:space="preserve">ECLYPSE TOTAL 3.0 </t>
  </si>
  <si>
    <t>ECLYPSE LUNAR 3.0 WOMAN</t>
  </si>
  <si>
    <t>8435536727756_</t>
  </si>
  <si>
    <t xml:space="preserve">SIUX MATCH PRO BALLS </t>
  </si>
  <si>
    <t>8435536724137_</t>
  </si>
  <si>
    <t>BLISTER OVERGRIPS SIUX PRO X3 VARIOS</t>
  </si>
  <si>
    <t xml:space="preserve"> SIUX  ELECTRA PRO 2026 FIRE RED  </t>
  </si>
  <si>
    <t>CODERA NEOPRENO</t>
  </si>
  <si>
    <t xml:space="preserve">MUÃ‘EQUERA DE NEOPRENO SOFTEE </t>
  </si>
  <si>
    <t>DROP SHOT CANYON SOFT</t>
  </si>
  <si>
    <t>8435393587210_</t>
  </si>
  <si>
    <t xml:space="preserve">LONG DROP SHOT BLUE WRISTBAND </t>
  </si>
  <si>
    <t>8435393586930_</t>
  </si>
  <si>
    <t xml:space="preserve">WHITE DROP SHOT DAKOTA CAP </t>
  </si>
  <si>
    <t>GRIP VISION REEMPLAZO PRO NEGRO</t>
  </si>
  <si>
    <t>SUDADERA JHAYBER ANNIVERSARY BLACK L</t>
  </si>
  <si>
    <t>SUDADERA JHAYBER ANNIVERSARY BLACK M</t>
  </si>
  <si>
    <t>SUDADERA JHAYBER ANNIVERSARY BLACK S</t>
  </si>
  <si>
    <t>8432891424443_</t>
  </si>
  <si>
    <t>MUÃ‘EQUERA JHAYBER MATE NEGRO</t>
  </si>
  <si>
    <t>8432891424436_</t>
  </si>
  <si>
    <t>MUNEQUERA J.HAYBER</t>
  </si>
  <si>
    <t>CONJUNTO JHAYBER DN23062-700 14</t>
  </si>
  <si>
    <t>CONJUNTO JHAYBER DN23062-700 12</t>
  </si>
  <si>
    <t>CONJUNTO JHAYBER DN23062-700 10</t>
  </si>
  <si>
    <t>CONJUNTO JHAYBER DN23062-700 8</t>
  </si>
  <si>
    <t>CONJUNTO JHAYBER DA23054-37 XXL</t>
  </si>
  <si>
    <t>CONJUNTO JHAYBER DA23054-37 XL</t>
  </si>
  <si>
    <t>CONJUNTO JHAYBER DA23054-37 L</t>
  </si>
  <si>
    <t>CONJUNTO JHAYBER DA23054-37 M</t>
  </si>
  <si>
    <t>CONJUNTO JHAYBER DA23050-37 XL</t>
  </si>
  <si>
    <t>CONJUNTO JHAYBER DA23050-37 L</t>
  </si>
  <si>
    <t>CONJUNTO JHAYBER DA23050-37 M</t>
  </si>
  <si>
    <t>CONJUNTO JHAYBER DA23050-37 S</t>
  </si>
  <si>
    <t>8404001208274_</t>
  </si>
  <si>
    <t xml:space="preserve">CANS OF VARLION SUMMUM PRO W BALLS </t>
  </si>
  <si>
    <t>8404001207857_</t>
  </si>
  <si>
    <t xml:space="preserve">BOLAS VARLION SUMMUM PRO S </t>
  </si>
  <si>
    <t>8403001233392_</t>
  </si>
  <si>
    <t>MOCHILA VARLION AMBASSADORS NEGRO</t>
  </si>
  <si>
    <t>8403001233378_</t>
  </si>
  <si>
    <t>MOCHILA VARLION AMBASSADORS ROJO VINO</t>
  </si>
  <si>
    <t>MOCHILA VARLION AMBASSADORS DARK BLUE</t>
  </si>
  <si>
    <t>MOCHILA VARLION AMBASSADORS MARRÃ“N</t>
  </si>
  <si>
    <t>PALETERO VARLION TRAVEL TOUR WHEELS NEGRO</t>
  </si>
  <si>
    <t>8402009230570_</t>
  </si>
  <si>
    <t>CINTA CABEZA VARLION PINK</t>
  </si>
  <si>
    <t>8402005416602_</t>
  </si>
  <si>
    <t>GRIP VARLION SPONGE TEX NEGRO / AMARILLO</t>
  </si>
  <si>
    <t>OVERGRIPS VARLION H2O X3 WHITE</t>
  </si>
  <si>
    <t>8402003192973_</t>
  </si>
  <si>
    <t xml:space="preserve">YELLOW VARLION H2O X3 OVERGRIPS </t>
  </si>
  <si>
    <t>OVERGRIPS VARLION H2O X3 ORANGE</t>
  </si>
  <si>
    <t>8401010262334_</t>
  </si>
  <si>
    <t>VARLION MAXIMA SUMMUM JUNIOR 2023</t>
  </si>
  <si>
    <t>8401008201987_</t>
  </si>
  <si>
    <t>VARLION LW HEXAGON 8.8</t>
  </si>
  <si>
    <t>8401001244028_</t>
  </si>
  <si>
    <t>VARLION LW CARBON TI DIFUSOR BLACK</t>
  </si>
  <si>
    <t>8401001243144_</t>
  </si>
  <si>
    <t>VARLION LW SUMMUM PRISMA</t>
  </si>
  <si>
    <t>8401001243038_</t>
  </si>
  <si>
    <t>VARLION LW SUMMUM PRISMA S</t>
  </si>
  <si>
    <t>8401001242819_</t>
  </si>
  <si>
    <t>VARLION MAXIMA SUMMUN PRISMA S</t>
  </si>
  <si>
    <t>PROTECTOR SOFTEE PADEL GEOMETRÃA</t>
  </si>
  <si>
    <t xml:space="preserve">TAMBOR 60 OVERGRIPS SHOCKOUT PREMIUM PERFORADO </t>
  </si>
  <si>
    <t>TAMBOR 60 OVERGRIPS PREMIUM LISOS BLANCO NEGRO</t>
  </si>
  <si>
    <t>SHOCKOUT DUAL PRO GRIP Y OVERGRIP AZUL NARANJA</t>
  </si>
  <si>
    <t xml:space="preserve"> DUAL PRO GRIP NEGRO/NARANJA 100-0015 </t>
  </si>
  <si>
    <t>ANTIVIBRADOR SHOCKOUT verde (EspaÃ±a)</t>
  </si>
  <si>
    <t>PROTECTOR SHOCK OUT 100-0057 TRANSAPARENTE (espana)</t>
  </si>
  <si>
    <t>BOLSA SHOCKOUT X12 OVERGRIPS PREMIUM BLANCO LISO</t>
  </si>
  <si>
    <t xml:space="preserve">TAMBOR SHOCKOUT X24 OVERGRIPS PREMIUM BLANCO </t>
  </si>
  <si>
    <t>TAMBOR SHOCKOUT X60 OVERGRIPS PREMIUM MULTICOLOR PERF</t>
  </si>
  <si>
    <t>TAMBOR SHOCKOUT X60 OVERGRIPS PREMIUM MULTICOLOR LISO</t>
  </si>
  <si>
    <t>PLANTILLA DEPORTIVA SHOCKOUT SUPREME 45</t>
  </si>
  <si>
    <t>PLANTILLA DEPORTIVA SHOCKOUT SUPREME 44</t>
  </si>
  <si>
    <t>PLANTILLA DEPORTIVA SHOCKOUT SUPREME 43</t>
  </si>
  <si>
    <t>PLANTILLA DEPORTIVA SHOCKOUT SUPREME 42</t>
  </si>
  <si>
    <t>765066746858_</t>
  </si>
  <si>
    <t>PROTECTOR SHOCK OUT BOLAS</t>
  </si>
  <si>
    <t>RS MOCHILA TEAM PEQUEÃ‘A NEGRO</t>
  </si>
  <si>
    <t>MOCHILA RS TEAM GRANDE AZUL MARINO</t>
  </si>
  <si>
    <t>7350073937905_</t>
  </si>
  <si>
    <t xml:space="preserve">RS PADEL PRO TOUR 3 PACK OVERGRIP </t>
  </si>
  <si>
    <t xml:space="preserve">RS COBRA JUNIOR EDITION </t>
  </si>
  <si>
    <t>RS COBRA EDITION NEGRO BLANCO</t>
  </si>
  <si>
    <t>BANDA PARA LA CABEZA HEAD LOGO BLANCO</t>
  </si>
  <si>
    <t>BANDA PARA LA CABEZA HEAD LOGO NEGRO</t>
  </si>
  <si>
    <t>MUÃ‘EQURA HEAD WRISTBAND 5 INCH 285070 WH</t>
  </si>
  <si>
    <t>MUÃ‘EQUERA HEAD 5 INCH ROJO</t>
  </si>
  <si>
    <t>726424938933_</t>
  </si>
  <si>
    <t>MUÃ‘EQURA HEAD WRISTBAND NV</t>
  </si>
  <si>
    <t>MUÃ‘EQUERAS HEAD 2.5" ROJO</t>
  </si>
  <si>
    <t>HEAD WRISTBAND NV</t>
  </si>
  <si>
    <t>726424938841_</t>
  </si>
  <si>
    <t>MU EQURA HEAD WRISTBAND 2,5 BK</t>
  </si>
  <si>
    <t>726424855049_</t>
  </si>
  <si>
    <t>PALETERO HEAD CORE PADEL COMBI</t>
  </si>
  <si>
    <t>726424722587_</t>
  </si>
  <si>
    <t>HEAD CLUB SHORTS BK XL</t>
  </si>
  <si>
    <t>726424722563_</t>
  </si>
  <si>
    <t>HEAD CLUB SHORTS BKM</t>
  </si>
  <si>
    <t>726424722556_</t>
  </si>
  <si>
    <t>HEAD CLUB SHORTS BK L</t>
  </si>
  <si>
    <t>HEAD ULTIMATE POWER GREEN WITH CB</t>
  </si>
  <si>
    <t>726424410262_</t>
  </si>
  <si>
    <t>MUÃ‘EQURA HEAD 5 BK</t>
  </si>
  <si>
    <t>OVERGRIP HEAD XTREME SOFT X60 BOX BLANCO</t>
  </si>
  <si>
    <t>ZAPATILLAS HEAD REVOLT PRO 4.5 CLAY MUJER 274215 40</t>
  </si>
  <si>
    <t>ZAPATILLAS HEAD REVOLT PRO 4.5 CLAY MUJER 274215 39</t>
  </si>
  <si>
    <t>ZAPATILLAS HEAD REVOLT PRO 4.5 CLAY MUJER 274215 38,5</t>
  </si>
  <si>
    <t>ZAPATILLAS HEAD REVOLT PRO 4.5 CLAY MUJER 274215 38</t>
  </si>
  <si>
    <t>ZAPATILLAS HEAD REVOLT PRO 4.5 CLAY MUJER 274215 37</t>
  </si>
  <si>
    <t>SHORT HEAD POWER 8112XL</t>
  </si>
  <si>
    <t>SHORT HEAD POWER 81125S</t>
  </si>
  <si>
    <t>SHORT HEAD POWER 81125M</t>
  </si>
  <si>
    <t>SHORT HEAD POWER 8112L</t>
  </si>
  <si>
    <t>726423923435_</t>
  </si>
  <si>
    <t>HEAD TENNIS CREW ATHLETES WHITE 43/46</t>
  </si>
  <si>
    <t>726423923428_</t>
  </si>
  <si>
    <t>HEAD TENNIS CREW ATHLETES WHITE 39/42</t>
  </si>
  <si>
    <t>ZAPATILLAS HEAD MOTION PRO PADEL MEN 273604 BBFC 45</t>
  </si>
  <si>
    <t>ZAPATILLAS HEAD MOTION PRO PADEL MEN 273604 BBFC 44</t>
  </si>
  <si>
    <t>ZAPATILLAS HEAD MOTION PRO PADEL MEN 273604 BBFC 43</t>
  </si>
  <si>
    <t>ZAPATILLAS HEAD MOTION PRO PADEL MEN 273604 BBFC 42</t>
  </si>
  <si>
    <t xml:space="preserve"> HEAD MOTION PRO PADEL MEN 273604 BBFC 41</t>
  </si>
  <si>
    <t>726423491088_</t>
  </si>
  <si>
    <t>HEAD GRAVITY MOTION</t>
  </si>
  <si>
    <t>PALETERO HEAD BASIC PADEL CB 285042</t>
  </si>
  <si>
    <t>726423459460_</t>
  </si>
  <si>
    <t>HEAD DELTA PRO 228102</t>
  </si>
  <si>
    <t>SUDADERA HEAD RALLY 811425 TE XL</t>
  </si>
  <si>
    <t>SUDADERA HEAD RALLY 811425 TE S</t>
  </si>
  <si>
    <t>SUDADERA HEAD RALLY 811425 TE M</t>
  </si>
  <si>
    <t>SUDADERA HEAD RALLY 811425 TE L</t>
  </si>
  <si>
    <t>ZAPATILLAS HEAD REVOLT PRO 4.5 CLAY MUJER 274255 WHTB 39</t>
  </si>
  <si>
    <t>ZAPATILLAS HEAD SPRINT TEAM 4.0 CLAY MUJER 274455 W40.5</t>
  </si>
  <si>
    <t>ZAPATILLAS HEAD SPRINT TEAM 4.0 CLAY MUJER 274455 W40</t>
  </si>
  <si>
    <t>ZAPATILLAS HEAD SPRINT TEAM 4.0 CLAY MUJER 274455 W39</t>
  </si>
  <si>
    <t>ZAPATILLAS HEAD SPRINT TEAM 4.0 CLAY MUJER 274455 W38</t>
  </si>
  <si>
    <t>ZAPATILLAS HEAD REVOLT PRO 4.5 CLAY MUJER 274255 WHTB 40</t>
  </si>
  <si>
    <t>ZAPATILLAS HEAD REVOLT PRO 4.5 CLAY MUJER 274255 WHTB 38,5</t>
  </si>
  <si>
    <t>ZAPATILLAS HEAD REVOLT PRO 4.5 CLAY MUJER 274255 WHTB 38</t>
  </si>
  <si>
    <t>ZAPATILLAS HEAD REVOLT PRO 4.5 CLAY MUJER 274255 WHTB 37</t>
  </si>
  <si>
    <t>ZAPATILLAS HEAD MOTION PRO PADEL 45</t>
  </si>
  <si>
    <t>ZAPATILLAS HEAD MOTION PRO PADEL 273645 WHBK 44,5</t>
  </si>
  <si>
    <t>ZAPATILLAS HEAD MOTION PRO PADEL 44</t>
  </si>
  <si>
    <t>ZAPATILLAS HEAD MOTION PRO PADEL 43</t>
  </si>
  <si>
    <t>ZAPATILLAS HEAD MOTION PRO PADEL 42</t>
  </si>
  <si>
    <t>ZAPATILLAS HEAD MOTION PRO PADEL 41</t>
  </si>
  <si>
    <t>ZAPATILLAS HEAD SPRINT PRO 4.0 CLAY 273195 WHBK 45</t>
  </si>
  <si>
    <t>ZAPATILLAS HEAD SPRINT PRO 4.0 CLAY 273195 WHBK 44</t>
  </si>
  <si>
    <t>ZAPATILLAS HEAD SPRINT PRO 4.0 CLAY 273195 WHBK 43</t>
  </si>
  <si>
    <t>ZAPATILLAS HEAD SPRINT PRO 4.0 CLAY 273195 WHBK 42</t>
  </si>
  <si>
    <t>ZAPATILLAS HEAD SPRINT PRO 4.0 CLAY 273195 WHBK 41</t>
  </si>
  <si>
    <t xml:space="preserve">VISERA HEAD PRO PLAYER WOMENS 287135 WH </t>
  </si>
  <si>
    <t xml:space="preserve">VISERA HEAD PRO PLAYER WOMENS 287135 WG </t>
  </si>
  <si>
    <t>GORRA HEAD PRO PLAYER 287115 WH</t>
  </si>
  <si>
    <t xml:space="preserve">GORRA HEAD PRO PLAYER 287115 NV </t>
  </si>
  <si>
    <t xml:space="preserve">GORRA HEAD PRO PLAYER 287115 BK </t>
  </si>
  <si>
    <t xml:space="preserve">GORRA HEAD PRO PLAYER 287115 AQ </t>
  </si>
  <si>
    <t xml:space="preserve">VISERA HEAD PERFORMANCE 287105 BK </t>
  </si>
  <si>
    <t>PALETERO HEAD PRO X PADEL BAG L BK 260045</t>
  </si>
  <si>
    <t>SUDADERA HEAD RALLY 811425 NV XL</t>
  </si>
  <si>
    <t>SUDADERA HEAD RALLY 811425 NV S</t>
  </si>
  <si>
    <t>SUDADERA HEAD RALLY 811425 NV M</t>
  </si>
  <si>
    <t>SUDADERA HEAD RALLY 811425 NV L</t>
  </si>
  <si>
    <t>CAMISETA HEAD SLICE II 811265 XL</t>
  </si>
  <si>
    <t>CAMISETA HEAD SLICE II 811265 S</t>
  </si>
  <si>
    <t>CAMISETA HEAD SLICE II 811265 M</t>
  </si>
  <si>
    <t>CAMISETA HEAD SLICE II 811265 L</t>
  </si>
  <si>
    <t>SHORT HEAD POWER 8112S</t>
  </si>
  <si>
    <t>SHORT HEAD POWER 8112M</t>
  </si>
  <si>
    <t>CAMISETA HEAD TOPSPIN 811235 XVS</t>
  </si>
  <si>
    <t>CAMISETA HEAD TOPSPIN 811235 XM</t>
  </si>
  <si>
    <t>CAMISETA HEAD TOPSPIN 811235 XVLL</t>
  </si>
  <si>
    <t>CAMISETA HEAD SLICE 811215 XL</t>
  </si>
  <si>
    <t>CAMISETA HEAD SLICE 811215 S</t>
  </si>
  <si>
    <t>CAMISETA HEAD SLICE 811215 M</t>
  </si>
  <si>
    <t>CAMISETA HEAD SLICE 811215 L</t>
  </si>
  <si>
    <t>HEAD EXTREME ONE 2023</t>
  </si>
  <si>
    <t>CAMISETA HEAD PLAY TECH TANK TOP 814844 CEWH MUJER S</t>
  </si>
  <si>
    <t>CAMISETA HEAD PLAY TECH TANK TOP 814844 CEWH MUJER M</t>
  </si>
  <si>
    <t>CAMISETA HEAD PLAY TECH TANK TOP 814844 CEWH MUJER L</t>
  </si>
  <si>
    <t>FALDA HEAD PLAY SKORT 814884 S</t>
  </si>
  <si>
    <t>FALDA HEAD PLAY SKORT 814884 M</t>
  </si>
  <si>
    <t>FALDA HEAD PLAY SKORT 814884 L</t>
  </si>
  <si>
    <t>PALETERO HEAD TEAM PADEL BAG 262354 BLBK</t>
  </si>
  <si>
    <t>724794797396_</t>
  </si>
  <si>
    <t>CHAQUETA HEAD CLUB 22 MUJER 814401 WHXS</t>
  </si>
  <si>
    <t>724794797389_</t>
  </si>
  <si>
    <t>CHAQUETA HEAD CLUB 22 MUJER 814401 WHXL</t>
  </si>
  <si>
    <t>724794797372_</t>
  </si>
  <si>
    <t>CHAQUETA HEAD CLUB 22 MUJER 814401 WHS</t>
  </si>
  <si>
    <t>724794797365_</t>
  </si>
  <si>
    <t>CHAQUETA HEAD CLUB 22 MUJER 814401 WH M</t>
  </si>
  <si>
    <t>724794797358_</t>
  </si>
  <si>
    <t>CHAQUETA HEAD CLUB 22 MUJER 814401 WH L</t>
  </si>
  <si>
    <t>724794717561_</t>
  </si>
  <si>
    <t>HEAD EVO EXTREME 2023</t>
  </si>
  <si>
    <t>724794702260_</t>
  </si>
  <si>
    <t>PALA HEAD EXTREME MOTION 2023</t>
  </si>
  <si>
    <t>724794702253_</t>
  </si>
  <si>
    <t>HEAD EXTREME PRO 2023</t>
  </si>
  <si>
    <t>ZAPATILLAS HEAD MOTION PRO PADEL MEN 273613 WHLN 45</t>
  </si>
  <si>
    <t xml:space="preserve"> HEAD MOTION PRO PADEL MEN 273613 WHLN 44,5</t>
  </si>
  <si>
    <t>ZAPATILLAS HEAD MOTION PRO PADEL MEN 273613 WHLN 44</t>
  </si>
  <si>
    <t>ZAPATILLAS HEAD MOTION PRO PADEL MEN 273613 WHLN 43</t>
  </si>
  <si>
    <t>ZAPATILLAS HEAD MOTION PRO PADEL MEN 273613 WHLN 42</t>
  </si>
  <si>
    <t>HEAD MOTION PRO PADEL 273603 BKWH 46,5</t>
  </si>
  <si>
    <t>HEAD MOTION PRO PADEL 273603 BKWH 46</t>
  </si>
  <si>
    <t>HEAD MOTION PRO PADEL 273603 BKWH 44,5</t>
  </si>
  <si>
    <t>HEAD MOTION PRO PADEL 273603 BKWH 40,5</t>
  </si>
  <si>
    <t>HEAD MOTION PRO PADEL 273603 BKWH 40</t>
  </si>
  <si>
    <t>HEAD MOTION PRO PADEL 273603 BKWH 39</t>
  </si>
  <si>
    <t>HEAD MOTION PRO PADEL 273603 BKWH 38,5</t>
  </si>
  <si>
    <t>724794635919_</t>
  </si>
  <si>
    <t>PADELBAG HEAD PRO X LBLACK</t>
  </si>
  <si>
    <t>PALETRO HEAD TOUR AZUL</t>
  </si>
  <si>
    <t>724794635506_</t>
  </si>
  <si>
    <t>CALCETINES HEAD 1P CREW 811533 PAGR43/46</t>
  </si>
  <si>
    <t>724794635407_</t>
  </si>
  <si>
    <t>CALCETINES HEAD 1P SNEAKER 811523 PAGR39/42</t>
  </si>
  <si>
    <t>724794635346_</t>
  </si>
  <si>
    <t>CALCETINES HEAD 1P SNEAKER 811523 MGRO39/42</t>
  </si>
  <si>
    <t>724794635339_</t>
  </si>
  <si>
    <t>CALCETINES HEAD 1P SNEAKER 811523 MGRO35/38</t>
  </si>
  <si>
    <t>HEAD SPEED JUNIOR 2023</t>
  </si>
  <si>
    <t>724794634325_</t>
  </si>
  <si>
    <t>HEAD EVO SPEED 2023</t>
  </si>
  <si>
    <t>RAQUETERO HEAD TOUR M 260823 CHYU</t>
  </si>
  <si>
    <t>PALETERO HEAD BASE M 261443 NEGRO AMARILLO</t>
  </si>
  <si>
    <t>PALETERO HEAD BASE M 261343 NEGRO ROJO</t>
  </si>
  <si>
    <t>PALETERO HEAD CCT PADEL CB 288075</t>
  </si>
  <si>
    <t>724794592830_</t>
  </si>
  <si>
    <t>HEAD SPRINT VELCRO 3 BLANCO AZUL JUNIOR</t>
  </si>
  <si>
    <t>724794592755_</t>
  </si>
  <si>
    <t>724794592731_</t>
  </si>
  <si>
    <t>724794592717_</t>
  </si>
  <si>
    <t>724794592090_</t>
  </si>
  <si>
    <t>HEAD SPRINT 3.5 AMARILLO VERDE JUNIOR</t>
  </si>
  <si>
    <t>724794592014_</t>
  </si>
  <si>
    <t>724794592007_</t>
  </si>
  <si>
    <t>724794591963_</t>
  </si>
  <si>
    <t>HEAD REVOLT PRO 4.0 LIMA BLANCO NIÃ‘O 275263 32</t>
  </si>
  <si>
    <t>HEAD REVOLT PRO 4.0 LIMA BLANCO NIÃ‘O 39</t>
  </si>
  <si>
    <t>HEAD REVOLT PRO 4.0 LIMA BLANCO NIÃ‘O 38</t>
  </si>
  <si>
    <t>HEAD REVOLT PRO 4.0 LIMA BLANCO NIÃ‘O  37</t>
  </si>
  <si>
    <t>HEAD REVOLT PRO 4.0 LIMA BLANCO NIÃ‘O  36</t>
  </si>
  <si>
    <t>HEAD REVOLT PRO 4.0 LIMA BLANCO NIÃ‘O 275263 35</t>
  </si>
  <si>
    <t>HEAD REVOLT PRO 4.0 LIMA BLANCO NIÃ‘O 275263 34</t>
  </si>
  <si>
    <t>HEAD REVOLT PRO 4.0 CLAY NEGRO AZUL NIÃ‘O 275213 BKTE 32</t>
  </si>
  <si>
    <t>724794590690_</t>
  </si>
  <si>
    <t>HEAD REVOLT PRO 4.0 CLAY NEGRO AZUL NIÃ‘O</t>
  </si>
  <si>
    <t>724794590676_</t>
  </si>
  <si>
    <t>724794590669_</t>
  </si>
  <si>
    <t>HEAD REVOLT PRO 4.0 CLAY NEGRO AZUL NIÃ‘O 34,5</t>
  </si>
  <si>
    <t>HEAD REVOLT PRO 4.0 CLAY NEGRO AZUL NIÃ‘O 275213 BKTE 34</t>
  </si>
  <si>
    <t>HEAD REVOLT PRO 4.0 CLAY NEGRO AZUL NIÃ‘O 275213 BKTE 33</t>
  </si>
  <si>
    <t>FALDA HEAD PADEL SKORT 814533 CO S</t>
  </si>
  <si>
    <t>724794553022_</t>
  </si>
  <si>
    <t>FALDA HEAD DYNAMIC SKORT 814703 BK S</t>
  </si>
  <si>
    <t>724794553015_</t>
  </si>
  <si>
    <t>FALDA HEAD DYNAMIC SKORT 814703 BK M</t>
  </si>
  <si>
    <t>724794552957_</t>
  </si>
  <si>
    <t>SHORT HEAD DYNAMIC 814693 WH MUJER S</t>
  </si>
  <si>
    <t>724794552940_</t>
  </si>
  <si>
    <t>SHORT HEAD DYNAMIC 814693 WH MUJER M</t>
  </si>
  <si>
    <t>724794552933_</t>
  </si>
  <si>
    <t>SHORT HEAD DYNAMIC 814693 WH MUJER L</t>
  </si>
  <si>
    <t>CAMISETA TIRANTES HEAD SPIRIT TANK 814683 WH MUJER XS</t>
  </si>
  <si>
    <t>CAMISETA TIRANTES HEAD SPIRIT TANK 814683 WH MUJER S</t>
  </si>
  <si>
    <t>CAMISETA TIRANTES HEAD SPIRIT TANK 814683 WH MUJER M</t>
  </si>
  <si>
    <t>CAMISETA TIRANTES HEAD SPIRIT TANK 814683 WH MUJER L</t>
  </si>
  <si>
    <t>CAMISETA TIRANTES HEAD SPIRIT TANK 814683 NV MUJER S</t>
  </si>
  <si>
    <t>CAMISETA TIRANTES HEAD SPIRIT TANK 814683 NV MUJER M</t>
  </si>
  <si>
    <t>CAMISETA TIRANTES HEAD SPIRIT TANK 814683 NV MUJER L</t>
  </si>
  <si>
    <t>724794552223_</t>
  </si>
  <si>
    <t>CAMISETA TIRANTES HEAD SPIRIT TANK 814683 BK MUJER XS</t>
  </si>
  <si>
    <t>724794552209_</t>
  </si>
  <si>
    <t>CAMISETA TIRANTES HEAD SPIRIT TANK 814683 BK MUJER S</t>
  </si>
  <si>
    <t>724794552193_</t>
  </si>
  <si>
    <t>CAMISETA TIRANTES HEAD SPIRIT TANK 814683 BK MUJER M</t>
  </si>
  <si>
    <t>FALDA HEAD PERFORMANCE SKORT 814633 M</t>
  </si>
  <si>
    <t>CAMISETA DE TIRANTES HEAD PERFORMANCE TANK 814623 MUXR MUJER S</t>
  </si>
  <si>
    <t>CAMISETA DE TIRANTES HEAD PERFORMANCE TANK 814623 MUXR MUJER M</t>
  </si>
  <si>
    <t>FALDA HEAD PADEL SKORT 814533 CO XL</t>
  </si>
  <si>
    <t>FALDA HEAD PADEL SKORT 814533 CO M</t>
  </si>
  <si>
    <t>FALDA HEAD PADEL SKORT 814533 CO L</t>
  </si>
  <si>
    <t>724794542828_</t>
  </si>
  <si>
    <t>SHORT HEAD POWERNV L</t>
  </si>
  <si>
    <t>CAMISETA HEAD PADEL TECH 811363 XL</t>
  </si>
  <si>
    <t>CAMISETA HEAD PADEL TECH 811363 S</t>
  </si>
  <si>
    <t>CAMISETA HEAD PADEL TECH 811363 M</t>
  </si>
  <si>
    <t>724794540008_</t>
  </si>
  <si>
    <t>CAMISETA HEAD PADEL TECH 811363 LN L</t>
  </si>
  <si>
    <t>724794539910_</t>
  </si>
  <si>
    <t>CAMISETA HEAD PADEL TECH 811363 GRLN XL</t>
  </si>
  <si>
    <t>724794539903_</t>
  </si>
  <si>
    <t>CAMISETA HEAD PADEL TECH 811363 GRLN S</t>
  </si>
  <si>
    <t>724794539897_</t>
  </si>
  <si>
    <t>CAMISETA HEAD PADEL TECH 811363 GRLN M</t>
  </si>
  <si>
    <t>724794539880_</t>
  </si>
  <si>
    <t>CAMISETA HEAD PADEL TECH 811363 GRLNL</t>
  </si>
  <si>
    <t>724794539675_</t>
  </si>
  <si>
    <t>SHORT HEAD PADELNV XL</t>
  </si>
  <si>
    <t>724794539651_</t>
  </si>
  <si>
    <t>SHORT HEAD PADELNV M</t>
  </si>
  <si>
    <t>724794539644_</t>
  </si>
  <si>
    <t>SHORT HEAD PADELNV L</t>
  </si>
  <si>
    <t>724794538418_</t>
  </si>
  <si>
    <t>CAMISETA HEAD CLUB IVAN 811033 DBXL</t>
  </si>
  <si>
    <t>724794538401_</t>
  </si>
  <si>
    <t>CAMISETA HEAD CLUB IVAN 811033 DBS</t>
  </si>
  <si>
    <t>724794538395_</t>
  </si>
  <si>
    <t>CAMISETA HEAD CLUB IVAN 811033 DB M</t>
  </si>
  <si>
    <t>724794538388_</t>
  </si>
  <si>
    <t>CAMISETA HEAD CLUB IVAN 811033 DBL</t>
  </si>
  <si>
    <t>724794533123_</t>
  </si>
  <si>
    <t>SUDADERA HEAD CLUB BYRON 811449 PALN XL</t>
  </si>
  <si>
    <t>724794533116_</t>
  </si>
  <si>
    <t>SUDADERA HEAD CLUB BYRON 811449 PALN S</t>
  </si>
  <si>
    <t>724794533109_</t>
  </si>
  <si>
    <t>SUDADERA HEAD CLUB BYRON 811449 PALN M</t>
  </si>
  <si>
    <t>724794533093_</t>
  </si>
  <si>
    <t>SUDADERA HEAD CLUB BYRON 811449 PALN L</t>
  </si>
  <si>
    <t>724794519301_</t>
  </si>
  <si>
    <t>SUDADERA HEAD CLUB ROSIE 814489 NV MUJER XL</t>
  </si>
  <si>
    <t>724794519295_</t>
  </si>
  <si>
    <t>SUDADERA HEAD CLUB ROSIE 814489 NV MUJER S</t>
  </si>
  <si>
    <t>724794519288_</t>
  </si>
  <si>
    <t>SUDADERA HEAD CLUB ROSIE 814489 NV MUJER M</t>
  </si>
  <si>
    <t>724794519271_</t>
  </si>
  <si>
    <t>SUDADERA HEAD CLUB ROSIE 814489 NV MUJER L</t>
  </si>
  <si>
    <t>SHORT HEAD CLUB 25 TECH 811379 NV XL</t>
  </si>
  <si>
    <t>SHORT HEAD CLUB 25 TECH 811379 NV S</t>
  </si>
  <si>
    <t>SHORT HEAD CLUB 25 TECH 811379 NV M</t>
  </si>
  <si>
    <t>SHORT HEAD CLUB 25 TECH 811379 NV L</t>
  </si>
  <si>
    <t>HEAD XTREME TRACK OWERWRAP 285124 BK</t>
  </si>
  <si>
    <t>HEAD SPRINT PRO 3.5 SF CLAY NEGRO NARANJA 273012 BKOR 38</t>
  </si>
  <si>
    <t>GRIP HEAD DUAL ABSORBING NEGRO</t>
  </si>
  <si>
    <t>724794482100_</t>
  </si>
  <si>
    <t>HEAD GRIP XTREMESOFT BL</t>
  </si>
  <si>
    <t>HEAD GRIP XTREMESOFT OVERWRAP 285104 BL</t>
  </si>
  <si>
    <t>724794414156_</t>
  </si>
  <si>
    <t>HEAD TENNIS 2P STRIPE QUARTER GREY WHITE SOCKS43/46</t>
  </si>
  <si>
    <t>724794414149_</t>
  </si>
  <si>
    <t>HEAD TENNIS 2P STRIPE QUARTER GREY WHITE SOCKS39/42</t>
  </si>
  <si>
    <t>724794414132_</t>
  </si>
  <si>
    <t>HEAD TENNIS 2P STRIPE QUARTER GREY WHITE SOCKS35/38</t>
  </si>
  <si>
    <t>724794414125_</t>
  </si>
  <si>
    <t>HEAD 2P STRIPE QUARTER SOCKS 43/46</t>
  </si>
  <si>
    <t>CALCETINES HEAD 2P STRIPE QUARTER 43/46</t>
  </si>
  <si>
    <t>724794414118_</t>
  </si>
  <si>
    <t>HEAD 2P STRIPE QUARTER SOCKS 39/42</t>
  </si>
  <si>
    <t>CALCETINES HEAD 2P STRIPE QUARTER 39/42</t>
  </si>
  <si>
    <t>724794414101_</t>
  </si>
  <si>
    <t>HEAD 2P STRIPE QUARTER SOCKS 35/38</t>
  </si>
  <si>
    <t>PALETERO HEAD TOUR TEAM MONSTERCOMBI</t>
  </si>
  <si>
    <t>OVERGRIP HEAD PADEL PRO 3 PCS 285111 GR</t>
  </si>
  <si>
    <t>724794397312_</t>
  </si>
  <si>
    <t>HEAD EVO DELTA 2022</t>
  </si>
  <si>
    <t>724794376713_</t>
  </si>
  <si>
    <t>HEAD EDGE LTD NARANJA</t>
  </si>
  <si>
    <t>HEAD CALIBRE ROSA</t>
  </si>
  <si>
    <t>HEAD ULTIMATE POWER II WITH CB NARANJA</t>
  </si>
  <si>
    <t>724794222317_</t>
  </si>
  <si>
    <t>PALETERO HEAD CORE PADEL ULTIMATE BLANCO GRIS</t>
  </si>
  <si>
    <t>PALETERO HEAD PADEL CORE ULTIMATE</t>
  </si>
  <si>
    <t xml:space="preserve">HEAD GRAPHENE 360 DELTA GOLD </t>
  </si>
  <si>
    <t>HEAD SPRINT PRO 3.5 CLAY BLANCO 45</t>
  </si>
  <si>
    <t>HEAD SPRINT PRO 3.5 CLAY BLANCO  44</t>
  </si>
  <si>
    <t>HEAD SPRINT PRO 3.5 SF CLAY NEGRO NARANJA 273012 BKOR 44,5</t>
  </si>
  <si>
    <t>HEAD SPRINT PRO 3.5 SF CLAY NEGRO NARANJA 273012 BKOR 42</t>
  </si>
  <si>
    <t>HEAD SPRINT PRO 3.5 SF CLAY NEGRO NARANJA 273012 BKOR 40</t>
  </si>
  <si>
    <t>HEAD SPRINT PRO 3.5 SF CLAY NEGRO NARANJA 273012 BKOR 39</t>
  </si>
  <si>
    <t>SUDADERA HEAD CLUB FYNN FZ 811459 BK XL</t>
  </si>
  <si>
    <t>SUDADERA HEAD CLUB FYNN FZ 811459 BK S</t>
  </si>
  <si>
    <t>SUDADERA HEAD CLUB FYNN FZ 811459 BK M</t>
  </si>
  <si>
    <t>SUDADERA HEAD CLUB FYNN FZ 811459 BK L</t>
  </si>
  <si>
    <t>724794173732_</t>
  </si>
  <si>
    <t>SUDADERA CAPUCHA HEAD CLUB BYRON 811449 DB XL</t>
  </si>
  <si>
    <t>724794173725_</t>
  </si>
  <si>
    <t>SUDADERA CAPUCHA HEAD CLUB BYRON 811449 DB S</t>
  </si>
  <si>
    <t>724794173718_</t>
  </si>
  <si>
    <t>SUDADERA CAPUCHA HEAD CLUB BYRON 811449 DB M</t>
  </si>
  <si>
    <t>724794173701_</t>
  </si>
  <si>
    <t>SUDADERA CAPUCHA HEAD CLUB BYRON 811449 DB L</t>
  </si>
  <si>
    <t>HEAD 2.5 ROSA</t>
  </si>
  <si>
    <t>724794151020_</t>
  </si>
  <si>
    <t>HEAD WRISTBAND 2.5 MARINE WATER</t>
  </si>
  <si>
    <t>CONJUNTO JHAYBER DA23052-100 XL</t>
  </si>
  <si>
    <t>CAMISETA JHAYBER DA3241-100 M</t>
  </si>
  <si>
    <t>CAMISETA JHAYBER DA3241-100 XL</t>
  </si>
  <si>
    <t>PLANTILLA FOOTGEL PADEL EUCALIPTO 43/46</t>
  </si>
  <si>
    <t>ZAPATILLAS MIZUNO WAVE EXCEED TOUR 6 CC 47</t>
  </si>
  <si>
    <t>ZAPATILLAS MIZUNO WAVE EXCEED TOUR 6 CC 46</t>
  </si>
  <si>
    <t>ZAPATILLAS MIZUNO WAVE EXCEED TOUR 6 CC 45</t>
  </si>
  <si>
    <t>ZAPATILLAS MIZUNO WAVE EXCEED TOUR 6 CC 44.5</t>
  </si>
  <si>
    <t>ZAPATILLAS MIZUNO WAVE EXCEED TOUR 6 CC 44</t>
  </si>
  <si>
    <t>ZAPATILLAS MIZUNO WAVE EXCEED TOUR 6 CC 43</t>
  </si>
  <si>
    <t>ZAPATILLAS MIZUNO WAVE EXCEED TOUR 6 CC 42.5</t>
  </si>
  <si>
    <t>ZAPATILLAS MIZUNO WAVE EXCEED TOUR 6 CC 42</t>
  </si>
  <si>
    <t>ZAPATILLAS MIZUNO WAVE EXCEED TOUR 6 CC 41</t>
  </si>
  <si>
    <t>ZAPATILLAS MIZUNO WAVE EXCEED TOUR 6 CC 40</t>
  </si>
  <si>
    <t>ZAPATILLAS MIZUNO WAVE EXCEED LIGHT 2 61GC2320 28 45</t>
  </si>
  <si>
    <t>ZAPATILLAS MIZUNO WAVE EXCEED LIGHT 2 61GC2320 28 44</t>
  </si>
  <si>
    <t>ZAPATILLAS MIZUNO WAVE EXCEED LIGHT 2 61GC2320 28 43</t>
  </si>
  <si>
    <t>ZAPATILLAS MIZUNO WAVE EXCEED LIGHT 2 61GC2320 28 42,5</t>
  </si>
  <si>
    <t>ZAPATILLAS MIZUNO WAVE EXCEED LIGHT 2 61GC2320 28  42</t>
  </si>
  <si>
    <t>SHORT MIZUNO TRAD M 62EBA500 14 NAVYXL</t>
  </si>
  <si>
    <t>SHORT MIZUNO TRAD M 62EBA500 14 NAVYL</t>
  </si>
  <si>
    <t>SHORT MIZUNO TRAD M 62EBA500 14 NAVYM</t>
  </si>
  <si>
    <t>SHORT MIZUNO TRAD M 62EBA500 14 NAVYS</t>
  </si>
  <si>
    <t>5059431430059_</t>
  </si>
  <si>
    <t>ZAPATILLAS MIZUNO WAVE ENFORCE TOUR CCMUJER 40</t>
  </si>
  <si>
    <t>5059431430042_</t>
  </si>
  <si>
    <t>ZAPATILLAS MIZUNO WAVE ENFORCE TOUR CCMUJER39</t>
  </si>
  <si>
    <t>5059431430035_</t>
  </si>
  <si>
    <t>ZAPATILLAS MIZUNO WAVE ENFORCE TOUR CCMUJER 38.5</t>
  </si>
  <si>
    <t>5059431430028_</t>
  </si>
  <si>
    <t>ZAPATILLAS MIZUNO WAVE ENFORCE TOUR CCMUJER 38</t>
  </si>
  <si>
    <t>5059431429954_</t>
  </si>
  <si>
    <t>ZAPATILLAS MIZUNO WAVE ENFORCE TOUR CC44</t>
  </si>
  <si>
    <t>5059431429947_</t>
  </si>
  <si>
    <t>ZAPATILLAS MIZUNO WAVE ENFORCE TOUR CC 43</t>
  </si>
  <si>
    <t>5059431429930_</t>
  </si>
  <si>
    <t>ZAPATILLAS MIZUNO WAVE ENFORCE TOUR CC 42.5</t>
  </si>
  <si>
    <t>5059431428391_</t>
  </si>
  <si>
    <t>ZAPATILLAS MIZUNO WAVE ENFORCE TOUR 61GB2306-2744.5</t>
  </si>
  <si>
    <t>5059431428155_</t>
  </si>
  <si>
    <t>ZAPATILLAS MIZUNO WAVE EXCEED LIGHT44</t>
  </si>
  <si>
    <t>5059431428148_</t>
  </si>
  <si>
    <t>ZAPATILLAS MIZUNO WAVE EXCEED LIGHT 43</t>
  </si>
  <si>
    <t>5059431428131_</t>
  </si>
  <si>
    <t>ZAPATILLAS MIZUNO WAVE EXCEED LIGHT 42.5</t>
  </si>
  <si>
    <t>5059431428117_</t>
  </si>
  <si>
    <t>ZAPATILLAS MIZUNO WAVE EXCEED LIGHT41</t>
  </si>
  <si>
    <t>CAMISETA MIZUNO 32EA7040C 97 BLACK/ SILVER XL</t>
  </si>
  <si>
    <t>CAMISETA MIZUNO 32EA7040C 97 BLACK/ SILVER L</t>
  </si>
  <si>
    <t>CAMISETA MIZUNO 32EA7040C 97 BLACK/ SILVER S</t>
  </si>
  <si>
    <t>CAMISETA MIZUNO 32EA7040C 77 WHITE/ SILVER XL</t>
  </si>
  <si>
    <t>CAMISETA MIZUNO 32EA7040C 77 WHITE/ SILVER L</t>
  </si>
  <si>
    <t>CAMISETA MIZUNO 32EA7040C 77 WHITE/ SILVER M</t>
  </si>
  <si>
    <t>CAMISETA MIZUNO 32EA7040C 77 WHITE/ SILVER S</t>
  </si>
  <si>
    <t>CAMISETA MIZUNO 32EA7040C 62 RED/ WHITE XL</t>
  </si>
  <si>
    <t>CAMISETA MIZUNO 32EA7040C 62 RED/ WHITE L</t>
  </si>
  <si>
    <t>CAMISETA MIZUNO 32EA7040C 62 RED/ WHITE M</t>
  </si>
  <si>
    <t>CAMISETA MIZUNO 32EA7040C 62 RED/ WHITE S</t>
  </si>
  <si>
    <t>CALCETINES MIZUNO TRAINING LOW L</t>
  </si>
  <si>
    <t>CALCETINES MIZUNO TRAINING LOW M</t>
  </si>
  <si>
    <t>CALCETINES MIZUNO TRAINING LOW S</t>
  </si>
  <si>
    <t>5013317228826_</t>
  </si>
  <si>
    <t>LLAVERO DUNLOP KEYRING</t>
  </si>
  <si>
    <t xml:space="preserve"> PACK 200 UDS. BOLSA PAPEL PADEL NUESTRO 32X40X12  </t>
  </si>
  <si>
    <t>SHORT ASICS COURT 7IN SHORT 2041A344-001 L</t>
  </si>
  <si>
    <t>SHORT ASICS COURT 7IN SHORT 2041A344-001 M</t>
  </si>
  <si>
    <t>CAMISETA ASICS COURT SS TOP 2041A339-400 L</t>
  </si>
  <si>
    <t>CAMISETA ASICS COURT SS TOP 2041A339-400 M</t>
  </si>
  <si>
    <t>SHORT ASICS COURT 7IN SHORT 2041A344-100 L</t>
  </si>
  <si>
    <t>SHORT ASICS COURT 7IN SHORT 2041A344-100 M</t>
  </si>
  <si>
    <t>CAMISETA ASICS CORE ALL OVER PRINT SS TOP 2011D212-001 L</t>
  </si>
  <si>
    <t>CAMISETA ASICS CORE ALL OVER PRINT SS TOP 2011D212-001 M</t>
  </si>
  <si>
    <t>CAMISETA ASICS PADEL COURT SS TOP 2041A349-401 L</t>
  </si>
  <si>
    <t>CAMISETA ASICS PADEL COURT SS TOP 2041A349-401 M</t>
  </si>
  <si>
    <t>CAMISETA ASICS COURT SS TOP 2041A339-500 M</t>
  </si>
  <si>
    <t>CAMISETA ASICS COURT SS TOP 2041A339-500 L</t>
  </si>
  <si>
    <t>SHORT ASICS COURT 7IN SHORT 2041A344-400 L</t>
  </si>
  <si>
    <t>SHORT ASICS COURT 7IN SHORT 2041A344-400 M</t>
  </si>
  <si>
    <t>CAMISETA ASICS COURT SS TOP 2041A339-100 L</t>
  </si>
  <si>
    <t>CAMISETA ASICS COURT SS TOP 2041A339-100M</t>
  </si>
  <si>
    <t>SHORT ASICS PADEL COURT 7IN SHORT 2041A350-401 L</t>
  </si>
  <si>
    <t>SHORT ASICS PADEL COURT 7IN SHORT 2041A350-401 M</t>
  </si>
  <si>
    <t xml:space="preserve"> ASICS SOLUTION SWIFT FF 2 PADEL 1041A465-400 44,5</t>
  </si>
  <si>
    <t xml:space="preserve"> ASICS SOLUTION SWIFT FF 2 PADEL 1041A465-400 42</t>
  </si>
  <si>
    <t xml:space="preserve"> ASICS SOLUTION SWIFT FF 2 PADEL 1041A465-400 43,5</t>
  </si>
  <si>
    <t xml:space="preserve"> ASICS SOLUTION SWIFT FF 2 PADEL 1041A465-400 45</t>
  </si>
  <si>
    <t xml:space="preserve"> ASICS SOLUTION SWIFT FF 2 PADEL 1041A465-400 42,5</t>
  </si>
  <si>
    <t>ZAPATILLAS ASICS SOLUTION SWIFT FF 2 CLAY 1041A467-102 45</t>
  </si>
  <si>
    <t xml:space="preserve"> ASICS GEL-RESOLUTION X PADEL 1041A492-400 42,5</t>
  </si>
  <si>
    <t xml:space="preserve"> ASICS GEL-RESOLUTION X PADEL 1041A492-400 44</t>
  </si>
  <si>
    <t xml:space="preserve"> ASICS GEL-RESOLUTION X PADEL 1041A492-400 40</t>
  </si>
  <si>
    <t xml:space="preserve"> ASICS GEL-RESOLUTION X PADEL 1041A492-400 39,5</t>
  </si>
  <si>
    <t xml:space="preserve"> ASICS GEL-RESOLUTION X PADEL 1041A492-400 46</t>
  </si>
  <si>
    <t xml:space="preserve"> ASICS GEL-RESOLUTION X PADEL 1041A492-400 46,5</t>
  </si>
  <si>
    <t xml:space="preserve"> ASICS GEL-RESOLUTION X PADEL 1041A492-400 45</t>
  </si>
  <si>
    <t xml:space="preserve"> ASICS GEL-RESOLUTION X PADEL 1041A492-400 41,5</t>
  </si>
  <si>
    <t xml:space="preserve"> ASICS GEL-RESOLUTION X PADEL 1041A492-400 44,5</t>
  </si>
  <si>
    <t xml:space="preserve"> ASICS GEL-RESOLUTION X PADEL 1041A492-400 40,5</t>
  </si>
  <si>
    <t xml:space="preserve"> ASICS GEL-RESOLUTION X PADEL 1041A492-400 43,5</t>
  </si>
  <si>
    <t xml:space="preserve"> ASICS GEL-RESOLUTION X PADEL 1041A492-400 42</t>
  </si>
  <si>
    <t>ASICS GAME FF CLAY/OC 1042A282-101 MUJER 37,5</t>
  </si>
  <si>
    <t xml:space="preserve"> ASICS GAME FF CLAY/OC 1042A282-101 MUJER 39,5</t>
  </si>
  <si>
    <t>ASICS GAME FF CLAY/OC 1042A282-101 MUJER 38</t>
  </si>
  <si>
    <t xml:space="preserve"> ASICS GAME FF CLAY/OC 1042A282-101 MUJER 40</t>
  </si>
  <si>
    <t>ASICS GAME FF CLAY/OC 1042A282-101 MUJER 39</t>
  </si>
  <si>
    <t xml:space="preserve"> ASICS GAME FF CLAY/OC 1042A282-500 MUJER 37</t>
  </si>
  <si>
    <t xml:space="preserve"> ASICS GAME FF CLAY/OC 1042A282-500 MUJER 39</t>
  </si>
  <si>
    <t xml:space="preserve"> ASICS GAME FF CLAY/OC 1042A282-500 MUJER 38</t>
  </si>
  <si>
    <t xml:space="preserve"> ASICS GAME FF CLAY/OC 1042A282-500 MUJER 40</t>
  </si>
  <si>
    <t xml:space="preserve"> ASICS GAME FF CLAY/OC 1042A282-500 MUJER  39,5</t>
  </si>
  <si>
    <t xml:space="preserve"> ASICS GAME FF CLAY/OC 1042A282-500 MUJER 37,5</t>
  </si>
  <si>
    <t xml:space="preserve"> ASICS GAME FF CLAY/OC 1042A282-500 MUJER 40,5</t>
  </si>
  <si>
    <t xml:space="preserve"> ASICS GAME FF PADEL 1042A286-100 MUJER 39</t>
  </si>
  <si>
    <t xml:space="preserve"> ASICS GAME FF PADEL 1042A286-100 MUJER 37</t>
  </si>
  <si>
    <t xml:space="preserve"> ASICS GAME FF PADEL 1042A286-100 MUJER 39,5</t>
  </si>
  <si>
    <t xml:space="preserve"> ASICS GAME FF PADEL 1042A286-100 MUJER 38</t>
  </si>
  <si>
    <t xml:space="preserve"> ASICS GAME FF PADEL 1042A286-100 MUJER 37,5</t>
  </si>
  <si>
    <t xml:space="preserve"> ASICS GEL-RESOLUTION X CLAY 1042A277-100 MUJER 38</t>
  </si>
  <si>
    <t xml:space="preserve"> ASICS GEL-RESOLUTION X CLAY 1042A277-100 MUJER 37</t>
  </si>
  <si>
    <t xml:space="preserve"> ASICS GEL-RESOLUTION X CLAY 1042A277-100 MUJER 39,5</t>
  </si>
  <si>
    <t xml:space="preserve"> ASICS GEL-RESOLUTION X CLAY 1042A277-100 MUJER 42</t>
  </si>
  <si>
    <t xml:space="preserve"> ASICS GEL-RESOLUTION X CLAY 1042A277-100 MUJER 40</t>
  </si>
  <si>
    <t xml:space="preserve"> ASICS GEL-RESOLUTION X CLAY 1042A277-100 MUJER 42,5</t>
  </si>
  <si>
    <t xml:space="preserve"> ASICS GEL-RESOLUTION X CLAY 1042A277-100 MUJER 39</t>
  </si>
  <si>
    <t xml:space="preserve"> ASICS GEL-RESOLUTION X CLAY 1042A277-100 MUJER 37,5</t>
  </si>
  <si>
    <t xml:space="preserve"> ASICS GEL-RESOLUTION X CLAY 1042A277-100 MUJER 40,5</t>
  </si>
  <si>
    <t xml:space="preserve"> ASICS GEL-RESOLUTION X CLAY 1041A485-100 44,5</t>
  </si>
  <si>
    <t xml:space="preserve"> ASICS GEL-RESOLUTION X CLAY 1041A485-100 44</t>
  </si>
  <si>
    <t xml:space="preserve"> ASICS GEL-RESOLUTION X CLAY 1041A485-500 40,5</t>
  </si>
  <si>
    <t xml:space="preserve"> ASICS GEL-RESOLUTION X CLAY 1041A485-500 43,5</t>
  </si>
  <si>
    <t xml:space="preserve"> ASICS GEL-RESOLUTION X CLAY 1041A485-500 44</t>
  </si>
  <si>
    <t xml:space="preserve"> ASICS GEL-RESOLUTION X CLAY 1041A485-500 42,5</t>
  </si>
  <si>
    <t xml:space="preserve"> ASICS GEL-RESOLUTION X CLAY 1041A485-500 45</t>
  </si>
  <si>
    <t xml:space="preserve"> ASICS GEL-RESOLUTION X CLAY 1041A485-500 41,5</t>
  </si>
  <si>
    <t xml:space="preserve"> ASICS GEL-RESOLUTION X CLAY 1041A485-500 44,5</t>
  </si>
  <si>
    <t xml:space="preserve"> ASICS GEL-RESOLUTION X CLAY 1041A485-500 42</t>
  </si>
  <si>
    <t xml:space="preserve"> ASICS GEL-RESOLUTION X CLAY 1041A485-500 46</t>
  </si>
  <si>
    <t xml:space="preserve"> ASICS GEL-RESOLUTION X 1041A481-500 56,5</t>
  </si>
  <si>
    <t xml:space="preserve"> ASICS GEL-RESOLUTION X 1041A481-500 42,5</t>
  </si>
  <si>
    <t xml:space="preserve"> ASICS GEL-RESOLUTION X 1041A481-500 45</t>
  </si>
  <si>
    <t xml:space="preserve"> ASICS GEL-RESOLUTION X 1041A481-500 47</t>
  </si>
  <si>
    <t xml:space="preserve"> ASICS GEL-RESOLUTION X 1041A481-500 56</t>
  </si>
  <si>
    <t xml:space="preserve"> ASICS GEL-RESOLUTION X 1041A481-500 44</t>
  </si>
  <si>
    <t xml:space="preserve"> ASICS GEL-RESOLUTION X 1041A481-500 44,5</t>
  </si>
  <si>
    <t xml:space="preserve"> ASICS GEL-RESOLUTION X 1041A481-500 42</t>
  </si>
  <si>
    <t xml:space="preserve"> ASICS GEL-RESOLUTION X CLAY 1042A277-500 MUJER 40</t>
  </si>
  <si>
    <t xml:space="preserve"> ASICS GEL-RESOLUTION X CLAY 1042A277-500 MUJER 40,5</t>
  </si>
  <si>
    <t xml:space="preserve"> ASICS GEL-RESOLUTION X CLAY 1042A277-500 MUJER 39,5</t>
  </si>
  <si>
    <t xml:space="preserve"> ASICS GEL-RESOLUTION X CLAY 1042A277-500 MUJER 39</t>
  </si>
  <si>
    <t xml:space="preserve"> ASICS GEL-RESOLUTION X CLAY 1042A277-500 MUJER 38</t>
  </si>
  <si>
    <t>DUNLOP INFERNO SILVER</t>
  </si>
  <si>
    <t xml:space="preserve">DUNLOP NEMESIS </t>
  </si>
  <si>
    <t>ZAPATILLAS ASICS SOLUTION SWIFT FF 2 PADEL L.E. 1041A497 100 42</t>
  </si>
  <si>
    <t>ZAPATILLAS ASICS SOLUTION SWIFT FF 2 PADEL L.E. 1041A497 100 46</t>
  </si>
  <si>
    <t>ZAPATILLAS ASICS SOLUTION SWIFT FF 2 PADEL L.E. 1041A497 100  44,5</t>
  </si>
  <si>
    <t>ZAPATILLAS ASICS SOLUTION SWIFT FF 2 PADEL L.E. 1041A497 100  45</t>
  </si>
  <si>
    <t>ZAPATILLAS ASICS SOLUTION SWIFT FF 2 PADEL L.E. 1041A497 100 41,5</t>
  </si>
  <si>
    <t>ZAPATILLAS ASICS SOLUTION SWIFT FF 2 PADEL L.E. 1041A497 100 43,5</t>
  </si>
  <si>
    <t>ZAPATILLAS ASICS SOLUTION SWIFT FF 2 PADEL L.E. 1041A497 100  42,5</t>
  </si>
  <si>
    <t>ZAPATILLAS ASICS COURT FF 3 NOVAK CLAY 1041A362 963 44</t>
  </si>
  <si>
    <t>ZAPATILLAS ASICS COURT FF 3 NOVAK CLAY 1041A362 963 42</t>
  </si>
  <si>
    <t>ZAPATILLAS ASICS COURT FF 3 NOVAK CLAY 1041A362 963 44,5</t>
  </si>
  <si>
    <t>ZAPATILLAS ASICS COURT FF 3 NOVAK CLAY 1041A362 963 42,5</t>
  </si>
  <si>
    <t>ZAPATILLAS ASICS COURT FF 3 NOVAK CLAY 1041A362 963 45</t>
  </si>
  <si>
    <t>ZAPATILLAS ASICS COURT FF 3 NOVAK CLAY 1041A362 963 43,5</t>
  </si>
  <si>
    <t>ZAPATILLAS ASICS SOLUTION SPEED FF 3 CLAY 1041A437 400 42,5</t>
  </si>
  <si>
    <t>ZAPATILLAS ASICS SOLUTION SPEED FF 3 CLAY 1041A437 400 44,5</t>
  </si>
  <si>
    <t>ZAPATILLAS ASICS SOLUTION SPEED FF 3 CLAY 1041A437 400 43,5</t>
  </si>
  <si>
    <t>ZAPATILLAS ASICS SOLUTION SPEED FF 3 CLAY 1041A437 400 46,5</t>
  </si>
  <si>
    <t>ZAPATILLAS ASICS SOLUTION SPEED FF 3 CLAY 1041A437 400  44</t>
  </si>
  <si>
    <t>ZAPATILLAS ASICS SOLUTION SPEED FF 3 CLAY 1041A437 400 41,5</t>
  </si>
  <si>
    <t>ZAPATILLAS ASICS SOLUTION SPEED FF 3 CLAY 1041A437 400 45</t>
  </si>
  <si>
    <t xml:space="preserve"> ASICS SOLUTION SPEED FF 3 CLAY 1041A437 400 42</t>
  </si>
  <si>
    <t>ZAPATILLAS ASICS GEL GAME 9 CLAY/OC 1041A358 401 46,5</t>
  </si>
  <si>
    <t>ZAPATILLAS ASICS GEL GAME 9 CLAY/OC 1041A358 401 42</t>
  </si>
  <si>
    <t>ZAPATILLAS ASICS GEL GAME 9 CLAY/OC 1041A358 401 45</t>
  </si>
  <si>
    <t>ZAPATILLAS ASICS GEL GAME 9 CLAY/OC 1041A358 401 44,5</t>
  </si>
  <si>
    <t>ZAPATILLAS ASICS GEL GAME 9 CLAY/OC 1041A358 401 41,5</t>
  </si>
  <si>
    <t>ZAPATILLAS ASICS GEL GAME 9 CLAY/OC 1041A358 401 42,5</t>
  </si>
  <si>
    <t>ZAPATILLAS ASICS GEL GAME 9 CLAY/OC 1041A358 401 43,5</t>
  </si>
  <si>
    <t>ZAPATILLAS ASICS SOLUTION SPEED FF 3 PADEL 1041A496 800 42,5</t>
  </si>
  <si>
    <t>ZAPATILLAS ASICS SOLUTION SPEED FF 3 PADEL 1041A496 800 44,5</t>
  </si>
  <si>
    <t>ZAPATILLAS ASICS SOLUTION SPEED FF 3 PADEL 1041A496 800 45</t>
  </si>
  <si>
    <t>ZAPATILLAS ASICS SOLUTION SPEED FF 3 PADEL 1041A496 800 43,5</t>
  </si>
  <si>
    <t>ZAPATILLAS ASICS GEL CHALLENGER 14 CLAY 1041A449 402 41,5</t>
  </si>
  <si>
    <t>ZAPATILLAS ASICS GEL CHALLENGER 14 CLAY 1041A449 402 42,5</t>
  </si>
  <si>
    <t>ZAPATILLAS ASICS GEL CHALLENGER 14 CLAY 1041A449 402 44,5</t>
  </si>
  <si>
    <t>ZAPATILLAS ASICS GEL CHALLENGER 14 CLAY 1041A449 402 45</t>
  </si>
  <si>
    <t>ZAPATILLAS ASICS GEL CHALLENGER 14 CLAY 1041A449 402 43,5</t>
  </si>
  <si>
    <t>ZAPATILLAS ASICS GEL CHALLENGER 14 CLAY 1041A449 402 42</t>
  </si>
  <si>
    <t>ZAPATILLAS ASICS GEL CHALLENGER 14 CLAY 1041A449 402 46</t>
  </si>
  <si>
    <t>ZAPATILLAS ASICS GEL GAME 9 CLAY/OC 1041A358 104 45</t>
  </si>
  <si>
    <t xml:space="preserve">ZAPATILLAS ASICS GEL GAME 9 CLAY/OC 1041A358 104 42,5 </t>
  </si>
  <si>
    <t>ZAPATILLAS ASICS GEL GAME 9 CLAY/OC 1041A358 104 46,5</t>
  </si>
  <si>
    <t>ZAPATILLAS ASICS GEL GAME 9 CLAY/OC 1041A358 104 44,5</t>
  </si>
  <si>
    <t>ZAPATILLAS ASICS GEL GAME 9 CLAY/OC 1041A358 104 46</t>
  </si>
  <si>
    <t>ZAPATILLAS ASICS GEL GAME 9 CLAY/OC 1041A358 104 43,5</t>
  </si>
  <si>
    <t>ZAPATILLAS ASICS GEL GAME 9 CLAY/OC 1041A358 104  41,5</t>
  </si>
  <si>
    <t>ZAPATILLAS ASICS GEL RESOLUTION 9 CLAY 1042A224 701 MUJER 37,5</t>
  </si>
  <si>
    <t>ZAPATILLAS ASICS GEL RESOLUTION 9 CLAY 1042A224 701 MUJER 39,5</t>
  </si>
  <si>
    <t>ZAPATILLAS ASICS GEL RESOLUTION 9 CLAY 1042A224 701 MUJER 38</t>
  </si>
  <si>
    <t>ZAPATILLAS ASICS GEL RESOLUTION 9 CLAY 1042A224 701 MUJER 39</t>
  </si>
  <si>
    <t>ZAPATILLAS ASICS GEL RESOLUTION 9 CLAY 1042A224 701 MUJER 40</t>
  </si>
  <si>
    <t>ZAPATILLAS ASICS GEL RESOLUTION 9 CLAY 1042A224 701 MUJER 40,5</t>
  </si>
  <si>
    <t>ZAPATILLAS ASICS GEL RESOLUTION 9 PADEL 1041A334 300 42,5</t>
  </si>
  <si>
    <t>ZAPATILLAS ASICS GEL RESOLUTION 9 PADEL 1041A334 300 45</t>
  </si>
  <si>
    <t xml:space="preserve"> ASICS GEL RESOLUTION 9 PADEL 1041A334 300 44</t>
  </si>
  <si>
    <t>ZAPATILLAS ASICS GEL RESOLUTION 9 PADEL 1041A334 300 41,5</t>
  </si>
  <si>
    <t>ZAPATILLAS ASICS GEL RESOLUTION 9 PADEL 1041A334 300 42</t>
  </si>
  <si>
    <t>ZAPATILLAS ASICS GEL RESOLUTION 9 PADEL 1041A334 300 43,5</t>
  </si>
  <si>
    <t>ZAPATILLAS ASICS GEL RESOLUTION 9 PADEL 1041A334 300 46</t>
  </si>
  <si>
    <t>ZAPATILLAS ASICS GEL RESOLUTION 9 PADEL 1041A334 300 44,5</t>
  </si>
  <si>
    <t>ZAPATILLAS ASICS GEL RESOLUTION 9 PADEL 1041A334 300 46,5</t>
  </si>
  <si>
    <t>ZAPATILLAS ASICS GEL RESOLUTION 9 CLAY 1041A375 404 42,5</t>
  </si>
  <si>
    <t>ZAPATILLAS ASICS GEL RESOLUTION 9 CLAY 1041A375 404 41,5</t>
  </si>
  <si>
    <t>ZAPATILLAS ASICS GEL RESOLUTION 9 CLAY 1041A375 404 42</t>
  </si>
  <si>
    <t>ZAPATILLAS ASICS GEL RESOLUTION 9 CLAY 1041A375 404 43,5</t>
  </si>
  <si>
    <t>ZAPATILLAS ASICS GEL RESOLUTION 9 CLAY 1041A375 404 45</t>
  </si>
  <si>
    <t>ZAPATILLAS ASICS GEL RESOLUTION 9 CLAY 1041A375 404 44,5</t>
  </si>
  <si>
    <t>ZAPATILLAS ASICS GEL RESOLUTION 9 CLAY 1041A375 404 46,5</t>
  </si>
  <si>
    <t>ZAPATILLAS ASICS GEL RESOLUTION 9 CLAY 1041A375 404 46</t>
  </si>
  <si>
    <t>ZAPATILLAS ASICS GEL DEDICATE 8 CLAY 1041A448 401 42,5</t>
  </si>
  <si>
    <t>ZAPATILLAS ASICS GEL DEDICATE 8 CLAY 1041A448 401 42</t>
  </si>
  <si>
    <t>ZAPATILLAS ASICS GEL DEDICATE 8 CLAY 1041A448 401 44,5</t>
  </si>
  <si>
    <t>ZAPATILLAS ASICS GEL DEDICATE 8 CLAY 1041A448 401 45</t>
  </si>
  <si>
    <t>ZAPATILLAS ASICS GEL DEDICATE 8 CLAY 1041A448 401 44</t>
  </si>
  <si>
    <t>ZAPATILLAS ASICS GEL DEDICATE 8 CLAY 1041A448 401 41,5</t>
  </si>
  <si>
    <t>ZAPATILLAS ASICS GEL DEDICATE 8 CLAY 1041A448 401 43,5</t>
  </si>
  <si>
    <t>ZAPATILLAS ASICS GEL CHALLENGER 14 PADEL 1041A404 403 46</t>
  </si>
  <si>
    <t>ZAPATILLAS ASICS GEL CHALLENGER 14 PADEL 1041A404 403 46,5</t>
  </si>
  <si>
    <t>ZAPATILLAS ASICS GEL CHALLENGER 14 PADEL 1041A404 403 42,5</t>
  </si>
  <si>
    <t>ZAPATILLAS ASICS GEL CHALLENGER 14 PADEL 1041A404 403 41,5</t>
  </si>
  <si>
    <t>ZAPATILLAS ASICS GEL CHALLENGER 14 PADEL 1041A404 403 45</t>
  </si>
  <si>
    <t>ZAPATILLAS ASICS GEL CHALLENGER 14 PADEL 1041A404 403 44,5</t>
  </si>
  <si>
    <t>ZAPATILLAS ASICS GEL CHALLENGER 14 PADEL 1041A404 403 43,5</t>
  </si>
  <si>
    <t>ZAPATILLAS ASICS GEL GAME 9 CLAY/OC 1042A217 106 MUJER  40</t>
  </si>
  <si>
    <t>ZAPATILLAS ASICS GEL GAME 9 CLAY/OC 1042A217 106 MUJER 37,5</t>
  </si>
  <si>
    <t>ZAPATILLAS ASICS GEL GAME 9 CLAY/OC 1042A217 106 MUJER  39,5</t>
  </si>
  <si>
    <t>ZAPATILLAS ASICS GEL GAME 9 CLAY/OC 1042A217 106 MUJER 40,5</t>
  </si>
  <si>
    <t>ZAPATILLAS ASICS GEL DEDICATE 8 CLAY 1042A255 701 MUJER 37</t>
  </si>
  <si>
    <t>ZAPATILLAS ASICS GEL DEDICATE 8 CLAY 1042A255 701 MUJER  39,5</t>
  </si>
  <si>
    <t>ZAPATILLAS ASICS GEL DEDICATE 8 CLAY 1042A255 701 MUJER  38</t>
  </si>
  <si>
    <t>ZAPATILLAS ASICS GEL DEDICATE 8 CLAY 1042A255 701 MUJER 37,5</t>
  </si>
  <si>
    <t>ZAPATILLAS ASICS GEL DEDICATE 8 CLAY 1042A255 701 MUJER 39</t>
  </si>
  <si>
    <t>ZAPATILLAS ASICS GEL DEDICATE 8 CLAY 1042A255 701 MUJER 40,5</t>
  </si>
  <si>
    <t>ZAPATILLAS ASICS SOLUTION SWIFT FF 2 PADEL 1042A264 500 MUJER 39</t>
  </si>
  <si>
    <t>ZAPATILLAS ASICS SOLUTION SWIFT FF 2 PADEL 1042A264 500 MUJER 38</t>
  </si>
  <si>
    <t>ZAPATILLAS ASICS SOLUTION SWIFT FF 2 PADEL 1042A264 500 MUJER 39,5</t>
  </si>
  <si>
    <t>ZAPATILLAS ASICS SOLUTION SWIFT FF 2 PADEL 1042A264 500 MUJER 40</t>
  </si>
  <si>
    <t>ZAPATILLAS ASICS SOLUTION SWIFT FF 2 PADEL 1042A264 500 MUJER 40,5</t>
  </si>
  <si>
    <t>ZAPATILLAS ASICS GEL RESOLUTION 9 PADEL 1042A245 500 MUJER 39,5</t>
  </si>
  <si>
    <t>ZAPATILLAS ASICS GEL RESOLUTION 9 PADEL 1042A245 500 MUJER 38</t>
  </si>
  <si>
    <t>ZAPATILLAS ASICS GEL RESOLUTION 9 PADEL 1042A245 500 MUJER 40,5</t>
  </si>
  <si>
    <t>ZAPATILLAS ASICS GEL RESOLUTION 9 PADEL 1042A245 500 MUJER 37,5</t>
  </si>
  <si>
    <t>ZAPATILLAS ASICS GEL RESOLUTION 9 PADEL 1042A245 500 MUJER 40</t>
  </si>
  <si>
    <t>ZAPATILLAS ASICS GEL RESOLUTION 9 PADEL 1042A245 500 MUJER 37</t>
  </si>
  <si>
    <t>ZAPATILLAS ASICS GEL RESOLUTION 9 PADEL 1042A245 500 MUJER 39</t>
  </si>
  <si>
    <t>ASICS SOLUTION SPEED FF 3 CLAY 1041A437-101 42.5</t>
  </si>
  <si>
    <t>ASICS SOLUTION SPEED FF 3 CLAY 1041A437-101 42</t>
  </si>
  <si>
    <t>ASICS SOLUTION SPEED FF 3 CLAY 1041A437-101 44</t>
  </si>
  <si>
    <t>ASICS SOLUTION SPEED FF 3 CLAY 1041A437-101 41.5</t>
  </si>
  <si>
    <t>ASICS SOLUTION SPEED FF 3 CLAY 1041A437-101 45</t>
  </si>
  <si>
    <t>ASICS SOLUTION SPEED FF 3 CLAY 1041A437-101 46</t>
  </si>
  <si>
    <t>ASICS SOLUTION SPEED FF 3 CLAY 1041A437-101 46.5</t>
  </si>
  <si>
    <t>ASICS SOLUTION SPEED FF 3 CLAY 1041A437-101 43.5</t>
  </si>
  <si>
    <t>ASICS SOLUTION SPEED FF 3 CLAY 1041A437-101 44.5</t>
  </si>
  <si>
    <t>ZAPATILLAS ASICS SOLUTION SWIFT FF CLAY 1042A198-403 MUJER 37</t>
  </si>
  <si>
    <t>ZAPATILLAS ASICS SOLUTION SWIFT FF CLAY 1042A198-403 MUJER 36</t>
  </si>
  <si>
    <t>ZAPATILLAS ASICS GEL-RESOLUTION 9 CLAY 1041A458-100 43.5</t>
  </si>
  <si>
    <t>ZAPATILLAS ASICS GEL-RESOLUTION 9 CLAY 1041A458-100 42.5</t>
  </si>
  <si>
    <t>ZAPATILLAS ASICS GEL-RESOLUTION 9 CLAY 1041A458-100 41.5</t>
  </si>
  <si>
    <t>ZAPATILLAS ASICS GEL-RESOLUTION 9 CLAY 1041A458-100 39,5</t>
  </si>
  <si>
    <t>ZAPATILLAS ASICS GEL-RESOLUTION 9 CLAY 1041A458-100 44.5</t>
  </si>
  <si>
    <t>ZAPATILLAS ASICS GEL-RESOLUTION 9 CLAY 1041A458-100 46.5</t>
  </si>
  <si>
    <t>ZAPATILLAS ASICS GEL-RESOLUTION 9 CLAY 1041A458-100 45</t>
  </si>
  <si>
    <t>ZAPATILLAS ASICS GEL-CHALLENGER 14 PADEL 1041A477-001 41.5</t>
  </si>
  <si>
    <t>ZAPATILLAS ASICS GEL-CHALLENGER 14 PADEL 1041A477-001 42.5</t>
  </si>
  <si>
    <t>ZAPATILLAS ASICS GEL-CHALLENGER 14 PADEL 1041A477-001 45</t>
  </si>
  <si>
    <t>ZAPATILLAS ASICS GEL-CHALLENGER 14 PADEL 1041A477-001 44.5</t>
  </si>
  <si>
    <t>ZAPATILLAS ASICS GEL-CHALLENGER 14 PADEL 1041A477-001 43.5</t>
  </si>
  <si>
    <t>ZAPATILLAS ASICS GEL-RESOLUTION 9 PADEL 1042A245-001 MUJER 39,5</t>
  </si>
  <si>
    <t>ZAPATILLAS ASICS GEL-RESOLUTION 9 PADEL 1041A334-402 40.5</t>
  </si>
  <si>
    <t>ZAPATILLAS ASICS GEL-RESOLUTION 9 PADEL 1041A334-402 42,5</t>
  </si>
  <si>
    <t>ZAPATILLAS ASICS GEL-RESOLUTION 9 PADEL 1041A334-402 44,5</t>
  </si>
  <si>
    <t>ZAPATILLAS ASICS GEL-RESOLUTION 9 PADEL 1041A334-402 41,5</t>
  </si>
  <si>
    <t>ZAPATILLAS ASICS GEL-RESOLUTION 9 PADEL 1041A334-402 43,5</t>
  </si>
  <si>
    <t>ZAPATILLAS ASICS GEL-RESOLUTION 9 PADEL 1041A334-402 42</t>
  </si>
  <si>
    <t>ZAPATILLAS ASICS GEL-RESOLUTION 9 PADEL 1041A334-402 45</t>
  </si>
  <si>
    <t>PANTALON CORTO ASICS MEN COURT 7IN M</t>
  </si>
  <si>
    <t>PANTALON CORTO ASICS COURT 7IN S</t>
  </si>
  <si>
    <t>PANTALON CORTO ASICS COURT 7IN XL</t>
  </si>
  <si>
    <t>CAMISETA ASICS MEN COURT SS TOP 2041A255-802 M</t>
  </si>
  <si>
    <t>CAMISETA ASICS MEN COURT SS TOP 2041A255-802 S</t>
  </si>
  <si>
    <t>CAMISETA ASICS MEN COURT SS TOP 2041A255-802 L</t>
  </si>
  <si>
    <t>CAMISETA ASICS MEN COURT SS TOP L</t>
  </si>
  <si>
    <t>CAMISETA ASICS MEN COURT SS TOP S</t>
  </si>
  <si>
    <t>CAMISETA ASICS MEN COURT SS TOP  M</t>
  </si>
  <si>
    <t>ZAPATILLAS ASICS GEL-GAME 9 GS CLAY/OC 1044A057-403 JUNIOR 39</t>
  </si>
  <si>
    <t>ZAPATILLAS ASICS GEL-GAME 9 GS CLAY/OC 1044A057-403 JUNIOR 38</t>
  </si>
  <si>
    <t>ZAPATILLAS ASICS GEL-GAME 9 GS CLAY/OC 1044A057-403 JUNIOR 37</t>
  </si>
  <si>
    <t>ASICS GEL-DEDICATE 8 PADEL 1041A414-402 44.5</t>
  </si>
  <si>
    <t>ASICS GEL-DEDICATE 8 PADEL 1041A414-402 42.5</t>
  </si>
  <si>
    <t>ASICS GEL-DEDICATE 8 PADEL 1041A414-402 42</t>
  </si>
  <si>
    <t>ASICS GEL-DEDICATE 8 PADEL 1041A414-402 46.5</t>
  </si>
  <si>
    <t>ZAPATILLAS ASICS GEL-DEDICATE 8 PADEL 1041A414-402 45</t>
  </si>
  <si>
    <t>ASICS GEL-DEDICATE 8 PADEL 1041A414-402 47</t>
  </si>
  <si>
    <t>ASICS GEL-DEDICATE 8 PADEL 1041A414-402 43.5</t>
  </si>
  <si>
    <t>ZAPATILLAS ASICS GEL-RESOLUTION 9 GS CLAY 1044A068-103 JUNIOR  37</t>
  </si>
  <si>
    <t>ZAPATILLAS ASICS GEL-RESOLUTION 9 GS CLAY 1044A068-103 JUNIOR 38</t>
  </si>
  <si>
    <t>ASICS GEL-RESOLUTION 9 GS CLAY NIÃ‘O 1044A068-301  39</t>
  </si>
  <si>
    <t>ASICS GEL-RESOLUTION 9 GS CLAY NIÃ‘O 1044A068-301 38</t>
  </si>
  <si>
    <t>ASICS GEL-RESOLUTION 9 GS CLAY NIÃ‘O 1044A068-301 37</t>
  </si>
  <si>
    <t>ZAPATILLAS ASICS GEL-CHALLENGER 14 PADEL 1041A404-402 46.5</t>
  </si>
  <si>
    <t>ZAPATILLAS ASICS GEL-CHALLENGER 14 PADEL 1041A404-402 44.5</t>
  </si>
  <si>
    <t>ZAPATILLAS ASICS GEL-CHALLENGER 14 PADEL 1041A404-402 42.5</t>
  </si>
  <si>
    <t>ZAPATILLAS ASICS GEL-CHALLENGER 14 PADEL 1041A404-402 43.5</t>
  </si>
  <si>
    <t>ZAPATILLAS ASICS GEL-CHALLENGER 14 PADEL 1041A404-402 45</t>
  </si>
  <si>
    <t>ASICS SOLUTION SPEED FF 3 CLAY 1041A437-800 44.5</t>
  </si>
  <si>
    <t>ASICS SOLUTION SPEED FF 3 CLAY 1041A437-800 43.5</t>
  </si>
  <si>
    <t>ASICS SOLUTION SPEED FF 3 CLAY 1041A437-800 42</t>
  </si>
  <si>
    <t>ASICS SOLUTION SPEED FF 3 CLAY 1041A437-800 45</t>
  </si>
  <si>
    <t>ASICS SOLUTION SPEED FF 3 CLAY 1041A437-800 46</t>
  </si>
  <si>
    <t>ASICS SOLUTION SPEED FF 3 CLAY 1041A437-800 42.5</t>
  </si>
  <si>
    <t>ASICS SOLUTION SPEED FF 3 1041A438-800 40.5</t>
  </si>
  <si>
    <t>ASICS COURT FF 3 CLAY 1041A371-401 44.5</t>
  </si>
  <si>
    <t>ASICS COURT FF 3 CLAY 1041A371-401 43.5</t>
  </si>
  <si>
    <t>ZAPATILLAS ASICS GEL-RESOLUTION 9 CLAY 1041A458 001 44</t>
  </si>
  <si>
    <t>4550456885844_</t>
  </si>
  <si>
    <t>ZAPATILLAS ASICS GEL-RESOLUTION 9 CLAY</t>
  </si>
  <si>
    <t>ZAPATILLAS ASICS GEL-RESOLUTION 9 CLAY 1041A458 001 42</t>
  </si>
  <si>
    <t>4550456885813_</t>
  </si>
  <si>
    <t>4550456885806_</t>
  </si>
  <si>
    <t>ZAPATILLAS ASICS GEL-RESOLUTION 9 CLAY 1041A458 001 45</t>
  </si>
  <si>
    <t>4550456885752_</t>
  </si>
  <si>
    <t>4550456885738_</t>
  </si>
  <si>
    <t>4550456885707_</t>
  </si>
  <si>
    <t>ZAPATILLAS ASICS GEL-CHALLENGER 14 CLAY BLANCO NEGRO 1041A449 1 45</t>
  </si>
  <si>
    <t>ZAPATILLAS ASICS GEL-CHALLENGER 14 CLAY BLANCO NEGRO 1041A449 1 44,5</t>
  </si>
  <si>
    <t>4550456849662_</t>
  </si>
  <si>
    <t>ZAPATILLAS ASICS COURT FF 3 NOVAK CLAY</t>
  </si>
  <si>
    <t>4550456849655_</t>
  </si>
  <si>
    <t>4550456849600_</t>
  </si>
  <si>
    <t>4550456849563_</t>
  </si>
  <si>
    <t>ZAPATILLAS ASICS GEL-RESOLUTION 9 PADEL 1041A334 401 40.5</t>
  </si>
  <si>
    <t>ZAPATILLAS ASICS GEL-RESOLUTION 9 PADEL 1041A334 401 42.5</t>
  </si>
  <si>
    <t>ZAPATILLAS ASICS GEL-RESOLUTION 9 PADEL 1041A334 401 45</t>
  </si>
  <si>
    <t>ZAPATILLAS ASICS GEL-RESOLUTION 9 PADEL 1041A334 401 41.5</t>
  </si>
  <si>
    <t>ZAPATILLAS ASICS GEL-RESOLUTION 9 PADEL 1041A334 401 43.5</t>
  </si>
  <si>
    <t>ZAPATILLAS ASICS GEL-RESOLUTION 9 PADEL 1041A334 401 44.5</t>
  </si>
  <si>
    <t xml:space="preserve">ZAPATILLAS ASICS SOLUTION SPEED FF 2 CLAY 1042A134 405 MUJER 39 </t>
  </si>
  <si>
    <t>ZAPATILLAS ASICS SOLUTION SPEED FF 2 CLAY 1042A134 405 MUJER 38</t>
  </si>
  <si>
    <t>ZAPATILLAS ASICS SOLUTION SPEED FF 2 CLAY 1042A134 405 MUJER 39,5</t>
  </si>
  <si>
    <t>ZAPATILLAS ASICS SOLUTION SPEED FF 2 CLAY 1042A134 405 MUJER 40</t>
  </si>
  <si>
    <t>ZAPATILLAS ASICS SOLUTION SPEED FF 2 CLAY 1042A134 405 MUJER 37,5</t>
  </si>
  <si>
    <t>ZAPATILLAS ASICS SOLUTION SPEED FF 2 CLAY 1042A134 405 MUJER 40,5</t>
  </si>
  <si>
    <t>ASICS SOLUTION SPEED FF 2 CLAY BLANCO 1041A187 102 41.5</t>
  </si>
  <si>
    <t>ASICS SOLUTION SPEED FF 2 CLAY BLANCO 1041A187 102 43.5</t>
  </si>
  <si>
    <t>ASICS SOLUTION SPEED FF 2 CLAY BLANCO 1041A187 102 44.5</t>
  </si>
  <si>
    <t>4550456669741_</t>
  </si>
  <si>
    <t>ASICS SOLUTION SPEED FF 2 CLAY BLANCO</t>
  </si>
  <si>
    <t>ASICS SOLUTION SPEED FF 2 CLAY BLANCO 1041A187 102 42.5</t>
  </si>
  <si>
    <t>ZAPATILLAS ASICS GEL-CHALLENGER 14 PADEL 1042A232 100 MUJER 40</t>
  </si>
  <si>
    <t>ZAPATILLAS ASICS GEL-CHALLENGER 14 PADEL 1042A232 100 MUJER 38</t>
  </si>
  <si>
    <t>ZAPATILLAS ASICS GEL-CHALLENGER 14 PADEL 1042A232 100 MUJER 37</t>
  </si>
  <si>
    <t>ZAPATILLAS ASICS GEL-CHALLENGER 14 PADEL 1042A232 100 MUJER 39</t>
  </si>
  <si>
    <t>ZAPATILLAS ASICS GEL-CHALLENGER 14 PADEL 1042A232 100 MUJER 37,5</t>
  </si>
  <si>
    <t>ZAPATILLAS ASICS GEL-CHALLENGER 14 PADEL 1042A232 100 MUJER 36</t>
  </si>
  <si>
    <t>ZAPATILLAS ASICS GEL-RESOLUTION 9 PADEL 1042A245 400 MUJER 39.5</t>
  </si>
  <si>
    <t>ZAPATILLAS ASICS GEL-RESOLUTION 9 PADEL 1042A245 400 MUJER 37</t>
  </si>
  <si>
    <t>ZAPATILLAS ASICS GEL-RESOLUTION 9 PADEL 1042A245 400 MUJER 40.5</t>
  </si>
  <si>
    <t>ZAPATILLAS ASICS GEL-RESOLUTION 9 PADEL 1042A245 400 MUJER 38</t>
  </si>
  <si>
    <t>ZAPATILLAS ASICS GEL-RESOLUTION 9 PADEL 1042A245 400 MUJER 37.5</t>
  </si>
  <si>
    <t>4550456667419_</t>
  </si>
  <si>
    <t>ZAPATILLAS ASICS SOLUTION SPEED FF 2</t>
  </si>
  <si>
    <t>ZAPATILLAS ASICS SOLUTION SWIFT FF PADEL 1041A314 101 44,5</t>
  </si>
  <si>
    <t>ZAPATILLAS ASICS SOLUTION SWIFT FF PADEL 1041A314 101 46,5</t>
  </si>
  <si>
    <t>ZAPATILLAS ASICS SOLUTION SWIFT FF PADEL 1041A314 101 40,5</t>
  </si>
  <si>
    <t>ZAPATILLAS ASICS SOLUTION SWIFT FF PADEL 1041A314 101 42,5</t>
  </si>
  <si>
    <t>ZAPATILLAS ASICS SOLUTION SWIFT FF PADEL 1041A314 101 43,5</t>
  </si>
  <si>
    <t>ZAPATILLAS ASICS SOLUTION SWIFT FF PADEL 1041A314 101 41,5</t>
  </si>
  <si>
    <t>ZAPATILLAS ASICS GEL-CHALLENGER 14 1042A231 400 MUJER 37</t>
  </si>
  <si>
    <t>4550456663121_</t>
  </si>
  <si>
    <t>ZAPATILLAS ASICS GEL-RESOLUTION 9 CLAY 1041A37544.5</t>
  </si>
  <si>
    <t>4550456663053_</t>
  </si>
  <si>
    <t>ZAPATILLAS ASICS GEL-RESOLUTION 9 CLAY 1041A375 43.5</t>
  </si>
  <si>
    <t>ZAPATILLAS ASICS GEL-RESOLUTION 9 CLAY 1041A375 101 45</t>
  </si>
  <si>
    <t>4550456663022_</t>
  </si>
  <si>
    <t>ZAPATILLAS ASICS GEL-RESOLUTION 9 CLAY 1041A375 42.5</t>
  </si>
  <si>
    <t>ZAPATILLAS ASICS GEL-CHALLENGER 14 CLAY 1041A449 400  44.5</t>
  </si>
  <si>
    <t>ZAPATILLAS ASICS GEL-CHALLENGER 14 CLAY 1041A449 400 41.5</t>
  </si>
  <si>
    <t>ZAPATILLAS ASICS GEL-CHALLENGER 14 CLAY 1041A449 400  43.5</t>
  </si>
  <si>
    <t>4550456351578_</t>
  </si>
  <si>
    <t>SUJETADOR ASICS CORE LOGO BRAMUJERS</t>
  </si>
  <si>
    <t>4550456351561_</t>
  </si>
  <si>
    <t>SUJETADOR ASICS CORE LOGO BRA 2012C573-400 MUJERM</t>
  </si>
  <si>
    <t>4550456351547_</t>
  </si>
  <si>
    <t>SUJETADOR ASICS CORE LOGO BRA 2012C573-400 MUJER L</t>
  </si>
  <si>
    <t>4550456345782_</t>
  </si>
  <si>
    <t>CAMISETA ASICS CORE SS TOP XL</t>
  </si>
  <si>
    <t>4550456345751_</t>
  </si>
  <si>
    <t>CAMISETA ASICS CORE SS TOP 2011C341-021 L</t>
  </si>
  <si>
    <t>4550456345744_</t>
  </si>
  <si>
    <t>CAMISETA ASICS CORE SS TOPM</t>
  </si>
  <si>
    <t>4550456336834_</t>
  </si>
  <si>
    <t>ASICS BIG LOGO TEE T-SHIRTL</t>
  </si>
  <si>
    <t>4550456336827_</t>
  </si>
  <si>
    <t>ASICS BIG LOGO TEE T-SHIRTXL</t>
  </si>
  <si>
    <t>4550456336810_</t>
  </si>
  <si>
    <t>ASICS BIG LOGO TEE T-SHIRTM</t>
  </si>
  <si>
    <t>4550456333130_</t>
  </si>
  <si>
    <t>SUJETADOR ASICS CORE LOGO BRA 2012C573-300 MUJERL</t>
  </si>
  <si>
    <t>4550456333123_</t>
  </si>
  <si>
    <t>SUJETADOR ASICS CORE LOGO BRA MUJER XL</t>
  </si>
  <si>
    <t>4550456333116_</t>
  </si>
  <si>
    <t>SUJETADOR ASICS CORE LOGO BRA MUJERS</t>
  </si>
  <si>
    <t>4550456333109_</t>
  </si>
  <si>
    <t>SUJETADOR ASICS CORE LOGO BRA 2012C573-300 MUJERM</t>
  </si>
  <si>
    <t>4550456175020_</t>
  </si>
  <si>
    <t>WOMENS WHITE ASICS GEL-RESOLUTION 9 40</t>
  </si>
  <si>
    <t>4550456175013_</t>
  </si>
  <si>
    <t>WOMENS WHITE ASICS GEL-RESOLUTION 9 39</t>
  </si>
  <si>
    <t>4550456174993_</t>
  </si>
  <si>
    <t>WOMENS WHITE ASICS GEL-RESOLUTION 9 37</t>
  </si>
  <si>
    <t>4550456174962_</t>
  </si>
  <si>
    <t>WOMENS WHITE ASICS GEL-RESOLUTION 9 38</t>
  </si>
  <si>
    <t>4550456174894_</t>
  </si>
  <si>
    <t>ASICS GEL-RESOLUTION 9 BLANCO MUJER</t>
  </si>
  <si>
    <t>4550456159761_</t>
  </si>
  <si>
    <t>ASICS COURT SKORT WOMAN SKIRT S</t>
  </si>
  <si>
    <t>4550456159754_</t>
  </si>
  <si>
    <t>ASICS COURT SKORT WOMAN SKIRT L</t>
  </si>
  <si>
    <t>4550456159747_</t>
  </si>
  <si>
    <t>ASICSCOURT SKORT WOMAN SKIRTM</t>
  </si>
  <si>
    <t>4550456158573_</t>
  </si>
  <si>
    <t>SHORT ASICS MEN MATCH 7IN L</t>
  </si>
  <si>
    <t>4550456158566_</t>
  </si>
  <si>
    <t>SHORT ASICS MEN MATCH 7IN 20 M</t>
  </si>
  <si>
    <t>4550456158542_</t>
  </si>
  <si>
    <t>SHORT ASICS MEN MATCH 7IN XL</t>
  </si>
  <si>
    <t>4550456158320_</t>
  </si>
  <si>
    <t>4550456158313_</t>
  </si>
  <si>
    <t>ASICS COURT SKORT WOMAN SKIRT M</t>
  </si>
  <si>
    <t>4550456158306_</t>
  </si>
  <si>
    <t>4550456158290_</t>
  </si>
  <si>
    <t>ASICS COURT SKORT WOMAN SKIRT XS</t>
  </si>
  <si>
    <t>4550456157408_</t>
  </si>
  <si>
    <t>SHORT ASICS MEN COURT 9IN L</t>
  </si>
  <si>
    <t>4550456157392_</t>
  </si>
  <si>
    <t>SHORT ASICS MEN COURT 9IN M</t>
  </si>
  <si>
    <t>4550456157378_</t>
  </si>
  <si>
    <t>SHORT ASICS MEN COURT 9IN XL</t>
  </si>
  <si>
    <t>SHORT ASICS MEN COURT 7IN 2041A260-100 L</t>
  </si>
  <si>
    <t>SHORT ASICS MEN COURT 7IN 2041A260-100 M</t>
  </si>
  <si>
    <t>SHORT ASICS MEN COURT 7IN 2041A260-100 S</t>
  </si>
  <si>
    <t>SHORT ASICS MEN COURT 7IN 2041A260-100 XL</t>
  </si>
  <si>
    <t>4550456156418_</t>
  </si>
  <si>
    <t>ASICS COURT TANK WOMEN'S S</t>
  </si>
  <si>
    <t>ASICS COURT TANK WOMEN'S T-SHIRT M</t>
  </si>
  <si>
    <t>4550456156371__</t>
  </si>
  <si>
    <t>ASICS COURT TANK WOMEN'S L</t>
  </si>
  <si>
    <t>4550456155923_</t>
  </si>
  <si>
    <t>ASICS COURT WOMEN'S DRESSS</t>
  </si>
  <si>
    <t>4550456155916_</t>
  </si>
  <si>
    <t>ASICS COURT WOMEN'S DRESSL</t>
  </si>
  <si>
    <t xml:space="preserve"> ASICS COURT WOMEN'S DRESSM</t>
  </si>
  <si>
    <t>4550456155886_</t>
  </si>
  <si>
    <t>ASICS COURT WOMEN'S DRESSXS</t>
  </si>
  <si>
    <t>4550456155664_</t>
  </si>
  <si>
    <t xml:space="preserve"> ASICS COURT TANK WOMEN'S XS</t>
  </si>
  <si>
    <t>4550456155657_</t>
  </si>
  <si>
    <t>ASICS COURT TANK WOMEN's L</t>
  </si>
  <si>
    <t>4550456155633_</t>
  </si>
  <si>
    <t xml:space="preserve"> ASICS COURT TANK WOMEN'SXL</t>
  </si>
  <si>
    <t>4550456155459_</t>
  </si>
  <si>
    <t>SHORT ASICS MEN COURT9IN M</t>
  </si>
  <si>
    <t>4550456155435_</t>
  </si>
  <si>
    <t>SHORT ASICS MEN COURT 9INXL</t>
  </si>
  <si>
    <t>4550456155404_</t>
  </si>
  <si>
    <t>SHORT ASICS MEN COURT9IN L</t>
  </si>
  <si>
    <t>ASICS GEL-GAME 9 PADEL MARINO CELESTE 1041A336 400 46,5</t>
  </si>
  <si>
    <t>4550456136960_</t>
  </si>
  <si>
    <t>ASICS GEL-GAME 9 PADEL BLANCO NEGRO</t>
  </si>
  <si>
    <t>4550456136939_</t>
  </si>
  <si>
    <t>4550456136861_</t>
  </si>
  <si>
    <t>4550456136854_</t>
  </si>
  <si>
    <t>4550456135994_</t>
  </si>
  <si>
    <t>WOMENS WHITE AND PINK ASICS GEL-GAME 9 PADEL37</t>
  </si>
  <si>
    <t>4550456135987_</t>
  </si>
  <si>
    <t>WOMENS WHITE AND PINK ASICS GEL-GAME 9 PADEL38</t>
  </si>
  <si>
    <t>4550456135949_</t>
  </si>
  <si>
    <t>WOMENS WHITE AND PINK ASICS GEL-GAME 9 PADEL39</t>
  </si>
  <si>
    <t>4550456135925_</t>
  </si>
  <si>
    <t>WOMENS WHITE AND PINK ASICS GEL-GAME 9 PADEL40</t>
  </si>
  <si>
    <t>ASICS GEL-GAME 9 BLANCO AZUL 1041A337 101 42</t>
  </si>
  <si>
    <t>ASICS GEL-GAME 9 BLANCO AZUL 1041A337 101 44</t>
  </si>
  <si>
    <t>ASICS GEL-GAME 9 BLANCO AZUL 1041A337 101 41,5</t>
  </si>
  <si>
    <t>ASICS GEL-GAME 9 BLANCO AZUL 1041A337 101 45</t>
  </si>
  <si>
    <t>ASICS GEL-GAME 9 BLANCO AZUL 1041A337 101 40,5</t>
  </si>
  <si>
    <t>ASICS GEL-GAME 9 CLAY/OC 1041A358 100  46.5</t>
  </si>
  <si>
    <t>ASICS GEL-GAME 9 CLAY/OC 1041A358 100  44.5</t>
  </si>
  <si>
    <t>ASICS GEL-GAME 9 CLAY/OC 1041A358 100 46</t>
  </si>
  <si>
    <t>ASICS GEL-GAME 9 CLAY/OC 1041A358 100 43.5</t>
  </si>
  <si>
    <t>ASICS GEL-GAME 9 CLAY/OC 1041A358 100 42.5</t>
  </si>
  <si>
    <t>ASICS GEL-GAME 9 CLAY/OC 1041A358 100  45</t>
  </si>
  <si>
    <t>ASICS GEL-GAME 9 CLAY/OC 1041A358 100  41.5</t>
  </si>
  <si>
    <t>ASICS GEL-GAME 9 CLAY BLANCO LIMA 1041A358 101 47</t>
  </si>
  <si>
    <t>ASICS GEL-GAME 9 CLAY BLANCO LIMA 1041A358 101  44</t>
  </si>
  <si>
    <t>ASICS GEL-GAME 9 CLAY BLANCO LIMA 1041A358 101 46</t>
  </si>
  <si>
    <t>ASICS GEL-GAME 9 CLAY BLANCO LIMA 1041A358 101  43.5</t>
  </si>
  <si>
    <t>ASICS GEL-GAME 9 CLAY BLANCO LIMA 1041A358 101  45</t>
  </si>
  <si>
    <t>ASICS GEL-GAME 9 CLAY BLANCO LIMA 1041A358 101   44.5</t>
  </si>
  <si>
    <t>ASICS GEL-GAME 9 CLAY BLANCO LIMA 1041A358 101 46.5</t>
  </si>
  <si>
    <t>4550456119932_</t>
  </si>
  <si>
    <t>ASICS GEL-RESOLUTION 9 PADEL BLUE INDIGO 42.5</t>
  </si>
  <si>
    <t>4550456119888_</t>
  </si>
  <si>
    <t>ASICS GEL-RESOLUTION 9 PADEL BLUE INDIGO 43.5</t>
  </si>
  <si>
    <t>4550456119826_</t>
  </si>
  <si>
    <t>ASICS GEL-RESOLUTION 9 PADEL BLUE INDIGO 41.5</t>
  </si>
  <si>
    <t>4550456119802_</t>
  </si>
  <si>
    <t>ASICS GEL-RESOLUTION 9 PADEL BLUE INDIGO 44.5</t>
  </si>
  <si>
    <t>ASICS COURT FF 3 CLAY AZUL VERDE 1041A371 400  44</t>
  </si>
  <si>
    <t>ASICS COURT FF 3 CLAY AZUL VERDE 1041A371 400 42</t>
  </si>
  <si>
    <t>ASICS COURT FF 3 CLAY AZUL VERDE 1041A371 400  43.5</t>
  </si>
  <si>
    <t>ASICS COURT FF 3 CLAY AZUL VERDE 1041A371 400  44.5</t>
  </si>
  <si>
    <t>ASICS GEL-RESOLUTION 9 CLAY BLANCO NEGRO 1041A375 100 43,5</t>
  </si>
  <si>
    <t>ASICS GEL-RESOLUTION 9 CLAY BLANCO NEGRO 1041A375 100 48</t>
  </si>
  <si>
    <t>ASICS GEL-RESOLUTION 9 CLAY BLANCO NEGRO 1041A375 100 41,5</t>
  </si>
  <si>
    <t>ASICS GEL-RESOLUTION 9 CLAY BLANCO NEGRO 1041A375 100 45</t>
  </si>
  <si>
    <t>ASICS GEL-RESOLUTION 9 CLAY BLANCO NEGRO 1041A375 100 42</t>
  </si>
  <si>
    <t>ASICS GEL-RESOLUTION 9 CLAY BLANCO NEGRO 1041A375 100 44,5</t>
  </si>
  <si>
    <t>ASICS GEL-RESOLUTION 9 CLAY BLANCO NEGRO 1041A375 100 42,5</t>
  </si>
  <si>
    <t>ASICS GEL-RESOLUTION 9 CLAY BLANCO NEGRO 1041A375 100 44</t>
  </si>
  <si>
    <t>4550456112094_</t>
  </si>
  <si>
    <t>ZAPATILLAS ASICS GEL-RESOLUTION 9 CLAY 1041A38544.5</t>
  </si>
  <si>
    <t>4550456112032_</t>
  </si>
  <si>
    <t>ZAPATILLAS ASICS GEL-RESOLUTION 9 CLAY 1041A38542.5</t>
  </si>
  <si>
    <t>4550456111998_</t>
  </si>
  <si>
    <t>ZAPATILLAS ASICS GEL-RESOLUTION 9 CLAY 1041A38543.5</t>
  </si>
  <si>
    <t>4550456108516_</t>
  </si>
  <si>
    <t>ASICS GEL RESOLUTION 9 CLAY WHITE PURPLE WOMAN 40</t>
  </si>
  <si>
    <t>4550456108493_</t>
  </si>
  <si>
    <t>ASICS GEL RESOLUTION 9 CLAY WHITE PURPLE WOMAN 38</t>
  </si>
  <si>
    <t>4550456108417_</t>
  </si>
  <si>
    <t>ASICS GEL RESOLUTION 9 CLAY WHITE PURPLE WOMAN 39</t>
  </si>
  <si>
    <t>ZAPATILLAS ASICS SOLUTION SPEED FF 2 CLAY 1041A390 960 44.5</t>
  </si>
  <si>
    <t>4550456103931_</t>
  </si>
  <si>
    <t>ASICS SOLUTION SPEED FF 2 CLAY AZUL VERDE</t>
  </si>
  <si>
    <t>4550456103887_</t>
  </si>
  <si>
    <t>4550456103818_</t>
  </si>
  <si>
    <t>4550456103795_</t>
  </si>
  <si>
    <t>4550456103429_</t>
  </si>
  <si>
    <t>ASICS SOLUTION SWIFT FF CLAY AZUL LIMA</t>
  </si>
  <si>
    <t>4550456103337_</t>
  </si>
  <si>
    <t>4550456103313_</t>
  </si>
  <si>
    <t>4550455733696_</t>
  </si>
  <si>
    <t>ASICS SOLUTION SWIFT FF PADEL BLANCO NEGRO</t>
  </si>
  <si>
    <t>4550455733658_</t>
  </si>
  <si>
    <t>4550455733610_</t>
  </si>
  <si>
    <t>4550455733603_</t>
  </si>
  <si>
    <t>ASICS SOLUTION SWIFT FF PADEL BLANCO NEGRO 1041A314 100 45</t>
  </si>
  <si>
    <t>4550455733542_</t>
  </si>
  <si>
    <t>ASICS SOLUTION SWIFT FF PADEL BLANCO PLATA MUJER 1042A204 100 37,5</t>
  </si>
  <si>
    <t>ASICS SOLUTION SWIFT FF PADEL BLANCO PLATA MUJER 1042A204 100 40,5</t>
  </si>
  <si>
    <t>ASICS SOLUTION SWIFT FF PADEL BLANCO PLATA MUJER 1042A204 100 39,5</t>
  </si>
  <si>
    <t>ASICS SOLUTION SWIFT FF CLAY 1041A299 102 48</t>
  </si>
  <si>
    <t>4550455658531_</t>
  </si>
  <si>
    <t>ASICS GEL CHALLENGER 13 BLUE WHITE WOMAN 40</t>
  </si>
  <si>
    <t>4550455658487_</t>
  </si>
  <si>
    <t>ASICS GEL CHALLENGER 13 BLUE WHITE WOMAN 38</t>
  </si>
  <si>
    <t>4550455658425_</t>
  </si>
  <si>
    <t>ASICS GEL CHALLENGER 13 BLUE WHITE WOMAN 39</t>
  </si>
  <si>
    <t>4550455628190_</t>
  </si>
  <si>
    <t>ASICS SOLUTION SWIFT FF CLAY BLANCO AZUL MUJER</t>
  </si>
  <si>
    <t>4550455481313_</t>
  </si>
  <si>
    <t xml:space="preserve">ASICS PINK WRISTBAND </t>
  </si>
  <si>
    <t>4550455148964_</t>
  </si>
  <si>
    <t>ASICS 6PPK ANKLE WHITE 43/46</t>
  </si>
  <si>
    <t>4550455148957_</t>
  </si>
  <si>
    <t>ASICS 6PPK 35/38</t>
  </si>
  <si>
    <t>4550455148926_</t>
  </si>
  <si>
    <t>ASICS 6PPK ANKLE 39/42</t>
  </si>
  <si>
    <t>CALCETINES ASICS 6PPK ANKLE NEGRO</t>
  </si>
  <si>
    <t>ZAPATILLAS ASICS GEL-CHALLENGER 13 CLAY AZUL BLANCO 1041A221 500 47</t>
  </si>
  <si>
    <t>4550455031396_</t>
  </si>
  <si>
    <t>ZAPATILLAS ASICS PADEL LIMA FF MULTICOLOR</t>
  </si>
  <si>
    <t>CHAQUETA ASICS CORE JACKET XL</t>
  </si>
  <si>
    <t>CHAQUETA ASICS CORE JACKET S</t>
  </si>
  <si>
    <t>CHAQUETA ASICS CORE JACKET 2012C341 001 MUJER XL</t>
  </si>
  <si>
    <t>CHAQUETA ASICS CORE JACKET 2012C341 001 MUJER L</t>
  </si>
  <si>
    <t>CHAQUETA ASICS CORE JACKET 2012C341 001 MUJER M</t>
  </si>
  <si>
    <t>CHAQUETA ASICS CORE JACKET 2012C341 001 MUJER S</t>
  </si>
  <si>
    <t>CHAQUETA ASICS CORE JACKET L</t>
  </si>
  <si>
    <t>SUDADERA ASICS FZ HOODIE 2031A983 M</t>
  </si>
  <si>
    <t>SUDADERA ASICS FZ HOODIE 2031A983 XL</t>
  </si>
  <si>
    <t>SUDADERA ASICS FZ HOODIE 2031A983 XXL</t>
  </si>
  <si>
    <t>SUDADERA ASICS FZ HOODIE 2031A983 L</t>
  </si>
  <si>
    <t>SUDADERA ASICS FZ HOODIE 2031A983 S</t>
  </si>
  <si>
    <t>ASICS SOLUTION SPEED FF 2 CLAY BLANCO NEGRO MUJER 1042A134 100 42,5</t>
  </si>
  <si>
    <t>ASICS SOLUTION SPEED FF 2 CLAY BLANCO NEGRO MUJER 1042A134 100 39,5</t>
  </si>
  <si>
    <t>ASICS SOLUTION SPEED FF 2 CLAY BLANCO NEGRO MUJER 1042A134 100 40,5</t>
  </si>
  <si>
    <t>ASICS SOLUTION SPEED FF 2 CLAY BLANCO NEGRO MUJER 1042A134 100 39</t>
  </si>
  <si>
    <t xml:space="preserve">ASICS SOLUTION SPEED FF 2 CLAY BLANCO NEGRO MUJER 1042A134 100 40 </t>
  </si>
  <si>
    <t>ASICS SOLUTION SPEED FF 2 CLAY BLANCO NEGRO MUJER 1042A134 100 41,5</t>
  </si>
  <si>
    <t>ASICS SOLUTION SPEED FF 2 CLAY BLANCO NEGRO MUJER 1042A134 100 37,5</t>
  </si>
  <si>
    <t>ASICS SOLUTION SPEED FF 2 CLAY BLANCO NEGRO MUJER 1042A134 100 38</t>
  </si>
  <si>
    <t>BOLSA DE DEPORTE ADIDAS TIRO LEAGUE</t>
  </si>
  <si>
    <t xml:space="preserve"> PACK50 UDS. LLAVERO PADEL NUESTRO  </t>
  </si>
  <si>
    <t>PELOTAS TECNIFIBRE PADEL TEAM</t>
  </si>
  <si>
    <t>31259-P_</t>
  </si>
  <si>
    <t>PROTECTOR NOX STINGER 10TH ANIVERSARIO</t>
  </si>
  <si>
    <t>30024-P</t>
  </si>
  <si>
    <t>WILSON PADEL X3 BALL</t>
  </si>
  <si>
    <t xml:space="preserve"> PALETERO HEAD CÃ–ELLO TOUR PADEL 261985  </t>
  </si>
  <si>
    <t>HEAD EDGE II BLAC</t>
  </si>
  <si>
    <t>HEAD EDGE II WHIT</t>
  </si>
  <si>
    <t>PALA HEAD EXTREME EDGE WHITE 228625 SMU</t>
  </si>
  <si>
    <t>PALA HEAD EXTREME EDGE BLACK228615SM</t>
  </si>
  <si>
    <t xml:space="preserve"> PALETERO HEAD TOUR 261336 GEOR  </t>
  </si>
  <si>
    <t>PALA HEAD COELLO MOTION 2025 225025</t>
  </si>
  <si>
    <t>PALA HEAD COELLO PRO 2025 225015</t>
  </si>
  <si>
    <t>CAMISETA NEW BALANCE ACCELERATE MT23222 DKJ XL</t>
  </si>
  <si>
    <t>CAMISETA NEW BALANCE ACCELERATE MT23222 DKJ S</t>
  </si>
  <si>
    <t>CAMISETA NEW BALANCE ACCELERATE MT23222 DKJ M</t>
  </si>
  <si>
    <t>CAMISETA NEW BALANCE ACCELERATE MT23222 DKJ L</t>
  </si>
  <si>
    <t>CAMISETA NEW BALANCE ACCELERATE MT23223 GR XL</t>
  </si>
  <si>
    <t>CAMISETA NEW BALANCE ACCELERATE MT23223 GR S</t>
  </si>
  <si>
    <t>CAMISETA NEW BALANCE ACCELERATE MT23223 GR M</t>
  </si>
  <si>
    <t>CAMISETA NEW BALANCE ACCELERATE MT23223 GR L</t>
  </si>
  <si>
    <t>196483102543_</t>
  </si>
  <si>
    <t>ZAPATILLAS KSWISS ULTRASHOT TEAM</t>
  </si>
  <si>
    <t>196483102451_</t>
  </si>
  <si>
    <t>196483102437_</t>
  </si>
  <si>
    <t>196483102420_</t>
  </si>
  <si>
    <t>196432973811_</t>
  </si>
  <si>
    <t>NEW BALANCE MCY996F5 45</t>
  </si>
  <si>
    <t>196432973798_</t>
  </si>
  <si>
    <t>NEW BALANCE MCY996F544</t>
  </si>
  <si>
    <t>196432973781_</t>
  </si>
  <si>
    <t>NEW BALANCE MCY996F5 43</t>
  </si>
  <si>
    <t>196432973767_</t>
  </si>
  <si>
    <t>NEW BALANCE MCY996F5 42</t>
  </si>
  <si>
    <t>196432942084_</t>
  </si>
  <si>
    <t>WOMENS WHITE AND BLUE NEW BALANCE 40</t>
  </si>
  <si>
    <t>196432942077_</t>
  </si>
  <si>
    <t>WOMENS WHITE AND BLUE NEW BALANCE 39</t>
  </si>
  <si>
    <t>196432942060_</t>
  </si>
  <si>
    <t>WOMENS WHITE AND BLUE NEW BALANCE 38</t>
  </si>
  <si>
    <t>196432942046_</t>
  </si>
  <si>
    <t>WOMENS WHITE AND BLUE NEW BALANCE 37</t>
  </si>
  <si>
    <t>CAMISETA NEW BALANCE TENACITY MT31095 GMH S</t>
  </si>
  <si>
    <t>CAMISETA NEW BALANCE TENACITY MT31095 GMH M</t>
  </si>
  <si>
    <t>SHORT NEW BALANCE ACCELERATE 7 INCH MS23230 BK XL</t>
  </si>
  <si>
    <t>SHORT NEW BALANCE ACCELERATE 7 INCH S</t>
  </si>
  <si>
    <t>SHORT NEW BALANCE ACCELERATE 7 INCH MS23230 BK M</t>
  </si>
  <si>
    <t>SHORT NEW BALANCE ACCELERATE 7 INCH MS23230 BK L</t>
  </si>
  <si>
    <t>195907245156_</t>
  </si>
  <si>
    <t xml:space="preserve">VISERA NEW BALANCE PERFORMANCE WT </t>
  </si>
  <si>
    <t>195907245101_</t>
  </si>
  <si>
    <t>VISERA NEW BALANCE PERFORMANCE BK</t>
  </si>
  <si>
    <t>CALCETINES WILSON QUARTER TOP 3 PACK WU00083511ZAB BRIGHT WHL</t>
  </si>
  <si>
    <t>CALCETINES WILSON QUARTER TOP 3 PACK WU00083511ZAB BRIGHT WHM</t>
  </si>
  <si>
    <t>CALCETINES WILSON QUARTER TOP3 PACK WU00083511ZAB BRIGHT WHS</t>
  </si>
  <si>
    <t>CALCETINES WILSON QUARTER TOP WU00015511BKA BLL</t>
  </si>
  <si>
    <t>CALCETINES WILSON QUARTER TOP WU00015511BKA BLACK (611595M</t>
  </si>
  <si>
    <t>WILSON QUARTER TOP WU00015511BKA BLS</t>
  </si>
  <si>
    <t xml:space="preserve"> CALCETINES WILSON CREW LOGO 3 PACK WU00084511ZAA MUL</t>
  </si>
  <si>
    <t>CALCETINES WILSON CREW LOGO 3 PACK WU00084511ZAA MUS</t>
  </si>
  <si>
    <t>CALCETINES WILSON ANKLE TAB 3 PACK WU00075511WTA BRIGHT WHL</t>
  </si>
  <si>
    <t>CALCETINES WILSON ANKLE TAB 3 PACK WU00075511WTA BRIGHT WHS</t>
  </si>
  <si>
    <t>CALCETINES WILSON ANKLE TAB WU00062411WTA BRIGHT WHS</t>
  </si>
  <si>
    <t>CALCETINES WILSON ANKLE TAB WU00062411WTA BRIGHT WHM</t>
  </si>
  <si>
    <t>CALCETINES WILSON ANKLE TAB WU00062411WTA BRIGHT WHL</t>
  </si>
  <si>
    <t>CALCETINES WILSON ANKLE TAB WU00062411BKA BLS</t>
  </si>
  <si>
    <t>CALCETINES WILSON ANKLE TAB WU00062411BKA BLM</t>
  </si>
  <si>
    <t>CALCETINES WILSON ANKLE TAB WU00062411BKA BLL</t>
  </si>
  <si>
    <t>CALCENTINES WILSON QUARTER-LENGHT WU00015331WTA BRIGHT  WHITL</t>
  </si>
  <si>
    <t>CALCENTINES WILSON QUARTER-LENGHT WU00015331WTA BRIGHT  WHITM</t>
  </si>
  <si>
    <t>CALCENTINES WILSON QUARTER-LENGHT WU00015331WTA BRIGHT  WHITS</t>
  </si>
  <si>
    <t>194979145791_</t>
  </si>
  <si>
    <t>CAMISETA WILSON M SERIES SEAMLESS CREW 2.0WT XL</t>
  </si>
  <si>
    <t>194979145784_</t>
  </si>
  <si>
    <t>CAMISETA WILSON M SERIES SEAMLESS CREW 2.0WTL</t>
  </si>
  <si>
    <t>194979145777_</t>
  </si>
  <si>
    <t>CAMISETA WILSON M SERIES SEAMLESS CREW 2.0WT M</t>
  </si>
  <si>
    <t>194979145760_</t>
  </si>
  <si>
    <t>CAMISETA WILSON M SERIES SEAMLESS CREW 2.0WT S</t>
  </si>
  <si>
    <t>194979135686_</t>
  </si>
  <si>
    <t>SHORT WILSON M TOURNAMENT SHORT 7 WTXL</t>
  </si>
  <si>
    <t>194979135679_</t>
  </si>
  <si>
    <t>SHORT WILSON M TOURNAMENT SHORT 7 WT L</t>
  </si>
  <si>
    <t>194979135662_</t>
  </si>
  <si>
    <t>SHORT WILSON M TOURNAMENT SHORT 7WTM</t>
  </si>
  <si>
    <t>194979135655_</t>
  </si>
  <si>
    <t>SHORT WILSON M TOURNAMENT SHORT 7WTS</t>
  </si>
  <si>
    <t>194979135631_</t>
  </si>
  <si>
    <t>SHORT WILSON M TOURNAMENT SHORT 7 BK XL</t>
  </si>
  <si>
    <t>194979135624_</t>
  </si>
  <si>
    <t>SHORT WILSON M TOURNAMENT SHORT 7BK L</t>
  </si>
  <si>
    <t>194979135617_</t>
  </si>
  <si>
    <t>SHORT WILSON M TOURNAMENT SHORT 7 BK M</t>
  </si>
  <si>
    <t>194979132609_</t>
  </si>
  <si>
    <t>POLO WILSON M SERIES SEAMLESS W91M314124 BK XL</t>
  </si>
  <si>
    <t>194979132593_</t>
  </si>
  <si>
    <t>POLO WILSON M SERIES SEAMLESS W91M314124 BK L</t>
  </si>
  <si>
    <t>194979132586_</t>
  </si>
  <si>
    <t>POLO WILSON M SERIES SEAMLESS W91M314124 BK M</t>
  </si>
  <si>
    <t>192935891829_</t>
  </si>
  <si>
    <t>KSWISS HYPERCOURT SUPREME BLANCO AZUL</t>
  </si>
  <si>
    <t>192935891737_</t>
  </si>
  <si>
    <t>192935891713_</t>
  </si>
  <si>
    <t>192935891706_</t>
  </si>
  <si>
    <t>192662333920_</t>
  </si>
  <si>
    <t xml:space="preserve">GORRA NEW BALANCE PERFORMANCE WT </t>
  </si>
  <si>
    <t>GORRA NEW BALANCE PERFORMANCE BK</t>
  </si>
  <si>
    <t>BLISTER (4 UDS) NOX CUSTOM GRIP NOXCUGRIPBOX</t>
  </si>
  <si>
    <t>BLISTER (2 UDS) MUÃ‘EQUERA NOX LARGA NEGRA LOGO BLA</t>
  </si>
  <si>
    <t>BLISTER (2 UDS) MUÃ‘EQUERA LARGA NOX BLANCA LOGO NE</t>
  </si>
  <si>
    <t>BLISTER (2 UDS) MUÃ‘EQUERA NOX GRIS LOGO NEGRO MUGR</t>
  </si>
  <si>
    <t>BLISTER (3 UDS) OVERGRIP NOX PRO PERFORADO</t>
  </si>
  <si>
    <t>18436049569946_</t>
  </si>
  <si>
    <t xml:space="preserve">CANS OF NOX PRO TITANIUM PADEL BALLS </t>
  </si>
  <si>
    <t>BLISTER (3 UDS) OVERGRIP NOX PRO FLUOR</t>
  </si>
  <si>
    <t>113575-P</t>
  </si>
  <si>
    <t xml:space="preserve">CAJON 24 BOTES BOLAS WILSON PREMIER PADEL </t>
  </si>
  <si>
    <t>113574-P</t>
  </si>
  <si>
    <t>CAJON 24 BOTES BOLAS WILSON PREMIER PADEL SPEED</t>
  </si>
  <si>
    <t>113004-P</t>
  </si>
  <si>
    <t>CAJON DE PELOTAS LOK FRESH BALLES 24 BOTES</t>
  </si>
  <si>
    <t>111811-P</t>
  </si>
  <si>
    <t>CAJA 250 UDS BOLSA DE PAPEL PN 34X54X16</t>
  </si>
  <si>
    <t>106600-P_</t>
  </si>
  <si>
    <t xml:space="preserve">WILSON PADEL X3 SPEED </t>
  </si>
  <si>
    <t>10072489757130_</t>
  </si>
  <si>
    <t xml:space="preserve">HEAD PADEL PRO S BALLS </t>
  </si>
  <si>
    <t>10072489756133_</t>
  </si>
  <si>
    <t xml:space="preserve">HEAD PADEL PRO BALLS </t>
  </si>
  <si>
    <t>BOLAS HEAD PADEL PRO S</t>
  </si>
  <si>
    <t>BOLAS HEAD PADEL PRO</t>
  </si>
  <si>
    <t>097512717557_</t>
  </si>
  <si>
    <t xml:space="preserve">WILSON PRO OVERGRIP WHITE </t>
  </si>
  <si>
    <t>OVERGRIP WILSON PRO OVERGRIP PADEL</t>
  </si>
  <si>
    <t>097512705851_</t>
  </si>
  <si>
    <t>MOCHILA WILSON BELA PADEL BACKPACK</t>
  </si>
  <si>
    <t>097512683746_</t>
  </si>
  <si>
    <t>MOCHILA WILSON BELA PADEL BACKPACK NEGRO</t>
  </si>
  <si>
    <t>ZAPATILLAS WILSON HURAKN PRO W WRS330490 MUJER 40</t>
  </si>
  <si>
    <t>ZAPATILLAS WILSON HURAKN PRO W WRS330490 MUJER 38</t>
  </si>
  <si>
    <t>097512680042_</t>
  </si>
  <si>
    <t>BLACKANDPINKWILSONKAOSSWIFT1.5CLAY 40 2/3</t>
  </si>
  <si>
    <t>097512680028_</t>
  </si>
  <si>
    <t>BLACK AND PINK WILSON KAOS SWIFT 1.5 CLAY39 1/3</t>
  </si>
  <si>
    <t>097512680011_</t>
  </si>
  <si>
    <t>BLACK AND PINK WILSON KAOS SWIFT 1.5 CLAY38 2/3</t>
  </si>
  <si>
    <t>097512680004_</t>
  </si>
  <si>
    <t>BLACK AND PINK WILSON KAOS SWIFT 1.5 CLAY37 1/3</t>
  </si>
  <si>
    <t>097512679992_</t>
  </si>
  <si>
    <t>BLACKANDPINKWILSONKAOSSWIFT1.5CLAY38</t>
  </si>
  <si>
    <t>WILSON KAOS SWIFT 1.5 CLAY NERGO ROSA WRS331100 36 2/3</t>
  </si>
  <si>
    <t>097512675338_</t>
  </si>
  <si>
    <t>RED WILSON BELA PRO WRS33117040</t>
  </si>
  <si>
    <t>097512675321_</t>
  </si>
  <si>
    <t>RED WILSON BELA PRO WRS331170 39 1/3</t>
  </si>
  <si>
    <t>097512675314_</t>
  </si>
  <si>
    <t>RED WILSON BELA PRO WRS331170 38 2/3</t>
  </si>
  <si>
    <t>097512647922_</t>
  </si>
  <si>
    <t>MOCHILA WILSON TOUR BACKPACK NEGRO</t>
  </si>
  <si>
    <t>097512637916_</t>
  </si>
  <si>
    <t>BLACK WILSON BELA PRO WRS331110 SHOES45 1/3</t>
  </si>
  <si>
    <t>097512637909_</t>
  </si>
  <si>
    <t>BLACK WILSON BELA PRO WRS331110 SHOES44 2/3</t>
  </si>
  <si>
    <t>097512637886_</t>
  </si>
  <si>
    <t>BLACK WILSON BELA PRO WRS331110 SHOES43 1/3</t>
  </si>
  <si>
    <t>097512637879_</t>
  </si>
  <si>
    <t>BLACK WILSON BELA PRO WRS331110 SHOES42 2/3</t>
  </si>
  <si>
    <t>097512637862_</t>
  </si>
  <si>
    <t>BLACK WILSON BELA PRO WRS331110 SHOES 41 1/3</t>
  </si>
  <si>
    <t>CAJA OVERGRIP WILSON 50 PIEZAS BLANCO</t>
  </si>
  <si>
    <t>WILSON INTRIGUE BLACK 0501429</t>
  </si>
  <si>
    <t xml:space="preserve">WILSON BLADE TEAM V2 </t>
  </si>
  <si>
    <t xml:space="preserve">WILSON BLADE TEAM V2 BLACK </t>
  </si>
  <si>
    <t>WILSON BLADE PRO PADEL V2 2 NEGRO VERDE</t>
  </si>
  <si>
    <t>097512521611_</t>
  </si>
  <si>
    <t xml:space="preserve">WILSON OVERGRIPS IN A VARIETY OF COLOURS </t>
  </si>
  <si>
    <t>097512511094_</t>
  </si>
  <si>
    <t>WILSON BELA SUPER TOUR PADELBAG</t>
  </si>
  <si>
    <t>097512511087_</t>
  </si>
  <si>
    <t xml:space="preserve">PADELBAG WILSON BELA SUPER TOUR NEGRO </t>
  </si>
  <si>
    <t>097512480840_</t>
  </si>
  <si>
    <t xml:space="preserve">CALCETINES WILSON M CREW SOCK 3PR/PK </t>
  </si>
  <si>
    <t>097512480826_</t>
  </si>
  <si>
    <t>PACK 3 SOCKS WILSON NO SHOW SOCK WHITE WOMAN</t>
  </si>
  <si>
    <t>097512478755_</t>
  </si>
  <si>
    <t xml:space="preserve">PACK 3 SOCKS WILSON NO SHOW SOCK BLACK WOMAN </t>
  </si>
  <si>
    <t>097512478489_</t>
  </si>
  <si>
    <t>CALCETINES WILSON M CREW SOCK 3PR/PK</t>
  </si>
  <si>
    <t>097512463867_</t>
  </si>
  <si>
    <t>WILSON BELA PRO PADEL 2</t>
  </si>
  <si>
    <t>0887768147075_</t>
  </si>
  <si>
    <t xml:space="preserve">WILSON PERFORATED OVERGRIPS </t>
  </si>
  <si>
    <t>045566923073_</t>
  </si>
  <si>
    <t>PALETERO DUNLOP TOUR INTRO LT WHT/BLK</t>
  </si>
  <si>
    <t>045566923011_</t>
  </si>
  <si>
    <t>PALETERO DUNLOP TOUR INTRO LT BLK/BLK</t>
  </si>
  <si>
    <t>PALETERO DUNLOP TOUR INTRO NEGRO DORADO</t>
  </si>
  <si>
    <t>PALA DUNLOP AERO-STAR TEAM</t>
  </si>
  <si>
    <t>DUNLOP INFERNO GOLD</t>
  </si>
  <si>
    <t>DUNLOP INFERNO ULTIMATE PRO BLACK</t>
  </si>
  <si>
    <t xml:space="preserve">DUNLOP SONIC SOFT </t>
  </si>
  <si>
    <t>DUNLOP RENEGADE</t>
  </si>
  <si>
    <t>PALA HEAD COELLO PRO 2025</t>
  </si>
  <si>
    <t>020104NS0102</t>
  </si>
  <si>
    <t>Bouchon couronne  en Fer blanc  - VIVE</t>
  </si>
  <si>
    <t>BCN</t>
  </si>
  <si>
    <t>020104NS0101</t>
  </si>
  <si>
    <t>Bouchon couronne  en Fer blanc  - CB</t>
  </si>
  <si>
    <t>COPM0099</t>
  </si>
  <si>
    <t>Palette Bois MA - Consignation à nous retourner</t>
  </si>
  <si>
    <t>CONS2</t>
  </si>
  <si>
    <t>COPE0099</t>
  </si>
  <si>
    <t>Palette Bois EUI - Consignation à nous retourner</t>
  </si>
  <si>
    <t>COPA0099</t>
  </si>
  <si>
    <t>Palette Bois AC - Consignation à nous retourner</t>
  </si>
  <si>
    <t>COPA0013</t>
  </si>
  <si>
    <t>Consignation CR - Palette Bois 1420X1120</t>
  </si>
  <si>
    <t>CONS</t>
  </si>
  <si>
    <t>COIN0012</t>
  </si>
  <si>
    <t>Consignation CR - Intercalaires 1420X1120</t>
  </si>
  <si>
    <t>COCM0099</t>
  </si>
  <si>
    <t>Cadre Bois MA - Consignation à nous retourner</t>
  </si>
  <si>
    <t>COCE0099</t>
  </si>
  <si>
    <t>Cadre Bois EUI - Consignation à nous retourner</t>
  </si>
  <si>
    <t>COCA0099</t>
  </si>
  <si>
    <t>Cadre Bois AC - Consignation à nous retourner</t>
  </si>
  <si>
    <t>COCA0011</t>
  </si>
  <si>
    <t>Consignation CR - Cadre Bois 1420X1120</t>
  </si>
  <si>
    <t>XREPORT</t>
  </si>
  <si>
    <t>REPORT</t>
  </si>
  <si>
    <t>ALFI</t>
  </si>
  <si>
    <t>FRTP0001</t>
  </si>
  <si>
    <t>Frais de transport sur ventes</t>
  </si>
  <si>
    <t>FTRP</t>
  </si>
  <si>
    <t>FRCP003</t>
  </si>
  <si>
    <t>Frais de Composition - Impression Lithographique sur Métal</t>
  </si>
  <si>
    <t>FRCP</t>
  </si>
  <si>
    <t>FRCP002</t>
  </si>
  <si>
    <t>Frais de Composition - Impression IML sur Plastique</t>
  </si>
  <si>
    <t>FRCP001</t>
  </si>
  <si>
    <t>Frais de Composition - Impression Offset sur Plastique</t>
  </si>
  <si>
    <t>FOMA0008</t>
  </si>
  <si>
    <t>Fournitures Materiel de Cuisine</t>
  </si>
  <si>
    <t>SEMB</t>
  </si>
  <si>
    <t>FOMA0007</t>
  </si>
  <si>
    <t>Scotch Transparent 50x100</t>
  </si>
  <si>
    <t>FOMA0006</t>
  </si>
  <si>
    <t>Sac Papier Rames 80G 82*224 SI</t>
  </si>
  <si>
    <t>FOMA0003</t>
  </si>
  <si>
    <t>Film Etirable Manuel</t>
  </si>
  <si>
    <t>FOMA0002</t>
  </si>
  <si>
    <t>Colle KP40</t>
  </si>
  <si>
    <t>FANO0022</t>
  </si>
  <si>
    <t>TRANSPORT -T- 10%</t>
  </si>
  <si>
    <t>FRAP</t>
  </si>
  <si>
    <t>FANO0021</t>
  </si>
  <si>
    <t>TRANSPORT - T - 12%</t>
  </si>
  <si>
    <t>FANO0020</t>
  </si>
  <si>
    <t>ANNEXES</t>
  </si>
  <si>
    <t>FANO0019</t>
  </si>
  <si>
    <t>MANIPULATION</t>
  </si>
  <si>
    <t>FANO0018</t>
  </si>
  <si>
    <t>TRANSPORT - T - 13%</t>
  </si>
  <si>
    <t>FANO0017</t>
  </si>
  <si>
    <t>Frais transport CG-NT</t>
  </si>
  <si>
    <t>FANO0016</t>
  </si>
  <si>
    <t>Frais d'échange -NT</t>
  </si>
  <si>
    <t>FANO0015</t>
  </si>
  <si>
    <t>Frais d'échange-T 20%</t>
  </si>
  <si>
    <t>FANO0014</t>
  </si>
  <si>
    <t xml:space="preserve">Frais de péage- NT </t>
  </si>
  <si>
    <t>FANO0013</t>
  </si>
  <si>
    <t>Frais de magasinage-NT</t>
  </si>
  <si>
    <t>FANO0012</t>
  </si>
  <si>
    <t>Frais de passage - T 20%</t>
  </si>
  <si>
    <t>FANO0011</t>
  </si>
  <si>
    <t>Frais fixe dossier - imprimes -T 20%</t>
  </si>
  <si>
    <t>FANO0010</t>
  </si>
  <si>
    <t>Taxe AD valorem - NT</t>
  </si>
  <si>
    <t>FANO0009</t>
  </si>
  <si>
    <t>Camionnage - T</t>
  </si>
  <si>
    <t>FANO0008</t>
  </si>
  <si>
    <t>Autres Frais - T 20%</t>
  </si>
  <si>
    <t>FANO0007</t>
  </si>
  <si>
    <t>Autres Frais - T 14%</t>
  </si>
  <si>
    <t>FANO0006</t>
  </si>
  <si>
    <t>Autres Frais - NT</t>
  </si>
  <si>
    <t>FANO0005</t>
  </si>
  <si>
    <t>Arrondi - NT</t>
  </si>
  <si>
    <t>FANO0004</t>
  </si>
  <si>
    <t>Douane - Quittance TVA</t>
  </si>
  <si>
    <t>FANO0003</t>
  </si>
  <si>
    <t>Taxe Régional - T</t>
  </si>
  <si>
    <t>FANO0002</t>
  </si>
  <si>
    <t>Honoraires de Transit - T</t>
  </si>
  <si>
    <t>FANO0001</t>
  </si>
  <si>
    <t>TMPA - NT</t>
  </si>
  <si>
    <t>FAEX0003</t>
  </si>
  <si>
    <t>Freight - NT</t>
  </si>
  <si>
    <t>FAEX0002</t>
  </si>
  <si>
    <t>Surrestaries - NT</t>
  </si>
  <si>
    <t>E0000000001</t>
  </si>
  <si>
    <t>Ecart à justifier</t>
  </si>
  <si>
    <t>ECA</t>
  </si>
  <si>
    <t>AVMDSNC</t>
  </si>
  <si>
    <t>Avoir sur marchandise non conforme</t>
  </si>
  <si>
    <t>POLCOM</t>
  </si>
  <si>
    <t>AVLOG</t>
  </si>
  <si>
    <t>Avoir reclamation logistique</t>
  </si>
  <si>
    <t>INTERETS_2023/PRET</t>
  </si>
  <si>
    <t>INTERETS 2023 / PRET CONCENTI LE 09/03/2022</t>
  </si>
  <si>
    <t>TFSAFN</t>
  </si>
  <si>
    <t>1203HO100116</t>
  </si>
  <si>
    <t>Bidon 10L Rect Or - BPANI - Huile Olive</t>
  </si>
  <si>
    <t>Article lié</t>
  </si>
  <si>
    <t>FBBIN</t>
  </si>
  <si>
    <t>1203HO100115</t>
  </si>
  <si>
    <t>Bidon 1/2L Rect Or - BPANI - Huile Olive</t>
  </si>
  <si>
    <t>1203HO100114</t>
  </si>
  <si>
    <t>Bidon 250ML Rect Or - BPANI - Huile Olive</t>
  </si>
  <si>
    <t>1203HO100113</t>
  </si>
  <si>
    <t>Bidon 2.5L Rect Or - BPANI - Huile Olive</t>
  </si>
  <si>
    <t>1203HO100112</t>
  </si>
  <si>
    <t>Bidon 3L Rect Or - BPANI - Huile Olive</t>
  </si>
  <si>
    <t>1203HO100111</t>
  </si>
  <si>
    <t>Bidon 1L Rect Or - BPANI - Huile Olive</t>
  </si>
  <si>
    <t>1203HO100110</t>
  </si>
  <si>
    <t>Bidon 5L Rect Or - BPANI - Huile Olive</t>
  </si>
  <si>
    <t>1203HO100105</t>
  </si>
  <si>
    <t>Bidon 1L Bourchanin Olinia BPANI</t>
  </si>
  <si>
    <t>FBBII</t>
  </si>
  <si>
    <t>1203HO100104</t>
  </si>
  <si>
    <t>Bidon 2.5L QUALIAGRO Les Domaines ARG CONV V.X BPANI</t>
  </si>
  <si>
    <t>1203HO100103</t>
  </si>
  <si>
    <t>Bidon 4L Bourchanin Olinia BPANI</t>
  </si>
  <si>
    <t>1203HO100102</t>
  </si>
  <si>
    <t>Bidon 2.5L QUALIAGRO Les Domaines ARG BIO V.X BPANI</t>
  </si>
  <si>
    <t>1203HO100101</t>
  </si>
  <si>
    <t>Bidon 5L QUALIAGRO Les Domaines ARG BIO V.X BPANI</t>
  </si>
  <si>
    <t>1104HCV00111</t>
  </si>
  <si>
    <t xml:space="preserve">Cap Plastique Noir - Bidon Huile Olive </t>
  </si>
  <si>
    <t>FBAFN</t>
  </si>
  <si>
    <t>1104HCV00110</t>
  </si>
  <si>
    <t xml:space="preserve">Cap Plastique Vert - Bidon Huile Olive </t>
  </si>
  <si>
    <t>090302NK1103</t>
  </si>
  <si>
    <t>Boite 4L Tronconique - 180X195 - Pails - FB CB - Blanc PPT</t>
  </si>
  <si>
    <t>FBIDN</t>
  </si>
  <si>
    <t>090302NK1101</t>
  </si>
  <si>
    <t>Boite 5kg Tronconique - 168x180x235 - Pails - FB CB - Blanc PPT</t>
  </si>
  <si>
    <t>090302NK0503</t>
  </si>
  <si>
    <t>Boite 1kg Longue - 108x131 - OS - Blanc PPT</t>
  </si>
  <si>
    <t>090302NK0501</t>
  </si>
  <si>
    <t>Boite 1kg Courte - 108x099 - OS -PPT</t>
  </si>
  <si>
    <t>040404NS0103</t>
  </si>
  <si>
    <t>Petit Spain D Inviolabilité T20</t>
  </si>
  <si>
    <t>FBIDAN</t>
  </si>
  <si>
    <t>040404NS0102</t>
  </si>
  <si>
    <t>Collier Diamétre 285 AV-T285 UN</t>
  </si>
  <si>
    <t>040404NS0101</t>
  </si>
  <si>
    <t>Collier Diamétre 180 T28-N T180 UN</t>
  </si>
  <si>
    <t>030404NS0106</t>
  </si>
  <si>
    <t>Cap Plastique BR - Stolz - HZ32 - Bleu</t>
  </si>
  <si>
    <t>030404NS0105</t>
  </si>
  <si>
    <t>Cap Plastique BR - Stolz - HZ32 - Blanc</t>
  </si>
  <si>
    <t>030404NS0103</t>
  </si>
  <si>
    <t>Cap Plastique BR - Stolz - HZ42 - Rouge</t>
  </si>
  <si>
    <t>030404NS0102</t>
  </si>
  <si>
    <t>Cap Plastique BR - Stolz - HZ32 - Rouge</t>
  </si>
  <si>
    <t>030404NS0101</t>
  </si>
  <si>
    <t>Cap Plastique BA - C6 - HZ24 - Rouge</t>
  </si>
  <si>
    <t>030404BS0104</t>
  </si>
  <si>
    <t>Cap Plastique BA - C7 - HZ32 - Rouge</t>
  </si>
  <si>
    <t>029494TS9297</t>
  </si>
  <si>
    <t>Cap TFS OF D73mm Chile - VIVE</t>
  </si>
  <si>
    <t>021414JS0101</t>
  </si>
  <si>
    <t xml:space="preserve">Cap FBN Simple D052mm </t>
  </si>
  <si>
    <t>021312JK0101</t>
  </si>
  <si>
    <t>Boite Fer Blanc OS Jitney Lisse - 52x88 - VI Blanc BPANI</t>
  </si>
  <si>
    <t>FBVN</t>
  </si>
  <si>
    <t>020903OV0109</t>
  </si>
  <si>
    <t>Fond 1/2 Oval EOE</t>
  </si>
  <si>
    <t>020807IL1704</t>
  </si>
  <si>
    <t>Seau 15L T - D305- Pails - PRODEC -SBAGHTI LAQUE</t>
  </si>
  <si>
    <t>FBIDI</t>
  </si>
  <si>
    <t>020807IL1703</t>
  </si>
  <si>
    <t>Seau 22L T - 285x305x335 - Pails - PRODEC -PROSUD 2011</t>
  </si>
  <si>
    <t>020807IL1702</t>
  </si>
  <si>
    <t>Seau 22L T - 285x305x335 - Pails - PRODEC PRO 99</t>
  </si>
  <si>
    <t>020807IL1701</t>
  </si>
  <si>
    <t>Seau 22L T - 285x305x335 - Pails - PRODEC -DAREX PLAST PLUS</t>
  </si>
  <si>
    <t>020807IL1695</t>
  </si>
  <si>
    <t>Seau 22L T - 285x305x335 - Pails-FACOP-SUPER FACONYL</t>
  </si>
  <si>
    <t>020807IL1694</t>
  </si>
  <si>
    <t>Seau 22L T - 285x305x335 - Pails-FACOP-EUROVINYL</t>
  </si>
  <si>
    <t>020807IL1693</t>
  </si>
  <si>
    <t>Seau 22L T - 285x305x335 - Pails-FACOP-BAHIA SUD</t>
  </si>
  <si>
    <t>020807IL1692</t>
  </si>
  <si>
    <t>Seau 22L T - 285x305x335 - Pails-MIDI NYL MAT 214</t>
  </si>
  <si>
    <t>020807IL1691</t>
  </si>
  <si>
    <t>Seau 22L T - 285x305x335 - Pails-MIDI SUD FACADE</t>
  </si>
  <si>
    <t>020807IL1690</t>
  </si>
  <si>
    <t>Seau 22L T - 285x305x335 - Pails-MIDI MAT BATIMENT</t>
  </si>
  <si>
    <t>020807IL1689</t>
  </si>
  <si>
    <t>Seau 22L T - 285x305x335 - Pails-DECOPIN - FLEUR</t>
  </si>
  <si>
    <t>020807IL1688</t>
  </si>
  <si>
    <t>Seau 22L T - 285x305x335 - ODASSIA - ODAQUA</t>
  </si>
  <si>
    <t>020807IL1687</t>
  </si>
  <si>
    <t>Seau 22L T - 285x305x335 - ODASSIA - VINYTEK</t>
  </si>
  <si>
    <t>020807IL1686</t>
  </si>
  <si>
    <t>Seau 22L T - 285x305x335 - ODASSIA - ODAPLAST</t>
  </si>
  <si>
    <t>020807IL1685</t>
  </si>
  <si>
    <t>Seau 22L T - 285x305x335 - ODASSIA - ODAVINYL</t>
  </si>
  <si>
    <t>020807IL1684</t>
  </si>
  <si>
    <t>Seau 15L T - D305- Pails - PRODEC -SBAGHTI LAQUE PLUS</t>
  </si>
  <si>
    <t>020807IL1683</t>
  </si>
  <si>
    <t>Seau 18L T - D305- Pails - PRODEC -SBAGHTI LAQUE PLUS / NV</t>
  </si>
  <si>
    <t>020807IL1682</t>
  </si>
  <si>
    <t>Seau 22L T - 285x305x335 - Pails - PRODEC -SBAGHTI VINYL PLUS</t>
  </si>
  <si>
    <t>020807IL1681</t>
  </si>
  <si>
    <t>Seau 22L T - 285x305x335 - Pails - AR PEINT -ARSTANDARD</t>
  </si>
  <si>
    <t>020807IL1680</t>
  </si>
  <si>
    <t>Seau 22L T - 285x305x335 - Pails - CHROMA COLOR</t>
  </si>
  <si>
    <t>020807IL1679</t>
  </si>
  <si>
    <t>Seau 22L T - 285x305x335 - Pails - SOFACHIM P3D VOX LATEX</t>
  </si>
  <si>
    <t>020807IL1678</t>
  </si>
  <si>
    <t>Seau 22L T - 285x305x335 - Pails - SOFACHIM P3D SOFAPLAST</t>
  </si>
  <si>
    <t>020807IL1677</t>
  </si>
  <si>
    <t>Seau 22L T - 285x305x335 - Pails - SOFACHIM P3D SOFALATEX</t>
  </si>
  <si>
    <t>020807IL1676</t>
  </si>
  <si>
    <t>Seau 22L T - 285x305x335 - Pails - SONACOLOR - SONAVINYL</t>
  </si>
  <si>
    <t>020807IL1675</t>
  </si>
  <si>
    <t>Seau 22L T - 285x305x335 - Pails - RESIPRO-RESIPROX100-RESINE EPOXY</t>
  </si>
  <si>
    <t>020807IL1674</t>
  </si>
  <si>
    <t>Seau 22L T - 285x305x335 - Pails - SAADA PEINTURE - AL MANARA VINYL</t>
  </si>
  <si>
    <t>020807IL1673</t>
  </si>
  <si>
    <t>Seau 22L T - 285x305x335 - Pails - SAADA PEINTURE - SV501 VINYL</t>
  </si>
  <si>
    <t>020807IL1672</t>
  </si>
  <si>
    <t>Seau 22L T - 285x305x335 - Pails - SUPRAFLEX - ECOBLANC NEW</t>
  </si>
  <si>
    <t>020807IL1671</t>
  </si>
  <si>
    <t>Seau 22L T - 285x305x335 - Pails - SUPRAFLEX - SUPRAVINYL +</t>
  </si>
  <si>
    <t>020807IL1670</t>
  </si>
  <si>
    <t>Seau 22L T - 285x305x335 - Pails - SUPRAFLEX - EXTRAVINYL +</t>
  </si>
  <si>
    <t>020807IL1669</t>
  </si>
  <si>
    <t>Seau 22L T - 285x305x335 - Pails - SUPRAFLEX - ACQUAVINYL +</t>
  </si>
  <si>
    <t>020807IL1668</t>
  </si>
  <si>
    <t>Seau 22L T - 285x305x335 - Pails - DECOPIN - V508</t>
  </si>
  <si>
    <t>020807IL1667</t>
  </si>
  <si>
    <t>Seau 15L T - 285x305x250 - Pails - EUROTEX - K10</t>
  </si>
  <si>
    <t>020807IL1666</t>
  </si>
  <si>
    <t>Seau 20L T - 292x365 - Pails - EUROTEX - GENERIQUE</t>
  </si>
  <si>
    <t>020807IL1665</t>
  </si>
  <si>
    <t>Seau 15L T - 285x305x250 - Pails - EUROTEX - GENERIQUE</t>
  </si>
  <si>
    <t>020807IL1664</t>
  </si>
  <si>
    <t>Seau 15L T - 285x305x250 - Pails - EUROTEX - EUROMAT</t>
  </si>
  <si>
    <t>020807IL1663</t>
  </si>
  <si>
    <t>Seau 22L T - 285x305x335 - Pails - MUSTANG - MUSTLAK</t>
  </si>
  <si>
    <t>020807IL1662</t>
  </si>
  <si>
    <t>Seau 22L T - 285x305x335 - Pails - MUSTANG - MUST801</t>
  </si>
  <si>
    <t>020807IL1661</t>
  </si>
  <si>
    <t>Seau 22L T - 285x305x335 - Pails - MUSTANG - MUST602</t>
  </si>
  <si>
    <t>020807IL1660</t>
  </si>
  <si>
    <t>Seau 22L T - 285x305x335 - Pails - MUSTANG - MUST403</t>
  </si>
  <si>
    <t>020807IL1659</t>
  </si>
  <si>
    <t>Seau 22L T - 285x305x335 - Pails - TRICOL - EXTRANYL</t>
  </si>
  <si>
    <t>020807IL1658</t>
  </si>
  <si>
    <t>Seau 22L T - 285x305x335 - Pails - TRICOL - ZENLAC</t>
  </si>
  <si>
    <t>020807IL1657</t>
  </si>
  <si>
    <t>Seau 22L T - 285x305x335 - Pails - SBAGHTANA - S2</t>
  </si>
  <si>
    <t>020807IL1656</t>
  </si>
  <si>
    <t>Seau 22L T - 285x305x335 - Pails - COPROCHIM - LUXEPLAST</t>
  </si>
  <si>
    <t>020807IL1654</t>
  </si>
  <si>
    <t>Seau 22L T - 285x305x335 - Pails - AR PEINT - EXTRAPEINT</t>
  </si>
  <si>
    <t>020807IL1653</t>
  </si>
  <si>
    <t>Seau 22L T - 285x305x335 - Pails - AR PEINT - VINYLPEINT</t>
  </si>
  <si>
    <t>020807IL1652</t>
  </si>
  <si>
    <t>Seau 22L T - 285x305x335 - Pails - MAXICOLOR - MASTER</t>
  </si>
  <si>
    <t xml:space="preserve"> ILM</t>
  </si>
  <si>
    <t>020807IL1651</t>
  </si>
  <si>
    <t>Seau 22L T - 285x305x335 - Pails - MAXICOLOR - ONDAVINYL</t>
  </si>
  <si>
    <t>020807IL1650</t>
  </si>
  <si>
    <t>Seau 22L T - 285x305x335 - Pails - SIDNI COLOR - ECOMAIL</t>
  </si>
  <si>
    <t>020807IL1649</t>
  </si>
  <si>
    <t>Seau 22L T - 285x305x335 - Pails - SIDNI COLOR - SIDNILAC EXTRA</t>
  </si>
  <si>
    <t>020807IL1648</t>
  </si>
  <si>
    <t>Seau 22L T - 285x305x335 - Pails - SIDNI COLOR - VINYLOOK</t>
  </si>
  <si>
    <t>020807IL1647</t>
  </si>
  <si>
    <t>Seau 22L T - 285x305x335 - Pails - SIDNI COLOR - VINYLAX V12</t>
  </si>
  <si>
    <t>020807IL1646</t>
  </si>
  <si>
    <t xml:space="preserve">Seau 22L T - 285x305x335 - Pails - SIDNI COLOR - DMAX </t>
  </si>
  <si>
    <t>020807IL1645</t>
  </si>
  <si>
    <t>Seau 22L T - 285x305x335 - Pails - SIDNI COLOR - PLASTOLUX</t>
  </si>
  <si>
    <t>020807IL1644</t>
  </si>
  <si>
    <t>Seau 22L T - 285x305x335 - Pails - SIDNI COLOR - V55 MODE VINYL</t>
  </si>
  <si>
    <t>020807IL1643</t>
  </si>
  <si>
    <t>Seau 22L T - 285x305x335 - Pails - SIDNI COLOR - SIDNIPLAST V8</t>
  </si>
  <si>
    <t>020807IL1642</t>
  </si>
  <si>
    <t>Seau 22L T - 285x305x335 - Pails - SONACOLOR - SONAQUA</t>
  </si>
  <si>
    <t>020807IL1641</t>
  </si>
  <si>
    <t>Seau 22L T - 285x305x335 - Pails - TRICOL - BATAL 202</t>
  </si>
  <si>
    <t>020807IL1640</t>
  </si>
  <si>
    <t>Seau 22L T - 285x305x335 - Pails - TRICOL - TRICOLAC</t>
  </si>
  <si>
    <t>020807IL1639</t>
  </si>
  <si>
    <t>Seau 22L T - 285x305x335 - Pails - SAADA - VINYL SV703</t>
  </si>
  <si>
    <t>020807IL1638</t>
  </si>
  <si>
    <t>Seau 22L T - 285x305x335 - Pails - HFF - GALAXY VYNIL</t>
  </si>
  <si>
    <t>020807IL1637</t>
  </si>
  <si>
    <t>Seau 22L T - 285x305x335 - Pails - MAXICOLOR DETRAFLEX A 150</t>
  </si>
  <si>
    <t>020807IL1636</t>
  </si>
  <si>
    <t>Seau 22L T - 285x305x335 - Pails - HFF - ETOILE VINYL</t>
  </si>
  <si>
    <t>020807IL1635</t>
  </si>
  <si>
    <t>Seau 22L T - 285x305x335 - Pails - MAXICOLOR SOULTANA</t>
  </si>
  <si>
    <t>0208071IL653</t>
  </si>
  <si>
    <t>Seau 22L T - 285x305x335 - Pails - MAXICOLOR - DETRAFLEX 250 M</t>
  </si>
  <si>
    <t>020801NL1701</t>
  </si>
  <si>
    <t>Seau 22L Tronco SANS VERNIS INTERIEUR - 285x305x335 - Pails - FB CB</t>
  </si>
  <si>
    <t>020801NL1604</t>
  </si>
  <si>
    <t>Seau 10L Tronconique - 285x305x295 - Pails - FB CB</t>
  </si>
  <si>
    <t>020801NL1603</t>
  </si>
  <si>
    <t>Seau 17L Tronconique - 285x305x295 - Pails - FB CB</t>
  </si>
  <si>
    <t>020801NL1602</t>
  </si>
  <si>
    <t>Seau 15L Tronconique - 285x305x257 - Pails - FB CB</t>
  </si>
  <si>
    <t>020801NL1601</t>
  </si>
  <si>
    <t>Seau 22L Tronconique - 285x305x335 - Pails - FB CB</t>
  </si>
  <si>
    <t>020801IL1657</t>
  </si>
  <si>
    <t>Seau 22L T - 285x305x335 - Pails - BZO COLOR - BZO LAC</t>
  </si>
  <si>
    <t>020801IL1655</t>
  </si>
  <si>
    <t>Seau 22L T - 285x305x335 - Pails - SOFACHIM P3D 3DPLAST</t>
  </si>
  <si>
    <t>020801IL1654</t>
  </si>
  <si>
    <t>Seau 22L T - 285x305x335 - Pails - SOFACHIM P3D CITYPLAST</t>
  </si>
  <si>
    <t>020801IL1653</t>
  </si>
  <si>
    <t>Seau 22L T - 285x305x335 - Pails - BZO COLOR - BZO MAT</t>
  </si>
  <si>
    <t>020801IL1638</t>
  </si>
  <si>
    <t>Seau 22L T - 285x305x335 - Pails - BZO COLOR - BZO VINYL</t>
  </si>
  <si>
    <t>020801IL1634</t>
  </si>
  <si>
    <t>Seau 22L T - 285x305x335 - Pails - EUROCOULEUR - EuroVinyl 115</t>
  </si>
  <si>
    <t>020801IL1633</t>
  </si>
  <si>
    <t>Seau 22L T - 285x305x335 - Pails - EUROCOULEUR - EuroPlast 77</t>
  </si>
  <si>
    <t>020801IL1632</t>
  </si>
  <si>
    <t>Seau 15L T - 285x305x252 - Pails - EUROCOULEUR - Euro Laque</t>
  </si>
  <si>
    <t>020801IL1631</t>
  </si>
  <si>
    <t>Seau 22L T - 285x305x335 - Pails - EUROCOULEUR - Acry Facade 108</t>
  </si>
  <si>
    <t>020801IL1630</t>
  </si>
  <si>
    <t>Seau 15L T - 285x305x252 - Pails - SONAFIP CLASSICOLAC</t>
  </si>
  <si>
    <t>020801IL1628</t>
  </si>
  <si>
    <t>Seau 22L T - 285x305x335 - Pails - MAXICOLOR DELTA</t>
  </si>
  <si>
    <t>020801IL1627</t>
  </si>
  <si>
    <t>Seau 22L T - 285x305x335 - Pails - MAXICOLOR STARFORCE</t>
  </si>
  <si>
    <t>020801IL1626</t>
  </si>
  <si>
    <t>Seau 22L T - 285x305x335 - Pails - JAFEP PLASTICO 405</t>
  </si>
  <si>
    <t>020801IL1625</t>
  </si>
  <si>
    <t>Seau 22L T - 285x305x335 - Pails - JAFEP PLASTICO 305</t>
  </si>
  <si>
    <t>020801IL1624</t>
  </si>
  <si>
    <t>Seau 22L T - 285x305x335 - Pails - TISSIR - PEINT INDUSTR</t>
  </si>
  <si>
    <t>020801IL1623</t>
  </si>
  <si>
    <t>Seau 22L T - 285x305x335 - Pails - SOFACHIM P3D AXAPLAST</t>
  </si>
  <si>
    <t>020801IL1620</t>
  </si>
  <si>
    <t>Seau 22L T - 285x305x335 - Pails - EUROTEX EURO 800</t>
  </si>
  <si>
    <t>020801IL1619</t>
  </si>
  <si>
    <t>Seau 22L T - 285x305x335 - Pails - BZO COLOR - BZO STAR VINYL</t>
  </si>
  <si>
    <t>020801IL1618</t>
  </si>
  <si>
    <t>Seau 22L T - 285x305x335 - Pails - EUROTEX OCEANO PLUS</t>
  </si>
  <si>
    <t>020801IL1616</t>
  </si>
  <si>
    <t>Seau 15L T - 285x305x257 - Pails - SUPRAFLEX EXTRALAC</t>
  </si>
  <si>
    <t>020801IL1609</t>
  </si>
  <si>
    <t>Seau 22L T - 285x305x335 - Pails - TISSIR - MARINA</t>
  </si>
  <si>
    <t>020801IL1602</t>
  </si>
  <si>
    <t>Seau 22L T - 285x305x335 - Pails - EUROTEX MAT PROF</t>
  </si>
  <si>
    <t>020801IL1601</t>
  </si>
  <si>
    <t>Seau 22L T - 285x305x335 - Pails - EUROTEX IRIPLAST OCEAN</t>
  </si>
  <si>
    <t>020800IL1656</t>
  </si>
  <si>
    <t>Seau 22L T - 285x305x335 - Pails - BZO COLOR - SUPER BZO LAC</t>
  </si>
  <si>
    <t>020502NL1501</t>
  </si>
  <si>
    <t>Estagnon 20L Cylindrique - 240x240x370 - ST42 - FB CB</t>
  </si>
  <si>
    <t>020499NS0213</t>
  </si>
  <si>
    <t>Cap FBN OF 1/4 Club EED D122mm - BPANI</t>
  </si>
  <si>
    <t>020405NS0222</t>
  </si>
  <si>
    <t>Cap FB Std D096mm - Ro400 Logifood Petit Pecheur (New)</t>
  </si>
  <si>
    <t>FBAFI</t>
  </si>
  <si>
    <t>020404TFS0211</t>
  </si>
  <si>
    <t xml:space="preserve">Cap TFS Ouv. Facile D099mm - VIVE </t>
  </si>
  <si>
    <t>020404NS5101</t>
  </si>
  <si>
    <t>Cvc ALU OF 1/4 Club EED Silver - BPANI</t>
  </si>
  <si>
    <t>ALFN</t>
  </si>
  <si>
    <t>020404NS1207</t>
  </si>
  <si>
    <t xml:space="preserve">Cap FBN OF_73mm - VIVE_BPANI </t>
  </si>
  <si>
    <t>020404NS0906</t>
  </si>
  <si>
    <t>Cap FB Ext Neutre VI Or Tulipe D180mm (Seau 4,5 Tulipe)</t>
  </si>
  <si>
    <t>020404NS0905</t>
  </si>
  <si>
    <t>Cap FB CB  PAIL D305mm (avec Bouch STOLZ)</t>
  </si>
  <si>
    <t>020404NS0222</t>
  </si>
  <si>
    <t>Cap FBN Ouv. Facile D099mm - Ro400 Logifood Petit Pecheur</t>
  </si>
  <si>
    <t>020404NS0221</t>
  </si>
  <si>
    <t>Cap FBN Ouv. Facile D099mm - Tamima RO400</t>
  </si>
  <si>
    <t>020404NS0213</t>
  </si>
  <si>
    <t>Cap FBN OF 1/4 Club D122mm - BPANI</t>
  </si>
  <si>
    <t>020404NS0211</t>
  </si>
  <si>
    <t xml:space="preserve">Cap FBN Ouv. Facile D099mm - VIVE </t>
  </si>
  <si>
    <t>020404NS0210</t>
  </si>
  <si>
    <t>Cap FBN Simple D073mm - VIVE - BPA NI</t>
  </si>
  <si>
    <t>020404NS0209</t>
  </si>
  <si>
    <t>Cap FB PAIL D305  Imprimé PRODEC LAQUE /NV</t>
  </si>
  <si>
    <t>020404NS0208</t>
  </si>
  <si>
    <t>Cap FB PAIL D305  Imprimé PRODEC VINYL /VP</t>
  </si>
  <si>
    <t>020404NS0207</t>
  </si>
  <si>
    <t xml:space="preserve">Cap FBN OF D73mm Chile - VIVE </t>
  </si>
  <si>
    <t>020404NS0206</t>
  </si>
  <si>
    <t>Cap FB CB VERNIS INT. Tulipe D180mm (Seau 3,5/5 kg Tulipe)</t>
  </si>
  <si>
    <t>020404NS0205</t>
  </si>
  <si>
    <t>Cap FB PAIL D305  Imprimé Quadri SIDNI COLOR</t>
  </si>
  <si>
    <t>020404NS0204</t>
  </si>
  <si>
    <t>Cap FB Vernis PAIL D180mm (Seau 3,5 kg Tronco VI Alimentaire)</t>
  </si>
  <si>
    <t>020404NS0203</t>
  </si>
  <si>
    <t xml:space="preserve">Cap FBN OF 1/4 Club D122mm - VIVE </t>
  </si>
  <si>
    <t>020404NS0202</t>
  </si>
  <si>
    <t xml:space="preserve">Cap FBN OF D83mm - VIVE </t>
  </si>
  <si>
    <t>020404NS0201</t>
  </si>
  <si>
    <t xml:space="preserve">Cap FBN Simple D065mm </t>
  </si>
  <si>
    <t>020404NS0113</t>
  </si>
  <si>
    <t xml:space="preserve">CAP FBN Simple D 96 STD </t>
  </si>
  <si>
    <t>020404NS0112</t>
  </si>
  <si>
    <t>Cap FBN Simple D153mm-VIVE- BPA NI</t>
  </si>
  <si>
    <t>020404NS0111</t>
  </si>
  <si>
    <t>Cap FBN Simple D099mm - VIVE - BPA NI</t>
  </si>
  <si>
    <t>020404NS0110</t>
  </si>
  <si>
    <t>Cap FBN Simple D070mm - VIVE - BPA NI</t>
  </si>
  <si>
    <t>020404NS0109</t>
  </si>
  <si>
    <t>Cap FBN Simple D055mm - VIVE - BPA NI</t>
  </si>
  <si>
    <t>020404NS0108</t>
  </si>
  <si>
    <t>Cap FBN OS D55mm (Boite 1/4kg - 71x80)</t>
  </si>
  <si>
    <t>020404NS0107</t>
  </si>
  <si>
    <t>Cap FBN OS D45mm (Boite 1/10kg - 55x55 )</t>
  </si>
  <si>
    <t>020404NS0106</t>
  </si>
  <si>
    <t>Cap FB CB  Tulipe D180mm (Seau 3,5/5 kg Tulipe)</t>
  </si>
  <si>
    <t>020404NS0105</t>
  </si>
  <si>
    <t>Cap FB CB  PAIL D305mm (Seau 15/17/22 L Tronconique)</t>
  </si>
  <si>
    <t>020404NS0104</t>
  </si>
  <si>
    <t>Cap FB CB  PAIL D180mm (Seau 3,5/4,5/5 kg Tronconique)</t>
  </si>
  <si>
    <t>020404NS0103</t>
  </si>
  <si>
    <t>Cap FB CB  OS D93/98mm (Boite 108X70/108x99/108x125/108X131)</t>
  </si>
  <si>
    <t>020404NS0102</t>
  </si>
  <si>
    <t>Cap FB CB  OS D76mm (Boite 1/2kg H - 86x110)</t>
  </si>
  <si>
    <t>020404NS0101</t>
  </si>
  <si>
    <t>Cap FB CB  BR D108mm (Boite 108x70/108x105)</t>
  </si>
  <si>
    <t>020404IM0303</t>
  </si>
  <si>
    <t>Cvc FB OF 1/4 Club Epoxy Litho 2C - OC - Rosa Rouge SHV</t>
  </si>
  <si>
    <t>020404IM0302</t>
  </si>
  <si>
    <t>Cvc FB OF 1/4 Club Epoxy Litho 2C - OC - Oceamic Rouge SHV</t>
  </si>
  <si>
    <t>020404IM0301</t>
  </si>
  <si>
    <t xml:space="preserve">Cvc FB OF 1/4 Club Epoxy Litho 2C - Silverfood - Ginny Rouge </t>
  </si>
  <si>
    <t>020404IM0201</t>
  </si>
  <si>
    <t xml:space="preserve">Cvc FB OF 1/4 Club Epoxy Litho 2C - Silverfood - Atlanta Rouge </t>
  </si>
  <si>
    <t>020404IM0103</t>
  </si>
  <si>
    <t xml:space="preserve">Cvc FB OF 1/4 Club Epoxy Litho Amadir - Citadelle Jaune </t>
  </si>
  <si>
    <t>020404IM0102</t>
  </si>
  <si>
    <t xml:space="preserve">Cvc FB OF 1/4 Club Epoxy Litho Amadir - 525 Jaune </t>
  </si>
  <si>
    <t>020404IM0101</t>
  </si>
  <si>
    <t xml:space="preserve">Cvc FB OF 1/4 Club Epoxy Litho 2C - Silverfood - Silver Rouge </t>
  </si>
  <si>
    <t>020404EP0111</t>
  </si>
  <si>
    <t>Cap FBN Simple D099mm - VIVE - EPOXY</t>
  </si>
  <si>
    <t>020404AL9101</t>
  </si>
  <si>
    <t>Cvc ALU OF Dingley Gold - BPANI</t>
  </si>
  <si>
    <t>020401NK0411</t>
  </si>
  <si>
    <t>Boite 1/4 Lisse OF - 73x58 - Mouluree - BPANI - MIEL - NOTAM ZEMZAMI</t>
  </si>
  <si>
    <t>FBVI</t>
  </si>
  <si>
    <t>0203SRT0102</t>
  </si>
  <si>
    <t>Boite OF 4/4 - 099x109 - Silver - G4 - EPOXY</t>
  </si>
  <si>
    <t>0203SIG40505</t>
  </si>
  <si>
    <t>Boite OF 4/4 - 099x120 - Silver - G4 - BPANI</t>
  </si>
  <si>
    <t>0203SIG30701</t>
  </si>
  <si>
    <t>Boite A10 - 153x180 -Silver - 0.25 - G3 BPANI</t>
  </si>
  <si>
    <t>0203SIG3021M</t>
  </si>
  <si>
    <t>Boite A10 - 153x180 -Silver - 0.21 - G3 BPANI</t>
  </si>
  <si>
    <t>0203GOG41103</t>
  </si>
  <si>
    <t>Boite 5/1 - 153x245 - Ext Gold - Int Blanc Ceramique G4 BPANI</t>
  </si>
  <si>
    <t>0203EPG0505</t>
  </si>
  <si>
    <t>Boite OF 4/4 - 099x120 - Silver - G4 - EPOXY</t>
  </si>
  <si>
    <t>020399NK0113</t>
  </si>
  <si>
    <t>Boite FB Conique EED 1/4 Club - 125ml - 122x028 - BPANI</t>
  </si>
  <si>
    <t>FBFN</t>
  </si>
  <si>
    <t>020307OV0102</t>
  </si>
  <si>
    <t>Boite 1/2 Oval 340ml</t>
  </si>
  <si>
    <t>020303NK0513</t>
  </si>
  <si>
    <t xml:space="preserve">Boite 4/4 -099x119- BPANI WHITE PIGMENT_VICTUS DAR EL AASAL </t>
  </si>
  <si>
    <t>020303NK0512</t>
  </si>
  <si>
    <t xml:space="preserve">Boite 4/4 -099x119- BPANI WHITE PIGMENT_VICTUS JANANE EL AASAL </t>
  </si>
  <si>
    <t>020303NK0103</t>
  </si>
  <si>
    <t xml:space="preserve">Boite FB RET OF 1/5 Ro160-TAM THON NATUREL-080x041,5 </t>
  </si>
  <si>
    <t>020303NK0102</t>
  </si>
  <si>
    <t xml:space="preserve">Boite FB RET OF 1/5 Ro160-TAM THON HUILE VGT-080x041,5 </t>
  </si>
  <si>
    <t>020303NK0101</t>
  </si>
  <si>
    <t xml:space="preserve">Boite Fer Blanc RET OF 1/5 Thon -Ro160 - 080x041,5 </t>
  </si>
  <si>
    <t>020302TFS0612</t>
  </si>
  <si>
    <t>Boite 4/4 Fds TFS-099x12-ENNASR/MFI-Dinar Abricot - Blanc Epoxy</t>
  </si>
  <si>
    <t>020302PET0001</t>
  </si>
  <si>
    <t xml:space="preserve">Boite Ronde Aluminium Quaty 100 ml </t>
  </si>
  <si>
    <t>ALPI</t>
  </si>
  <si>
    <t>020302NK6101</t>
  </si>
  <si>
    <t>Boite ALU Droite EES 1/4 Club 27 Silver - 120ml - BPANI</t>
  </si>
  <si>
    <t>020302NK5101</t>
  </si>
  <si>
    <t>Boite ALU Conique EED 1/4 Club 29 Silver - 125ml - BPANI</t>
  </si>
  <si>
    <t>020302NK4101</t>
  </si>
  <si>
    <t>Boite ALU Conique EED 1/4 Club 27 Silver - 120ml - BPANI</t>
  </si>
  <si>
    <t>020302NK3101</t>
  </si>
  <si>
    <t>Boite ALU Conique EED 1/4 Club 22 Silver - 90ml - BPANI</t>
  </si>
  <si>
    <t>020302NK2103</t>
  </si>
  <si>
    <t>Boite 5/1 - 153x245 - Ext Silver - Int Vernis Or G4 BPANI</t>
  </si>
  <si>
    <t>020302NK1201</t>
  </si>
  <si>
    <t xml:space="preserve">Boite Fer Blanc 5Kg Brut (Abricot) - 153x273 - Mouluree - VE  </t>
  </si>
  <si>
    <t>020302NK1105</t>
  </si>
  <si>
    <t>Boite 5kg Tronconique VI - 168x180x235 - Pails - FB CB</t>
  </si>
  <si>
    <t>020302NK1104</t>
  </si>
  <si>
    <t>Boite 5kg Tulipe VI - 169x190x252 - OS - FB CB</t>
  </si>
  <si>
    <t>020302NK1103</t>
  </si>
  <si>
    <t>Boite 5/1 - 153x245 - Ext Silver - Int Blanc Ceramique G4 BPANI</t>
  </si>
  <si>
    <t>020302NK1102</t>
  </si>
  <si>
    <t>Boite 5kg Tulipe - 169x190x252 - OS - FB CB</t>
  </si>
  <si>
    <t>020302NK1101</t>
  </si>
  <si>
    <t>Boite 5kg Tronconique - 168x180x235 - Pails - FB CB</t>
  </si>
  <si>
    <t>020302NK1002</t>
  </si>
  <si>
    <t>Boite 4,5kg Tulipe - 169x190x210 - OS - FB CB</t>
  </si>
  <si>
    <t>020302NK1001</t>
  </si>
  <si>
    <t>Boite 4,5kg Tronconique - 168x180x205 - Pails - FB CB</t>
  </si>
  <si>
    <t>020302NK0913</t>
  </si>
  <si>
    <t>Boite FB OF 1/10 Thon - Ro80 - 65x38 - LOGIFOOD PTIT PECHEUR PIMENT</t>
  </si>
  <si>
    <t>FBFI</t>
  </si>
  <si>
    <t>020302NK0912</t>
  </si>
  <si>
    <t>Boite Fer Blanc OF 1/10 Thon - Ro80 - 065x038 - LOGIF - MIRO HV</t>
  </si>
  <si>
    <t>020302NK0911</t>
  </si>
  <si>
    <t>Boite Fer Blanc OF 1/10 Thon - Ro80 - 065x038 - LOGIF - GOLDY ST</t>
  </si>
  <si>
    <t>020302NK0910</t>
  </si>
  <si>
    <t>Boite Fer Blanc OF 1/10 Thon - Ro80 - 065x038 - LOGIF - GOLDY HV</t>
  </si>
  <si>
    <t>020302NK0909</t>
  </si>
  <si>
    <t>Boite Fer Blanc OF 1/10 Thon - Ro80 - 065x038 - JF - ISADORA ST</t>
  </si>
  <si>
    <t>020302NK0908</t>
  </si>
  <si>
    <t>Boite Fer Blanc OF 1/10 Thon - Ro80 - 065x038 - JF - ISADORA HV</t>
  </si>
  <si>
    <t>020302NK0907</t>
  </si>
  <si>
    <t>Boite FB OF 1/10 Thon - Ro80 - 65x38 - LOGIFOOD PTIT PECHEUR ST ROUGE</t>
  </si>
  <si>
    <t>020302NK0906</t>
  </si>
  <si>
    <t>Boite FB OF 1/10 Thon - Ro80 - 65x38 - LOGIFOOD PTIT PECHEUR HV BLEU</t>
  </si>
  <si>
    <t>020302NK0905</t>
  </si>
  <si>
    <t>Boite Fer Blanc OF 1/10 Thon - Ro80 - 065x038 - MDM - LUKA TST ROUGE</t>
  </si>
  <si>
    <t>020302NK0904</t>
  </si>
  <si>
    <t>Boite Fer Blanc OF 1/10 Thon - Ro80 - 065x038 - TAMIMA BLEU</t>
  </si>
  <si>
    <t>020302NK0903</t>
  </si>
  <si>
    <t>Boite 1/2kg Longue - 086x110 - OS - PPT</t>
  </si>
  <si>
    <t>020302NK0902</t>
  </si>
  <si>
    <t>Boite Fer Blanc OF 1/10 Thon - Ro80 - 065x038 - TAMIMA ROUGE</t>
  </si>
  <si>
    <t>020302NK0901</t>
  </si>
  <si>
    <t>Boite Fer Blanc OF 1/10 Thon - Ro80 - 065x038 - VMM PESCADA</t>
  </si>
  <si>
    <t>020302NK0813</t>
  </si>
  <si>
    <t xml:space="preserve">Boite 4/4 - 099x109 - GLO FOODS - KOUNOUZ - </t>
  </si>
  <si>
    <t>020302NK0803</t>
  </si>
  <si>
    <t>Boite 3,5kg Tronconique VI - 169x180x171 - Pails -FB CB</t>
  </si>
  <si>
    <t>020302NK0802</t>
  </si>
  <si>
    <t>Boite 3,5kg Tulipe - 169x190x182 - OS - FB CB</t>
  </si>
  <si>
    <t>020302NK0801</t>
  </si>
  <si>
    <t>Boite 3,5kg Tronconique - 169x180x171 - Pails -FB CB</t>
  </si>
  <si>
    <t>020302NK0712</t>
  </si>
  <si>
    <t>Boite 4/4 - 099x109 - GLO FOODS - Seven Abricot - Blanc Epoxy</t>
  </si>
  <si>
    <t>020302NK0702</t>
  </si>
  <si>
    <t>Boite Fer Blanc 1K700 - Mouluree - 153x100 - BPA NI</t>
  </si>
  <si>
    <t>020302NK0701</t>
  </si>
  <si>
    <t>Boite A10 - 153x180 -Silver - 0.25 - G4 BPANI</t>
  </si>
  <si>
    <t>020302NK0612</t>
  </si>
  <si>
    <t>Boite 4/4 - 099x120 - ENNASR/MFI - Dinar Abricot - Blanc Epoxy</t>
  </si>
  <si>
    <t>020302NK0602</t>
  </si>
  <si>
    <t>Boite Fer Blanc 2K500 - Mouluree - 153x120 - BPA NI</t>
  </si>
  <si>
    <t>020302NK0522</t>
  </si>
  <si>
    <t>Boite 4/4 OF - 099x120 - JANANE ZEM. - MULTIFLEURS</t>
  </si>
  <si>
    <t>020302NK0521</t>
  </si>
  <si>
    <t>Boite 4/4 OF - 099x120 - JANANE ZEM. - AASAL L'BLAD</t>
  </si>
  <si>
    <t>020302NK0514</t>
  </si>
  <si>
    <t xml:space="preserve">Boite 4/4 OF - 099x120 - LOGI FOOD-LE P'TIT PECHEUR Thon HV  </t>
  </si>
  <si>
    <t>020302NK0513</t>
  </si>
  <si>
    <t xml:space="preserve">Boite 4/4 - 099x120 - Mouluree - BPANI -Victus - Dar AL Assal - </t>
  </si>
  <si>
    <t>020302NK0512</t>
  </si>
  <si>
    <t>Boite 4/4 - 099x120 - ENNASR/MFI - OVD FATMA - Vernis Int. Or</t>
  </si>
  <si>
    <t>020302NK0511</t>
  </si>
  <si>
    <t>Boite 4/4 OF - 099x120 - Mouluree - NOTAM - Miel Zemzami</t>
  </si>
  <si>
    <t>020302NK0510</t>
  </si>
  <si>
    <t>Boite 4/4 OF - 099x120 - Mouluree - BPANI - MIEL - MIEL DU MAROC</t>
  </si>
  <si>
    <t>020302NK0506</t>
  </si>
  <si>
    <t>Boite Fer Blanc OS 4/4 - 099x120 - Mouluree - VIVE - BPA NI</t>
  </si>
  <si>
    <t>020302NK0505</t>
  </si>
  <si>
    <t>Boite OF 4/4 - 099x120 - Silver - G3 - BPANI</t>
  </si>
  <si>
    <t>020302NK0504</t>
  </si>
  <si>
    <t>Boite 1kg Moyenne - 108x125 - OS - FBN</t>
  </si>
  <si>
    <t>020302NK0503</t>
  </si>
  <si>
    <t>Boite 1kg Longue - 108x131 - OS - FBN</t>
  </si>
  <si>
    <t>020302NK0502</t>
  </si>
  <si>
    <t>Boite 1kg Courte - 108x105 - BR - FBN</t>
  </si>
  <si>
    <t>020302NK0501</t>
  </si>
  <si>
    <t>Boite 1kg Courte - 108x099 - OS - FBN</t>
  </si>
  <si>
    <t>020302NK0412</t>
  </si>
  <si>
    <t xml:space="preserve">Boite Fer Blanc 1/2 Basse- OF EPOXI </t>
  </si>
  <si>
    <t>020302NK0411</t>
  </si>
  <si>
    <t>Boite 1/2 Haute OF - 73x110 - Mouluree - BPANI - MIEL - NOTAM ZEMZAMI</t>
  </si>
  <si>
    <t>020302NK0410</t>
  </si>
  <si>
    <t>Boite 1/2 Haute OF - 73x110 - Mouluree - BPANI - MIEL - MIEL DU MAROC</t>
  </si>
  <si>
    <t>020302NK0409</t>
  </si>
  <si>
    <t>Boite Fer Blanc 1/2 Basse RET - 096x68 - VIVE</t>
  </si>
  <si>
    <t>020302NK0407</t>
  </si>
  <si>
    <t>Boite FB OF_73 1/2 Haute RET - 070x110 - Mouluree - VIVE BPANI</t>
  </si>
  <si>
    <t>020302NK0406</t>
  </si>
  <si>
    <t>Boite FB OS_70 1/2 Haute RET - 070x110 - Mouluree - VIVE BPANI</t>
  </si>
  <si>
    <t>020302NK0405</t>
  </si>
  <si>
    <t>Boite Fer Blanc OS 1/2 Haute - 073x110 - Mouluree - VIVE - BPA NI</t>
  </si>
  <si>
    <t>020302NK0404</t>
  </si>
  <si>
    <t>Boite Fer Blanc OF 1/2 Haute - 073x110 - Mouluree - VIVE - BPANI</t>
  </si>
  <si>
    <t>020302NK0403</t>
  </si>
  <si>
    <t>Boite 1/2kg Longue - 086x110 - OS - FBN</t>
  </si>
  <si>
    <t>020302NK0402</t>
  </si>
  <si>
    <t>Boite 1/2kg Courte - 108x070 - OS - FBN</t>
  </si>
  <si>
    <t>020302NK0401</t>
  </si>
  <si>
    <t>Boite 1/2kg Courte - 108x070 - BR - FBN</t>
  </si>
  <si>
    <t>020302NK0301</t>
  </si>
  <si>
    <t>Boite 1/4kg - 071x080 - OS - FBN</t>
  </si>
  <si>
    <t>020302NK0201</t>
  </si>
  <si>
    <t>Boite 1/10kg - 055x055 - OS - FBN</t>
  </si>
  <si>
    <t>020302NK0113</t>
  </si>
  <si>
    <t>Boite FB Droite 1/4 Club - 125ml - 122x028 - BPANI</t>
  </si>
  <si>
    <t>020302NK0103</t>
  </si>
  <si>
    <t>Boite FB Droite 1/4 Club - 125ml - 122x028 - VIVE</t>
  </si>
  <si>
    <t>020302NK0101</t>
  </si>
  <si>
    <t xml:space="preserve">Boite Fer Blanc OF 1/10 Thon -Ro80 - 065x038 </t>
  </si>
  <si>
    <t>020302NI0112</t>
  </si>
  <si>
    <t>Boite Fer Blanc OF 1/2 Basse RET TAM- THON AU NATUREL - 096x68</t>
  </si>
  <si>
    <t>020302NI0111</t>
  </si>
  <si>
    <t>Boite Fer Blanc OF 1/2 Basse RET TAM- THON HUILE VGT - 096x68</t>
  </si>
  <si>
    <t>020302NI0110</t>
  </si>
  <si>
    <t>Boite Fer Blanc OF 1/2 Basse RET LOGIFOOD - PETIT PECHEUR - 096x68</t>
  </si>
  <si>
    <t>020302NI0109</t>
  </si>
  <si>
    <t>Boite Fer Blanc OF 1/2 Basse RET TAMIMA - 099x68</t>
  </si>
  <si>
    <t>020302NG0601</t>
  </si>
  <si>
    <t xml:space="preserve">Boite 4/4 - 096x115 - Silver - G3 </t>
  </si>
  <si>
    <t>020302MK2101</t>
  </si>
  <si>
    <t>Boite 5/1 - 153x242 - GLO FOODS - Seven Abricot - Blanc Epoxy</t>
  </si>
  <si>
    <t>020302MK1120</t>
  </si>
  <si>
    <t>Boite 5/1-153x245 Spec LM- VMM / STAR -Sauce Pizza - VI Blanc</t>
  </si>
  <si>
    <t>020302MK1118</t>
  </si>
  <si>
    <t>Boite 5/1 - 153x245 - ENNASR/MFI - Conf. Fraises DINAR - VI Blanc</t>
  </si>
  <si>
    <t>020302MK1115</t>
  </si>
  <si>
    <t>Boite 5/1 - 153x245 - SMARCOS - DCT KATCHA - VI Blanc</t>
  </si>
  <si>
    <t>020302MK1114</t>
  </si>
  <si>
    <t>Boite 5/1 - 153x245 - ENNASR/MFI - Conf. Abricot DINAR - VI Blanc</t>
  </si>
  <si>
    <t>020302MK1113</t>
  </si>
  <si>
    <t>Boite 5/1 - 153x245 - ENNASR/MFI - OVD FATMA - Vernis Int. Or</t>
  </si>
  <si>
    <t>020302MK1112</t>
  </si>
  <si>
    <t>Boite 5/1 - 153x245 - New Peppers Sweet African Pepper - BPANI</t>
  </si>
  <si>
    <t>020302MK1111</t>
  </si>
  <si>
    <t>Boite 5/1 - 153x245 - Univers Food Zébrée by Univ Food - BPANI</t>
  </si>
  <si>
    <t>020302MK1110</t>
  </si>
  <si>
    <t>Boite 5/1 - 153x245 - Univers Food Zébrée by Casa Oliva - BPANI</t>
  </si>
  <si>
    <t>020302MK0803</t>
  </si>
  <si>
    <t>Seau 3.5 kg Tronconique VI - MIEL DAR ESSALAM - MIEL 4KG300</t>
  </si>
  <si>
    <t>020302MK0802</t>
  </si>
  <si>
    <t>Seau 3.5 kg Tronco VI + CVC VIVE - MIEL DAR ESSALAM - EUCALYPTUS 4KG</t>
  </si>
  <si>
    <t>020302MK0801</t>
  </si>
  <si>
    <t>Seau 3.5 kg Tronco VI + CVC VIVE - NOTAM - Miel Zemzami</t>
  </si>
  <si>
    <t>020302LK0801</t>
  </si>
  <si>
    <t>Boite 400G RET NEUTRE (1/2H PET FOOD) - 070X110</t>
  </si>
  <si>
    <t>FBLN</t>
  </si>
  <si>
    <t>020302LK0741</t>
  </si>
  <si>
    <t xml:space="preserve">Boite 350GLuncheon meat POULET Bestcoock OF  -073X110-Al Firdaouss </t>
  </si>
  <si>
    <t>FBLI</t>
  </si>
  <si>
    <t>020302LK0740</t>
  </si>
  <si>
    <t>Boite 350G luncheon meat DINDE OF -073X110-Al Firdaouss</t>
  </si>
  <si>
    <t>020302LK0739</t>
  </si>
  <si>
    <t>Boite 400G RET-070X110-ODACE Boulettes au Bœuf  Chat-COPAG</t>
  </si>
  <si>
    <t>020302LK0738</t>
  </si>
  <si>
    <t>Boite 400G RET-070X110-QUATY Boulettes Boeuf Chat Adulte-COPAG</t>
  </si>
  <si>
    <t>020302LK0737</t>
  </si>
  <si>
    <t>Boite 400G RET-070X110-QUATY Boulettes Saumon Chat Adulte-COPAG</t>
  </si>
  <si>
    <t>020302LK0736</t>
  </si>
  <si>
    <t>Boite 400G RET-070X110-QUATY Boulettes Volaille Chat Adulte-COPAG</t>
  </si>
  <si>
    <t>020302LK0735</t>
  </si>
  <si>
    <t>Boite 400G RET-070X110-OSKAY Boulettes Volailles Chien Adulte-COPAG</t>
  </si>
  <si>
    <t>020302LK0734</t>
  </si>
  <si>
    <t>Boite 400G RET-070X110-OSKAY Boulettes Viandes Chien Adulte-COPAG</t>
  </si>
  <si>
    <t>020302LK0733</t>
  </si>
  <si>
    <t>Boite 400G RET-070X110-ODACE Boulettes Volaille Chat-COPAG</t>
  </si>
  <si>
    <t>020302LK0732</t>
  </si>
  <si>
    <t>Boite 400G RET-070X110-ODACE Boulettes Saumon Chat-COPAG</t>
  </si>
  <si>
    <t>020302LK0731</t>
  </si>
  <si>
    <t>Boite 400G RET-070X110-AYDI Boulettes Volailles Chien-COPAG</t>
  </si>
  <si>
    <t>020302LK0730</t>
  </si>
  <si>
    <t>Boite 400G RET-070X110-AYDI Boulettes Bœuf Chien-COPAG</t>
  </si>
  <si>
    <t>020302LK0728</t>
  </si>
  <si>
    <t>Boite 1KG700 NIEMA BŒUF &amp; VOLAILLES -EUROMAR</t>
  </si>
  <si>
    <t>020302LK0727</t>
  </si>
  <si>
    <t>Boite 350G LUNCHEON DINDE  - 073x110 - FOODIS</t>
  </si>
  <si>
    <t>020302LK0726</t>
  </si>
  <si>
    <t>Boite 800G LUNCHEON - 073x225 -SOMAFACO - BONBURG LUNCHON POULET</t>
  </si>
  <si>
    <t>020302LK0725</t>
  </si>
  <si>
    <t>Boite 800G LUNCHEON - 073x225 -AL FIRDAOUSS - BEST COCK OLIVES</t>
  </si>
  <si>
    <t>020302LK0724</t>
  </si>
  <si>
    <t>Boite 1/2 Haute OF - 73x110 - Mouluree - INTEROIL - BECHAR EL KHEIR</t>
  </si>
  <si>
    <t>020302LK0723</t>
  </si>
  <si>
    <t>Boite 1KG700 LUNCHEON - 099x243 - AL FIRDAOUSS - LUNCH PIQUANTE</t>
  </si>
  <si>
    <t>020302LK0722</t>
  </si>
  <si>
    <t>Boite 800G LUNCHEON - 073x225 -AL FIRDAOUSS - LUNCH PIQUANTE</t>
  </si>
  <si>
    <t>020302LK0721</t>
  </si>
  <si>
    <t>Boite 400G RET-070X110-QUATY Terrine Junior-COPAG</t>
  </si>
  <si>
    <t>020302LK0720</t>
  </si>
  <si>
    <t>Boite 400G RET-070X110-QUATY Terrine Adultes-COPAG</t>
  </si>
  <si>
    <t>020302LK0719</t>
  </si>
  <si>
    <t>Boite 400G RET-070X110-OSKAY Terrine Junior-COPAG</t>
  </si>
  <si>
    <t>020302LK0718</t>
  </si>
  <si>
    <t>Boite 400G RET-070X110-OSKAY Terrine Adultes-COPAG</t>
  </si>
  <si>
    <t>020302LK0717</t>
  </si>
  <si>
    <t xml:space="preserve">Boite 1KG700 LUNCHEON - 099x243 - AL FIRDAOUSS - LUNCH DINDE </t>
  </si>
  <si>
    <t>020302LK0716</t>
  </si>
  <si>
    <t>Boite 800G LUNCHEON - 073x225 -AL FIRDAOUSS - LUNCH POULET BEST COCK</t>
  </si>
  <si>
    <t>020302LK0715</t>
  </si>
  <si>
    <t>Boite 800G LUNCHEON - 073x225 -AL FIRDAOUSS - LUNCH DINDE</t>
  </si>
  <si>
    <t>020302LK0714</t>
  </si>
  <si>
    <t>Boite 800G LUNCHEON - 073x225 - SAHEL - LUNCH POULET</t>
  </si>
  <si>
    <t>020302LK0713</t>
  </si>
  <si>
    <t>Boite 800G LUNCHEON - 073x225 - SAHEL - LUNCH DINDE</t>
  </si>
  <si>
    <t>020302LK0712</t>
  </si>
  <si>
    <t>Boite 800G LUNCHEON - 073x225 - FOODIS - LUNCH DINDE</t>
  </si>
  <si>
    <t>020302LK0711</t>
  </si>
  <si>
    <t xml:space="preserve">Boite 1KG700 LUNCHEON - 099x243 - FOODIS - LUNCH DINDE </t>
  </si>
  <si>
    <t>020302LK0710</t>
  </si>
  <si>
    <t>Boite 1KG700 LUNCHEON - 099x243 - AL MARAI - OUSSOL POULET</t>
  </si>
  <si>
    <t>020302LK0709</t>
  </si>
  <si>
    <t>Boite 800G LUNCHEON - 073x225 - AL MARAI - OUSSOL POULET</t>
  </si>
  <si>
    <t>020302LK0708</t>
  </si>
  <si>
    <t>Boite 350G LUNCHEON - 073x110 - AL MARAI - OUSSOL POULET</t>
  </si>
  <si>
    <t>020302LK0707</t>
  </si>
  <si>
    <t>Boite 1KG700 LUNCHEON - 099x243 - COPAG - LUNCH JAYDA BOEUF</t>
  </si>
  <si>
    <t>020302LK0706</t>
  </si>
  <si>
    <t>Boite 800G LUNCHEON - 073x225 - COPAG - LUNCH JAYDA BOEUF</t>
  </si>
  <si>
    <t>020302LK0705</t>
  </si>
  <si>
    <t>Boite 350G RET- 073x70x110 - COPAG - LUNCH JAYDA BOEUF</t>
  </si>
  <si>
    <t>020302LK0704</t>
  </si>
  <si>
    <t>Boite 350G LUNCHEON - 073x110 - AL MARAI - OUSSOL DINDE</t>
  </si>
  <si>
    <t>020302LK0703</t>
  </si>
  <si>
    <t>Boite 800G LUNCHEON - 073x225 - AL MARAI - OUSSOL DINDE</t>
  </si>
  <si>
    <t>020302LK0702</t>
  </si>
  <si>
    <t>Boite 1KG700 LUNCHEON - 099x243 - AL MARAI - OUSSOL DINDE</t>
  </si>
  <si>
    <t>020302IM0402</t>
  </si>
  <si>
    <t xml:space="preserve">Boite FB Club AC 125ml - Litho 2 C - OC Rosa Rouge SHV </t>
  </si>
  <si>
    <t>020302IM0401</t>
  </si>
  <si>
    <t xml:space="preserve">Boite FB Club AC 125ml - Litho 2 C - OC Oceamic Rouge SHV </t>
  </si>
  <si>
    <t>020302IM0301</t>
  </si>
  <si>
    <t>Boite FB Club AC 125ml - Litho 2 C - Epoxy - SF Ginny Rouge</t>
  </si>
  <si>
    <t>020302IM0203</t>
  </si>
  <si>
    <t>Boite FB Club AC 125ml -Litho-Epoxy-TAM FILETS THON</t>
  </si>
  <si>
    <t>020302IM0201</t>
  </si>
  <si>
    <t>Boite FB Club AC 125ml - Litho 2 C - Epoxy - SF Atlanta Rouge</t>
  </si>
  <si>
    <t>020302IM0103</t>
  </si>
  <si>
    <t xml:space="preserve">Boite FB Club AC 125ml Citadelle Jau Sar HV- Epoxy-AMADIR </t>
  </si>
  <si>
    <t>020302IM0102</t>
  </si>
  <si>
    <t xml:space="preserve">Boite FB Club AC 125ml 525 Jaune Sar HV- Epoxy-AMADIR </t>
  </si>
  <si>
    <t>020302IM0101</t>
  </si>
  <si>
    <t>Boite FB Club AC 125ml - Litho 2 C - Epoxy - SF Silver Rouge</t>
  </si>
  <si>
    <t>020302IK1199</t>
  </si>
  <si>
    <t>Boite 5kg T avec Jonc - 168x180x235 -Pails -PRODEC-SBAGHTI LAQUE</t>
  </si>
  <si>
    <t>020302IK1198</t>
  </si>
  <si>
    <t>Boite 5kg T avec Jonc - 168x180x235 -Pails -PRODEC-G4+</t>
  </si>
  <si>
    <t>020302IK1118</t>
  </si>
  <si>
    <t>Boite 5kg T avec Jonc - 168x180x235 -Pails -PRODEC-SBAGHTI LAQUE PLUS</t>
  </si>
  <si>
    <t>020302IK1117</t>
  </si>
  <si>
    <t>Boite 5kg T avec Jonc - 168x180x235 - Pails -BOULMANE-JOTEX</t>
  </si>
  <si>
    <t>020302IK1116</t>
  </si>
  <si>
    <t>Boite 5kg T avec Jonc - 168x180x235 - Pails -CHROMA COLOR</t>
  </si>
  <si>
    <t>020302IK1115</t>
  </si>
  <si>
    <t>Boite 5kg T avec Jonc - 168x180x235 - Pails -COPROCHIM-COPROLAC</t>
  </si>
  <si>
    <t>020302IK1114</t>
  </si>
  <si>
    <t>Boite 5kg T avec Jonc - 168x180x235 - Pails -RESIPRO-DURCISSEUR EPOXY</t>
  </si>
  <si>
    <t>020302IK1113</t>
  </si>
  <si>
    <t>Boite 5kg T avec Jonc - 168x180x235 - Pails - AIGLOR - APPRET</t>
  </si>
  <si>
    <t>020302IK1112</t>
  </si>
  <si>
    <t>Boite 5kg T avec Jonc - 168x180x235 - Pails - AIGLOR - AIGLOCAR</t>
  </si>
  <si>
    <t>020302IK1111</t>
  </si>
  <si>
    <t>Boite 5kg T avec Jonc - 168x180x235 - Pails - AIGLOR - AIGLOLAC</t>
  </si>
  <si>
    <t>020302IK1110</t>
  </si>
  <si>
    <t>Boite 5kg T avec Jonc - 168x180x235 - Pails - TRICOL -TRICOLAC</t>
  </si>
  <si>
    <t>020302IK1109</t>
  </si>
  <si>
    <t>Boite 5kg T avec Jonc - 168x180x235 - Pails -EUROCOULEUR- Euro Laque</t>
  </si>
  <si>
    <t>020302IK1108</t>
  </si>
  <si>
    <t>Boite 5kg T avec Jonc - 168x180x235 - Pails - MIPA - MILLALAC</t>
  </si>
  <si>
    <t>020302IK1107</t>
  </si>
  <si>
    <t>Boite 5kg T avec Jonc - 168x180x235 - Pails - SOFACHIME - SOFALAC</t>
  </si>
  <si>
    <t>020302IK1106</t>
  </si>
  <si>
    <t>Boite 5kg T avec Jonc - 168x180x235 - Pails - SOFACHIME - AXA LAQUE</t>
  </si>
  <si>
    <t>020302IK1105</t>
  </si>
  <si>
    <t>Boite 5kg T - 168x180x235 - Pails - MUSTANG - MUSTLAC</t>
  </si>
  <si>
    <t>020302IK1011</t>
  </si>
  <si>
    <t>Boite 4,5kg T - 169x180x208 - Pails -SOFACHIM AXA FER</t>
  </si>
  <si>
    <t>020302IK1010</t>
  </si>
  <si>
    <t>Boite 4,5kg T - 169x180x208 - Pails - OUSSOUD - ANTIROUILLE</t>
  </si>
  <si>
    <t>020302IK1009</t>
  </si>
  <si>
    <t>Boite 4,5kg T - 169x180x208 - Pails - SONACOLOR - SONAFER</t>
  </si>
  <si>
    <t>020302IK1008</t>
  </si>
  <si>
    <t>Boite 4,5kg T - 169x180x208 - Pails - SONAFIP JAWHARA</t>
  </si>
  <si>
    <t>020302IK1007</t>
  </si>
  <si>
    <t>Boite 4,5kg T Jonc - 169x180x208 - Pails - EUROCOULEUR - Euro Fer</t>
  </si>
  <si>
    <t>020302IK1006</t>
  </si>
  <si>
    <t>Boite 4,5kg T Jonc - 169x180x208 - Pails - EUROCOULEUR- Bateau Laque</t>
  </si>
  <si>
    <t>020302IK1005</t>
  </si>
  <si>
    <t>Boite 4,5kg T Jonc - 169x180x208 - Pails - SOFACHIME - 3D LAQUE</t>
  </si>
  <si>
    <t>020302IK1004</t>
  </si>
  <si>
    <t>Boite 4,5kg T Jonc - 169x180x217 - Pails - TISSIR C4</t>
  </si>
  <si>
    <t>020302IK1002</t>
  </si>
  <si>
    <t>Boite 4,5kg T Jonc - 169x180x217 - Pails - TISSIR STARFER</t>
  </si>
  <si>
    <t>020302IK1001</t>
  </si>
  <si>
    <t>Boite 4,5kg T Jonc - 169x180x217 - Pails - MANUP MANULAQUE</t>
  </si>
  <si>
    <t>020302IK0990</t>
  </si>
  <si>
    <t>Boite 1/2H_OF-73x110-Mouluree-VI_BlanC_ORGADFOOD-TISSA Maquereaux ST</t>
  </si>
  <si>
    <t>020302IK0908</t>
  </si>
  <si>
    <t>Boite 4L Tulipe - 180x197 - EUROTEX - NOVA COLOR</t>
  </si>
  <si>
    <t>020302IK0907</t>
  </si>
  <si>
    <t>Boite 4L Tulipe - 180x197 - OUSSOUD AL MAGHREB - ANTI ROUILLE</t>
  </si>
  <si>
    <t>020302IK0906</t>
  </si>
  <si>
    <t>Boite 4L Tulipe - 180x197 - OUSSOUD AL MAGHREB - VERNIS SYNTHETIQUE</t>
  </si>
  <si>
    <t>020302IK0905</t>
  </si>
  <si>
    <t>Boite 4L Tulipe - 180x197 - EUROTEX - GENERIQUE</t>
  </si>
  <si>
    <t>020302IK0904</t>
  </si>
  <si>
    <t>Boite 3L5 Tulipe - 180x170 - EUROTEX - EUROMAT</t>
  </si>
  <si>
    <t>020302IK0903</t>
  </si>
  <si>
    <t>Boite 4L Tulipe - 180x197 - EUROTEX - NOVOLACK</t>
  </si>
  <si>
    <t>020302IK0902</t>
  </si>
  <si>
    <t>Boite 4L Tulipe - 180x197 - EUROTEX - K10</t>
  </si>
  <si>
    <t>020302IK0901</t>
  </si>
  <si>
    <t>Boite 4L Tulipe - 180x197 - EUROTEX - LAQUE</t>
  </si>
  <si>
    <t>020302IK0817</t>
  </si>
  <si>
    <t>Boite 3,5kg T Jonc - 169x180x171 - Pails - PRODEC-SBAGHTI VINYL PLUS</t>
  </si>
  <si>
    <t>020302IK0816</t>
  </si>
  <si>
    <t>Boite 3,5kg T Jonc - 169x180x171 - Pails - CHROMA COLOR</t>
  </si>
  <si>
    <t>020302IK0811</t>
  </si>
  <si>
    <t>Boite 3.5kg T - 169x180x171 - Pails - TRICOL - BATAL 202</t>
  </si>
  <si>
    <t>020302IK0810</t>
  </si>
  <si>
    <t>Boite 3.5kg T - 169x180x171 - Pails - SONAFIP JAWHARA</t>
  </si>
  <si>
    <t>020302IK0809</t>
  </si>
  <si>
    <t>Boite 3.5kg T - 169x180x171 - Pails - EUROCOULEUR - EuroPlast 77</t>
  </si>
  <si>
    <t>020302IK0808</t>
  </si>
  <si>
    <t>Boite 3.5kg T - 169x180x171 - Pails -EUROCOULEUR-Goudron Cellulosique</t>
  </si>
  <si>
    <t>020302IK0807</t>
  </si>
  <si>
    <t>Boite 3.5kg T - 169x180x171 - Pails - EUROCOULEUR - Chromat</t>
  </si>
  <si>
    <t>020302IK0805</t>
  </si>
  <si>
    <t>Boite 3,5kg T Jonc - 169x180x171 - Pails - AIGLOROUILLE R3016</t>
  </si>
  <si>
    <t>020302IK0804</t>
  </si>
  <si>
    <t>Boite 3,5kg T Jonc - 169x180x171 - Pails - AIGLOROUILLE G7040</t>
  </si>
  <si>
    <t>020302IK0803</t>
  </si>
  <si>
    <t>Boite 3,5kg T Jonc - 169x180x171 - Pails - AIGLOR GOUDRON AUTO</t>
  </si>
  <si>
    <t>020302IK0802</t>
  </si>
  <si>
    <t>Boite 3,5kg T Jonc - 169x180x171 - Pails - AIGLOR AIGLOZINC</t>
  </si>
  <si>
    <t>020302IK0801</t>
  </si>
  <si>
    <t>Boite 3,5kg T - 169x180x171 - Pails - SONAFIP MAXIPLAST</t>
  </si>
  <si>
    <t>020302IK0558</t>
  </si>
  <si>
    <t>Boite 1kg Courte - 108x099 - OS - SOFACHIM AXAFER</t>
  </si>
  <si>
    <t>020302IK0557</t>
  </si>
  <si>
    <t>Boite 1kg Longue -108x131 -OS-MUSTANG-VERNIS TITANG</t>
  </si>
  <si>
    <t>020302IK0556</t>
  </si>
  <si>
    <t>Boite 1kg Longue - 108x131 - OS - CHROMA COLOR</t>
  </si>
  <si>
    <t>020302IK0555</t>
  </si>
  <si>
    <t>Boite 1kg Longue - 108x125 - OS - COPROCHIM - COPROLAC</t>
  </si>
  <si>
    <t>020302IK0554</t>
  </si>
  <si>
    <t>Boite 1kg Longue - 108x131 - OS - EUROTEX - EUROMAT</t>
  </si>
  <si>
    <t>020302IK0553</t>
  </si>
  <si>
    <t>Boite 1kg Longue - 108x131 - OS - BENCHRIF - MATCO - ENCAUSTIQUE</t>
  </si>
  <si>
    <t>020302IK0552</t>
  </si>
  <si>
    <t>Boite 1kg Longue - 108x131 - OS - EUROTEX K10</t>
  </si>
  <si>
    <t>020302IK0551</t>
  </si>
  <si>
    <t>Boite 1kg Longue - 108x131 - OS - EUROTEX NOVACOLOR</t>
  </si>
  <si>
    <t>020302IK0550</t>
  </si>
  <si>
    <t>Boite 1kg - 108x125 - OS - SOFACHIME - P3D AXALAQUE</t>
  </si>
  <si>
    <t>020302IK0549</t>
  </si>
  <si>
    <t>Boite 1kg - 108x125 - OS - SOFACHIME - SOFALAC</t>
  </si>
  <si>
    <t>020302IK0548</t>
  </si>
  <si>
    <t>Boite 1kg Longue - 108x99 - OS - SHAMSCOLOR - SHAMSOFER</t>
  </si>
  <si>
    <t>020302IK0547</t>
  </si>
  <si>
    <t>Boite 1kg Longue - 108x131 - OS - SHAMSCOLOR - OMALAC</t>
  </si>
  <si>
    <t>020302IK0546</t>
  </si>
  <si>
    <t>Boite 1kg Longue - 108x131 - OS - SHAMSCOLOR - SHAMSLAC</t>
  </si>
  <si>
    <t>020302IK0545</t>
  </si>
  <si>
    <t>Boite 1kg Longue - 108x131 - OS - SHAMSCOLOR - SHAMSWOOD</t>
  </si>
  <si>
    <t>020302IK0544</t>
  </si>
  <si>
    <t>Boite 1kg Longue - 108x131 - OS - COPROCHIM - VERNICOP</t>
  </si>
  <si>
    <t>020302IK0543</t>
  </si>
  <si>
    <t>Boite 1kg Longue - 108x99 - OS - OUSSOUD - ANTIROUILLE</t>
  </si>
  <si>
    <t>020302IK0542</t>
  </si>
  <si>
    <t>Boite 1kg Longue - 108x131 - OS - OUSSOUD - VERNIS SYNTH BRILLANT</t>
  </si>
  <si>
    <t>020302IK0541</t>
  </si>
  <si>
    <t>Boite 1kg Longue - 108x131 - OS - OUSSOUD - VERNIS CELLULO BRILLANT</t>
  </si>
  <si>
    <t>020302IK0539</t>
  </si>
  <si>
    <t>Boite 1kg Courte - 108x099 - OS - SONACOLOR - SONAFER</t>
  </si>
  <si>
    <t>020302IK0538</t>
  </si>
  <si>
    <t>Boite 1kg Longue - 108x131 - OS - HFF - GALAXY LAC</t>
  </si>
  <si>
    <t>020302IK0537</t>
  </si>
  <si>
    <t>Boite 1kg Longue - 108x131 - OS - OUSSOUD - BOUCHES PORES</t>
  </si>
  <si>
    <t>020302IK0535</t>
  </si>
  <si>
    <t xml:space="preserve">Boite 1kg Moyenne - 108x125 - OS - EUROCOULEUR- Goudron Cellulosique </t>
  </si>
  <si>
    <t>020302IK0534</t>
  </si>
  <si>
    <t>Boite 1kg Courte - 108x099 - OS - EUROCOULEUR - Chromat</t>
  </si>
  <si>
    <t>020302IK0533</t>
  </si>
  <si>
    <t>Boite 1kg Courte - 108x099 - OS - EUROCOULEUR - Euro Fer</t>
  </si>
  <si>
    <t>020302IK0532</t>
  </si>
  <si>
    <t>Boite 1kg Longue - 108x131 - OS - EUROCOULEUR - Euro Wood</t>
  </si>
  <si>
    <t>020302IK0531</t>
  </si>
  <si>
    <t>Boite 1kg Longue - 108x131 - OS - EUROCOULEUR - Euro Laque</t>
  </si>
  <si>
    <t>020302IK0530</t>
  </si>
  <si>
    <t>Boite 1kg Longue - 108x131 - OS - EUROCOULEUR - Euro Auto</t>
  </si>
  <si>
    <t>020302IK0529</t>
  </si>
  <si>
    <t>Boite 1kg Longue - 108x131 - OS - EUROCOULEUR - Bateau Laque</t>
  </si>
  <si>
    <t>020302IK0528</t>
  </si>
  <si>
    <t>Boite 1kg Longue - 108x131 - OS - MUSTANG - MUSTLAC</t>
  </si>
  <si>
    <t>020302IK0527</t>
  </si>
  <si>
    <t>Boite 1kg Longue - 108x131 - OS - BENCHRIF - MATCO - CERA</t>
  </si>
  <si>
    <t>020302IK0523</t>
  </si>
  <si>
    <t>Boite 1kg Moyenne - 108x125 - OS - SONAFIP CLASSICO LAC</t>
  </si>
  <si>
    <t>020302IK0522</t>
  </si>
  <si>
    <t>Boite 1kg Moyenne - 108x125 - OS - ARENA ARENALAC</t>
  </si>
  <si>
    <t>020302IK0521</t>
  </si>
  <si>
    <t>Boite 1kg Longue - 108x131 - OS - MIPA APPRET</t>
  </si>
  <si>
    <t>020302IK0520</t>
  </si>
  <si>
    <t>Boite 1kg Moyenne - 108x125 - OS - MIPA MILLALAC</t>
  </si>
  <si>
    <t>020302IK0519</t>
  </si>
  <si>
    <t>Boite 1kg Moyenne - 108x125 - OS - TISSIR C4</t>
  </si>
  <si>
    <t>020302IK0518</t>
  </si>
  <si>
    <t>Boite 1kg Moyenne - 108x125 - OS - SONAFIP TENSIFTE</t>
  </si>
  <si>
    <t>020302IK0517</t>
  </si>
  <si>
    <t>Boite 1kg Moyenne - 108x125 - OS - SONAFIP JAWHARA</t>
  </si>
  <si>
    <t>020302IK0516</t>
  </si>
  <si>
    <t>Boite 1kg Moyenne - 108x125 - OS - MANUP MANULAQUE</t>
  </si>
  <si>
    <t>020302IK0515</t>
  </si>
  <si>
    <t>Boite 1kg Moyenne - 108x125 - OS - AIGLOR APPRET</t>
  </si>
  <si>
    <t>020302IK0514</t>
  </si>
  <si>
    <t>Boite 1kg Moyenne - 108x125 - OS - AIGLOLAC</t>
  </si>
  <si>
    <t>020302IK0513</t>
  </si>
  <si>
    <t>Boite 1kg Longue - 108x131 -OS - AIGLOCAR</t>
  </si>
  <si>
    <t>020302IK0512</t>
  </si>
  <si>
    <t>Boite 1kg Longue - 108x131 - OS - MIPA MILLAFLEX</t>
  </si>
  <si>
    <t>020302IK0511</t>
  </si>
  <si>
    <t>Boite 1kg Longue - 108x131 - OS - MIPA CELLULO OPAQUE V</t>
  </si>
  <si>
    <t>020302IK0510</t>
  </si>
  <si>
    <t>Boite 1kg Longue - 108x131 - OS - MIPA CELLULO METAL G</t>
  </si>
  <si>
    <t>020302IK0508</t>
  </si>
  <si>
    <t>Boite 1kg Longue - 108x131 - OS - EUROTEX NOVOLACK</t>
  </si>
  <si>
    <t>020302IK0507</t>
  </si>
  <si>
    <t>Boite 1kg Longue - 108x131 - OS - AIGLOR SURFABOIS</t>
  </si>
  <si>
    <t>020302IK0506</t>
  </si>
  <si>
    <t>Boite 1kg Longue - 108x131 - OS - AIGLOFLEX</t>
  </si>
  <si>
    <t>020302IK0503</t>
  </si>
  <si>
    <t>Boite 1kg Courte - 108x099 - OS - TISSIR STARFER</t>
  </si>
  <si>
    <t>020302IK0502</t>
  </si>
  <si>
    <t>Boite 1kg Courte - 108x099 - OS - AIGLOZINC</t>
  </si>
  <si>
    <t>020302IK0501</t>
  </si>
  <si>
    <t>Boite 1kg Courte - 108x099 - OS - AIGLOROUILLE</t>
  </si>
  <si>
    <t>020302IK0417</t>
  </si>
  <si>
    <t>Boite 1/2kg L - 086x110 - OS - EUROTEX-K10</t>
  </si>
  <si>
    <t>020302IK0416</t>
  </si>
  <si>
    <t>Boite 1/2kg L - 086x110 - OS - COPROCHIM - VERNICOP</t>
  </si>
  <si>
    <t>020302IK0414</t>
  </si>
  <si>
    <t>Boite 1/2kg Courte - 108x070 - OS - SONACOLOR - SONAFER</t>
  </si>
  <si>
    <t>020302IK0413</t>
  </si>
  <si>
    <t>Boite 1/2kg L - 086x110 - OS - EUROCOULEUR - EUROLAQUE</t>
  </si>
  <si>
    <t>020302IK0411</t>
  </si>
  <si>
    <t>Boite 1/2kg Courte - 108x070 - OS - TISSIR STARFER</t>
  </si>
  <si>
    <t>020302IK0410</t>
  </si>
  <si>
    <t>Boite 1/2kg L - 086x110 - OS - SONAFIP CLASSICO LAC</t>
  </si>
  <si>
    <t>020302IK0409</t>
  </si>
  <si>
    <t>Boite 1/2kg Courte - 108x070 - OS - MIPA Peinture Cellulosique</t>
  </si>
  <si>
    <t>020302IK0408</t>
  </si>
  <si>
    <t>Boite 1/2kg Courte - 108x070 - OS - MIPA Pate a polir P7</t>
  </si>
  <si>
    <t>020302IK0407</t>
  </si>
  <si>
    <t>Boite 1/2kg Courte - 108x070 - OS - MIPA Pate a lustrer</t>
  </si>
  <si>
    <t>020302IK0406</t>
  </si>
  <si>
    <t>Boite 1/2kg L - 086x110 - OS - SONAFIP TENSIFT</t>
  </si>
  <si>
    <t>020302IK0405</t>
  </si>
  <si>
    <t>Boite 1/2kg L - 086x110 - OS - MANUPEINT MANULAQUE</t>
  </si>
  <si>
    <t>020302IK0404</t>
  </si>
  <si>
    <t>Boite 1/2kg L - 086x110 - OS - EUROTEX NOVOLACK</t>
  </si>
  <si>
    <t>020302IK0403</t>
  </si>
  <si>
    <t>Boite 1/2kg Courte - 108x070 - OS - AIGLOR APPRET</t>
  </si>
  <si>
    <t>020302IK0402</t>
  </si>
  <si>
    <t>Boite 1/2kg Courte - 108x070 - OS - AIGLOLAC</t>
  </si>
  <si>
    <t>020302IK0401</t>
  </si>
  <si>
    <t>Boite 1/2kg Courte - 108x070 - OS - AIGLOCAR</t>
  </si>
  <si>
    <t>020302IK0302</t>
  </si>
  <si>
    <t>Boite 1/4kg - 071x080 - OS - EUROCOULEUR - Euro Auto</t>
  </si>
  <si>
    <t>020302IK0301</t>
  </si>
  <si>
    <t>Boite 1/4kg - 071x080 - OS - MIPA CELLULO OPAQUE</t>
  </si>
  <si>
    <t>020302CVPET01</t>
  </si>
  <si>
    <t>Couvercle D73 OF Aluminium</t>
  </si>
  <si>
    <t>020302AL9101</t>
  </si>
  <si>
    <t>Boite ALU Dingley P21 Gold - 115ml - BPANI</t>
  </si>
  <si>
    <t>020302AL1002</t>
  </si>
  <si>
    <t>Boite 4,5kg Tulipe - 169x190x210 - OS - FBN - VI OR ALIM</t>
  </si>
  <si>
    <t>020203NL1511</t>
  </si>
  <si>
    <t>Bidon 1L Rect Court - 166x063x119 - C6 - PRODEC VERT</t>
  </si>
  <si>
    <t>020203NL1102</t>
  </si>
  <si>
    <t>Bidon 5L Rectangulaire - 150x120x295 - ST42 - FBN</t>
  </si>
  <si>
    <t>020203NL1101</t>
  </si>
  <si>
    <t>Bidon 5L Rectangulaire - 150x120x295 - ST42 - FB CB</t>
  </si>
  <si>
    <t>020203NL0508</t>
  </si>
  <si>
    <t>Bidon 1/2L Rectangulaire - 115x59x105 - ST32 - FB CB</t>
  </si>
  <si>
    <t>020203NL0507</t>
  </si>
  <si>
    <t>Bidon 1L Rectangulaire Haut (diluant) - 115x59x187 - ST32 - PPT</t>
  </si>
  <si>
    <t>020203NL0506</t>
  </si>
  <si>
    <t>Bidon 1/2L Rectangulaire (diluant) - 115x59x105 - ST32 - PPT</t>
  </si>
  <si>
    <t>020203NL0505</t>
  </si>
  <si>
    <t>Bidon 1/2L Rectangulaire (vernis) - 115x59x105 - ST32 - PPT</t>
  </si>
  <si>
    <t>020203NL0504</t>
  </si>
  <si>
    <t>Bidon 1L Rectangulaire Haut (vernis) - 115x59x187 - ST32 - PPT</t>
  </si>
  <si>
    <t>020203NL0503</t>
  </si>
  <si>
    <t>Bidon 1L Rectangulaire Haut - 115x59x187 - ST32 - FB CB</t>
  </si>
  <si>
    <t>020203NL0502</t>
  </si>
  <si>
    <t>Bidon 1L Rectangulaire Court - 166x063x119 - C6 - FBN</t>
  </si>
  <si>
    <t>020203NL0501</t>
  </si>
  <si>
    <t>Bidon 1L Rectangulaire Court - 166x063x119 - C6 - FB CB</t>
  </si>
  <si>
    <t>020203IL0501</t>
  </si>
  <si>
    <t>Bidon 1L Rect Haut - 115x59x187 - C7 32 - MIPA DIL UNIVERSEL</t>
  </si>
  <si>
    <t>020202NL0501</t>
  </si>
  <si>
    <t>Bidon 1L Cylindrique - 108x131 - ST42 - FBN</t>
  </si>
  <si>
    <t>020202NL0402</t>
  </si>
  <si>
    <t>Bidon 1/2L Cylindrique - 071x146 - C6 - FBN</t>
  </si>
  <si>
    <t>020202NL0401</t>
  </si>
  <si>
    <t>Bidon 1/2L Cylindrique - 071x138 - C6 - FBN</t>
  </si>
  <si>
    <t>020202NL0301</t>
  </si>
  <si>
    <t>Bidon 1/4L Cylindrique - 071X080 - C6 - FBN</t>
  </si>
  <si>
    <t>020202IL0503</t>
  </si>
  <si>
    <t>Bidon 1L Cylindrique - 108x131 - ST42 - EUROTEX - TINTE BOIS</t>
  </si>
  <si>
    <t>020202IL0502</t>
  </si>
  <si>
    <t>Bidon 1L Cylindrique - 108x131 - ST32 - AIGLOR VERNIBOIS</t>
  </si>
  <si>
    <t>020202IL0404</t>
  </si>
  <si>
    <t>Bidon 1/2L Cylindrique - 073x138 - C6 - MIPA - DILUANT UNIVERSEL</t>
  </si>
  <si>
    <t>0020302NK0906</t>
  </si>
  <si>
    <t>Boite Fer Blanc OF 1/10 Thon - Ro80 - 065x038 - MDM - LUKA THV BLEU</t>
  </si>
  <si>
    <t>13478-54</t>
  </si>
  <si>
    <t>ALVEOLE ROND 30x50 PP THERMO 54 NOIR</t>
  </si>
  <si>
    <t>PLATH</t>
  </si>
  <si>
    <t>13478-51</t>
  </si>
  <si>
    <t>ALVEOLE ROND 30x50 PP THERMO 51 NOIR</t>
  </si>
  <si>
    <t>13478-48</t>
  </si>
  <si>
    <t>ALVEOLE ROND 30x50 PP THERMO 48 NOIR</t>
  </si>
  <si>
    <t>13478-45</t>
  </si>
  <si>
    <t>ALVEOLE ROND 30x50 PP THERMO 45 NOIR</t>
  </si>
  <si>
    <t>13478-42</t>
  </si>
  <si>
    <t>ALVEOLE ROND 30x50 PP THERMO 42 NOIR</t>
  </si>
  <si>
    <t>13478-40</t>
  </si>
  <si>
    <t>ALVEOLE ROND 30x50 PP THERMO 40 NOIR</t>
  </si>
  <si>
    <t>13478-37</t>
  </si>
  <si>
    <t>ALVEOLE ROND 30x50 PP THERMO 37 NOIR</t>
  </si>
  <si>
    <t>13478-35</t>
  </si>
  <si>
    <t>ALVEOLE ROND 30x50 PP THERMO 35 NOIR</t>
  </si>
  <si>
    <t>13478-32</t>
  </si>
  <si>
    <t>ALVEOLE ROND 30x50 PP THERMO 32 NOIR</t>
  </si>
  <si>
    <t>13478-30</t>
  </si>
  <si>
    <t>ALVEOLE ROND 30x50 PP THERMO 30 NOIR</t>
  </si>
  <si>
    <t>13478-28</t>
  </si>
  <si>
    <t>ALVEOLE ROND 30x50 PP THERMO 28 NOIR</t>
  </si>
  <si>
    <t>13478-26</t>
  </si>
  <si>
    <t>ALVEOLE ROND 30x50 PP THERMO 26 NOIR</t>
  </si>
  <si>
    <t>13478-24</t>
  </si>
  <si>
    <t>ALVEOLE ROND 30x50 PP THERMO 24 NOIR</t>
  </si>
  <si>
    <t>13478-22</t>
  </si>
  <si>
    <t>ALVEOLE ROND 30x50 PP THERMO 22 NOIR</t>
  </si>
  <si>
    <t>13478-20</t>
  </si>
  <si>
    <t>ALVEOLE ROND 30x50 PP THERMO 20 NOIR</t>
  </si>
  <si>
    <t>13478-18</t>
  </si>
  <si>
    <t>ALVEOLE ROND 30x50 PP THERMO 18 NOIR</t>
  </si>
  <si>
    <t>13478-16</t>
  </si>
  <si>
    <t>ALVEOLE ROND 30x50 PP THERMO 16 NOIR</t>
  </si>
  <si>
    <t>050101NV0101</t>
  </si>
  <si>
    <t>PET pilljar 100ml clear with 40mm snap on neck</t>
  </si>
  <si>
    <t>PET</t>
  </si>
  <si>
    <t>050101CP0101</t>
  </si>
  <si>
    <t>Alcap closure 43mm white for Pilljar 100ml</t>
  </si>
  <si>
    <t>04JK1711CV02</t>
  </si>
  <si>
    <t>Cvc JK Rond Plastique PP Transparent 1500</t>
  </si>
  <si>
    <t>PLAN</t>
  </si>
  <si>
    <t>04JK1711CV01</t>
  </si>
  <si>
    <t>Cvc JK Rond Plastique PP Orange 1500</t>
  </si>
  <si>
    <t>04JK0701CV02</t>
  </si>
  <si>
    <t>Cvc JK Rond Plastique PP Transparent 850</t>
  </si>
  <si>
    <t>04JK0701CV01</t>
  </si>
  <si>
    <t>Cvc JK Rond Plastique PP Orange 850</t>
  </si>
  <si>
    <t>04JK01CV1201</t>
  </si>
  <si>
    <t>Cvc JK Rond Plastique PP Blanc 1200</t>
  </si>
  <si>
    <t>043001GA0301</t>
  </si>
  <si>
    <t>Seau 30L Sans Anse Hobbock</t>
  </si>
  <si>
    <t>040CV30003</t>
  </si>
  <si>
    <t>Cvc Rond Plastique PP Neutre Blanc 30000</t>
  </si>
  <si>
    <t>0408CV10001</t>
  </si>
  <si>
    <t>Cvc Rond Plastique PP Neutre Transp 10000</t>
  </si>
  <si>
    <t>040802NL1201</t>
  </si>
  <si>
    <t>Seau Rond Plastique PP Transparent 10000 AP</t>
  </si>
  <si>
    <t>040801RC1102</t>
  </si>
  <si>
    <t>Seau RECT Plastique PP Neutre Blanc 5000 AM</t>
  </si>
  <si>
    <t>040801RC0904N</t>
  </si>
  <si>
    <t>Seau RECT Plastique PP Noir  4000 AM</t>
  </si>
  <si>
    <t>040801RC0904</t>
  </si>
  <si>
    <t>Seau RECT Plastique PP Neutre Blanc 4000 AM</t>
  </si>
  <si>
    <t>040801NR0602</t>
  </si>
  <si>
    <t>Seau Rond Plastique PP Neutre Noir 2300 AP</t>
  </si>
  <si>
    <t>040801NL1513</t>
  </si>
  <si>
    <t>Seau "ANID" Rond Plastique PP Neutre Blanc 17/18L AM</t>
  </si>
  <si>
    <t>040801NL1508</t>
  </si>
  <si>
    <t>Seau Rond Plastique OP PP NOIR 18000 AM</t>
  </si>
  <si>
    <t>040801NL1507</t>
  </si>
  <si>
    <t>Seau Rond Plastique OP PP Rouge 18000 AM</t>
  </si>
  <si>
    <t>040801NL1506</t>
  </si>
  <si>
    <t>Seau Rond Plastique OP PP Neutre Blanc 18000 AM</t>
  </si>
  <si>
    <t>040801NL1505</t>
  </si>
  <si>
    <t>Seau Rond Plastique OP PP Neutre Blanc 20000 AM</t>
  </si>
  <si>
    <t>040801NL1503</t>
  </si>
  <si>
    <t>Seau "ANID" Rond Plastique PP Neutre Blanc 19/20L AM</t>
  </si>
  <si>
    <t>040801NL1303</t>
  </si>
  <si>
    <t>Seau Rond Plastique PP Neutre Blanc 10000 AP</t>
  </si>
  <si>
    <t>040801NL1302</t>
  </si>
  <si>
    <t>Seau "ANID" Rond Plastique PP Neutre Blanc 17/18L AP</t>
  </si>
  <si>
    <t>040801NL1201</t>
  </si>
  <si>
    <t>Seau Rond Plastique PP Neutre Blanc 10000 AM</t>
  </si>
  <si>
    <t>040801NL1103</t>
  </si>
  <si>
    <t>Seau Rond Plastique PP Transparent 5500 AP</t>
  </si>
  <si>
    <t>040801NL1102</t>
  </si>
  <si>
    <t>Seau Rond Plastique PP Neutre Blanc 5500 AM</t>
  </si>
  <si>
    <t>040801NL1101</t>
  </si>
  <si>
    <t>Seau Rond Plastique PP Neutre Blanc 5500 AP</t>
  </si>
  <si>
    <t>040801NL1003</t>
  </si>
  <si>
    <t>Seau Rond Plastique PP Transparent 4600 AP</t>
  </si>
  <si>
    <t>040801NL1002</t>
  </si>
  <si>
    <t>Seau Rond Plastique PP Neutre Blanc 4600 AP</t>
  </si>
  <si>
    <t>040801NL1001</t>
  </si>
  <si>
    <t>Seau Rond Plastique PP Neutre Blanc 4600 AM</t>
  </si>
  <si>
    <t>040801NL0914</t>
  </si>
  <si>
    <t>Seau Rond Plastique PP Neutre 4600  AM Rouge</t>
  </si>
  <si>
    <t>040801NL0913</t>
  </si>
  <si>
    <t>Seau Rond Plastique PP Neutre 3800  AM Rouge</t>
  </si>
  <si>
    <t>040801NL0905</t>
  </si>
  <si>
    <t>Seau Rond Plastique PP Neutre  4000 InvBox AM Noir</t>
  </si>
  <si>
    <t>040801NL0904</t>
  </si>
  <si>
    <t>Seau Rond Plastique PP Neutre Blanc 4000 InvBox AM</t>
  </si>
  <si>
    <t>040801NL0903</t>
  </si>
  <si>
    <t>Seau Rond Plastique PP Transparent 3800 AP</t>
  </si>
  <si>
    <t>040801NL0902</t>
  </si>
  <si>
    <t>Seau Rond Plastique PP Neutre Blanc 3800 AP</t>
  </si>
  <si>
    <t>040801NL09012</t>
  </si>
  <si>
    <t>Seau Rond Plastique PP Neutre 3800  AM Bleu</t>
  </si>
  <si>
    <t>040801NL0901</t>
  </si>
  <si>
    <t>Seau Rond Plastique PP Neutre Blanc 3800 AM</t>
  </si>
  <si>
    <t>040801NL0702</t>
  </si>
  <si>
    <t>Seau Rond Plastique PP Transparent 1700 AP</t>
  </si>
  <si>
    <t>040801NL0701</t>
  </si>
  <si>
    <t>Seau Rond Plastique PP Neutre Blanc 1700 AP</t>
  </si>
  <si>
    <t>040801NL0603</t>
  </si>
  <si>
    <t>Seau Rond Plastique PP Transparent 2300 AP</t>
  </si>
  <si>
    <t>040801NL0602</t>
  </si>
  <si>
    <t>Seau Rond Plastique PP Neutre Blanc 2300 AP</t>
  </si>
  <si>
    <t>040801JK1302</t>
  </si>
  <si>
    <t>Seau JK Rond Plastique PP Neutre Blanc 21L AP</t>
  </si>
  <si>
    <t>040801JK0702</t>
  </si>
  <si>
    <t>Seau JK - Rond Plastique PP Transparent 1500 AP</t>
  </si>
  <si>
    <t>0407RCCV5000</t>
  </si>
  <si>
    <t>Cvc RECT Plastique PP Neutre Blanc 5L</t>
  </si>
  <si>
    <t>0407RCCV4000N</t>
  </si>
  <si>
    <t>Cvc RECT Plastique PP Noir  4L</t>
  </si>
  <si>
    <t>0407RCCV4000</t>
  </si>
  <si>
    <t>Cvc RECT Plastique PP Neutre Blanc 4L</t>
  </si>
  <si>
    <t>0407CV21JK01</t>
  </si>
  <si>
    <t>Cvc JK Rond Plastique PP Neutre Blanc 21L</t>
  </si>
  <si>
    <t>0407CV20001</t>
  </si>
  <si>
    <t>Cvc Rond Plastique PP Neutre Blanc 20000</t>
  </si>
  <si>
    <t>0407CV190001</t>
  </si>
  <si>
    <t>Cvc "ANID" Rond Plastique PP Neutre Blanc 19/20L</t>
  </si>
  <si>
    <t>0407CV180012</t>
  </si>
  <si>
    <t>Cvc Rond Plastique PP  NOIR 18000</t>
  </si>
  <si>
    <t>0407CV180011</t>
  </si>
  <si>
    <t>Cvc Rond Plastique PP  Rouge 18000</t>
  </si>
  <si>
    <t>0407CV180001</t>
  </si>
  <si>
    <t>Cvc Rond Plastique PP Neutre Blanc 18000</t>
  </si>
  <si>
    <t>0407CV170001</t>
  </si>
  <si>
    <t>Cvc "ANID" Rond Plastique PP Neutre Blanc 17/18L</t>
  </si>
  <si>
    <t>0407CV10001</t>
  </si>
  <si>
    <t>Cvc Rond Plastique PP Neutre Blanc 10000</t>
  </si>
  <si>
    <t>040799CV3846</t>
  </si>
  <si>
    <t>Cvc Rond Plastique PP Neutre Transp 3800/4600</t>
  </si>
  <si>
    <t>040791CV0301</t>
  </si>
  <si>
    <t>Cvc Rond Plastique PP Neutre Transp 280</t>
  </si>
  <si>
    <t>040791CV0201</t>
  </si>
  <si>
    <t>Cvc Plastique PP Neutre Transp 180</t>
  </si>
  <si>
    <t>040703CV3946</t>
  </si>
  <si>
    <t>Cvc Rond Plastique PP Neutre Rouge 3800/4600</t>
  </si>
  <si>
    <t>040703CV3846</t>
  </si>
  <si>
    <t>Cvc Rond Plastique PP Neutre Bleu 3800/4600</t>
  </si>
  <si>
    <t>040701NL0504</t>
  </si>
  <si>
    <t>Pot Rond Plastique PP Transparent 1200 AP</t>
  </si>
  <si>
    <t>040701NL0503</t>
  </si>
  <si>
    <t>Pot Rond Plastique PP Neutre Blanc 1200 AP</t>
  </si>
  <si>
    <t>040701NL0502</t>
  </si>
  <si>
    <t>Pot Rond Plastique PP Transparent 870 AP</t>
  </si>
  <si>
    <t>040701NL0501</t>
  </si>
  <si>
    <t>Pot Rond Plastique PP Neutre Blanc 870 AP</t>
  </si>
  <si>
    <t>040701NL0403</t>
  </si>
  <si>
    <t>Pot Rond Plastique PP Transparent 600 AP</t>
  </si>
  <si>
    <t>040701NL0402</t>
  </si>
  <si>
    <t xml:space="preserve">Pot Rond Plastique PP Neutre Blanc 600 AP </t>
  </si>
  <si>
    <t>040701NL0302</t>
  </si>
  <si>
    <t>Pot Rond Plastique PP Transparent 280 SA</t>
  </si>
  <si>
    <t>040701NL0301</t>
  </si>
  <si>
    <t>Pot Rond Plastique PP Neutre Blanc 280 SA</t>
  </si>
  <si>
    <t>040701NL0202</t>
  </si>
  <si>
    <t>Pot Rond Plastique PP Transparent 180 SA</t>
  </si>
  <si>
    <t>040701NL0201</t>
  </si>
  <si>
    <t>Pot Rond Plastique PP Neutre Blanc 180 SA</t>
  </si>
  <si>
    <t>040701JK0503</t>
  </si>
  <si>
    <t>Pot JK - Rond Plastique PP Neutre Blanc 1200 AP</t>
  </si>
  <si>
    <t>040701JK0502</t>
  </si>
  <si>
    <t>Pot JK - Rond Plastique PP Transparent 850 AP</t>
  </si>
  <si>
    <t>040701CV8702</t>
  </si>
  <si>
    <t>Cvc Rond Plastique PP Neutre Transp 870</t>
  </si>
  <si>
    <t>040701CV8701</t>
  </si>
  <si>
    <t>Cvc Rond Plastique PP Neutre Blanc 870</t>
  </si>
  <si>
    <t>040701CV6002</t>
  </si>
  <si>
    <t>Cvc Rond Plastique PP Neutre Transp 600</t>
  </si>
  <si>
    <t>040701CV6001</t>
  </si>
  <si>
    <t>Cvc Rond Plastique PP Neutre Blanc 600</t>
  </si>
  <si>
    <t>040701CV5501</t>
  </si>
  <si>
    <t>Cvc Rond Plastique PP Neutre Transp 5500</t>
  </si>
  <si>
    <t>040701CV5500</t>
  </si>
  <si>
    <t>Cvc Rond Plastique PP Neutre Blanc 5500</t>
  </si>
  <si>
    <t>040701CV4001</t>
  </si>
  <si>
    <t xml:space="preserve">Cvc Rond Plastique PP Neutre  4000ML INVB Noir </t>
  </si>
  <si>
    <t>040701CV4000</t>
  </si>
  <si>
    <t>Cvc Rond Plastique PP Neutre Blanc 4000MLINVB</t>
  </si>
  <si>
    <t>040701CV3846</t>
  </si>
  <si>
    <t>Cvc Rond Plastique PP Neutre Blanc 3800/4600</t>
  </si>
  <si>
    <t>040701CV2304</t>
  </si>
  <si>
    <t>Cvc Rond Plastique PP Neutre Noir 2300</t>
  </si>
  <si>
    <t>040701CV2303</t>
  </si>
  <si>
    <t>Cvc Rond Plastique PP Neutre Rouge  2300</t>
  </si>
  <si>
    <t>040701CV2302</t>
  </si>
  <si>
    <t>Cvc Rond Plastique PP Neutre Jaune 2300</t>
  </si>
  <si>
    <t>040701CV2301</t>
  </si>
  <si>
    <t>Cvc Rond Plastique PP Neutre Transp 2300</t>
  </si>
  <si>
    <t>040701CV2300</t>
  </si>
  <si>
    <t>Cvc Rond Plastique PP Neutre Blanc 2300</t>
  </si>
  <si>
    <t>040701CV1701</t>
  </si>
  <si>
    <t>Cvc Rond Plastique PP Neutre Transp 1700</t>
  </si>
  <si>
    <t>040701CV1700</t>
  </si>
  <si>
    <t>Cvc Rond Plastique PP Neutre Blanc 1700</t>
  </si>
  <si>
    <t>040701CV1201</t>
  </si>
  <si>
    <t>Cvc Rond Plastique PP Neutre Transp 1200</t>
  </si>
  <si>
    <t>040701CV1200</t>
  </si>
  <si>
    <t>Cvc Rond Plastique PP Neutre Blanc 1200</t>
  </si>
  <si>
    <t>040701CV0301</t>
  </si>
  <si>
    <t>Cvc Rond Plastique PP Neutre Blanc 280</t>
  </si>
  <si>
    <t>040701CV0201</t>
  </si>
  <si>
    <t>Cvc Rond Plastique PP Neutre Blanc 180</t>
  </si>
  <si>
    <t>090192TO01103</t>
  </si>
  <si>
    <t>63 TO - AF - Mina</t>
  </si>
  <si>
    <t>TOI</t>
  </si>
  <si>
    <t>090191TO01102</t>
  </si>
  <si>
    <t>58 TO - AF - Mina</t>
  </si>
  <si>
    <t>0901193TO01104</t>
  </si>
  <si>
    <t>70 Deep - AF - Mina</t>
  </si>
  <si>
    <t>090101TO0166</t>
  </si>
  <si>
    <t>66 TO Or</t>
  </si>
  <si>
    <t>TON</t>
  </si>
  <si>
    <t>090101TO0120</t>
  </si>
  <si>
    <t>63 TO Noir</t>
  </si>
  <si>
    <t>090101TO0113</t>
  </si>
  <si>
    <t>82 TO Blanc</t>
  </si>
  <si>
    <t>090101TO0112</t>
  </si>
  <si>
    <t>58 TO Blanc</t>
  </si>
  <si>
    <t>090101TO0111</t>
  </si>
  <si>
    <t>53 TO Or</t>
  </si>
  <si>
    <t>090101TO0110</t>
  </si>
  <si>
    <t>48 TO Blanc</t>
  </si>
  <si>
    <t>090101TO0109</t>
  </si>
  <si>
    <t>48 TO Or</t>
  </si>
  <si>
    <t>090101TO0108</t>
  </si>
  <si>
    <t>48 TO Noir</t>
  </si>
  <si>
    <t>090101TO0107</t>
  </si>
  <si>
    <t>43 TO Noir</t>
  </si>
  <si>
    <t>090101TO0106</t>
  </si>
  <si>
    <t>63 TO Blanc</t>
  </si>
  <si>
    <t>090101TO0105</t>
  </si>
  <si>
    <t>110 TO Blanc</t>
  </si>
  <si>
    <t>090101TO0104</t>
  </si>
  <si>
    <t>82 TO Or</t>
  </si>
  <si>
    <t>090101TO0103</t>
  </si>
  <si>
    <t>63 TO Or</t>
  </si>
  <si>
    <t>090101TO0102</t>
  </si>
  <si>
    <t>43 TO Or</t>
  </si>
  <si>
    <t>090101TO0101</t>
  </si>
  <si>
    <t>58 TO Or</t>
  </si>
  <si>
    <t>VER13BOC277BON</t>
  </si>
  <si>
    <t>Verre - POT BONTA 277ml TO66</t>
  </si>
  <si>
    <t>VER</t>
  </si>
  <si>
    <t>VER11BOC720KNO</t>
  </si>
  <si>
    <t>Verre - POT KNOTTY JAR 720ml TO82</t>
  </si>
  <si>
    <t>VER11BOC370KNO</t>
  </si>
  <si>
    <t>Verre - POT KNOTTY JAR 370ml TO63</t>
  </si>
  <si>
    <t>VER03BOC277BON</t>
  </si>
  <si>
    <t>Verre - POT BONTA 277ml TO63</t>
  </si>
  <si>
    <t>VER03BOC130BON</t>
  </si>
  <si>
    <t>Verre - POT BONTA 130ml TO63</t>
  </si>
  <si>
    <t>VER02BOC212ATL</t>
  </si>
  <si>
    <t>Verre - POT ATLAS 212ml TO58</t>
  </si>
  <si>
    <t>VER02BOC105ATL</t>
  </si>
  <si>
    <t>Verre - POT ATLAS 106ml TO48</t>
  </si>
  <si>
    <t>VER01BOC720STD</t>
  </si>
  <si>
    <t>Verre - POT STANDARD 720ml TO82</t>
  </si>
  <si>
    <t>VER01BOC660STD</t>
  </si>
  <si>
    <t>Verre - POT STANDARD 660ml TO82</t>
  </si>
  <si>
    <t>VER01BOC370STD</t>
  </si>
  <si>
    <t>Verre - POT STANDARD 370ml TO63</t>
  </si>
  <si>
    <t>VER01BOC300STD</t>
  </si>
  <si>
    <t>Verre - POT STANDARD 300ml TO63</t>
  </si>
  <si>
    <t>VER01BOC212STD</t>
  </si>
  <si>
    <t>Verre - POT STANDARD 212ml TO63</t>
  </si>
  <si>
    <t>VER01BOC105STD</t>
  </si>
  <si>
    <t>Verre - POT STANDARD 105ml TO48</t>
  </si>
  <si>
    <t>Intitulé du compte</t>
  </si>
  <si>
    <t>Détail</t>
  </si>
  <si>
    <t>BILAN D'OUVERTURE</t>
  </si>
  <si>
    <t>CAPITAUX PROPRES</t>
  </si>
  <si>
    <t>CAPITAL SOCIAL OU PERSONNEL</t>
  </si>
  <si>
    <t>CAPITAL SOCIAL</t>
  </si>
  <si>
    <t>FONDS DE DOTATION</t>
  </si>
  <si>
    <t>CAPITAL PERSONNEL</t>
  </si>
  <si>
    <t>CAPITAL INDIVIDUEL</t>
  </si>
  <si>
    <t>COMPTE DE L'EXPLOITANT</t>
  </si>
  <si>
    <t>ACTIONNAIRES,CAPITAL SOUSCRIT-NON A</t>
  </si>
  <si>
    <t>PRIMES D'EMISSION,DE FUSION ET D'AP</t>
  </si>
  <si>
    <t>PRIMES D'EMISSION</t>
  </si>
  <si>
    <t>PRIMES DE FUSION</t>
  </si>
  <si>
    <t>PRIMES D'APPORT</t>
  </si>
  <si>
    <t>ECARTS DE REEVALUATION</t>
  </si>
  <si>
    <t>RESERVE LEGALE</t>
  </si>
  <si>
    <t>AUTRES RESERVES</t>
  </si>
  <si>
    <t>RESERVES STATUTAIRES OU CONTRACTUEL</t>
  </si>
  <si>
    <t>RESERVES FACULTATIVES</t>
  </si>
  <si>
    <t>RESERVES REGLEMENTEES</t>
  </si>
  <si>
    <t>REPORT A NOUVEAU</t>
  </si>
  <si>
    <t>REPORT A NOUVEAU ( SOLDE CREDITEUR)</t>
  </si>
  <si>
    <t>REPORT A NOUVEAU (SOLDE DEBITEUR)</t>
  </si>
  <si>
    <t>RESULTATS NETS EN INST. D'AFFECTATI</t>
  </si>
  <si>
    <t>RESULTATS NETS EN INSTANCE D'AFFECT</t>
  </si>
  <si>
    <t>RESULTAT NET DE L'EXCERCICE</t>
  </si>
  <si>
    <t>RESULTAT NET DE L'EXERCICE (CREDITE</t>
  </si>
  <si>
    <t>RESULTAT NET DE L'EXERCICE (DEBITEU</t>
  </si>
  <si>
    <t>CAPITAUX PROPRES ASSIMILES</t>
  </si>
  <si>
    <t>SUBVENTIONS D'INVESTISSEMENT</t>
  </si>
  <si>
    <t>SUBVENTIONS D'INVESTISSEMENT RECUES</t>
  </si>
  <si>
    <t>SUBV. D'INVEST. INSCRITES AU CPTS P</t>
  </si>
  <si>
    <t>PROVISIONS REGLEMENTEES</t>
  </si>
  <si>
    <t>PROV. POUR AMORTISSEMENTS DEROGATOI</t>
  </si>
  <si>
    <t>PROV. POUR PLUS-VALUES EN INSTANCE</t>
  </si>
  <si>
    <t>PROVISIONS POUR INVESTISSEMENTS</t>
  </si>
  <si>
    <t>PROV. POUR RECONSTITUTION DES GISEM</t>
  </si>
  <si>
    <t>PROV. POUR ACQUISITION ET CONST. DE</t>
  </si>
  <si>
    <t>AUTRES PROVISIONS REGLEMENTEES</t>
  </si>
  <si>
    <t>DETTES DE FINANCEMENT</t>
  </si>
  <si>
    <t>EMPRUNTS OBLIGATAIRES.</t>
  </si>
  <si>
    <t>AUTRES DETTES DE FINANCEMENT</t>
  </si>
  <si>
    <t>EMPRUNTS AUPRES DES ETABLISSTS DE C</t>
  </si>
  <si>
    <t>AVANCES DE L'ETAT</t>
  </si>
  <si>
    <t>DETTES RATTACHEES A DES PARTICIPATI</t>
  </si>
  <si>
    <t>BILLETS DE FONDS</t>
  </si>
  <si>
    <t>AVANCES RECUES ET COMPTES COURANTS</t>
  </si>
  <si>
    <t>FOURNISSEURS D'IMMOBILISATIONS</t>
  </si>
  <si>
    <t>DEPOTS ET CAUTIONNEMENTS RECUS</t>
  </si>
  <si>
    <t>DETTES DE FINANCEMENT DIVERSES</t>
  </si>
  <si>
    <t>PROV. DURABLES POUR RISQUES &amp; CHARG</t>
  </si>
  <si>
    <t>PROVISIONS POUR RISQUES</t>
  </si>
  <si>
    <t>PROVISIONS POUR LITIGES</t>
  </si>
  <si>
    <t>PROV. POUR GARANTIES DONNEES AUX CL</t>
  </si>
  <si>
    <t>PROVISIONS POUR PROPRE ASSUREUR</t>
  </si>
  <si>
    <t>PROV. POUR PERTES SUR MARCHES A TER</t>
  </si>
  <si>
    <t>PROV. POUR AMENDES, DOUBLES DROITS,</t>
  </si>
  <si>
    <t>PROVISIONS POUR PERTES DE CHANGE</t>
  </si>
  <si>
    <t>AUTRES PROVISIONS POUR RISQUES</t>
  </si>
  <si>
    <t>PROVISIONS POUR CHARGES</t>
  </si>
  <si>
    <t>PROVISIONS POUR IMPOTS</t>
  </si>
  <si>
    <t>PROV. POUR PENSIONS DE RETRAITE &amp; O</t>
  </si>
  <si>
    <t>PROV. POUR CHARGES A REPARTIR /PLUS</t>
  </si>
  <si>
    <t>AUTRES PROVISIONS POUR CHARGES</t>
  </si>
  <si>
    <t>COMPTES DE LIAISON DES ETABLIS. ET</t>
  </si>
  <si>
    <t>COMPTES DE LIAISON DU SIEGE</t>
  </si>
  <si>
    <t>COMPTES DE LIAISON DES ETABLISSEMEN</t>
  </si>
  <si>
    <t>ECARTS DE CONVERTION-PASSIF</t>
  </si>
  <si>
    <t>AUGMENTATION DES CREANCES IMMOBILIS</t>
  </si>
  <si>
    <t>DIMINUTION DES DETTES DE FINANCEMEN</t>
  </si>
  <si>
    <t>BILAN DE CLOTURE</t>
  </si>
  <si>
    <t>IMMOBILISATION EN NON-VALEURS</t>
  </si>
  <si>
    <t>FRAIS PRELIMINAIRES</t>
  </si>
  <si>
    <t>FRAIS DE CONSTITUTION</t>
  </si>
  <si>
    <t>FRAIS PREALABLES AU DEMARRAGE</t>
  </si>
  <si>
    <t>FRAIS D'AUGMENTATION DU CAPITAL</t>
  </si>
  <si>
    <t>FRAIS /OPERAT.DE FUSIONS,SCISSIONS</t>
  </si>
  <si>
    <t>FRAIS DE PROSPECTION</t>
  </si>
  <si>
    <t>FRAIS DE PUBLICITE</t>
  </si>
  <si>
    <t>AUTRES FRAIS PRELIMINAIRES</t>
  </si>
  <si>
    <t>CHARGES A REPARTIR SUR PLUSIEURS EX</t>
  </si>
  <si>
    <t>FRAIS D'ACQUISITION DES IMMOBILISAT</t>
  </si>
  <si>
    <t>FRAIS D'EMISSION DES EMPRUNTS</t>
  </si>
  <si>
    <t>AUTRES CHARGES A REPARTIR</t>
  </si>
  <si>
    <t>PRIMES DE REMBOURSEMENT DES OBLIGAT</t>
  </si>
  <si>
    <t>IMMOBILISATIONS INCORPORELLES</t>
  </si>
  <si>
    <t>IMMOBILISATION EN RECHERCHE &amp; DEVEL</t>
  </si>
  <si>
    <t>BREVETS,MARQUES,DROITS ET VALEURS S</t>
  </si>
  <si>
    <t>FONDS COMMERCIAL</t>
  </si>
  <si>
    <t>AUTRES IMMOBILISATIONS INCORPORELLE</t>
  </si>
  <si>
    <t>IMMOBILISATIONS INCORPORELLES EN CO</t>
  </si>
  <si>
    <t>IMMOBILISATIONS CORPORELLES</t>
  </si>
  <si>
    <t>TERRAINS</t>
  </si>
  <si>
    <t>TERRAINS NUS</t>
  </si>
  <si>
    <t>TERRAINS AMENAGES</t>
  </si>
  <si>
    <t>TERRAINS BATIS</t>
  </si>
  <si>
    <t>TERRAINS DE GISEMENT</t>
  </si>
  <si>
    <t>AGENCEMENTS ET AMENAGEMENTS DE TERR</t>
  </si>
  <si>
    <t>AUTRES TERRAINS</t>
  </si>
  <si>
    <t>CONSTRUCTIONS</t>
  </si>
  <si>
    <t>BATIMENTS</t>
  </si>
  <si>
    <t>BATIMENTS INDUSTRIELS (A,B...)</t>
  </si>
  <si>
    <t>BATIMENTS ADMINISTRATIF &amp; COMMERCIA</t>
  </si>
  <si>
    <t>AUTRES BATIMENTS</t>
  </si>
  <si>
    <t>CONSTRUCTIONS SUR TERRAINS D'AUTRUI</t>
  </si>
  <si>
    <t>OUVRAGES D'INFRASTRUCTURE</t>
  </si>
  <si>
    <t>AGENCEMENTS ET AMENAGEMENTS DES CON</t>
  </si>
  <si>
    <t>AUTRES CONSTRUCTIONS</t>
  </si>
  <si>
    <t>INSTAL. TECHNIQUES,MATERIEL &amp; OUTIL</t>
  </si>
  <si>
    <t>INSTALLATIONS TECHNIQUES</t>
  </si>
  <si>
    <t>MATERIEL ET OUTILLAGE</t>
  </si>
  <si>
    <t>MATERIEL</t>
  </si>
  <si>
    <t>OUTILLAGE</t>
  </si>
  <si>
    <t>EMBALLAGES RECUPERABLES IDENTIFIABL</t>
  </si>
  <si>
    <t>AUTRES INSTALLATIONS TECHNIQUES,MAT</t>
  </si>
  <si>
    <t>MATERIEL DE TRANSPORT</t>
  </si>
  <si>
    <t>MOBILIER, MAT. DE BUREAU &amp; AMENAGT</t>
  </si>
  <si>
    <t>MOBILIER DE BUREAU</t>
  </si>
  <si>
    <t>MATERIEL DE BUREAU</t>
  </si>
  <si>
    <t>MATERIEL INFORMATIQUE</t>
  </si>
  <si>
    <t>AGENCEMENT, INSTALLATION &amp; AMENAGT</t>
  </si>
  <si>
    <t>AUTRES MOBILIER, MATERIEL DE BUREAU</t>
  </si>
  <si>
    <t>AUTRES IMMOBILISATIONS CORPORELLES</t>
  </si>
  <si>
    <t>IMMOBILISATIONS CORPORELLES EN COUR</t>
  </si>
  <si>
    <t>IMMOBIL. CORPORELLES EN COURS DES T</t>
  </si>
  <si>
    <t>IMM COR EN COURS INST. TECHNIQ, MAT</t>
  </si>
  <si>
    <t>IMMOB. CORPORELLES EN COURS DE MATE</t>
  </si>
  <si>
    <t>IMM COR EN COURS MOB. MAT DE BUREAU</t>
  </si>
  <si>
    <t>AVCES &amp; ACPTES VERSES/COMMANDES D'I</t>
  </si>
  <si>
    <t>AUTRES IMMOBILST. CORPORELLES EN CO</t>
  </si>
  <si>
    <t>PRETS IMMOBILISES</t>
  </si>
  <si>
    <t>PRETS AU PERSONNEL</t>
  </si>
  <si>
    <t>PRETS AUX ASSOCIES</t>
  </si>
  <si>
    <t>AUTRES PRETS</t>
  </si>
  <si>
    <t>AUTRES CREANCES FINANCIERES</t>
  </si>
  <si>
    <t>TITRES IMMOBILISES (DROITS DE CREAN</t>
  </si>
  <si>
    <t>OBLIGATIONS</t>
  </si>
  <si>
    <t>BONS D'EQUIPEMENT</t>
  </si>
  <si>
    <t>BONS DIVERS</t>
  </si>
  <si>
    <t>CREANCES RATTACHEES A DES PARTICIPA</t>
  </si>
  <si>
    <t>DEPOTS &amp; CAUTIONNEMENTS VERSES</t>
  </si>
  <si>
    <t>DEPOTS</t>
  </si>
  <si>
    <t>DEPOT &amp; CAUTIONNEMENT VERSES LYDEC</t>
  </si>
  <si>
    <t>CAUTIONNEMENTS</t>
  </si>
  <si>
    <t>CAUTIONNEMENT LOYER AIN SBAA</t>
  </si>
  <si>
    <t>CAUTIONNEMENT TOTAL MAROC</t>
  </si>
  <si>
    <t>CAUTIONNEMENT LOYER AGADIR TASSILA</t>
  </si>
  <si>
    <t>CREANCES IMMOBILISEES</t>
  </si>
  <si>
    <t>CREANCES FINANCIERES DIVERSES</t>
  </si>
  <si>
    <t>TITRES DE PARTICIPATION</t>
  </si>
  <si>
    <t>TP JILPROPRIETA 200 TITRE</t>
  </si>
  <si>
    <t>AUTRES TITRES IMMOBILISES(DROITS DE</t>
  </si>
  <si>
    <t>ACTIONS</t>
  </si>
  <si>
    <t>TITRES DIVERS</t>
  </si>
  <si>
    <t>ECARTS DE CONVERTION-ACTIF</t>
  </si>
  <si>
    <t>DIMINUTION DES CREANCES IMMOBILISEE</t>
  </si>
  <si>
    <t>AUGMENTATION DES DETTES DE FINANCEM</t>
  </si>
  <si>
    <t>AMORTISSEMENTS DES IMMOBILISATIONS</t>
  </si>
  <si>
    <t>AMORTISSEMENTS DES NON-VALEURS</t>
  </si>
  <si>
    <t>AMORTISSEMENTS DES FRAIS PRELIMINAI</t>
  </si>
  <si>
    <t>AMORTISSEMENTS DES FRAIS DE CONSTIT</t>
  </si>
  <si>
    <t>AMORTISST. DES FRAIS PRELIMINAIRES</t>
  </si>
  <si>
    <t>AMORTISST DES FRAIS D'AUGMENT.DU CA</t>
  </si>
  <si>
    <t>AMORT DES FRAIS SUR OPERT.DE FUSION</t>
  </si>
  <si>
    <t>AMORTISST DES FRAIS DE PROSPECTION</t>
  </si>
  <si>
    <t>AMORTISSEMENT DES FRAIS DE PUBLICIT</t>
  </si>
  <si>
    <t>AMORTISST DES AUTRES FRAIS PRELIMIN</t>
  </si>
  <si>
    <t>AMORTISSEMENTS DES CHARGES A REPART</t>
  </si>
  <si>
    <t>AMORTISST DES FRAIS D'ACQUISITION D</t>
  </si>
  <si>
    <t>AMORTISST DES FRAIS D'EMISSION DES</t>
  </si>
  <si>
    <t>AMORTISST DES AUTRES CHARGES A REPA</t>
  </si>
  <si>
    <t>AMORTISST DES PRIMES DE REMBRST DES</t>
  </si>
  <si>
    <t>AMRTISST DE L'IMMOB. EN RECHERCHE &amp;</t>
  </si>
  <si>
    <t>AMORTISST DES BREVETS,MARQUES,DROIT</t>
  </si>
  <si>
    <t>AMORTISSEMENTS DU FONDS COMMERCIAL</t>
  </si>
  <si>
    <t>AMORTISST DES AUTRES IMMOB.INCORPOR</t>
  </si>
  <si>
    <t>AMORTISSEMENT DES IMMOBILISATION CO</t>
  </si>
  <si>
    <t>AMORTISSEMENT DES TERRAINS</t>
  </si>
  <si>
    <t>AMORTISSEMENTS DES TERRAINS NUS</t>
  </si>
  <si>
    <t>AMORTISSEMENTS DES TERRAINS AMENAGE</t>
  </si>
  <si>
    <t>AMORTISSEMENTS DES TERRAINS BATIS</t>
  </si>
  <si>
    <t>AMORTISSEMENTS DES TERRAINS DE GISE</t>
  </si>
  <si>
    <t>AMORTISST DES AGENCEMENT &amp; AMENAGT</t>
  </si>
  <si>
    <t>AMORTISSEMENT DES AUTRES TERRAINS</t>
  </si>
  <si>
    <t>AMORTISSEMENTS DES CONSTRUCTIONS</t>
  </si>
  <si>
    <t>AMORTISSEMENTS DES BATIMENTS</t>
  </si>
  <si>
    <t>AMORTISS. DE L'OUTILLAGE</t>
  </si>
  <si>
    <t>AMORTISSTS.DES CONSTRCT. /TERRAINS</t>
  </si>
  <si>
    <t>AMORTISSEMENTS DES OUVRAGES D'INFRA</t>
  </si>
  <si>
    <t>AMORTISSEMENTS DES INSTAL. AGC &amp; AM</t>
  </si>
  <si>
    <t>AMORTISSEMENTS DES AUTRES CONSTRUCT</t>
  </si>
  <si>
    <t>AMORTISST DES INSTAL.TECHNIQUES, MA</t>
  </si>
  <si>
    <t>AMORTISST DES INSTAL. TECHNIQUES</t>
  </si>
  <si>
    <t>AMORTISSEMENTS DU MATERIEL ET OUTIL</t>
  </si>
  <si>
    <t>AMORTISSTS DES EMBALLAGES RECUP. ID</t>
  </si>
  <si>
    <t>AMORTISSTS DES AUTRES INSTAL. TECHN</t>
  </si>
  <si>
    <t>AMORTISSEMENTS DU MATERIEL DE TRANS</t>
  </si>
  <si>
    <t>AMORTISST DU M.M.B &amp; AMENAGEMENTS D</t>
  </si>
  <si>
    <t>AMORTISSEMENTS DU MOBILIER DE BUREA</t>
  </si>
  <si>
    <t>AMORTISSEMENTS DU MATERIEL DE BUREA</t>
  </si>
  <si>
    <t>AMORTISSEMENTS DU MATERIEL INFORMAT</t>
  </si>
  <si>
    <t>AMORTISST DES AGENCEMENTS,INSTAL. &amp;</t>
  </si>
  <si>
    <t>AMORTISST DES AUTRES M.M.B &amp; AMENAG</t>
  </si>
  <si>
    <t>AMORTISST DES AUTRES IMMOB. CORPORE</t>
  </si>
  <si>
    <t>PROV.POUR DEPRECIATION DES IMMOBIL.</t>
  </si>
  <si>
    <t>PROV. POUR DEPRCT. DES IMMOB. INCOR</t>
  </si>
  <si>
    <t>PROV. POUR DEPRECT. DES IMMOB. CORP</t>
  </si>
  <si>
    <t>PROV. POUR DEPRECIATION DES PRETS I</t>
  </si>
  <si>
    <t>PROV. POUR DEPREC. DES AUTRES CREAN</t>
  </si>
  <si>
    <t>PROV. POUR DEPREC. DES TITRES DE PA</t>
  </si>
  <si>
    <t>PROV. POUR DEPREC. DES AUTRES TITRE</t>
  </si>
  <si>
    <t>COMPTES D'ACTIF CIRCULANT (H.TRESOR</t>
  </si>
  <si>
    <t>STOCK</t>
  </si>
  <si>
    <t>MARCHANDISES</t>
  </si>
  <si>
    <t>STOCK DE MARCHANDISES</t>
  </si>
  <si>
    <t>MARCHANDISES (GROUPE B)</t>
  </si>
  <si>
    <t>MARCHANDISES EN COURS DE ROUTE</t>
  </si>
  <si>
    <t>AUTRES MARCHANDISES</t>
  </si>
  <si>
    <t>MATIERES ET FOURNITURES CONSOMMABLE</t>
  </si>
  <si>
    <t>MATIERES PREMIERES</t>
  </si>
  <si>
    <t>MATIERES PREMIERES (GROUPE A)</t>
  </si>
  <si>
    <t>MATIERES PREMIERES (GROUPE B)</t>
  </si>
  <si>
    <t>MATIERES CONSOMMABLES (GROUPE A)</t>
  </si>
  <si>
    <t>MATIERES CONSOMMABLES (GROUPE B)</t>
  </si>
  <si>
    <t>COMBUSTIBLES</t>
  </si>
  <si>
    <t>PRODUITS D'ENTRETIEN</t>
  </si>
  <si>
    <t>FOURNITURES D'ATELIER &amp; D'USINE</t>
  </si>
  <si>
    <t>FOURNITURES DE MAGASIN</t>
  </si>
  <si>
    <t>FOURNITURES DE BUREAU</t>
  </si>
  <si>
    <t>EMBALLAGES</t>
  </si>
  <si>
    <t>EMBALLAGES PERDUS</t>
  </si>
  <si>
    <t>EMBALLAGES RECUPERABLES NON IDENTIF</t>
  </si>
  <si>
    <t>EMBALLAGES A USAGE MIXTE</t>
  </si>
  <si>
    <t>MATIERES &amp; FOURN. CONSOMMABLES EN C</t>
  </si>
  <si>
    <t>AUTRES MATIERES &amp; FOURNITURES CONSO</t>
  </si>
  <si>
    <t>PRODUITS EN COURS</t>
  </si>
  <si>
    <t>BIENS EN COURS</t>
  </si>
  <si>
    <t>BIENS PRODUITS EN COURS</t>
  </si>
  <si>
    <t>BIENS INTERMEDIAIRES EN COURS</t>
  </si>
  <si>
    <t>BIENS RESIDUELS EN COURS</t>
  </si>
  <si>
    <t>SERVICES EN COURS</t>
  </si>
  <si>
    <t>TRAVAUX EN COURS</t>
  </si>
  <si>
    <t>ETUDES EN COURS</t>
  </si>
  <si>
    <t>PRESTATION EN COURS</t>
  </si>
  <si>
    <t>AUTRES PRODUITS EN COURS</t>
  </si>
  <si>
    <t>PRDTS INTERMEDIAIRES ET PRDTS RESID</t>
  </si>
  <si>
    <t>PRODUITS INTERMEDIAIRES</t>
  </si>
  <si>
    <t>PRODUITS INTERMEDIAIRES (GROUPE A)</t>
  </si>
  <si>
    <t>PRODUITS INTERMEDIAIRES (GROUPE B)</t>
  </si>
  <si>
    <t>PRODUITS RESIDUELS (OU MATIERES DE</t>
  </si>
  <si>
    <t>DECHETS</t>
  </si>
  <si>
    <t>REBUTS</t>
  </si>
  <si>
    <t>MATIERES DE RECUPERATION</t>
  </si>
  <si>
    <t>AUTRES PRODUITS INTERMED. &amp; PRODUIT</t>
  </si>
  <si>
    <t>PRODUITS FINIS</t>
  </si>
  <si>
    <t>PRODUITS FINIS (GROUPE A)</t>
  </si>
  <si>
    <t>PRODUITS FINIS (GROUPE B)</t>
  </si>
  <si>
    <t>PRODUITS FINIS EN COURS DE ROUTE</t>
  </si>
  <si>
    <t>AUTRES PRODUITS FINIS</t>
  </si>
  <si>
    <t>CREANCES DE L'ACTIF CIRCULANT</t>
  </si>
  <si>
    <t>FOURNISSEURS DEBITEURS, AVANCES &amp; A</t>
  </si>
  <si>
    <t>FRS-AVANCES &amp; ACOMPTES VERSES /COMM</t>
  </si>
  <si>
    <t>FRS-CREANCES POUR EMBALLAGES &amp; MATE</t>
  </si>
  <si>
    <t>R .R. R. A OBTENIR - AVOIRS NON ENC</t>
  </si>
  <si>
    <t>AUTRES FOURNISSEURS DEBITEURS</t>
  </si>
  <si>
    <t>CLIENTS ET COMPTES RATTACHES</t>
  </si>
  <si>
    <t>COLLECTIF CLIENTS</t>
  </si>
  <si>
    <t>PRICE WATERHOUSECOOPER ADVISOR</t>
  </si>
  <si>
    <t>CLIENTS-CATEGORIE A</t>
  </si>
  <si>
    <t>CLIENTS-CATEGORIE B</t>
  </si>
  <si>
    <t>CLIENTS-RETENUES DE GARANTIE</t>
  </si>
  <si>
    <t>CLIENTS DOUTEUX OU LITIGIEUX</t>
  </si>
  <si>
    <t>CLIENTS-EFFETS A RECEVOIR</t>
  </si>
  <si>
    <t>CLIENTS-EFFETS A RECEVOIR-OCTOBRE</t>
  </si>
  <si>
    <t>CHEQUE A ENCAISSER 2017</t>
  </si>
  <si>
    <t>3425CQ18</t>
  </si>
  <si>
    <t>CHEQUE A ENCAISSER 2018</t>
  </si>
  <si>
    <t>3425EF18</t>
  </si>
  <si>
    <t>CLIENTS EFFS A RECEVOIR 2018</t>
  </si>
  <si>
    <t>CLTS-FACT A ETABLIR &amp; CREANCE/TRAV</t>
  </si>
  <si>
    <t>CLIENTS -FACTURES A ETABLIR</t>
  </si>
  <si>
    <t>CREANCES SUR TRAVAUX NON ENCORE FAC</t>
  </si>
  <si>
    <t>AUTRES CLIENTS &amp; COMPTES RATTACHES</t>
  </si>
  <si>
    <t>PERSONNEL - DEBITEUR</t>
  </si>
  <si>
    <t>Avances sur salaire</t>
  </si>
  <si>
    <t>Prêts sur salaire</t>
  </si>
  <si>
    <t>AUTRES PRESTATIONS SOCIALES</t>
  </si>
  <si>
    <t>PERSONNEL -AUTRES DEBITEURS</t>
  </si>
  <si>
    <t>ETAT-DEBITEUR</t>
  </si>
  <si>
    <t>SUBVENTIONS A RECEVOIR</t>
  </si>
  <si>
    <t>SUBVENTIONS D'INVESTISSEMENT A RECE</t>
  </si>
  <si>
    <t>SUBVENTIONS D'EXPLOITATION A RECEVO</t>
  </si>
  <si>
    <t>SUBVENTIONS D'EQUILIBRE A RECEVOIR</t>
  </si>
  <si>
    <t>ACOMPTES SUR IMPOTS SUR LES RESULTA</t>
  </si>
  <si>
    <t>TVA 20% SUR ACHATS</t>
  </si>
  <si>
    <t>ETAT- T.V.A RECUPERABLE SUR IMMOBIL</t>
  </si>
  <si>
    <t>ETAT TVA RECUP/IMMO 20%</t>
  </si>
  <si>
    <t>ETAT TVA RECUPERABLE SUR CHARGES</t>
  </si>
  <si>
    <t>ETAT TVA RECUP/CHG 7%</t>
  </si>
  <si>
    <t>ETAT TVA RECUP /CHGT 10%</t>
  </si>
  <si>
    <t>ETAT TVA RECUP/CHG 10%</t>
  </si>
  <si>
    <t>ETAT TVA RECUP/CHG 11%</t>
  </si>
  <si>
    <t>ETAT TVA RECUP /CHG 12%</t>
  </si>
  <si>
    <t>ETAT TVA RECUP/CHG 13%</t>
  </si>
  <si>
    <t>ETAT TVA RECUP/CHG 14%</t>
  </si>
  <si>
    <t>ETAT TVA RECUP/CHG 15%</t>
  </si>
  <si>
    <t>ETAT TVA RECUP/CHG 16%</t>
  </si>
  <si>
    <t>ETAT TVA RECUP/CHG 18%</t>
  </si>
  <si>
    <t>ETAT TVA RECUP/CHG 20%</t>
  </si>
  <si>
    <t>ETAT TVA RECUP/DOUANE</t>
  </si>
  <si>
    <t>ETAT- CREDIT DE T.V.A SUIVANT DECLA</t>
  </si>
  <si>
    <t>ETAT-AUTRES COMPTES DEBITEURS</t>
  </si>
  <si>
    <t>COMPTES D'ASSOCIES - DEBITEURS</t>
  </si>
  <si>
    <t>ASSOCIES -COMPTES D'APPORT EN SOCIE</t>
  </si>
  <si>
    <t>ACTIONNAIRES -CAPITAL SOUSCRIT &amp; AP</t>
  </si>
  <si>
    <t>COMPTES COURANTS DES ASSOCIES-DEBIT</t>
  </si>
  <si>
    <t>ASSOCIES-OPERATIONS FAITES EN COMMU</t>
  </si>
  <si>
    <t>CREANCES RATTACHEES AUX COMPTES D'A</t>
  </si>
  <si>
    <t>AUTRES COMPTES D'ASSOCIERS DEBITEUR</t>
  </si>
  <si>
    <t>AUTRES DEBITEURS</t>
  </si>
  <si>
    <t>CREANCES SUR CESSIONS D'IMMOBILISAT</t>
  </si>
  <si>
    <t>CREANCES SUR CESSIONS D'ELEMENTS D'</t>
  </si>
  <si>
    <t>CREANCES RATTACHEES AUX AUTRES DEBI</t>
  </si>
  <si>
    <t>DEBITEUR GIMACUIR</t>
  </si>
  <si>
    <t>DIVERS DEBITEURS</t>
  </si>
  <si>
    <t>COMPTES DE REGUL.-ACTIF</t>
  </si>
  <si>
    <t>CHARGES CONSTATEES D'AVANCE</t>
  </si>
  <si>
    <t>INTERETS COURUS &amp; NON ECHUS A PERCE</t>
  </si>
  <si>
    <t>COMPTES DE REPARTITION PERIODIQUE D</t>
  </si>
  <si>
    <t>COMPTE D'ATTENTE</t>
  </si>
  <si>
    <t>TITRES ET VALEURS DE PLACEMENT</t>
  </si>
  <si>
    <t>ACTIONS,PARTIE LIBEREE</t>
  </si>
  <si>
    <t>ACTIONS, PARTIE NON LIBEREE</t>
  </si>
  <si>
    <t>BONS DE CAISSE ET BONS DU TRESOR</t>
  </si>
  <si>
    <t>BONS DE CAISSE</t>
  </si>
  <si>
    <t>BONS DU TRESOR</t>
  </si>
  <si>
    <t>AUTRES TITRES ET VALEURS DE PLACEME</t>
  </si>
  <si>
    <t>ECARTS DE CONVERSION-ACTIF (ELEMENT</t>
  </si>
  <si>
    <t>DIMINUTION DES CREANCES CIRCULANTES</t>
  </si>
  <si>
    <t>AUGMENTATION DES DETTES CIRCULANTES</t>
  </si>
  <si>
    <t>PROVISION POUR DEPRECIATION DES STO</t>
  </si>
  <si>
    <t>PROV. POUR DEPRECIATION DES MARCHAN</t>
  </si>
  <si>
    <t>PROV. POUR DEPREC. DES MATIERES &amp; F</t>
  </si>
  <si>
    <t>PROV. POUR DEPRCT DES PRODUITS EN C</t>
  </si>
  <si>
    <t>PROV. POUR DEPREC. DES PRODUITS INT</t>
  </si>
  <si>
    <t>PROV. POUR DEPREC. DES PRODUITS FIN</t>
  </si>
  <si>
    <t>PROV. POUR DEPR. DES CREANCES DE L'</t>
  </si>
  <si>
    <t>PROV POUR DEPR -FRS DEBITEURS, AVAN</t>
  </si>
  <si>
    <t>PROV POUR DEPR DES CLIENTS &amp; COMPTE</t>
  </si>
  <si>
    <t>PROV. POUR DEPR DU PERSONNEL -DEBIT</t>
  </si>
  <si>
    <t>PROV. POUR DEPR. DES COMPTES D'ASSO</t>
  </si>
  <si>
    <t>PROV. POUR DEPRECIATION DES AUTRES</t>
  </si>
  <si>
    <t>PROV POUR DEPREC DES TITRES ET VALE</t>
  </si>
  <si>
    <t>COMPTES DE PASSIF CIRCULANT</t>
  </si>
  <si>
    <t>PREMIUM FOOD AND NUTRITION PFN</t>
  </si>
  <si>
    <t>ARGAN D'OR Maroc Groupe</t>
  </si>
  <si>
    <t>COLLECTIF FOURNISSEURS</t>
  </si>
  <si>
    <t xml:space="preserve">EULER - INDEMNISATIONS </t>
  </si>
  <si>
    <t>COFACE - INDEMNISATIONS</t>
  </si>
  <si>
    <t>FIRST INFORMATIQUE F N P</t>
  </si>
  <si>
    <t>DAMANE RELACNE CIH</t>
  </si>
  <si>
    <t>FOURNISSEURS - CATEGORIE A</t>
  </si>
  <si>
    <t>FOURNISSEURS DE FRAIS GENERAUX</t>
  </si>
  <si>
    <t>FOURNISSEURS COMPTANT</t>
  </si>
  <si>
    <t>FOURNISSEURS - RETENUES DE GARANTIE</t>
  </si>
  <si>
    <t>FOURNISSEURS - EFFETS A PAYER</t>
  </si>
  <si>
    <t>FOURNISSEURS-EFFETS A PAYER OCTOBRE</t>
  </si>
  <si>
    <t>FORS - EFFETS A PAYER - JAN 2016</t>
  </si>
  <si>
    <t>FORS - EFFETS A PAYER - FEV 2016</t>
  </si>
  <si>
    <t>FORS - EFFETS A PAYER - MARS 2016</t>
  </si>
  <si>
    <t>FORS - EFFETS A PAYER - AVRIL 2016</t>
  </si>
  <si>
    <t>FORS - EFFETS A PAYER - MAI 2016</t>
  </si>
  <si>
    <t>FORS - EFFETS A PAYER - JUIN 2016</t>
  </si>
  <si>
    <t>FORS - EFFETS A PAYER - JUIL 2016</t>
  </si>
  <si>
    <t>FORS - CHEQ A PAYER</t>
  </si>
  <si>
    <t>FOURNISSEURS - FNP</t>
  </si>
  <si>
    <t>FNP</t>
  </si>
  <si>
    <t>AUTRES FOURNISSEURS ET COMPTES RATT</t>
  </si>
  <si>
    <t>CLIENTS CREDITEURS,AVANCES ET ACOMP</t>
  </si>
  <si>
    <t>CLTS-AVANCES &amp; ACOMP. RECUS/COMMAND</t>
  </si>
  <si>
    <t>CLTS -DETTES POUR EMBAL. ET MATERIE</t>
  </si>
  <si>
    <t>R.R.R A ACCORDER -AVOIRS A ETABLIR</t>
  </si>
  <si>
    <t>AUTRES CLIENTS CREDITEURS</t>
  </si>
  <si>
    <t>PERSONNEL-CREDITEUR</t>
  </si>
  <si>
    <t>Rémunérations dues au personnel</t>
  </si>
  <si>
    <t>YOUSSEF EL BAHIJ</t>
  </si>
  <si>
    <t>RACHID MOUSTAHSSINE</t>
  </si>
  <si>
    <t>NAOUFAL AIDEM</t>
  </si>
  <si>
    <t>HASNA AIT HAMOU</t>
  </si>
  <si>
    <t>CAISSE NATIONALE SECURITE SOCIALE</t>
  </si>
  <si>
    <t>CNSS</t>
  </si>
  <si>
    <t>AMO</t>
  </si>
  <si>
    <t>C.I.M.R</t>
  </si>
  <si>
    <t>AUTRES ORGANISMES SOCIAUX</t>
  </si>
  <si>
    <t>CONTRIBUTION SOCIALE</t>
  </si>
  <si>
    <t>ETAT-IMPOT-TAXE ET ASSIMILES</t>
  </si>
  <si>
    <t>XXXX CONTRIBUTION SOCIALE</t>
  </si>
  <si>
    <t xml:space="preserve">RETENUE A LA SOURCE </t>
  </si>
  <si>
    <t>TAXE PROFESSIONNELLE</t>
  </si>
  <si>
    <t>Impôts sur le revenu</t>
  </si>
  <si>
    <t>IS</t>
  </si>
  <si>
    <t>TVA SUR 20 VENTE</t>
  </si>
  <si>
    <t>TVA 10% VT</t>
  </si>
  <si>
    <t>TAXE SUR 0.25</t>
  </si>
  <si>
    <t>TVA SUR PRODUITS A 20%</t>
  </si>
  <si>
    <t>ETAT TVA DUE</t>
  </si>
  <si>
    <t>ETAT RAS / DIVIDENDES</t>
  </si>
  <si>
    <t>ETAT AUTRES COMPTES CREDITEURS</t>
  </si>
  <si>
    <t>RETENUE A LA SOURCE</t>
  </si>
  <si>
    <t xml:space="preserve"> Droit de timbre / Enc Espéce 0,25</t>
  </si>
  <si>
    <t>COMPTES COURANTS ASSOCIES CREDITEUR</t>
  </si>
  <si>
    <t>ASSOCIES-DIVIDENDES A PAYER</t>
  </si>
  <si>
    <t>DIVERS CREANCIERS</t>
  </si>
  <si>
    <t>MR JILALI EL BAHIJ</t>
  </si>
  <si>
    <t>MME KHADIJA EL BAHIJ</t>
  </si>
  <si>
    <t>Intérêts courus non échus à payer</t>
  </si>
  <si>
    <t>COMPTES D'ATTENTE</t>
  </si>
  <si>
    <t>PROVISION POUR PERTE DE CHANGE</t>
  </si>
  <si>
    <t>AUGMENTATION DES CREANCES</t>
  </si>
  <si>
    <t>DIMINUTION DES DETTES CIRCULANTES</t>
  </si>
  <si>
    <t>CHEQUE A ENCAISSER</t>
  </si>
  <si>
    <t>VIREMENTS DE FONDS</t>
  </si>
  <si>
    <t>AWB</t>
  </si>
  <si>
    <t>BQ AWB EURO</t>
  </si>
  <si>
    <t>CIH</t>
  </si>
  <si>
    <t>BQ AWB DH CONV</t>
  </si>
  <si>
    <t>DAMANE RELANCE</t>
  </si>
  <si>
    <t>SOCIETE GENERALE</t>
  </si>
  <si>
    <t>CIH II</t>
  </si>
  <si>
    <t>BLOCAGES</t>
  </si>
  <si>
    <t>TRESORERIE GENERALE</t>
  </si>
  <si>
    <t>CHEQUES POSTAUX</t>
  </si>
  <si>
    <t>AUTRES ETABLISSEMENT FINANCIERS &amp; A</t>
  </si>
  <si>
    <t>CAISSES, REGIES D'AVANCES ET ACCRED</t>
  </si>
  <si>
    <t>CAISSE</t>
  </si>
  <si>
    <t>CAISSE DEPENSE</t>
  </si>
  <si>
    <t>REGIES D'AVANCES &amp; ACCREDITIFS</t>
  </si>
  <si>
    <t>TRESORERIE -PASSIF</t>
  </si>
  <si>
    <t>CREDITS D'ESCOMPTE</t>
  </si>
  <si>
    <t>CREDIT D'ESCOMPTE CM</t>
  </si>
  <si>
    <t>CREDITS DE TRESOREIE</t>
  </si>
  <si>
    <t>OBLIGATION CAUTIONNE</t>
  </si>
  <si>
    <t>REFINANCEMENT</t>
  </si>
  <si>
    <t>BANQUES (SOLDES CREDITEURS)</t>
  </si>
  <si>
    <t>AUTRES ETABLISSEMENTS FINANCIERS &amp;</t>
  </si>
  <si>
    <t>PROV. POUR DEPREC. DES COMPTES DE T</t>
  </si>
  <si>
    <t>COMPTES DE CHARGES</t>
  </si>
  <si>
    <t>CHARGES D'EXPLOITATION</t>
  </si>
  <si>
    <t>ACHATS REVENDUS DE MARCHANDISES</t>
  </si>
  <si>
    <t>ACHATS MARCH 20%</t>
  </si>
  <si>
    <t>ACHATS MARCH 7%</t>
  </si>
  <si>
    <t>ACHAT MARCHANDISE LOCAL</t>
  </si>
  <si>
    <t>FRAIS DE DOUANE</t>
  </si>
  <si>
    <t>ACHATS MEUBLES</t>
  </si>
  <si>
    <t>ACHAT MARCHANDISE IMPORT</t>
  </si>
  <si>
    <t>FRAIS DE TRANSIT</t>
  </si>
  <si>
    <t>FRAIS DE TRANSPORT</t>
  </si>
  <si>
    <t>ACHAT MARCHANDISE IMPORT ADS</t>
  </si>
  <si>
    <t>TRANSPORT D'IMPORTATION</t>
  </si>
  <si>
    <t>VARIATION DE STOCKS DE MARCHANDISES</t>
  </si>
  <si>
    <t>ACHATS REVENDUS DE MARCHAND. DES EX</t>
  </si>
  <si>
    <t>R.R.R.OBTENUS  SUR ACHATS DE MARCHA</t>
  </si>
  <si>
    <t>ACHATS CONSOMMES DE MATIERES &amp; DE F</t>
  </si>
  <si>
    <t>ACHAT DE MATIERES PREMIERES</t>
  </si>
  <si>
    <t>FRAIS DES DOUANES</t>
  </si>
  <si>
    <t>ACHATS DE MATIERES PREMIERES B</t>
  </si>
  <si>
    <t>ACHATS DE MATIERES ET FOURNITURES</t>
  </si>
  <si>
    <t>ACHATS DE MATIERES &amp; FOURNITURES A</t>
  </si>
  <si>
    <t>ACHATS DE MATIERES &amp; FOURNITURES B</t>
  </si>
  <si>
    <t>ACHATS DE COMBUSTIBLES</t>
  </si>
  <si>
    <t>ACHATS DE PRODUITS D'ENTRETIEN</t>
  </si>
  <si>
    <t>ACHATS DE FOURNITURES D'ATELIER &amp; D</t>
  </si>
  <si>
    <t>ACHATS DE FOURNITURES DE MAGASIN</t>
  </si>
  <si>
    <t>ACHATS DE FOURNITURES DE BUREAU</t>
  </si>
  <si>
    <t>ACHATS D'EMBALLAGES</t>
  </si>
  <si>
    <t>ACHATS D'EMBALLAGES PERDUS</t>
  </si>
  <si>
    <t>ACHATS D'EMBALLAGES RECUPERABLES NO</t>
  </si>
  <si>
    <t>ACHATS D'EMBALLAGES A USAGE MIXTE</t>
  </si>
  <si>
    <t>VARIATION DES STOCKS DE MATIERES &amp;</t>
  </si>
  <si>
    <t>VARIATION DES STOCKS DE MATIERS PRE</t>
  </si>
  <si>
    <t>VARIATION DES STOCKS DE MAT &amp; FOURN</t>
  </si>
  <si>
    <t>VARIATION DES STOCKS DES EMBALLAGES</t>
  </si>
  <si>
    <t>ACHATS NON STOCKES DE MATIERES &amp; FO</t>
  </si>
  <si>
    <t>ACHATS DE FOURN NON STOCKABLES (eau</t>
  </si>
  <si>
    <t>ELECTRICITE</t>
  </si>
  <si>
    <t>EAU</t>
  </si>
  <si>
    <t>ACHATS DE FOURNITURES D'ENTRETIEN</t>
  </si>
  <si>
    <t>ACHATS DE PETIT OUTILLAGES ET DE PE</t>
  </si>
  <si>
    <t>CARBURANTS</t>
  </si>
  <si>
    <t>ACHATS DE TRAVAUX ETUDES ET PRESTAT</t>
  </si>
  <si>
    <t>ACHATS DES TRAVAUX</t>
  </si>
  <si>
    <t>ACHATS DES ETUDES</t>
  </si>
  <si>
    <t>ACHATS DES PRESTATIONS DE SERVICES</t>
  </si>
  <si>
    <t>ACHATS DES PRESTATIONS -AUTO-ENTREP</t>
  </si>
  <si>
    <t>ACHATS DE MATIERES &amp; FOURNIT DES EX</t>
  </si>
  <si>
    <t>ACHATS DES MATIÈRES ET DES FOURNITU</t>
  </si>
  <si>
    <t>R.R.R.OBTENUS / ACHATS CONSOMMES DE</t>
  </si>
  <si>
    <t>R.R.R.O. /ACHATS DE MATIERES PREMIE</t>
  </si>
  <si>
    <t>R.R.R.O. /ACHATS DE MAT &amp; FOURN. CO</t>
  </si>
  <si>
    <t>R.R.R.O. /ACHATS DES EMBALLAGES</t>
  </si>
  <si>
    <t>R.R.R.O. /ACHATS NON STOCKES</t>
  </si>
  <si>
    <t>R.R.R.O. /ACHATS DE TRAVAUX,ETUDES</t>
  </si>
  <si>
    <t>R.R.R.O. /ACHATS DE MAT. &amp; FOURNIT.</t>
  </si>
  <si>
    <t>LOCATIONS ET CHARGES LOCATIVES</t>
  </si>
  <si>
    <t>LOCATION DE TERRAINS</t>
  </si>
  <si>
    <t>LOCATION DE CONSTRUCTIONS</t>
  </si>
  <si>
    <t>LOCATION DE MATERIEL &amp; D'OUTILLAGE</t>
  </si>
  <si>
    <t>LOCATION DE MOBILIER &amp; MATERIEL DE</t>
  </si>
  <si>
    <t>LOCATION DE MATERIEL INFORMATIQUE</t>
  </si>
  <si>
    <t>LOCATION DE MATERIEL DE TRANSPORT</t>
  </si>
  <si>
    <t>MALIS SUR EMBALLAGES RENDUS</t>
  </si>
  <si>
    <t>LOCATIONS ET CHARGES LOCATIVES DIVE</t>
  </si>
  <si>
    <t>REDEVANCES DE CREDIT BAIL</t>
  </si>
  <si>
    <t>REDEVANCES DE CREDIT-BAIL -MOBILIER</t>
  </si>
  <si>
    <t>ENTRETIEN ET REPARATIONS</t>
  </si>
  <si>
    <t>ENTRETIEN &amp; REPARATIONS DES BIENS I</t>
  </si>
  <si>
    <t>ENTRET &amp; REPARATION BIENS MOBILIERS</t>
  </si>
  <si>
    <t>MAINTENANCE</t>
  </si>
  <si>
    <t>PRIMES D'ASSURANCES</t>
  </si>
  <si>
    <t>ASSURANCES MULTIRISQUES (VOL.INC.RE</t>
  </si>
  <si>
    <t>ASSURANCES - risques d'exploitation</t>
  </si>
  <si>
    <t>ASSURANCES - MATERIEL DE TRANSPORT</t>
  </si>
  <si>
    <t>ASSURANCE - ASSURANCE CREDIT</t>
  </si>
  <si>
    <t>REMUNERT.DU PERSONNEL EXTERIEUR A L</t>
  </si>
  <si>
    <t>REMUNERATIONS DU PERSONNEL OCCASION</t>
  </si>
  <si>
    <t>REMUNERATIONS DU PERSONNEL INTERIMA</t>
  </si>
  <si>
    <t>REMUNERATIONS DU PERSONNEL DETACHE</t>
  </si>
  <si>
    <t>REMUNERATIONS D'INTERMEDIAIRES &amp; HO</t>
  </si>
  <si>
    <t>COMMISSIONS &amp; COURTAGES</t>
  </si>
  <si>
    <t>HONORAIRES</t>
  </si>
  <si>
    <t>HONORAIRES AUTRES</t>
  </si>
  <si>
    <t>FRAIS D'ACTES &amp; DE CONTENTIEUX</t>
  </si>
  <si>
    <t>REDEVANCES POUR BREVETS MARQUES,DRO</t>
  </si>
  <si>
    <t>REDEVANCES POUR BREVETS</t>
  </si>
  <si>
    <t>AUTRES REDEVANCES</t>
  </si>
  <si>
    <t>ETUDES ,RECHERCHE &amp; DOCUMENTATION</t>
  </si>
  <si>
    <t>ETUDES GENERALES</t>
  </si>
  <si>
    <t>RECHERCHES</t>
  </si>
  <si>
    <t>DOCUMENTATION GENERALE</t>
  </si>
  <si>
    <t>DOCUMENTATION TECHNIQUE</t>
  </si>
  <si>
    <t>TRANSPORTS</t>
  </si>
  <si>
    <t>TRANSPORTS DU PERSONNEL</t>
  </si>
  <si>
    <t>TRANSPORTS / ACHATS</t>
  </si>
  <si>
    <t>TRANSPORTS SUR VENTES</t>
  </si>
  <si>
    <t>AUTRES TRANSPORTS</t>
  </si>
  <si>
    <t>DEPLACEMENTS MISSIONS ET RECEPTIONS</t>
  </si>
  <si>
    <t>VOYAGES ET DEPLACEMENTS</t>
  </si>
  <si>
    <t>FRAIS DE DEPLACEMENT</t>
  </si>
  <si>
    <t>FRAIS DE DEMENAGEMENT</t>
  </si>
  <si>
    <t>FRAIS DE CARBURANT</t>
  </si>
  <si>
    <t>MISSIONS</t>
  </si>
  <si>
    <t>HERBERGEMENTS</t>
  </si>
  <si>
    <t>FRAIS DE GARDIENNAGE</t>
  </si>
  <si>
    <t>RECEPTIONS</t>
  </si>
  <si>
    <t>FRAIS DE RESTAURATION</t>
  </si>
  <si>
    <t>PUBLICITE PUBLICATIONS ET RELATIONS</t>
  </si>
  <si>
    <t>ANNONCES ET INSERTIONS</t>
  </si>
  <si>
    <t>ECHANTILLONS, CATALOGUES &amp; IMPRIMES</t>
  </si>
  <si>
    <t>FOIRES &amp; EXPOSITIONS</t>
  </si>
  <si>
    <t>PRIMES DE PUBLICITE</t>
  </si>
  <si>
    <t>PUBLICATIONS</t>
  </si>
  <si>
    <t>CADEAUX A LA CLIENTELE</t>
  </si>
  <si>
    <t>AUTRES CHARGES DE PUBLICITE &amp; RELAT</t>
  </si>
  <si>
    <t>FRAIS POSTAUX</t>
  </si>
  <si>
    <t>FRAIS D'INTERNET</t>
  </si>
  <si>
    <t>FRAIS DE TELEPHONE</t>
  </si>
  <si>
    <t>FRAIS DE TELEX &amp; DE TELEGRAMMES</t>
  </si>
  <si>
    <t>SERVICES BANCAIRES</t>
  </si>
  <si>
    <t>COTISATIONS &amp; DONS</t>
  </si>
  <si>
    <t>COTISATIONS</t>
  </si>
  <si>
    <t>DONS</t>
  </si>
  <si>
    <t>INTERETS DES EMPRUNTS</t>
  </si>
  <si>
    <t>FRAIS D'ACHAT &amp; DE VENTE DES TITRES</t>
  </si>
  <si>
    <t>FRAIS SUR EFFETS DE COMMERCE</t>
  </si>
  <si>
    <t>FRAIS ET COMMISSIONS / SERVICES BAN</t>
  </si>
  <si>
    <t>AUTRES CHARGES EXTERNES DES EXCE AN</t>
  </si>
  <si>
    <t>R.R.R.OBTENUS SUR AUTRES CHARGES EX</t>
  </si>
  <si>
    <t>IMPOTS ET TAXES</t>
  </si>
  <si>
    <t>IMPOTS ET TAXES DIRECTS</t>
  </si>
  <si>
    <t>CCS</t>
  </si>
  <si>
    <t>TAXE URBAINE &amp; TAXE D'EDILITE</t>
  </si>
  <si>
    <t>PATENTE</t>
  </si>
  <si>
    <t>TAXES LOCALES</t>
  </si>
  <si>
    <t>IMPOTS ET TAXES INDIRECTS</t>
  </si>
  <si>
    <t>IMPOTS,TAXES &amp; DROITS ASSIMILES</t>
  </si>
  <si>
    <t>DROITS D'ENREGISTREMENT ET DE TIMBR</t>
  </si>
  <si>
    <t>TAXES / LES VEHICULES</t>
  </si>
  <si>
    <t>AUTRES IMPOTS,TAXES &amp; DROITS ASSIMI</t>
  </si>
  <si>
    <t>IMPOTS &amp; TAXES DES EXERCICES ANTERI</t>
  </si>
  <si>
    <t>CHARGES DE PERSONNEL</t>
  </si>
  <si>
    <t>REMUNERATIONS DU PERSONNEL</t>
  </si>
  <si>
    <t>APPOINTEMENTS &amp; SALAIRES</t>
  </si>
  <si>
    <t>Salaire fixe</t>
  </si>
  <si>
    <t>Congé Payé</t>
  </si>
  <si>
    <t>Ancienneté Légale</t>
  </si>
  <si>
    <t>PRIMES &amp; GRATIFICATIONS</t>
  </si>
  <si>
    <t>PRIME DE RENDEMENT</t>
  </si>
  <si>
    <t>INDEMNITES &amp; AVANTAGES DIVERS</t>
  </si>
  <si>
    <t>Indemnités de transport</t>
  </si>
  <si>
    <t>Indemnités de panier</t>
  </si>
  <si>
    <t>Indemnités de représentation</t>
  </si>
  <si>
    <t>INDEMNITE DE TRANSPORT</t>
  </si>
  <si>
    <t>PRIME DE SALISSURE</t>
  </si>
  <si>
    <t>COMMISSION AU PERSONNEL</t>
  </si>
  <si>
    <t>REMUNERATIONS DES ADMINISTRAT.,GERA</t>
  </si>
  <si>
    <t>CHARGES SOCIALES</t>
  </si>
  <si>
    <t>COTISATIONS DE SECURITE SOCIALE</t>
  </si>
  <si>
    <t>C.N.S.S</t>
  </si>
  <si>
    <t>A.M.O</t>
  </si>
  <si>
    <t>COTISATIONS AUX CAISSES DE RETRAITE</t>
  </si>
  <si>
    <t>COTISATIONS AUX MUTUELLES</t>
  </si>
  <si>
    <t>C.I.M.R Cadres sup</t>
  </si>
  <si>
    <t>C.I.M.R Employés</t>
  </si>
  <si>
    <t>PRESTATIONS FAMILIALES</t>
  </si>
  <si>
    <t>ASSURANCES ACCIDENTS DE TRAVAIL</t>
  </si>
  <si>
    <t>CHARGES SOCIALES DIVERSES</t>
  </si>
  <si>
    <t>ASSURANCES GROUPE</t>
  </si>
  <si>
    <t>PRESTATIONS DE RETRAITES</t>
  </si>
  <si>
    <t>ALLOCATIONS AUX OEUVRES SOCIALES</t>
  </si>
  <si>
    <t>HABILLEMENT &amp; VETEMENTS DE TRAVAIL</t>
  </si>
  <si>
    <t>INDEMNITES DE PREAVIS &amp; DE LICENCIE</t>
  </si>
  <si>
    <t>MEDECINE DE TRAVAIL,PHARMACIE</t>
  </si>
  <si>
    <t>AUTRES CHARGES SOCIALES DIVERSES</t>
  </si>
  <si>
    <t>REMUNERATION DE L'EXPLOITANT</t>
  </si>
  <si>
    <t>CHARGES SOCIALES /APPOINT. &amp; SAL DE</t>
  </si>
  <si>
    <t>CHARGES DE PERSONNEL DES EXERCICES</t>
  </si>
  <si>
    <t>AUTRES CHARGES D'EXPLOITATION</t>
  </si>
  <si>
    <t>JETONS DE PRESENCE</t>
  </si>
  <si>
    <t>PERTES SUR CREANCES IRRECOUVRABLES</t>
  </si>
  <si>
    <t>CHARGES DIVERS NON JUSTIFIEES</t>
  </si>
  <si>
    <t>PERTES SUR OPERATIONS FAITES EN COM</t>
  </si>
  <si>
    <t>TRANSFERT DE PROFITS /OPERT.FAITES</t>
  </si>
  <si>
    <t>DIFFCES DE REGLTS/CHARGES DE L'EXER</t>
  </si>
  <si>
    <t>AUTRES CHARGES D'EXPLOITATION. DES</t>
  </si>
  <si>
    <t>DOTATIONS D'EXPLOITATION</t>
  </si>
  <si>
    <t>DOTATIONS D'EXPLT. AUX AMORT. DE L'</t>
  </si>
  <si>
    <t>D.E.A. DES FRAIS PRELIMINAIRES</t>
  </si>
  <si>
    <t>D.E.A. DES CHARGES A REPARTIR</t>
  </si>
  <si>
    <t>DOT. D'EXPL. AUX AMORT. DES IMMOB.</t>
  </si>
  <si>
    <t>D.E.A. DE L'IMMOB. EN RECH. &amp; DEVEL</t>
  </si>
  <si>
    <t>D.E.A. DES BREVETS,MARQUES,DROITS &amp;</t>
  </si>
  <si>
    <t>D.E.A. DU FONDS COMMERCIAL</t>
  </si>
  <si>
    <t>D.E.A. DES AUTRES IMMOB.INCORPORELL</t>
  </si>
  <si>
    <t>D.E.A. DES IMMOBILISATIONS CORPOREL</t>
  </si>
  <si>
    <t>D.E.A. DES TERRAINS</t>
  </si>
  <si>
    <t>D.E.A. DES CONSTRUCTIONS</t>
  </si>
  <si>
    <t>D.E.A. DES INSTAL. TECH. , MAT. &amp; O</t>
  </si>
  <si>
    <t>D.E.A. DU MATERIEL DE TRANSPORT</t>
  </si>
  <si>
    <t>D.E.A. DES MOBILIER, MAT. DE BUREAU</t>
  </si>
  <si>
    <t>D.E.A. DES AUTRES IMMOBILISATIONS C</t>
  </si>
  <si>
    <t>DOT.D'EXP.AUX PROV.POUR DPRCT DES I</t>
  </si>
  <si>
    <t>D.E.P. POUR DEPRCT DES IMMOB. INCOR</t>
  </si>
  <si>
    <t>D.E.P. POUR DEPRCT DES IMMOB. CORPO</t>
  </si>
  <si>
    <t>D.E.P. POUR RISQUES &amp; CHARGES</t>
  </si>
  <si>
    <t>D.E.P. POUR RISQUES &amp; CHARGES DURAB</t>
  </si>
  <si>
    <t>D.E.P. POUR RISQUES &amp; CHARGES MOMEN</t>
  </si>
  <si>
    <t>D.E.P. POUR DEPRECIATION DE L'ACTIF</t>
  </si>
  <si>
    <t>D.E.P. POUR DEPRECIATION DES STOCKS</t>
  </si>
  <si>
    <t>D.E.P. POUR DEPRCT DES CRCES DE L'A</t>
  </si>
  <si>
    <t>DOTATION D'EXPLT DES EXERCICES ANTE</t>
  </si>
  <si>
    <t>D.E  AUX AMORTISST DES EXERCICES AN</t>
  </si>
  <si>
    <t>D.E. AUX PROVISIONS DES EXERCICES A</t>
  </si>
  <si>
    <t>CHARGES FINANCIERES</t>
  </si>
  <si>
    <t>CHARGES D'INTERETS</t>
  </si>
  <si>
    <t>INTERETS DES EMPRUNTS ET DETTES</t>
  </si>
  <si>
    <t>INTERETS  DES DETTES RATTACHEES A D</t>
  </si>
  <si>
    <t>INTERETS DES C/C &amp; DEPOTS CREDITEUR</t>
  </si>
  <si>
    <t>INTERETS BANCAIRES &amp; SUR OPERT DE F</t>
  </si>
  <si>
    <t>AUTRES INTERETS DES EMPRUNTS &amp; DETT</t>
  </si>
  <si>
    <t>CHARGES D'INTERETS DES EXERCICES AN</t>
  </si>
  <si>
    <t>PERTES DE CHANGE</t>
  </si>
  <si>
    <t>PERTES DE CHANGE PROPRES A L'EXERCI</t>
  </si>
  <si>
    <t>PERTES DE CHANGE DES EXERCICES ANTE</t>
  </si>
  <si>
    <t>AUTRES CHARGES FINANCIERES</t>
  </si>
  <si>
    <t>PERTES /CREANCES LIEES A DES PARTIC</t>
  </si>
  <si>
    <t>CHARGES NETTES /CESSIONS DE TITRES</t>
  </si>
  <si>
    <t>ESCOMPTES ACCORDES</t>
  </si>
  <si>
    <t>AUTRES CHARGES FINANCIERES DES EXCE</t>
  </si>
  <si>
    <t>DOTATIONS FINANCIERES</t>
  </si>
  <si>
    <t>DOT AUX AMORTISSEMENT DES  OBLIGATI</t>
  </si>
  <si>
    <t>D.P. POUR DEPRCT DES IMMOBILISATION</t>
  </si>
  <si>
    <t>D.P. POUR RISQUES &amp; CHARGES FINANCI</t>
  </si>
  <si>
    <t>D.P. POUR DEPRCT DES TITRES &amp; VALEU</t>
  </si>
  <si>
    <t>D.P. POUR DEPRCT DES COMPTES DE TRE</t>
  </si>
  <si>
    <t>DOT. FINANCIERES DES EXERCICES ANTE</t>
  </si>
  <si>
    <t>CHARGES NON COURANTES</t>
  </si>
  <si>
    <t>VALEURS NETTES D'AMORT. DES IMMOB.C</t>
  </si>
  <si>
    <t>V.N.A DES IMMOB. INCORPORELLES CEDE</t>
  </si>
  <si>
    <t>V.N.A DES IMMOB.CORPORELLES CEDEES</t>
  </si>
  <si>
    <t>V.N.A DES IMMOB. FINANCIERES CEDEES</t>
  </si>
  <si>
    <t>V.N.A DES IMMOB. CEDEES DES EXERCIC</t>
  </si>
  <si>
    <t>SUBVENTIONS ACCORDEES</t>
  </si>
  <si>
    <t>SUBVENTIONS ACCORDEES DE L'EXERCICE</t>
  </si>
  <si>
    <t>SUBVENTIONS ACCORDEES DES EXERCICES</t>
  </si>
  <si>
    <t>AUTRES CHARGES NON COURANTES</t>
  </si>
  <si>
    <t>Arrondi TVA</t>
  </si>
  <si>
    <t>PENALITES SUR MARCHES &amp; DEDITS</t>
  </si>
  <si>
    <t>PENALITES SUR MARCHES</t>
  </si>
  <si>
    <t>DEDITS</t>
  </si>
  <si>
    <t>RAPPELS D'IMPOTS (AUTRES QU'IMPOTS/</t>
  </si>
  <si>
    <t>PENALITES &amp; AMENDES FISCALES OU PEN</t>
  </si>
  <si>
    <t>PENALITES &amp; AMENDES FISCALES</t>
  </si>
  <si>
    <t>PENALITES &amp; AMENDES PENALES</t>
  </si>
  <si>
    <t>CREANCES DEVENUES IRRECOUVRABLES</t>
  </si>
  <si>
    <t>DONS, LIBERALITES &amp; LOTS</t>
  </si>
  <si>
    <t>LIBERALITES</t>
  </si>
  <si>
    <t>LOTS</t>
  </si>
  <si>
    <t>AUTRES CHARGES NON COURANTES DES EX</t>
  </si>
  <si>
    <t>DOTATIONS NON COURANTES</t>
  </si>
  <si>
    <t>D.A. EXCEPTIONNELS DES IMMOBILISATI</t>
  </si>
  <si>
    <t>D.A.E.DE L'IMMOBILISATION EN NON VA</t>
  </si>
  <si>
    <t>D.A.E.DES IMMOBILISATION INCORPOREL</t>
  </si>
  <si>
    <t>D.A.E. DES IMMOBILISATIONS CORPOREL</t>
  </si>
  <si>
    <t>DOTATIONS NON COURANTES AUX PROV. R</t>
  </si>
  <si>
    <t>DNC POUR AMORTISSEMENTS DEROGATOIRE</t>
  </si>
  <si>
    <t>DNC POUR PLUS-VALUES EN INSTANCE D'</t>
  </si>
  <si>
    <t>DNC POUR INVESTISSEMENTS</t>
  </si>
  <si>
    <t>DNC POUR RECONSTITUTION DE GISEMENT</t>
  </si>
  <si>
    <t>DNC POUR ACQUISITION &amp; CONSTRUCTION</t>
  </si>
  <si>
    <t>D.NON COURANTES AUX PROV. POUR RISQ</t>
  </si>
  <si>
    <t>D.N.C AUX PROV.POUR RISQUES &amp; CHARG</t>
  </si>
  <si>
    <t>D.N.C AUX PROV. POUR RISQUES &amp; CHAR</t>
  </si>
  <si>
    <t>D.N.C AUX PROVISIONS POUR DEPRECIAT</t>
  </si>
  <si>
    <t>D.N.C AUX PROV. POUR DEPRECT. DE L'</t>
  </si>
  <si>
    <t>D.N.C AUX PROV.POUR DEPRECT. DE L'A</t>
  </si>
  <si>
    <t>DOT.NON COURANTES DES EXERCICES ANT</t>
  </si>
  <si>
    <t>ECART DE CHANGE</t>
  </si>
  <si>
    <t>IMPOTS SUR LES RESULTATS</t>
  </si>
  <si>
    <t>IMPOTS SUR LES BENEFICES</t>
  </si>
  <si>
    <t>IMPOSITION MINIMALE ANNUELLE DES SO</t>
  </si>
  <si>
    <t>CM IS</t>
  </si>
  <si>
    <t>CM PSN/IS</t>
  </si>
  <si>
    <t>RAPPELS &amp; DEGREVEMENTS DES IMPOTS /</t>
  </si>
  <si>
    <t>COMPTES DE PRODUITS</t>
  </si>
  <si>
    <t>PRODUITS D'EXPLOITATION</t>
  </si>
  <si>
    <t>VENTES DE MARCHANDISES</t>
  </si>
  <si>
    <t>VENTES DE MARCHANDISES A L'ETRANGER</t>
  </si>
  <si>
    <t>VENTES DE MARCHANDISES DES EXERCICE</t>
  </si>
  <si>
    <t>R.R.R. ACCORDES PAR L'ENTREPRISE</t>
  </si>
  <si>
    <t>VENTES DE BIENS &amp; SERVICES PRODUITS</t>
  </si>
  <si>
    <t>VENTES DE BIENS PRODUITS AU MAROC</t>
  </si>
  <si>
    <t>VENTES DE PRODUITS FINIS</t>
  </si>
  <si>
    <t>VENTES DE PRODUITS INTERMEDIAIRES</t>
  </si>
  <si>
    <t>VENTES DE PRODUITS RESIDUELS</t>
  </si>
  <si>
    <t>VENTES DE BIENS PRODUITS EXPORTES</t>
  </si>
  <si>
    <t>VENTES DE SERVICES PRODUITS AU MARO</t>
  </si>
  <si>
    <t>TRAVAUX</t>
  </si>
  <si>
    <t>ETUDES</t>
  </si>
  <si>
    <t>PRESTATIONS SERVICE MAROC</t>
  </si>
  <si>
    <t>VENTES SERVICES PRODUITS  EXPORTES</t>
  </si>
  <si>
    <t>PRESTATIONS SERVICE EXPORTEES</t>
  </si>
  <si>
    <t>REDEVANCES PR BREVETS,MARQUES,DROIT</t>
  </si>
  <si>
    <t>VENTES ET PRODUITS ACCESSOIRES</t>
  </si>
  <si>
    <t>LOCATIONS DIVERSES RECUES</t>
  </si>
  <si>
    <t>COMMISSIONS &amp; COURTAGES RECUS</t>
  </si>
  <si>
    <t>PRDTS DE SCES EXPLOITES DANS L'INTE</t>
  </si>
  <si>
    <t>BONIS SUR REPRISES D'EMBALLAGES CON</t>
  </si>
  <si>
    <t>PORTS &amp; FRAIS ACCESSOIRES FACTURES</t>
  </si>
  <si>
    <t>AUTRES VENTES &amp; PRODUITS ACCESSOIRE</t>
  </si>
  <si>
    <t>VENTES DE BIENS &amp; SCES PRDTS DES EX</t>
  </si>
  <si>
    <t>R.R.R.ACCORDES /VENTES DU MAROC DES</t>
  </si>
  <si>
    <t>R.R.R.ACCORDES /VENTES A L'ETRANGER</t>
  </si>
  <si>
    <t>R.R.R.ACCORDES /VENTES AU MAROC DES</t>
  </si>
  <si>
    <t>R.R.R ACCORDES SUR VENTES A L'ETRAN</t>
  </si>
  <si>
    <t>R.R.R ACCORDES /VENTES  BIENS ET SE</t>
  </si>
  <si>
    <t>VARIATION DES STOCKS DE PRODUITS</t>
  </si>
  <si>
    <t>VARIATIONS DES STOCKS DE PRODUITS E</t>
  </si>
  <si>
    <t>VARIAT. DES STOCKS DE BIENS PRDTS E</t>
  </si>
  <si>
    <t>VARIAT.DES STOCKS DE PRDTS INTERM.E</t>
  </si>
  <si>
    <t>VARIAT.DES STOCKS DE PRDTS RESIDUEL</t>
  </si>
  <si>
    <t>VARIATION DES STOCKS DE BIENS PRODU</t>
  </si>
  <si>
    <t>VARIATION DES STOCKS DE PRODUITS FI</t>
  </si>
  <si>
    <t>VARIAT. DES STOCKS DE PRDTS INTERME</t>
  </si>
  <si>
    <t>VARIATION DES STOCKS DE PRODUITS RE</t>
  </si>
  <si>
    <t>VARIATIONS DES STOCKS DE SERVICES E</t>
  </si>
  <si>
    <t>VARIATION DES STOCKS DE TRAVAUX EN</t>
  </si>
  <si>
    <t>VARIATION DES STOCKS D'ETUDES EN CO</t>
  </si>
  <si>
    <t>VARIATION DES STOCKS DE PRESTATION</t>
  </si>
  <si>
    <t>IMMOB. PRODUITES PAR L'ENTREPRISE P</t>
  </si>
  <si>
    <t>IMMOBILISATION EN NON-VALEURS PRODU</t>
  </si>
  <si>
    <t>IMMOBILISATION INCORPORELLES PRODUI</t>
  </si>
  <si>
    <t>IMMOBILISATIONS COPORELLES PRODUITE</t>
  </si>
  <si>
    <t>IMMOB. PRODUITES DES EXERCICES ANTE</t>
  </si>
  <si>
    <t>SUBVENTION D'EXPLOITATION</t>
  </si>
  <si>
    <t>SUBVENTIONS D'EXPLOITATION RECUES D</t>
  </si>
  <si>
    <t>SUBVENT. D'EXPLOIT. RECUES DES EXER</t>
  </si>
  <si>
    <t>AUTRES PRODUITS  D'EXPLOITATION</t>
  </si>
  <si>
    <t>JETONS DE PRESENCE RECUS</t>
  </si>
  <si>
    <t>REVENUS DES IMMEUBLES NON AFFECTES</t>
  </si>
  <si>
    <t>PROFITS SUR OPERATIONS FAITES EN CO</t>
  </si>
  <si>
    <t>TRANSFERT DE PERTES /OPERATION FAIT</t>
  </si>
  <si>
    <t>DIFFCES DE REGLTS CLIENTS DE L'EXER</t>
  </si>
  <si>
    <t>AUTRES PRODUITS D'EXPLT. DES EXERCI</t>
  </si>
  <si>
    <t>REPRISES D'EXPLT. ,TRANSFERTS DE CH</t>
  </si>
  <si>
    <t>REPRISES SUR AMORT. DE L'IMMOB. EN</t>
  </si>
  <si>
    <t>REPRISES SUR AMORT. DES IMMOB. INCO</t>
  </si>
  <si>
    <t>REPRISES SUR AMORT. DES IMMOB. CORP</t>
  </si>
  <si>
    <t>REPRISES /PROV POUR DEPRCT DES IMMO</t>
  </si>
  <si>
    <t>REPRISES SUR PROV POUR RISQUES &amp; CH</t>
  </si>
  <si>
    <t>REPRISE/PROV PR RISQ ET CHARGE MOME</t>
  </si>
  <si>
    <t>REPRISES SUR PROV POUR DEPRCT DE L'</t>
  </si>
  <si>
    <t>TRANSFERTS DE CHARGES D'EXPLOITATIO</t>
  </si>
  <si>
    <t>T.C.E- ACHATS DE MARCHANDISES</t>
  </si>
  <si>
    <t>T.C.E -ACHATS CONSOMMES DE MATIERES</t>
  </si>
  <si>
    <t>T.C.E -AUTRES CHARGES EXTERNES</t>
  </si>
  <si>
    <t>T.C.E -IMPOT ET TAXES</t>
  </si>
  <si>
    <t>T.C.E -CHARGES DU PERSONNEL</t>
  </si>
  <si>
    <t>T.C.E -AUTRES CHARGES D'EXPLOITATIO</t>
  </si>
  <si>
    <t>REPRISES /AMORT. &amp; PROV DES EXERCIC</t>
  </si>
  <si>
    <t>REPRISES /AMORT. DES EXERCICES ANTE</t>
  </si>
  <si>
    <t>REPRISES/PROV DES EXERCICES ANTERIE</t>
  </si>
  <si>
    <t>PRODUITS FINANCIERS</t>
  </si>
  <si>
    <t>PRODUITS DES TITRES DE PARTIC</t>
  </si>
  <si>
    <t>PRDTS DES TITRES DE PARTIC.1 DES AU</t>
  </si>
  <si>
    <t>REVENUS DES TITRES DE PARTICIPATION</t>
  </si>
  <si>
    <t>REVENUS DES TITRES IMMOBILISES</t>
  </si>
  <si>
    <t>PRDTS DES TITRES PART.&amp; AUTRES TITR</t>
  </si>
  <si>
    <t>GAINS DE CHANGE</t>
  </si>
  <si>
    <t>GAINS DE CHANGE PROPRES A L'EXERCIC</t>
  </si>
  <si>
    <t>GAINS DE CHANGE DES EXERCICES ANTER</t>
  </si>
  <si>
    <t>INTERETS ET AUTRES PRODUITS FINANCI</t>
  </si>
  <si>
    <t>INTERETS &amp; AUTRES PRODUITS ASSIMILE</t>
  </si>
  <si>
    <t>INTERETS DES PRETS</t>
  </si>
  <si>
    <t>REVENUS DES AUTRES CREANCES FINANCI</t>
  </si>
  <si>
    <t>REVENUS DES CREANCES RATTACHEES A D</t>
  </si>
  <si>
    <t>REVENUS DES TITRES &amp; VALEURS DE PLA</t>
  </si>
  <si>
    <t>PRODUITS NETS /CESSIONS DE TITRES &amp;</t>
  </si>
  <si>
    <t>ESCOMPTES OBTENUS</t>
  </si>
  <si>
    <t>INTERETS &amp; AUTRES PRDTS FINANCIERS</t>
  </si>
  <si>
    <t>REPRISES FINANCIERES,TRANSFERTS DE</t>
  </si>
  <si>
    <t>REPRISES /AMORT DES PRIMES DE REMBS</t>
  </si>
  <si>
    <t>REPRISES /PROV POUR RISQUES &amp; CHARG</t>
  </si>
  <si>
    <t>REPRISES/PROV POUR DEPRCT DES TITRE</t>
  </si>
  <si>
    <t>REPRISES/PROV POUR DEPRCT DES CPTES</t>
  </si>
  <si>
    <t>TRANSFERTS DE CHARGES FINANCIERES</t>
  </si>
  <si>
    <t>TRANSFERTS -CHARGES D'INTERETS</t>
  </si>
  <si>
    <t>TRANSFERTS - PERTES DE CHANGE</t>
  </si>
  <si>
    <t>TRANSFERTS AUTRES CHARGES FINANCIER</t>
  </si>
  <si>
    <t>REPRISES /DOT FINANCIERES DES EXERC</t>
  </si>
  <si>
    <t>PRODUITS NON COURANTS</t>
  </si>
  <si>
    <t>PRODUITS DES CESSIONS D'IMMOBILISAT</t>
  </si>
  <si>
    <t>P.C DES IMMOBILISATIONS INCORPORELL</t>
  </si>
  <si>
    <t>P.C DES IMMOBILISATIONS CORPORELLES</t>
  </si>
  <si>
    <t>P.C DES IMMOBILISATIONS FINANCIERES</t>
  </si>
  <si>
    <t>P.C DES IMMOBILISATION EXERCICES AN</t>
  </si>
  <si>
    <t>SUBVENTIONS D'EQUILIBRE</t>
  </si>
  <si>
    <t>SUBVENTIONS D'EQUILIBRE RECUES DE L</t>
  </si>
  <si>
    <t>SUBVENTIONS D'EQUILIBRE RECUES DES</t>
  </si>
  <si>
    <t>REPRISES SUR SUBVENTIONS D'INVESTIS</t>
  </si>
  <si>
    <t>REPRISES /SUBV D'INVESTISSEMENT DE</t>
  </si>
  <si>
    <t>REPRISES /SUBV D'INVESTISST DES EXE</t>
  </si>
  <si>
    <t>AUTRES PRODUITS NON COURANTS</t>
  </si>
  <si>
    <t>PENALITES &amp; DEDITS RECUS</t>
  </si>
  <si>
    <t>PENALITES RECUES SUR MARCHES</t>
  </si>
  <si>
    <t>DEDITS RECUS</t>
  </si>
  <si>
    <t>DEGREVEMENTS D'IMPOTS (AUTRES QU'IM</t>
  </si>
  <si>
    <t>REMBOURSEMENTS SINISTRES</t>
  </si>
  <si>
    <t>RENTREES SUR CREANCES SOLDEES</t>
  </si>
  <si>
    <t>DONS,LIBERALITES &amp; LOTS RECUS</t>
  </si>
  <si>
    <t>AUTRES PRDTS NON COURANTS DES EXECE</t>
  </si>
  <si>
    <t xml:space="preserve">"REPRISES NON COURANTES;TRANSF. DE </t>
  </si>
  <si>
    <t>REPRISES NON COURANTES/AMORT EXCEPT</t>
  </si>
  <si>
    <t>R.A.E DE L'IMMOBILISATION EN NON VA</t>
  </si>
  <si>
    <t>R.A.E. DES IMMOBILISATIONS INCORPOR</t>
  </si>
  <si>
    <t>REPRISES NON COURANTES/PROVISIONS R</t>
  </si>
  <si>
    <t>REPRISES SUR AMORT. DEROGATOIRES</t>
  </si>
  <si>
    <t>REPRISES SUR PLUS-VALUES EN INSTANC</t>
  </si>
  <si>
    <t>REPRISES SUR PROV POUR INVESTISSEME</t>
  </si>
  <si>
    <t>REPRISES SUR PROV POUR RECONSTITUTI</t>
  </si>
  <si>
    <t>REPRISES SUR PROV POUR ACQUISITION</t>
  </si>
  <si>
    <t>REPRISES NON COURANTES /PROV POUR R</t>
  </si>
  <si>
    <t>REPRISES /PROV POUR RISQUE &amp; CHARGE</t>
  </si>
  <si>
    <t>REPRISES/PROV POUR RISQUES &amp; CHARGE</t>
  </si>
  <si>
    <t>REPRISES NON COURANTES /PROV POUR D</t>
  </si>
  <si>
    <t>R.N.C /PROV POUR DEPRCIATION DE L'A</t>
  </si>
  <si>
    <t>R.N.C. /PROV POUR DEPRCIATION DE L'</t>
  </si>
  <si>
    <t>TRANSFERTS DE CHARGES NON COURANTES</t>
  </si>
  <si>
    <t>REPRISES NON COURANTES DES EXERCICE</t>
  </si>
  <si>
    <t>REMBOURSEMENT SINISTRES</t>
  </si>
  <si>
    <t>COMPTES DE RESULTATS</t>
  </si>
  <si>
    <t>RESULTATS D'EXPLOITATION</t>
  </si>
  <si>
    <t>MARGE BRUTE</t>
  </si>
  <si>
    <t>VALEUR AJOUTEE</t>
  </si>
  <si>
    <t>EXCEDENT BRUT D'EXPLOITATION</t>
  </si>
  <si>
    <t>EXCEDENT BRUT D'EXPLOITATION (CREDI</t>
  </si>
  <si>
    <t>INSUFFISANCE BRUTE D'EXPLOITATION</t>
  </si>
  <si>
    <t>RESULTAT FINANCIER</t>
  </si>
  <si>
    <t>RESULTAT COURANT</t>
  </si>
  <si>
    <t>RESULTAT NON COURANT</t>
  </si>
  <si>
    <t>RESULTAT AVANT IMPOTS</t>
  </si>
  <si>
    <t>RESULTAT APRES IMPOTS</t>
  </si>
  <si>
    <t>COMPTES ANALYTIQUES</t>
  </si>
  <si>
    <t>COMPTES DE RECLASST ET D'ANALYSE</t>
  </si>
  <si>
    <t>SECTIONS ANALYTIQUES</t>
  </si>
  <si>
    <t>COUTS D'ACHATS OU DE PRODUCTION</t>
  </si>
  <si>
    <t>INVENTAIRE PERMANENT DES STOCK</t>
  </si>
  <si>
    <t>COUTS DE REVIENT</t>
  </si>
  <si>
    <t>ECARTS SUR COUTS PREETABLIS</t>
  </si>
  <si>
    <t>DIFFERENCES D'INCORPORATION</t>
  </si>
  <si>
    <t>RESULTATS ANALYTIQUES</t>
  </si>
  <si>
    <t>COMPTES DE LIAISONS INTERNES</t>
  </si>
  <si>
    <t>COMPTE ATTENTE</t>
  </si>
  <si>
    <t>Intitulé de la section</t>
  </si>
  <si>
    <t>LOGI FOOD</t>
  </si>
  <si>
    <t>STE JANAH</t>
  </si>
  <si>
    <t>Etat</t>
  </si>
  <si>
    <t>Statut</t>
  </si>
  <si>
    <t>N° pièce</t>
  </si>
  <si>
    <t>Référence</t>
  </si>
  <si>
    <t>Date</t>
  </si>
  <si>
    <t>N° client</t>
  </si>
  <si>
    <t>Intitulé client</t>
  </si>
  <si>
    <t>Souche</t>
  </si>
  <si>
    <t>Hors taxe</t>
  </si>
  <si>
    <t>Facture</t>
  </si>
  <si>
    <t>A comptabiliser</t>
  </si>
  <si>
    <t>FAC150332</t>
  </si>
  <si>
    <t>RAN</t>
  </si>
  <si>
    <t>REP</t>
  </si>
  <si>
    <t>FAC150494</t>
  </si>
  <si>
    <t>FAC160106</t>
  </si>
  <si>
    <t>FAC160489</t>
  </si>
  <si>
    <t>FAC161071</t>
  </si>
  <si>
    <t>FAC171290</t>
  </si>
  <si>
    <t>FAC180218</t>
  </si>
  <si>
    <t>FAC181482</t>
  </si>
  <si>
    <t>FAC181483</t>
  </si>
  <si>
    <t>FAC181962</t>
  </si>
  <si>
    <t>FAC190284</t>
  </si>
  <si>
    <t>FAC190286</t>
  </si>
  <si>
    <t>FAC190416</t>
  </si>
  <si>
    <t>FAC190438</t>
  </si>
  <si>
    <t>FAC190442</t>
  </si>
  <si>
    <t>FAC190453</t>
  </si>
  <si>
    <t>FAC190465</t>
  </si>
  <si>
    <t>FAC190495</t>
  </si>
  <si>
    <t>FAC190544</t>
  </si>
  <si>
    <t>FAC190545</t>
  </si>
  <si>
    <t>FAC190547</t>
  </si>
  <si>
    <t>FAC190548</t>
  </si>
  <si>
    <t>FAC191283</t>
  </si>
  <si>
    <t>Facture de retour</t>
  </si>
  <si>
    <t>FAR190010</t>
  </si>
  <si>
    <t>FAR190011</t>
  </si>
  <si>
    <t>FAR190012</t>
  </si>
  <si>
    <t>Facture d'avoir</t>
  </si>
  <si>
    <t>FAV190001</t>
  </si>
  <si>
    <t>FAC191395</t>
  </si>
  <si>
    <t>FAC191333</t>
  </si>
  <si>
    <t>FAC192119</t>
  </si>
  <si>
    <t>FAC192139</t>
  </si>
  <si>
    <t>Devis</t>
  </si>
  <si>
    <t>Saisi</t>
  </si>
  <si>
    <t>DE260004</t>
  </si>
  <si>
    <t>1/2 H</t>
  </si>
  <si>
    <t>PRINCIPALE</t>
  </si>
  <si>
    <t>DE260005</t>
  </si>
  <si>
    <t>FAC260222</t>
  </si>
  <si>
    <t>RO85 NEUTRE</t>
  </si>
  <si>
    <t>FAC260223</t>
  </si>
  <si>
    <t>REG OK</t>
  </si>
  <si>
    <t>FAC260224</t>
  </si>
  <si>
    <t>FAC260226</t>
  </si>
  <si>
    <t>FAC260227</t>
  </si>
  <si>
    <t>FAC260225</t>
  </si>
  <si>
    <t>FAC260229</t>
  </si>
  <si>
    <t>FAC260228</t>
  </si>
  <si>
    <t>FAC260230</t>
  </si>
  <si>
    <t>FAC260231</t>
  </si>
  <si>
    <t>FAC260232</t>
  </si>
  <si>
    <t>FAC260233</t>
  </si>
  <si>
    <t>FACSA26017</t>
  </si>
  <si>
    <t xml:space="preserve">ECHANTILLON GRT </t>
  </si>
  <si>
    <t>ECHANTILLONS</t>
  </si>
  <si>
    <t>FAC260234</t>
  </si>
  <si>
    <t>FAC260235</t>
  </si>
  <si>
    <t>RO80</t>
  </si>
  <si>
    <t>FAC260236</t>
  </si>
  <si>
    <t>FAC260237</t>
  </si>
  <si>
    <t>FACSA26018</t>
  </si>
  <si>
    <t>FAC260241</t>
  </si>
  <si>
    <t>FAC260239</t>
  </si>
  <si>
    <t>FAC260240</t>
  </si>
  <si>
    <t>FAC260238</t>
  </si>
  <si>
    <t xml:space="preserve">TO63 BLANC </t>
  </si>
  <si>
    <t>FAC260245</t>
  </si>
  <si>
    <t>FAC260242</t>
  </si>
  <si>
    <t>FAC260246</t>
  </si>
  <si>
    <t>FAC260243</t>
  </si>
  <si>
    <t>FAC260244</t>
  </si>
  <si>
    <t>FAC260253</t>
  </si>
  <si>
    <t>FAC260254</t>
  </si>
  <si>
    <t>FAC260247</t>
  </si>
  <si>
    <t>FAC260248</t>
  </si>
  <si>
    <t>FAC260249</t>
  </si>
  <si>
    <t>FAC260250</t>
  </si>
  <si>
    <t>FAC260251</t>
  </si>
  <si>
    <t>FAC260252</t>
  </si>
  <si>
    <t>FAC260256</t>
  </si>
  <si>
    <t>FAC260255</t>
  </si>
  <si>
    <t>FAC260257</t>
  </si>
  <si>
    <t>FAC260258</t>
  </si>
  <si>
    <t>FAC260261</t>
  </si>
  <si>
    <t>FAC260262</t>
  </si>
  <si>
    <t>FAC260260</t>
  </si>
  <si>
    <t>FAC260259</t>
  </si>
  <si>
    <t>FAC260268</t>
  </si>
  <si>
    <t>FAC260269</t>
  </si>
  <si>
    <t>FAC260267</t>
  </si>
  <si>
    <t>FAC260265</t>
  </si>
  <si>
    <t>FAC260263</t>
  </si>
  <si>
    <t>FAC260264</t>
  </si>
  <si>
    <t>FAC260266</t>
  </si>
  <si>
    <t>FAC260271</t>
  </si>
  <si>
    <t>FAC260270</t>
  </si>
  <si>
    <t>FAC260273</t>
  </si>
  <si>
    <t>FAC260272</t>
  </si>
  <si>
    <t>FAC260276</t>
  </si>
  <si>
    <t>22L</t>
  </si>
  <si>
    <t>FAC260277</t>
  </si>
  <si>
    <t xml:space="preserve">RO85 NEUTRE </t>
  </si>
  <si>
    <t>FAC260275</t>
  </si>
  <si>
    <t>FAC260274</t>
  </si>
  <si>
    <t>FAC260279</t>
  </si>
  <si>
    <t>FAC260281</t>
  </si>
  <si>
    <t>FAC260280</t>
  </si>
  <si>
    <t>FAC260282</t>
  </si>
  <si>
    <t>FAC260278</t>
  </si>
  <si>
    <t>FAC260285</t>
  </si>
  <si>
    <t>FAC260289</t>
  </si>
  <si>
    <t>FAC260287</t>
  </si>
  <si>
    <t>FAC260288</t>
  </si>
  <si>
    <t>FAC260290</t>
  </si>
  <si>
    <t>FAC260283</t>
  </si>
  <si>
    <t>FAC260291</t>
  </si>
  <si>
    <t>FAC260284</t>
  </si>
  <si>
    <t>TO58 OR</t>
  </si>
  <si>
    <t>FAC260286</t>
  </si>
  <si>
    <t>FAC260295</t>
  </si>
  <si>
    <t>FAC260293</t>
  </si>
  <si>
    <t xml:space="preserve">CH </t>
  </si>
  <si>
    <t>FAC260292</t>
  </si>
  <si>
    <t>FAC260294</t>
  </si>
  <si>
    <t>COMMANDE 22</t>
  </si>
  <si>
    <t>FAC260296</t>
  </si>
  <si>
    <t>FAC260297</t>
  </si>
  <si>
    <t>FAC260300</t>
  </si>
  <si>
    <t>FAC260299</t>
  </si>
  <si>
    <t xml:space="preserve">RO85 GOLDY </t>
  </si>
  <si>
    <t>FAR260002</t>
  </si>
  <si>
    <t>GOLDY HV</t>
  </si>
  <si>
    <t>FAC260298</t>
  </si>
  <si>
    <t>FAC260301</t>
  </si>
  <si>
    <t xml:space="preserve">58 TO OR </t>
  </si>
  <si>
    <t>FAC260303</t>
  </si>
  <si>
    <t>FAC260302</t>
  </si>
  <si>
    <t>RO85 GOLDY</t>
  </si>
  <si>
    <t>FAC260307</t>
  </si>
  <si>
    <t>FAC260305</t>
  </si>
  <si>
    <t>FAC260304</t>
  </si>
  <si>
    <t>FAC260306</t>
  </si>
  <si>
    <t>FAC260308</t>
  </si>
  <si>
    <t>FAC260309</t>
  </si>
  <si>
    <t>FAC260310</t>
  </si>
  <si>
    <t xml:space="preserve">82TO OR </t>
  </si>
  <si>
    <t>FAC260319</t>
  </si>
  <si>
    <t>FAC260311</t>
  </si>
  <si>
    <t>FAC260316</t>
  </si>
  <si>
    <t>FAC260317</t>
  </si>
  <si>
    <t>FAC260320</t>
  </si>
  <si>
    <t>FAC260318</t>
  </si>
  <si>
    <t>FAC260312</t>
  </si>
  <si>
    <t>FAC260315</t>
  </si>
  <si>
    <t>FAC260324</t>
  </si>
  <si>
    <t>TO63 OR</t>
  </si>
  <si>
    <t>FAC260323</t>
  </si>
  <si>
    <t>FAC260322</t>
  </si>
  <si>
    <t>FAC260313</t>
  </si>
  <si>
    <t>FAC260314</t>
  </si>
  <si>
    <t>FAC260321</t>
  </si>
  <si>
    <t>FAC260325</t>
  </si>
  <si>
    <t>FAC260326</t>
  </si>
  <si>
    <t>1/4 CLUB ALU 125</t>
  </si>
  <si>
    <t>FAC260330</t>
  </si>
  <si>
    <t>FAC260327</t>
  </si>
  <si>
    <t>FAC260331</t>
  </si>
  <si>
    <t>FAC260329</t>
  </si>
  <si>
    <t>FAC260328</t>
  </si>
  <si>
    <t>FAC260333</t>
  </si>
  <si>
    <t>FAC260332</t>
  </si>
  <si>
    <t>FACSA26019</t>
  </si>
  <si>
    <t>FAC260335</t>
  </si>
  <si>
    <t>FAC260334</t>
  </si>
  <si>
    <t>PSSL2604</t>
  </si>
  <si>
    <t>PRST SERVICE SUPPORT &amp; LOGISTIQUE</t>
  </si>
  <si>
    <t>FAC260336</t>
  </si>
  <si>
    <t>FAC260337</t>
  </si>
  <si>
    <t>FAC260339</t>
  </si>
  <si>
    <t>FAC260338</t>
  </si>
  <si>
    <t>FAC260342</t>
  </si>
  <si>
    <t>FAC260344</t>
  </si>
  <si>
    <t>FAC260340</t>
  </si>
  <si>
    <t>FAC260345</t>
  </si>
  <si>
    <t>FAC260341</t>
  </si>
  <si>
    <t>FAC260343</t>
  </si>
  <si>
    <t>Préparation de livraison</t>
  </si>
  <si>
    <t>OP260345</t>
  </si>
  <si>
    <t>FAC260346</t>
  </si>
  <si>
    <t>C/CH</t>
  </si>
  <si>
    <t>FAC260347</t>
  </si>
  <si>
    <t>FAC260348</t>
  </si>
  <si>
    <t xml:space="preserve">TO63 OR </t>
  </si>
  <si>
    <t>FACSA26020</t>
  </si>
  <si>
    <t>ECHANTILLON GRT</t>
  </si>
  <si>
    <t>OP260350</t>
  </si>
  <si>
    <t>50% AVANCE 50% CQ</t>
  </si>
  <si>
    <t>FAC260350</t>
  </si>
  <si>
    <t>FAC260353</t>
  </si>
  <si>
    <t>FAC260352</t>
  </si>
  <si>
    <t>FAC260351</t>
  </si>
  <si>
    <t>FAC260349</t>
  </si>
  <si>
    <t>FAC260355</t>
  </si>
  <si>
    <t>FAC260354</t>
  </si>
  <si>
    <t>VIR</t>
  </si>
  <si>
    <t>FAC260357</t>
  </si>
  <si>
    <t>FAC260356</t>
  </si>
  <si>
    <t>FAC260360</t>
  </si>
  <si>
    <t>VERRE</t>
  </si>
  <si>
    <t>FAC260359</t>
  </si>
  <si>
    <t>FAC260358</t>
  </si>
  <si>
    <t>FAC260361</t>
  </si>
  <si>
    <t>FAC260362</t>
  </si>
  <si>
    <t>OP260363</t>
  </si>
  <si>
    <t>FAC260364</t>
  </si>
  <si>
    <t>FAV260001</t>
  </si>
  <si>
    <t>REMISE</t>
  </si>
  <si>
    <t>FAC260363</t>
  </si>
  <si>
    <t>FAC260365</t>
  </si>
  <si>
    <t>FAC260366</t>
  </si>
  <si>
    <t>FAC260368</t>
  </si>
  <si>
    <t>FAC260370</t>
  </si>
  <si>
    <t>FAC260374</t>
  </si>
  <si>
    <t>FAC260371</t>
  </si>
  <si>
    <t>FAC260367</t>
  </si>
  <si>
    <t>FAC260372</t>
  </si>
  <si>
    <t>FAC260373</t>
  </si>
  <si>
    <t>FAC260369</t>
  </si>
  <si>
    <t>FAC260375</t>
  </si>
  <si>
    <t>FAC260376</t>
  </si>
  <si>
    <t>FAC260380</t>
  </si>
  <si>
    <t>FAC260382</t>
  </si>
  <si>
    <t>FAC260383</t>
  </si>
  <si>
    <t>FACSA26021</t>
  </si>
  <si>
    <t>FAC260377</t>
  </si>
  <si>
    <t>FAC260378</t>
  </si>
  <si>
    <t>FAR260004</t>
  </si>
  <si>
    <t>D65</t>
  </si>
  <si>
    <t>FAC260381</t>
  </si>
  <si>
    <t>FAR260003</t>
  </si>
  <si>
    <t>370 ML</t>
  </si>
  <si>
    <t>FAC260379</t>
  </si>
  <si>
    <t>FAC260388</t>
  </si>
  <si>
    <t>FAC260385</t>
  </si>
  <si>
    <t>5/1 NEUTRE</t>
  </si>
  <si>
    <t>FAC260387</t>
  </si>
  <si>
    <t>FAC260386</t>
  </si>
  <si>
    <t>FAC260384</t>
  </si>
  <si>
    <t>FAC260389</t>
  </si>
  <si>
    <t>FAC260390</t>
  </si>
  <si>
    <t>FAC260391</t>
  </si>
  <si>
    <t>Bon de livraison</t>
  </si>
  <si>
    <t>BL260402</t>
  </si>
  <si>
    <t>ESP</t>
  </si>
  <si>
    <t>BL260399</t>
  </si>
  <si>
    <t>BL260395</t>
  </si>
  <si>
    <t>BL260398</t>
  </si>
  <si>
    <t>BL260409</t>
  </si>
  <si>
    <t>BL260401</t>
  </si>
  <si>
    <t>BL260393</t>
  </si>
  <si>
    <t>BL260396</t>
  </si>
  <si>
    <t>BL260412</t>
  </si>
  <si>
    <t>BL260400</t>
  </si>
  <si>
    <t>BL260394</t>
  </si>
  <si>
    <t>BL260397</t>
  </si>
  <si>
    <t>BL260411</t>
  </si>
  <si>
    <t>BL260410</t>
  </si>
  <si>
    <t>BL260407</t>
  </si>
  <si>
    <t>ESP.</t>
  </si>
  <si>
    <t>BL260403</t>
  </si>
  <si>
    <t>BL260404</t>
  </si>
  <si>
    <t>BL260408</t>
  </si>
  <si>
    <t>BL260405</t>
  </si>
  <si>
    <t>BL260406</t>
  </si>
  <si>
    <t>FAC260392</t>
  </si>
  <si>
    <t>FAC260413</t>
  </si>
  <si>
    <t>CHQ</t>
  </si>
  <si>
    <t>OP260387</t>
  </si>
  <si>
    <t>FAC260414</t>
  </si>
  <si>
    <t>FAC260416</t>
  </si>
  <si>
    <t>FAC260418</t>
  </si>
  <si>
    <t>CQ</t>
  </si>
  <si>
    <t>FAC260417</t>
  </si>
  <si>
    <t>300ML</t>
  </si>
  <si>
    <t>FAC260419</t>
  </si>
  <si>
    <t>5/1 SAUCE</t>
  </si>
  <si>
    <t>FAC260420</t>
  </si>
  <si>
    <t>5/1 SAUCE PIZZA</t>
  </si>
  <si>
    <t>FAC260423</t>
  </si>
  <si>
    <t>FAC260422</t>
  </si>
  <si>
    <t>FAC260421</t>
  </si>
  <si>
    <t>RO85 GOLDY HV</t>
  </si>
  <si>
    <t>FAC260424</t>
  </si>
  <si>
    <t>BL260425</t>
  </si>
  <si>
    <t>N° fournisseur</t>
  </si>
  <si>
    <t>Intitulé fournisseur</t>
  </si>
  <si>
    <t>Bon de commande</t>
  </si>
  <si>
    <t>Envoyé</t>
  </si>
  <si>
    <t>BCA200019</t>
  </si>
  <si>
    <t>PILJAR 100ML</t>
  </si>
  <si>
    <t>BCA200062</t>
  </si>
  <si>
    <t>BCA200063</t>
  </si>
  <si>
    <t>4L OLINIA</t>
  </si>
  <si>
    <t>BCA200069</t>
  </si>
  <si>
    <t>YAHYA 800G</t>
  </si>
  <si>
    <t>BCA200072</t>
  </si>
  <si>
    <t>TAMIMA 400G</t>
  </si>
  <si>
    <t>BCA200074</t>
  </si>
  <si>
    <t>LES BIDONS</t>
  </si>
  <si>
    <t>BCA200077</t>
  </si>
  <si>
    <t>RO400 TAMIMA</t>
  </si>
  <si>
    <t>BCA200078</t>
  </si>
  <si>
    <t>BCA200080</t>
  </si>
  <si>
    <t>5/1 ABR ET 5/1 FR</t>
  </si>
  <si>
    <t>BCA200082</t>
  </si>
  <si>
    <t>MFI</t>
  </si>
  <si>
    <t>BCA200095</t>
  </si>
  <si>
    <t>BCA200099</t>
  </si>
  <si>
    <t>MOLETTES</t>
  </si>
  <si>
    <t>BCA200105</t>
  </si>
  <si>
    <t>BCA200108</t>
  </si>
  <si>
    <t>JIL PACK A</t>
  </si>
  <si>
    <t>BCA200113</t>
  </si>
  <si>
    <t>JIL PACK</t>
  </si>
  <si>
    <t>BCA200125</t>
  </si>
  <si>
    <t>BCA200126</t>
  </si>
  <si>
    <t>4/4 ZEMZAMI</t>
  </si>
  <si>
    <t>BCA200136</t>
  </si>
  <si>
    <t>RO80PETIT PECH</t>
  </si>
  <si>
    <t>BCA200140</t>
  </si>
  <si>
    <t>BCA200148</t>
  </si>
  <si>
    <t>10L RECT</t>
  </si>
  <si>
    <t>BCA200162</t>
  </si>
  <si>
    <t>TO 58</t>
  </si>
  <si>
    <t>BCA200164</t>
  </si>
  <si>
    <t>BCA200165</t>
  </si>
  <si>
    <t>QUALIAGRO</t>
  </si>
  <si>
    <t>BCA200167</t>
  </si>
  <si>
    <t>BCA200171</t>
  </si>
  <si>
    <t>QUALIAGRO*2*</t>
  </si>
  <si>
    <t>BCA200179</t>
  </si>
  <si>
    <t>PAPIER CRAFT</t>
  </si>
  <si>
    <t>BCA200181</t>
  </si>
  <si>
    <t>BCA200184</t>
  </si>
  <si>
    <t>BCA200185</t>
  </si>
  <si>
    <t>BCA200188</t>
  </si>
  <si>
    <t>MFI BPANI</t>
  </si>
  <si>
    <t>BCA200190</t>
  </si>
  <si>
    <t>YAHYA AL FIR</t>
  </si>
  <si>
    <t>BCA200191</t>
  </si>
  <si>
    <t>BCA200194</t>
  </si>
  <si>
    <t>PILJAR</t>
  </si>
  <si>
    <t>BCA200198</t>
  </si>
  <si>
    <t>4/4 OF EPOXY</t>
  </si>
  <si>
    <t>BCA200205</t>
  </si>
  <si>
    <t xml:space="preserve">VMM </t>
  </si>
  <si>
    <t>BCA200206</t>
  </si>
  <si>
    <t>VMM 2</t>
  </si>
  <si>
    <t>BCA200207</t>
  </si>
  <si>
    <t>YAHYA AL FIRD 1</t>
  </si>
  <si>
    <t>BCA200208</t>
  </si>
  <si>
    <t>YAHYA AL FIR 2</t>
  </si>
  <si>
    <t>BCA200209</t>
  </si>
  <si>
    <t>YAHYA AL FIR 3</t>
  </si>
  <si>
    <t>BCA200210</t>
  </si>
  <si>
    <t>LES DEUX DOMAINES</t>
  </si>
  <si>
    <t>BCA210001</t>
  </si>
  <si>
    <t>1/4 CLUB GINNY</t>
  </si>
  <si>
    <t>BCA210003</t>
  </si>
  <si>
    <t>1/2 H OF BPANI</t>
  </si>
  <si>
    <t>BCA210007</t>
  </si>
  <si>
    <t>1/4 CLUB BPANI</t>
  </si>
  <si>
    <t>BCA210008</t>
  </si>
  <si>
    <t>BCA210009</t>
  </si>
  <si>
    <t>BCA210011</t>
  </si>
  <si>
    <t>5/1 G4</t>
  </si>
  <si>
    <t>BCA210019</t>
  </si>
  <si>
    <t>5L NOIR</t>
  </si>
  <si>
    <t>BCA210021</t>
  </si>
  <si>
    <t>BCA210022</t>
  </si>
  <si>
    <t>BCA210024</t>
  </si>
  <si>
    <t>NOTAM</t>
  </si>
  <si>
    <t>BCA210025</t>
  </si>
  <si>
    <t>BCA210029</t>
  </si>
  <si>
    <t>LOGI FOOD*2*</t>
  </si>
  <si>
    <t>BCA210034</t>
  </si>
  <si>
    <t>RO 400</t>
  </si>
  <si>
    <t>BCA210035</t>
  </si>
  <si>
    <t>BCA210037</t>
  </si>
  <si>
    <t>BCA210039</t>
  </si>
  <si>
    <t>BCA210043</t>
  </si>
  <si>
    <t>BCA210045</t>
  </si>
  <si>
    <t>BCA210051</t>
  </si>
  <si>
    <t>RO160</t>
  </si>
  <si>
    <t>BCA210053</t>
  </si>
  <si>
    <t>BCA210063</t>
  </si>
  <si>
    <t>RO400</t>
  </si>
  <si>
    <t>BCA210066</t>
  </si>
  <si>
    <t>A10</t>
  </si>
  <si>
    <t>BCA210067</t>
  </si>
  <si>
    <t>BCA210069</t>
  </si>
  <si>
    <t>CONSTANCE</t>
  </si>
  <si>
    <t>BCA210070</t>
  </si>
  <si>
    <t>BCA210071</t>
  </si>
  <si>
    <t>BCA210077</t>
  </si>
  <si>
    <t>BCA210080</t>
  </si>
  <si>
    <t>BCA210082</t>
  </si>
  <si>
    <t>BCA210083</t>
  </si>
  <si>
    <t>BCA210090</t>
  </si>
  <si>
    <t>EUROMAR</t>
  </si>
  <si>
    <t>BCA210096</t>
  </si>
  <si>
    <t>1/2 HAUTE</t>
  </si>
  <si>
    <t>BCA210099</t>
  </si>
  <si>
    <t>BCA210101</t>
  </si>
  <si>
    <t>BCA210103</t>
  </si>
  <si>
    <t>BCA210105</t>
  </si>
  <si>
    <t xml:space="preserve">PAPIER </t>
  </si>
  <si>
    <t>BCA210108</t>
  </si>
  <si>
    <t>TAMIMA 400</t>
  </si>
  <si>
    <t>BCA210113</t>
  </si>
  <si>
    <t>BCA210116</t>
  </si>
  <si>
    <t>BCA210117</t>
  </si>
  <si>
    <t>BCA210118</t>
  </si>
  <si>
    <t>1/4H ET 4/4</t>
  </si>
  <si>
    <t>BCA210124</t>
  </si>
  <si>
    <t>ALVEOL 30x50 NOIR</t>
  </si>
  <si>
    <t>BCA210125</t>
  </si>
  <si>
    <t>100ML PILLJAR</t>
  </si>
  <si>
    <t>BCA210126</t>
  </si>
  <si>
    <t>1/2 H OF</t>
  </si>
  <si>
    <t>BCA210128</t>
  </si>
  <si>
    <t>BCA210132</t>
  </si>
  <si>
    <t>YAHYA AL FIRDAOUS</t>
  </si>
  <si>
    <t>BCA210133</t>
  </si>
  <si>
    <t>BCA210135</t>
  </si>
  <si>
    <t>silver</t>
  </si>
  <si>
    <t>BCA220011</t>
  </si>
  <si>
    <t>BCA220013</t>
  </si>
  <si>
    <t>BCA220019</t>
  </si>
  <si>
    <t>TAMIMA</t>
  </si>
  <si>
    <t>BCA220021</t>
  </si>
  <si>
    <t>BOITES A10</t>
  </si>
  <si>
    <t>BCA220022</t>
  </si>
  <si>
    <t>ATLANTA</t>
  </si>
  <si>
    <t>BCA220025</t>
  </si>
  <si>
    <t>NEW PEPPE*OUALILI</t>
  </si>
  <si>
    <t>BCA220029</t>
  </si>
  <si>
    <t>BCA220032</t>
  </si>
  <si>
    <t>BCA220033</t>
  </si>
  <si>
    <t>BCA220034</t>
  </si>
  <si>
    <t>BCA220038</t>
  </si>
  <si>
    <t>5/1 PIZZA</t>
  </si>
  <si>
    <t>BCA220039</t>
  </si>
  <si>
    <t>BCA220044</t>
  </si>
  <si>
    <t>BCA220045</t>
  </si>
  <si>
    <t>ICC</t>
  </si>
  <si>
    <t>BCA220046</t>
  </si>
  <si>
    <t>BCA220048</t>
  </si>
  <si>
    <t>TO</t>
  </si>
  <si>
    <t>BCA220049</t>
  </si>
  <si>
    <t>BCA220053</t>
  </si>
  <si>
    <t>4/4 EPOXY</t>
  </si>
  <si>
    <t>BCA220055</t>
  </si>
  <si>
    <t>BCA220057</t>
  </si>
  <si>
    <t>BCA220058</t>
  </si>
  <si>
    <t>BCA220061</t>
  </si>
  <si>
    <t>BCA220062</t>
  </si>
  <si>
    <t>RO85</t>
  </si>
  <si>
    <t>BCA220063</t>
  </si>
  <si>
    <t>1/4 CLUB</t>
  </si>
  <si>
    <t>BCA220064</t>
  </si>
  <si>
    <t>BCA220065</t>
  </si>
  <si>
    <t>BCA230001</t>
  </si>
  <si>
    <t>VMM PESCADA</t>
  </si>
  <si>
    <t>BCA230004</t>
  </si>
  <si>
    <t>1/4 CLUB CONIQUE</t>
  </si>
  <si>
    <t>BCA230007</t>
  </si>
  <si>
    <t>OLINIA</t>
  </si>
  <si>
    <t>BCA230009</t>
  </si>
  <si>
    <t>BCA230010</t>
  </si>
  <si>
    <t>3L RECT</t>
  </si>
  <si>
    <t>BCA230011</t>
  </si>
  <si>
    <t>RO400 RET</t>
  </si>
  <si>
    <t>BCA230016</t>
  </si>
  <si>
    <t>ALVEOLES</t>
  </si>
  <si>
    <t>BCA230021</t>
  </si>
  <si>
    <t>BCA230025</t>
  </si>
  <si>
    <t>1/4 CLUB NEUTRE</t>
  </si>
  <si>
    <t>BCA230028</t>
  </si>
  <si>
    <t>BCA230031</t>
  </si>
  <si>
    <t>BCA230033</t>
  </si>
  <si>
    <t>BCA230034</t>
  </si>
  <si>
    <t xml:space="preserve">JIL PACK A </t>
  </si>
  <si>
    <t>BCA230036</t>
  </si>
  <si>
    <t>BCA230038</t>
  </si>
  <si>
    <t>BCA230045</t>
  </si>
  <si>
    <t>BCA230049</t>
  </si>
  <si>
    <t>CPT</t>
  </si>
  <si>
    <t>BCA230051</t>
  </si>
  <si>
    <t>BCA230052</t>
  </si>
  <si>
    <t>BCA230056</t>
  </si>
  <si>
    <t>BCA230060</t>
  </si>
  <si>
    <t>BCA230063</t>
  </si>
  <si>
    <t>1/4 CLUB ALUM</t>
  </si>
  <si>
    <t>BCA240002</t>
  </si>
  <si>
    <t>BCA240005</t>
  </si>
  <si>
    <t>BTE ALU 90 ET 125</t>
  </si>
  <si>
    <t>BCA240006</t>
  </si>
  <si>
    <t>1/4 CLUB  ALUM 90</t>
  </si>
  <si>
    <t>BCA240008</t>
  </si>
  <si>
    <t>BCA240009</t>
  </si>
  <si>
    <t>BCA240011</t>
  </si>
  <si>
    <t>BCA240015</t>
  </si>
  <si>
    <t>BCA240020</t>
  </si>
  <si>
    <t>105 ATLAS</t>
  </si>
  <si>
    <t>BCA240026</t>
  </si>
  <si>
    <t>1/4 CLUB ALU22</t>
  </si>
  <si>
    <t>BCA240027</t>
  </si>
  <si>
    <t>1/4 CLUB ALU29</t>
  </si>
  <si>
    <t>BCA240028</t>
  </si>
  <si>
    <t>BCA240029</t>
  </si>
  <si>
    <t>MIXTE</t>
  </si>
  <si>
    <t>BCA240031</t>
  </si>
  <si>
    <t>BCA240035</t>
  </si>
  <si>
    <t>BCA240037</t>
  </si>
  <si>
    <t>1/4 CLUB ALU125</t>
  </si>
  <si>
    <t>BCA240038</t>
  </si>
  <si>
    <t>1/4 CLUB 125 DROI</t>
  </si>
  <si>
    <t>BCA240041</t>
  </si>
  <si>
    <t>BCA240042</t>
  </si>
  <si>
    <t>1/4 CLUB 90ML</t>
  </si>
  <si>
    <t>BCA240043</t>
  </si>
  <si>
    <t>105 ATLAS 1</t>
  </si>
  <si>
    <t>BCA240044</t>
  </si>
  <si>
    <t>105 ATLAS 2</t>
  </si>
  <si>
    <t>BCA240045</t>
  </si>
  <si>
    <t>105 ATLAS 3</t>
  </si>
  <si>
    <t>BCA240046</t>
  </si>
  <si>
    <t>105 ATLAS 4</t>
  </si>
  <si>
    <t>BCA240047</t>
  </si>
  <si>
    <t>BCA240048</t>
  </si>
  <si>
    <t>1L OLINIA</t>
  </si>
  <si>
    <t>BCA240049</t>
  </si>
  <si>
    <t>BCA240055</t>
  </si>
  <si>
    <t>BCA240054</t>
  </si>
  <si>
    <t>JIL PACK  A *2*</t>
  </si>
  <si>
    <t>BCA240056</t>
  </si>
  <si>
    <t>BCA240061</t>
  </si>
  <si>
    <t>BCA240062</t>
  </si>
  <si>
    <t>BCA240066</t>
  </si>
  <si>
    <t>JANAH</t>
  </si>
  <si>
    <t>BCA240067</t>
  </si>
  <si>
    <t>RO85 LOGI FOOD</t>
  </si>
  <si>
    <t>BCA240068</t>
  </si>
  <si>
    <t>BCA240071</t>
  </si>
  <si>
    <t>1/4 CLUB ALU</t>
  </si>
  <si>
    <t>BCA240080</t>
  </si>
  <si>
    <t>fbn</t>
  </si>
  <si>
    <t>BCA240084</t>
  </si>
  <si>
    <t>BCA240085</t>
  </si>
  <si>
    <t>1/4 CLUB DR</t>
  </si>
  <si>
    <t>BCA240089</t>
  </si>
  <si>
    <t>BCA240091</t>
  </si>
  <si>
    <t>1/2 H PET</t>
  </si>
  <si>
    <t>BCA240096</t>
  </si>
  <si>
    <t>BCA240098</t>
  </si>
  <si>
    <t>BCA240099</t>
  </si>
  <si>
    <t xml:space="preserve">5L </t>
  </si>
  <si>
    <t>BCA240100</t>
  </si>
  <si>
    <t>BCA240102</t>
  </si>
  <si>
    <t>JP A</t>
  </si>
  <si>
    <t>BCA240107</t>
  </si>
  <si>
    <t>BCA240108</t>
  </si>
  <si>
    <t>BCA250001</t>
  </si>
  <si>
    <t>BCA250003</t>
  </si>
  <si>
    <t>22L+1KG+5KG</t>
  </si>
  <si>
    <t>BCA250007</t>
  </si>
  <si>
    <t>BCA250008</t>
  </si>
  <si>
    <t>BCA250011</t>
  </si>
  <si>
    <t>JP A   2</t>
  </si>
  <si>
    <t>BCA250013</t>
  </si>
  <si>
    <t>QUATY 100ML</t>
  </si>
  <si>
    <t>BCA250015</t>
  </si>
  <si>
    <t>1KG</t>
  </si>
  <si>
    <t>BCA250016</t>
  </si>
  <si>
    <t>BCA250018</t>
  </si>
  <si>
    <t>1/4 CLUB  ALU CON</t>
  </si>
  <si>
    <t>BCA250019</t>
  </si>
  <si>
    <t>BCA250020</t>
  </si>
  <si>
    <t>BCA250021</t>
  </si>
  <si>
    <t>LGMC+JP A</t>
  </si>
  <si>
    <t>BCA250024</t>
  </si>
  <si>
    <t>JP A 2</t>
  </si>
  <si>
    <t>BCA250026</t>
  </si>
  <si>
    <t>CVC 1/4 CLUB ALU</t>
  </si>
  <si>
    <t>BCA250027</t>
  </si>
  <si>
    <t>1/4 CLUB FB CON</t>
  </si>
  <si>
    <t>BCA250025</t>
  </si>
  <si>
    <t>1/4 CLUB ALU DR</t>
  </si>
  <si>
    <t>BCA250028</t>
  </si>
  <si>
    <t>BCA250030</t>
  </si>
  <si>
    <t>BCA250033</t>
  </si>
  <si>
    <t>LES DEUX DOM*2*</t>
  </si>
  <si>
    <t>BCA250034</t>
  </si>
  <si>
    <t>BCA250036</t>
  </si>
  <si>
    <t>1/4 CLUB FB BPANI</t>
  </si>
  <si>
    <t>BCA250038</t>
  </si>
  <si>
    <t>MIROU HV GOLY ST</t>
  </si>
  <si>
    <t>BCA250039</t>
  </si>
  <si>
    <t>BCA250045</t>
  </si>
  <si>
    <t>OCEAMIC</t>
  </si>
  <si>
    <t>BCA250046</t>
  </si>
  <si>
    <t>1/4 CLUB ALU 27</t>
  </si>
  <si>
    <t>BCA250048</t>
  </si>
  <si>
    <t>1/4 CLUB ALU CO29</t>
  </si>
  <si>
    <t>BCA250049</t>
  </si>
  <si>
    <t>1/4 CLUB 90</t>
  </si>
  <si>
    <t>BCA250053</t>
  </si>
  <si>
    <t>BCA250052</t>
  </si>
  <si>
    <t>BCA250054</t>
  </si>
  <si>
    <t>BCA250055</t>
  </si>
  <si>
    <t>BCA250056</t>
  </si>
  <si>
    <t>BCA250057</t>
  </si>
  <si>
    <t>BCA250058</t>
  </si>
  <si>
    <t>RO85  OS CVC OF</t>
  </si>
  <si>
    <t>BCA250060</t>
  </si>
  <si>
    <t>BCA250061</t>
  </si>
  <si>
    <t>1/2 H TISSA</t>
  </si>
  <si>
    <t>BCA250062</t>
  </si>
  <si>
    <t>RO85 MIRO</t>
  </si>
  <si>
    <t>BCA250064</t>
  </si>
  <si>
    <t>BCA250067</t>
  </si>
  <si>
    <t>Préparation de commande</t>
  </si>
  <si>
    <t>Accepté</t>
  </si>
  <si>
    <t>OPC240002</t>
  </si>
  <si>
    <t>3.8  TRANS CVC JA</t>
  </si>
  <si>
    <t>BCA250071</t>
  </si>
  <si>
    <t>BCA250074</t>
  </si>
  <si>
    <t>U.D</t>
  </si>
  <si>
    <t>BCA250073</t>
  </si>
  <si>
    <t>OPC240003</t>
  </si>
  <si>
    <t>BCA260001</t>
  </si>
  <si>
    <t>BCA260009</t>
  </si>
  <si>
    <t>OPC240004</t>
  </si>
  <si>
    <t>*****A REMLIR****</t>
  </si>
  <si>
    <t>BCA260013</t>
  </si>
  <si>
    <t>FI26049</t>
  </si>
  <si>
    <t>18/2026 ASNI</t>
  </si>
  <si>
    <t>BCA260015</t>
  </si>
  <si>
    <t>JP CASA</t>
  </si>
  <si>
    <t>BCA260016</t>
  </si>
  <si>
    <t>4600ML</t>
  </si>
  <si>
    <t>OPC240005</t>
  </si>
  <si>
    <t>BCA260017</t>
  </si>
  <si>
    <t>JP</t>
  </si>
  <si>
    <t>BCA260021</t>
  </si>
  <si>
    <t>2300AM</t>
  </si>
  <si>
    <t>BCA260023</t>
  </si>
  <si>
    <t>1/4 CLUB 29</t>
  </si>
  <si>
    <t>BCA260024</t>
  </si>
  <si>
    <t>1/4 CLUB 125</t>
  </si>
  <si>
    <t>BCA260022</t>
  </si>
  <si>
    <t>CVC 1/4 CLUB FB</t>
  </si>
  <si>
    <t>47/2026 ASNI</t>
  </si>
  <si>
    <t>46/2026 ASNI</t>
  </si>
  <si>
    <t>L090826</t>
  </si>
  <si>
    <t>02/2026 ASFOEX</t>
  </si>
  <si>
    <t>COMPLIMENT</t>
  </si>
  <si>
    <t>FA1656717</t>
  </si>
  <si>
    <t>FA1656718</t>
  </si>
  <si>
    <t>10L AM</t>
  </si>
  <si>
    <t>FA1656719</t>
  </si>
  <si>
    <t>RO85 NEUTRE CS</t>
  </si>
  <si>
    <t>06/2026 JTTL</t>
  </si>
  <si>
    <t>BCA260028</t>
  </si>
  <si>
    <t>2K500</t>
  </si>
  <si>
    <t>BCA260025</t>
  </si>
  <si>
    <t>1/4CLUB ALU 22</t>
  </si>
  <si>
    <t>FAC2601167</t>
  </si>
  <si>
    <t>4/4 CHERIF</t>
  </si>
  <si>
    <t>FAC2601168</t>
  </si>
  <si>
    <t xml:space="preserve"> 5/1 CHERIF</t>
  </si>
  <si>
    <t>AG0715</t>
  </si>
  <si>
    <t>AG0716</t>
  </si>
  <si>
    <t>FA1656862</t>
  </si>
  <si>
    <t>4000L</t>
  </si>
  <si>
    <t>FA1656863</t>
  </si>
  <si>
    <t>870 ML</t>
  </si>
  <si>
    <t>FA1656864</t>
  </si>
  <si>
    <t>FA202603143</t>
  </si>
  <si>
    <t>BCA260029</t>
  </si>
  <si>
    <t xml:space="preserve">2KG5 </t>
  </si>
  <si>
    <t>FAC2601242</t>
  </si>
  <si>
    <t>FA1656900</t>
  </si>
  <si>
    <t>2300ML</t>
  </si>
  <si>
    <t>07/2026 JTTL</t>
  </si>
  <si>
    <t>FA1656941</t>
  </si>
  <si>
    <t>20L</t>
  </si>
  <si>
    <t>IDNA FOOD</t>
  </si>
  <si>
    <t>FA1656971</t>
  </si>
  <si>
    <t>5500AP</t>
  </si>
  <si>
    <t>FA1656972</t>
  </si>
  <si>
    <t>FA1656973</t>
  </si>
  <si>
    <t>3800 AM</t>
  </si>
  <si>
    <t>DK00017922</t>
  </si>
  <si>
    <t>DK00017928</t>
  </si>
  <si>
    <t>08/2026 JTTL</t>
  </si>
  <si>
    <t>FA202603387</t>
  </si>
  <si>
    <t>DK00018003</t>
  </si>
  <si>
    <t>FA202603472</t>
  </si>
  <si>
    <t>FA1657052</t>
  </si>
  <si>
    <t>18L</t>
  </si>
  <si>
    <t>09/2026 JTTL</t>
  </si>
  <si>
    <t>BCA260031</t>
  </si>
  <si>
    <t>FA1657155</t>
  </si>
  <si>
    <t>FA202603742</t>
  </si>
  <si>
    <t>BCA260027</t>
  </si>
  <si>
    <t>BCA260032</t>
  </si>
  <si>
    <t>2300 NOIR</t>
  </si>
  <si>
    <t>FA1657244</t>
  </si>
  <si>
    <t>BCA260034</t>
  </si>
  <si>
    <t>BCA260035</t>
  </si>
  <si>
    <t>1/4 CLUB FB</t>
  </si>
  <si>
    <t>DK00018802</t>
  </si>
  <si>
    <t>PRES SERVICE</t>
  </si>
  <si>
    <t>FA202604038</t>
  </si>
  <si>
    <t>COMPL 07/26 JTTL</t>
  </si>
  <si>
    <t>Réceptionné</t>
  </si>
  <si>
    <t>BL1657962</t>
  </si>
  <si>
    <t>FA1657390</t>
  </si>
  <si>
    <t xml:space="preserve">3800 AM </t>
  </si>
  <si>
    <t>BCA260033</t>
  </si>
  <si>
    <t>BCA260036</t>
  </si>
  <si>
    <t>FA1657429</t>
  </si>
  <si>
    <t>FA1657430</t>
  </si>
  <si>
    <t>BCA260037</t>
  </si>
  <si>
    <t>1700 NEIMA</t>
  </si>
  <si>
    <t>FA1657554</t>
  </si>
  <si>
    <t>BCA260038</t>
  </si>
  <si>
    <t>212 ATLAS</t>
  </si>
  <si>
    <t>JP A 5/1 NEUTRE</t>
  </si>
  <si>
    <t>BCA260039</t>
  </si>
  <si>
    <t>FA1657661</t>
  </si>
  <si>
    <t xml:space="preserve">JP A </t>
  </si>
  <si>
    <t>BCA260041</t>
  </si>
  <si>
    <t>5L NEUTRE</t>
  </si>
  <si>
    <t>BCA260040</t>
  </si>
  <si>
    <t>1200ML</t>
  </si>
  <si>
    <t>Facture comptabilisée</t>
  </si>
  <si>
    <t>Comptabilisé</t>
  </si>
  <si>
    <t>138/2019</t>
  </si>
  <si>
    <t>130/2019</t>
  </si>
  <si>
    <t>129/2019</t>
  </si>
  <si>
    <t>124/2019</t>
  </si>
  <si>
    <t>001/2020</t>
  </si>
  <si>
    <t>1/2 HAUTE RET</t>
  </si>
  <si>
    <t>131/2019</t>
  </si>
  <si>
    <t>134/2019</t>
  </si>
  <si>
    <t>128/2019</t>
  </si>
  <si>
    <t>002/2020</t>
  </si>
  <si>
    <t>FA1609285</t>
  </si>
  <si>
    <t>PLASTIQUE</t>
  </si>
  <si>
    <t>FAC200030</t>
  </si>
  <si>
    <t>NEUTRE +VERNICOP</t>
  </si>
  <si>
    <t>MIEL DU MAROC*2*</t>
  </si>
  <si>
    <t>JIL PACK*1*</t>
  </si>
  <si>
    <t>132/2019</t>
  </si>
  <si>
    <t>133/2019</t>
  </si>
  <si>
    <t>ODASSIA</t>
  </si>
  <si>
    <t>TO58 /82 /63 GOLD</t>
  </si>
  <si>
    <t xml:space="preserve">4/4 OF+1/2H RET </t>
  </si>
  <si>
    <t>008/2020</t>
  </si>
  <si>
    <t>COPAG VIANDES</t>
  </si>
  <si>
    <t>135/2019</t>
  </si>
  <si>
    <t>136/2019</t>
  </si>
  <si>
    <t>009/2020</t>
  </si>
  <si>
    <t>010/2020</t>
  </si>
  <si>
    <t>FA1609350</t>
  </si>
  <si>
    <t>2300 ML</t>
  </si>
  <si>
    <t>007/2020</t>
  </si>
  <si>
    <t>DTC</t>
  </si>
  <si>
    <t>CHARCUTRIE SAHEL</t>
  </si>
  <si>
    <t>006/2020</t>
  </si>
  <si>
    <t>011/2020</t>
  </si>
  <si>
    <t>014/2020</t>
  </si>
  <si>
    <t>137/2019</t>
  </si>
  <si>
    <t>003/2020</t>
  </si>
  <si>
    <t>004/2020</t>
  </si>
  <si>
    <t>012/2020</t>
  </si>
  <si>
    <t>AVOIR 0020011772</t>
  </si>
  <si>
    <t>FA1609415</t>
  </si>
  <si>
    <t>01/2020 REC JAC</t>
  </si>
  <si>
    <t>43 TO GOLD</t>
  </si>
  <si>
    <t>005/2020</t>
  </si>
  <si>
    <t>2542020E</t>
  </si>
  <si>
    <t>254/2020/E</t>
  </si>
  <si>
    <t>FA1609428</t>
  </si>
  <si>
    <t>FA1609429</t>
  </si>
  <si>
    <t>TO43/48/58/63/82</t>
  </si>
  <si>
    <t>JIL PACK*MIDAV*</t>
  </si>
  <si>
    <t>013/2020</t>
  </si>
  <si>
    <t>FA1609466</t>
  </si>
  <si>
    <t>4000l inv</t>
  </si>
  <si>
    <t>016/2020</t>
  </si>
  <si>
    <t>015/2020</t>
  </si>
  <si>
    <t>FAC200102</t>
  </si>
  <si>
    <t>NEUTRE</t>
  </si>
  <si>
    <t>020/2020</t>
  </si>
  <si>
    <t>02/2020 REC JAC</t>
  </si>
  <si>
    <t>017/2020</t>
  </si>
  <si>
    <t>MIEL DU MAROC*1*</t>
  </si>
  <si>
    <t>CHAR SAHEL*2*</t>
  </si>
  <si>
    <t>EXI20-290-038</t>
  </si>
  <si>
    <t>021/2020</t>
  </si>
  <si>
    <t>022/2020</t>
  </si>
  <si>
    <t>FA1609538</t>
  </si>
  <si>
    <t>FA1609539</t>
  </si>
  <si>
    <t>FA1609540</t>
  </si>
  <si>
    <t>FA1609549</t>
  </si>
  <si>
    <t>58 GOLD</t>
  </si>
  <si>
    <t>FAC200120</t>
  </si>
  <si>
    <t>22L EURO800</t>
  </si>
  <si>
    <t>018/2020</t>
  </si>
  <si>
    <t>019/2020</t>
  </si>
  <si>
    <t>03/2020 RE JAC</t>
  </si>
  <si>
    <t>023/2020</t>
  </si>
  <si>
    <t>JIL PACKA*MARINE*</t>
  </si>
  <si>
    <t>024/2020</t>
  </si>
  <si>
    <t>03/2020 REC JAC</t>
  </si>
  <si>
    <t>025/2020</t>
  </si>
  <si>
    <t>JIL PACK A*doha*</t>
  </si>
  <si>
    <t>FAC200147</t>
  </si>
  <si>
    <t>MUSTANG</t>
  </si>
  <si>
    <t>026/2020</t>
  </si>
  <si>
    <t>BTE ROND COPAG</t>
  </si>
  <si>
    <t>027/2020</t>
  </si>
  <si>
    <t>028/2020</t>
  </si>
  <si>
    <t>GF200302</t>
  </si>
  <si>
    <t>SEAUX 30L BLANC</t>
  </si>
  <si>
    <t>FA1609665</t>
  </si>
  <si>
    <t>JIL PACK A*DOHA*</t>
  </si>
  <si>
    <t>029/2020</t>
  </si>
  <si>
    <t>JIL PACK A*AVEIRO</t>
  </si>
  <si>
    <t>STE YAHYA AL FIRD</t>
  </si>
  <si>
    <t>030/2020</t>
  </si>
  <si>
    <t>035/2020</t>
  </si>
  <si>
    <t>4/4 G3</t>
  </si>
  <si>
    <t>033/2020</t>
  </si>
  <si>
    <t>034/2020</t>
  </si>
  <si>
    <t>036/2020</t>
  </si>
  <si>
    <t>04/2020 REC JAC</t>
  </si>
  <si>
    <t>AL MARAI</t>
  </si>
  <si>
    <t>031/2020</t>
  </si>
  <si>
    <t>039/2020</t>
  </si>
  <si>
    <t>NOTAM*2*</t>
  </si>
  <si>
    <t>CONS AL ADARISSA</t>
  </si>
  <si>
    <t>037/2020</t>
  </si>
  <si>
    <t>040/2020</t>
  </si>
  <si>
    <t>FA1609776</t>
  </si>
  <si>
    <t>05/2020 REC JAC</t>
  </si>
  <si>
    <t>FAC200217</t>
  </si>
  <si>
    <t>108*131</t>
  </si>
  <si>
    <t>032/2020</t>
  </si>
  <si>
    <t>043/2020</t>
  </si>
  <si>
    <t>06/2020 REC JAC</t>
  </si>
  <si>
    <t>041/2020</t>
  </si>
  <si>
    <t>1KG700 AL MARAI</t>
  </si>
  <si>
    <t>NOTAM*JIL PACK*</t>
  </si>
  <si>
    <t>038/2020</t>
  </si>
  <si>
    <t>FA1609819</t>
  </si>
  <si>
    <t>3800 ML TRSP</t>
  </si>
  <si>
    <t>CONSERV AL ADARIS</t>
  </si>
  <si>
    <t>042/2020</t>
  </si>
  <si>
    <t>MIDI+22L*1*</t>
  </si>
  <si>
    <t>22L*2*</t>
  </si>
  <si>
    <t>044/2020</t>
  </si>
  <si>
    <t>046/2020</t>
  </si>
  <si>
    <t>047/2020</t>
  </si>
  <si>
    <t>048/2020</t>
  </si>
  <si>
    <t>LOGI FOOD MAROC*2</t>
  </si>
  <si>
    <t>JIL PACK *1*</t>
  </si>
  <si>
    <t>045/2020</t>
  </si>
  <si>
    <t>JIL PACKA*CONSTAN</t>
  </si>
  <si>
    <t>049/2020</t>
  </si>
  <si>
    <t>052/2020</t>
  </si>
  <si>
    <t>JIL PACKA*DOHA*</t>
  </si>
  <si>
    <t>053/2020</t>
  </si>
  <si>
    <t>050/2020</t>
  </si>
  <si>
    <t>JIL PACKA*AVEIRO*</t>
  </si>
  <si>
    <t>051/2020</t>
  </si>
  <si>
    <t>08/2020 REC JAC</t>
  </si>
  <si>
    <t>054/2020</t>
  </si>
  <si>
    <t>SILVER FOOD*2*</t>
  </si>
  <si>
    <t>07/2020 REC JAC</t>
  </si>
  <si>
    <t>056/2020</t>
  </si>
  <si>
    <t>055/2020</t>
  </si>
  <si>
    <t>FAC200272</t>
  </si>
  <si>
    <t>AVOIR SILVER FOOD</t>
  </si>
  <si>
    <t>RO85 VMM</t>
  </si>
  <si>
    <t>BECHAR EL KHEIR</t>
  </si>
  <si>
    <t>RO 80 SILVER FOOD</t>
  </si>
  <si>
    <t>065/2020</t>
  </si>
  <si>
    <t>067/2020</t>
  </si>
  <si>
    <t>068/2020</t>
  </si>
  <si>
    <t>069/2020</t>
  </si>
  <si>
    <t>057/2020</t>
  </si>
  <si>
    <t>066/2020</t>
  </si>
  <si>
    <t>AVC20-00424</t>
  </si>
  <si>
    <t>AVC20-00425</t>
  </si>
  <si>
    <t>FAC02153</t>
  </si>
  <si>
    <t>4/4 OF G3</t>
  </si>
  <si>
    <t>061/2020</t>
  </si>
  <si>
    <t>FA1609980</t>
  </si>
  <si>
    <t>062/2020</t>
  </si>
  <si>
    <t>064/2020</t>
  </si>
  <si>
    <t>063/2020</t>
  </si>
  <si>
    <t>059/2020</t>
  </si>
  <si>
    <t>060/2020</t>
  </si>
  <si>
    <t>058/2020</t>
  </si>
  <si>
    <t>4/4 NEUTRE</t>
  </si>
  <si>
    <t>TO43/58/63/82 OR</t>
  </si>
  <si>
    <t>5/1 ABRICO MFI</t>
  </si>
  <si>
    <t>1700G YAHYA AL FI</t>
  </si>
  <si>
    <t>071/2020</t>
  </si>
  <si>
    <t>070/2020</t>
  </si>
  <si>
    <t>FA1610027</t>
  </si>
  <si>
    <t>2300 AP</t>
  </si>
  <si>
    <t xml:space="preserve"> SILVER FOOD</t>
  </si>
  <si>
    <t>073/2020</t>
  </si>
  <si>
    <t>LOGI FOOD*1*</t>
  </si>
  <si>
    <t>FA1610033</t>
  </si>
  <si>
    <t>10L ET 5.5 AM</t>
  </si>
  <si>
    <t>4/4 G3 C</t>
  </si>
  <si>
    <t>074/2020</t>
  </si>
  <si>
    <t>072/2020</t>
  </si>
  <si>
    <t>FAC200290</t>
  </si>
  <si>
    <t>108X125</t>
  </si>
  <si>
    <t>FA1610150</t>
  </si>
  <si>
    <t>600ml transparent</t>
  </si>
  <si>
    <t>076/2020</t>
  </si>
  <si>
    <t>075/2020</t>
  </si>
  <si>
    <t>AVC20-00512</t>
  </si>
  <si>
    <t>FA1610146</t>
  </si>
  <si>
    <t>5500+2300</t>
  </si>
  <si>
    <t>077/2020</t>
  </si>
  <si>
    <t>FAC200296</t>
  </si>
  <si>
    <t>108X131</t>
  </si>
  <si>
    <t>078/2020</t>
  </si>
  <si>
    <t>079/2020</t>
  </si>
  <si>
    <t>080/2020</t>
  </si>
  <si>
    <t>081/2020</t>
  </si>
  <si>
    <t>09/2020 REC JAC</t>
  </si>
  <si>
    <t>FA1610215</t>
  </si>
  <si>
    <t>1200ml 2300ml</t>
  </si>
  <si>
    <t>FA1610216</t>
  </si>
  <si>
    <t>10000L TRANS</t>
  </si>
  <si>
    <t>083/2020</t>
  </si>
  <si>
    <t>800G YAHYA PIQUAN</t>
  </si>
  <si>
    <t>JIL EMBALLAGE</t>
  </si>
  <si>
    <t>084/2020</t>
  </si>
  <si>
    <t>082/2020</t>
  </si>
  <si>
    <t>085/2020</t>
  </si>
  <si>
    <t>086/2020</t>
  </si>
  <si>
    <t>5/1 NEUTRE*1*</t>
  </si>
  <si>
    <t>5/1 NEUTRE*2*</t>
  </si>
  <si>
    <t>5/1 NEUTRE*3*</t>
  </si>
  <si>
    <t>5/1 NEUTRE*4*</t>
  </si>
  <si>
    <t>4/4 AGADIR</t>
  </si>
  <si>
    <t>087/2020</t>
  </si>
  <si>
    <t>FAC200323</t>
  </si>
  <si>
    <t>22L DECOPIN</t>
  </si>
  <si>
    <t>010/2020 REC JAC</t>
  </si>
  <si>
    <t>RO85 G4</t>
  </si>
  <si>
    <t>088/2020</t>
  </si>
  <si>
    <t>092/2020</t>
  </si>
  <si>
    <t>FA1610262</t>
  </si>
  <si>
    <t>280/870/3.8/4.6</t>
  </si>
  <si>
    <t>FA1610263</t>
  </si>
  <si>
    <t>3.8 BLEU</t>
  </si>
  <si>
    <t>FTRJ20139</t>
  </si>
  <si>
    <t>089/2020</t>
  </si>
  <si>
    <t>090/2020</t>
  </si>
  <si>
    <t>091/2020</t>
  </si>
  <si>
    <t>5/1G4 SILVER</t>
  </si>
  <si>
    <t>2KG BPANI</t>
  </si>
  <si>
    <t>FA1610356</t>
  </si>
  <si>
    <t>FA1610357</t>
  </si>
  <si>
    <t>FTRJ20146</t>
  </si>
  <si>
    <t>FAC200361</t>
  </si>
  <si>
    <t>FAC200365</t>
  </si>
  <si>
    <t>MIPA</t>
  </si>
  <si>
    <t>4L OLINIA*1*</t>
  </si>
  <si>
    <t>1/4 CLUB*2*</t>
  </si>
  <si>
    <t>FA1610425</t>
  </si>
  <si>
    <t>4L +5500</t>
  </si>
  <si>
    <t>093/2020</t>
  </si>
  <si>
    <t>RO85 OF</t>
  </si>
  <si>
    <t>096/2020</t>
  </si>
  <si>
    <t>097/2020</t>
  </si>
  <si>
    <t>DINDE AL FIRDAOUS</t>
  </si>
  <si>
    <t>miel 4/4+JIL</t>
  </si>
  <si>
    <t>FAC20-03624</t>
  </si>
  <si>
    <t>095/2020</t>
  </si>
  <si>
    <t>FAC200413</t>
  </si>
  <si>
    <t>1l / 1/2l</t>
  </si>
  <si>
    <t>FA1610460</t>
  </si>
  <si>
    <t>094/2020</t>
  </si>
  <si>
    <t>099/2020</t>
  </si>
  <si>
    <t>1/4 CLUB*1*</t>
  </si>
  <si>
    <t>1/4 CLUB *2*</t>
  </si>
  <si>
    <t>FA1610502</t>
  </si>
  <si>
    <t>2300TRANS+2300BLA</t>
  </si>
  <si>
    <t>098/2020</t>
  </si>
  <si>
    <t>FAC200426</t>
  </si>
  <si>
    <t>MIPA CELLO</t>
  </si>
  <si>
    <t>4/4 G3 ERREUR</t>
  </si>
  <si>
    <t>101/2020</t>
  </si>
  <si>
    <t>104/2020</t>
  </si>
  <si>
    <t>100/2020</t>
  </si>
  <si>
    <t>FA1610583</t>
  </si>
  <si>
    <t>1200/600/280</t>
  </si>
  <si>
    <t>FA1610584</t>
  </si>
  <si>
    <t>2300 TRANSP</t>
  </si>
  <si>
    <t>103/2020</t>
  </si>
  <si>
    <t>FAC200467</t>
  </si>
  <si>
    <t>5L RECT</t>
  </si>
  <si>
    <t>102/2020</t>
  </si>
  <si>
    <t>FA1610631</t>
  </si>
  <si>
    <t>600 ML</t>
  </si>
  <si>
    <t>FA1610632</t>
  </si>
  <si>
    <t>mixte</t>
  </si>
  <si>
    <t>FA1610633</t>
  </si>
  <si>
    <t>870/2.3/5.5/5L</t>
  </si>
  <si>
    <t>105/2020</t>
  </si>
  <si>
    <t>106/2020</t>
  </si>
  <si>
    <t>FA1610643</t>
  </si>
  <si>
    <t>2300 AP BLANC</t>
  </si>
  <si>
    <t>FA1610649</t>
  </si>
  <si>
    <t>10L TRANS</t>
  </si>
  <si>
    <t>FA1610659</t>
  </si>
  <si>
    <t>2300 ML B</t>
  </si>
  <si>
    <t>5/1 G4 SILVER</t>
  </si>
  <si>
    <t>JIL PACK*DOHA</t>
  </si>
  <si>
    <t>FA1610677</t>
  </si>
  <si>
    <t>2300ML B</t>
  </si>
  <si>
    <t>FA1610678</t>
  </si>
  <si>
    <t>3.8 AM B</t>
  </si>
  <si>
    <t>107/2020</t>
  </si>
  <si>
    <t>D70</t>
  </si>
  <si>
    <t>FA1610735</t>
  </si>
  <si>
    <t>108/2020</t>
  </si>
  <si>
    <t>112/2020</t>
  </si>
  <si>
    <t>FA1610767</t>
  </si>
  <si>
    <t>280ML</t>
  </si>
  <si>
    <t>110/2020</t>
  </si>
  <si>
    <t>111/2020</t>
  </si>
  <si>
    <t>114/2020</t>
  </si>
  <si>
    <t>2KG5</t>
  </si>
  <si>
    <t>109/2020</t>
  </si>
  <si>
    <t>AVC20-00899</t>
  </si>
  <si>
    <t>AVC20-00900</t>
  </si>
  <si>
    <t>FAC200541</t>
  </si>
  <si>
    <t>FA1610821</t>
  </si>
  <si>
    <t>2300ml +1200ml</t>
  </si>
  <si>
    <t>FA1610822</t>
  </si>
  <si>
    <t>3800 TRANS</t>
  </si>
  <si>
    <t>FAC200554</t>
  </si>
  <si>
    <t>SOFALAC</t>
  </si>
  <si>
    <t>113/2020</t>
  </si>
  <si>
    <t>115/2020</t>
  </si>
  <si>
    <t>116/2020</t>
  </si>
  <si>
    <t>AVC20-00928</t>
  </si>
  <si>
    <t>VMM 1</t>
  </si>
  <si>
    <t>118/2020</t>
  </si>
  <si>
    <t>117/2020</t>
  </si>
  <si>
    <t>FAC200592</t>
  </si>
  <si>
    <t>5/1 NU G4</t>
  </si>
  <si>
    <t>120/2020</t>
  </si>
  <si>
    <t>121/2020</t>
  </si>
  <si>
    <t>119/2020</t>
  </si>
  <si>
    <t>AVO20009</t>
  </si>
  <si>
    <t>1L RECT</t>
  </si>
  <si>
    <t>AVO20010</t>
  </si>
  <si>
    <t>AVO20011</t>
  </si>
  <si>
    <t>FAC200610</t>
  </si>
  <si>
    <t>22 L SOFACHIM</t>
  </si>
  <si>
    <t>FAC200614</t>
  </si>
  <si>
    <t>SOFACHIM</t>
  </si>
  <si>
    <t>122/2020</t>
  </si>
  <si>
    <t>123/2020</t>
  </si>
  <si>
    <t>FAC200632</t>
  </si>
  <si>
    <t>SOFACHIM/OUSSOD</t>
  </si>
  <si>
    <t>FA1610947</t>
  </si>
  <si>
    <t>124/2020</t>
  </si>
  <si>
    <t>JIL PACK A*AMADIR</t>
  </si>
  <si>
    <t>FA1611043</t>
  </si>
  <si>
    <t>126/2020</t>
  </si>
  <si>
    <t>FA1611085</t>
  </si>
  <si>
    <t>3800 ML</t>
  </si>
  <si>
    <t>127/2020</t>
  </si>
  <si>
    <t>1/2 HAUT</t>
  </si>
  <si>
    <t>1700 al firdaouss</t>
  </si>
  <si>
    <t>FA1611089</t>
  </si>
  <si>
    <t>10L</t>
  </si>
  <si>
    <t>FAC200674</t>
  </si>
  <si>
    <t>LCDC</t>
  </si>
  <si>
    <t>125/2020</t>
  </si>
  <si>
    <t>FAC200679</t>
  </si>
  <si>
    <t>128/2020</t>
  </si>
  <si>
    <t>FA1611127</t>
  </si>
  <si>
    <t>130/2020</t>
  </si>
  <si>
    <t>1kg700 LOGI</t>
  </si>
  <si>
    <t>FAC200709</t>
  </si>
  <si>
    <t>MIPA + 109X99</t>
  </si>
  <si>
    <t>129/2020</t>
  </si>
  <si>
    <t xml:space="preserve">1kg700 </t>
  </si>
  <si>
    <t>4/4 OVD</t>
  </si>
  <si>
    <t>138/2020</t>
  </si>
  <si>
    <t>133/2020</t>
  </si>
  <si>
    <t>FAC200719</t>
  </si>
  <si>
    <t>4/4 SIL OF</t>
  </si>
  <si>
    <t>135/2020</t>
  </si>
  <si>
    <t>137/2020</t>
  </si>
  <si>
    <t>131/2020</t>
  </si>
  <si>
    <t>132/2020</t>
  </si>
  <si>
    <t>FA1611202</t>
  </si>
  <si>
    <t>134/2020</t>
  </si>
  <si>
    <t>FA1611238</t>
  </si>
  <si>
    <t>2300 TRS</t>
  </si>
  <si>
    <t>139/2020</t>
  </si>
  <si>
    <t>5KG TRONC</t>
  </si>
  <si>
    <t>136/2020</t>
  </si>
  <si>
    <t>141/2020</t>
  </si>
  <si>
    <t>AVC20-01150</t>
  </si>
  <si>
    <t>D73</t>
  </si>
  <si>
    <t>1/2 H ET RO85</t>
  </si>
  <si>
    <t>142/2020</t>
  </si>
  <si>
    <t>140/2020</t>
  </si>
  <si>
    <t>143/2020</t>
  </si>
  <si>
    <t>2K5</t>
  </si>
  <si>
    <t>FA1611322</t>
  </si>
  <si>
    <t>JIL PACK*VMM*PPT</t>
  </si>
  <si>
    <t>FA1611331</t>
  </si>
  <si>
    <t>145/2020</t>
  </si>
  <si>
    <t>11/2020 REC JAC</t>
  </si>
  <si>
    <t>FA1611382</t>
  </si>
  <si>
    <t>3800/18L ROUGE</t>
  </si>
  <si>
    <t>FAC200791</t>
  </si>
  <si>
    <t>COPROCHIM ET OUSS</t>
  </si>
  <si>
    <t>146/2020</t>
  </si>
  <si>
    <t>144/2020</t>
  </si>
  <si>
    <t>CONS ADDARISA*2*</t>
  </si>
  <si>
    <t>4/4G3</t>
  </si>
  <si>
    <t>1K700</t>
  </si>
  <si>
    <t>AVOIR 220310188</t>
  </si>
  <si>
    <t>FAC200803</t>
  </si>
  <si>
    <t>1KG7</t>
  </si>
  <si>
    <t>FA1611468</t>
  </si>
  <si>
    <t>FA1611471</t>
  </si>
  <si>
    <t>1200 TRS</t>
  </si>
  <si>
    <t>147/2020</t>
  </si>
  <si>
    <t>NEUTRE INDUST</t>
  </si>
  <si>
    <t>AVOIR 220310189</t>
  </si>
  <si>
    <t>FA1611507</t>
  </si>
  <si>
    <t>FAC200847</t>
  </si>
  <si>
    <t>86*110</t>
  </si>
  <si>
    <t>FA1611545</t>
  </si>
  <si>
    <t>FA1611554</t>
  </si>
  <si>
    <t>151/2020</t>
  </si>
  <si>
    <t>149/2020</t>
  </si>
  <si>
    <t>150/2020</t>
  </si>
  <si>
    <t>148/2020</t>
  </si>
  <si>
    <t>FA1611612</t>
  </si>
  <si>
    <t>5500 AM</t>
  </si>
  <si>
    <t>FAC200884</t>
  </si>
  <si>
    <t>RO80PETIT PECH*1*</t>
  </si>
  <si>
    <t>RO80PETIT PECH*2*</t>
  </si>
  <si>
    <t>5/1G4</t>
  </si>
  <si>
    <t xml:space="preserve">RO80 </t>
  </si>
  <si>
    <t>152/2020</t>
  </si>
  <si>
    <t>153/2020</t>
  </si>
  <si>
    <t>JIL PACK A*2*</t>
  </si>
  <si>
    <t>FA1611671</t>
  </si>
  <si>
    <t>870 AP</t>
  </si>
  <si>
    <t>154/2020</t>
  </si>
  <si>
    <t>155/2020</t>
  </si>
  <si>
    <t>SOMAFACO*2*</t>
  </si>
  <si>
    <t>FA1611693</t>
  </si>
  <si>
    <t>FA1611694</t>
  </si>
  <si>
    <t>FTRJ20252</t>
  </si>
  <si>
    <t>160/2020</t>
  </si>
  <si>
    <t>VMM*PPT*</t>
  </si>
  <si>
    <t>159/2020</t>
  </si>
  <si>
    <t>161/2020</t>
  </si>
  <si>
    <t>156/2020</t>
  </si>
  <si>
    <t>157/2020</t>
  </si>
  <si>
    <t>AVO20021</t>
  </si>
  <si>
    <t>FA1611769</t>
  </si>
  <si>
    <t>163/2020</t>
  </si>
  <si>
    <t>158/2020</t>
  </si>
  <si>
    <t>162/2020</t>
  </si>
  <si>
    <t>ADDARISSA ET U.F</t>
  </si>
  <si>
    <t>165/2020</t>
  </si>
  <si>
    <t>01/2020 JALAL</t>
  </si>
  <si>
    <t>YAHYA *1*</t>
  </si>
  <si>
    <t>YAHYA*2*</t>
  </si>
  <si>
    <t>02/2020 JALAL</t>
  </si>
  <si>
    <t>171/2020</t>
  </si>
  <si>
    <t>172/2020</t>
  </si>
  <si>
    <t>ADDARISSA</t>
  </si>
  <si>
    <t>170/2020</t>
  </si>
  <si>
    <t>164/2020</t>
  </si>
  <si>
    <t>FAC200979</t>
  </si>
  <si>
    <t>166/2020</t>
  </si>
  <si>
    <t>168/2020</t>
  </si>
  <si>
    <t>167/2020</t>
  </si>
  <si>
    <t>169/2020</t>
  </si>
  <si>
    <t>JIL PACK A *2*</t>
  </si>
  <si>
    <t>03/2020 JALAL</t>
  </si>
  <si>
    <t>1/4 CLUB SILVER R</t>
  </si>
  <si>
    <t>FA1611942</t>
  </si>
  <si>
    <t>870ML</t>
  </si>
  <si>
    <t>FA1611944</t>
  </si>
  <si>
    <t>FA1611945</t>
  </si>
  <si>
    <t>5500ML</t>
  </si>
  <si>
    <t>05/2020 JALAL</t>
  </si>
  <si>
    <t>AVC20-01411</t>
  </si>
  <si>
    <t>FAC201005</t>
  </si>
  <si>
    <t>108*125</t>
  </si>
  <si>
    <t>04/2020 JALAL</t>
  </si>
  <si>
    <t>173/2020</t>
  </si>
  <si>
    <t>FA1611996</t>
  </si>
  <si>
    <t>3800 /2300</t>
  </si>
  <si>
    <t>FA1611997</t>
  </si>
  <si>
    <t>MFI*2*</t>
  </si>
  <si>
    <t>178/2020</t>
  </si>
  <si>
    <t>177/2020</t>
  </si>
  <si>
    <t>AVC20-01440</t>
  </si>
  <si>
    <t>180/2020</t>
  </si>
  <si>
    <t>FA1612048</t>
  </si>
  <si>
    <t>179/2020</t>
  </si>
  <si>
    <t>FAC201026</t>
  </si>
  <si>
    <t xml:space="preserve">02/2020 JALAL </t>
  </si>
  <si>
    <t>181/2020</t>
  </si>
  <si>
    <t>06/2020 JALAL</t>
  </si>
  <si>
    <t>FA1612098</t>
  </si>
  <si>
    <t>176/2020</t>
  </si>
  <si>
    <t>AVC20-01454</t>
  </si>
  <si>
    <t>183/2020</t>
  </si>
  <si>
    <t>FAC201052</t>
  </si>
  <si>
    <t>182/2020</t>
  </si>
  <si>
    <t>175/2020</t>
  </si>
  <si>
    <t>174/2020</t>
  </si>
  <si>
    <t>FAC201067</t>
  </si>
  <si>
    <t>186/2020</t>
  </si>
  <si>
    <t>07/2020 JALAL</t>
  </si>
  <si>
    <t>185/2020</t>
  </si>
  <si>
    <t>FA1612181</t>
  </si>
  <si>
    <t>600ML</t>
  </si>
  <si>
    <t>190/2020</t>
  </si>
  <si>
    <t>1/2 CY</t>
  </si>
  <si>
    <t>184/2020</t>
  </si>
  <si>
    <t>MFI TFS</t>
  </si>
  <si>
    <t>08/2020 JALAL</t>
  </si>
  <si>
    <t>AVC20-01583</t>
  </si>
  <si>
    <t>09/2020 JALAL</t>
  </si>
  <si>
    <t>189/2020</t>
  </si>
  <si>
    <t>188/2020</t>
  </si>
  <si>
    <t>187/2020</t>
  </si>
  <si>
    <t>191/2020</t>
  </si>
  <si>
    <t>192/2020</t>
  </si>
  <si>
    <t>FA1612490</t>
  </si>
  <si>
    <t>5500 ML M2</t>
  </si>
  <si>
    <t>FA1612492</t>
  </si>
  <si>
    <t>FA1612493</t>
  </si>
  <si>
    <t>02/2021 JALAL</t>
  </si>
  <si>
    <t>01/2021 JALAL</t>
  </si>
  <si>
    <t>FA1612538</t>
  </si>
  <si>
    <t>3.8 TRANS</t>
  </si>
  <si>
    <t>JIL PACK A*SILVER</t>
  </si>
  <si>
    <t>04/2021 JALAL</t>
  </si>
  <si>
    <t>03/2021 JALAL</t>
  </si>
  <si>
    <t>FAC210046</t>
  </si>
  <si>
    <t>1/2 RECT</t>
  </si>
  <si>
    <t>TWIST OFF</t>
  </si>
  <si>
    <t>FA1612654</t>
  </si>
  <si>
    <t>CVC 2300</t>
  </si>
  <si>
    <t>FA1612655</t>
  </si>
  <si>
    <t>FA1612709</t>
  </si>
  <si>
    <t>4L NOIRE</t>
  </si>
  <si>
    <t>FA1612710</t>
  </si>
  <si>
    <t>RAF</t>
  </si>
  <si>
    <t>FAC210110</t>
  </si>
  <si>
    <t>FA1612782</t>
  </si>
  <si>
    <t>1200AP</t>
  </si>
  <si>
    <t>FA1612793</t>
  </si>
  <si>
    <t>05/2021 JALAL</t>
  </si>
  <si>
    <t>AVO21001</t>
  </si>
  <si>
    <t>EURO800</t>
  </si>
  <si>
    <t>10/2021 JALAL</t>
  </si>
  <si>
    <t>09/2021 JALAL</t>
  </si>
  <si>
    <t>13/2021</t>
  </si>
  <si>
    <t>01/2021 REC JAC</t>
  </si>
  <si>
    <t>11/2021 JALAL</t>
  </si>
  <si>
    <t>14/2021</t>
  </si>
  <si>
    <t>07/2021 JALAL</t>
  </si>
  <si>
    <t>08/2021 JALAL</t>
  </si>
  <si>
    <t>06/2021 JALAL</t>
  </si>
  <si>
    <t>02/2021 REC JAC</t>
  </si>
  <si>
    <t>FA1612983</t>
  </si>
  <si>
    <t>BL1613217</t>
  </si>
  <si>
    <t>FA1612987</t>
  </si>
  <si>
    <t xml:space="preserve">13/2021 JALAL </t>
  </si>
  <si>
    <t>12/2021 JALAL</t>
  </si>
  <si>
    <t>FAC210193</t>
  </si>
  <si>
    <t>FAC210196</t>
  </si>
  <si>
    <t>13/2021 JALAL</t>
  </si>
  <si>
    <t>15/2021</t>
  </si>
  <si>
    <t>FA1613070</t>
  </si>
  <si>
    <t>BL1613313</t>
  </si>
  <si>
    <t>16/2021</t>
  </si>
  <si>
    <t>15/2021 JALAL</t>
  </si>
  <si>
    <t>14/2021 JALAL</t>
  </si>
  <si>
    <t>FA1613105</t>
  </si>
  <si>
    <t>16/2021 JALAL</t>
  </si>
  <si>
    <t>21/2021</t>
  </si>
  <si>
    <t>22/2021</t>
  </si>
  <si>
    <t>23/2021</t>
  </si>
  <si>
    <t>FAC210239</t>
  </si>
  <si>
    <t>FA1613210</t>
  </si>
  <si>
    <t>3.8 AM</t>
  </si>
  <si>
    <t>24/2021</t>
  </si>
  <si>
    <t>25/2021</t>
  </si>
  <si>
    <t>17/2021</t>
  </si>
  <si>
    <t>18/2021</t>
  </si>
  <si>
    <t>19/2021 JALAL</t>
  </si>
  <si>
    <t>20/2021 JALAL</t>
  </si>
  <si>
    <t>17/2021 JALAL</t>
  </si>
  <si>
    <t>18/2021 JALAL</t>
  </si>
  <si>
    <t>22/2021 JALAL</t>
  </si>
  <si>
    <t>20/2021</t>
  </si>
  <si>
    <t>19/2021</t>
  </si>
  <si>
    <t>JIL PACK AGADIR</t>
  </si>
  <si>
    <t>23/2021 JALAL</t>
  </si>
  <si>
    <t>21/2021 JALAL</t>
  </si>
  <si>
    <t>24/2021 JALAL</t>
  </si>
  <si>
    <t>JIL PACK A*SMARCO</t>
  </si>
  <si>
    <t>26/2021</t>
  </si>
  <si>
    <t xml:space="preserve">24/2021 JALAL </t>
  </si>
  <si>
    <t>42/2021</t>
  </si>
  <si>
    <t xml:space="preserve">27/2021 </t>
  </si>
  <si>
    <t>41/2021</t>
  </si>
  <si>
    <t>28/2021</t>
  </si>
  <si>
    <t>FAC210319</t>
  </si>
  <si>
    <t>FA1613432</t>
  </si>
  <si>
    <t>25/2021 JALAL</t>
  </si>
  <si>
    <t>26/2021 JALAL</t>
  </si>
  <si>
    <t>27/2021 JALAL</t>
  </si>
  <si>
    <t>FAC210235</t>
  </si>
  <si>
    <t>29/2021</t>
  </si>
  <si>
    <t>2KG5 BPANI</t>
  </si>
  <si>
    <t>31/2021</t>
  </si>
  <si>
    <t>VICTUS</t>
  </si>
  <si>
    <t>30/2021</t>
  </si>
  <si>
    <t>35/2021</t>
  </si>
  <si>
    <t>29/2021 JALAL</t>
  </si>
  <si>
    <t>38/2021</t>
  </si>
  <si>
    <t>4/4 OF EPOXY*1*</t>
  </si>
  <si>
    <t>FA1613583</t>
  </si>
  <si>
    <t>FA1613584</t>
  </si>
  <si>
    <t>18L ET 2.3</t>
  </si>
  <si>
    <t>34/2021</t>
  </si>
  <si>
    <t>40/2021</t>
  </si>
  <si>
    <t>33/2021</t>
  </si>
  <si>
    <t>32/2021</t>
  </si>
  <si>
    <t>39/2021</t>
  </si>
  <si>
    <t>28/2021 JALAL</t>
  </si>
  <si>
    <t>36/2021</t>
  </si>
  <si>
    <t>37/2021</t>
  </si>
  <si>
    <t>FA1613624</t>
  </si>
  <si>
    <t>FA1613625</t>
  </si>
  <si>
    <t>CVC1200 BLANC</t>
  </si>
  <si>
    <t>FAV160109</t>
  </si>
  <si>
    <t>ATTED AVOIR OP BO</t>
  </si>
  <si>
    <t>FAC210379</t>
  </si>
  <si>
    <t>45/2021</t>
  </si>
  <si>
    <t>44/2021</t>
  </si>
  <si>
    <t>43/2021</t>
  </si>
  <si>
    <t>30/2021 JALAL</t>
  </si>
  <si>
    <t>FA1613799</t>
  </si>
  <si>
    <t>4L NOIR</t>
  </si>
  <si>
    <t>FA1613800</t>
  </si>
  <si>
    <t>31/2021 JALAL</t>
  </si>
  <si>
    <t>FA1613801</t>
  </si>
  <si>
    <t>FA1613802</t>
  </si>
  <si>
    <t>3800 TRANSP</t>
  </si>
  <si>
    <t>03/2021 REC JAC</t>
  </si>
  <si>
    <t>FA1613808</t>
  </si>
  <si>
    <t>1200 TRANSP</t>
  </si>
  <si>
    <t>32/2021 JALAL</t>
  </si>
  <si>
    <t>TAM*JIL PACK</t>
  </si>
  <si>
    <t>33/2021 JALAL</t>
  </si>
  <si>
    <t>46/2021</t>
  </si>
  <si>
    <t xml:space="preserve">2k500 </t>
  </si>
  <si>
    <t>40/2021 JALAL</t>
  </si>
  <si>
    <t>FA1613877</t>
  </si>
  <si>
    <t>35/2021 JALAL</t>
  </si>
  <si>
    <t>04/2021 REC JAC</t>
  </si>
  <si>
    <t>34/2021 JALAL</t>
  </si>
  <si>
    <t>FAV21414</t>
  </si>
  <si>
    <t xml:space="preserve">RETOUR 4/4 </t>
  </si>
  <si>
    <t>47/2021</t>
  </si>
  <si>
    <t>49/2021</t>
  </si>
  <si>
    <t>FAC210490</t>
  </si>
  <si>
    <t>JILPACK+JIL PACKA</t>
  </si>
  <si>
    <t>FA1613960</t>
  </si>
  <si>
    <t>36/2021 JALAL</t>
  </si>
  <si>
    <t>LOGI*JIL PACK*2*</t>
  </si>
  <si>
    <t>48/2021</t>
  </si>
  <si>
    <t>FA1613987</t>
  </si>
  <si>
    <t>FA1614001</t>
  </si>
  <si>
    <t>4L</t>
  </si>
  <si>
    <t>37/2021 JALAL</t>
  </si>
  <si>
    <t>52/2021</t>
  </si>
  <si>
    <t>51/2021</t>
  </si>
  <si>
    <t>38/2021 JALAL</t>
  </si>
  <si>
    <t>50/2021</t>
  </si>
  <si>
    <t>FTRJ21077</t>
  </si>
  <si>
    <t>41/2021 JALAL</t>
  </si>
  <si>
    <t>53/2021</t>
  </si>
  <si>
    <t>SILVER FOOD*1*</t>
  </si>
  <si>
    <t>39/2021 JALAL</t>
  </si>
  <si>
    <t>JIL PACK *SILVER*</t>
  </si>
  <si>
    <t>JIL PACK A *MARIN</t>
  </si>
  <si>
    <t>42/2021 JALAL</t>
  </si>
  <si>
    <t>FA1614135</t>
  </si>
  <si>
    <t>54/2021</t>
  </si>
  <si>
    <t>FAC210547</t>
  </si>
  <si>
    <t>CERA</t>
  </si>
  <si>
    <t>FAC210551</t>
  </si>
  <si>
    <t xml:space="preserve">CAP 42 </t>
  </si>
  <si>
    <t>FA1614136</t>
  </si>
  <si>
    <t>58/2021</t>
  </si>
  <si>
    <t>43/2021 JALAL</t>
  </si>
  <si>
    <t>FA1614180</t>
  </si>
  <si>
    <t>1/4 CLUB VIVE</t>
  </si>
  <si>
    <t>FA1614227</t>
  </si>
  <si>
    <t>45/2021 JALAL</t>
  </si>
  <si>
    <t>57/2021</t>
  </si>
  <si>
    <t>44/2021 JALAL</t>
  </si>
  <si>
    <t>48/2021 JALAL</t>
  </si>
  <si>
    <t>FAC210593</t>
  </si>
  <si>
    <t>FA1614278</t>
  </si>
  <si>
    <t>46/2021 JALAL</t>
  </si>
  <si>
    <t>56/2021</t>
  </si>
  <si>
    <t>47/2021 JALAL</t>
  </si>
  <si>
    <t>FA1614292</t>
  </si>
  <si>
    <t>55/2021</t>
  </si>
  <si>
    <t>FAC210609</t>
  </si>
  <si>
    <t>49/2021 JALAL</t>
  </si>
  <si>
    <t>52/2021 JALAL</t>
  </si>
  <si>
    <t>59/2021</t>
  </si>
  <si>
    <t>SILVER*CONSTANCE*</t>
  </si>
  <si>
    <t>50/2021 JALAL</t>
  </si>
  <si>
    <t>51/2021 JALAL</t>
  </si>
  <si>
    <t>60/2021</t>
  </si>
  <si>
    <t>FAC210667</t>
  </si>
  <si>
    <t>FA1614482</t>
  </si>
  <si>
    <t>54/2021 JALAL</t>
  </si>
  <si>
    <t>53/2021 JALAL</t>
  </si>
  <si>
    <t>FA1614565</t>
  </si>
  <si>
    <t>2.3</t>
  </si>
  <si>
    <t>64/2021</t>
  </si>
  <si>
    <t>63/2021</t>
  </si>
  <si>
    <t>FA1614572</t>
  </si>
  <si>
    <t>62/2021</t>
  </si>
  <si>
    <t>CONSI AVC21-00625</t>
  </si>
  <si>
    <t>JIL PACK*MEAT COP</t>
  </si>
  <si>
    <t>56/2021 JALAL</t>
  </si>
  <si>
    <t>65/2021</t>
  </si>
  <si>
    <t>55/2021 JALAL</t>
  </si>
  <si>
    <t>FA1614675</t>
  </si>
  <si>
    <t>2.3AP</t>
  </si>
  <si>
    <t>D122-VIVE</t>
  </si>
  <si>
    <t>FAC210780</t>
  </si>
  <si>
    <t>57/2021 JALAL</t>
  </si>
  <si>
    <t>COPAG*2*</t>
  </si>
  <si>
    <t>61/2021</t>
  </si>
  <si>
    <t>AVC21-00706</t>
  </si>
  <si>
    <t>FOODIS*2*</t>
  </si>
  <si>
    <t>FA1614721</t>
  </si>
  <si>
    <t>67/2021</t>
  </si>
  <si>
    <t>58/2021 JALAL</t>
  </si>
  <si>
    <t>66/2021</t>
  </si>
  <si>
    <t xml:space="preserve">47/2021 </t>
  </si>
  <si>
    <t>69/2021</t>
  </si>
  <si>
    <t>68/2021</t>
  </si>
  <si>
    <t>FAC210864</t>
  </si>
  <si>
    <t>1L CYL</t>
  </si>
  <si>
    <t>59/2021 JALAL</t>
  </si>
  <si>
    <t>60/2021 JALAL</t>
  </si>
  <si>
    <t>06/2021 REC JAC</t>
  </si>
  <si>
    <t>AVC21-00778</t>
  </si>
  <si>
    <t>05/2021 RAC JAC</t>
  </si>
  <si>
    <t>70/2021</t>
  </si>
  <si>
    <t>FA1614984</t>
  </si>
  <si>
    <t>280 ML</t>
  </si>
  <si>
    <t>CONSTANCE DISTR</t>
  </si>
  <si>
    <t>61/2021 JALAL</t>
  </si>
  <si>
    <t>72/2021</t>
  </si>
  <si>
    <t>71/2021</t>
  </si>
  <si>
    <t>73/2021</t>
  </si>
  <si>
    <t>AZUR FISH</t>
  </si>
  <si>
    <t>AVO210015</t>
  </si>
  <si>
    <t>75/2021</t>
  </si>
  <si>
    <t>77/2021</t>
  </si>
  <si>
    <t>74/2021</t>
  </si>
  <si>
    <t>76/2021</t>
  </si>
  <si>
    <t>FAC210959</t>
  </si>
  <si>
    <t xml:space="preserve">75/2021 </t>
  </si>
  <si>
    <t>78/2021</t>
  </si>
  <si>
    <t>5/1 G4+BIDON</t>
  </si>
  <si>
    <t>1/2 HAUTE OF</t>
  </si>
  <si>
    <t>FAC210974</t>
  </si>
  <si>
    <t>FBN</t>
  </si>
  <si>
    <t>FAC210975</t>
  </si>
  <si>
    <t>METAL</t>
  </si>
  <si>
    <t>TAMIMA RO 80</t>
  </si>
  <si>
    <t>81/2021</t>
  </si>
  <si>
    <t>62/2021 JALAL</t>
  </si>
  <si>
    <t>PESCADA</t>
  </si>
  <si>
    <t>FAC210988</t>
  </si>
  <si>
    <t>OUSSOUD+86X110</t>
  </si>
  <si>
    <t>FA1615233</t>
  </si>
  <si>
    <t>FA1615238</t>
  </si>
  <si>
    <t>85/2021</t>
  </si>
  <si>
    <t>88/2021</t>
  </si>
  <si>
    <t>90/2021</t>
  </si>
  <si>
    <t>86/2021</t>
  </si>
  <si>
    <t>87/2021</t>
  </si>
  <si>
    <t>89/2021</t>
  </si>
  <si>
    <t>91/2021</t>
  </si>
  <si>
    <t>83/2021</t>
  </si>
  <si>
    <t>82/2021</t>
  </si>
  <si>
    <t>84/2021</t>
  </si>
  <si>
    <t>FAC211047</t>
  </si>
  <si>
    <t>80/2021</t>
  </si>
  <si>
    <t>FAC211050</t>
  </si>
  <si>
    <t>79/2021</t>
  </si>
  <si>
    <t>JIL PACK*SILVER*</t>
  </si>
  <si>
    <t>98/2021</t>
  </si>
  <si>
    <t>94/2021</t>
  </si>
  <si>
    <t>JIL PACK 1+2</t>
  </si>
  <si>
    <t>FA1615547</t>
  </si>
  <si>
    <t>93/2021</t>
  </si>
  <si>
    <t>95/2021</t>
  </si>
  <si>
    <t>FAC211075</t>
  </si>
  <si>
    <t>FA1615568</t>
  </si>
  <si>
    <t>99/2021</t>
  </si>
  <si>
    <t>97/2021</t>
  </si>
  <si>
    <t>100/2021</t>
  </si>
  <si>
    <t>96/2021</t>
  </si>
  <si>
    <t>FA1615618</t>
  </si>
  <si>
    <t>FA1615678</t>
  </si>
  <si>
    <t>5.5 AM</t>
  </si>
  <si>
    <t>AVC21-010033</t>
  </si>
  <si>
    <t>63/2021 JALAL</t>
  </si>
  <si>
    <t>AVC21-01109</t>
  </si>
  <si>
    <t>AVO210023</t>
  </si>
  <si>
    <t>67/2021 JALAL</t>
  </si>
  <si>
    <t>64/2021 JALAL</t>
  </si>
  <si>
    <t>92/2021</t>
  </si>
  <si>
    <t>FA1615775</t>
  </si>
  <si>
    <t>65/2021 JALAL</t>
  </si>
  <si>
    <t>103/2021</t>
  </si>
  <si>
    <t>66/2021 JALAL</t>
  </si>
  <si>
    <t xml:space="preserve">102/2021 </t>
  </si>
  <si>
    <t>102/2021</t>
  </si>
  <si>
    <t>101/2021</t>
  </si>
  <si>
    <t>JIL PACK*MEAT COR</t>
  </si>
  <si>
    <t>FA1615987</t>
  </si>
  <si>
    <t>1200 TRSP</t>
  </si>
  <si>
    <t>FA1615988</t>
  </si>
  <si>
    <t>3800+4600</t>
  </si>
  <si>
    <t>FA1615989</t>
  </si>
  <si>
    <t>10l+5.5l</t>
  </si>
  <si>
    <t>112/2021</t>
  </si>
  <si>
    <t>FA1616026</t>
  </si>
  <si>
    <t>FA1616027</t>
  </si>
  <si>
    <t>1200/1800</t>
  </si>
  <si>
    <t>FA1616028</t>
  </si>
  <si>
    <t>111/2021</t>
  </si>
  <si>
    <t>JIL PACK +LOGI</t>
  </si>
  <si>
    <t>113/2021</t>
  </si>
  <si>
    <t>114/2021</t>
  </si>
  <si>
    <t>68/2021 JALAL</t>
  </si>
  <si>
    <t>70/2021 JALAL</t>
  </si>
  <si>
    <t xml:space="preserve">JIL PACK </t>
  </si>
  <si>
    <t>69/2021 JALAL</t>
  </si>
  <si>
    <t>115/2021</t>
  </si>
  <si>
    <t>109/2021</t>
  </si>
  <si>
    <t xml:space="preserve">110/2021 </t>
  </si>
  <si>
    <t>107/2021</t>
  </si>
  <si>
    <t>108/2021</t>
  </si>
  <si>
    <t>110/2021</t>
  </si>
  <si>
    <t>104/2021</t>
  </si>
  <si>
    <t>106/2021</t>
  </si>
  <si>
    <t>105/2021</t>
  </si>
  <si>
    <t>120/2021</t>
  </si>
  <si>
    <t>116/2021</t>
  </si>
  <si>
    <t>FA1616232</t>
  </si>
  <si>
    <t>71/2021 JALAL</t>
  </si>
  <si>
    <t>FA1616266</t>
  </si>
  <si>
    <t>FA1616267</t>
  </si>
  <si>
    <t>119/2021</t>
  </si>
  <si>
    <t>121/2021</t>
  </si>
  <si>
    <t>118/2021</t>
  </si>
  <si>
    <t>122/2021</t>
  </si>
  <si>
    <t>INDUSTRIEL</t>
  </si>
  <si>
    <t>72/2021 JALAL</t>
  </si>
  <si>
    <t>JIL PACK*CAPREL*</t>
  </si>
  <si>
    <t>74/2021 JALAL</t>
  </si>
  <si>
    <t>117/2021</t>
  </si>
  <si>
    <t>FAC211240</t>
  </si>
  <si>
    <t>73/2021 JALAL</t>
  </si>
  <si>
    <t>75/2021 JALAL</t>
  </si>
  <si>
    <t>76/2021 JALAL</t>
  </si>
  <si>
    <t>JI PACK A</t>
  </si>
  <si>
    <t>78/2021 JALAL</t>
  </si>
  <si>
    <t>77/2021 JALAL</t>
  </si>
  <si>
    <t>79/2021 JALAL</t>
  </si>
  <si>
    <t>FA1616572</t>
  </si>
  <si>
    <t>FA1616573</t>
  </si>
  <si>
    <t>123/2021</t>
  </si>
  <si>
    <t>126/2021</t>
  </si>
  <si>
    <t>128/2021</t>
  </si>
  <si>
    <t>127/2021</t>
  </si>
  <si>
    <t>JIL PACK CASA+AGA</t>
  </si>
  <si>
    <t>80/2021 JALAL</t>
  </si>
  <si>
    <t>129/2021</t>
  </si>
  <si>
    <t>FA1616719</t>
  </si>
  <si>
    <t>FA1616720</t>
  </si>
  <si>
    <t>FA1616744</t>
  </si>
  <si>
    <t>FA1616745</t>
  </si>
  <si>
    <t>SILVER</t>
  </si>
  <si>
    <t>82/2021 JALAL</t>
  </si>
  <si>
    <t>81/2021 JALAL</t>
  </si>
  <si>
    <t>125/2021</t>
  </si>
  <si>
    <t>FA1616776</t>
  </si>
  <si>
    <t>3.8 ROUGE</t>
  </si>
  <si>
    <t>83/2021 JALAL</t>
  </si>
  <si>
    <t>84/2021 JALAL</t>
  </si>
  <si>
    <t>124/2021</t>
  </si>
  <si>
    <t>85/2021 JALAL</t>
  </si>
  <si>
    <t>AVEIRO</t>
  </si>
  <si>
    <t>86/2021 JALAL</t>
  </si>
  <si>
    <t>131/2021</t>
  </si>
  <si>
    <t>130/2021</t>
  </si>
  <si>
    <t>FAC211324</t>
  </si>
  <si>
    <t>FA1616966</t>
  </si>
  <si>
    <t>RFA</t>
  </si>
  <si>
    <t>FAC220004</t>
  </si>
  <si>
    <t>SILVER FOO</t>
  </si>
  <si>
    <t>FI22001</t>
  </si>
  <si>
    <t>01/2022 JALAL</t>
  </si>
  <si>
    <t>FI22002</t>
  </si>
  <si>
    <t>02/2022 JALAL</t>
  </si>
  <si>
    <t>FAC220022</t>
  </si>
  <si>
    <t>JL PACK*MEAT CORP</t>
  </si>
  <si>
    <t>FI22003</t>
  </si>
  <si>
    <t>03/2022 JALAL</t>
  </si>
  <si>
    <t>FI22005</t>
  </si>
  <si>
    <t>04/2022 JALAL</t>
  </si>
  <si>
    <t>FA1617343</t>
  </si>
  <si>
    <t>FA1617344</t>
  </si>
  <si>
    <t>FI22006</t>
  </si>
  <si>
    <t>06/2022 JALAL</t>
  </si>
  <si>
    <t>FI22007</t>
  </si>
  <si>
    <t>05/2022 JALAL</t>
  </si>
  <si>
    <t>FI22008</t>
  </si>
  <si>
    <t>07/2022 JALAL</t>
  </si>
  <si>
    <t>FA1617396</t>
  </si>
  <si>
    <t>3.8  TRANS</t>
  </si>
  <si>
    <t>FI22009</t>
  </si>
  <si>
    <t>19/2022 JALAL</t>
  </si>
  <si>
    <t>FI22010</t>
  </si>
  <si>
    <t>08/2022 JALAL</t>
  </si>
  <si>
    <t>FI22011</t>
  </si>
  <si>
    <t>09/2022 JALAL</t>
  </si>
  <si>
    <t>FI22012</t>
  </si>
  <si>
    <t>13/2022 JALAL</t>
  </si>
  <si>
    <t>FI22013</t>
  </si>
  <si>
    <t>12/2022 JALAL</t>
  </si>
  <si>
    <t>FI22014</t>
  </si>
  <si>
    <t>10/2022 JALAL</t>
  </si>
  <si>
    <t>FI22015</t>
  </si>
  <si>
    <t>11/2022 JALAL</t>
  </si>
  <si>
    <t>01/2022 REC JAC</t>
  </si>
  <si>
    <t>01/2022 RECJAC</t>
  </si>
  <si>
    <t>FI22016</t>
  </si>
  <si>
    <t>14/2022 JALAL</t>
  </si>
  <si>
    <t>FA1617629</t>
  </si>
  <si>
    <t>3.80AP</t>
  </si>
  <si>
    <t>FA1617630</t>
  </si>
  <si>
    <t>FA1617635</t>
  </si>
  <si>
    <t>FA1617676</t>
  </si>
  <si>
    <t>1200ML/870ML/280M</t>
  </si>
  <si>
    <t>FI22017</t>
  </si>
  <si>
    <t>16/2022 JALAL</t>
  </si>
  <si>
    <t>JIL PACK*LOGI PPT</t>
  </si>
  <si>
    <t>FI22018</t>
  </si>
  <si>
    <t>15/2022 JALAL</t>
  </si>
  <si>
    <t>FI22019</t>
  </si>
  <si>
    <t>18/2022 JALAL</t>
  </si>
  <si>
    <t>RO85 FBN /PELADA</t>
  </si>
  <si>
    <t>FI22020</t>
  </si>
  <si>
    <t>20/2022 JALAL</t>
  </si>
  <si>
    <t>FI22021</t>
  </si>
  <si>
    <t>17/2022 JALAL</t>
  </si>
  <si>
    <t>FI22022</t>
  </si>
  <si>
    <t>23/2022 JALAL</t>
  </si>
  <si>
    <t>VMM*2*</t>
  </si>
  <si>
    <t>FI22023</t>
  </si>
  <si>
    <t>22/2022 JALAL</t>
  </si>
  <si>
    <t>FI22024</t>
  </si>
  <si>
    <t>21/2022 JALAL</t>
  </si>
  <si>
    <t>FI22025</t>
  </si>
  <si>
    <t>25/2022 JALAL</t>
  </si>
  <si>
    <t>JIL PACK A*PELADA</t>
  </si>
  <si>
    <t>FA1617868</t>
  </si>
  <si>
    <t>FA1617876</t>
  </si>
  <si>
    <t>FI22026</t>
  </si>
  <si>
    <t>26/2022 JALAL</t>
  </si>
  <si>
    <t>FI22027</t>
  </si>
  <si>
    <t>24/2022 JALAL</t>
  </si>
  <si>
    <t>FA1617903</t>
  </si>
  <si>
    <t>FI22028</t>
  </si>
  <si>
    <t>28/2022 JALAL</t>
  </si>
  <si>
    <t>FI22029</t>
  </si>
  <si>
    <t>27/2022 JALAL</t>
  </si>
  <si>
    <t>FA1617922</t>
  </si>
  <si>
    <t>3800ML</t>
  </si>
  <si>
    <t>FI22030</t>
  </si>
  <si>
    <t>29/2022 JALAL</t>
  </si>
  <si>
    <t>FA1617992</t>
  </si>
  <si>
    <t>FI22031</t>
  </si>
  <si>
    <t>30/2022 JALAL</t>
  </si>
  <si>
    <t>FI22032</t>
  </si>
  <si>
    <t>31/2022 JALAL</t>
  </si>
  <si>
    <t>FA20848</t>
  </si>
  <si>
    <t>FI22035</t>
  </si>
  <si>
    <t>33/2022 JALAL</t>
  </si>
  <si>
    <t>FI22036</t>
  </si>
  <si>
    <t>32/2022 JALAL</t>
  </si>
  <si>
    <t>FA1618154</t>
  </si>
  <si>
    <t>OP BOX</t>
  </si>
  <si>
    <t>FI22037</t>
  </si>
  <si>
    <t>35/2022 JALA</t>
  </si>
  <si>
    <t>FI22038</t>
  </si>
  <si>
    <t>36/2022 JALAL</t>
  </si>
  <si>
    <t>13/2022</t>
  </si>
  <si>
    <t>35/2022 JALAL</t>
  </si>
  <si>
    <t>FA1618167</t>
  </si>
  <si>
    <t>FA1618168</t>
  </si>
  <si>
    <t>FI22039</t>
  </si>
  <si>
    <t>34/2022 JALAL</t>
  </si>
  <si>
    <t>47/2022 JALAL</t>
  </si>
  <si>
    <t>14/2022</t>
  </si>
  <si>
    <t>FI22040</t>
  </si>
  <si>
    <t>38/2022 JALAL</t>
  </si>
  <si>
    <t>FA1618282</t>
  </si>
  <si>
    <t>280+1200</t>
  </si>
  <si>
    <t>FA1618289</t>
  </si>
  <si>
    <t>1/4 CLUB BPANI**</t>
  </si>
  <si>
    <t>RO 85 NEUTRE</t>
  </si>
  <si>
    <t>FA1618323</t>
  </si>
  <si>
    <t>FI22042</t>
  </si>
  <si>
    <t>40/2022 JALAL</t>
  </si>
  <si>
    <t>FI22043</t>
  </si>
  <si>
    <t>37/2022 JALAL</t>
  </si>
  <si>
    <t>15/2022</t>
  </si>
  <si>
    <t>FI22044</t>
  </si>
  <si>
    <t>41/2022 JALAL</t>
  </si>
  <si>
    <t>FI22045</t>
  </si>
  <si>
    <t>39/2022 JALAL</t>
  </si>
  <si>
    <t>44/2022 JALAL</t>
  </si>
  <si>
    <t>37/2022 JALA</t>
  </si>
  <si>
    <t>FI22046</t>
  </si>
  <si>
    <t>42/2022 JALAL</t>
  </si>
  <si>
    <t>49/2022 JALAL</t>
  </si>
  <si>
    <t>1/10 MARINE</t>
  </si>
  <si>
    <t>FI22047</t>
  </si>
  <si>
    <t>43/2022 JALAL</t>
  </si>
  <si>
    <t>FI22048</t>
  </si>
  <si>
    <t>46/2022 JALAL</t>
  </si>
  <si>
    <t>02/2022 RECJAC</t>
  </si>
  <si>
    <t>FI22049</t>
  </si>
  <si>
    <t>45/2022 JALAL</t>
  </si>
  <si>
    <t>FI22051</t>
  </si>
  <si>
    <t>48/2022 JALAL</t>
  </si>
  <si>
    <t>16/2022</t>
  </si>
  <si>
    <t>AVC2200413</t>
  </si>
  <si>
    <t>18/2022</t>
  </si>
  <si>
    <t>17/2022</t>
  </si>
  <si>
    <t>1/10**CONSTANCE</t>
  </si>
  <si>
    <t>FI22055</t>
  </si>
  <si>
    <t>50/2022 JALAL</t>
  </si>
  <si>
    <t>FA1618685</t>
  </si>
  <si>
    <t>AVC2200444</t>
  </si>
  <si>
    <t>CONSIG</t>
  </si>
  <si>
    <t>FI22058</t>
  </si>
  <si>
    <t>52/2022 JALAL</t>
  </si>
  <si>
    <t>FI22059</t>
  </si>
  <si>
    <t>51/2022 JALAL</t>
  </si>
  <si>
    <t>19/2022</t>
  </si>
  <si>
    <t>21/2022</t>
  </si>
  <si>
    <t>FI22060</t>
  </si>
  <si>
    <t>53/2022 JALAL</t>
  </si>
  <si>
    <t>20/2022</t>
  </si>
  <si>
    <t>FBCB</t>
  </si>
  <si>
    <t>FCA</t>
  </si>
  <si>
    <t>FA1618984</t>
  </si>
  <si>
    <t>FTRJ220906</t>
  </si>
  <si>
    <t>02/2022 REC JAC</t>
  </si>
  <si>
    <t>FI22061</t>
  </si>
  <si>
    <t>54/2022 JALAL</t>
  </si>
  <si>
    <t>AVC2200498</t>
  </si>
  <si>
    <t>CONSIGNATION</t>
  </si>
  <si>
    <t>FA1619011</t>
  </si>
  <si>
    <t>FA1619012</t>
  </si>
  <si>
    <t>FA2022004070</t>
  </si>
  <si>
    <t>R80</t>
  </si>
  <si>
    <t>FA1619071</t>
  </si>
  <si>
    <t>FA1619072</t>
  </si>
  <si>
    <t>FA1619073</t>
  </si>
  <si>
    <t>FI22062</t>
  </si>
  <si>
    <t>55/2022 JALAL</t>
  </si>
  <si>
    <t>FI22063</t>
  </si>
  <si>
    <t>57/2022 JALAL</t>
  </si>
  <si>
    <t>FI22064</t>
  </si>
  <si>
    <t>56/2022 JALAL</t>
  </si>
  <si>
    <t>FI22065</t>
  </si>
  <si>
    <t>58/2022 JALAL</t>
  </si>
  <si>
    <t>22/2022</t>
  </si>
  <si>
    <t>FA1619202</t>
  </si>
  <si>
    <t>5KG BRUTE</t>
  </si>
  <si>
    <t>5KG BRUT</t>
  </si>
  <si>
    <t>FA1619261</t>
  </si>
  <si>
    <t>FI22068</t>
  </si>
  <si>
    <t>59/2022 JALAL</t>
  </si>
  <si>
    <t>FI22069</t>
  </si>
  <si>
    <t>60/2022 JALAL</t>
  </si>
  <si>
    <t>FI22070</t>
  </si>
  <si>
    <t>61/2022 JALAL</t>
  </si>
  <si>
    <t>FA1619272</t>
  </si>
  <si>
    <t>FA1619274</t>
  </si>
  <si>
    <t>FA1619275</t>
  </si>
  <si>
    <t>CVC600</t>
  </si>
  <si>
    <t>FA1619277</t>
  </si>
  <si>
    <t>600*280*1200</t>
  </si>
  <si>
    <t>25/2022</t>
  </si>
  <si>
    <t>FA2022004568</t>
  </si>
  <si>
    <t>FI22072</t>
  </si>
  <si>
    <t>62/2022 JALAL</t>
  </si>
  <si>
    <t>23/2022</t>
  </si>
  <si>
    <t>24/2022</t>
  </si>
  <si>
    <t>27/2022</t>
  </si>
  <si>
    <t>FA2022004628</t>
  </si>
  <si>
    <t>FA2022004641</t>
  </si>
  <si>
    <t>A10 ALICOMAR</t>
  </si>
  <si>
    <t>26/2022</t>
  </si>
  <si>
    <t>FA1619379</t>
  </si>
  <si>
    <t>CVC18000 NOIR</t>
  </si>
  <si>
    <t>FA1619380</t>
  </si>
  <si>
    <t>POT 18L NOIR</t>
  </si>
  <si>
    <t>FA2022004741</t>
  </si>
  <si>
    <t>FI22074</t>
  </si>
  <si>
    <t>63/2022 JALAL</t>
  </si>
  <si>
    <t>FI22075</t>
  </si>
  <si>
    <t>64/2022 JALAL</t>
  </si>
  <si>
    <t>28/2022</t>
  </si>
  <si>
    <t>29/2022</t>
  </si>
  <si>
    <t>03/2022 REC JAC</t>
  </si>
  <si>
    <t>5/1 VMM STAR</t>
  </si>
  <si>
    <t>5/1VMM STAR</t>
  </si>
  <si>
    <t>FA1619399</t>
  </si>
  <si>
    <t>5/1 LM BPANI STAR</t>
  </si>
  <si>
    <t>03/2022 RECJAC</t>
  </si>
  <si>
    <t>CAFS174488</t>
  </si>
  <si>
    <t>32/2022</t>
  </si>
  <si>
    <t>33/2022</t>
  </si>
  <si>
    <t>31/2022</t>
  </si>
  <si>
    <t>34/2022</t>
  </si>
  <si>
    <t>FA1619440</t>
  </si>
  <si>
    <t>30/2022</t>
  </si>
  <si>
    <t>SILVER 1/10 NEUTR</t>
  </si>
  <si>
    <t>FA2022004875</t>
  </si>
  <si>
    <t>FA2022004882</t>
  </si>
  <si>
    <t>FI22077</t>
  </si>
  <si>
    <t>65/2022 JALAL</t>
  </si>
  <si>
    <t>FA1619485</t>
  </si>
  <si>
    <t>2300ml</t>
  </si>
  <si>
    <t>FA2022005030</t>
  </si>
  <si>
    <t>FI22078</t>
  </si>
  <si>
    <t>66/2022 JALAL</t>
  </si>
  <si>
    <t>04/2022 RECJAC</t>
  </si>
  <si>
    <t>FI22079</t>
  </si>
  <si>
    <t>67/2022 JALAL</t>
  </si>
  <si>
    <t>2022FA0710</t>
  </si>
  <si>
    <t>FA1619770</t>
  </si>
  <si>
    <t>CVC 10L</t>
  </si>
  <si>
    <t>FA1619771</t>
  </si>
  <si>
    <t>10L+5L</t>
  </si>
  <si>
    <t>FA1619772</t>
  </si>
  <si>
    <t xml:space="preserve">41/2022 </t>
  </si>
  <si>
    <t>39/2022</t>
  </si>
  <si>
    <t>41/2022</t>
  </si>
  <si>
    <t>40/2022</t>
  </si>
  <si>
    <t>37/2022</t>
  </si>
  <si>
    <t xml:space="preserve">37/2022 </t>
  </si>
  <si>
    <t>38/2022</t>
  </si>
  <si>
    <t>35/2022</t>
  </si>
  <si>
    <t>36/2022</t>
  </si>
  <si>
    <t>42/2022</t>
  </si>
  <si>
    <t>SALWAN*JIL PACK*</t>
  </si>
  <si>
    <t>43/2022</t>
  </si>
  <si>
    <t>44/2022</t>
  </si>
  <si>
    <t>45/2022</t>
  </si>
  <si>
    <t>FA1620195</t>
  </si>
  <si>
    <t>0.280ML</t>
  </si>
  <si>
    <t>FA1620196</t>
  </si>
  <si>
    <t>FA1620197</t>
  </si>
  <si>
    <t>50/2022</t>
  </si>
  <si>
    <t>47/2022</t>
  </si>
  <si>
    <t>46/2022</t>
  </si>
  <si>
    <t>49/2022</t>
  </si>
  <si>
    <t>48/2022</t>
  </si>
  <si>
    <t>51/2022</t>
  </si>
  <si>
    <t>53/2022</t>
  </si>
  <si>
    <t>57/2022</t>
  </si>
  <si>
    <t>52/2022</t>
  </si>
  <si>
    <t>VMM*1*</t>
  </si>
  <si>
    <t>JIL PACK *2*</t>
  </si>
  <si>
    <t>68/2022</t>
  </si>
  <si>
    <t>70/2022 J</t>
  </si>
  <si>
    <t>69/2022 J</t>
  </si>
  <si>
    <t>NEW PEPP*ALICOMAR</t>
  </si>
  <si>
    <t>58/2022</t>
  </si>
  <si>
    <t>54/2022</t>
  </si>
  <si>
    <t>68/2022 J</t>
  </si>
  <si>
    <t>69/2022</t>
  </si>
  <si>
    <t>55/2022</t>
  </si>
  <si>
    <t>71/2022 J</t>
  </si>
  <si>
    <t>1/4 club</t>
  </si>
  <si>
    <t>FI22080</t>
  </si>
  <si>
    <t>FI22081</t>
  </si>
  <si>
    <t>72/2022 J</t>
  </si>
  <si>
    <t>59/2022</t>
  </si>
  <si>
    <t>4/4 OF</t>
  </si>
  <si>
    <t>FA1620671</t>
  </si>
  <si>
    <t>FA1620686</t>
  </si>
  <si>
    <t>FA1620687</t>
  </si>
  <si>
    <t>FI22082</t>
  </si>
  <si>
    <t>75/2022 J</t>
  </si>
  <si>
    <t>FI22083</t>
  </si>
  <si>
    <t>74/2022 J</t>
  </si>
  <si>
    <t>56/2022</t>
  </si>
  <si>
    <t>VMM PPT</t>
  </si>
  <si>
    <t>FI22084</t>
  </si>
  <si>
    <t>73/2022 J</t>
  </si>
  <si>
    <t>FI22085</t>
  </si>
  <si>
    <t>76/2022 J</t>
  </si>
  <si>
    <t>FA1620850</t>
  </si>
  <si>
    <t>FI22086</t>
  </si>
  <si>
    <t>78/2022 J</t>
  </si>
  <si>
    <t>CHERIF</t>
  </si>
  <si>
    <t>CONSERVES OUALILI</t>
  </si>
  <si>
    <t>FA1620954</t>
  </si>
  <si>
    <t>FI22087</t>
  </si>
  <si>
    <t>77/2022 J</t>
  </si>
  <si>
    <t>FA1620986</t>
  </si>
  <si>
    <t>FA1620987</t>
  </si>
  <si>
    <t>60/2022</t>
  </si>
  <si>
    <t>61/2022</t>
  </si>
  <si>
    <t>AVOIR</t>
  </si>
  <si>
    <t>FA1621164</t>
  </si>
  <si>
    <t>62/2022</t>
  </si>
  <si>
    <t>63/2022</t>
  </si>
  <si>
    <t>FI22088</t>
  </si>
  <si>
    <t>79/2022 J</t>
  </si>
  <si>
    <t>65/2022</t>
  </si>
  <si>
    <t>64/2022</t>
  </si>
  <si>
    <t>66/2022</t>
  </si>
  <si>
    <t>67/2022</t>
  </si>
  <si>
    <t>FI22089</t>
  </si>
  <si>
    <t>81/2022 J</t>
  </si>
  <si>
    <t>77/2022</t>
  </si>
  <si>
    <t>SILVER*JIL PACK A</t>
  </si>
  <si>
    <t>FI22090</t>
  </si>
  <si>
    <t>82/2022 J</t>
  </si>
  <si>
    <t>FI22091</t>
  </si>
  <si>
    <t>80/2022 J</t>
  </si>
  <si>
    <t>79/2022</t>
  </si>
  <si>
    <t>78/2022</t>
  </si>
  <si>
    <t>76/2022</t>
  </si>
  <si>
    <t>CONSTANCE*MEAT CO</t>
  </si>
  <si>
    <t>FI22092</t>
  </si>
  <si>
    <t>84/2022 J</t>
  </si>
  <si>
    <t>FI22093</t>
  </si>
  <si>
    <t>83/2022 J</t>
  </si>
  <si>
    <t>80/2022</t>
  </si>
  <si>
    <t>JIL PACK*2*</t>
  </si>
  <si>
    <t>84/2022</t>
  </si>
  <si>
    <t>75/2022</t>
  </si>
  <si>
    <t>71/2022</t>
  </si>
  <si>
    <t>JIL AGADIR*PELAGI</t>
  </si>
  <si>
    <t>FI22094</t>
  </si>
  <si>
    <t>85/2022 J</t>
  </si>
  <si>
    <t>FA1621713</t>
  </si>
  <si>
    <t>FI22095</t>
  </si>
  <si>
    <t>88/2022 J</t>
  </si>
  <si>
    <t>FI22096</t>
  </si>
  <si>
    <t>86/2022 J</t>
  </si>
  <si>
    <t>72/2022</t>
  </si>
  <si>
    <t>FATINA FOOD</t>
  </si>
  <si>
    <t>FI22097</t>
  </si>
  <si>
    <t>94/2022 J</t>
  </si>
  <si>
    <t>73/2022</t>
  </si>
  <si>
    <t>81/2022</t>
  </si>
  <si>
    <t>82/2022</t>
  </si>
  <si>
    <t>UPA</t>
  </si>
  <si>
    <t>FI22098</t>
  </si>
  <si>
    <t>89/2022 J</t>
  </si>
  <si>
    <t>FI22099</t>
  </si>
  <si>
    <t>87/2022 J</t>
  </si>
  <si>
    <t>70/2022</t>
  </si>
  <si>
    <t>74/2022</t>
  </si>
  <si>
    <t>JIL PACK A*MDM*</t>
  </si>
  <si>
    <t>FI22100</t>
  </si>
  <si>
    <t>90/2022 J</t>
  </si>
  <si>
    <t>83/2022</t>
  </si>
  <si>
    <t>85/2022</t>
  </si>
  <si>
    <t>86/2022</t>
  </si>
  <si>
    <t>89/2022</t>
  </si>
  <si>
    <t>87/2022</t>
  </si>
  <si>
    <t>90/2022</t>
  </si>
  <si>
    <t>JIL PACK A*1*</t>
  </si>
  <si>
    <t>ICC*1*</t>
  </si>
  <si>
    <t>FI22101</t>
  </si>
  <si>
    <t>92/2022 J</t>
  </si>
  <si>
    <t>88/2022</t>
  </si>
  <si>
    <t>NEW PEPPER*OUALIL</t>
  </si>
  <si>
    <t>FI22102</t>
  </si>
  <si>
    <t>91/2022 J</t>
  </si>
  <si>
    <t>98/2022</t>
  </si>
  <si>
    <t>92/2022</t>
  </si>
  <si>
    <t>96/2022</t>
  </si>
  <si>
    <t>95/2022</t>
  </si>
  <si>
    <t xml:space="preserve">93/2022 </t>
  </si>
  <si>
    <t>93/2022</t>
  </si>
  <si>
    <t>FI22103</t>
  </si>
  <si>
    <t>93/2022 J</t>
  </si>
  <si>
    <t>100/2022</t>
  </si>
  <si>
    <t>94/2022</t>
  </si>
  <si>
    <t>99/2022</t>
  </si>
  <si>
    <t>FA1622079</t>
  </si>
  <si>
    <t>FA1622080</t>
  </si>
  <si>
    <t>97/2022</t>
  </si>
  <si>
    <t xml:space="preserve">91/2022 </t>
  </si>
  <si>
    <t>91/2022</t>
  </si>
  <si>
    <t>1/4 CLUB ATLANTA</t>
  </si>
  <si>
    <t>FI22107</t>
  </si>
  <si>
    <t>96/2022 J</t>
  </si>
  <si>
    <t>FI22108</t>
  </si>
  <si>
    <t>95/2022 J</t>
  </si>
  <si>
    <t>FI22109</t>
  </si>
  <si>
    <t>97/2022 J</t>
  </si>
  <si>
    <t>FI22110</t>
  </si>
  <si>
    <t>98/2022 J</t>
  </si>
  <si>
    <t>PS</t>
  </si>
  <si>
    <t>ORGA FOOD</t>
  </si>
  <si>
    <t>FI22111</t>
  </si>
  <si>
    <t>99/2022 J</t>
  </si>
  <si>
    <t>FI22112</t>
  </si>
  <si>
    <t>100/2022 J</t>
  </si>
  <si>
    <t>FI22113</t>
  </si>
  <si>
    <t>101/2022 J</t>
  </si>
  <si>
    <t>101/2022</t>
  </si>
  <si>
    <t>JIL PACK*LOGI*1*</t>
  </si>
  <si>
    <t>FI22114</t>
  </si>
  <si>
    <t>102/2022 J</t>
  </si>
  <si>
    <t>FI22115</t>
  </si>
  <si>
    <t>103/2022 J</t>
  </si>
  <si>
    <t>107/2022</t>
  </si>
  <si>
    <t>FI22116</t>
  </si>
  <si>
    <t>108/2022 J</t>
  </si>
  <si>
    <t>JIL PACK*SMARCOS*</t>
  </si>
  <si>
    <t>FI22118</t>
  </si>
  <si>
    <t>107/2022 J</t>
  </si>
  <si>
    <t>FI22119</t>
  </si>
  <si>
    <t>109/2022 J</t>
  </si>
  <si>
    <t>FI22120</t>
  </si>
  <si>
    <t>104/2022 J</t>
  </si>
  <si>
    <t>106/2022</t>
  </si>
  <si>
    <t>FA1622368</t>
  </si>
  <si>
    <t>FI22121</t>
  </si>
  <si>
    <t>106/2022 J</t>
  </si>
  <si>
    <t>FI22122</t>
  </si>
  <si>
    <t>105/2022 J</t>
  </si>
  <si>
    <t>FA1622482</t>
  </si>
  <si>
    <t>FI22124</t>
  </si>
  <si>
    <t>110/2022 J</t>
  </si>
  <si>
    <t>FI22125</t>
  </si>
  <si>
    <t>111/2022 J</t>
  </si>
  <si>
    <t>FA1622492</t>
  </si>
  <si>
    <t>1200 TRANS</t>
  </si>
  <si>
    <t>FA1622493</t>
  </si>
  <si>
    <t>108/2022</t>
  </si>
  <si>
    <t>104/2022</t>
  </si>
  <si>
    <t>103/2022</t>
  </si>
  <si>
    <t>105/2022</t>
  </si>
  <si>
    <t>102/2022</t>
  </si>
  <si>
    <t>FI22126</t>
  </si>
  <si>
    <t>113/2022 J</t>
  </si>
  <si>
    <t>FI22127</t>
  </si>
  <si>
    <t>112/2022 J</t>
  </si>
  <si>
    <t>FI22128</t>
  </si>
  <si>
    <t>114/2022 J</t>
  </si>
  <si>
    <t>JIL PACK A*LA GIR</t>
  </si>
  <si>
    <t>FI22129</t>
  </si>
  <si>
    <t>116/2022 J</t>
  </si>
  <si>
    <t>FI22130</t>
  </si>
  <si>
    <t>115/2022 J</t>
  </si>
  <si>
    <t>CONS OUALILI</t>
  </si>
  <si>
    <t>FI22131</t>
  </si>
  <si>
    <t>118/2022 J</t>
  </si>
  <si>
    <t>FI22132</t>
  </si>
  <si>
    <t>117/2022 J</t>
  </si>
  <si>
    <t>110/2022</t>
  </si>
  <si>
    <t>109/2022</t>
  </si>
  <si>
    <t>119/2022 J</t>
  </si>
  <si>
    <t>FI22133</t>
  </si>
  <si>
    <t>120/2022 J</t>
  </si>
  <si>
    <t>FI22134</t>
  </si>
  <si>
    <t>122/2022 J</t>
  </si>
  <si>
    <t>FI22135</t>
  </si>
  <si>
    <t>124/2022 J</t>
  </si>
  <si>
    <t>FI22136</t>
  </si>
  <si>
    <t>121/2022 J</t>
  </si>
  <si>
    <t>123/2022 J</t>
  </si>
  <si>
    <t>FI22137</t>
  </si>
  <si>
    <t>113/2022</t>
  </si>
  <si>
    <t>FA1623180</t>
  </si>
  <si>
    <t>FI22138</t>
  </si>
  <si>
    <t>126/2022 J</t>
  </si>
  <si>
    <t>114/2022</t>
  </si>
  <si>
    <t>112/2022</t>
  </si>
  <si>
    <t>FI22139</t>
  </si>
  <si>
    <t>125/2022 J</t>
  </si>
  <si>
    <t>111/2022</t>
  </si>
  <si>
    <t>FI22140</t>
  </si>
  <si>
    <t>127/2022 J</t>
  </si>
  <si>
    <t>FI22141</t>
  </si>
  <si>
    <t>FI22142</t>
  </si>
  <si>
    <t>02/2023 J</t>
  </si>
  <si>
    <t>FI22143</t>
  </si>
  <si>
    <t>128/2022 J</t>
  </si>
  <si>
    <t>RFA 311222</t>
  </si>
  <si>
    <t>01/2023 J</t>
  </si>
  <si>
    <t>NET PAK</t>
  </si>
  <si>
    <t>03/2023 J</t>
  </si>
  <si>
    <t>04/2023 J</t>
  </si>
  <si>
    <t>FI23001</t>
  </si>
  <si>
    <t>06/2023 J</t>
  </si>
  <si>
    <t>FI23002</t>
  </si>
  <si>
    <t>05/2023 J</t>
  </si>
  <si>
    <t>4/4 G3 SILVER</t>
  </si>
  <si>
    <t>FI23004</t>
  </si>
  <si>
    <t>07/2023 J</t>
  </si>
  <si>
    <t>FI23005</t>
  </si>
  <si>
    <t>10/2023 J</t>
  </si>
  <si>
    <t>FI23006</t>
  </si>
  <si>
    <t>08/2023 J</t>
  </si>
  <si>
    <t>FI23007</t>
  </si>
  <si>
    <t>09/2023 J</t>
  </si>
  <si>
    <t>FI23008</t>
  </si>
  <si>
    <t>11/2023 J</t>
  </si>
  <si>
    <t>FI23009</t>
  </si>
  <si>
    <t>14/2023 J</t>
  </si>
  <si>
    <t>FA1624129</t>
  </si>
  <si>
    <t>5.5AP</t>
  </si>
  <si>
    <t>FI23010</t>
  </si>
  <si>
    <t>12/2023 J</t>
  </si>
  <si>
    <t>FI23011</t>
  </si>
  <si>
    <t>13/2023 J</t>
  </si>
  <si>
    <t>BALLES</t>
  </si>
  <si>
    <t>FA1624149</t>
  </si>
  <si>
    <t>FI23012</t>
  </si>
  <si>
    <t>15/2023 J</t>
  </si>
  <si>
    <t>CHAUSSURE DE SPOR</t>
  </si>
  <si>
    <t>FA1624546</t>
  </si>
  <si>
    <t>FA1624547</t>
  </si>
  <si>
    <t>FI23014</t>
  </si>
  <si>
    <t>16/2023 J</t>
  </si>
  <si>
    <t>FI23015</t>
  </si>
  <si>
    <t>20/2023 J</t>
  </si>
  <si>
    <t>FI23016</t>
  </si>
  <si>
    <t>17/2023 J</t>
  </si>
  <si>
    <t>FI23017</t>
  </si>
  <si>
    <t>19/2023 J</t>
  </si>
  <si>
    <t>FI23018</t>
  </si>
  <si>
    <t>18/2023 J</t>
  </si>
  <si>
    <t>FI23019</t>
  </si>
  <si>
    <t>22/2023 J</t>
  </si>
  <si>
    <t>FI23020</t>
  </si>
  <si>
    <t>21/2023 J</t>
  </si>
  <si>
    <t>FI23021</t>
  </si>
  <si>
    <t>24/2023 J</t>
  </si>
  <si>
    <t>FI23022</t>
  </si>
  <si>
    <t>23/2023 J</t>
  </si>
  <si>
    <t>VMM PESCADA*JIL*</t>
  </si>
  <si>
    <t>FI23023</t>
  </si>
  <si>
    <t>26/2023 J</t>
  </si>
  <si>
    <t>FI23024</t>
  </si>
  <si>
    <t>25/2023 J</t>
  </si>
  <si>
    <t>FI23025</t>
  </si>
  <si>
    <t>27/2023 J</t>
  </si>
  <si>
    <t>JIL PACK*2CONTEN*</t>
  </si>
  <si>
    <t>FI23026</t>
  </si>
  <si>
    <t>30/2023 J</t>
  </si>
  <si>
    <t>FA1625382</t>
  </si>
  <si>
    <t>FA1625388</t>
  </si>
  <si>
    <t>JIL PACK*VMM*PPT*</t>
  </si>
  <si>
    <t>FA1625401</t>
  </si>
  <si>
    <t>FI23027</t>
  </si>
  <si>
    <t>28/2023 J</t>
  </si>
  <si>
    <t>FI23028</t>
  </si>
  <si>
    <t>29/2023 J</t>
  </si>
  <si>
    <t>FI23030</t>
  </si>
  <si>
    <t>31/2023 J</t>
  </si>
  <si>
    <t>FI23031</t>
  </si>
  <si>
    <t>32/2023 J</t>
  </si>
  <si>
    <t>FI23039</t>
  </si>
  <si>
    <t>33/2023 J</t>
  </si>
  <si>
    <t>34/2023 J</t>
  </si>
  <si>
    <t>33/2023</t>
  </si>
  <si>
    <t>AGFI009244</t>
  </si>
  <si>
    <t>35/2023 J</t>
  </si>
  <si>
    <t>36/2023 J</t>
  </si>
  <si>
    <t>FA1626103</t>
  </si>
  <si>
    <t>4.6AM</t>
  </si>
  <si>
    <t>FA1626104</t>
  </si>
  <si>
    <t>TO82</t>
  </si>
  <si>
    <t>FA1626264</t>
  </si>
  <si>
    <t>FA1626265</t>
  </si>
  <si>
    <t>37/2032 J</t>
  </si>
  <si>
    <t>FI23032</t>
  </si>
  <si>
    <t>38/2023 J</t>
  </si>
  <si>
    <t>37/2023 J</t>
  </si>
  <si>
    <t>MEUBLE</t>
  </si>
  <si>
    <t>AGFI009333</t>
  </si>
  <si>
    <t>48/2023 J</t>
  </si>
  <si>
    <t>39/2023 J</t>
  </si>
  <si>
    <t>FI23033</t>
  </si>
  <si>
    <t>40/2023 J</t>
  </si>
  <si>
    <t>FI23034</t>
  </si>
  <si>
    <t>41/2023 J</t>
  </si>
  <si>
    <t>FI23037</t>
  </si>
  <si>
    <t>43/2023 J</t>
  </si>
  <si>
    <t>FI23035</t>
  </si>
  <si>
    <t>42/2023 J</t>
  </si>
  <si>
    <t>53/2023 J</t>
  </si>
  <si>
    <t>FA1627009</t>
  </si>
  <si>
    <t>FI23036</t>
  </si>
  <si>
    <t>44/2023 J</t>
  </si>
  <si>
    <t>FA1627102</t>
  </si>
  <si>
    <t>CONSERVE OUALILI</t>
  </si>
  <si>
    <t>13/2023</t>
  </si>
  <si>
    <t>FI23038</t>
  </si>
  <si>
    <t>45/2023 J</t>
  </si>
  <si>
    <t>FI23029</t>
  </si>
  <si>
    <t>46/2023 J</t>
  </si>
  <si>
    <t>FI23040</t>
  </si>
  <si>
    <t>47/2023 J</t>
  </si>
  <si>
    <t>FI23041</t>
  </si>
  <si>
    <t>49/2023 J</t>
  </si>
  <si>
    <t>FA1627572</t>
  </si>
  <si>
    <t>FA1627603</t>
  </si>
  <si>
    <t>50/2023 J</t>
  </si>
  <si>
    <t>FI23042</t>
  </si>
  <si>
    <t>51/2023 J</t>
  </si>
  <si>
    <t>52/2023 J</t>
  </si>
  <si>
    <t>FA1628069</t>
  </si>
  <si>
    <t>FA1628077</t>
  </si>
  <si>
    <t>54/2023 J</t>
  </si>
  <si>
    <t>FI23043</t>
  </si>
  <si>
    <t>57/2023 J</t>
  </si>
  <si>
    <t>55/2023 J</t>
  </si>
  <si>
    <t>NEW PEPPERRS</t>
  </si>
  <si>
    <t>FI23044</t>
  </si>
  <si>
    <t>58/2023 J</t>
  </si>
  <si>
    <t>FI23045</t>
  </si>
  <si>
    <t>60/2023 J</t>
  </si>
  <si>
    <t>FI23046</t>
  </si>
  <si>
    <t>59/2023 J</t>
  </si>
  <si>
    <t>FI23047</t>
  </si>
  <si>
    <t>56/2023 J</t>
  </si>
  <si>
    <t>FI23048</t>
  </si>
  <si>
    <t>63/203 J</t>
  </si>
  <si>
    <t>FA1628474</t>
  </si>
  <si>
    <t>15/2023</t>
  </si>
  <si>
    <t>14/2023</t>
  </si>
  <si>
    <t xml:space="preserve">15/2023 </t>
  </si>
  <si>
    <t>FI23049</t>
  </si>
  <si>
    <t>61/2023 J</t>
  </si>
  <si>
    <t>19/2023</t>
  </si>
  <si>
    <t>FI23050</t>
  </si>
  <si>
    <t>64/2023 J</t>
  </si>
  <si>
    <t>FI23051</t>
  </si>
  <si>
    <t>62/2023 J</t>
  </si>
  <si>
    <t>63/2023 J</t>
  </si>
  <si>
    <t xml:space="preserve">18/2023 </t>
  </si>
  <si>
    <t>17/2023</t>
  </si>
  <si>
    <t xml:space="preserve">17/2023 </t>
  </si>
  <si>
    <t>18/2023</t>
  </si>
  <si>
    <t>FA1628593</t>
  </si>
  <si>
    <t>FI23052</t>
  </si>
  <si>
    <t>65/2023 J</t>
  </si>
  <si>
    <t>AGFI009507</t>
  </si>
  <si>
    <t>75/2023 J</t>
  </si>
  <si>
    <t>AGFI009508</t>
  </si>
  <si>
    <t>74/2023 J</t>
  </si>
  <si>
    <t>16/2023</t>
  </si>
  <si>
    <t>20/2023</t>
  </si>
  <si>
    <t>FA1628606</t>
  </si>
  <si>
    <t>24/2023</t>
  </si>
  <si>
    <t xml:space="preserve">22/2023 </t>
  </si>
  <si>
    <t>22/2023</t>
  </si>
  <si>
    <t>23/2023</t>
  </si>
  <si>
    <t>66/2023 J</t>
  </si>
  <si>
    <t>FI23053</t>
  </si>
  <si>
    <t>67/2023 J</t>
  </si>
  <si>
    <t>25/2023</t>
  </si>
  <si>
    <t>21/2023</t>
  </si>
  <si>
    <t>FI23054</t>
  </si>
  <si>
    <t>71/2023 J</t>
  </si>
  <si>
    <t>FI23055</t>
  </si>
  <si>
    <t>69/2023 J</t>
  </si>
  <si>
    <t>70/2023 J</t>
  </si>
  <si>
    <t>FI23056</t>
  </si>
  <si>
    <t>68/2023 J</t>
  </si>
  <si>
    <t>FI23057</t>
  </si>
  <si>
    <t>73/2023 J</t>
  </si>
  <si>
    <t>FI23058</t>
  </si>
  <si>
    <t>72/2023 J</t>
  </si>
  <si>
    <t>26/2023</t>
  </si>
  <si>
    <t xml:space="preserve">27/2023 </t>
  </si>
  <si>
    <t>28/2023</t>
  </si>
  <si>
    <t>LA GIRONDE</t>
  </si>
  <si>
    <t>29/2023</t>
  </si>
  <si>
    <t>MAIM0877470</t>
  </si>
  <si>
    <t>76/2023 J</t>
  </si>
  <si>
    <t>34/2023</t>
  </si>
  <si>
    <t>CHERIF*JIL PACK*</t>
  </si>
  <si>
    <t>UF</t>
  </si>
  <si>
    <t>30/2023</t>
  </si>
  <si>
    <t>FAC2302504</t>
  </si>
  <si>
    <t>FAC2302505</t>
  </si>
  <si>
    <t>FAC2302506</t>
  </si>
  <si>
    <t>FAC2302507</t>
  </si>
  <si>
    <t>31/2023</t>
  </si>
  <si>
    <t>32/2023</t>
  </si>
  <si>
    <t>AVC2300581</t>
  </si>
  <si>
    <t>FAC2302540</t>
  </si>
  <si>
    <t>FI23059</t>
  </si>
  <si>
    <t>78/2023 J</t>
  </si>
  <si>
    <t>44/2023</t>
  </si>
  <si>
    <t>35/2023</t>
  </si>
  <si>
    <t>45/2023</t>
  </si>
  <si>
    <t>40/2023</t>
  </si>
  <si>
    <t>FI23060</t>
  </si>
  <si>
    <t>77/2023</t>
  </si>
  <si>
    <t>77/2023 J</t>
  </si>
  <si>
    <t>37/2023</t>
  </si>
  <si>
    <t>43/2023</t>
  </si>
  <si>
    <t>36/2023</t>
  </si>
  <si>
    <t>39/2023</t>
  </si>
  <si>
    <t>UF*OUALILI*</t>
  </si>
  <si>
    <t>AGFI009638</t>
  </si>
  <si>
    <t>90/2023 J</t>
  </si>
  <si>
    <t>46/2023</t>
  </si>
  <si>
    <t>42/2023</t>
  </si>
  <si>
    <t>41/2023</t>
  </si>
  <si>
    <t>47/2023</t>
  </si>
  <si>
    <t>FI23061</t>
  </si>
  <si>
    <t>79/2023 J</t>
  </si>
  <si>
    <t>FI23062</t>
  </si>
  <si>
    <t>85/2023 J</t>
  </si>
  <si>
    <t>48/2023</t>
  </si>
  <si>
    <t>51/2023</t>
  </si>
  <si>
    <t>49/2023</t>
  </si>
  <si>
    <t>5EME COMMANDE</t>
  </si>
  <si>
    <t>38/2023</t>
  </si>
  <si>
    <t>85/2023</t>
  </si>
  <si>
    <t>OUALILI</t>
  </si>
  <si>
    <t>50/2023</t>
  </si>
  <si>
    <t>55/2023</t>
  </si>
  <si>
    <t>SALWANE</t>
  </si>
  <si>
    <t>FI23063</t>
  </si>
  <si>
    <t>80/2023 J</t>
  </si>
  <si>
    <t>FI23064</t>
  </si>
  <si>
    <t>81/2023 J</t>
  </si>
  <si>
    <t>56/2023</t>
  </si>
  <si>
    <t>54/2023</t>
  </si>
  <si>
    <t>53/2023</t>
  </si>
  <si>
    <t>52/2023</t>
  </si>
  <si>
    <t>JIL PACK*OUALILI*</t>
  </si>
  <si>
    <t>FI23065</t>
  </si>
  <si>
    <t>84/2023 J</t>
  </si>
  <si>
    <t>84/2023</t>
  </si>
  <si>
    <t>SIILVER FOOD</t>
  </si>
  <si>
    <t>FI23066</t>
  </si>
  <si>
    <t>83/2023 J</t>
  </si>
  <si>
    <t>FI23067</t>
  </si>
  <si>
    <t>82/2023 J</t>
  </si>
  <si>
    <t>57/2023</t>
  </si>
  <si>
    <t>83/2023</t>
  </si>
  <si>
    <t>58/2023</t>
  </si>
  <si>
    <t>82/2023</t>
  </si>
  <si>
    <t>FI23068</t>
  </si>
  <si>
    <t>86/2023 J</t>
  </si>
  <si>
    <t>59/2023</t>
  </si>
  <si>
    <t>60/2023</t>
  </si>
  <si>
    <t>61/2023</t>
  </si>
  <si>
    <t>86/2023</t>
  </si>
  <si>
    <t>FA1630547</t>
  </si>
  <si>
    <t>FA1630554</t>
  </si>
  <si>
    <t>4600AM</t>
  </si>
  <si>
    <t>FI23069</t>
  </si>
  <si>
    <t>87/2023 J</t>
  </si>
  <si>
    <t>63/2023</t>
  </si>
  <si>
    <t>POT VERRE</t>
  </si>
  <si>
    <t>FI23070</t>
  </si>
  <si>
    <t>88/2023 J</t>
  </si>
  <si>
    <t>62/2023</t>
  </si>
  <si>
    <t>AGFI009721</t>
  </si>
  <si>
    <t>91/2023 J</t>
  </si>
  <si>
    <t>FI23071</t>
  </si>
  <si>
    <t>89/2023 J</t>
  </si>
  <si>
    <t>68/2023</t>
  </si>
  <si>
    <t>66/2023</t>
  </si>
  <si>
    <t>65/2023</t>
  </si>
  <si>
    <t>71/2023</t>
  </si>
  <si>
    <t>70/2023</t>
  </si>
  <si>
    <t>69/2023</t>
  </si>
  <si>
    <t>FI23072</t>
  </si>
  <si>
    <t>92/2023 J</t>
  </si>
  <si>
    <t>FI23073</t>
  </si>
  <si>
    <t>93/2023 J</t>
  </si>
  <si>
    <t>FA1631156</t>
  </si>
  <si>
    <t>CVC2300</t>
  </si>
  <si>
    <t>FA1631158</t>
  </si>
  <si>
    <t>FA1631163</t>
  </si>
  <si>
    <t>5500AM</t>
  </si>
  <si>
    <t>FA1631192</t>
  </si>
  <si>
    <t>67/2023</t>
  </si>
  <si>
    <t>96/2023 J</t>
  </si>
  <si>
    <t>64/2023</t>
  </si>
  <si>
    <t>FI23074</t>
  </si>
  <si>
    <t>94/2023 J</t>
  </si>
  <si>
    <t>72/2023</t>
  </si>
  <si>
    <t>LOGI*2*</t>
  </si>
  <si>
    <t>73/2023</t>
  </si>
  <si>
    <t>AGFI009796</t>
  </si>
  <si>
    <t>100/2032 J</t>
  </si>
  <si>
    <t>74/2023</t>
  </si>
  <si>
    <t>95/2023 J</t>
  </si>
  <si>
    <t>100/2023 J</t>
  </si>
  <si>
    <t>FI23075</t>
  </si>
  <si>
    <t>***</t>
  </si>
  <si>
    <t>FI23076</t>
  </si>
  <si>
    <t>98/2023 J</t>
  </si>
  <si>
    <t>****</t>
  </si>
  <si>
    <t>97/2023 J</t>
  </si>
  <si>
    <t>99/2023 J</t>
  </si>
  <si>
    <t>AVC2300797</t>
  </si>
  <si>
    <t>FAC2303590</t>
  </si>
  <si>
    <t>75/2023</t>
  </si>
  <si>
    <t>AVC2300840</t>
  </si>
  <si>
    <t>CONSI</t>
  </si>
  <si>
    <t>FA1632539</t>
  </si>
  <si>
    <t>76/2023</t>
  </si>
  <si>
    <t>*******</t>
  </si>
  <si>
    <t>FA202308408</t>
  </si>
  <si>
    <t>ATUNERLOS DELSUR</t>
  </si>
  <si>
    <t>FI23077</t>
  </si>
  <si>
    <t>102/2023 J</t>
  </si>
  <si>
    <t>******</t>
  </si>
  <si>
    <t>79/2023</t>
  </si>
  <si>
    <t>FA1632805</t>
  </si>
  <si>
    <t>5.5 AP</t>
  </si>
  <si>
    <t>FAC1632806</t>
  </si>
  <si>
    <t>FAC1632807</t>
  </si>
  <si>
    <t>FI23078</t>
  </si>
  <si>
    <t>101/2023 J</t>
  </si>
  <si>
    <t>78/2023</t>
  </si>
  <si>
    <t>FI23079</t>
  </si>
  <si>
    <t>103/2023 J</t>
  </si>
  <si>
    <t>FA202308683</t>
  </si>
  <si>
    <t>FA202308684</t>
  </si>
  <si>
    <t>FA202308768</t>
  </si>
  <si>
    <t>AIH202367</t>
  </si>
  <si>
    <t>FA1633098</t>
  </si>
  <si>
    <t>FA1633099</t>
  </si>
  <si>
    <t>FAC1633097</t>
  </si>
  <si>
    <t>FI23080</t>
  </si>
  <si>
    <t>104/2023 J</t>
  </si>
  <si>
    <t>FA1633242</t>
  </si>
  <si>
    <t>81/2023</t>
  </si>
  <si>
    <t>FAC2304113</t>
  </si>
  <si>
    <t>80/2023</t>
  </si>
  <si>
    <t>FA202308943</t>
  </si>
  <si>
    <t>FI23081</t>
  </si>
  <si>
    <t>105/2023 J</t>
  </si>
  <si>
    <t>JIL PACK*MFI*</t>
  </si>
  <si>
    <t>108/2023 J</t>
  </si>
  <si>
    <t>FAC2304178</t>
  </si>
  <si>
    <t>FI23082</t>
  </si>
  <si>
    <t>106/2023</t>
  </si>
  <si>
    <t>FI23083</t>
  </si>
  <si>
    <t>107/2023 J</t>
  </si>
  <si>
    <t>AGFI009945</t>
  </si>
  <si>
    <t>*********</t>
  </si>
  <si>
    <t>********</t>
  </si>
  <si>
    <t>106/2023 J</t>
  </si>
  <si>
    <t>FI23084</t>
  </si>
  <si>
    <t>109/2023 J</t>
  </si>
  <si>
    <t>FI23085</t>
  </si>
  <si>
    <t>111/2023 J</t>
  </si>
  <si>
    <t>FI23086</t>
  </si>
  <si>
    <t>110/2023 J</t>
  </si>
  <si>
    <t>IHR00001017</t>
  </si>
  <si>
    <t>LOGIFOOD *1*</t>
  </si>
  <si>
    <t>F00121</t>
  </si>
  <si>
    <t>112/2023 J</t>
  </si>
  <si>
    <t>FI23087</t>
  </si>
  <si>
    <t>113/2023 J</t>
  </si>
  <si>
    <t>FI23089</t>
  </si>
  <si>
    <t>114/2023 J</t>
  </si>
  <si>
    <t>IHR00001018</t>
  </si>
  <si>
    <t>FA1633908</t>
  </si>
  <si>
    <t>FA1633909</t>
  </si>
  <si>
    <t>FA1633910</t>
  </si>
  <si>
    <t>FI23088</t>
  </si>
  <si>
    <t>115/2023 J</t>
  </si>
  <si>
    <t>123/2023 J</t>
  </si>
  <si>
    <t>AGFI009981</t>
  </si>
  <si>
    <t>*****</t>
  </si>
  <si>
    <t>FI23090</t>
  </si>
  <si>
    <t>116/2023 J</t>
  </si>
  <si>
    <t>FI23091</t>
  </si>
  <si>
    <t>117/2023 J</t>
  </si>
  <si>
    <t>FI23092</t>
  </si>
  <si>
    <t>118/2023 J</t>
  </si>
  <si>
    <t>FI23093</t>
  </si>
  <si>
    <t>119/2023 J</t>
  </si>
  <si>
    <t>FAC2304580</t>
  </si>
  <si>
    <t>FAC2304581</t>
  </si>
  <si>
    <t>FA1634239</t>
  </si>
  <si>
    <t>FA1634240</t>
  </si>
  <si>
    <t>FI23094</t>
  </si>
  <si>
    <t>120/2023 J</t>
  </si>
  <si>
    <t>FI23095</t>
  </si>
  <si>
    <t>121/2023 J</t>
  </si>
  <si>
    <t>124/2023 J</t>
  </si>
  <si>
    <t>JIL PACKA*SILVER*</t>
  </si>
  <si>
    <t>FI23096</t>
  </si>
  <si>
    <t>131/2023 J</t>
  </si>
  <si>
    <t>EXI23290823</t>
  </si>
  <si>
    <t>TO 63/82 BLANC</t>
  </si>
  <si>
    <t>FA1634520</t>
  </si>
  <si>
    <t>FA1634521</t>
  </si>
  <si>
    <t>FA1634522</t>
  </si>
  <si>
    <t xml:space="preserve">2.8  </t>
  </si>
  <si>
    <t>FA1634523</t>
  </si>
  <si>
    <t>1.2</t>
  </si>
  <si>
    <t>FA1634699</t>
  </si>
  <si>
    <t>FI23097</t>
  </si>
  <si>
    <t>122/2023 J</t>
  </si>
  <si>
    <t>CI2357212437</t>
  </si>
  <si>
    <t>126/2023 J</t>
  </si>
  <si>
    <t>FI23098</t>
  </si>
  <si>
    <t>127/2023 J</t>
  </si>
  <si>
    <t>FI23099</t>
  </si>
  <si>
    <t>125/20223 J</t>
  </si>
  <si>
    <t>125/2023 J</t>
  </si>
  <si>
    <t>FI23100</t>
  </si>
  <si>
    <t>128/2023 J</t>
  </si>
  <si>
    <t>JIL PACK A*ATUNER</t>
  </si>
  <si>
    <t>FI23101</t>
  </si>
  <si>
    <t>129/2023 J</t>
  </si>
  <si>
    <t>130/2023</t>
  </si>
  <si>
    <t>130/2023 J</t>
  </si>
  <si>
    <t>COMPLEMENT</t>
  </si>
  <si>
    <t>PADEL</t>
  </si>
  <si>
    <t>01/2024 J</t>
  </si>
  <si>
    <t>FA1635479</t>
  </si>
  <si>
    <t>3.8</t>
  </si>
  <si>
    <t>FA1635482</t>
  </si>
  <si>
    <t>FA1635487</t>
  </si>
  <si>
    <t>FA1635488</t>
  </si>
  <si>
    <t>CVC4.6</t>
  </si>
  <si>
    <t>EXI24290009</t>
  </si>
  <si>
    <t>FA1635619</t>
  </si>
  <si>
    <t>4.6 AM</t>
  </si>
  <si>
    <t>FA1635730</t>
  </si>
  <si>
    <t>FA1635956</t>
  </si>
  <si>
    <t>LGMC*1*</t>
  </si>
  <si>
    <t>02/2024 J</t>
  </si>
  <si>
    <t>04/2024 J</t>
  </si>
  <si>
    <t>03/2024 J</t>
  </si>
  <si>
    <t>QUALIAGRO*1*</t>
  </si>
  <si>
    <t>PARTIC COM SILVER</t>
  </si>
  <si>
    <t>06/2024 J</t>
  </si>
  <si>
    <t>FI24001</t>
  </si>
  <si>
    <t>FI24002</t>
  </si>
  <si>
    <t>FI24003</t>
  </si>
  <si>
    <t>05/2024 J</t>
  </si>
  <si>
    <t>FI24004</t>
  </si>
  <si>
    <t>08/2024 J</t>
  </si>
  <si>
    <t>FA2400683</t>
  </si>
  <si>
    <t>10/2024 J</t>
  </si>
  <si>
    <t>07/2024 J</t>
  </si>
  <si>
    <t>PADNUC2400026</t>
  </si>
  <si>
    <t>RAQUETTE</t>
  </si>
  <si>
    <t>AVC2400078</t>
  </si>
  <si>
    <t>CONSIGN</t>
  </si>
  <si>
    <t>AVC2400081</t>
  </si>
  <si>
    <t>FI24005</t>
  </si>
  <si>
    <t>BCI202439</t>
  </si>
  <si>
    <t>105 ML</t>
  </si>
  <si>
    <t>AVC2400091</t>
  </si>
  <si>
    <t>EXI24290073</t>
  </si>
  <si>
    <t>AIH202411</t>
  </si>
  <si>
    <t>720ML</t>
  </si>
  <si>
    <t>AIH2024112</t>
  </si>
  <si>
    <t>660ML</t>
  </si>
  <si>
    <t>AGFI010222</t>
  </si>
  <si>
    <t>14/2024 J</t>
  </si>
  <si>
    <t>FA1637540</t>
  </si>
  <si>
    <t>2.3 AP</t>
  </si>
  <si>
    <t>FA1637581</t>
  </si>
  <si>
    <t>0.280</t>
  </si>
  <si>
    <t>09/2024 J</t>
  </si>
  <si>
    <t>AVC2400114</t>
  </si>
  <si>
    <t>NOTAM*1*</t>
  </si>
  <si>
    <t>BCI202465</t>
  </si>
  <si>
    <t>FA1638153</t>
  </si>
  <si>
    <t>FA1638180</t>
  </si>
  <si>
    <t>1/4 CLUB ALIUM</t>
  </si>
  <si>
    <t>11/2024 J</t>
  </si>
  <si>
    <t>12/2024 J</t>
  </si>
  <si>
    <t>F00019</t>
  </si>
  <si>
    <t>17/2024 J</t>
  </si>
  <si>
    <t>F00020</t>
  </si>
  <si>
    <t>19/2024 J</t>
  </si>
  <si>
    <t>13/2024 J</t>
  </si>
  <si>
    <t>FI24006</t>
  </si>
  <si>
    <t>FI214007</t>
  </si>
  <si>
    <t>15/2024 J</t>
  </si>
  <si>
    <t>EXI24290144</t>
  </si>
  <si>
    <t>BCI202482</t>
  </si>
  <si>
    <t>FAC2400814</t>
  </si>
  <si>
    <t>16/2024 J</t>
  </si>
  <si>
    <t>18/2024 J</t>
  </si>
  <si>
    <t>FAC2400854</t>
  </si>
  <si>
    <t>FI24008</t>
  </si>
  <si>
    <t>FA1638840</t>
  </si>
  <si>
    <t>20L ET 3.8</t>
  </si>
  <si>
    <t>FA1638841</t>
  </si>
  <si>
    <t>FI24009</t>
  </si>
  <si>
    <t>20/2024 J</t>
  </si>
  <si>
    <t>BCI202495</t>
  </si>
  <si>
    <t>22/2024 J</t>
  </si>
  <si>
    <t>21/2024 J</t>
  </si>
  <si>
    <t>FAC2400909</t>
  </si>
  <si>
    <t>23/2024 J</t>
  </si>
  <si>
    <t>24/2024 J</t>
  </si>
  <si>
    <t>FI24010</t>
  </si>
  <si>
    <t>CI2457218039</t>
  </si>
  <si>
    <t>26/2024 J</t>
  </si>
  <si>
    <t>FI24011</t>
  </si>
  <si>
    <t>FI24012</t>
  </si>
  <si>
    <t>Commande 9</t>
  </si>
  <si>
    <t>EX03804</t>
  </si>
  <si>
    <t>212 ATS</t>
  </si>
  <si>
    <t>28/2024 J</t>
  </si>
  <si>
    <t>25/2024 J</t>
  </si>
  <si>
    <t>FA1639553</t>
  </si>
  <si>
    <t>FA1639554</t>
  </si>
  <si>
    <t>FI24013</t>
  </si>
  <si>
    <t>FI24014</t>
  </si>
  <si>
    <t>FI24015</t>
  </si>
  <si>
    <t>BCI2024118</t>
  </si>
  <si>
    <t>370STD</t>
  </si>
  <si>
    <t>27/2024 J</t>
  </si>
  <si>
    <t>29/2024 J</t>
  </si>
  <si>
    <t>30/2024 J</t>
  </si>
  <si>
    <t>FI24016</t>
  </si>
  <si>
    <t>FI24017</t>
  </si>
  <si>
    <t>FI24018</t>
  </si>
  <si>
    <t>FAC2401194</t>
  </si>
  <si>
    <t>BCI2024126</t>
  </si>
  <si>
    <t>370 STD</t>
  </si>
  <si>
    <t>CI2457218862</t>
  </si>
  <si>
    <t>41/2024 J</t>
  </si>
  <si>
    <t>F00029</t>
  </si>
  <si>
    <t>34/2024 J</t>
  </si>
  <si>
    <t>BOURCHANIN</t>
  </si>
  <si>
    <t>FAC2401369</t>
  </si>
  <si>
    <t>31/2024 J</t>
  </si>
  <si>
    <t>33/2024 J</t>
  </si>
  <si>
    <t>32/2024 J</t>
  </si>
  <si>
    <t>MAIM0930955</t>
  </si>
  <si>
    <t>40/2024 J</t>
  </si>
  <si>
    <t>FI24019</t>
  </si>
  <si>
    <t>FI24020</t>
  </si>
  <si>
    <t>FA1640283</t>
  </si>
  <si>
    <t>FA1640284</t>
  </si>
  <si>
    <t>FA1640285</t>
  </si>
  <si>
    <t>CVC10L</t>
  </si>
  <si>
    <t>FA1640286</t>
  </si>
  <si>
    <t>FTA26034</t>
  </si>
  <si>
    <t>BCI2024145</t>
  </si>
  <si>
    <t>660STD</t>
  </si>
  <si>
    <t>FAC1640328</t>
  </si>
  <si>
    <t>JP A*MEAT CORP*</t>
  </si>
  <si>
    <t>Commande 10</t>
  </si>
  <si>
    <t>43/2024 J</t>
  </si>
  <si>
    <t>35/2024 J</t>
  </si>
  <si>
    <t>36/2024 J</t>
  </si>
  <si>
    <t>37/2024 J</t>
  </si>
  <si>
    <t>38/2024 J</t>
  </si>
  <si>
    <t>42/2024 J</t>
  </si>
  <si>
    <t>FAC2401492</t>
  </si>
  <si>
    <t>FI24021</t>
  </si>
  <si>
    <t>39/2024 J</t>
  </si>
  <si>
    <t>52/2024 J</t>
  </si>
  <si>
    <t>45/2024</t>
  </si>
  <si>
    <t>44/2024 J</t>
  </si>
  <si>
    <t>JP A*JP CASA*</t>
  </si>
  <si>
    <t>47/2024 J</t>
  </si>
  <si>
    <t>FI24022</t>
  </si>
  <si>
    <t>FI24023</t>
  </si>
  <si>
    <t>FI24024</t>
  </si>
  <si>
    <t>FI24025</t>
  </si>
  <si>
    <t>FI24026</t>
  </si>
  <si>
    <t>FI24027</t>
  </si>
  <si>
    <t>46/2024 J</t>
  </si>
  <si>
    <t>JIL PACK A +ECHAN</t>
  </si>
  <si>
    <t>FAC2401676</t>
  </si>
  <si>
    <t>45/2024 J</t>
  </si>
  <si>
    <t>FI24028</t>
  </si>
  <si>
    <t>48/2024 J</t>
  </si>
  <si>
    <t>FI24029</t>
  </si>
  <si>
    <t>50/2024 J</t>
  </si>
  <si>
    <t>FA1640682</t>
  </si>
  <si>
    <t>4.6</t>
  </si>
  <si>
    <t>FA1640683</t>
  </si>
  <si>
    <t>FAC2401720</t>
  </si>
  <si>
    <t>49/2024 J</t>
  </si>
  <si>
    <t>FA1640854</t>
  </si>
  <si>
    <t>plastique</t>
  </si>
  <si>
    <t>AVC2400358</t>
  </si>
  <si>
    <t>FAC1640874</t>
  </si>
  <si>
    <t>18 AM</t>
  </si>
  <si>
    <t>FA2403526</t>
  </si>
  <si>
    <t>FI24030</t>
  </si>
  <si>
    <t>51/2024 J</t>
  </si>
  <si>
    <t>FA1640989</t>
  </si>
  <si>
    <t>5500 AP</t>
  </si>
  <si>
    <t>PADNUCX244464</t>
  </si>
  <si>
    <t>1/4 CLUB ALU 29</t>
  </si>
  <si>
    <t>54/2024 J</t>
  </si>
  <si>
    <t>53/2024 J</t>
  </si>
  <si>
    <t>FA1641149</t>
  </si>
  <si>
    <t>FI24031</t>
  </si>
  <si>
    <t>56/2024 J</t>
  </si>
  <si>
    <t>55/2024 J</t>
  </si>
  <si>
    <t>FAC2402079</t>
  </si>
  <si>
    <t>MAIM0941954</t>
  </si>
  <si>
    <t>65/2024 J</t>
  </si>
  <si>
    <t>FI24032</t>
  </si>
  <si>
    <t>FA1641282</t>
  </si>
  <si>
    <t>FA1641283</t>
  </si>
  <si>
    <t>FA1641284</t>
  </si>
  <si>
    <t>FA1641285</t>
  </si>
  <si>
    <t>EXTRA DEMURRAGE</t>
  </si>
  <si>
    <t>FI24033</t>
  </si>
  <si>
    <t>FI24034</t>
  </si>
  <si>
    <t>58/2024 J</t>
  </si>
  <si>
    <t>60/2024 J</t>
  </si>
  <si>
    <t>57/2024 J</t>
  </si>
  <si>
    <t>59/2024 J</t>
  </si>
  <si>
    <t>FA1641357</t>
  </si>
  <si>
    <t>1/4 CLUB FB 29</t>
  </si>
  <si>
    <t>370ML</t>
  </si>
  <si>
    <t>FI24035</t>
  </si>
  <si>
    <t>FI24036</t>
  </si>
  <si>
    <t>FI24037</t>
  </si>
  <si>
    <t>FI24038</t>
  </si>
  <si>
    <t>BCI2024246</t>
  </si>
  <si>
    <t>FA1641458</t>
  </si>
  <si>
    <t>FA1641459</t>
  </si>
  <si>
    <t>FA1641491</t>
  </si>
  <si>
    <t>FI24039</t>
  </si>
  <si>
    <t>01/2024 G</t>
  </si>
  <si>
    <t>1/4 CLUB 22</t>
  </si>
  <si>
    <t>FI24040</t>
  </si>
  <si>
    <t>61/2024 J</t>
  </si>
  <si>
    <t>SILVER FOOD*JIL P</t>
  </si>
  <si>
    <t>FTA000026497</t>
  </si>
  <si>
    <t>FA1641657</t>
  </si>
  <si>
    <t>2.3 ML</t>
  </si>
  <si>
    <t>FA1641658</t>
  </si>
  <si>
    <t>FI24041</t>
  </si>
  <si>
    <t>63/2024 J</t>
  </si>
  <si>
    <t>FI24042</t>
  </si>
  <si>
    <t>64/2024</t>
  </si>
  <si>
    <t>64/2024 J</t>
  </si>
  <si>
    <t>66/2024 J</t>
  </si>
  <si>
    <t>1/4 CLUB METAL 29</t>
  </si>
  <si>
    <t>62/2024 J</t>
  </si>
  <si>
    <t>03/2024 GT</t>
  </si>
  <si>
    <t>FA1641780</t>
  </si>
  <si>
    <t>FA1641781</t>
  </si>
  <si>
    <t>FIM2024076</t>
  </si>
  <si>
    <t>FI24043</t>
  </si>
  <si>
    <t>AGFI01028</t>
  </si>
  <si>
    <t>72/2024 J</t>
  </si>
  <si>
    <t>FA2404707</t>
  </si>
  <si>
    <t>02/2024 GT</t>
  </si>
  <si>
    <t>CI2457224155</t>
  </si>
  <si>
    <t>67/2024 J</t>
  </si>
  <si>
    <t>EX04111</t>
  </si>
  <si>
    <t>GT109381</t>
  </si>
  <si>
    <t>13/2024</t>
  </si>
  <si>
    <t>MAIM0949956</t>
  </si>
  <si>
    <t>68/2024 J</t>
  </si>
  <si>
    <t>71/2024 J</t>
  </si>
  <si>
    <t>14/2024</t>
  </si>
  <si>
    <t>FAC2402752</t>
  </si>
  <si>
    <t>5/1 SAFA</t>
  </si>
  <si>
    <t>FIM2024083</t>
  </si>
  <si>
    <t>73/2024 J</t>
  </si>
  <si>
    <t xml:space="preserve">15/2024 </t>
  </si>
  <si>
    <t>14/2024 COMPLEMEN</t>
  </si>
  <si>
    <t>15/2024</t>
  </si>
  <si>
    <t>13/2024 COMPLEMEN</t>
  </si>
  <si>
    <t>15/2024 COMPLEMEN</t>
  </si>
  <si>
    <t>16/2024</t>
  </si>
  <si>
    <t>01/2024 GT</t>
  </si>
  <si>
    <t>70/2024 J</t>
  </si>
  <si>
    <t>U DELI</t>
  </si>
  <si>
    <t>17/2024</t>
  </si>
  <si>
    <t>19/2024</t>
  </si>
  <si>
    <t>18/2024</t>
  </si>
  <si>
    <t>69/2024 J</t>
  </si>
  <si>
    <t>FI24044</t>
  </si>
  <si>
    <t>FI24045</t>
  </si>
  <si>
    <t>20/2024</t>
  </si>
  <si>
    <t>FAC2402964</t>
  </si>
  <si>
    <t>FAC2402965</t>
  </si>
  <si>
    <t>FAC2402966</t>
  </si>
  <si>
    <t>PADNUCXXI8371</t>
  </si>
  <si>
    <t>GT109792</t>
  </si>
  <si>
    <t>GT109971</t>
  </si>
  <si>
    <t>77/2024 J</t>
  </si>
  <si>
    <t>1L OLINIA*1*</t>
  </si>
  <si>
    <t>UNIVERS DELI*2*</t>
  </si>
  <si>
    <t>AGFI010935</t>
  </si>
  <si>
    <t>AGFI010936</t>
  </si>
  <si>
    <t>FA1642284</t>
  </si>
  <si>
    <t>21/2024</t>
  </si>
  <si>
    <t>75/2024 J</t>
  </si>
  <si>
    <t>COMPLEMENET</t>
  </si>
  <si>
    <t>FI24046</t>
  </si>
  <si>
    <t>74/2024 J</t>
  </si>
  <si>
    <t>JIL PACK A+ECHAN</t>
  </si>
  <si>
    <t>76/2024 J</t>
  </si>
  <si>
    <t>22/2024</t>
  </si>
  <si>
    <t>FAC2403121</t>
  </si>
  <si>
    <t>23/2024</t>
  </si>
  <si>
    <t>24/2024</t>
  </si>
  <si>
    <t>U.D*ALICOMAR*</t>
  </si>
  <si>
    <t>26/2024</t>
  </si>
  <si>
    <t>27/2024</t>
  </si>
  <si>
    <t>25/2024</t>
  </si>
  <si>
    <t>AVC2400620</t>
  </si>
  <si>
    <t>28/2024</t>
  </si>
  <si>
    <t>29/2024</t>
  </si>
  <si>
    <t>78/2024 J</t>
  </si>
  <si>
    <t>30/2024</t>
  </si>
  <si>
    <t>FA1642751</t>
  </si>
  <si>
    <t>FA1642752</t>
  </si>
  <si>
    <t>FA1642753</t>
  </si>
  <si>
    <t>FIM2024108</t>
  </si>
  <si>
    <t>85/2024 J</t>
  </si>
  <si>
    <t>FAC2403471</t>
  </si>
  <si>
    <t>FAC2403472</t>
  </si>
  <si>
    <t>FIM2024110</t>
  </si>
  <si>
    <t>04/2024 G</t>
  </si>
  <si>
    <t>81/2024 J</t>
  </si>
  <si>
    <t>AVC2400670</t>
  </si>
  <si>
    <t>FA1642897</t>
  </si>
  <si>
    <t>3.8 ap</t>
  </si>
  <si>
    <t>FIM2024115</t>
  </si>
  <si>
    <t>82/2024 J</t>
  </si>
  <si>
    <t>FA1642918</t>
  </si>
  <si>
    <t>FA1642919</t>
  </si>
  <si>
    <t>FA1642920</t>
  </si>
  <si>
    <t>FA1642921</t>
  </si>
  <si>
    <t>32/2024</t>
  </si>
  <si>
    <t>33/2024</t>
  </si>
  <si>
    <t>31/2024</t>
  </si>
  <si>
    <t>34/2024</t>
  </si>
  <si>
    <t>FAC2403739</t>
  </si>
  <si>
    <t>GT110594</t>
  </si>
  <si>
    <t>83/2024 J</t>
  </si>
  <si>
    <t>FAC2403760</t>
  </si>
  <si>
    <t>FA1643142</t>
  </si>
  <si>
    <t>FI24047</t>
  </si>
  <si>
    <t>79/2024 J</t>
  </si>
  <si>
    <t>FIM2024118</t>
  </si>
  <si>
    <t>79/2024J</t>
  </si>
  <si>
    <t>FA1643189</t>
  </si>
  <si>
    <t>FAC2403925</t>
  </si>
  <si>
    <t>FIM2024119</t>
  </si>
  <si>
    <t>87/2024 J</t>
  </si>
  <si>
    <t xml:space="preserve">36/2024 </t>
  </si>
  <si>
    <t>35/2024</t>
  </si>
  <si>
    <t>FAC2403953</t>
  </si>
  <si>
    <t>PADNUC2459246</t>
  </si>
  <si>
    <t>FAC2403970</t>
  </si>
  <si>
    <t>36/2024</t>
  </si>
  <si>
    <t>37/2024</t>
  </si>
  <si>
    <t>FI24048</t>
  </si>
  <si>
    <t>80/2024</t>
  </si>
  <si>
    <t>38/2024</t>
  </si>
  <si>
    <t>FA1643388</t>
  </si>
  <si>
    <t>80/2024 J</t>
  </si>
  <si>
    <t>FAC2404049</t>
  </si>
  <si>
    <t>FAC2404050</t>
  </si>
  <si>
    <t>FAC2404069</t>
  </si>
  <si>
    <t>5/1 IN OR</t>
  </si>
  <si>
    <t>FIM2024121</t>
  </si>
  <si>
    <t>84/2024 J</t>
  </si>
  <si>
    <t>41/2024</t>
  </si>
  <si>
    <t>42/2024</t>
  </si>
  <si>
    <t>40/2024</t>
  </si>
  <si>
    <t>05/2024 G</t>
  </si>
  <si>
    <t>FAC2404163</t>
  </si>
  <si>
    <t>5/1 neutre</t>
  </si>
  <si>
    <t>39/2024</t>
  </si>
  <si>
    <t>BTE RO85</t>
  </si>
  <si>
    <t>86/2024 J</t>
  </si>
  <si>
    <t>GT111234</t>
  </si>
  <si>
    <t>AVC2400781</t>
  </si>
  <si>
    <t>JIL PACK  A</t>
  </si>
  <si>
    <t>43/2024</t>
  </si>
  <si>
    <t>FAC2404382</t>
  </si>
  <si>
    <t>5/1 or</t>
  </si>
  <si>
    <t>FAC1643925</t>
  </si>
  <si>
    <t>3800AM</t>
  </si>
  <si>
    <t>44/2024</t>
  </si>
  <si>
    <t>EXI24290691</t>
  </si>
  <si>
    <t xml:space="preserve">GLO FOOD </t>
  </si>
  <si>
    <t>FA1643985</t>
  </si>
  <si>
    <t>FAC2404496</t>
  </si>
  <si>
    <t>FA2406473</t>
  </si>
  <si>
    <t>88/2024 J</t>
  </si>
  <si>
    <t xml:space="preserve">88/2024 J </t>
  </si>
  <si>
    <t>46/2024</t>
  </si>
  <si>
    <t>47/2024</t>
  </si>
  <si>
    <t>48/2024</t>
  </si>
  <si>
    <t>AVC2400869</t>
  </si>
  <si>
    <t>FAC2404574</t>
  </si>
  <si>
    <t>EXI24290715</t>
  </si>
  <si>
    <t>GLO FOOD</t>
  </si>
  <si>
    <t>51/2024</t>
  </si>
  <si>
    <t>49/2024</t>
  </si>
  <si>
    <t>50/2024</t>
  </si>
  <si>
    <t>GT111687</t>
  </si>
  <si>
    <t>02/2024 G</t>
  </si>
  <si>
    <t>89/2024 J</t>
  </si>
  <si>
    <t>52/2024</t>
  </si>
  <si>
    <t>FAC2404668</t>
  </si>
  <si>
    <t>FI24049</t>
  </si>
  <si>
    <t>91/2024 J</t>
  </si>
  <si>
    <t>FI24050</t>
  </si>
  <si>
    <t>53/2024</t>
  </si>
  <si>
    <t>FA1644269</t>
  </si>
  <si>
    <t>92/2024 J</t>
  </si>
  <si>
    <t>90/2024 J</t>
  </si>
  <si>
    <t>FA1644315</t>
  </si>
  <si>
    <t>2.3ML</t>
  </si>
  <si>
    <t>FI24051</t>
  </si>
  <si>
    <t>FI24052</t>
  </si>
  <si>
    <t>1COMPLAINT</t>
  </si>
  <si>
    <t>93/2024 J</t>
  </si>
  <si>
    <t>94/2024 J</t>
  </si>
  <si>
    <t>95/2024 J</t>
  </si>
  <si>
    <t>96/2024 J</t>
  </si>
  <si>
    <t>FTA000027517</t>
  </si>
  <si>
    <t>FI24053</t>
  </si>
  <si>
    <t>FI24054</t>
  </si>
  <si>
    <t>FI24055</t>
  </si>
  <si>
    <t>98/2024 J</t>
  </si>
  <si>
    <t>FIM2024138</t>
  </si>
  <si>
    <t>108/2024 J</t>
  </si>
  <si>
    <t>FIM2024139</t>
  </si>
  <si>
    <t>106/2024 J</t>
  </si>
  <si>
    <t>54/2024</t>
  </si>
  <si>
    <t>97/2024 J</t>
  </si>
  <si>
    <t>FI24056</t>
  </si>
  <si>
    <t>PADNUC24921</t>
  </si>
  <si>
    <t>Commande 14</t>
  </si>
  <si>
    <t>99/2024 J</t>
  </si>
  <si>
    <t>AVC2400921</t>
  </si>
  <si>
    <t>FI24057</t>
  </si>
  <si>
    <t>FI24058</t>
  </si>
  <si>
    <t>100/2024 J</t>
  </si>
  <si>
    <t>AVC2400934</t>
  </si>
  <si>
    <t>EXI242907841</t>
  </si>
  <si>
    <t>GLO FOOD*1*</t>
  </si>
  <si>
    <t>EXI242907842</t>
  </si>
  <si>
    <t>GLO FOOD*2*</t>
  </si>
  <si>
    <t>101/2024 J</t>
  </si>
  <si>
    <t>FI24059</t>
  </si>
  <si>
    <t>FIM2024142</t>
  </si>
  <si>
    <t>107/2024 J</t>
  </si>
  <si>
    <t>102/2024</t>
  </si>
  <si>
    <t>03/2024 ASNI</t>
  </si>
  <si>
    <t>FA1644711</t>
  </si>
  <si>
    <t>FA1644712</t>
  </si>
  <si>
    <t>FI24060</t>
  </si>
  <si>
    <t>102/2024 J</t>
  </si>
  <si>
    <t>04/2024 ASNI</t>
  </si>
  <si>
    <t>02/2024 ASNI</t>
  </si>
  <si>
    <t>FAC2405040</t>
  </si>
  <si>
    <t>FAC2405041</t>
  </si>
  <si>
    <t>FI24061</t>
  </si>
  <si>
    <t>FI24062</t>
  </si>
  <si>
    <t>FI24063</t>
  </si>
  <si>
    <t>FA1644774</t>
  </si>
  <si>
    <t>FA1644775</t>
  </si>
  <si>
    <t>01/2024 ASNI</t>
  </si>
  <si>
    <t>06/2024 ASNI</t>
  </si>
  <si>
    <t>103/2024 J</t>
  </si>
  <si>
    <t xml:space="preserve">PARTICI COMM ACC </t>
  </si>
  <si>
    <t>105/2024 J</t>
  </si>
  <si>
    <t>FI24064</t>
  </si>
  <si>
    <t>FI24065</t>
  </si>
  <si>
    <t>JP+JPA</t>
  </si>
  <si>
    <t>117/2024 J</t>
  </si>
  <si>
    <t>104/2024 J</t>
  </si>
  <si>
    <t>05/2024 ASNI</t>
  </si>
  <si>
    <t>FA1644846</t>
  </si>
  <si>
    <t>FI24066</t>
  </si>
  <si>
    <t>AG2196</t>
  </si>
  <si>
    <t>AG2197</t>
  </si>
  <si>
    <t>AG2198</t>
  </si>
  <si>
    <t>AG2199</t>
  </si>
  <si>
    <t>FI24067</t>
  </si>
  <si>
    <t>FI24068</t>
  </si>
  <si>
    <t>FI24069</t>
  </si>
  <si>
    <t>FIM2024144</t>
  </si>
  <si>
    <t>06/2024 GAMMA</t>
  </si>
  <si>
    <t>07/2024 ASNI</t>
  </si>
  <si>
    <t>FA1644887</t>
  </si>
  <si>
    <t>780ML</t>
  </si>
  <si>
    <t>FA1644888</t>
  </si>
  <si>
    <t>FI24070</t>
  </si>
  <si>
    <t>Commande  15</t>
  </si>
  <si>
    <t>FAC2405187</t>
  </si>
  <si>
    <t>FAC2405188</t>
  </si>
  <si>
    <t>AG2242</t>
  </si>
  <si>
    <t>AG2243</t>
  </si>
  <si>
    <t>TFCBFA242440</t>
  </si>
  <si>
    <t>115/2024 J</t>
  </si>
  <si>
    <t>55/2024</t>
  </si>
  <si>
    <t>116/2024 J</t>
  </si>
  <si>
    <t>09/2024 ASNI</t>
  </si>
  <si>
    <t>AV400724</t>
  </si>
  <si>
    <t>37/2024 AVOIR</t>
  </si>
  <si>
    <t>FI24071</t>
  </si>
  <si>
    <t>08/2024 ASNI</t>
  </si>
  <si>
    <t>AG2309</t>
  </si>
  <si>
    <t>110/2024 J</t>
  </si>
  <si>
    <t>109/2024 J</t>
  </si>
  <si>
    <t>10/2024 ASNI</t>
  </si>
  <si>
    <t>AG2331</t>
  </si>
  <si>
    <t>AG2333</t>
  </si>
  <si>
    <t>111/2024 J</t>
  </si>
  <si>
    <t>FI24073</t>
  </si>
  <si>
    <t>FI24074</t>
  </si>
  <si>
    <t>FI24075</t>
  </si>
  <si>
    <t>FI24076</t>
  </si>
  <si>
    <t>112/2024 J</t>
  </si>
  <si>
    <t>GT113048</t>
  </si>
  <si>
    <t>AG2364</t>
  </si>
  <si>
    <t>12/2024 ASNI</t>
  </si>
  <si>
    <t>FI24077</t>
  </si>
  <si>
    <t>FI24078</t>
  </si>
  <si>
    <t>114/2024 J</t>
  </si>
  <si>
    <t>FI24079</t>
  </si>
  <si>
    <t>AV80191529</t>
  </si>
  <si>
    <t>11/2024 ASNI</t>
  </si>
  <si>
    <t>113/2024 J</t>
  </si>
  <si>
    <t>FI24080</t>
  </si>
  <si>
    <t>FA2405503</t>
  </si>
  <si>
    <t xml:space="preserve"> 5/1</t>
  </si>
  <si>
    <t>FAC2405504</t>
  </si>
  <si>
    <t>FA1645350</t>
  </si>
  <si>
    <t>FI24081</t>
  </si>
  <si>
    <t>13/2024 ASNI</t>
  </si>
  <si>
    <t>14/2024 ASNI</t>
  </si>
  <si>
    <t>FI24082</t>
  </si>
  <si>
    <t>FI24083</t>
  </si>
  <si>
    <t>AG2414</t>
  </si>
  <si>
    <t>AG2415</t>
  </si>
  <si>
    <t>17/2024 ASNI</t>
  </si>
  <si>
    <t>16/2024 ASNI</t>
  </si>
  <si>
    <t>15/2024 ASNI</t>
  </si>
  <si>
    <t>FA1645434</t>
  </si>
  <si>
    <t>22/2024 ASNI</t>
  </si>
  <si>
    <t>26/2024 ASNI</t>
  </si>
  <si>
    <t>25/2024 ASNI</t>
  </si>
  <si>
    <t>24/2024 ASNI</t>
  </si>
  <si>
    <t>23/2024 ASNI</t>
  </si>
  <si>
    <t>FI24084</t>
  </si>
  <si>
    <t>FI24085</t>
  </si>
  <si>
    <t>FI24086</t>
  </si>
  <si>
    <t>27/2024 ASNI</t>
  </si>
  <si>
    <t>FA1645474</t>
  </si>
  <si>
    <t>FI24087</t>
  </si>
  <si>
    <t>FI24088</t>
  </si>
  <si>
    <t>FI24089</t>
  </si>
  <si>
    <t>FI24090</t>
  </si>
  <si>
    <t>JP A*SILVER*</t>
  </si>
  <si>
    <t>FI24091</t>
  </si>
  <si>
    <t>FI24092</t>
  </si>
  <si>
    <t>19/2024 ASNI</t>
  </si>
  <si>
    <t>20/2024 ASNI</t>
  </si>
  <si>
    <t>21/2024 ASNI</t>
  </si>
  <si>
    <t>18/2024 ASNI</t>
  </si>
  <si>
    <t>BTE JITNEY</t>
  </si>
  <si>
    <t>AG2470</t>
  </si>
  <si>
    <t>AG2471</t>
  </si>
  <si>
    <t>AG2472</t>
  </si>
  <si>
    <t>AG2473</t>
  </si>
  <si>
    <t>AG2474</t>
  </si>
  <si>
    <t>FI24093</t>
  </si>
  <si>
    <t>FI24094</t>
  </si>
  <si>
    <t>FI24095</t>
  </si>
  <si>
    <t>FI24096</t>
  </si>
  <si>
    <t>29/2024 ASNI</t>
  </si>
  <si>
    <t>EXI24290921</t>
  </si>
  <si>
    <t>28/2024 ASNI</t>
  </si>
  <si>
    <t>AVC2401079</t>
  </si>
  <si>
    <t>FI24097</t>
  </si>
  <si>
    <t>FI24098</t>
  </si>
  <si>
    <t>AG2503</t>
  </si>
  <si>
    <t>AG2504</t>
  </si>
  <si>
    <t>AG2505</t>
  </si>
  <si>
    <t>AG2506</t>
  </si>
  <si>
    <t>AG2507</t>
  </si>
  <si>
    <t>AG2508</t>
  </si>
  <si>
    <t>AG2509</t>
  </si>
  <si>
    <t>AG2510</t>
  </si>
  <si>
    <t>AG2511</t>
  </si>
  <si>
    <t>AG2512</t>
  </si>
  <si>
    <t>FA202410655</t>
  </si>
  <si>
    <t>FA202410662</t>
  </si>
  <si>
    <t>AG2573</t>
  </si>
  <si>
    <t>AG2574</t>
  </si>
  <si>
    <t>118/2024 J</t>
  </si>
  <si>
    <t>DEUX DOMAINE*1*</t>
  </si>
  <si>
    <t>RFA 311224</t>
  </si>
  <si>
    <t>FA202410881</t>
  </si>
  <si>
    <t>FI25001</t>
  </si>
  <si>
    <t>01/2025 J</t>
  </si>
  <si>
    <t>01/2025 ASNI</t>
  </si>
  <si>
    <t>FA202500109</t>
  </si>
  <si>
    <t>02/2025 ASNI</t>
  </si>
  <si>
    <t>03/2025 ASNI</t>
  </si>
  <si>
    <t>FI25002</t>
  </si>
  <si>
    <t>FA2501000387</t>
  </si>
  <si>
    <t>04/2025 ASNI</t>
  </si>
  <si>
    <t>FI25003</t>
  </si>
  <si>
    <t>FI25004</t>
  </si>
  <si>
    <t>FA1646089</t>
  </si>
  <si>
    <t>10AM</t>
  </si>
  <si>
    <t>AG0035</t>
  </si>
  <si>
    <t>AG0036</t>
  </si>
  <si>
    <t>AG0037</t>
  </si>
  <si>
    <t>660 ML</t>
  </si>
  <si>
    <t>FA1646214</t>
  </si>
  <si>
    <t>FA1646279</t>
  </si>
  <si>
    <t>FA1646280</t>
  </si>
  <si>
    <t>FA1646281</t>
  </si>
  <si>
    <t>FA1646282</t>
  </si>
  <si>
    <t>AG0102</t>
  </si>
  <si>
    <t>06/2025 ASNI</t>
  </si>
  <si>
    <t>07/2025 ASNI</t>
  </si>
  <si>
    <t>FA1646377</t>
  </si>
  <si>
    <t>05/2025 ASNI</t>
  </si>
  <si>
    <t>EXI25290062</t>
  </si>
  <si>
    <t>1. JP+2.ANDALOUS</t>
  </si>
  <si>
    <t>28/2025 ASNI</t>
  </si>
  <si>
    <t>FI25005</t>
  </si>
  <si>
    <t>FI25006</t>
  </si>
  <si>
    <t>FI25007</t>
  </si>
  <si>
    <t>08/2025 ASNI</t>
  </si>
  <si>
    <t>AG0114</t>
  </si>
  <si>
    <t>AG0133</t>
  </si>
  <si>
    <t>AG0134</t>
  </si>
  <si>
    <t>09/2025 ASNI</t>
  </si>
  <si>
    <t>JP AGADIR</t>
  </si>
  <si>
    <t>AG0160</t>
  </si>
  <si>
    <t>AG0168</t>
  </si>
  <si>
    <t>FI25008</t>
  </si>
  <si>
    <t>FA1646544</t>
  </si>
  <si>
    <t>COMMANDE 16</t>
  </si>
  <si>
    <t>14/2025 ASNI</t>
  </si>
  <si>
    <t>15/2025 ASNI</t>
  </si>
  <si>
    <t>FI25009</t>
  </si>
  <si>
    <t>FI25010</t>
  </si>
  <si>
    <t>FTA000028176</t>
  </si>
  <si>
    <t xml:space="preserve">JIL PACK  A </t>
  </si>
  <si>
    <t>10/2025 ASNI</t>
  </si>
  <si>
    <t>EXI25290104</t>
  </si>
  <si>
    <t>ANDALOUS+GLO FOOD</t>
  </si>
  <si>
    <t>AG0212</t>
  </si>
  <si>
    <t>AG0229</t>
  </si>
  <si>
    <t>11/2025 ASNI</t>
  </si>
  <si>
    <t>FA1646897</t>
  </si>
  <si>
    <t>13/2025 ASNI</t>
  </si>
  <si>
    <t>FI25011</t>
  </si>
  <si>
    <t>FI25012</t>
  </si>
  <si>
    <t>AG0245</t>
  </si>
  <si>
    <t>12/2025 ASNI</t>
  </si>
  <si>
    <t>16/2025 ASNI</t>
  </si>
  <si>
    <t>JP A*1*</t>
  </si>
  <si>
    <t>JP A *2*</t>
  </si>
  <si>
    <t>COMLEMENT</t>
  </si>
  <si>
    <t>17/2025 ASNI</t>
  </si>
  <si>
    <t>02/2025 J</t>
  </si>
  <si>
    <t>FI25013</t>
  </si>
  <si>
    <t xml:space="preserve">16/2025 ASNI </t>
  </si>
  <si>
    <t>FI25014</t>
  </si>
  <si>
    <t>03/2025 J</t>
  </si>
  <si>
    <t>FA202501274</t>
  </si>
  <si>
    <t>AG0276</t>
  </si>
  <si>
    <t>AG0287</t>
  </si>
  <si>
    <t>AG0288</t>
  </si>
  <si>
    <t>14/2025 SNI</t>
  </si>
  <si>
    <t>AG0289</t>
  </si>
  <si>
    <t>21/2025 ASNI</t>
  </si>
  <si>
    <t>20/2025 ASNI</t>
  </si>
  <si>
    <t>04/2025 J</t>
  </si>
  <si>
    <t>RO 63 OR</t>
  </si>
  <si>
    <t>FA202501332</t>
  </si>
  <si>
    <t>EXI25290147</t>
  </si>
  <si>
    <t>FI25015</t>
  </si>
  <si>
    <t>FI25016</t>
  </si>
  <si>
    <t>19/2025 ASNI</t>
  </si>
  <si>
    <t>05/2025 J</t>
  </si>
  <si>
    <t>FA1647260</t>
  </si>
  <si>
    <t>FA1647261</t>
  </si>
  <si>
    <t>FA202501428</t>
  </si>
  <si>
    <t>FI25017</t>
  </si>
  <si>
    <t>AG0317</t>
  </si>
  <si>
    <t>AG0318</t>
  </si>
  <si>
    <t>18/2025 ASNI</t>
  </si>
  <si>
    <t>FI25018</t>
  </si>
  <si>
    <t>FI25019</t>
  </si>
  <si>
    <t>FIM2025013</t>
  </si>
  <si>
    <t>FA1647370</t>
  </si>
  <si>
    <t>FA202501521</t>
  </si>
  <si>
    <t>FI25020</t>
  </si>
  <si>
    <t>AG0360</t>
  </si>
  <si>
    <t>AG0361</t>
  </si>
  <si>
    <t>AG0362</t>
  </si>
  <si>
    <t>AG0363</t>
  </si>
  <si>
    <t>COMMANDE 17</t>
  </si>
  <si>
    <t>22/2025 ASNI</t>
  </si>
  <si>
    <t>24/2025 ASNI</t>
  </si>
  <si>
    <t>EXI252901751</t>
  </si>
  <si>
    <t>EXI252901752</t>
  </si>
  <si>
    <t>23/2025 ASNI</t>
  </si>
  <si>
    <t>FI25021</t>
  </si>
  <si>
    <t>AG0407</t>
  </si>
  <si>
    <t>06/2025 J</t>
  </si>
  <si>
    <t>AG0408</t>
  </si>
  <si>
    <t>25/2025 ASNI</t>
  </si>
  <si>
    <t>27/2025 ASNI</t>
  </si>
  <si>
    <t>CC18</t>
  </si>
  <si>
    <t>250005170V2</t>
  </si>
  <si>
    <t>CC18 BIS</t>
  </si>
  <si>
    <t>FA202501939</t>
  </si>
  <si>
    <t>FI25022</t>
  </si>
  <si>
    <t>FI25023</t>
  </si>
  <si>
    <t>FI25024</t>
  </si>
  <si>
    <t>26/2025 ASNI</t>
  </si>
  <si>
    <t>AG0452</t>
  </si>
  <si>
    <t>AG0453</t>
  </si>
  <si>
    <t>EXI25290214</t>
  </si>
  <si>
    <t>FI25025</t>
  </si>
  <si>
    <t>FI25026</t>
  </si>
  <si>
    <t>MAIM1019218</t>
  </si>
  <si>
    <t>07/2025 J</t>
  </si>
  <si>
    <t>29/2025 ASNI</t>
  </si>
  <si>
    <t>FI25027</t>
  </si>
  <si>
    <t>AG0487</t>
  </si>
  <si>
    <t>AG0488</t>
  </si>
  <si>
    <t>31/2025 ASNI</t>
  </si>
  <si>
    <t>30/2025 ASNI</t>
  </si>
  <si>
    <t>BCI202596</t>
  </si>
  <si>
    <t>FI25029</t>
  </si>
  <si>
    <t>FI25030</t>
  </si>
  <si>
    <t>FI25031</t>
  </si>
  <si>
    <t>FI25032</t>
  </si>
  <si>
    <t>AG0515</t>
  </si>
  <si>
    <t>AG0516</t>
  </si>
  <si>
    <t>FI25033</t>
  </si>
  <si>
    <t>FI25034</t>
  </si>
  <si>
    <t>32/2025 ASNI</t>
  </si>
  <si>
    <t>FA1648003</t>
  </si>
  <si>
    <t>FA1648004</t>
  </si>
  <si>
    <t>PLAST</t>
  </si>
  <si>
    <t>FI25035</t>
  </si>
  <si>
    <t>37/2025 ASNI</t>
  </si>
  <si>
    <t>35/2025 ASNI</t>
  </si>
  <si>
    <t>36/2025 ASNI</t>
  </si>
  <si>
    <t>33/2025 ASNI</t>
  </si>
  <si>
    <t>34/2025 ASNI</t>
  </si>
  <si>
    <t>AG0553</t>
  </si>
  <si>
    <t>AG0554</t>
  </si>
  <si>
    <t>AG0557</t>
  </si>
  <si>
    <t>AG0573</t>
  </si>
  <si>
    <t>AG0574</t>
  </si>
  <si>
    <t>AG0575</t>
  </si>
  <si>
    <t>AG0576</t>
  </si>
  <si>
    <t>AG0581</t>
  </si>
  <si>
    <t>38/2025 ASNI</t>
  </si>
  <si>
    <t>FA1648083</t>
  </si>
  <si>
    <t>1/4 CLUB FB CONIQ</t>
  </si>
  <si>
    <t>MAIM1037753</t>
  </si>
  <si>
    <t>10/2025 J</t>
  </si>
  <si>
    <t>FA202502664</t>
  </si>
  <si>
    <t>FI25037</t>
  </si>
  <si>
    <t>41/2025 ASNI</t>
  </si>
  <si>
    <t>COMMANDE 20</t>
  </si>
  <si>
    <t>MAIM1040203</t>
  </si>
  <si>
    <t>09/2025 J</t>
  </si>
  <si>
    <t>AG0620</t>
  </si>
  <si>
    <t>06/2025 A</t>
  </si>
  <si>
    <t>42/2025 ASNI</t>
  </si>
  <si>
    <t>40/2025 ASNI</t>
  </si>
  <si>
    <t>FIM2025013A</t>
  </si>
  <si>
    <t>01/2025 GAMMA</t>
  </si>
  <si>
    <t>39/2025 ASNI</t>
  </si>
  <si>
    <t>FA202502909</t>
  </si>
  <si>
    <t>FI25038</t>
  </si>
  <si>
    <t xml:space="preserve">DESIGN MARRAKECH </t>
  </si>
  <si>
    <t>44/2025 ASNI</t>
  </si>
  <si>
    <t>FA1648314</t>
  </si>
  <si>
    <t>FA1648315</t>
  </si>
  <si>
    <t>AG0668</t>
  </si>
  <si>
    <t>AG0669</t>
  </si>
  <si>
    <t>AG0670</t>
  </si>
  <si>
    <t>AG0671</t>
  </si>
  <si>
    <t>43/2025 ASNI</t>
  </si>
  <si>
    <t>47/2025 ASNI</t>
  </si>
  <si>
    <t>FI25041</t>
  </si>
  <si>
    <t>FI25042</t>
  </si>
  <si>
    <t>FI25043</t>
  </si>
  <si>
    <t>FI25044</t>
  </si>
  <si>
    <t>FTA000028726</t>
  </si>
  <si>
    <t>FI25045</t>
  </si>
  <si>
    <t>GT115739</t>
  </si>
  <si>
    <t>AG0709</t>
  </si>
  <si>
    <t>AG0710</t>
  </si>
  <si>
    <t>46/2025 ASNI</t>
  </si>
  <si>
    <t>45/2025 ASNI</t>
  </si>
  <si>
    <t>FA202503182</t>
  </si>
  <si>
    <t>FA202503208</t>
  </si>
  <si>
    <t>FI25046</t>
  </si>
  <si>
    <t>49/2025 ASNI</t>
  </si>
  <si>
    <t>51/2025 ASNI</t>
  </si>
  <si>
    <t>50/2025 ASNI</t>
  </si>
  <si>
    <t>48/2025 ASNI</t>
  </si>
  <si>
    <t>AG0744</t>
  </si>
  <si>
    <t>AG0745</t>
  </si>
  <si>
    <t>AG0746</t>
  </si>
  <si>
    <t>EXI25290348</t>
  </si>
  <si>
    <t>ANDALOUS FOOD</t>
  </si>
  <si>
    <t>FI25047</t>
  </si>
  <si>
    <t>FI25048</t>
  </si>
  <si>
    <t>FI25049</t>
  </si>
  <si>
    <t>FI25050</t>
  </si>
  <si>
    <t>FI25051</t>
  </si>
  <si>
    <t xml:space="preserve">JP  </t>
  </si>
  <si>
    <t>720 ML</t>
  </si>
  <si>
    <t>11/2025 J</t>
  </si>
  <si>
    <t>FA202503470</t>
  </si>
  <si>
    <t>JTTL COMPLEMENT</t>
  </si>
  <si>
    <t>12/2025 J</t>
  </si>
  <si>
    <t>AG0793</t>
  </si>
  <si>
    <t>AG0794</t>
  </si>
  <si>
    <t>AG0796</t>
  </si>
  <si>
    <t>AG0797</t>
  </si>
  <si>
    <t>FA202503489</t>
  </si>
  <si>
    <t>FI25052</t>
  </si>
  <si>
    <t>54/2025 ASNI</t>
  </si>
  <si>
    <t>53/2025 ASNI</t>
  </si>
  <si>
    <t>52/2025 ASNI</t>
  </si>
  <si>
    <t>FI25053</t>
  </si>
  <si>
    <t>FI25054</t>
  </si>
  <si>
    <t>FI25055</t>
  </si>
  <si>
    <t>FI25056</t>
  </si>
  <si>
    <t>55/2025 ASNI</t>
  </si>
  <si>
    <t>L134725</t>
  </si>
  <si>
    <t>DK00000021</t>
  </si>
  <si>
    <t>LGMC</t>
  </si>
  <si>
    <t>17/2025 J</t>
  </si>
  <si>
    <t>FA202503744</t>
  </si>
  <si>
    <t>EXI25290380</t>
  </si>
  <si>
    <t xml:space="preserve">JP </t>
  </si>
  <si>
    <t>AG0862</t>
  </si>
  <si>
    <t>AG0863</t>
  </si>
  <si>
    <t>AG0864</t>
  </si>
  <si>
    <t>AG0865</t>
  </si>
  <si>
    <t>57/2025 ASNI</t>
  </si>
  <si>
    <t>58/2025 ASNI</t>
  </si>
  <si>
    <t>59/2025 ASNI</t>
  </si>
  <si>
    <t>13/2025 J</t>
  </si>
  <si>
    <t>FA1648992</t>
  </si>
  <si>
    <t>56/2025 ASNI</t>
  </si>
  <si>
    <t>L141025</t>
  </si>
  <si>
    <t>L141125</t>
  </si>
  <si>
    <t>FA1649008</t>
  </si>
  <si>
    <t>FI25057</t>
  </si>
  <si>
    <t>FI25058</t>
  </si>
  <si>
    <t>FI25059</t>
  </si>
  <si>
    <t>FA2025033950</t>
  </si>
  <si>
    <t>FI25060</t>
  </si>
  <si>
    <t>AG0925</t>
  </si>
  <si>
    <t>AG0926</t>
  </si>
  <si>
    <t>AG0927</t>
  </si>
  <si>
    <t>AG0928</t>
  </si>
  <si>
    <t>16/2025 J</t>
  </si>
  <si>
    <t>14/2025 J</t>
  </si>
  <si>
    <t>60/2025 ASNI</t>
  </si>
  <si>
    <t>15/2025 J</t>
  </si>
  <si>
    <t>VTVR000278</t>
  </si>
  <si>
    <t>FA202504236</t>
  </si>
  <si>
    <t>FA202504238</t>
  </si>
  <si>
    <t>15/2014 J</t>
  </si>
  <si>
    <t>FA202504240</t>
  </si>
  <si>
    <t>AG0952</t>
  </si>
  <si>
    <t>AG0989</t>
  </si>
  <si>
    <t>FA1649329</t>
  </si>
  <si>
    <t>FA1649330</t>
  </si>
  <si>
    <t>FA202504391</t>
  </si>
  <si>
    <t>FA2505001687</t>
  </si>
  <si>
    <t>19/2025 J</t>
  </si>
  <si>
    <t>61/2025 ASNI</t>
  </si>
  <si>
    <t>62/2025 ASNI</t>
  </si>
  <si>
    <t>FA1649451</t>
  </si>
  <si>
    <t>EXI252904451</t>
  </si>
  <si>
    <t>EXI252904452</t>
  </si>
  <si>
    <t>63/2025 ASNI</t>
  </si>
  <si>
    <t>FI25061</t>
  </si>
  <si>
    <t>FI25062</t>
  </si>
  <si>
    <t>FI25063</t>
  </si>
  <si>
    <t>AG1073</t>
  </si>
  <si>
    <t>AG1074</t>
  </si>
  <si>
    <t>AG1075</t>
  </si>
  <si>
    <t>65/2025 ASNI</t>
  </si>
  <si>
    <t>18/2025 J</t>
  </si>
  <si>
    <t>FA202504794</t>
  </si>
  <si>
    <t>64/2025 ASNI</t>
  </si>
  <si>
    <t>Commande 19</t>
  </si>
  <si>
    <t>FI25064</t>
  </si>
  <si>
    <t>FI25065</t>
  </si>
  <si>
    <t>FA202504890</t>
  </si>
  <si>
    <t>AG1098</t>
  </si>
  <si>
    <t>67/2025 ASNI</t>
  </si>
  <si>
    <t>FI25066</t>
  </si>
  <si>
    <t>68/2025 ASNI</t>
  </si>
  <si>
    <t>66/2025 ASNI</t>
  </si>
  <si>
    <t>15/2025</t>
  </si>
  <si>
    <t>17/2025</t>
  </si>
  <si>
    <t xml:space="preserve">13/2025 </t>
  </si>
  <si>
    <t>20/2025 J</t>
  </si>
  <si>
    <t xml:space="preserve">16/2025 </t>
  </si>
  <si>
    <t>MAIM1067650</t>
  </si>
  <si>
    <t>21/2025 J</t>
  </si>
  <si>
    <t>AG1133</t>
  </si>
  <si>
    <t>14/2025</t>
  </si>
  <si>
    <t>FA1649705</t>
  </si>
  <si>
    <t>5500 AP/AM</t>
  </si>
  <si>
    <t>FA1649706</t>
  </si>
  <si>
    <t>FA1649707</t>
  </si>
  <si>
    <t>71/2025 ASNI</t>
  </si>
  <si>
    <t>70/2025 ASNI</t>
  </si>
  <si>
    <t>L192225</t>
  </si>
  <si>
    <t>L192325</t>
  </si>
  <si>
    <t>L192425</t>
  </si>
  <si>
    <t>FA202505141</t>
  </si>
  <si>
    <t>69/2025 ASNI</t>
  </si>
  <si>
    <t>FI25067</t>
  </si>
  <si>
    <t>FI25068</t>
  </si>
  <si>
    <t>FI25069</t>
  </si>
  <si>
    <t>FI25070</t>
  </si>
  <si>
    <t>FI25071</t>
  </si>
  <si>
    <t>72/2025 ASNI</t>
  </si>
  <si>
    <t>22/2025 J</t>
  </si>
  <si>
    <t>FI25072</t>
  </si>
  <si>
    <t>AG1171</t>
  </si>
  <si>
    <t>AG1172</t>
  </si>
  <si>
    <t>AG1175</t>
  </si>
  <si>
    <t>FA202505298</t>
  </si>
  <si>
    <t>DK00002109</t>
  </si>
  <si>
    <t>DK00002127</t>
  </si>
  <si>
    <t>JP A *1*</t>
  </si>
  <si>
    <t>DK00002134</t>
  </si>
  <si>
    <t>SILVER+JPA</t>
  </si>
  <si>
    <t>FI25073</t>
  </si>
  <si>
    <t>FA202505335</t>
  </si>
  <si>
    <t>FI25074</t>
  </si>
  <si>
    <t>JPA*SILVER FOOD*</t>
  </si>
  <si>
    <t>AG1214</t>
  </si>
  <si>
    <t>AG1215</t>
  </si>
  <si>
    <t>AG1216</t>
  </si>
  <si>
    <t>AG1221</t>
  </si>
  <si>
    <t>73/2025 ASNI</t>
  </si>
  <si>
    <t>74/2025 ASNI</t>
  </si>
  <si>
    <t>L201325</t>
  </si>
  <si>
    <t>13/2025</t>
  </si>
  <si>
    <t>L201425</t>
  </si>
  <si>
    <t>L201525</t>
  </si>
  <si>
    <t>L201625</t>
  </si>
  <si>
    <t>16/2025</t>
  </si>
  <si>
    <t>L201725</t>
  </si>
  <si>
    <t>FA1649871</t>
  </si>
  <si>
    <t>JP 2</t>
  </si>
  <si>
    <t>78/2025 ASNI</t>
  </si>
  <si>
    <t>FI25075</t>
  </si>
  <si>
    <t>FI25076</t>
  </si>
  <si>
    <t>FA2506001806</t>
  </si>
  <si>
    <t>77/2025 ASNI</t>
  </si>
  <si>
    <t>75/2025 ASNI</t>
  </si>
  <si>
    <t>76/2025 ASNI</t>
  </si>
  <si>
    <t>FI25077</t>
  </si>
  <si>
    <t>AG1259</t>
  </si>
  <si>
    <t>AG1260</t>
  </si>
  <si>
    <t>FI25078</t>
  </si>
  <si>
    <t>FI25079</t>
  </si>
  <si>
    <t>FI25080</t>
  </si>
  <si>
    <t>79/2025 ASNI</t>
  </si>
  <si>
    <t>DK00002631</t>
  </si>
  <si>
    <t>DK00002646</t>
  </si>
  <si>
    <t>JP A   1</t>
  </si>
  <si>
    <t xml:space="preserve">RO85 </t>
  </si>
  <si>
    <t>AG1297</t>
  </si>
  <si>
    <t>AG1298</t>
  </si>
  <si>
    <t>AG1299</t>
  </si>
  <si>
    <t>AG1300</t>
  </si>
  <si>
    <t>AG1312</t>
  </si>
  <si>
    <t>82/2025 ASNI</t>
  </si>
  <si>
    <t>FI25081</t>
  </si>
  <si>
    <t>FI25082</t>
  </si>
  <si>
    <t>23/2025 J</t>
  </si>
  <si>
    <t>DK00003033</t>
  </si>
  <si>
    <t>1/4 CLUB ALU CON</t>
  </si>
  <si>
    <t>80/2025 ASNI</t>
  </si>
  <si>
    <t>24/2025 J</t>
  </si>
  <si>
    <t>DK00002999</t>
  </si>
  <si>
    <t>EXI25290562</t>
  </si>
  <si>
    <t>FI25083</t>
  </si>
  <si>
    <t>81/2025 ASNI</t>
  </si>
  <si>
    <t>FAC2502441</t>
  </si>
  <si>
    <t>FAC2502442</t>
  </si>
  <si>
    <t>FAC2502443</t>
  </si>
  <si>
    <t>FA202505897</t>
  </si>
  <si>
    <t>83/2025 ASNI</t>
  </si>
  <si>
    <t>FAC1650234</t>
  </si>
  <si>
    <t>FI25084</t>
  </si>
  <si>
    <t>FA202505981</t>
  </si>
  <si>
    <t>DK00003272</t>
  </si>
  <si>
    <t>FI25085</t>
  </si>
  <si>
    <t>AG1372</t>
  </si>
  <si>
    <t>AG1373</t>
  </si>
  <si>
    <t>AG1374</t>
  </si>
  <si>
    <t>25/2025 J</t>
  </si>
  <si>
    <t>EXI25290589</t>
  </si>
  <si>
    <t>ANDAL+JP+GLO</t>
  </si>
  <si>
    <t xml:space="preserve">20/2025 </t>
  </si>
  <si>
    <t>84/2025 ASNI</t>
  </si>
  <si>
    <t>85/2025 ASNI</t>
  </si>
  <si>
    <t>19/2025</t>
  </si>
  <si>
    <t xml:space="preserve">21/2025 </t>
  </si>
  <si>
    <t>FA202506152</t>
  </si>
  <si>
    <t>FI25086</t>
  </si>
  <si>
    <t>AG1408</t>
  </si>
  <si>
    <t>86/2025 ASNI</t>
  </si>
  <si>
    <t>FI25087</t>
  </si>
  <si>
    <t>87/2025 ASNI</t>
  </si>
  <si>
    <t>18/2025</t>
  </si>
  <si>
    <t>22/2025</t>
  </si>
  <si>
    <t>FI25088</t>
  </si>
  <si>
    <t>FTA000029469</t>
  </si>
  <si>
    <t>MAIMI1081126</t>
  </si>
  <si>
    <t>94/2025 ASNI</t>
  </si>
  <si>
    <t>FA1650530</t>
  </si>
  <si>
    <t>FIM2025051</t>
  </si>
  <si>
    <t>88/2025 ASNI</t>
  </si>
  <si>
    <t>FIM2025052</t>
  </si>
  <si>
    <t>89/2025 ASNI</t>
  </si>
  <si>
    <t>FIM2025051B</t>
  </si>
  <si>
    <t>FIM2025052B</t>
  </si>
  <si>
    <t>93/2025 ASNI</t>
  </si>
  <si>
    <t>92/2025 ASNI</t>
  </si>
  <si>
    <t>AG1450</t>
  </si>
  <si>
    <t>AG1451</t>
  </si>
  <si>
    <t>AG1452</t>
  </si>
  <si>
    <t>COMPLI 24/2025 AS</t>
  </si>
  <si>
    <t>23/2025</t>
  </si>
  <si>
    <t>FI25089</t>
  </si>
  <si>
    <t>FI25090</t>
  </si>
  <si>
    <t>AG1463</t>
  </si>
  <si>
    <t>L243225</t>
  </si>
  <si>
    <t>L243325</t>
  </si>
  <si>
    <t>L243425</t>
  </si>
  <si>
    <t>20/2025</t>
  </si>
  <si>
    <t>L243525</t>
  </si>
  <si>
    <t>21/2025</t>
  </si>
  <si>
    <t>L243825</t>
  </si>
  <si>
    <t>24/2025</t>
  </si>
  <si>
    <t>90/2025 ASNI</t>
  </si>
  <si>
    <t>91/2025 ASNI</t>
  </si>
  <si>
    <t>L245625</t>
  </si>
  <si>
    <t>FI25091</t>
  </si>
  <si>
    <t>FI25092</t>
  </si>
  <si>
    <t>95/2025 ASNI</t>
  </si>
  <si>
    <t>26/2025 J</t>
  </si>
  <si>
    <t>FI25093</t>
  </si>
  <si>
    <t>AG1501</t>
  </si>
  <si>
    <t>AG1502</t>
  </si>
  <si>
    <t>DK00003875</t>
  </si>
  <si>
    <t>DK00003876</t>
  </si>
  <si>
    <t>FA1650876</t>
  </si>
  <si>
    <t>FA202506739</t>
  </si>
  <si>
    <t>AG1519</t>
  </si>
  <si>
    <t>AG1520</t>
  </si>
  <si>
    <t>AG1521</t>
  </si>
  <si>
    <t>AG1522</t>
  </si>
  <si>
    <t>AG1552</t>
  </si>
  <si>
    <t>AG1577</t>
  </si>
  <si>
    <t>MAIM1086224</t>
  </si>
  <si>
    <t>98/2025 ASNI</t>
  </si>
  <si>
    <t>FIM2025060</t>
  </si>
  <si>
    <t>99/2025 ASNI</t>
  </si>
  <si>
    <t>25/2025</t>
  </si>
  <si>
    <t>97/2025 ASNI</t>
  </si>
  <si>
    <t>DK00004101</t>
  </si>
  <si>
    <t>FI25094</t>
  </si>
  <si>
    <t>96/2025 ASNI</t>
  </si>
  <si>
    <t>EXI25290658</t>
  </si>
  <si>
    <t>JP+ANDALOUS</t>
  </si>
  <si>
    <t>DK00004261</t>
  </si>
  <si>
    <t>FI25095</t>
  </si>
  <si>
    <t>26/2025</t>
  </si>
  <si>
    <t>U .D*cherif*</t>
  </si>
  <si>
    <t>27/2025 J</t>
  </si>
  <si>
    <t>L263725</t>
  </si>
  <si>
    <t>L263825</t>
  </si>
  <si>
    <t>AG1609</t>
  </si>
  <si>
    <t>AG1610</t>
  </si>
  <si>
    <t>28/2025</t>
  </si>
  <si>
    <t>27/2025</t>
  </si>
  <si>
    <t>102/2025 ASNI</t>
  </si>
  <si>
    <t>100/2025 ASNI</t>
  </si>
  <si>
    <t>L269425</t>
  </si>
  <si>
    <t>L269525</t>
  </si>
  <si>
    <t>L269625</t>
  </si>
  <si>
    <t>AG1629</t>
  </si>
  <si>
    <t>AG1630</t>
  </si>
  <si>
    <t>101/2025 ASNI</t>
  </si>
  <si>
    <t>FA202507108</t>
  </si>
  <si>
    <t>34/2025</t>
  </si>
  <si>
    <t>105/2025 ASNI</t>
  </si>
  <si>
    <t>104/2025 ASNI</t>
  </si>
  <si>
    <t>FI25096</t>
  </si>
  <si>
    <t>FI25097</t>
  </si>
  <si>
    <t>FI25098</t>
  </si>
  <si>
    <t>FI25099</t>
  </si>
  <si>
    <t>FI25100</t>
  </si>
  <si>
    <t>FIM2025064</t>
  </si>
  <si>
    <t>103/2025 ASNI</t>
  </si>
  <si>
    <t>29/2025</t>
  </si>
  <si>
    <t>DK00004795</t>
  </si>
  <si>
    <t>JP A*cibel*</t>
  </si>
  <si>
    <t>DK00004823</t>
  </si>
  <si>
    <t>33/2025</t>
  </si>
  <si>
    <t>AG1695</t>
  </si>
  <si>
    <t>AG1696</t>
  </si>
  <si>
    <t>AG1697</t>
  </si>
  <si>
    <t>DK00005034</t>
  </si>
  <si>
    <t>35/2025</t>
  </si>
  <si>
    <t>107/2025 ASNI</t>
  </si>
  <si>
    <t>106/2025 ASNI</t>
  </si>
  <si>
    <t>FA1651396</t>
  </si>
  <si>
    <t>FA1651398</t>
  </si>
  <si>
    <t>AG1709</t>
  </si>
  <si>
    <t>112/2025 ASNI</t>
  </si>
  <si>
    <t>113/2025 ASNI</t>
  </si>
  <si>
    <t>DK00005179</t>
  </si>
  <si>
    <t>EXI252906851</t>
  </si>
  <si>
    <t>ANDA*JP* 1</t>
  </si>
  <si>
    <t>EXI252906852</t>
  </si>
  <si>
    <t>GLO FOOD  2</t>
  </si>
  <si>
    <t>EXI252906853</t>
  </si>
  <si>
    <t>JPA *JP* 3</t>
  </si>
  <si>
    <t>FI25101</t>
  </si>
  <si>
    <t>110/2025 ASNI</t>
  </si>
  <si>
    <t>111/2025 ASNI</t>
  </si>
  <si>
    <t>36/2025</t>
  </si>
  <si>
    <t>DK00005370</t>
  </si>
  <si>
    <t>FI25102</t>
  </si>
  <si>
    <t>FI25103</t>
  </si>
  <si>
    <t>FI25105</t>
  </si>
  <si>
    <t>AG1759</t>
  </si>
  <si>
    <t>AG1760</t>
  </si>
  <si>
    <t>AG1761</t>
  </si>
  <si>
    <t>AG1762</t>
  </si>
  <si>
    <t>108/2025 ASNI</t>
  </si>
  <si>
    <t>114/2025 ASNI</t>
  </si>
  <si>
    <t>L277925</t>
  </si>
  <si>
    <t>FI25106</t>
  </si>
  <si>
    <t>FI25107</t>
  </si>
  <si>
    <t>115/2025 ASNI</t>
  </si>
  <si>
    <t>109/2025 ASNI</t>
  </si>
  <si>
    <t>31/2025</t>
  </si>
  <si>
    <t>116/2025 ASNI</t>
  </si>
  <si>
    <t>117/2025 ASNI</t>
  </si>
  <si>
    <t>118/2025 ASNI</t>
  </si>
  <si>
    <t>FAC2503259</t>
  </si>
  <si>
    <t>FAC2503260</t>
  </si>
  <si>
    <t>FI25108</t>
  </si>
  <si>
    <t>MAIM1095374</t>
  </si>
  <si>
    <t>119/2025 ASNI</t>
  </si>
  <si>
    <t>MAIM1095375</t>
  </si>
  <si>
    <t>120/2025 ASNI</t>
  </si>
  <si>
    <t>FI25109</t>
  </si>
  <si>
    <t>FI25110</t>
  </si>
  <si>
    <t>FI25111</t>
  </si>
  <si>
    <t>FI25112</t>
  </si>
  <si>
    <t>FI25113</t>
  </si>
  <si>
    <t>AG1808</t>
  </si>
  <si>
    <t>AG1809</t>
  </si>
  <si>
    <t>AG1810</t>
  </si>
  <si>
    <t>AG1811</t>
  </si>
  <si>
    <t>AG1812</t>
  </si>
  <si>
    <t>AG1813</t>
  </si>
  <si>
    <t>AG1814</t>
  </si>
  <si>
    <t>AG1815</t>
  </si>
  <si>
    <t>AG1816</t>
  </si>
  <si>
    <t>AG1817</t>
  </si>
  <si>
    <t>AG1818</t>
  </si>
  <si>
    <t>125/2025 ASNI</t>
  </si>
  <si>
    <t>121/2025 ASNI</t>
  </si>
  <si>
    <t>FI25114</t>
  </si>
  <si>
    <t>28/2025 J</t>
  </si>
  <si>
    <t>FI25115</t>
  </si>
  <si>
    <t>FI25116</t>
  </si>
  <si>
    <t>30/2025</t>
  </si>
  <si>
    <t>32/2025</t>
  </si>
  <si>
    <t>37/2025</t>
  </si>
  <si>
    <t>38/2025</t>
  </si>
  <si>
    <t>122/2025 ASNI</t>
  </si>
  <si>
    <t>123/2025 ASNI</t>
  </si>
  <si>
    <t>124/2025 ASNI</t>
  </si>
  <si>
    <t>FAC2503366</t>
  </si>
  <si>
    <t>FAC2503367</t>
  </si>
  <si>
    <t>L297625</t>
  </si>
  <si>
    <t>L297725</t>
  </si>
  <si>
    <t>L297825</t>
  </si>
  <si>
    <t>L297925</t>
  </si>
  <si>
    <t>L298025</t>
  </si>
  <si>
    <t>L298125</t>
  </si>
  <si>
    <t>L298225</t>
  </si>
  <si>
    <t>FI25117</t>
  </si>
  <si>
    <t>FI25118</t>
  </si>
  <si>
    <t>FI25119</t>
  </si>
  <si>
    <t>FA1651833</t>
  </si>
  <si>
    <t>FA1651834</t>
  </si>
  <si>
    <t>AG1875</t>
  </si>
  <si>
    <t>AG1876</t>
  </si>
  <si>
    <t>127/2025 ASNI</t>
  </si>
  <si>
    <t>128/2025 ASNI</t>
  </si>
  <si>
    <t>126/2025 ASNI</t>
  </si>
  <si>
    <t>FA202507916</t>
  </si>
  <si>
    <t>FI25120</t>
  </si>
  <si>
    <t>FI25121</t>
  </si>
  <si>
    <t>AG1913</t>
  </si>
  <si>
    <t>AG1914</t>
  </si>
  <si>
    <t>122/2025 SNI</t>
  </si>
  <si>
    <t>AG1915</t>
  </si>
  <si>
    <t>AG1916</t>
  </si>
  <si>
    <t>AG1917</t>
  </si>
  <si>
    <t>29/2025 J</t>
  </si>
  <si>
    <t>FI25122</t>
  </si>
  <si>
    <t>L308525</t>
  </si>
  <si>
    <t>L308625</t>
  </si>
  <si>
    <t>FAC2503575</t>
  </si>
  <si>
    <t>FA202508034</t>
  </si>
  <si>
    <t>AG1953</t>
  </si>
  <si>
    <t>AG1954</t>
  </si>
  <si>
    <t>AG1955</t>
  </si>
  <si>
    <t>130/2025 ASNI</t>
  </si>
  <si>
    <t>129/2025 ASNI</t>
  </si>
  <si>
    <t>41/2025</t>
  </si>
  <si>
    <t>FI25123</t>
  </si>
  <si>
    <t>FI25124</t>
  </si>
  <si>
    <t>40/2025</t>
  </si>
  <si>
    <t>39/2025</t>
  </si>
  <si>
    <t>AG1999</t>
  </si>
  <si>
    <t>AG2000</t>
  </si>
  <si>
    <t>131/2025 ASNI</t>
  </si>
  <si>
    <t>L326025</t>
  </si>
  <si>
    <t>L326125</t>
  </si>
  <si>
    <t>L326225</t>
  </si>
  <si>
    <t>FI25125</t>
  </si>
  <si>
    <t>FAC2503804</t>
  </si>
  <si>
    <t>FA1652354</t>
  </si>
  <si>
    <t>2,3 NOIR</t>
  </si>
  <si>
    <t>FA202508667</t>
  </si>
  <si>
    <t>AG2058</t>
  </si>
  <si>
    <t>FIM2025079</t>
  </si>
  <si>
    <t>132/2025 ASNI</t>
  </si>
  <si>
    <t>133/2025 ASNI</t>
  </si>
  <si>
    <t>42/2025 AS</t>
  </si>
  <si>
    <t>EXI25290810</t>
  </si>
  <si>
    <t>GLO+JP</t>
  </si>
  <si>
    <t>FI25126</t>
  </si>
  <si>
    <t>FAC2503908</t>
  </si>
  <si>
    <t>134/2025 ASNI</t>
  </si>
  <si>
    <t>135/2025 ASNI</t>
  </si>
  <si>
    <t>44/2025 AS</t>
  </si>
  <si>
    <t>FA1652527</t>
  </si>
  <si>
    <t>DK00008332</t>
  </si>
  <si>
    <t>AG2095</t>
  </si>
  <si>
    <t>45/2025 AS</t>
  </si>
  <si>
    <t>FA1652536</t>
  </si>
  <si>
    <t>DK00008412</t>
  </si>
  <si>
    <t>FI25127</t>
  </si>
  <si>
    <t>136/2025 ASNI</t>
  </si>
  <si>
    <t>L342425</t>
  </si>
  <si>
    <t>FI25128</t>
  </si>
  <si>
    <t>AG2118</t>
  </si>
  <si>
    <t>FI25129</t>
  </si>
  <si>
    <t>137/2025 ASNI</t>
  </si>
  <si>
    <t>43/2025 AS</t>
  </si>
  <si>
    <t>DK00008565</t>
  </si>
  <si>
    <t>FI25130</t>
  </si>
  <si>
    <t>AG2173</t>
  </si>
  <si>
    <t>AG2174</t>
  </si>
  <si>
    <t>AG2175</t>
  </si>
  <si>
    <t>DK00008741</t>
  </si>
  <si>
    <t>48/2025 AS</t>
  </si>
  <si>
    <t>EXI252908481</t>
  </si>
  <si>
    <t>EXI252908482</t>
  </si>
  <si>
    <t>VICTUS*JP*</t>
  </si>
  <si>
    <t>47/2025 AS</t>
  </si>
  <si>
    <t>BCI20253211</t>
  </si>
  <si>
    <t>31/2025 J</t>
  </si>
  <si>
    <t>AVC2500661</t>
  </si>
  <si>
    <t>L355925</t>
  </si>
  <si>
    <t>L356025</t>
  </si>
  <si>
    <t>L356125</t>
  </si>
  <si>
    <t>AG2221</t>
  </si>
  <si>
    <t>138/2025 ASNI</t>
  </si>
  <si>
    <t>FI25131</t>
  </si>
  <si>
    <t>140/2025 ASNI</t>
  </si>
  <si>
    <t>FA202509549</t>
  </si>
  <si>
    <t>COMPL 23/2025 J</t>
  </si>
  <si>
    <t>EXI25290881</t>
  </si>
  <si>
    <t>30/2025 J</t>
  </si>
  <si>
    <t>FI25132</t>
  </si>
  <si>
    <t>142/2025 ASNI</t>
  </si>
  <si>
    <t>139/2025 ASNI</t>
  </si>
  <si>
    <t>COMMANDE 21</t>
  </si>
  <si>
    <t>AG2249</t>
  </si>
  <si>
    <t>DK00009430</t>
  </si>
  <si>
    <t>FI25133</t>
  </si>
  <si>
    <t>FI25134</t>
  </si>
  <si>
    <t>141/2025 ASNI</t>
  </si>
  <si>
    <t>FA202509550</t>
  </si>
  <si>
    <t>FI25135</t>
  </si>
  <si>
    <t>FA202509861</t>
  </si>
  <si>
    <t>AG2281</t>
  </si>
  <si>
    <t>AG2282</t>
  </si>
  <si>
    <t>AG2283</t>
  </si>
  <si>
    <t>AG2284</t>
  </si>
  <si>
    <t>46/2025 AS</t>
  </si>
  <si>
    <t>FTA000030374</t>
  </si>
  <si>
    <t>22LFBCB</t>
  </si>
  <si>
    <t>143/2025 ASNI</t>
  </si>
  <si>
    <t>JILPACK</t>
  </si>
  <si>
    <t>JP A +ECHANTILLON</t>
  </si>
  <si>
    <t>JP A+ECHANTILLON</t>
  </si>
  <si>
    <t>DK00010006</t>
  </si>
  <si>
    <t>FI25136</t>
  </si>
  <si>
    <t>FAC2504529</t>
  </si>
  <si>
    <t>FAC1653232</t>
  </si>
  <si>
    <t>3800 AP</t>
  </si>
  <si>
    <t>FAC1653233</t>
  </si>
  <si>
    <t>50/2025 AS</t>
  </si>
  <si>
    <t>49/2025 AS</t>
  </si>
  <si>
    <t>52/2025 AS</t>
  </si>
  <si>
    <t>32/2025 J</t>
  </si>
  <si>
    <t>L385625</t>
  </si>
  <si>
    <t>L385725</t>
  </si>
  <si>
    <t>FTA000030430</t>
  </si>
  <si>
    <t>BCI20253209</t>
  </si>
  <si>
    <t>BCI20253210</t>
  </si>
  <si>
    <t>AG2340</t>
  </si>
  <si>
    <t>33/2025 J</t>
  </si>
  <si>
    <t>L387225</t>
  </si>
  <si>
    <t>144/2025 ASNI</t>
  </si>
  <si>
    <t>51/2025 AS</t>
  </si>
  <si>
    <t>L389225</t>
  </si>
  <si>
    <t>COMPLI 46/2025 AS</t>
  </si>
  <si>
    <t>FA202510122</t>
  </si>
  <si>
    <t>FA202510151</t>
  </si>
  <si>
    <t>EXI252909381</t>
  </si>
  <si>
    <t>ANDALUS</t>
  </si>
  <si>
    <t>EXI252909382</t>
  </si>
  <si>
    <t>145/2025 ASNI</t>
  </si>
  <si>
    <t>L391725</t>
  </si>
  <si>
    <t>L392325</t>
  </si>
  <si>
    <t>FI25137</t>
  </si>
  <si>
    <t>FI25138</t>
  </si>
  <si>
    <t>53/2025 AS</t>
  </si>
  <si>
    <t>54/2025 AS</t>
  </si>
  <si>
    <t>147/2025 ASNI</t>
  </si>
  <si>
    <t>FA1653486</t>
  </si>
  <si>
    <t>FA1653487</t>
  </si>
  <si>
    <t>DK00010690</t>
  </si>
  <si>
    <t>AG2410</t>
  </si>
  <si>
    <t>AG2411</t>
  </si>
  <si>
    <t>FAC2504737</t>
  </si>
  <si>
    <t>L399925</t>
  </si>
  <si>
    <t>L400025</t>
  </si>
  <si>
    <t>FI25139</t>
  </si>
  <si>
    <t>34/2025 J</t>
  </si>
  <si>
    <t>146/2025 ASNI</t>
  </si>
  <si>
    <t>FA1653580</t>
  </si>
  <si>
    <t>3.8 TRAN CVC JA</t>
  </si>
  <si>
    <t>FA202510460</t>
  </si>
  <si>
    <t>COMPL 32/2025 J</t>
  </si>
  <si>
    <t>150/2025 ASNI</t>
  </si>
  <si>
    <t>34/2025 J CMPLI</t>
  </si>
  <si>
    <t>AG2448</t>
  </si>
  <si>
    <t>148/2025 ASNI</t>
  </si>
  <si>
    <t>FAC2504835</t>
  </si>
  <si>
    <t>FA1653637</t>
  </si>
  <si>
    <t>FA202510536</t>
  </si>
  <si>
    <t>AG24700</t>
  </si>
  <si>
    <t>149/2025 ASNI</t>
  </si>
  <si>
    <t>FI25140</t>
  </si>
  <si>
    <t>FI25141</t>
  </si>
  <si>
    <t>AG2481</t>
  </si>
  <si>
    <t>AG25008</t>
  </si>
  <si>
    <t>AG25009</t>
  </si>
  <si>
    <t>L407825</t>
  </si>
  <si>
    <t>FAC2504953</t>
  </si>
  <si>
    <t>U D</t>
  </si>
  <si>
    <t>FAC2504978</t>
  </si>
  <si>
    <t>FI25142</t>
  </si>
  <si>
    <t>151/2025 ASNI</t>
  </si>
  <si>
    <t>151/2025</t>
  </si>
  <si>
    <t>35/2025 J</t>
  </si>
  <si>
    <t>EXI252901012</t>
  </si>
  <si>
    <t>JP+GLO FOOD</t>
  </si>
  <si>
    <t>152/2025 ASNI</t>
  </si>
  <si>
    <t>FI25143</t>
  </si>
  <si>
    <t>L418525</t>
  </si>
  <si>
    <t>FA202510986</t>
  </si>
  <si>
    <t>37/2025 J</t>
  </si>
  <si>
    <t>153/2025 ASNI</t>
  </si>
  <si>
    <t>38/2025 J</t>
  </si>
  <si>
    <t>36/2025 J</t>
  </si>
  <si>
    <t>FI25144</t>
  </si>
  <si>
    <t>FA202511211</t>
  </si>
  <si>
    <t>FA202511213</t>
  </si>
  <si>
    <t>FA202511214</t>
  </si>
  <si>
    <t>COMPLI 35/2025 J</t>
  </si>
  <si>
    <t>FA202511216</t>
  </si>
  <si>
    <t>AG2620</t>
  </si>
  <si>
    <t>AG2621</t>
  </si>
  <si>
    <t>AG2641</t>
  </si>
  <si>
    <t>LOGIFOOD</t>
  </si>
  <si>
    <t>154/2025 ASNI</t>
  </si>
  <si>
    <t>155/2025 ASNI</t>
  </si>
  <si>
    <t>AG2731</t>
  </si>
  <si>
    <t>55/2025 AS</t>
  </si>
  <si>
    <t>FA1654390</t>
  </si>
  <si>
    <t>AG2759</t>
  </si>
  <si>
    <t>156/2025 ASNI</t>
  </si>
  <si>
    <t>157/2025 ASNI</t>
  </si>
  <si>
    <t>158/2025 ASNI</t>
  </si>
  <si>
    <t>L453225</t>
  </si>
  <si>
    <t>EXI252901076</t>
  </si>
  <si>
    <t>AG2806</t>
  </si>
  <si>
    <t>AG2807</t>
  </si>
  <si>
    <t>AG2817</t>
  </si>
  <si>
    <t>01/2026 JTTL</t>
  </si>
  <si>
    <t>FA202600104</t>
  </si>
  <si>
    <t>DK00012689</t>
  </si>
  <si>
    <t>FI26001</t>
  </si>
  <si>
    <t>FI26002</t>
  </si>
  <si>
    <t>FA24280</t>
  </si>
  <si>
    <t>ARMOIRE   JP</t>
  </si>
  <si>
    <t>03/2026 ASNI</t>
  </si>
  <si>
    <t>01/2026 ASNI</t>
  </si>
  <si>
    <t>02/2026 ASNI</t>
  </si>
  <si>
    <t>FA1654608</t>
  </si>
  <si>
    <t>FA1654609</t>
  </si>
  <si>
    <t>FI26003</t>
  </si>
  <si>
    <t>JP AIN SEBAA</t>
  </si>
  <si>
    <t>FA1654648</t>
  </si>
  <si>
    <t>FI26004</t>
  </si>
  <si>
    <t>FI26005</t>
  </si>
  <si>
    <t>FI26006</t>
  </si>
  <si>
    <t>04/2026 ASNI</t>
  </si>
  <si>
    <t>FI26007</t>
  </si>
  <si>
    <t>05/2026 ASNI</t>
  </si>
  <si>
    <t>FI26008</t>
  </si>
  <si>
    <t>06/2026 ASNI</t>
  </si>
  <si>
    <t xml:space="preserve">04/2026 ASNI </t>
  </si>
  <si>
    <t>FA1654653</t>
  </si>
  <si>
    <t>FA1654736</t>
  </si>
  <si>
    <t>18L NOIR</t>
  </si>
  <si>
    <t>FI26009</t>
  </si>
  <si>
    <t>07/2026 ASNI</t>
  </si>
  <si>
    <t>08/2026 ASNI</t>
  </si>
  <si>
    <t>FA1654803</t>
  </si>
  <si>
    <t>AG0092</t>
  </si>
  <si>
    <t>AG0093</t>
  </si>
  <si>
    <t>AG0094</t>
  </si>
  <si>
    <t>AG0096</t>
  </si>
  <si>
    <t>AG0097</t>
  </si>
  <si>
    <t>FI26010</t>
  </si>
  <si>
    <t>AG0095</t>
  </si>
  <si>
    <t>09/2026 ASNI</t>
  </si>
  <si>
    <t>FI26011</t>
  </si>
  <si>
    <t>AG0140</t>
  </si>
  <si>
    <t>AG0145</t>
  </si>
  <si>
    <t>02/2026 JTTL</t>
  </si>
  <si>
    <t>FA1654971</t>
  </si>
  <si>
    <t>FI26012</t>
  </si>
  <si>
    <t>FI26013</t>
  </si>
  <si>
    <t>FI26014</t>
  </si>
  <si>
    <t>AG0181</t>
  </si>
  <si>
    <t>FA202600778</t>
  </si>
  <si>
    <t>10/2026 ASNI</t>
  </si>
  <si>
    <t>11/2026 ASNI</t>
  </si>
  <si>
    <t>03/2026 JTTL</t>
  </si>
  <si>
    <t>FI26015</t>
  </si>
  <si>
    <t>FI26016</t>
  </si>
  <si>
    <t>04/2026 JTTL</t>
  </si>
  <si>
    <t>FA202600917</t>
  </si>
  <si>
    <t>JP  A</t>
  </si>
  <si>
    <t>12/2026 ASNI</t>
  </si>
  <si>
    <t>FI26017</t>
  </si>
  <si>
    <t>FI26018</t>
  </si>
  <si>
    <t>15/2026 ASNI</t>
  </si>
  <si>
    <t>01/2026 ASFOEX</t>
  </si>
  <si>
    <t>13/2026 ASNI</t>
  </si>
  <si>
    <t>14/2026 ASNI</t>
  </si>
  <si>
    <t>16/2026 ASNI</t>
  </si>
  <si>
    <t>FA202601073</t>
  </si>
  <si>
    <t>FI26019</t>
  </si>
  <si>
    <t>FI26020</t>
  </si>
  <si>
    <t>FI26021</t>
  </si>
  <si>
    <t>AG0253</t>
  </si>
  <si>
    <t>AG0254</t>
  </si>
  <si>
    <t>AG0255</t>
  </si>
  <si>
    <t>AG0256</t>
  </si>
  <si>
    <t>L035126</t>
  </si>
  <si>
    <t>FA1655453</t>
  </si>
  <si>
    <t>BC12026518</t>
  </si>
  <si>
    <t xml:space="preserve">JP CASA </t>
  </si>
  <si>
    <t>17/2026 ASNI</t>
  </si>
  <si>
    <t>FA1655482</t>
  </si>
  <si>
    <t>JP+VMM</t>
  </si>
  <si>
    <t>AG0301</t>
  </si>
  <si>
    <t>AG0302</t>
  </si>
  <si>
    <t xml:space="preserve">15/2026 ASNI </t>
  </si>
  <si>
    <t>AG0303</t>
  </si>
  <si>
    <t>AG0311</t>
  </si>
  <si>
    <t>20/2026 ASNI</t>
  </si>
  <si>
    <t xml:space="preserve">19/2026 ASNI </t>
  </si>
  <si>
    <t>22/2026 ASNI</t>
  </si>
  <si>
    <t>21/2026 ASNI</t>
  </si>
  <si>
    <t>FI26022</t>
  </si>
  <si>
    <t>AG0344</t>
  </si>
  <si>
    <t>FA1655712</t>
  </si>
  <si>
    <t>FA1655713</t>
  </si>
  <si>
    <t>FA1655714</t>
  </si>
  <si>
    <t>FI26023</t>
  </si>
  <si>
    <t>FI26024</t>
  </si>
  <si>
    <t>FI26025</t>
  </si>
  <si>
    <t>19/2026 ASNI</t>
  </si>
  <si>
    <t>23/2026 ASNI</t>
  </si>
  <si>
    <t>24/2026 ASNI</t>
  </si>
  <si>
    <t>EXI262901281</t>
  </si>
  <si>
    <t>EXI262901282</t>
  </si>
  <si>
    <t>EXI262901283</t>
  </si>
  <si>
    <t>FI26026</t>
  </si>
  <si>
    <t>FI26027</t>
  </si>
  <si>
    <t>AG0381</t>
  </si>
  <si>
    <t>AG0382</t>
  </si>
  <si>
    <t xml:space="preserve">20/2026 ASNI </t>
  </si>
  <si>
    <t>AG0383</t>
  </si>
  <si>
    <t>AG0384</t>
  </si>
  <si>
    <t>25/2026 ASNI</t>
  </si>
  <si>
    <t>AG0419</t>
  </si>
  <si>
    <t>AG0420</t>
  </si>
  <si>
    <t>AG0437</t>
  </si>
  <si>
    <t>26/2026 ASNI</t>
  </si>
  <si>
    <t>FI26028</t>
  </si>
  <si>
    <t>JP CASA +VMM</t>
  </si>
  <si>
    <t>28/2026 ASNI</t>
  </si>
  <si>
    <t>27/2026 ASNI</t>
  </si>
  <si>
    <t>FI26029</t>
  </si>
  <si>
    <t>FI26030</t>
  </si>
  <si>
    <t>FI26031</t>
  </si>
  <si>
    <t>35/2026 ASNI</t>
  </si>
  <si>
    <t>34/2026 ASNI</t>
  </si>
  <si>
    <t>29/2026 ASNI</t>
  </si>
  <si>
    <t>FI26032</t>
  </si>
  <si>
    <t>FI26033</t>
  </si>
  <si>
    <t>FI26034</t>
  </si>
  <si>
    <t>AG0481</t>
  </si>
  <si>
    <t>AG0482</t>
  </si>
  <si>
    <t>AG0483</t>
  </si>
  <si>
    <t>FI26035</t>
  </si>
  <si>
    <t>33/2026 ASNI</t>
  </si>
  <si>
    <t>FI26036</t>
  </si>
  <si>
    <t>32/2026 ASNI</t>
  </si>
  <si>
    <t>31/2026 ASNI</t>
  </si>
  <si>
    <t>30/2026 ASNI</t>
  </si>
  <si>
    <t>FI26037</t>
  </si>
  <si>
    <t>FI26038</t>
  </si>
  <si>
    <t>BC12026773</t>
  </si>
  <si>
    <t>37/2026 ASNI</t>
  </si>
  <si>
    <t>36/2026 ASNI</t>
  </si>
  <si>
    <t>FA1656151</t>
  </si>
  <si>
    <t>CUMAREX *atuneros</t>
  </si>
  <si>
    <t>AG0517</t>
  </si>
  <si>
    <t>AG0518</t>
  </si>
  <si>
    <t>AG0519</t>
  </si>
  <si>
    <t>AG0520</t>
  </si>
  <si>
    <t xml:space="preserve">33/2026 ASNI </t>
  </si>
  <si>
    <t>AG0521</t>
  </si>
  <si>
    <t>AG0522</t>
  </si>
  <si>
    <t>AG00515</t>
  </si>
  <si>
    <t>FI26039</t>
  </si>
  <si>
    <t>38/2026 ASNI</t>
  </si>
  <si>
    <t>39/2026 ASNI</t>
  </si>
  <si>
    <t xml:space="preserve">JP AIN SEBAA </t>
  </si>
  <si>
    <t>40/2026 ASNI</t>
  </si>
  <si>
    <t>41/2026 ASNI</t>
  </si>
  <si>
    <t>FI26040</t>
  </si>
  <si>
    <t>FI26041</t>
  </si>
  <si>
    <t>FI26042</t>
  </si>
  <si>
    <t>FI26043</t>
  </si>
  <si>
    <t>43/2026 ASNI</t>
  </si>
  <si>
    <t>EXI26290214</t>
  </si>
  <si>
    <t>45/2026 ASNI</t>
  </si>
  <si>
    <t>42/2026 ASNI</t>
  </si>
  <si>
    <t>05/2026 JTTL</t>
  </si>
  <si>
    <t>FA1656368</t>
  </si>
  <si>
    <t>AG0577</t>
  </si>
  <si>
    <t>AG0578</t>
  </si>
  <si>
    <t>AG0579</t>
  </si>
  <si>
    <t>AG0580</t>
  </si>
  <si>
    <t>AG00575</t>
  </si>
  <si>
    <t>AG00576</t>
  </si>
  <si>
    <t>44/2026 ASNI</t>
  </si>
  <si>
    <t>FA1656415</t>
  </si>
  <si>
    <t>FI26044</t>
  </si>
  <si>
    <t>FA202602545</t>
  </si>
  <si>
    <t>AG0629</t>
  </si>
  <si>
    <t>AG0630</t>
  </si>
  <si>
    <t>FI26045</t>
  </si>
  <si>
    <t>FI26046</t>
  </si>
  <si>
    <t>FI26047</t>
  </si>
  <si>
    <t>FI26048</t>
  </si>
  <si>
    <t>AG00670</t>
  </si>
  <si>
    <t>AG00671</t>
  </si>
  <si>
    <t>Saisie variable</t>
  </si>
  <si>
    <t>FCA(Free Carrier)</t>
  </si>
  <si>
    <t>CPT(Carriage Paid To)</t>
  </si>
  <si>
    <t>EXW(Ex Works)</t>
  </si>
  <si>
    <t>CFR(Cost &amp; Freight)</t>
  </si>
  <si>
    <t>Companie</t>
  </si>
  <si>
    <t>Inconterm</t>
  </si>
  <si>
    <t>Routier</t>
  </si>
  <si>
    <t>Routier étranger</t>
  </si>
  <si>
    <t>Étiquettes de lignes</t>
  </si>
  <si>
    <t>(vide)</t>
  </si>
  <si>
    <t>Total général</t>
  </si>
  <si>
    <t>2015</t>
  </si>
  <si>
    <t>Trimestre4</t>
  </si>
  <si>
    <t>nov</t>
  </si>
  <si>
    <t>déc</t>
  </si>
  <si>
    <t>2016</t>
  </si>
  <si>
    <t>2017</t>
  </si>
  <si>
    <t>2018</t>
  </si>
  <si>
    <t>2019</t>
  </si>
  <si>
    <t>2026</t>
  </si>
  <si>
    <t>2300</t>
  </si>
  <si>
    <t>000821</t>
  </si>
  <si>
    <t>000921</t>
  </si>
  <si>
    <t>0010175162</t>
  </si>
  <si>
    <t>001021</t>
  </si>
  <si>
    <t>001121</t>
  </si>
  <si>
    <t>001221</t>
  </si>
  <si>
    <t>001331</t>
  </si>
  <si>
    <t>00146</t>
  </si>
  <si>
    <t>0016</t>
  </si>
  <si>
    <t>002820</t>
  </si>
  <si>
    <t>004899</t>
  </si>
  <si>
    <t>005021</t>
  </si>
  <si>
    <t>005121</t>
  </si>
  <si>
    <t>005221</t>
  </si>
  <si>
    <t>005321</t>
  </si>
  <si>
    <t>005421</t>
  </si>
  <si>
    <t>005517</t>
  </si>
  <si>
    <t>005521</t>
  </si>
  <si>
    <t>005621</t>
  </si>
  <si>
    <t>0057</t>
  </si>
  <si>
    <t>005721</t>
  </si>
  <si>
    <t>005821</t>
  </si>
  <si>
    <t>005822</t>
  </si>
  <si>
    <t>005921</t>
  </si>
  <si>
    <t>006021</t>
  </si>
  <si>
    <t>00611</t>
  </si>
  <si>
    <t>006280</t>
  </si>
  <si>
    <t>006283</t>
  </si>
  <si>
    <t>006533</t>
  </si>
  <si>
    <t>006534</t>
  </si>
  <si>
    <t>00669</t>
  </si>
  <si>
    <t>006842</t>
  </si>
  <si>
    <t>007364</t>
  </si>
  <si>
    <t>008125</t>
  </si>
  <si>
    <t>008455</t>
  </si>
  <si>
    <t>008579</t>
  </si>
  <si>
    <t>009175</t>
  </si>
  <si>
    <t>00994</t>
  </si>
  <si>
    <t>010540</t>
  </si>
  <si>
    <t>011225</t>
  </si>
  <si>
    <t>012021</t>
  </si>
  <si>
    <t>013721</t>
  </si>
  <si>
    <t>013921</t>
  </si>
  <si>
    <t>014021</t>
  </si>
  <si>
    <t>014121</t>
  </si>
  <si>
    <t>014221</t>
  </si>
  <si>
    <t>016020</t>
  </si>
  <si>
    <t>016120</t>
  </si>
  <si>
    <t>016121</t>
  </si>
  <si>
    <t>016220</t>
  </si>
  <si>
    <t>016221</t>
  </si>
  <si>
    <t>016320</t>
  </si>
  <si>
    <t>016321</t>
  </si>
  <si>
    <t>016420</t>
  </si>
  <si>
    <t>016421</t>
  </si>
  <si>
    <t>01814</t>
  </si>
  <si>
    <t>01815</t>
  </si>
  <si>
    <t>018221</t>
  </si>
  <si>
    <t>018321</t>
  </si>
  <si>
    <t>018421</t>
  </si>
  <si>
    <t>01846</t>
  </si>
  <si>
    <t>01867</t>
  </si>
  <si>
    <t>019120</t>
  </si>
  <si>
    <t>019220</t>
  </si>
  <si>
    <t>019320</t>
  </si>
  <si>
    <t>01962021</t>
  </si>
  <si>
    <t>021321</t>
  </si>
  <si>
    <t>021421</t>
  </si>
  <si>
    <t>021521</t>
  </si>
  <si>
    <t>022021</t>
  </si>
  <si>
    <t>022625</t>
  </si>
  <si>
    <t>0229</t>
  </si>
  <si>
    <t>023021</t>
  </si>
  <si>
    <t>023121</t>
  </si>
  <si>
    <t>023221</t>
  </si>
  <si>
    <t>023321</t>
  </si>
  <si>
    <t>02410</t>
  </si>
  <si>
    <t>02432</t>
  </si>
  <si>
    <t>024425</t>
  </si>
  <si>
    <t>027820</t>
  </si>
  <si>
    <t>032021</t>
  </si>
  <si>
    <t>0330</t>
  </si>
  <si>
    <t>0354</t>
  </si>
  <si>
    <t>035725</t>
  </si>
  <si>
    <t>039924</t>
  </si>
  <si>
    <t>040124</t>
  </si>
  <si>
    <t>041122</t>
  </si>
  <si>
    <t>041222</t>
  </si>
  <si>
    <t>042021</t>
  </si>
  <si>
    <t>04556</t>
  </si>
  <si>
    <t>0458</t>
  </si>
  <si>
    <t>0462020</t>
  </si>
  <si>
    <t>048</t>
  </si>
  <si>
    <t>04892</t>
  </si>
  <si>
    <t>052021</t>
  </si>
  <si>
    <t>0522</t>
  </si>
  <si>
    <t>052420</t>
  </si>
  <si>
    <t>052520</t>
  </si>
  <si>
    <t>052620</t>
  </si>
  <si>
    <t>052720</t>
  </si>
  <si>
    <t>052920</t>
  </si>
  <si>
    <t>053020</t>
  </si>
  <si>
    <t>053120</t>
  </si>
  <si>
    <t>053220</t>
  </si>
  <si>
    <t>053320</t>
  </si>
  <si>
    <t>053420</t>
  </si>
  <si>
    <t>053520</t>
  </si>
  <si>
    <t>054075</t>
  </si>
  <si>
    <t>054920</t>
  </si>
  <si>
    <t>056722</t>
  </si>
  <si>
    <t>0572020</t>
  </si>
  <si>
    <t>057220</t>
  </si>
  <si>
    <t>0574</t>
  </si>
  <si>
    <t>058222</t>
  </si>
  <si>
    <t>06156</t>
  </si>
  <si>
    <t>062021</t>
  </si>
  <si>
    <t>0621</t>
  </si>
  <si>
    <t>062220</t>
  </si>
  <si>
    <t>062420</t>
  </si>
  <si>
    <t>06498</t>
  </si>
  <si>
    <t>06504</t>
  </si>
  <si>
    <t>06505</t>
  </si>
  <si>
    <t>06689</t>
  </si>
  <si>
    <t>0669</t>
  </si>
  <si>
    <t>06692</t>
  </si>
  <si>
    <t>067023</t>
  </si>
  <si>
    <t>0672</t>
  </si>
  <si>
    <t>067322</t>
  </si>
  <si>
    <t>067422</t>
  </si>
  <si>
    <t>0709</t>
  </si>
  <si>
    <t>070923</t>
  </si>
  <si>
    <t>071912</t>
  </si>
  <si>
    <t>072021</t>
  </si>
  <si>
    <t>0722</t>
  </si>
  <si>
    <t>0724</t>
  </si>
  <si>
    <t>077622</t>
  </si>
  <si>
    <t>0796</t>
  </si>
  <si>
    <t>08110</t>
  </si>
  <si>
    <t>0820</t>
  </si>
  <si>
    <t>082021</t>
  </si>
  <si>
    <t>082220</t>
  </si>
  <si>
    <t>0823</t>
  </si>
  <si>
    <t>082320</t>
  </si>
  <si>
    <t>082420</t>
  </si>
  <si>
    <t>082520</t>
  </si>
  <si>
    <t>082620</t>
  </si>
  <si>
    <t>082720</t>
  </si>
  <si>
    <t>082820</t>
  </si>
  <si>
    <t>082920</t>
  </si>
  <si>
    <t>083225</t>
  </si>
  <si>
    <t>0855</t>
  </si>
  <si>
    <t>0878</t>
  </si>
  <si>
    <t>09171</t>
  </si>
  <si>
    <t>092021</t>
  </si>
  <si>
    <t>0926</t>
  </si>
  <si>
    <t>093320</t>
  </si>
  <si>
    <t>09337</t>
  </si>
  <si>
    <t>093420</t>
  </si>
  <si>
    <t>0942</t>
  </si>
  <si>
    <t>0954</t>
  </si>
  <si>
    <t>095520</t>
  </si>
  <si>
    <t>095620</t>
  </si>
  <si>
    <t>09793</t>
  </si>
  <si>
    <t>09795</t>
  </si>
  <si>
    <t>0981</t>
  </si>
  <si>
    <t>09916</t>
  </si>
  <si>
    <t>100005879</t>
  </si>
  <si>
    <t>100008333</t>
  </si>
  <si>
    <t>100009738</t>
  </si>
  <si>
    <t>100011374</t>
  </si>
  <si>
    <t>100013009</t>
  </si>
  <si>
    <t>100036762</t>
  </si>
  <si>
    <t>100039726</t>
  </si>
  <si>
    <t>100043629</t>
  </si>
  <si>
    <t>100044680</t>
  </si>
  <si>
    <t>10005</t>
  </si>
  <si>
    <t>100096</t>
  </si>
  <si>
    <t>10030418</t>
  </si>
  <si>
    <t>100331</t>
  </si>
  <si>
    <t>10054</t>
  </si>
  <si>
    <t>100646</t>
  </si>
  <si>
    <t>100860</t>
  </si>
  <si>
    <t>1009</t>
  </si>
  <si>
    <t>10119255</t>
  </si>
  <si>
    <t>10119407</t>
  </si>
  <si>
    <t>10119408</t>
  </si>
  <si>
    <t>10119523</t>
  </si>
  <si>
    <t>10119526</t>
  </si>
  <si>
    <t>10119584</t>
  </si>
  <si>
    <t>10119651</t>
  </si>
  <si>
    <t>10119680</t>
  </si>
  <si>
    <t>10119681</t>
  </si>
  <si>
    <t>10119712</t>
  </si>
  <si>
    <t>10119713</t>
  </si>
  <si>
    <t>10119775</t>
  </si>
  <si>
    <t>10119783</t>
  </si>
  <si>
    <t>10119940</t>
  </si>
  <si>
    <t>10119944</t>
  </si>
  <si>
    <t>10120024</t>
  </si>
  <si>
    <t>10120096</t>
  </si>
  <si>
    <t>10120097</t>
  </si>
  <si>
    <t>10120098</t>
  </si>
  <si>
    <t>10120099</t>
  </si>
  <si>
    <t>10120101</t>
  </si>
  <si>
    <t>10120222</t>
  </si>
  <si>
    <t>10120223</t>
  </si>
  <si>
    <t>10120331</t>
  </si>
  <si>
    <t>10120375</t>
  </si>
  <si>
    <t>10120446</t>
  </si>
  <si>
    <t>10120477</t>
  </si>
  <si>
    <t>10120478</t>
  </si>
  <si>
    <t>10120482</t>
  </si>
  <si>
    <t>10120567</t>
  </si>
  <si>
    <t>10120582</t>
  </si>
  <si>
    <t>10120606</t>
  </si>
  <si>
    <t>10120607</t>
  </si>
  <si>
    <t>10120616</t>
  </si>
  <si>
    <t>10120617</t>
  </si>
  <si>
    <t>10120671</t>
  </si>
  <si>
    <t>10120718</t>
  </si>
  <si>
    <t>10120797</t>
  </si>
  <si>
    <t>10120798</t>
  </si>
  <si>
    <t>10120799</t>
  </si>
  <si>
    <t>10120834</t>
  </si>
  <si>
    <t>10120870</t>
  </si>
  <si>
    <t>10120876</t>
  </si>
  <si>
    <t>10120997</t>
  </si>
  <si>
    <t>10120999</t>
  </si>
  <si>
    <t>10121066</t>
  </si>
  <si>
    <t>10121071</t>
  </si>
  <si>
    <t>10121072</t>
  </si>
  <si>
    <t>10121108</t>
  </si>
  <si>
    <t>10121178</t>
  </si>
  <si>
    <t>10121180</t>
  </si>
  <si>
    <t>10121181</t>
  </si>
  <si>
    <t>10121182</t>
  </si>
  <si>
    <t>10121336</t>
  </si>
  <si>
    <t>10121337</t>
  </si>
  <si>
    <t>10121407</t>
  </si>
  <si>
    <t>10121501</t>
  </si>
  <si>
    <t>10121503</t>
  </si>
  <si>
    <t>10121504</t>
  </si>
  <si>
    <t>10121610</t>
  </si>
  <si>
    <t>10121633</t>
  </si>
  <si>
    <t>10121634</t>
  </si>
  <si>
    <t>10121693</t>
  </si>
  <si>
    <t>10121699</t>
  </si>
  <si>
    <t>10121705</t>
  </si>
  <si>
    <t>10121792</t>
  </si>
  <si>
    <t>10121814</t>
  </si>
  <si>
    <t>10121815</t>
  </si>
  <si>
    <t>10121816</t>
  </si>
  <si>
    <t>10121817</t>
  </si>
  <si>
    <t>10121843</t>
  </si>
  <si>
    <t>10121869</t>
  </si>
  <si>
    <t>10121897</t>
  </si>
  <si>
    <t>10122026</t>
  </si>
  <si>
    <t>10122027</t>
  </si>
  <si>
    <t>10122028</t>
  </si>
  <si>
    <t>10122065</t>
  </si>
  <si>
    <t>10122128</t>
  </si>
  <si>
    <t>10122162</t>
  </si>
  <si>
    <t>10122163</t>
  </si>
  <si>
    <t>10122167</t>
  </si>
  <si>
    <t>10122194</t>
  </si>
  <si>
    <t>10122195</t>
  </si>
  <si>
    <t>10122345</t>
  </si>
  <si>
    <t>10122352</t>
  </si>
  <si>
    <t>10122489</t>
  </si>
  <si>
    <t>10122491</t>
  </si>
  <si>
    <t>10122523</t>
  </si>
  <si>
    <t>10122530</t>
  </si>
  <si>
    <t>10122566</t>
  </si>
  <si>
    <t>10122569</t>
  </si>
  <si>
    <t>10122662</t>
  </si>
  <si>
    <t>10122665</t>
  </si>
  <si>
    <t>10122666</t>
  </si>
  <si>
    <t>10122878</t>
  </si>
  <si>
    <t>10122879</t>
  </si>
  <si>
    <t>10122908</t>
  </si>
  <si>
    <t>10122949</t>
  </si>
  <si>
    <t>10123031</t>
  </si>
  <si>
    <t>10123198</t>
  </si>
  <si>
    <t>10123199</t>
  </si>
  <si>
    <t>10123224</t>
  </si>
  <si>
    <t>10123242</t>
  </si>
  <si>
    <t>10123245</t>
  </si>
  <si>
    <t>10123297</t>
  </si>
  <si>
    <t>10123298</t>
  </si>
  <si>
    <t>10123350</t>
  </si>
  <si>
    <t>10123351</t>
  </si>
  <si>
    <t>10123439</t>
  </si>
  <si>
    <t>10123440</t>
  </si>
  <si>
    <t>10123441</t>
  </si>
  <si>
    <t>10123518</t>
  </si>
  <si>
    <t>10123519</t>
  </si>
  <si>
    <t>10123619</t>
  </si>
  <si>
    <t>10123637</t>
  </si>
  <si>
    <t>10123675</t>
  </si>
  <si>
    <t>10123676</t>
  </si>
  <si>
    <t>10123704</t>
  </si>
  <si>
    <t>10123803</t>
  </si>
  <si>
    <t>10123811</t>
  </si>
  <si>
    <t>10123876</t>
  </si>
  <si>
    <t>10123877</t>
  </si>
  <si>
    <t>10124000</t>
  </si>
  <si>
    <t>10124052</t>
  </si>
  <si>
    <t>10124053</t>
  </si>
  <si>
    <t>10124303</t>
  </si>
  <si>
    <t>10124338</t>
  </si>
  <si>
    <t>10124339</t>
  </si>
  <si>
    <t>10124345</t>
  </si>
  <si>
    <t>10124350</t>
  </si>
  <si>
    <t>10124351</t>
  </si>
  <si>
    <t>10124386</t>
  </si>
  <si>
    <t>10124426</t>
  </si>
  <si>
    <t>10124452</t>
  </si>
  <si>
    <t>10124817</t>
  </si>
  <si>
    <t>10124818</t>
  </si>
  <si>
    <t>10124841</t>
  </si>
  <si>
    <t>10124915</t>
  </si>
  <si>
    <t>10124952</t>
  </si>
  <si>
    <t>10124985</t>
  </si>
  <si>
    <t>10124986</t>
  </si>
  <si>
    <t>10125082</t>
  </si>
  <si>
    <t>10125126</t>
  </si>
  <si>
    <t>10125168</t>
  </si>
  <si>
    <t>10125210</t>
  </si>
  <si>
    <t>10125212</t>
  </si>
  <si>
    <t>10125238</t>
  </si>
  <si>
    <t>10125240</t>
  </si>
  <si>
    <t>10125270</t>
  </si>
  <si>
    <t>10125306</t>
  </si>
  <si>
    <t>10125308</t>
  </si>
  <si>
    <t>10125309</t>
  </si>
  <si>
    <t>10125362</t>
  </si>
  <si>
    <t>10125397</t>
  </si>
  <si>
    <t>10125399</t>
  </si>
  <si>
    <t>10125595</t>
  </si>
  <si>
    <t>10125690</t>
  </si>
  <si>
    <t>10125735</t>
  </si>
  <si>
    <t>10125819</t>
  </si>
  <si>
    <t>10125820</t>
  </si>
  <si>
    <t>10125900</t>
  </si>
  <si>
    <t>10126018</t>
  </si>
  <si>
    <t>10126019</t>
  </si>
  <si>
    <t>10126022</t>
  </si>
  <si>
    <t>10126380</t>
  </si>
  <si>
    <t>10126382</t>
  </si>
  <si>
    <t>10126383</t>
  </si>
  <si>
    <t>10126384</t>
  </si>
  <si>
    <t>10126385</t>
  </si>
  <si>
    <t>10126463</t>
  </si>
  <si>
    <t>10126466</t>
  </si>
  <si>
    <t>10126467</t>
  </si>
  <si>
    <t>10126584</t>
  </si>
  <si>
    <t>10126586</t>
  </si>
  <si>
    <t>10126588</t>
  </si>
  <si>
    <t>10126590</t>
  </si>
  <si>
    <t>10126743</t>
  </si>
  <si>
    <t>10126781</t>
  </si>
  <si>
    <t>10126785</t>
  </si>
  <si>
    <t>10126853</t>
  </si>
  <si>
    <t>10126854</t>
  </si>
  <si>
    <t>10126884</t>
  </si>
  <si>
    <t>10126892</t>
  </si>
  <si>
    <t>10126964</t>
  </si>
  <si>
    <t>10126967</t>
  </si>
  <si>
    <t>10126994</t>
  </si>
  <si>
    <t>10126996</t>
  </si>
  <si>
    <t>10126998</t>
  </si>
  <si>
    <t>10126999</t>
  </si>
  <si>
    <t>10127105</t>
  </si>
  <si>
    <t>10127106</t>
  </si>
  <si>
    <t>10127206</t>
  </si>
  <si>
    <t>10127207</t>
  </si>
  <si>
    <t>10127273</t>
  </si>
  <si>
    <t>10127315</t>
  </si>
  <si>
    <t>10127316</t>
  </si>
  <si>
    <t>10127353</t>
  </si>
  <si>
    <t>10127393</t>
  </si>
  <si>
    <t>10127476</t>
  </si>
  <si>
    <t>10127477</t>
  </si>
  <si>
    <t>10127504</t>
  </si>
  <si>
    <t>10127505</t>
  </si>
  <si>
    <t>10127509</t>
  </si>
  <si>
    <t>10127584</t>
  </si>
  <si>
    <t>10127622</t>
  </si>
  <si>
    <t>10127692</t>
  </si>
  <si>
    <t>10127694</t>
  </si>
  <si>
    <t>10127728</t>
  </si>
  <si>
    <t>10127730</t>
  </si>
  <si>
    <t>10127766</t>
  </si>
  <si>
    <t>10127768</t>
  </si>
  <si>
    <t>10127770</t>
  </si>
  <si>
    <t>10127805</t>
  </si>
  <si>
    <t>10127807</t>
  </si>
  <si>
    <t>10127943</t>
  </si>
  <si>
    <t>10127944</t>
  </si>
  <si>
    <t>10127953</t>
  </si>
  <si>
    <t>10127956</t>
  </si>
  <si>
    <t>10127989</t>
  </si>
  <si>
    <t>10128069</t>
  </si>
  <si>
    <t>10128101</t>
  </si>
  <si>
    <t>10128105</t>
  </si>
  <si>
    <t>10128131</t>
  </si>
  <si>
    <t>10128132</t>
  </si>
  <si>
    <t>10128223</t>
  </si>
  <si>
    <t>10128224</t>
  </si>
  <si>
    <t>10128250</t>
  </si>
  <si>
    <t>10128251</t>
  </si>
  <si>
    <t>10128282</t>
  </si>
  <si>
    <t>10128545</t>
  </si>
  <si>
    <t>10128592</t>
  </si>
  <si>
    <t>10128663</t>
  </si>
  <si>
    <t>10128697</t>
  </si>
  <si>
    <t>10128698</t>
  </si>
  <si>
    <t>10128699</t>
  </si>
  <si>
    <t>10128700</t>
  </si>
  <si>
    <t>10128701</t>
  </si>
  <si>
    <t>10128705</t>
  </si>
  <si>
    <t>10128706</t>
  </si>
  <si>
    <t>10128733</t>
  </si>
  <si>
    <t>10128763</t>
  </si>
  <si>
    <t>10128810</t>
  </si>
  <si>
    <t>10128812</t>
  </si>
  <si>
    <t>10128875</t>
  </si>
  <si>
    <t>10128876</t>
  </si>
  <si>
    <t>10128900</t>
  </si>
  <si>
    <t>10128901</t>
  </si>
  <si>
    <t>10128959</t>
  </si>
  <si>
    <t>10129001</t>
  </si>
  <si>
    <t>10129040</t>
  </si>
  <si>
    <t>10129041</t>
  </si>
  <si>
    <t>10129074</t>
  </si>
  <si>
    <t>10129135</t>
  </si>
  <si>
    <t>10129136</t>
  </si>
  <si>
    <t>10129140</t>
  </si>
  <si>
    <t>10129141</t>
  </si>
  <si>
    <t>10129144</t>
  </si>
  <si>
    <t>10129169</t>
  </si>
  <si>
    <t>10129171</t>
  </si>
  <si>
    <t>10129191</t>
  </si>
  <si>
    <t>10129223</t>
  </si>
  <si>
    <t>10129244</t>
  </si>
  <si>
    <t>10129286</t>
  </si>
  <si>
    <t>10129380</t>
  </si>
  <si>
    <t>10129382</t>
  </si>
  <si>
    <t>10129384</t>
  </si>
  <si>
    <t>10129390</t>
  </si>
  <si>
    <t>10129455</t>
  </si>
  <si>
    <t>10129456</t>
  </si>
  <si>
    <t>10129520</t>
  </si>
  <si>
    <t>10129526</t>
  </si>
  <si>
    <t>10129550</t>
  </si>
  <si>
    <t>10129553</t>
  </si>
  <si>
    <t>10129556</t>
  </si>
  <si>
    <t>10129608</t>
  </si>
  <si>
    <t>10129616</t>
  </si>
  <si>
    <t>10129617</t>
  </si>
  <si>
    <t>10129646</t>
  </si>
  <si>
    <t>10129671</t>
  </si>
  <si>
    <t>10129779</t>
  </si>
  <si>
    <t>10129780</t>
  </si>
  <si>
    <t>10129782</t>
  </si>
  <si>
    <t>10129811</t>
  </si>
  <si>
    <t>10129815</t>
  </si>
  <si>
    <t>10129819</t>
  </si>
  <si>
    <t>10129830</t>
  </si>
  <si>
    <t>10129860</t>
  </si>
  <si>
    <t>10129861</t>
  </si>
  <si>
    <t>10129915</t>
  </si>
  <si>
    <t>10129917</t>
  </si>
  <si>
    <t>10129918</t>
  </si>
  <si>
    <t>10129919</t>
  </si>
  <si>
    <t>10129921</t>
  </si>
  <si>
    <t>10129922</t>
  </si>
  <si>
    <t>10129923</t>
  </si>
  <si>
    <t>10129955</t>
  </si>
  <si>
    <t>10129956</t>
  </si>
  <si>
    <t>10130020</t>
  </si>
  <si>
    <t>10130021</t>
  </si>
  <si>
    <t>10130121</t>
  </si>
  <si>
    <t>10130187</t>
  </si>
  <si>
    <t>10130259</t>
  </si>
  <si>
    <t>10130356</t>
  </si>
  <si>
    <t>10130357</t>
  </si>
  <si>
    <t>10130358</t>
  </si>
  <si>
    <t>10130433</t>
  </si>
  <si>
    <t>10130466</t>
  </si>
  <si>
    <t>10130467</t>
  </si>
  <si>
    <t>10130468</t>
  </si>
  <si>
    <t>10130591</t>
  </si>
  <si>
    <t>10130639</t>
  </si>
  <si>
    <t>10130711</t>
  </si>
  <si>
    <t>10130712</t>
  </si>
  <si>
    <t>10130752</t>
  </si>
  <si>
    <t>10130787</t>
  </si>
  <si>
    <t>10130814</t>
  </si>
  <si>
    <t>10130819</t>
  </si>
  <si>
    <t>10130820</t>
  </si>
  <si>
    <t>10130849</t>
  </si>
  <si>
    <t>10130871</t>
  </si>
  <si>
    <t>10130890</t>
  </si>
  <si>
    <t>10130892</t>
  </si>
  <si>
    <t>10130929</t>
  </si>
  <si>
    <t>10130930</t>
  </si>
  <si>
    <t>10131069</t>
  </si>
  <si>
    <t>10131070</t>
  </si>
  <si>
    <t>10131108</t>
  </si>
  <si>
    <t>10131141</t>
  </si>
  <si>
    <t>10131258</t>
  </si>
  <si>
    <t>10131259</t>
  </si>
  <si>
    <t>10131279</t>
  </si>
  <si>
    <t>10131281</t>
  </si>
  <si>
    <t>10131323</t>
  </si>
  <si>
    <t>10131324</t>
  </si>
  <si>
    <t>10131325</t>
  </si>
  <si>
    <t>10131357</t>
  </si>
  <si>
    <t>10131358</t>
  </si>
  <si>
    <t>10131455</t>
  </si>
  <si>
    <t>10131493</t>
  </si>
  <si>
    <t>10131497</t>
  </si>
  <si>
    <t>10131498</t>
  </si>
  <si>
    <t>10131527</t>
  </si>
  <si>
    <t>10131530</t>
  </si>
  <si>
    <t>10131535</t>
  </si>
  <si>
    <t>10131755</t>
  </si>
  <si>
    <t>10131759</t>
  </si>
  <si>
    <t>10131798</t>
  </si>
  <si>
    <t>10131833</t>
  </si>
  <si>
    <t>10131836</t>
  </si>
  <si>
    <t>10131837</t>
  </si>
  <si>
    <t>10131952</t>
  </si>
  <si>
    <t>10132016</t>
  </si>
  <si>
    <t>10132017</t>
  </si>
  <si>
    <t>10132043</t>
  </si>
  <si>
    <t>10132114</t>
  </si>
  <si>
    <t>10132118</t>
  </si>
  <si>
    <t>10132152</t>
  </si>
  <si>
    <t>10132155</t>
  </si>
  <si>
    <t>10132190</t>
  </si>
  <si>
    <t>10132191</t>
  </si>
  <si>
    <t>10132283</t>
  </si>
  <si>
    <t>10132284</t>
  </si>
  <si>
    <t>10132285</t>
  </si>
  <si>
    <t>10132286</t>
  </si>
  <si>
    <t>10132523</t>
  </si>
  <si>
    <t>10132560</t>
  </si>
  <si>
    <t>10132836</t>
  </si>
  <si>
    <t>10132906</t>
  </si>
  <si>
    <t>10132908</t>
  </si>
  <si>
    <t>10132910</t>
  </si>
  <si>
    <t>10133024</t>
  </si>
  <si>
    <t>10133195</t>
  </si>
  <si>
    <t>10133197</t>
  </si>
  <si>
    <t>10133198</t>
  </si>
  <si>
    <t>10133202</t>
  </si>
  <si>
    <t>10133293</t>
  </si>
  <si>
    <t>10133357</t>
  </si>
  <si>
    <t>10133476</t>
  </si>
  <si>
    <t>10133514</t>
  </si>
  <si>
    <t>10133575</t>
  </si>
  <si>
    <t>10133607</t>
  </si>
  <si>
    <t>10133688</t>
  </si>
  <si>
    <t>10133689</t>
  </si>
  <si>
    <t>10133728</t>
  </si>
  <si>
    <t>10133813</t>
  </si>
  <si>
    <t>10133893</t>
  </si>
  <si>
    <t>10133906</t>
  </si>
  <si>
    <t>1013394</t>
  </si>
  <si>
    <t>10133953</t>
  </si>
  <si>
    <t>10133983</t>
  </si>
  <si>
    <t>10134066</t>
  </si>
  <si>
    <t>10134122</t>
  </si>
  <si>
    <t>10134166</t>
  </si>
  <si>
    <t>10134211</t>
  </si>
  <si>
    <t>10134256</t>
  </si>
  <si>
    <t>10134257</t>
  </si>
  <si>
    <t>10134380</t>
  </si>
  <si>
    <t>10134381</t>
  </si>
  <si>
    <t>10134382</t>
  </si>
  <si>
    <t>10134383</t>
  </si>
  <si>
    <t>10134589</t>
  </si>
  <si>
    <t>10134592</t>
  </si>
  <si>
    <t>10134723</t>
  </si>
  <si>
    <t>10134765</t>
  </si>
  <si>
    <t>10134850</t>
  </si>
  <si>
    <t>10134896</t>
  </si>
  <si>
    <t>10135108</t>
  </si>
  <si>
    <t>10135109</t>
  </si>
  <si>
    <t>10135217</t>
  </si>
  <si>
    <t>10135268</t>
  </si>
  <si>
    <t>10135272</t>
  </si>
  <si>
    <t>10135273</t>
  </si>
  <si>
    <t>10135315</t>
  </si>
  <si>
    <t>10135316</t>
  </si>
  <si>
    <t>10135369</t>
  </si>
  <si>
    <t>10135373</t>
  </si>
  <si>
    <t>10135374</t>
  </si>
  <si>
    <t>10135375</t>
  </si>
  <si>
    <t>10135376</t>
  </si>
  <si>
    <t>10135455</t>
  </si>
  <si>
    <t>10135464</t>
  </si>
  <si>
    <t>10135512</t>
  </si>
  <si>
    <t>10135568</t>
  </si>
  <si>
    <t>10135660</t>
  </si>
  <si>
    <t>10135756</t>
  </si>
  <si>
    <t>10135798</t>
  </si>
  <si>
    <t>10135799</t>
  </si>
  <si>
    <t>10135805</t>
  </si>
  <si>
    <t>10135845</t>
  </si>
  <si>
    <t>10135931</t>
  </si>
  <si>
    <t>10136106</t>
  </si>
  <si>
    <t>10136146</t>
  </si>
  <si>
    <t>10136147</t>
  </si>
  <si>
    <t>10136284</t>
  </si>
  <si>
    <t>10136285</t>
  </si>
  <si>
    <t>10136385</t>
  </si>
  <si>
    <t>10136422</t>
  </si>
  <si>
    <t>10136425</t>
  </si>
  <si>
    <t>10136461</t>
  </si>
  <si>
    <t>10136466</t>
  </si>
  <si>
    <t>10136577</t>
  </si>
  <si>
    <t>10136578</t>
  </si>
  <si>
    <t>10136620</t>
  </si>
  <si>
    <t>10136777</t>
  </si>
  <si>
    <t>10136882</t>
  </si>
  <si>
    <t>10136883</t>
  </si>
  <si>
    <t>10136885</t>
  </si>
  <si>
    <t>10137020</t>
  </si>
  <si>
    <t>10137022</t>
  </si>
  <si>
    <t>10137067</t>
  </si>
  <si>
    <t>10137117</t>
  </si>
  <si>
    <t>10137196</t>
  </si>
  <si>
    <t>10137224</t>
  </si>
  <si>
    <t>10137293</t>
  </si>
  <si>
    <t>10137327</t>
  </si>
  <si>
    <t>10137332</t>
  </si>
  <si>
    <t>10137436</t>
  </si>
  <si>
    <t>10137662</t>
  </si>
  <si>
    <t>10137684</t>
  </si>
  <si>
    <t>10137712</t>
  </si>
  <si>
    <t>10137759</t>
  </si>
  <si>
    <t>10137766</t>
  </si>
  <si>
    <t>10137882</t>
  </si>
  <si>
    <t>10137952</t>
  </si>
  <si>
    <t>10137957</t>
  </si>
  <si>
    <t>10137961</t>
  </si>
  <si>
    <t>10138032</t>
  </si>
  <si>
    <t>10138066</t>
  </si>
  <si>
    <t>10138117</t>
  </si>
  <si>
    <t>10138157</t>
  </si>
  <si>
    <t>10138158</t>
  </si>
  <si>
    <t>10138195</t>
  </si>
  <si>
    <t>10138229</t>
  </si>
  <si>
    <t>10138337</t>
  </si>
  <si>
    <t>10138338</t>
  </si>
  <si>
    <t>10138373</t>
  </si>
  <si>
    <t>10138480</t>
  </si>
  <si>
    <t>10138481</t>
  </si>
  <si>
    <t>10138483</t>
  </si>
  <si>
    <t>10138511</t>
  </si>
  <si>
    <t>10138557</t>
  </si>
  <si>
    <t>10138587</t>
  </si>
  <si>
    <t>10138592</t>
  </si>
  <si>
    <t>10138597</t>
  </si>
  <si>
    <t>10138599</t>
  </si>
  <si>
    <t>10138651</t>
  </si>
  <si>
    <t>10138673</t>
  </si>
  <si>
    <t>10138674</t>
  </si>
  <si>
    <t>10138741</t>
  </si>
  <si>
    <t>10138742</t>
  </si>
  <si>
    <t>10138805</t>
  </si>
  <si>
    <t>10138830</t>
  </si>
  <si>
    <t>10138849</t>
  </si>
  <si>
    <t>10138901</t>
  </si>
  <si>
    <t>10138980</t>
  </si>
  <si>
    <t>10139018</t>
  </si>
  <si>
    <t>10139019</t>
  </si>
  <si>
    <t>10139020</t>
  </si>
  <si>
    <t>10139021</t>
  </si>
  <si>
    <t>10139068</t>
  </si>
  <si>
    <t>10139071</t>
  </si>
  <si>
    <t>10139123</t>
  </si>
  <si>
    <t>10139127</t>
  </si>
  <si>
    <t>10139256</t>
  </si>
  <si>
    <t>10139313</t>
  </si>
  <si>
    <t>10139400</t>
  </si>
  <si>
    <t>10139438</t>
  </si>
  <si>
    <t>10139440</t>
  </si>
  <si>
    <t>10139441</t>
  </si>
  <si>
    <t>10139465</t>
  </si>
  <si>
    <t>10139532</t>
  </si>
  <si>
    <t>10139559</t>
  </si>
  <si>
    <t>10139564</t>
  </si>
  <si>
    <t>10139602</t>
  </si>
  <si>
    <t>10139626</t>
  </si>
  <si>
    <t>10139753</t>
  </si>
  <si>
    <t>10139866</t>
  </si>
  <si>
    <t>10140013</t>
  </si>
  <si>
    <t>10140277</t>
  </si>
  <si>
    <t>10140283</t>
  </si>
  <si>
    <t>10140285</t>
  </si>
  <si>
    <t>10140286</t>
  </si>
  <si>
    <t>10140349</t>
  </si>
  <si>
    <t>10140410</t>
  </si>
  <si>
    <t>10140468</t>
  </si>
  <si>
    <t>10140617</t>
  </si>
  <si>
    <t>10140618</t>
  </si>
  <si>
    <t>10140624</t>
  </si>
  <si>
    <t>10140625</t>
  </si>
  <si>
    <t>10140626</t>
  </si>
  <si>
    <t>10140667</t>
  </si>
  <si>
    <t>101407</t>
  </si>
  <si>
    <t>10140930</t>
  </si>
  <si>
    <t>10140931</t>
  </si>
  <si>
    <t>10140936</t>
  </si>
  <si>
    <t>10140939</t>
  </si>
  <si>
    <t>10140940</t>
  </si>
  <si>
    <t>10140970</t>
  </si>
  <si>
    <t>10140973</t>
  </si>
  <si>
    <t>10141012</t>
  </si>
  <si>
    <t>10141047</t>
  </si>
  <si>
    <t>10141098</t>
  </si>
  <si>
    <t>10141099</t>
  </si>
  <si>
    <t>10141149</t>
  </si>
  <si>
    <t>10141198</t>
  </si>
  <si>
    <t>10141206</t>
  </si>
  <si>
    <t>10141250</t>
  </si>
  <si>
    <t>10141253</t>
  </si>
  <si>
    <t>10141254</t>
  </si>
  <si>
    <t>10141255</t>
  </si>
  <si>
    <t>10141267</t>
  </si>
  <si>
    <t>10141329</t>
  </si>
  <si>
    <t>10141474</t>
  </si>
  <si>
    <t>101415</t>
  </si>
  <si>
    <t>10141532</t>
  </si>
  <si>
    <t>10142059</t>
  </si>
  <si>
    <t>10142101</t>
  </si>
  <si>
    <t>10142135</t>
  </si>
  <si>
    <t>10142211</t>
  </si>
  <si>
    <t>10142248</t>
  </si>
  <si>
    <t>10142249</t>
  </si>
  <si>
    <t>10142344</t>
  </si>
  <si>
    <t>10142380</t>
  </si>
  <si>
    <t>10142486</t>
  </si>
  <si>
    <t>10142562</t>
  </si>
  <si>
    <t>10142563</t>
  </si>
  <si>
    <t>10142592</t>
  </si>
  <si>
    <t>10142593</t>
  </si>
  <si>
    <t>10142598</t>
  </si>
  <si>
    <t>10142599</t>
  </si>
  <si>
    <t>10142629</t>
  </si>
  <si>
    <t>10142634</t>
  </si>
  <si>
    <t>10142726</t>
  </si>
  <si>
    <t>10142731</t>
  </si>
  <si>
    <t>10142768</t>
  </si>
  <si>
    <t>10142861</t>
  </si>
  <si>
    <t>10142905</t>
  </si>
  <si>
    <t>10142906</t>
  </si>
  <si>
    <t>10142907</t>
  </si>
  <si>
    <t>10142910</t>
  </si>
  <si>
    <t>10142947</t>
  </si>
  <si>
    <t>10142995</t>
  </si>
  <si>
    <t>10142998</t>
  </si>
  <si>
    <t>10143112</t>
  </si>
  <si>
    <t>10143113</t>
  </si>
  <si>
    <t>10143118</t>
  </si>
  <si>
    <t>10143192</t>
  </si>
  <si>
    <t>10143354</t>
  </si>
  <si>
    <t>10143355</t>
  </si>
  <si>
    <t>10143360</t>
  </si>
  <si>
    <t>10143361</t>
  </si>
  <si>
    <t>10143509</t>
  </si>
  <si>
    <t>10143510</t>
  </si>
  <si>
    <t>10143562</t>
  </si>
  <si>
    <t>10143608</t>
  </si>
  <si>
    <t>10143609</t>
  </si>
  <si>
    <t>10143686</t>
  </si>
  <si>
    <t>10143689</t>
  </si>
  <si>
    <t>10143734</t>
  </si>
  <si>
    <t>10143736</t>
  </si>
  <si>
    <t>10143772</t>
  </si>
  <si>
    <t>10143816</t>
  </si>
  <si>
    <t>10143911</t>
  </si>
  <si>
    <t>10143921</t>
  </si>
  <si>
    <t>10143922</t>
  </si>
  <si>
    <t>10143956</t>
  </si>
  <si>
    <t>10143959</t>
  </si>
  <si>
    <t>10143960</t>
  </si>
  <si>
    <t>10143963</t>
  </si>
  <si>
    <t>10143998</t>
  </si>
  <si>
    <t>10144000</t>
  </si>
  <si>
    <t>10144043</t>
  </si>
  <si>
    <t>10144134</t>
  </si>
  <si>
    <t>10144135</t>
  </si>
  <si>
    <t>10144186</t>
  </si>
  <si>
    <t>10144297</t>
  </si>
  <si>
    <t>10144299</t>
  </si>
  <si>
    <t>10144301</t>
  </si>
  <si>
    <t>10144352</t>
  </si>
  <si>
    <t>10144354</t>
  </si>
  <si>
    <t>10144355</t>
  </si>
  <si>
    <t>10144356</t>
  </si>
  <si>
    <t>10144357</t>
  </si>
  <si>
    <t>10144392</t>
  </si>
  <si>
    <t>10144399</t>
  </si>
  <si>
    <t>10144400</t>
  </si>
  <si>
    <t>10144441</t>
  </si>
  <si>
    <t>10144442</t>
  </si>
  <si>
    <t>10144443</t>
  </si>
  <si>
    <t>10144484</t>
  </si>
  <si>
    <t>10144486</t>
  </si>
  <si>
    <t>10144520</t>
  </si>
  <si>
    <t>10144522</t>
  </si>
  <si>
    <t>10144523</t>
  </si>
  <si>
    <t>10144564</t>
  </si>
  <si>
    <t>10144565</t>
  </si>
  <si>
    <t>10144568</t>
  </si>
  <si>
    <t>10144570</t>
  </si>
  <si>
    <t>10144573</t>
  </si>
  <si>
    <t>10144621</t>
  </si>
  <si>
    <t>10144622</t>
  </si>
  <si>
    <t>10144671</t>
  </si>
  <si>
    <t>10144672</t>
  </si>
  <si>
    <t>10144673</t>
  </si>
  <si>
    <t>10144674</t>
  </si>
  <si>
    <t>10144676</t>
  </si>
  <si>
    <t>10144721</t>
  </si>
  <si>
    <t>10144728</t>
  </si>
  <si>
    <t>10144763</t>
  </si>
  <si>
    <t>10144838</t>
  </si>
  <si>
    <t>10144873</t>
  </si>
  <si>
    <t>10144874</t>
  </si>
  <si>
    <t>10144875</t>
  </si>
  <si>
    <t>10144881</t>
  </si>
  <si>
    <t>10144917</t>
  </si>
  <si>
    <t>10144952</t>
  </si>
  <si>
    <t>10144989</t>
  </si>
  <si>
    <t>10144991</t>
  </si>
  <si>
    <t>10144993</t>
  </si>
  <si>
    <t>10144994</t>
  </si>
  <si>
    <t>10145025</t>
  </si>
  <si>
    <t>10145026</t>
  </si>
  <si>
    <t>10145074</t>
  </si>
  <si>
    <t>10145108</t>
  </si>
  <si>
    <t>10145109</t>
  </si>
  <si>
    <t>10145110</t>
  </si>
  <si>
    <t>10145152</t>
  </si>
  <si>
    <t>10145159</t>
  </si>
  <si>
    <t>10145226</t>
  </si>
  <si>
    <t>10145227</t>
  </si>
  <si>
    <t>10145255</t>
  </si>
  <si>
    <t>10145271</t>
  </si>
  <si>
    <t>10145294</t>
  </si>
  <si>
    <t>10145295</t>
  </si>
  <si>
    <t>10145296</t>
  </si>
  <si>
    <t>10145327</t>
  </si>
  <si>
    <t>10145328</t>
  </si>
  <si>
    <t>10145572</t>
  </si>
  <si>
    <t>10145574</t>
  </si>
  <si>
    <t>10145579</t>
  </si>
  <si>
    <t>101456</t>
  </si>
  <si>
    <t>10145619</t>
  </si>
  <si>
    <t>10145620</t>
  </si>
  <si>
    <t>10145758</t>
  </si>
  <si>
    <t>10145761</t>
  </si>
  <si>
    <t>10145763</t>
  </si>
  <si>
    <t>10145764</t>
  </si>
  <si>
    <t>10145900</t>
  </si>
  <si>
    <t>10145907</t>
  </si>
  <si>
    <t>10145910</t>
  </si>
  <si>
    <t>10145940</t>
  </si>
  <si>
    <t>10145943</t>
  </si>
  <si>
    <t>10145944</t>
  </si>
  <si>
    <t>10145945</t>
  </si>
  <si>
    <t>10145999</t>
  </si>
  <si>
    <t>10146001</t>
  </si>
  <si>
    <t>10146072</t>
  </si>
  <si>
    <t>10146075</t>
  </si>
  <si>
    <t>10146145</t>
  </si>
  <si>
    <t>10146157</t>
  </si>
  <si>
    <t>10146158</t>
  </si>
  <si>
    <t>10146159</t>
  </si>
  <si>
    <t>10146491</t>
  </si>
  <si>
    <t>10146494</t>
  </si>
  <si>
    <t>10146498</t>
  </si>
  <si>
    <t>10146525</t>
  </si>
  <si>
    <t>10146583</t>
  </si>
  <si>
    <t>10146590</t>
  </si>
  <si>
    <t>10146591</t>
  </si>
  <si>
    <t>10146650</t>
  </si>
  <si>
    <t>10146834</t>
  </si>
  <si>
    <t>10146836</t>
  </si>
  <si>
    <t>10146837</t>
  </si>
  <si>
    <t>10146838</t>
  </si>
  <si>
    <t>10146927</t>
  </si>
  <si>
    <t>10146928</t>
  </si>
  <si>
    <t>10147094</t>
  </si>
  <si>
    <t>10147127</t>
  </si>
  <si>
    <t>10147131</t>
  </si>
  <si>
    <t>10147161</t>
  </si>
  <si>
    <t>10147162</t>
  </si>
  <si>
    <t>10147169</t>
  </si>
  <si>
    <t>10147260</t>
  </si>
  <si>
    <t>10147278</t>
  </si>
  <si>
    <t>10147307</t>
  </si>
  <si>
    <t>10147310</t>
  </si>
  <si>
    <t>10147411</t>
  </si>
  <si>
    <t>10147438</t>
  </si>
  <si>
    <t>10147439</t>
  </si>
  <si>
    <t>10147466</t>
  </si>
  <si>
    <t>10147537</t>
  </si>
  <si>
    <t>10147583</t>
  </si>
  <si>
    <t>10147645</t>
  </si>
  <si>
    <t>10147700</t>
  </si>
  <si>
    <t>10147701</t>
  </si>
  <si>
    <t>10147732</t>
  </si>
  <si>
    <t>10147734</t>
  </si>
  <si>
    <t>10147761</t>
  </si>
  <si>
    <t>10147764</t>
  </si>
  <si>
    <t>10147868</t>
  </si>
  <si>
    <t>10147898</t>
  </si>
  <si>
    <t>10147965</t>
  </si>
  <si>
    <t>10147966</t>
  </si>
  <si>
    <t>10147999</t>
  </si>
  <si>
    <t>10148327</t>
  </si>
  <si>
    <t>10148479</t>
  </si>
  <si>
    <t>10148505</t>
  </si>
  <si>
    <t>10148529</t>
  </si>
  <si>
    <t>10148711</t>
  </si>
  <si>
    <t>10148712</t>
  </si>
  <si>
    <t>10148758</t>
  </si>
  <si>
    <t>10148762</t>
  </si>
  <si>
    <t>10148858</t>
  </si>
  <si>
    <t>10148934</t>
  </si>
  <si>
    <t>10149136</t>
  </si>
  <si>
    <t>10149171</t>
  </si>
  <si>
    <t>10149241</t>
  </si>
  <si>
    <t>10149279</t>
  </si>
  <si>
    <t>10149495</t>
  </si>
  <si>
    <t>10149853</t>
  </si>
  <si>
    <t>10149885</t>
  </si>
  <si>
    <t>10149886</t>
  </si>
  <si>
    <t>10149887</t>
  </si>
  <si>
    <t>10149888</t>
  </si>
  <si>
    <t>10149891</t>
  </si>
  <si>
    <t>10149919</t>
  </si>
  <si>
    <t>10149921</t>
  </si>
  <si>
    <t>10149922</t>
  </si>
  <si>
    <t>10149923</t>
  </si>
  <si>
    <t>10149960</t>
  </si>
  <si>
    <t>10149961</t>
  </si>
  <si>
    <t>10149989</t>
  </si>
  <si>
    <t>10149990</t>
  </si>
  <si>
    <t>10149992</t>
  </si>
  <si>
    <t>10149993</t>
  </si>
  <si>
    <t>10149994</t>
  </si>
  <si>
    <t>10149995</t>
  </si>
  <si>
    <t>10149996</t>
  </si>
  <si>
    <t>10150019</t>
  </si>
  <si>
    <t>10150058</t>
  </si>
  <si>
    <t>10150360</t>
  </si>
  <si>
    <t>10150411</t>
  </si>
  <si>
    <t>10150507</t>
  </si>
  <si>
    <t>10150508</t>
  </si>
  <si>
    <t>10150537</t>
  </si>
  <si>
    <t>10150542</t>
  </si>
  <si>
    <t>10150697</t>
  </si>
  <si>
    <t>10150698</t>
  </si>
  <si>
    <t>10150739</t>
  </si>
  <si>
    <t>10150779</t>
  </si>
  <si>
    <t>10150858</t>
  </si>
  <si>
    <t>10150860</t>
  </si>
  <si>
    <t>10150898</t>
  </si>
  <si>
    <t>10150901</t>
  </si>
  <si>
    <t>10150943</t>
  </si>
  <si>
    <t>10151024</t>
  </si>
  <si>
    <t>10151053</t>
  </si>
  <si>
    <t>10151054</t>
  </si>
  <si>
    <t>10151055</t>
  </si>
  <si>
    <t>10151097</t>
  </si>
  <si>
    <t>10151098</t>
  </si>
  <si>
    <t>10151178</t>
  </si>
  <si>
    <t>10151180</t>
  </si>
  <si>
    <t>10151182</t>
  </si>
  <si>
    <t>10151186</t>
  </si>
  <si>
    <t>10151222</t>
  </si>
  <si>
    <t>10151224</t>
  </si>
  <si>
    <t>10151225</t>
  </si>
  <si>
    <t>10151226</t>
  </si>
  <si>
    <t>10151257</t>
  </si>
  <si>
    <t>10151299</t>
  </si>
  <si>
    <t>10151300</t>
  </si>
  <si>
    <t>10151301</t>
  </si>
  <si>
    <t>10151303</t>
  </si>
  <si>
    <t>10151304</t>
  </si>
  <si>
    <t>10151340</t>
  </si>
  <si>
    <t>10151407</t>
  </si>
  <si>
    <t>10151410</t>
  </si>
  <si>
    <t>10151449</t>
  </si>
  <si>
    <t>10151451</t>
  </si>
  <si>
    <t>10151452</t>
  </si>
  <si>
    <t>10151520</t>
  </si>
  <si>
    <t>10151523</t>
  </si>
  <si>
    <t>10151559</t>
  </si>
  <si>
    <t>10151560</t>
  </si>
  <si>
    <t>10151562</t>
  </si>
  <si>
    <t>10151589</t>
  </si>
  <si>
    <t>10151590</t>
  </si>
  <si>
    <t>10151592</t>
  </si>
  <si>
    <t>10151594</t>
  </si>
  <si>
    <t>10151635</t>
  </si>
  <si>
    <t>10151671</t>
  </si>
  <si>
    <t>10151673</t>
  </si>
  <si>
    <t>10151745</t>
  </si>
  <si>
    <t>10151773</t>
  </si>
  <si>
    <t>10151810</t>
  </si>
  <si>
    <t>10151813</t>
  </si>
  <si>
    <t>10151845</t>
  </si>
  <si>
    <t>10151847</t>
  </si>
  <si>
    <t>10151849</t>
  </si>
  <si>
    <t>10151907</t>
  </si>
  <si>
    <t>10151947</t>
  </si>
  <si>
    <t>10151952</t>
  </si>
  <si>
    <t>10152031</t>
  </si>
  <si>
    <t>10152175</t>
  </si>
  <si>
    <t>10152211</t>
  </si>
  <si>
    <t>10152248</t>
  </si>
  <si>
    <t>10152275</t>
  </si>
  <si>
    <t>10152372</t>
  </si>
  <si>
    <t>10152374</t>
  </si>
  <si>
    <t>10152376</t>
  </si>
  <si>
    <t>10152377</t>
  </si>
  <si>
    <t>10152496</t>
  </si>
  <si>
    <t>10152846</t>
  </si>
  <si>
    <t>10152848</t>
  </si>
  <si>
    <t>10152893</t>
  </si>
  <si>
    <t>10153257</t>
  </si>
  <si>
    <t>10153298</t>
  </si>
  <si>
    <t>10153378</t>
  </si>
  <si>
    <t>10153410</t>
  </si>
  <si>
    <t>10153448</t>
  </si>
  <si>
    <t>10153482</t>
  </si>
  <si>
    <t>10153561</t>
  </si>
  <si>
    <t>10153631</t>
  </si>
  <si>
    <t>10153665</t>
  </si>
  <si>
    <t>10153702</t>
  </si>
  <si>
    <t>10153813</t>
  </si>
  <si>
    <t>10153821</t>
  </si>
  <si>
    <t>10153896</t>
  </si>
  <si>
    <t>10153925</t>
  </si>
  <si>
    <t>10153976</t>
  </si>
  <si>
    <t>10153977</t>
  </si>
  <si>
    <t>10154007</t>
  </si>
  <si>
    <t>10154008</t>
  </si>
  <si>
    <t>10154053</t>
  </si>
  <si>
    <t>10154090</t>
  </si>
  <si>
    <t>10154150</t>
  </si>
  <si>
    <t>10154256</t>
  </si>
  <si>
    <t>10154259</t>
  </si>
  <si>
    <t>10154292</t>
  </si>
  <si>
    <t>10154293</t>
  </si>
  <si>
    <t>10154344</t>
  </si>
  <si>
    <t>10154345</t>
  </si>
  <si>
    <t>10154499</t>
  </si>
  <si>
    <t>10154584</t>
  </si>
  <si>
    <t>10154685</t>
  </si>
  <si>
    <t>10154709</t>
  </si>
  <si>
    <t>10154822</t>
  </si>
  <si>
    <t>10154858</t>
  </si>
  <si>
    <t>10155712</t>
  </si>
  <si>
    <t>10155742</t>
  </si>
  <si>
    <t>10155743</t>
  </si>
  <si>
    <t>10155773</t>
  </si>
  <si>
    <t>10155801</t>
  </si>
  <si>
    <t>10155803</t>
  </si>
  <si>
    <t>10155804</t>
  </si>
  <si>
    <t>10156404</t>
  </si>
  <si>
    <t>10156405</t>
  </si>
  <si>
    <t>10156500</t>
  </si>
  <si>
    <t>10156507</t>
  </si>
  <si>
    <t>10156534</t>
  </si>
  <si>
    <t>10156687</t>
  </si>
  <si>
    <t>10156688</t>
  </si>
  <si>
    <t>10156714</t>
  </si>
  <si>
    <t>10156935</t>
  </si>
  <si>
    <t>10157012</t>
  </si>
  <si>
    <t>10157013</t>
  </si>
  <si>
    <t>10157081</t>
  </si>
  <si>
    <t>10157108</t>
  </si>
  <si>
    <t>10157109</t>
  </si>
  <si>
    <t>10157297</t>
  </si>
  <si>
    <t>10157298</t>
  </si>
  <si>
    <t>10157306</t>
  </si>
  <si>
    <t>10157576</t>
  </si>
  <si>
    <t>10157579</t>
  </si>
  <si>
    <t>10157799</t>
  </si>
  <si>
    <t>10157822</t>
  </si>
  <si>
    <t>10158244</t>
  </si>
  <si>
    <t>10158308</t>
  </si>
  <si>
    <t>10158316</t>
  </si>
  <si>
    <t>10158385</t>
  </si>
  <si>
    <t>10158387</t>
  </si>
  <si>
    <t>10158523</t>
  </si>
  <si>
    <t>10158563</t>
  </si>
  <si>
    <t>10158564</t>
  </si>
  <si>
    <t>10158959</t>
  </si>
  <si>
    <t>10159204</t>
  </si>
  <si>
    <t>10159248</t>
  </si>
  <si>
    <t>10159263</t>
  </si>
  <si>
    <t>10159432</t>
  </si>
  <si>
    <t>10159567</t>
  </si>
  <si>
    <t>10159625</t>
  </si>
  <si>
    <t>10159657</t>
  </si>
  <si>
    <t>10159658</t>
  </si>
  <si>
    <t>10159703</t>
  </si>
  <si>
    <t>10159735</t>
  </si>
  <si>
    <t>10159757</t>
  </si>
  <si>
    <t>10159940</t>
  </si>
  <si>
    <t>10159985</t>
  </si>
  <si>
    <t>10159986</t>
  </si>
  <si>
    <t>10159993</t>
  </si>
  <si>
    <t>10160070</t>
  </si>
  <si>
    <t>10160072</t>
  </si>
  <si>
    <t>10160144</t>
  </si>
  <si>
    <t>10160233</t>
  </si>
  <si>
    <t>10160392</t>
  </si>
  <si>
    <t>10160398</t>
  </si>
  <si>
    <t>10160479</t>
  </si>
  <si>
    <t>10160789</t>
  </si>
  <si>
    <t>10160790</t>
  </si>
  <si>
    <t>10160823</t>
  </si>
  <si>
    <t>10160861</t>
  </si>
  <si>
    <t>10161161</t>
  </si>
  <si>
    <t>10161162</t>
  </si>
  <si>
    <t>10161307</t>
  </si>
  <si>
    <t>10161475</t>
  </si>
  <si>
    <t>10161515</t>
  </si>
  <si>
    <t>10161516</t>
  </si>
  <si>
    <t>10161559</t>
  </si>
  <si>
    <t>10161561</t>
  </si>
  <si>
    <t>10161876</t>
  </si>
  <si>
    <t>10161972</t>
  </si>
  <si>
    <t>10162132</t>
  </si>
  <si>
    <t>10162145</t>
  </si>
  <si>
    <t>10162192</t>
  </si>
  <si>
    <t>10162201</t>
  </si>
  <si>
    <t>10162349</t>
  </si>
  <si>
    <t>10162351</t>
  </si>
  <si>
    <t>10162397</t>
  </si>
  <si>
    <t>10162398</t>
  </si>
  <si>
    <t>10162445</t>
  </si>
  <si>
    <t>10162481</t>
  </si>
  <si>
    <t>10162601</t>
  </si>
  <si>
    <t>10163218</t>
  </si>
  <si>
    <t>10163285</t>
  </si>
  <si>
    <t>10163286</t>
  </si>
  <si>
    <t>10163512</t>
  </si>
  <si>
    <t>10163785</t>
  </si>
  <si>
    <t>10163786</t>
  </si>
  <si>
    <t>10163895</t>
  </si>
  <si>
    <t>10163896</t>
  </si>
  <si>
    <t>10164151</t>
  </si>
  <si>
    <t>10164152</t>
  </si>
  <si>
    <t>10164199</t>
  </si>
  <si>
    <t>10164443</t>
  </si>
  <si>
    <t>10164444</t>
  </si>
  <si>
    <t>10164485</t>
  </si>
  <si>
    <t>10164617</t>
  </si>
  <si>
    <t>10164930</t>
  </si>
  <si>
    <t>10165021</t>
  </si>
  <si>
    <t>10165539</t>
  </si>
  <si>
    <t>10165591</t>
  </si>
  <si>
    <t>10166468</t>
  </si>
  <si>
    <t>10167183</t>
  </si>
  <si>
    <t>10167239</t>
  </si>
  <si>
    <t>10167783</t>
  </si>
  <si>
    <t>10167976</t>
  </si>
  <si>
    <t>10167982</t>
  </si>
  <si>
    <t>10167984</t>
  </si>
  <si>
    <t>10168010</t>
  </si>
  <si>
    <t>10168080</t>
  </si>
  <si>
    <t>10168084</t>
  </si>
  <si>
    <t>10168086</t>
  </si>
  <si>
    <t>10168087</t>
  </si>
  <si>
    <t>10168127</t>
  </si>
  <si>
    <t>10168219</t>
  </si>
  <si>
    <t>10168858</t>
  </si>
  <si>
    <t>10168897</t>
  </si>
  <si>
    <t>10168930</t>
  </si>
  <si>
    <t>10168965</t>
  </si>
  <si>
    <t>10168966</t>
  </si>
  <si>
    <t>10169043</t>
  </si>
  <si>
    <t>10169046</t>
  </si>
  <si>
    <t>10169497</t>
  </si>
  <si>
    <t>10169579</t>
  </si>
  <si>
    <t>10169581</t>
  </si>
  <si>
    <t>10169638</t>
  </si>
  <si>
    <t>10169676</t>
  </si>
  <si>
    <t>10169705</t>
  </si>
  <si>
    <t>10169707</t>
  </si>
  <si>
    <t>10169884</t>
  </si>
  <si>
    <t>10169920</t>
  </si>
  <si>
    <t>10170036</t>
  </si>
  <si>
    <t>10170037</t>
  </si>
  <si>
    <t>10170333</t>
  </si>
  <si>
    <t>10170375</t>
  </si>
  <si>
    <t>10170430</t>
  </si>
  <si>
    <t>10170835</t>
  </si>
  <si>
    <t>10170915</t>
  </si>
  <si>
    <t>10170966</t>
  </si>
  <si>
    <t>10171303</t>
  </si>
  <si>
    <t>10171405</t>
  </si>
  <si>
    <t>10171440</t>
  </si>
  <si>
    <t>10171544</t>
  </si>
  <si>
    <t>10171578</t>
  </si>
  <si>
    <t>10171657</t>
  </si>
  <si>
    <t>10172163</t>
  </si>
  <si>
    <t>10172260</t>
  </si>
  <si>
    <t>10172278</t>
  </si>
  <si>
    <t>10172415</t>
  </si>
  <si>
    <t>10172418</t>
  </si>
  <si>
    <t>10173405</t>
  </si>
  <si>
    <t>10173955</t>
  </si>
  <si>
    <t>10173956</t>
  </si>
  <si>
    <t>10174477</t>
  </si>
  <si>
    <t>10175191</t>
  </si>
  <si>
    <t>101841</t>
  </si>
  <si>
    <t>1020</t>
  </si>
  <si>
    <t>102023</t>
  </si>
  <si>
    <t>102672</t>
  </si>
  <si>
    <t>10332</t>
  </si>
  <si>
    <t>103726</t>
  </si>
  <si>
    <t>104090</t>
  </si>
  <si>
    <t>104158</t>
  </si>
  <si>
    <t>1042021</t>
  </si>
  <si>
    <t>10424</t>
  </si>
  <si>
    <t>10478</t>
  </si>
  <si>
    <t>1048</t>
  </si>
  <si>
    <t>10521</t>
  </si>
  <si>
    <t>10530</t>
  </si>
  <si>
    <t>10531</t>
  </si>
  <si>
    <t>105415</t>
  </si>
  <si>
    <t>10558</t>
  </si>
  <si>
    <t>1059</t>
  </si>
  <si>
    <t>106804</t>
  </si>
  <si>
    <t>10821</t>
  </si>
  <si>
    <t>108421</t>
  </si>
  <si>
    <t>108620</t>
  </si>
  <si>
    <t>108720</t>
  </si>
  <si>
    <t>108820</t>
  </si>
  <si>
    <t>108920</t>
  </si>
  <si>
    <t>108921</t>
  </si>
  <si>
    <t>109021</t>
  </si>
  <si>
    <t>1092021</t>
  </si>
  <si>
    <t>10921</t>
  </si>
  <si>
    <t>109221</t>
  </si>
  <si>
    <t>109320</t>
  </si>
  <si>
    <t>109412</t>
  </si>
  <si>
    <t>109521</t>
  </si>
  <si>
    <t>10959</t>
  </si>
  <si>
    <t>10968</t>
  </si>
  <si>
    <t>109747</t>
  </si>
  <si>
    <t>109821</t>
  </si>
  <si>
    <t>109921</t>
  </si>
  <si>
    <t>10995</t>
  </si>
  <si>
    <t>110021</t>
  </si>
  <si>
    <t>11007</t>
  </si>
  <si>
    <t>11008</t>
  </si>
  <si>
    <t>11014</t>
  </si>
  <si>
    <t>1102021</t>
  </si>
  <si>
    <t>11021</t>
  </si>
  <si>
    <t>110221</t>
  </si>
  <si>
    <t>11026</t>
  </si>
  <si>
    <t>110321</t>
  </si>
  <si>
    <t>11038</t>
  </si>
  <si>
    <t>11054</t>
  </si>
  <si>
    <t>110624</t>
  </si>
  <si>
    <t>110721</t>
  </si>
  <si>
    <t>110724</t>
  </si>
  <si>
    <t>1108</t>
  </si>
  <si>
    <t>11121</t>
  </si>
  <si>
    <t>1113</t>
  </si>
  <si>
    <t>11167</t>
  </si>
  <si>
    <t>111945</t>
  </si>
  <si>
    <t>112021</t>
  </si>
  <si>
    <t>11221</t>
  </si>
  <si>
    <t>114341</t>
  </si>
  <si>
    <t>114777</t>
  </si>
  <si>
    <t>115318</t>
  </si>
  <si>
    <t>11540</t>
  </si>
  <si>
    <t>11542</t>
  </si>
  <si>
    <t>115940</t>
  </si>
  <si>
    <t>116378</t>
  </si>
  <si>
    <t>11681</t>
  </si>
  <si>
    <t>117061</t>
  </si>
  <si>
    <t>1172021</t>
  </si>
  <si>
    <t>11759</t>
  </si>
  <si>
    <t>117776</t>
  </si>
  <si>
    <t>117830</t>
  </si>
  <si>
    <t>11834</t>
  </si>
  <si>
    <t>118378</t>
  </si>
  <si>
    <t>11852</t>
  </si>
  <si>
    <t>118956</t>
  </si>
  <si>
    <t>11968</t>
  </si>
  <si>
    <t>12021</t>
  </si>
  <si>
    <t>120310002</t>
  </si>
  <si>
    <t>120310009</t>
  </si>
  <si>
    <t>120310029</t>
  </si>
  <si>
    <t>120310030</t>
  </si>
  <si>
    <t>120310067</t>
  </si>
  <si>
    <t>120310068</t>
  </si>
  <si>
    <t>120310078</t>
  </si>
  <si>
    <t>120310127</t>
  </si>
  <si>
    <t>120310135</t>
  </si>
  <si>
    <t>120310196</t>
  </si>
  <si>
    <t>120310266</t>
  </si>
  <si>
    <t>120310293</t>
  </si>
  <si>
    <t>120310383</t>
  </si>
  <si>
    <t>120310453</t>
  </si>
  <si>
    <t>120310496</t>
  </si>
  <si>
    <t>120310542</t>
  </si>
  <si>
    <t>12031058</t>
  </si>
  <si>
    <t>120310580</t>
  </si>
  <si>
    <t>120310625</t>
  </si>
  <si>
    <t>120310726</t>
  </si>
  <si>
    <t>120310731</t>
  </si>
  <si>
    <t>120310779</t>
  </si>
  <si>
    <t>120310786</t>
  </si>
  <si>
    <t>120310787</t>
  </si>
  <si>
    <t>120310886</t>
  </si>
  <si>
    <t>120311036</t>
  </si>
  <si>
    <t>1205</t>
  </si>
  <si>
    <t>12078</t>
  </si>
  <si>
    <t>121122</t>
  </si>
  <si>
    <t>121310029</t>
  </si>
  <si>
    <t>121310215</t>
  </si>
  <si>
    <t>121310235</t>
  </si>
  <si>
    <t>121310303</t>
  </si>
  <si>
    <t>121310354</t>
  </si>
  <si>
    <t>121310391</t>
  </si>
  <si>
    <t>121310783</t>
  </si>
  <si>
    <t>121310989</t>
  </si>
  <si>
    <t>12132</t>
  </si>
  <si>
    <t>121422</t>
  </si>
  <si>
    <t>121522</t>
  </si>
  <si>
    <t>122021</t>
  </si>
  <si>
    <t>122310022</t>
  </si>
  <si>
    <t>122310026</t>
  </si>
  <si>
    <t>122310062</t>
  </si>
  <si>
    <t>122310586</t>
  </si>
  <si>
    <t>122310619</t>
  </si>
  <si>
    <t>122310638</t>
  </si>
  <si>
    <t>122310670</t>
  </si>
  <si>
    <t>122310800</t>
  </si>
  <si>
    <t>122310890</t>
  </si>
  <si>
    <t>122310948</t>
  </si>
  <si>
    <t>12275</t>
  </si>
  <si>
    <t>123</t>
  </si>
  <si>
    <t>123310021</t>
  </si>
  <si>
    <t>123310024</t>
  </si>
  <si>
    <t>123310080</t>
  </si>
  <si>
    <t>123310131</t>
  </si>
  <si>
    <t>123310337</t>
  </si>
  <si>
    <t>12388</t>
  </si>
  <si>
    <t>12539</t>
  </si>
  <si>
    <t>1264819563</t>
  </si>
  <si>
    <t>1275</t>
  </si>
  <si>
    <t>127920</t>
  </si>
  <si>
    <t>128038</t>
  </si>
  <si>
    <t>128320</t>
  </si>
  <si>
    <t>128420</t>
  </si>
  <si>
    <t>128520</t>
  </si>
  <si>
    <t>128620</t>
  </si>
  <si>
    <t>128720</t>
  </si>
  <si>
    <t>12910</t>
  </si>
  <si>
    <t>12920</t>
  </si>
  <si>
    <t>12932</t>
  </si>
  <si>
    <t>12978</t>
  </si>
  <si>
    <t>1306</t>
  </si>
  <si>
    <t>13113</t>
  </si>
  <si>
    <t>13129</t>
  </si>
  <si>
    <t>132021</t>
  </si>
  <si>
    <t>132052</t>
  </si>
  <si>
    <t>1322</t>
  </si>
  <si>
    <t>13227</t>
  </si>
  <si>
    <t>13321</t>
  </si>
  <si>
    <t>13349</t>
  </si>
  <si>
    <t>13382</t>
  </si>
  <si>
    <t>13450</t>
  </si>
  <si>
    <t>13624</t>
  </si>
  <si>
    <t>13625</t>
  </si>
  <si>
    <t>13626</t>
  </si>
  <si>
    <t>137123</t>
  </si>
  <si>
    <t>13720</t>
  </si>
  <si>
    <t>1375</t>
  </si>
  <si>
    <t>13816</t>
  </si>
  <si>
    <t>13821</t>
  </si>
  <si>
    <t>13830</t>
  </si>
  <si>
    <t>138423</t>
  </si>
  <si>
    <t>1389</t>
  </si>
  <si>
    <t>1395</t>
  </si>
  <si>
    <t>13953</t>
  </si>
  <si>
    <t>14062</t>
  </si>
  <si>
    <t>14172</t>
  </si>
  <si>
    <t>142021</t>
  </si>
  <si>
    <t>14226</t>
  </si>
  <si>
    <t>14238</t>
  </si>
  <si>
    <t>142422</t>
  </si>
  <si>
    <t>14251</t>
  </si>
  <si>
    <t>14255</t>
  </si>
  <si>
    <t>14256</t>
  </si>
  <si>
    <t>14293</t>
  </si>
  <si>
    <t>143269</t>
  </si>
  <si>
    <t>14340</t>
  </si>
  <si>
    <t>143419</t>
  </si>
  <si>
    <t>14359</t>
  </si>
  <si>
    <t>1436</t>
  </si>
  <si>
    <t>14435</t>
  </si>
  <si>
    <t>144436</t>
  </si>
  <si>
    <t>14455</t>
  </si>
  <si>
    <t>14481</t>
  </si>
  <si>
    <t>14495</t>
  </si>
  <si>
    <t>14587</t>
  </si>
  <si>
    <t>14606</t>
  </si>
  <si>
    <t>14634</t>
  </si>
  <si>
    <t>14663</t>
  </si>
  <si>
    <t>14676</t>
  </si>
  <si>
    <t>14706</t>
  </si>
  <si>
    <t>1472</t>
  </si>
  <si>
    <t>14762</t>
  </si>
  <si>
    <t>14767</t>
  </si>
  <si>
    <t>148120</t>
  </si>
  <si>
    <t>148220</t>
  </si>
  <si>
    <t>14868</t>
  </si>
  <si>
    <t>14869</t>
  </si>
  <si>
    <t>14894</t>
  </si>
  <si>
    <t>149593</t>
  </si>
  <si>
    <t>14972</t>
  </si>
  <si>
    <t>149820</t>
  </si>
  <si>
    <t>149920</t>
  </si>
  <si>
    <t>1500003438</t>
  </si>
  <si>
    <t>1500003585</t>
  </si>
  <si>
    <t>150020</t>
  </si>
  <si>
    <t>150120</t>
  </si>
  <si>
    <t>150121</t>
  </si>
  <si>
    <t>150220</t>
  </si>
  <si>
    <t>150221</t>
  </si>
  <si>
    <t>150320</t>
  </si>
  <si>
    <t>150321</t>
  </si>
  <si>
    <t>15037</t>
  </si>
  <si>
    <t>150420</t>
  </si>
  <si>
    <t>150421</t>
  </si>
  <si>
    <t>150521</t>
  </si>
  <si>
    <t>150621</t>
  </si>
  <si>
    <t>150721</t>
  </si>
  <si>
    <t>150821</t>
  </si>
  <si>
    <t>150921</t>
  </si>
  <si>
    <t>151021</t>
  </si>
  <si>
    <t>151121</t>
  </si>
  <si>
    <t>15122</t>
  </si>
  <si>
    <t>151221</t>
  </si>
  <si>
    <t>151421</t>
  </si>
  <si>
    <t>15144</t>
  </si>
  <si>
    <t>151521</t>
  </si>
  <si>
    <t>151621</t>
  </si>
  <si>
    <t>152021</t>
  </si>
  <si>
    <t>15203</t>
  </si>
  <si>
    <t>1525</t>
  </si>
  <si>
    <t>15292</t>
  </si>
  <si>
    <t>153121</t>
  </si>
  <si>
    <t>15348</t>
  </si>
  <si>
    <t>15392</t>
  </si>
  <si>
    <t>15405</t>
  </si>
  <si>
    <t>154324</t>
  </si>
  <si>
    <t>15556</t>
  </si>
  <si>
    <t>15598</t>
  </si>
  <si>
    <t>15612</t>
  </si>
  <si>
    <t>1563</t>
  </si>
  <si>
    <t>15640</t>
  </si>
  <si>
    <t>156627</t>
  </si>
  <si>
    <t>15721</t>
  </si>
  <si>
    <t>15737</t>
  </si>
  <si>
    <t>157491</t>
  </si>
  <si>
    <t>15770</t>
  </si>
  <si>
    <t>15855</t>
  </si>
  <si>
    <t>15858</t>
  </si>
  <si>
    <t>15889</t>
  </si>
  <si>
    <t>1589</t>
  </si>
  <si>
    <t>159018</t>
  </si>
  <si>
    <t>1597</t>
  </si>
  <si>
    <t>159924</t>
  </si>
  <si>
    <t>16016</t>
  </si>
  <si>
    <t>160222189</t>
  </si>
  <si>
    <t>160222604</t>
  </si>
  <si>
    <t>160222717</t>
  </si>
  <si>
    <t>160305085</t>
  </si>
  <si>
    <t>160422</t>
  </si>
  <si>
    <t>160522</t>
  </si>
  <si>
    <t>1606</t>
  </si>
  <si>
    <t>160657</t>
  </si>
  <si>
    <t>1613105</t>
  </si>
  <si>
    <t>161924</t>
  </si>
  <si>
    <t>16195</t>
  </si>
  <si>
    <t>162021</t>
  </si>
  <si>
    <t>16304</t>
  </si>
  <si>
    <t>16319</t>
  </si>
  <si>
    <t>16347</t>
  </si>
  <si>
    <t>164020</t>
  </si>
  <si>
    <t>164120</t>
  </si>
  <si>
    <t>164145</t>
  </si>
  <si>
    <t>164220</t>
  </si>
  <si>
    <t>164320</t>
  </si>
  <si>
    <t>164420</t>
  </si>
  <si>
    <t>16472</t>
  </si>
  <si>
    <t>164720</t>
  </si>
  <si>
    <t>16477</t>
  </si>
  <si>
    <t>165963</t>
  </si>
  <si>
    <t>166022</t>
  </si>
  <si>
    <t>16673</t>
  </si>
  <si>
    <t>166920</t>
  </si>
  <si>
    <t>167020</t>
  </si>
  <si>
    <t>168220</t>
  </si>
  <si>
    <t>16835</t>
  </si>
  <si>
    <t>168421</t>
  </si>
  <si>
    <t>168520</t>
  </si>
  <si>
    <t>168521</t>
  </si>
  <si>
    <t>168620</t>
  </si>
  <si>
    <t>168621</t>
  </si>
  <si>
    <t>168623</t>
  </si>
  <si>
    <t>168720</t>
  </si>
  <si>
    <t>16989</t>
  </si>
  <si>
    <t>169921</t>
  </si>
  <si>
    <t>17082</t>
  </si>
  <si>
    <t>17092</t>
  </si>
  <si>
    <t>17121</t>
  </si>
  <si>
    <t>17128</t>
  </si>
  <si>
    <t>17137</t>
  </si>
  <si>
    <t>171509</t>
  </si>
  <si>
    <t>17158</t>
  </si>
  <si>
    <t>17163</t>
  </si>
  <si>
    <t>17173</t>
  </si>
  <si>
    <t>172021</t>
  </si>
  <si>
    <t>17231</t>
  </si>
  <si>
    <t>17258</t>
  </si>
  <si>
    <t>17263</t>
  </si>
  <si>
    <t>172742</t>
  </si>
  <si>
    <t>1727422</t>
  </si>
  <si>
    <t>17356</t>
  </si>
  <si>
    <t>17365</t>
  </si>
  <si>
    <t>17378</t>
  </si>
  <si>
    <t>17424</t>
  </si>
  <si>
    <t>17441</t>
  </si>
  <si>
    <t>17475</t>
  </si>
  <si>
    <t>175044</t>
  </si>
  <si>
    <t>17579</t>
  </si>
  <si>
    <t>17645</t>
  </si>
  <si>
    <t>17728</t>
  </si>
  <si>
    <t>17741</t>
  </si>
  <si>
    <t>17746</t>
  </si>
  <si>
    <t>17759</t>
  </si>
  <si>
    <t>17784</t>
  </si>
  <si>
    <t>17785</t>
  </si>
  <si>
    <t>17831</t>
  </si>
  <si>
    <t>17879</t>
  </si>
  <si>
    <t>179</t>
  </si>
  <si>
    <t>17906</t>
  </si>
  <si>
    <t>179224</t>
  </si>
  <si>
    <t>179324</t>
  </si>
  <si>
    <t>17941</t>
  </si>
  <si>
    <t>179820</t>
  </si>
  <si>
    <t>18052</t>
  </si>
  <si>
    <t>18059</t>
  </si>
  <si>
    <t>18106</t>
  </si>
  <si>
    <t>18137</t>
  </si>
  <si>
    <t>1814</t>
  </si>
  <si>
    <t>18143</t>
  </si>
  <si>
    <t>18162</t>
  </si>
  <si>
    <t>181823</t>
  </si>
  <si>
    <t>181923</t>
  </si>
  <si>
    <t>182023</t>
  </si>
  <si>
    <t>182123</t>
  </si>
  <si>
    <t>18231</t>
  </si>
  <si>
    <t>18249</t>
  </si>
  <si>
    <t>18305</t>
  </si>
  <si>
    <t>183177</t>
  </si>
  <si>
    <t>18353</t>
  </si>
  <si>
    <t>18377</t>
  </si>
  <si>
    <t>183922</t>
  </si>
  <si>
    <t>184079</t>
  </si>
  <si>
    <t>184083</t>
  </si>
  <si>
    <t>184420</t>
  </si>
  <si>
    <t>184520</t>
  </si>
  <si>
    <t>184620</t>
  </si>
  <si>
    <t>18463</t>
  </si>
  <si>
    <t>18468</t>
  </si>
  <si>
    <t>18487</t>
  </si>
  <si>
    <t>18535</t>
  </si>
  <si>
    <t>18560</t>
  </si>
  <si>
    <t>18662</t>
  </si>
  <si>
    <t>1869</t>
  </si>
  <si>
    <t>18690</t>
  </si>
  <si>
    <t>18707</t>
  </si>
  <si>
    <t>18724</t>
  </si>
  <si>
    <t>18776</t>
  </si>
  <si>
    <t>18829</t>
  </si>
  <si>
    <t>18851</t>
  </si>
  <si>
    <t>18875</t>
  </si>
  <si>
    <t>18883</t>
  </si>
  <si>
    <t>18966</t>
  </si>
  <si>
    <t>18969</t>
  </si>
  <si>
    <t>18998</t>
  </si>
  <si>
    <t>1900000069</t>
  </si>
  <si>
    <t>1900000095</t>
  </si>
  <si>
    <t>1900000096</t>
  </si>
  <si>
    <t>1900000171</t>
  </si>
  <si>
    <t>1900000228</t>
  </si>
  <si>
    <t>19050</t>
  </si>
  <si>
    <t>1906</t>
  </si>
  <si>
    <t>19279</t>
  </si>
  <si>
    <t>19302</t>
  </si>
  <si>
    <t>19359</t>
  </si>
  <si>
    <t>193892</t>
  </si>
  <si>
    <t>19398</t>
  </si>
  <si>
    <t>19487</t>
  </si>
  <si>
    <t>1956</t>
  </si>
  <si>
    <t>19590</t>
  </si>
  <si>
    <t>19673</t>
  </si>
  <si>
    <t>19732</t>
  </si>
  <si>
    <t>19889</t>
  </si>
  <si>
    <t>19906179</t>
  </si>
  <si>
    <t>19906180</t>
  </si>
  <si>
    <t>19906181</t>
  </si>
  <si>
    <t>19906272</t>
  </si>
  <si>
    <t>19908448</t>
  </si>
  <si>
    <t>19908450</t>
  </si>
  <si>
    <t>19908451</t>
  </si>
  <si>
    <t>1992541</t>
  </si>
  <si>
    <t>19925466</t>
  </si>
  <si>
    <t>19927066</t>
  </si>
  <si>
    <t>19927067</t>
  </si>
  <si>
    <t>199720</t>
  </si>
  <si>
    <t>199820</t>
  </si>
  <si>
    <t>199920</t>
  </si>
  <si>
    <t>200006</t>
  </si>
  <si>
    <t>200020</t>
  </si>
  <si>
    <t>2000424</t>
  </si>
  <si>
    <t>2000425</t>
  </si>
  <si>
    <t>2000443</t>
  </si>
  <si>
    <t>2000512</t>
  </si>
  <si>
    <t>2000899</t>
  </si>
  <si>
    <t>2000900</t>
  </si>
  <si>
    <t>2000928</t>
  </si>
  <si>
    <t>2000991</t>
  </si>
  <si>
    <t>2001150</t>
  </si>
  <si>
    <t>200116223</t>
  </si>
  <si>
    <t>20011624</t>
  </si>
  <si>
    <t>20011772</t>
  </si>
  <si>
    <t>20011889</t>
  </si>
  <si>
    <t>200120</t>
  </si>
  <si>
    <t>20012014</t>
  </si>
  <si>
    <t>20012173</t>
  </si>
  <si>
    <t>20012416</t>
  </si>
  <si>
    <t>20012613</t>
  </si>
  <si>
    <t>20012925</t>
  </si>
  <si>
    <t>20012928</t>
  </si>
  <si>
    <t>20013009</t>
  </si>
  <si>
    <t>20013048</t>
  </si>
  <si>
    <t>20013104</t>
  </si>
  <si>
    <t>20013468</t>
  </si>
  <si>
    <t>20013476</t>
  </si>
  <si>
    <t>20013667</t>
  </si>
  <si>
    <t>20013746</t>
  </si>
  <si>
    <t>20013826</t>
  </si>
  <si>
    <t>20013918</t>
  </si>
  <si>
    <t>20013963</t>
  </si>
  <si>
    <t>20014003</t>
  </si>
  <si>
    <t>2001411</t>
  </si>
  <si>
    <t>20014242</t>
  </si>
  <si>
    <t>20014258</t>
  </si>
  <si>
    <t>20014340</t>
  </si>
  <si>
    <t>20014341</t>
  </si>
  <si>
    <t>2001440</t>
  </si>
  <si>
    <t>20014430</t>
  </si>
  <si>
    <t>20014460</t>
  </si>
  <si>
    <t>20014461</t>
  </si>
  <si>
    <t>20014462</t>
  </si>
  <si>
    <t>20014463</t>
  </si>
  <si>
    <t>2001454</t>
  </si>
  <si>
    <t>20014633</t>
  </si>
  <si>
    <t>20014717</t>
  </si>
  <si>
    <t>20014820</t>
  </si>
  <si>
    <t>20014865</t>
  </si>
  <si>
    <t>20014877</t>
  </si>
  <si>
    <t>20014945</t>
  </si>
  <si>
    <t>20014948</t>
  </si>
  <si>
    <t>20015</t>
  </si>
  <si>
    <t>2001583</t>
  </si>
  <si>
    <t>20015909</t>
  </si>
  <si>
    <t>2002043</t>
  </si>
  <si>
    <t>200220</t>
  </si>
  <si>
    <t>2002237</t>
  </si>
  <si>
    <t>2002238</t>
  </si>
  <si>
    <t>200230290</t>
  </si>
  <si>
    <t>2002441</t>
  </si>
  <si>
    <t>20025430</t>
  </si>
  <si>
    <t>20025431</t>
  </si>
  <si>
    <t>20027001</t>
  </si>
  <si>
    <t>20027002</t>
  </si>
  <si>
    <t>20027003</t>
  </si>
  <si>
    <t>20027821</t>
  </si>
  <si>
    <t>20027822</t>
  </si>
  <si>
    <t>20027823</t>
  </si>
  <si>
    <t>2002940</t>
  </si>
  <si>
    <t>2002941</t>
  </si>
  <si>
    <t>2002942</t>
  </si>
  <si>
    <t>2002943</t>
  </si>
  <si>
    <t>20029467</t>
  </si>
  <si>
    <t>20029959</t>
  </si>
  <si>
    <t>20030939</t>
  </si>
  <si>
    <t>20031606</t>
  </si>
  <si>
    <t>20031607</t>
  </si>
  <si>
    <t>200320</t>
  </si>
  <si>
    <t>2003225</t>
  </si>
  <si>
    <t>2003226</t>
  </si>
  <si>
    <t>2003267</t>
  </si>
  <si>
    <t>2003268</t>
  </si>
  <si>
    <t>20035954</t>
  </si>
  <si>
    <t>2003624</t>
  </si>
  <si>
    <t>20036716</t>
  </si>
  <si>
    <t>20036717</t>
  </si>
  <si>
    <t>20036718</t>
  </si>
  <si>
    <t>20037204</t>
  </si>
  <si>
    <t>20037205</t>
  </si>
  <si>
    <t>20037668</t>
  </si>
  <si>
    <t>20038189</t>
  </si>
  <si>
    <t>2003924</t>
  </si>
  <si>
    <t>20039336</t>
  </si>
  <si>
    <t>20039991</t>
  </si>
  <si>
    <t>20039992</t>
  </si>
  <si>
    <t>2004070</t>
  </si>
  <si>
    <t>2004071</t>
  </si>
  <si>
    <t>2004165</t>
  </si>
  <si>
    <t>200420</t>
  </si>
  <si>
    <t>2004302</t>
  </si>
  <si>
    <t>2004365</t>
  </si>
  <si>
    <t>2004497</t>
  </si>
  <si>
    <t>20045201</t>
  </si>
  <si>
    <t>20045674</t>
  </si>
  <si>
    <t>20046140</t>
  </si>
  <si>
    <t>2004671</t>
  </si>
  <si>
    <t>20047120</t>
  </si>
  <si>
    <t>20047121</t>
  </si>
  <si>
    <t>20047762</t>
  </si>
  <si>
    <t>20048733</t>
  </si>
  <si>
    <t>20048734</t>
  </si>
  <si>
    <t>20049793</t>
  </si>
  <si>
    <t>20049794</t>
  </si>
  <si>
    <t>20049795</t>
  </si>
  <si>
    <t>2004999</t>
  </si>
  <si>
    <t>200507</t>
  </si>
  <si>
    <t>200508</t>
  </si>
  <si>
    <t>2005129</t>
  </si>
  <si>
    <t>200520</t>
  </si>
  <si>
    <t>20052217</t>
  </si>
  <si>
    <t>20052218</t>
  </si>
  <si>
    <t>2005234</t>
  </si>
  <si>
    <t>200527</t>
  </si>
  <si>
    <t>2005306</t>
  </si>
  <si>
    <t>20053134</t>
  </si>
  <si>
    <t>20053135</t>
  </si>
  <si>
    <t>20053307</t>
  </si>
  <si>
    <t>20053308</t>
  </si>
  <si>
    <t>20054510</t>
  </si>
  <si>
    <t>20054511</t>
  </si>
  <si>
    <t>20054512</t>
  </si>
  <si>
    <t>20054732</t>
  </si>
  <si>
    <t>20054733</t>
  </si>
  <si>
    <t>20054734</t>
  </si>
  <si>
    <t>200549</t>
  </si>
  <si>
    <t>2005550</t>
  </si>
  <si>
    <t>2005551</t>
  </si>
  <si>
    <t>2005668</t>
  </si>
  <si>
    <t>2005863</t>
  </si>
  <si>
    <t>2005864</t>
  </si>
  <si>
    <t>2005908</t>
  </si>
  <si>
    <t>2005949</t>
  </si>
  <si>
    <t>2006036</t>
  </si>
  <si>
    <t>2006199</t>
  </si>
  <si>
    <t>200620</t>
  </si>
  <si>
    <t>2006247</t>
  </si>
  <si>
    <t>2006248</t>
  </si>
  <si>
    <t>2006294</t>
  </si>
  <si>
    <t>2006564</t>
  </si>
  <si>
    <t>2006565</t>
  </si>
  <si>
    <t>20066</t>
  </si>
  <si>
    <t>2006715</t>
  </si>
  <si>
    <t>20069</t>
  </si>
  <si>
    <t>2006929</t>
  </si>
  <si>
    <t>20070393</t>
  </si>
  <si>
    <t>20070394</t>
  </si>
  <si>
    <t>200704</t>
  </si>
  <si>
    <t>20071311</t>
  </si>
  <si>
    <t>20071312</t>
  </si>
  <si>
    <t>20071632</t>
  </si>
  <si>
    <t>20071633</t>
  </si>
  <si>
    <t>200720</t>
  </si>
  <si>
    <t>2007443</t>
  </si>
  <si>
    <t>2007444</t>
  </si>
  <si>
    <t>2007648</t>
  </si>
  <si>
    <t>2007758</t>
  </si>
  <si>
    <t>2007759</t>
  </si>
  <si>
    <t>2007883</t>
  </si>
  <si>
    <t>200820</t>
  </si>
  <si>
    <t>20085179</t>
  </si>
  <si>
    <t>20085181</t>
  </si>
  <si>
    <t>200854</t>
  </si>
  <si>
    <t>20089</t>
  </si>
  <si>
    <t>200897</t>
  </si>
  <si>
    <t>200920</t>
  </si>
  <si>
    <t>200949</t>
  </si>
  <si>
    <t>20097</t>
  </si>
  <si>
    <t>201079</t>
  </si>
  <si>
    <t>201080</t>
  </si>
  <si>
    <t>201443</t>
  </si>
  <si>
    <t>201454</t>
  </si>
  <si>
    <t>20150194</t>
  </si>
  <si>
    <t>20165</t>
  </si>
  <si>
    <t>20166</t>
  </si>
  <si>
    <t>201756</t>
  </si>
  <si>
    <t>20200600</t>
  </si>
  <si>
    <t>202008034</t>
  </si>
  <si>
    <t>202008035</t>
  </si>
  <si>
    <t>202008285</t>
  </si>
  <si>
    <t>202008367</t>
  </si>
  <si>
    <t>202008369</t>
  </si>
  <si>
    <t>202008848</t>
  </si>
  <si>
    <t>202008977</t>
  </si>
  <si>
    <t>202009274</t>
  </si>
  <si>
    <t>202009328</t>
  </si>
  <si>
    <t>202100228</t>
  </si>
  <si>
    <t>202100230</t>
  </si>
  <si>
    <t>202100278</t>
  </si>
  <si>
    <t>202100279</t>
  </si>
  <si>
    <t>202100837</t>
  </si>
  <si>
    <t>202101023</t>
  </si>
  <si>
    <t>202101024</t>
  </si>
  <si>
    <t>202101025</t>
  </si>
  <si>
    <t>202101034</t>
  </si>
  <si>
    <t>202101035</t>
  </si>
  <si>
    <t>202101037</t>
  </si>
  <si>
    <t>202101181</t>
  </si>
  <si>
    <t>202101182</t>
  </si>
  <si>
    <t>202101479</t>
  </si>
  <si>
    <t>202101484</t>
  </si>
  <si>
    <t>202101778</t>
  </si>
  <si>
    <t>202101784</t>
  </si>
  <si>
    <t>202101787</t>
  </si>
  <si>
    <t>202101898</t>
  </si>
  <si>
    <t>202101899</t>
  </si>
  <si>
    <t>202101900</t>
  </si>
  <si>
    <t>202102071</t>
  </si>
  <si>
    <t>202102072</t>
  </si>
  <si>
    <t>202102074</t>
  </si>
  <si>
    <t>202102283</t>
  </si>
  <si>
    <t>202102301</t>
  </si>
  <si>
    <t>202102551</t>
  </si>
  <si>
    <t>202102554</t>
  </si>
  <si>
    <t>202102798</t>
  </si>
  <si>
    <t>202102980</t>
  </si>
  <si>
    <t>202102989</t>
  </si>
  <si>
    <t>202103116</t>
  </si>
  <si>
    <t>202103301</t>
  </si>
  <si>
    <t>202103304</t>
  </si>
  <si>
    <t>202103348</t>
  </si>
  <si>
    <t>202103473</t>
  </si>
  <si>
    <t>202103573</t>
  </si>
  <si>
    <t>202103702</t>
  </si>
  <si>
    <t>202103704</t>
  </si>
  <si>
    <t>202103705</t>
  </si>
  <si>
    <t>202103778</t>
  </si>
  <si>
    <t>202104012</t>
  </si>
  <si>
    <t>202104131</t>
  </si>
  <si>
    <t>202104132</t>
  </si>
  <si>
    <t>202104133</t>
  </si>
  <si>
    <t>202104134</t>
  </si>
  <si>
    <t>202104135</t>
  </si>
  <si>
    <t>202104408</t>
  </si>
  <si>
    <t>202104409</t>
  </si>
  <si>
    <t>202104411</t>
  </si>
  <si>
    <t>202104496</t>
  </si>
  <si>
    <t>202104712</t>
  </si>
  <si>
    <t>202104924</t>
  </si>
  <si>
    <t>202105061</t>
  </si>
  <si>
    <t>202105064</t>
  </si>
  <si>
    <t>202105182</t>
  </si>
  <si>
    <t>202105359</t>
  </si>
  <si>
    <t>202105552</t>
  </si>
  <si>
    <t>202105554</t>
  </si>
  <si>
    <t>202106082</t>
  </si>
  <si>
    <t>202106507</t>
  </si>
  <si>
    <t>202107852</t>
  </si>
  <si>
    <t>202107854</t>
  </si>
  <si>
    <t>202108047</t>
  </si>
  <si>
    <t>202108056</t>
  </si>
  <si>
    <t>202108072</t>
  </si>
  <si>
    <t>202108384</t>
  </si>
  <si>
    <t>202108385</t>
  </si>
  <si>
    <t>202108390</t>
  </si>
  <si>
    <t>202108858</t>
  </si>
  <si>
    <t>202109097</t>
  </si>
  <si>
    <t>202109280</t>
  </si>
  <si>
    <t>202109299</t>
  </si>
  <si>
    <t>202109300</t>
  </si>
  <si>
    <t>202109560</t>
  </si>
  <si>
    <t>202109562</t>
  </si>
  <si>
    <t>202109568</t>
  </si>
  <si>
    <t>202109571</t>
  </si>
  <si>
    <t>202109572</t>
  </si>
  <si>
    <t>202109874</t>
  </si>
  <si>
    <t>202110092</t>
  </si>
  <si>
    <t>202110094</t>
  </si>
  <si>
    <t>202110323</t>
  </si>
  <si>
    <t>202110325</t>
  </si>
  <si>
    <t>202110328</t>
  </si>
  <si>
    <t>202110428</t>
  </si>
  <si>
    <t>20220001024</t>
  </si>
  <si>
    <t>20220001025</t>
  </si>
  <si>
    <t>20220001035</t>
  </si>
  <si>
    <t>20220001268</t>
  </si>
  <si>
    <t>20220001269</t>
  </si>
  <si>
    <t>20220001279</t>
  </si>
  <si>
    <t>20220001281</t>
  </si>
  <si>
    <t>20220001325</t>
  </si>
  <si>
    <t>20220001505</t>
  </si>
  <si>
    <t>20220001506</t>
  </si>
  <si>
    <t>2022000155</t>
  </si>
  <si>
    <t>20220001617</t>
  </si>
  <si>
    <t>20220001618</t>
  </si>
  <si>
    <t>20220001625</t>
  </si>
  <si>
    <t>20220001626</t>
  </si>
  <si>
    <t>20220001688</t>
  </si>
  <si>
    <t>20220001695</t>
  </si>
  <si>
    <t>20220001696</t>
  </si>
  <si>
    <t>20220001794</t>
  </si>
  <si>
    <t>20220001796</t>
  </si>
  <si>
    <t>20220001813</t>
  </si>
  <si>
    <t>20220001940</t>
  </si>
  <si>
    <t>20220001941</t>
  </si>
  <si>
    <t>20220002127</t>
  </si>
  <si>
    <t>20220002128</t>
  </si>
  <si>
    <t>20220002330</t>
  </si>
  <si>
    <t>20220002376</t>
  </si>
  <si>
    <t>2022000330</t>
  </si>
  <si>
    <t>2022000332</t>
  </si>
  <si>
    <t>2022000690</t>
  </si>
  <si>
    <t>2022000863</t>
  </si>
  <si>
    <t>2022000879</t>
  </si>
  <si>
    <t>2022002374</t>
  </si>
  <si>
    <t>2022002628</t>
  </si>
  <si>
    <t>2022002631</t>
  </si>
  <si>
    <t>2022002639</t>
  </si>
  <si>
    <t>2022002823</t>
  </si>
  <si>
    <t>2022002825</t>
  </si>
  <si>
    <t>2022002838</t>
  </si>
  <si>
    <t>2022002840</t>
  </si>
  <si>
    <t>2022002841</t>
  </si>
  <si>
    <t>2022002892</t>
  </si>
  <si>
    <t>2022003005</t>
  </si>
  <si>
    <t>2022003056</t>
  </si>
  <si>
    <t>2022003068</t>
  </si>
  <si>
    <t>2022003069</t>
  </si>
  <si>
    <t>2022003087</t>
  </si>
  <si>
    <t>2022003145</t>
  </si>
  <si>
    <t>2022003173</t>
  </si>
  <si>
    <t>2022003580</t>
  </si>
  <si>
    <t>2022003842</t>
  </si>
  <si>
    <t>2022003904</t>
  </si>
  <si>
    <t>2022004158</t>
  </si>
  <si>
    <t>2022004351</t>
  </si>
  <si>
    <t>2022004354</t>
  </si>
  <si>
    <t>2022004355</t>
  </si>
  <si>
    <t>2022004356</t>
  </si>
  <si>
    <t>2022005124</t>
  </si>
  <si>
    <t>2022005361</t>
  </si>
  <si>
    <t>2022006577</t>
  </si>
  <si>
    <t>2022006578</t>
  </si>
  <si>
    <t>2022006587</t>
  </si>
  <si>
    <t>2022006817</t>
  </si>
  <si>
    <t>2022006831</t>
  </si>
  <si>
    <t>2022006893</t>
  </si>
  <si>
    <t>2022006904</t>
  </si>
  <si>
    <t>2022006905</t>
  </si>
  <si>
    <t>2022007123</t>
  </si>
  <si>
    <t>2022007135</t>
  </si>
  <si>
    <t>2022007140</t>
  </si>
  <si>
    <t>2022007540</t>
  </si>
  <si>
    <t>2022007647</t>
  </si>
  <si>
    <t>2022007650</t>
  </si>
  <si>
    <t>2022007658</t>
  </si>
  <si>
    <t>2022007788</t>
  </si>
  <si>
    <t>2022007805</t>
  </si>
  <si>
    <t>2022008017</t>
  </si>
  <si>
    <t>2022008139</t>
  </si>
  <si>
    <t>2022008143</t>
  </si>
  <si>
    <t>2022008164</t>
  </si>
  <si>
    <t>2022008166</t>
  </si>
  <si>
    <t>2022008253</t>
  </si>
  <si>
    <t>2022008395</t>
  </si>
  <si>
    <t>2022008396</t>
  </si>
  <si>
    <t>2022008419</t>
  </si>
  <si>
    <t>2022008457</t>
  </si>
  <si>
    <t>2022008555</t>
  </si>
  <si>
    <t>2022008556</t>
  </si>
  <si>
    <t>2022008560</t>
  </si>
  <si>
    <t>2022008659</t>
  </si>
  <si>
    <t>2022008675</t>
  </si>
  <si>
    <t>2022008709</t>
  </si>
  <si>
    <t>2022008717</t>
  </si>
  <si>
    <t>2022008775</t>
  </si>
  <si>
    <t>2022008779</t>
  </si>
  <si>
    <t>2022008856</t>
  </si>
  <si>
    <t>2022008860</t>
  </si>
  <si>
    <t>2022008861</t>
  </si>
  <si>
    <t>2022008974</t>
  </si>
  <si>
    <t>2022008976</t>
  </si>
  <si>
    <t>2022008977</t>
  </si>
  <si>
    <t>2022009147</t>
  </si>
  <si>
    <t>2022009228</t>
  </si>
  <si>
    <t>2022009358</t>
  </si>
  <si>
    <t>2022009364</t>
  </si>
  <si>
    <t>2022009366</t>
  </si>
  <si>
    <t>2022009414</t>
  </si>
  <si>
    <t>2022009417</t>
  </si>
  <si>
    <t>2022009680</t>
  </si>
  <si>
    <t>2022009692</t>
  </si>
  <si>
    <t>2022009766</t>
  </si>
  <si>
    <t>2022009826</t>
  </si>
  <si>
    <t>2022009827</t>
  </si>
  <si>
    <t>2022009835</t>
  </si>
  <si>
    <t>2022009837</t>
  </si>
  <si>
    <t>2022009838</t>
  </si>
  <si>
    <t>2022010026</t>
  </si>
  <si>
    <t>2022010034</t>
  </si>
  <si>
    <t>2022010244</t>
  </si>
  <si>
    <t>2022010268</t>
  </si>
  <si>
    <t>202300033</t>
  </si>
  <si>
    <t>202300035</t>
  </si>
  <si>
    <t>202300289</t>
  </si>
  <si>
    <t>202300341</t>
  </si>
  <si>
    <t>202300413</t>
  </si>
  <si>
    <t>202300475</t>
  </si>
  <si>
    <t>202300482</t>
  </si>
  <si>
    <t>202300586</t>
  </si>
  <si>
    <t>202300589</t>
  </si>
  <si>
    <t>202300590</t>
  </si>
  <si>
    <t>202300725</t>
  </si>
  <si>
    <t>202300804</t>
  </si>
  <si>
    <t>202300811</t>
  </si>
  <si>
    <t>202300812</t>
  </si>
  <si>
    <t>202301160</t>
  </si>
  <si>
    <t>202301227</t>
  </si>
  <si>
    <t>202301274</t>
  </si>
  <si>
    <t>202301279</t>
  </si>
  <si>
    <t>202301283</t>
  </si>
  <si>
    <t>202301302</t>
  </si>
  <si>
    <t>202301396</t>
  </si>
  <si>
    <t>202301405</t>
  </si>
  <si>
    <t>202301505</t>
  </si>
  <si>
    <t>202301521</t>
  </si>
  <si>
    <t>202301673</t>
  </si>
  <si>
    <t>202301674</t>
  </si>
  <si>
    <t>202301974</t>
  </si>
  <si>
    <t>202302106</t>
  </si>
  <si>
    <t>202302109</t>
  </si>
  <si>
    <t>202302110</t>
  </si>
  <si>
    <t>202302122</t>
  </si>
  <si>
    <t>202302190</t>
  </si>
  <si>
    <t>202302258</t>
  </si>
  <si>
    <t>202302272</t>
  </si>
  <si>
    <t>202302573</t>
  </si>
  <si>
    <t>202302743</t>
  </si>
  <si>
    <t>202302856</t>
  </si>
  <si>
    <t>202302916</t>
  </si>
  <si>
    <t>202303267</t>
  </si>
  <si>
    <t>202303439</t>
  </si>
  <si>
    <t>202303463</t>
  </si>
  <si>
    <t>202303549</t>
  </si>
  <si>
    <t>202303557</t>
  </si>
  <si>
    <t>202303636</t>
  </si>
  <si>
    <t>202303999</t>
  </si>
  <si>
    <t>202304096</t>
  </si>
  <si>
    <t>202304168</t>
  </si>
  <si>
    <t>202304183</t>
  </si>
  <si>
    <t>202304259</t>
  </si>
  <si>
    <t>202304392</t>
  </si>
  <si>
    <t>202304443</t>
  </si>
  <si>
    <t>202304467</t>
  </si>
  <si>
    <t>202304492</t>
  </si>
  <si>
    <t>202304687</t>
  </si>
  <si>
    <t>202304838</t>
  </si>
  <si>
    <t>202304884</t>
  </si>
  <si>
    <t>202304885</t>
  </si>
  <si>
    <t>202304887</t>
  </si>
  <si>
    <t>202304889</t>
  </si>
  <si>
    <t>202304890</t>
  </si>
  <si>
    <t>202304986</t>
  </si>
  <si>
    <t>202304988</t>
  </si>
  <si>
    <t>202304994</t>
  </si>
  <si>
    <t>202305032</t>
  </si>
  <si>
    <t>202305033</t>
  </si>
  <si>
    <t>202305223</t>
  </si>
  <si>
    <t>202305330</t>
  </si>
  <si>
    <t>202305507</t>
  </si>
  <si>
    <t>202305513</t>
  </si>
  <si>
    <t>202305563</t>
  </si>
  <si>
    <t>202305606</t>
  </si>
  <si>
    <t>202305607</t>
  </si>
  <si>
    <t>202305608</t>
  </si>
  <si>
    <t>202305626</t>
  </si>
  <si>
    <t>202305627</t>
  </si>
  <si>
    <t>202306094</t>
  </si>
  <si>
    <t>202306264</t>
  </si>
  <si>
    <t>202306370</t>
  </si>
  <si>
    <t>202306463</t>
  </si>
  <si>
    <t>202306741</t>
  </si>
  <si>
    <t>202306750</t>
  </si>
  <si>
    <t>202306796</t>
  </si>
  <si>
    <t>202306805</t>
  </si>
  <si>
    <t>202306806</t>
  </si>
  <si>
    <t>202306821</t>
  </si>
  <si>
    <t>202306836</t>
  </si>
  <si>
    <t>202306850</t>
  </si>
  <si>
    <t>202307065</t>
  </si>
  <si>
    <t>202307066</t>
  </si>
  <si>
    <t>202307179</t>
  </si>
  <si>
    <t>202307358</t>
  </si>
  <si>
    <t>202307363</t>
  </si>
  <si>
    <t>202307379</t>
  </si>
  <si>
    <t>202307381</t>
  </si>
  <si>
    <t>202307566</t>
  </si>
  <si>
    <t>202307790</t>
  </si>
  <si>
    <t>202307956</t>
  </si>
  <si>
    <t>202307967</t>
  </si>
  <si>
    <t>202307968</t>
  </si>
  <si>
    <t>202307974</t>
  </si>
  <si>
    <t>20230808</t>
  </si>
  <si>
    <t>202309064</t>
  </si>
  <si>
    <t>202309174</t>
  </si>
  <si>
    <t>202309190</t>
  </si>
  <si>
    <t>202309197</t>
  </si>
  <si>
    <t>202309207</t>
  </si>
  <si>
    <t>202309303</t>
  </si>
  <si>
    <t>202309346</t>
  </si>
  <si>
    <t>202309351</t>
  </si>
  <si>
    <t>202309485</t>
  </si>
  <si>
    <t>202309496</t>
  </si>
  <si>
    <t>202309505</t>
  </si>
  <si>
    <t>202309551</t>
  </si>
  <si>
    <t>202309696</t>
  </si>
  <si>
    <t>202309697</t>
  </si>
  <si>
    <t>202309700</t>
  </si>
  <si>
    <t>202309763</t>
  </si>
  <si>
    <t>202309801</t>
  </si>
  <si>
    <t>202309804</t>
  </si>
  <si>
    <t>202310115</t>
  </si>
  <si>
    <t>202310210</t>
  </si>
  <si>
    <t>202310221</t>
  </si>
  <si>
    <t>202310296</t>
  </si>
  <si>
    <t>202310301</t>
  </si>
  <si>
    <t>202310407</t>
  </si>
  <si>
    <t>202310411</t>
  </si>
  <si>
    <t>202310437</t>
  </si>
  <si>
    <t>202310498</t>
  </si>
  <si>
    <t>202310585</t>
  </si>
  <si>
    <t>202310795</t>
  </si>
  <si>
    <t>20231080</t>
  </si>
  <si>
    <t>20235854</t>
  </si>
  <si>
    <t>20239</t>
  </si>
  <si>
    <t>202400008</t>
  </si>
  <si>
    <t>202400009</t>
  </si>
  <si>
    <t>202400480</t>
  </si>
  <si>
    <t>202400483</t>
  </si>
  <si>
    <t>202400601</t>
  </si>
  <si>
    <t>202400634</t>
  </si>
  <si>
    <t>202401017</t>
  </si>
  <si>
    <t>202401084</t>
  </si>
  <si>
    <t>202401085</t>
  </si>
  <si>
    <t>202401372</t>
  </si>
  <si>
    <t>202401462</t>
  </si>
  <si>
    <t>202401479</t>
  </si>
  <si>
    <t>202401544</t>
  </si>
  <si>
    <t>202401548</t>
  </si>
  <si>
    <t>202401608</t>
  </si>
  <si>
    <t>202401617</t>
  </si>
  <si>
    <t>202401647</t>
  </si>
  <si>
    <t>202401675</t>
  </si>
  <si>
    <t>202401713</t>
  </si>
  <si>
    <t>202401773</t>
  </si>
  <si>
    <t>202401777</t>
  </si>
  <si>
    <t>202401902</t>
  </si>
  <si>
    <t>202401980</t>
  </si>
  <si>
    <t>202401981</t>
  </si>
  <si>
    <t>202402119</t>
  </si>
  <si>
    <t>202402131</t>
  </si>
  <si>
    <t>202402132</t>
  </si>
  <si>
    <t>202402136</t>
  </si>
  <si>
    <t>202402207</t>
  </si>
  <si>
    <t>202402607</t>
  </si>
  <si>
    <t>202402611</t>
  </si>
  <si>
    <t>202402613</t>
  </si>
  <si>
    <t>202402637</t>
  </si>
  <si>
    <t>202402799</t>
  </si>
  <si>
    <t>202402831</t>
  </si>
  <si>
    <t>202402933</t>
  </si>
  <si>
    <t>202403014</t>
  </si>
  <si>
    <t>202403023</t>
  </si>
  <si>
    <t>202403029</t>
  </si>
  <si>
    <t>202403057</t>
  </si>
  <si>
    <t>202403060</t>
  </si>
  <si>
    <t>202403081</t>
  </si>
  <si>
    <t>202403187</t>
  </si>
  <si>
    <t>202403231</t>
  </si>
  <si>
    <t>202403284</t>
  </si>
  <si>
    <t>202403298</t>
  </si>
  <si>
    <t>202403336</t>
  </si>
  <si>
    <t>202403503</t>
  </si>
  <si>
    <t>202403645</t>
  </si>
  <si>
    <t>202403658</t>
  </si>
  <si>
    <t>202403909</t>
  </si>
  <si>
    <t>202403925</t>
  </si>
  <si>
    <t>202403989</t>
  </si>
  <si>
    <t>202404087</t>
  </si>
  <si>
    <t>202404091</t>
  </si>
  <si>
    <t>202404193</t>
  </si>
  <si>
    <t>202404198</t>
  </si>
  <si>
    <t>202404347</t>
  </si>
  <si>
    <t>202404351</t>
  </si>
  <si>
    <t>202404357</t>
  </si>
  <si>
    <t>202404435</t>
  </si>
  <si>
    <t>202404676</t>
  </si>
  <si>
    <t>202404907</t>
  </si>
  <si>
    <t>202404908</t>
  </si>
  <si>
    <t>202404926</t>
  </si>
  <si>
    <t>202405067</t>
  </si>
  <si>
    <t>202405162</t>
  </si>
  <si>
    <t>202405280</t>
  </si>
  <si>
    <t>202405427</t>
  </si>
  <si>
    <t>202405690</t>
  </si>
  <si>
    <t>202405693</t>
  </si>
  <si>
    <t>202405698</t>
  </si>
  <si>
    <t>202405768</t>
  </si>
  <si>
    <t>202405771</t>
  </si>
  <si>
    <t>202405773</t>
  </si>
  <si>
    <t>202406098</t>
  </si>
  <si>
    <t>202406258</t>
  </si>
  <si>
    <t>202406266</t>
  </si>
  <si>
    <t>202406641</t>
  </si>
  <si>
    <t>202406673</t>
  </si>
  <si>
    <t>202407262</t>
  </si>
  <si>
    <t>202407499</t>
  </si>
  <si>
    <t>202407623</t>
  </si>
  <si>
    <t>202407627</t>
  </si>
  <si>
    <t>202407647</t>
  </si>
  <si>
    <t>202407648</t>
  </si>
  <si>
    <t>202407840</t>
  </si>
  <si>
    <t>202407919</t>
  </si>
  <si>
    <t>202407958</t>
  </si>
  <si>
    <t>202407964</t>
  </si>
  <si>
    <t>202408440</t>
  </si>
  <si>
    <t>202408654</t>
  </si>
  <si>
    <t>202408800</t>
  </si>
  <si>
    <t>202408801</t>
  </si>
  <si>
    <t>202408803</t>
  </si>
  <si>
    <t>202408929</t>
  </si>
  <si>
    <t>202408942</t>
  </si>
  <si>
    <t>202408995</t>
  </si>
  <si>
    <t>202409000</t>
  </si>
  <si>
    <t>202409096</t>
  </si>
  <si>
    <t>202409098</t>
  </si>
  <si>
    <t>202409140</t>
  </si>
  <si>
    <t>202409165</t>
  </si>
  <si>
    <t>202409261</t>
  </si>
  <si>
    <t>202409262</t>
  </si>
  <si>
    <t>202409332</t>
  </si>
  <si>
    <t>202409466</t>
  </si>
  <si>
    <t>202409479</t>
  </si>
  <si>
    <t>202409481</t>
  </si>
  <si>
    <t>202409614</t>
  </si>
  <si>
    <t>202409668</t>
  </si>
  <si>
    <t>202409670</t>
  </si>
  <si>
    <t>202409676</t>
  </si>
  <si>
    <t>202409677</t>
  </si>
  <si>
    <t>202409686</t>
  </si>
  <si>
    <t>202409999</t>
  </si>
  <si>
    <t>202410010</t>
  </si>
  <si>
    <t>202410035</t>
  </si>
  <si>
    <t>202410086</t>
  </si>
  <si>
    <t>202410237</t>
  </si>
  <si>
    <t>202410257</t>
  </si>
  <si>
    <t>202410261</t>
  </si>
  <si>
    <t>20241976</t>
  </si>
  <si>
    <t>20241978</t>
  </si>
  <si>
    <t>20242138</t>
  </si>
  <si>
    <t>20242140</t>
  </si>
  <si>
    <t>20242347</t>
  </si>
  <si>
    <t>20242348</t>
  </si>
  <si>
    <t>20242544</t>
  </si>
  <si>
    <t>20242546</t>
  </si>
  <si>
    <t>20243688</t>
  </si>
  <si>
    <t>20243690</t>
  </si>
  <si>
    <t>20243907</t>
  </si>
  <si>
    <t>20243909</t>
  </si>
  <si>
    <t>20246847</t>
  </si>
  <si>
    <t>20247144</t>
  </si>
  <si>
    <t>20247145</t>
  </si>
  <si>
    <t>20247147</t>
  </si>
  <si>
    <t>20247176</t>
  </si>
  <si>
    <t>20247795</t>
  </si>
  <si>
    <t>20247796</t>
  </si>
  <si>
    <t>20247901</t>
  </si>
  <si>
    <t>20247902</t>
  </si>
  <si>
    <t>20247903</t>
  </si>
  <si>
    <t>20248249</t>
  </si>
  <si>
    <t>20248250</t>
  </si>
  <si>
    <t>20248520</t>
  </si>
  <si>
    <t>20248521</t>
  </si>
  <si>
    <t>20248522</t>
  </si>
  <si>
    <t>20249488</t>
  </si>
  <si>
    <t>20249489</t>
  </si>
  <si>
    <t>20249490</t>
  </si>
  <si>
    <t>20249761</t>
  </si>
  <si>
    <t>20249762</t>
  </si>
  <si>
    <t>20249763</t>
  </si>
  <si>
    <t>20251636</t>
  </si>
  <si>
    <t>20251638</t>
  </si>
  <si>
    <t>20251640</t>
  </si>
  <si>
    <t>20251642</t>
  </si>
  <si>
    <t>20251827</t>
  </si>
  <si>
    <t>20251828</t>
  </si>
  <si>
    <t>20251829</t>
  </si>
  <si>
    <t>202522</t>
  </si>
  <si>
    <t>20256493</t>
  </si>
  <si>
    <t>20290038</t>
  </si>
  <si>
    <t>20290960</t>
  </si>
  <si>
    <t>20292284</t>
  </si>
  <si>
    <t>20292285</t>
  </si>
  <si>
    <t>20292406</t>
  </si>
  <si>
    <t>20351</t>
  </si>
  <si>
    <t>2038</t>
  </si>
  <si>
    <t>2039</t>
  </si>
  <si>
    <t>2040</t>
  </si>
  <si>
    <t>20404</t>
  </si>
  <si>
    <t>20436</t>
  </si>
  <si>
    <t>20461</t>
  </si>
  <si>
    <t>20499096</t>
  </si>
  <si>
    <t>20499901</t>
  </si>
  <si>
    <t>20500137</t>
  </si>
  <si>
    <t>20500689</t>
  </si>
  <si>
    <t>20501</t>
  </si>
  <si>
    <t>20501043</t>
  </si>
  <si>
    <t>20501177</t>
  </si>
  <si>
    <t>20501695</t>
  </si>
  <si>
    <t>20501993</t>
  </si>
  <si>
    <t>20519727</t>
  </si>
  <si>
    <t>20519802</t>
  </si>
  <si>
    <t>20519853</t>
  </si>
  <si>
    <t>20644</t>
  </si>
  <si>
    <t>20673</t>
  </si>
  <si>
    <t>20706</t>
  </si>
  <si>
    <t>20744</t>
  </si>
  <si>
    <t>20770777</t>
  </si>
  <si>
    <t>20822</t>
  </si>
  <si>
    <t>20828</t>
  </si>
  <si>
    <t>20909019</t>
  </si>
  <si>
    <t>20909209</t>
  </si>
  <si>
    <t>20909980</t>
  </si>
  <si>
    <t>20910325</t>
  </si>
  <si>
    <t>20910969</t>
  </si>
  <si>
    <t>20912094</t>
  </si>
  <si>
    <t>20912995</t>
  </si>
  <si>
    <t>20913534</t>
  </si>
  <si>
    <t>20915009</t>
  </si>
  <si>
    <t>20915295</t>
  </si>
  <si>
    <t>20916403</t>
  </si>
  <si>
    <t>20919615</t>
  </si>
  <si>
    <t>20937</t>
  </si>
  <si>
    <t>20965</t>
  </si>
  <si>
    <t>20974</t>
  </si>
  <si>
    <t>20983</t>
  </si>
  <si>
    <t>210</t>
  </si>
  <si>
    <t>210038</t>
  </si>
  <si>
    <t>2100387</t>
  </si>
  <si>
    <t>2100388</t>
  </si>
  <si>
    <t>2100482</t>
  </si>
  <si>
    <t>2100625</t>
  </si>
  <si>
    <t>2100706</t>
  </si>
  <si>
    <t>2100728</t>
  </si>
  <si>
    <t>2100778</t>
  </si>
  <si>
    <t>2101033</t>
  </si>
  <si>
    <t>2101109</t>
  </si>
  <si>
    <t>210117</t>
  </si>
  <si>
    <t>2101442</t>
  </si>
  <si>
    <t>21017</t>
  </si>
  <si>
    <t>2101975</t>
  </si>
  <si>
    <t>2102306</t>
  </si>
  <si>
    <t>2102380</t>
  </si>
  <si>
    <t>2102418</t>
  </si>
  <si>
    <t>2102627</t>
  </si>
  <si>
    <t>210284</t>
  </si>
  <si>
    <t>210286</t>
  </si>
  <si>
    <t>2102939</t>
  </si>
  <si>
    <t>21032</t>
  </si>
  <si>
    <t>2103385</t>
  </si>
  <si>
    <t>2103658</t>
  </si>
  <si>
    <t>2103659</t>
  </si>
  <si>
    <t>2103752</t>
  </si>
  <si>
    <t>2103792</t>
  </si>
  <si>
    <t>2104481</t>
  </si>
  <si>
    <t>2104535</t>
  </si>
  <si>
    <t>2104536</t>
  </si>
  <si>
    <t>2105188</t>
  </si>
  <si>
    <t>2105189</t>
  </si>
  <si>
    <t>2105215</t>
  </si>
  <si>
    <t>2105281</t>
  </si>
  <si>
    <t>2105282</t>
  </si>
  <si>
    <t>2105561</t>
  </si>
  <si>
    <t>2105685</t>
  </si>
  <si>
    <t>2105842</t>
  </si>
  <si>
    <t>2105865</t>
  </si>
  <si>
    <t>2105866</t>
  </si>
  <si>
    <t>2106209</t>
  </si>
  <si>
    <t>2106210</t>
  </si>
  <si>
    <t>210636</t>
  </si>
  <si>
    <t>2106368</t>
  </si>
  <si>
    <t>2106490</t>
  </si>
  <si>
    <t>210797</t>
  </si>
  <si>
    <t>21082</t>
  </si>
  <si>
    <t>21101</t>
  </si>
  <si>
    <t>211398</t>
  </si>
  <si>
    <t>211445</t>
  </si>
  <si>
    <t>211621</t>
  </si>
  <si>
    <t>211721</t>
  </si>
  <si>
    <t>211921</t>
  </si>
  <si>
    <t>212021</t>
  </si>
  <si>
    <t>21204</t>
  </si>
  <si>
    <t>21258</t>
  </si>
  <si>
    <t>2137</t>
  </si>
  <si>
    <t>21380</t>
  </si>
  <si>
    <t>21444</t>
  </si>
  <si>
    <t>21453</t>
  </si>
  <si>
    <t>21462</t>
  </si>
  <si>
    <t>21542</t>
  </si>
  <si>
    <t>2156</t>
  </si>
  <si>
    <t>21586</t>
  </si>
  <si>
    <t>21610</t>
  </si>
  <si>
    <t>2193</t>
  </si>
  <si>
    <t>21932</t>
  </si>
  <si>
    <t>21950</t>
  </si>
  <si>
    <t>219820</t>
  </si>
  <si>
    <t>220010299</t>
  </si>
  <si>
    <t>220020</t>
  </si>
  <si>
    <t>220263</t>
  </si>
  <si>
    <t>220310120</t>
  </si>
  <si>
    <t>220310188</t>
  </si>
  <si>
    <t>220310189</t>
  </si>
  <si>
    <t>22055</t>
  </si>
  <si>
    <t>221154</t>
  </si>
  <si>
    <t>221310020</t>
  </si>
  <si>
    <t>221310156</t>
  </si>
  <si>
    <t>22188</t>
  </si>
  <si>
    <t>22191</t>
  </si>
  <si>
    <t>22235</t>
  </si>
  <si>
    <t>223120</t>
  </si>
  <si>
    <t>223220</t>
  </si>
  <si>
    <t>22323</t>
  </si>
  <si>
    <t>223320</t>
  </si>
  <si>
    <t>22342020</t>
  </si>
  <si>
    <t>2238</t>
  </si>
  <si>
    <t>224020</t>
  </si>
  <si>
    <t>22410</t>
  </si>
  <si>
    <t>22429</t>
  </si>
  <si>
    <t>22432</t>
  </si>
  <si>
    <t>22447</t>
  </si>
  <si>
    <t>22451</t>
  </si>
  <si>
    <t>22487</t>
  </si>
  <si>
    <t>22625</t>
  </si>
  <si>
    <t>22641</t>
  </si>
  <si>
    <t>227020</t>
  </si>
  <si>
    <t>22711</t>
  </si>
  <si>
    <t>227120</t>
  </si>
  <si>
    <t>227220</t>
  </si>
  <si>
    <t>227421</t>
  </si>
  <si>
    <t>22744</t>
  </si>
  <si>
    <t>22760</t>
  </si>
  <si>
    <t>227721</t>
  </si>
  <si>
    <t>227821</t>
  </si>
  <si>
    <t>22938</t>
  </si>
  <si>
    <t>2295</t>
  </si>
  <si>
    <t>229520</t>
  </si>
  <si>
    <t>22992</t>
  </si>
  <si>
    <t>230000473</t>
  </si>
  <si>
    <t>230003116</t>
  </si>
  <si>
    <t>230003479</t>
  </si>
  <si>
    <t>230003480</t>
  </si>
  <si>
    <t>230011953</t>
  </si>
  <si>
    <t>230020</t>
  </si>
  <si>
    <t>230020076</t>
  </si>
  <si>
    <t>230027438</t>
  </si>
  <si>
    <t>23005</t>
  </si>
  <si>
    <t>23006</t>
  </si>
  <si>
    <t>23007</t>
  </si>
  <si>
    <t>230120</t>
  </si>
  <si>
    <t>2301200129</t>
  </si>
  <si>
    <t>23014</t>
  </si>
  <si>
    <t>23020</t>
  </si>
  <si>
    <t>230264</t>
  </si>
  <si>
    <t>23052</t>
  </si>
  <si>
    <t>230624</t>
  </si>
  <si>
    <t>230639</t>
  </si>
  <si>
    <t>23104</t>
  </si>
  <si>
    <t>231321</t>
  </si>
  <si>
    <t>23185</t>
  </si>
  <si>
    <t>23205</t>
  </si>
  <si>
    <t>232200514</t>
  </si>
  <si>
    <t>233321</t>
  </si>
  <si>
    <t>2335</t>
  </si>
  <si>
    <t>23440</t>
  </si>
  <si>
    <t>23441</t>
  </si>
  <si>
    <t>234520</t>
  </si>
  <si>
    <t>23475</t>
  </si>
  <si>
    <t>23497</t>
  </si>
  <si>
    <t>235321</t>
  </si>
  <si>
    <t>23552</t>
  </si>
  <si>
    <t>23553</t>
  </si>
  <si>
    <t>23572</t>
  </si>
  <si>
    <t>23672723885</t>
  </si>
  <si>
    <t>23721</t>
  </si>
  <si>
    <t>23748</t>
  </si>
  <si>
    <t>23797</t>
  </si>
  <si>
    <t>23815</t>
  </si>
  <si>
    <t>23816</t>
  </si>
  <si>
    <t>23837</t>
  </si>
  <si>
    <t>23954</t>
  </si>
  <si>
    <t>23986</t>
  </si>
  <si>
    <t>240000748240</t>
  </si>
  <si>
    <t>2400020650</t>
  </si>
  <si>
    <t>240002149</t>
  </si>
  <si>
    <t>240003434</t>
  </si>
  <si>
    <t>240023</t>
  </si>
  <si>
    <t>240123</t>
  </si>
  <si>
    <t>2401400048</t>
  </si>
  <si>
    <t>2401970124</t>
  </si>
  <si>
    <t>240223</t>
  </si>
  <si>
    <t>24041</t>
  </si>
  <si>
    <t>24045</t>
  </si>
  <si>
    <t>2405040424</t>
  </si>
  <si>
    <t>240520</t>
  </si>
  <si>
    <t>24055</t>
  </si>
  <si>
    <t>240620</t>
  </si>
  <si>
    <t>240720</t>
  </si>
  <si>
    <t>24077</t>
  </si>
  <si>
    <t>240820</t>
  </si>
  <si>
    <t>2408740724</t>
  </si>
  <si>
    <t>2410</t>
  </si>
  <si>
    <t>241020</t>
  </si>
  <si>
    <t>241120</t>
  </si>
  <si>
    <t>242200092</t>
  </si>
  <si>
    <t>242200093</t>
  </si>
  <si>
    <t>242200272</t>
  </si>
  <si>
    <t>242200280</t>
  </si>
  <si>
    <t>242200313</t>
  </si>
  <si>
    <t>24488</t>
  </si>
  <si>
    <t>24530</t>
  </si>
  <si>
    <t>245820</t>
  </si>
  <si>
    <t>2472</t>
  </si>
  <si>
    <t>24771</t>
  </si>
  <si>
    <t>24800</t>
  </si>
  <si>
    <t>24801</t>
  </si>
  <si>
    <t>249420</t>
  </si>
  <si>
    <t>24954</t>
  </si>
  <si>
    <t>24956</t>
  </si>
  <si>
    <t>249820</t>
  </si>
  <si>
    <t>249920</t>
  </si>
  <si>
    <t>24999</t>
  </si>
  <si>
    <t>250002328</t>
  </si>
  <si>
    <t>250005170</t>
  </si>
  <si>
    <t>250008705</t>
  </si>
  <si>
    <t>250011372</t>
  </si>
  <si>
    <t>25001415</t>
  </si>
  <si>
    <t>250020</t>
  </si>
  <si>
    <t>250023780</t>
  </si>
  <si>
    <t>25005</t>
  </si>
  <si>
    <t>250091</t>
  </si>
  <si>
    <t>25017</t>
  </si>
  <si>
    <t>250373</t>
  </si>
  <si>
    <t>250823</t>
  </si>
  <si>
    <t>25132</t>
  </si>
  <si>
    <t>251523</t>
  </si>
  <si>
    <t>252200176</t>
  </si>
  <si>
    <t>252200177</t>
  </si>
  <si>
    <t>25266</t>
  </si>
  <si>
    <t>25359</t>
  </si>
  <si>
    <t>25495</t>
  </si>
  <si>
    <t>25520</t>
  </si>
  <si>
    <t>25537</t>
  </si>
  <si>
    <t>25574</t>
  </si>
  <si>
    <t>256324</t>
  </si>
  <si>
    <t>25641</t>
  </si>
  <si>
    <t>256822</t>
  </si>
  <si>
    <t>256922</t>
  </si>
  <si>
    <t>2572757855</t>
  </si>
  <si>
    <t>257322</t>
  </si>
  <si>
    <t>2579</t>
  </si>
  <si>
    <t>2591</t>
  </si>
  <si>
    <t>25918</t>
  </si>
  <si>
    <t>260001800</t>
  </si>
  <si>
    <t>26053</t>
  </si>
  <si>
    <t>26075</t>
  </si>
  <si>
    <t>26080</t>
  </si>
  <si>
    <t>2609</t>
  </si>
  <si>
    <t>26144</t>
  </si>
  <si>
    <t>2616</t>
  </si>
  <si>
    <t>2618</t>
  </si>
  <si>
    <t>26258</t>
  </si>
  <si>
    <t>26266</t>
  </si>
  <si>
    <t>26305</t>
  </si>
  <si>
    <t>26307</t>
  </si>
  <si>
    <t>26320</t>
  </si>
  <si>
    <t>26331</t>
  </si>
  <si>
    <t>26390</t>
  </si>
  <si>
    <t>26395</t>
  </si>
  <si>
    <t>26418</t>
  </si>
  <si>
    <t>26421</t>
  </si>
  <si>
    <t>26422</t>
  </si>
  <si>
    <t>26448</t>
  </si>
  <si>
    <t>265020</t>
  </si>
  <si>
    <t>265220</t>
  </si>
  <si>
    <t>265420</t>
  </si>
  <si>
    <t>26545</t>
  </si>
  <si>
    <t>265520</t>
  </si>
  <si>
    <t>265720</t>
  </si>
  <si>
    <t>26785</t>
  </si>
  <si>
    <t>26838</t>
  </si>
  <si>
    <t>26839</t>
  </si>
  <si>
    <t>2691</t>
  </si>
  <si>
    <t>27043</t>
  </si>
  <si>
    <t>2706</t>
  </si>
  <si>
    <t>270921</t>
  </si>
  <si>
    <t>271021</t>
  </si>
  <si>
    <t>271121</t>
  </si>
  <si>
    <t>271221</t>
  </si>
  <si>
    <t>271321</t>
  </si>
  <si>
    <t>271421</t>
  </si>
  <si>
    <t>27229</t>
  </si>
  <si>
    <t>27230</t>
  </si>
  <si>
    <t>27265</t>
  </si>
  <si>
    <t>27292</t>
  </si>
  <si>
    <t>27329</t>
  </si>
  <si>
    <t>2734</t>
  </si>
  <si>
    <t>27515</t>
  </si>
  <si>
    <t>27518</t>
  </si>
  <si>
    <t>27527</t>
  </si>
  <si>
    <t>27558</t>
  </si>
  <si>
    <t>27579</t>
  </si>
  <si>
    <t>27612</t>
  </si>
  <si>
    <t>27630</t>
  </si>
  <si>
    <t>27637</t>
  </si>
  <si>
    <t>27676</t>
  </si>
  <si>
    <t>27693</t>
  </si>
  <si>
    <t>27708</t>
  </si>
  <si>
    <t>27831</t>
  </si>
  <si>
    <t>27906</t>
  </si>
  <si>
    <t>27946</t>
  </si>
  <si>
    <t>27987</t>
  </si>
  <si>
    <t>28008</t>
  </si>
  <si>
    <t>2807</t>
  </si>
  <si>
    <t>281022</t>
  </si>
  <si>
    <t>281222</t>
  </si>
  <si>
    <t>281322</t>
  </si>
  <si>
    <t>28240</t>
  </si>
  <si>
    <t>282920</t>
  </si>
  <si>
    <t>283020</t>
  </si>
  <si>
    <t>283120</t>
  </si>
  <si>
    <t>283220</t>
  </si>
  <si>
    <t>28328</t>
  </si>
  <si>
    <t>283320</t>
  </si>
  <si>
    <t>28344</t>
  </si>
  <si>
    <t>28388</t>
  </si>
  <si>
    <t>28410</t>
  </si>
  <si>
    <t>28516</t>
  </si>
  <si>
    <t>2852</t>
  </si>
  <si>
    <t>28525</t>
  </si>
  <si>
    <t>28540</t>
  </si>
  <si>
    <t>285820</t>
  </si>
  <si>
    <t>286020</t>
  </si>
  <si>
    <t>28688</t>
  </si>
  <si>
    <t>28689</t>
  </si>
  <si>
    <t>28845</t>
  </si>
  <si>
    <t>28890</t>
  </si>
  <si>
    <t>28933</t>
  </si>
  <si>
    <t>28936</t>
  </si>
  <si>
    <t>28995</t>
  </si>
  <si>
    <t>2901</t>
  </si>
  <si>
    <t>290338</t>
  </si>
  <si>
    <t>29037</t>
  </si>
  <si>
    <t>290522</t>
  </si>
  <si>
    <t>2908</t>
  </si>
  <si>
    <t>29188</t>
  </si>
  <si>
    <t>29199</t>
  </si>
  <si>
    <t>292042</t>
  </si>
  <si>
    <t>29272</t>
  </si>
  <si>
    <t>2929</t>
  </si>
  <si>
    <t>29357</t>
  </si>
  <si>
    <t>29451</t>
  </si>
  <si>
    <t>29492</t>
  </si>
  <si>
    <t>29493</t>
  </si>
  <si>
    <t>295424</t>
  </si>
  <si>
    <t>29562</t>
  </si>
  <si>
    <t>29672</t>
  </si>
  <si>
    <t>29729</t>
  </si>
  <si>
    <t>299224</t>
  </si>
  <si>
    <t>29975</t>
  </si>
  <si>
    <t>29987</t>
  </si>
  <si>
    <t>30008</t>
  </si>
  <si>
    <t>3008</t>
  </si>
  <si>
    <t>303320</t>
  </si>
  <si>
    <t>304520</t>
  </si>
  <si>
    <t>304920</t>
  </si>
  <si>
    <t>305020</t>
  </si>
  <si>
    <t>3051</t>
  </si>
  <si>
    <t>305120</t>
  </si>
  <si>
    <t>30519</t>
  </si>
  <si>
    <t>30612</t>
  </si>
  <si>
    <t>30643</t>
  </si>
  <si>
    <t>30647</t>
  </si>
  <si>
    <t>30675</t>
  </si>
  <si>
    <t>306924</t>
  </si>
  <si>
    <t>30716</t>
  </si>
  <si>
    <t>30732</t>
  </si>
  <si>
    <t>30829</t>
  </si>
  <si>
    <t>308824</t>
  </si>
  <si>
    <t>3103</t>
  </si>
  <si>
    <t>31051</t>
  </si>
  <si>
    <t>3107</t>
  </si>
  <si>
    <t>311024</t>
  </si>
  <si>
    <t>311224</t>
  </si>
  <si>
    <t>311524</t>
  </si>
  <si>
    <t>311624</t>
  </si>
  <si>
    <t>31180</t>
  </si>
  <si>
    <t>312120</t>
  </si>
  <si>
    <t>312220</t>
  </si>
  <si>
    <t>3126</t>
  </si>
  <si>
    <t>31282</t>
  </si>
  <si>
    <t>31292</t>
  </si>
  <si>
    <t>312920</t>
  </si>
  <si>
    <t>313020</t>
  </si>
  <si>
    <t>31550</t>
  </si>
  <si>
    <t>316520</t>
  </si>
  <si>
    <t>31736</t>
  </si>
  <si>
    <t>3180</t>
  </si>
  <si>
    <t>32023</t>
  </si>
  <si>
    <t>32052</t>
  </si>
  <si>
    <t>32082</t>
  </si>
  <si>
    <t>32089</t>
  </si>
  <si>
    <t>321024</t>
  </si>
  <si>
    <t>32162</t>
  </si>
  <si>
    <t>321920</t>
  </si>
  <si>
    <t>322020</t>
  </si>
  <si>
    <t>322220</t>
  </si>
  <si>
    <t>322320</t>
  </si>
  <si>
    <t>322423</t>
  </si>
  <si>
    <t>32292</t>
  </si>
  <si>
    <t>32381</t>
  </si>
  <si>
    <t>32444</t>
  </si>
  <si>
    <t>32463</t>
  </si>
  <si>
    <t>325122</t>
  </si>
  <si>
    <t>325222</t>
  </si>
  <si>
    <t>325422</t>
  </si>
  <si>
    <t>325524</t>
  </si>
  <si>
    <t>325624</t>
  </si>
  <si>
    <t>32621</t>
  </si>
  <si>
    <t>3266</t>
  </si>
  <si>
    <t>3267</t>
  </si>
  <si>
    <t>326720</t>
  </si>
  <si>
    <t>326724</t>
  </si>
  <si>
    <t>326820</t>
  </si>
  <si>
    <t>327024</t>
  </si>
  <si>
    <t>32736</t>
  </si>
  <si>
    <t>32743</t>
  </si>
  <si>
    <t>32772</t>
  </si>
  <si>
    <t>327820</t>
  </si>
  <si>
    <t>328120</t>
  </si>
  <si>
    <t>328323</t>
  </si>
  <si>
    <t>3284</t>
  </si>
  <si>
    <t>328423</t>
  </si>
  <si>
    <t>328623</t>
  </si>
  <si>
    <t>328723</t>
  </si>
  <si>
    <t>328823</t>
  </si>
  <si>
    <t>328923</t>
  </si>
  <si>
    <t>3292</t>
  </si>
  <si>
    <t>32965</t>
  </si>
  <si>
    <t>330022</t>
  </si>
  <si>
    <t>330122</t>
  </si>
  <si>
    <t>330322</t>
  </si>
  <si>
    <t>330323</t>
  </si>
  <si>
    <t>330422</t>
  </si>
  <si>
    <t>330623</t>
  </si>
  <si>
    <t>33069</t>
  </si>
  <si>
    <t>33101</t>
  </si>
  <si>
    <t>331221</t>
  </si>
  <si>
    <t>331321</t>
  </si>
  <si>
    <t>331421</t>
  </si>
  <si>
    <t>331521</t>
  </si>
  <si>
    <t>331621</t>
  </si>
  <si>
    <t>33190</t>
  </si>
  <si>
    <t>331921</t>
  </si>
  <si>
    <t>331922</t>
  </si>
  <si>
    <t>332021</t>
  </si>
  <si>
    <t>33203</t>
  </si>
  <si>
    <t>332122</t>
  </si>
  <si>
    <t>332222</t>
  </si>
  <si>
    <t>332322</t>
  </si>
  <si>
    <t>3326</t>
  </si>
  <si>
    <t>333624</t>
  </si>
  <si>
    <t>334822</t>
  </si>
  <si>
    <t>33568</t>
  </si>
  <si>
    <t>3361</t>
  </si>
  <si>
    <t>3369</t>
  </si>
  <si>
    <t>337524</t>
  </si>
  <si>
    <t>338523</t>
  </si>
  <si>
    <t>33951</t>
  </si>
  <si>
    <t>34118</t>
  </si>
  <si>
    <t>341420</t>
  </si>
  <si>
    <t>34165</t>
  </si>
  <si>
    <t>34195</t>
  </si>
  <si>
    <t>343324</t>
  </si>
  <si>
    <t>344554</t>
  </si>
  <si>
    <t>345024</t>
  </si>
  <si>
    <t>345025</t>
  </si>
  <si>
    <t>3452</t>
  </si>
  <si>
    <t>34523</t>
  </si>
  <si>
    <t>3494</t>
  </si>
  <si>
    <t>350623</t>
  </si>
  <si>
    <t>3507</t>
  </si>
  <si>
    <t>350823</t>
  </si>
  <si>
    <t>35091</t>
  </si>
  <si>
    <t>350923</t>
  </si>
  <si>
    <t>351020</t>
  </si>
  <si>
    <t>351120</t>
  </si>
  <si>
    <t>351220</t>
  </si>
  <si>
    <t>351223</t>
  </si>
  <si>
    <t>351520</t>
  </si>
  <si>
    <t>35195</t>
  </si>
  <si>
    <t>352724</t>
  </si>
  <si>
    <t>352824</t>
  </si>
  <si>
    <t>35285</t>
  </si>
  <si>
    <t>352924</t>
  </si>
  <si>
    <t>353320</t>
  </si>
  <si>
    <t>3543</t>
  </si>
  <si>
    <t>35472</t>
  </si>
  <si>
    <t>35473</t>
  </si>
  <si>
    <t>35519</t>
  </si>
  <si>
    <t>3558090</t>
  </si>
  <si>
    <t>356220</t>
  </si>
  <si>
    <t>35684</t>
  </si>
  <si>
    <t>3569</t>
  </si>
  <si>
    <t>35721</t>
  </si>
  <si>
    <t>3574</t>
  </si>
  <si>
    <t>35747</t>
  </si>
  <si>
    <t>35766</t>
  </si>
  <si>
    <t>3580</t>
  </si>
  <si>
    <t>3586</t>
  </si>
  <si>
    <t>35871</t>
  </si>
  <si>
    <t>35937</t>
  </si>
  <si>
    <t>35975</t>
  </si>
  <si>
    <t>36063</t>
  </si>
  <si>
    <t>36078</t>
  </si>
  <si>
    <t>361020</t>
  </si>
  <si>
    <t>361123</t>
  </si>
  <si>
    <t>36128</t>
  </si>
  <si>
    <t>361604</t>
  </si>
  <si>
    <t>362821</t>
  </si>
  <si>
    <t>36312</t>
  </si>
  <si>
    <t>363323</t>
  </si>
  <si>
    <t>36338</t>
  </si>
  <si>
    <t>3634</t>
  </si>
  <si>
    <t>36349</t>
  </si>
  <si>
    <t>36438</t>
  </si>
  <si>
    <t>364421</t>
  </si>
  <si>
    <t>364424</t>
  </si>
  <si>
    <t>3645</t>
  </si>
  <si>
    <t>364524</t>
  </si>
  <si>
    <t>36560</t>
  </si>
  <si>
    <t>365620</t>
  </si>
  <si>
    <t>36723</t>
  </si>
  <si>
    <t>36724</t>
  </si>
  <si>
    <t>36725</t>
  </si>
  <si>
    <t>368421</t>
  </si>
  <si>
    <t>368621</t>
  </si>
  <si>
    <t>368721</t>
  </si>
  <si>
    <t>36897</t>
  </si>
  <si>
    <t>36905</t>
  </si>
  <si>
    <t>369421</t>
  </si>
  <si>
    <t>369521</t>
  </si>
  <si>
    <t>370221</t>
  </si>
  <si>
    <t>3703</t>
  </si>
  <si>
    <t>370321</t>
  </si>
  <si>
    <t>370421</t>
  </si>
  <si>
    <t>371324</t>
  </si>
  <si>
    <t>37298</t>
  </si>
  <si>
    <t>37503</t>
  </si>
  <si>
    <t>37575</t>
  </si>
  <si>
    <t>37757</t>
  </si>
  <si>
    <t>37758</t>
  </si>
  <si>
    <t>37763</t>
  </si>
  <si>
    <t>37770</t>
  </si>
  <si>
    <t>37773</t>
  </si>
  <si>
    <t>377823</t>
  </si>
  <si>
    <t>378023</t>
  </si>
  <si>
    <t>378224</t>
  </si>
  <si>
    <t>378324</t>
  </si>
  <si>
    <t>378424</t>
  </si>
  <si>
    <t>37895</t>
  </si>
  <si>
    <t>37906</t>
  </si>
  <si>
    <t>379421</t>
  </si>
  <si>
    <t>379521</t>
  </si>
  <si>
    <t>37984</t>
  </si>
  <si>
    <t>38092</t>
  </si>
  <si>
    <t>38094</t>
  </si>
  <si>
    <t>38095</t>
  </si>
  <si>
    <t>38328</t>
  </si>
  <si>
    <t>38414</t>
  </si>
  <si>
    <t>38415</t>
  </si>
  <si>
    <t>38416</t>
  </si>
  <si>
    <t>38500</t>
  </si>
  <si>
    <t>385024</t>
  </si>
  <si>
    <t>38557</t>
  </si>
  <si>
    <t>386820</t>
  </si>
  <si>
    <t>3869</t>
  </si>
  <si>
    <t>38692020</t>
  </si>
  <si>
    <t>38692021</t>
  </si>
  <si>
    <t>387020</t>
  </si>
  <si>
    <t>3871</t>
  </si>
  <si>
    <t>387120</t>
  </si>
  <si>
    <t>38769</t>
  </si>
  <si>
    <t>387721</t>
  </si>
  <si>
    <t>38776</t>
  </si>
  <si>
    <t>387821</t>
  </si>
  <si>
    <t>387921</t>
  </si>
  <si>
    <t>388021</t>
  </si>
  <si>
    <t>38924</t>
  </si>
  <si>
    <t>38970</t>
  </si>
  <si>
    <t>3898</t>
  </si>
  <si>
    <t>39033</t>
  </si>
  <si>
    <t>3906</t>
  </si>
  <si>
    <t>3907</t>
  </si>
  <si>
    <t>39089</t>
  </si>
  <si>
    <t>39097</t>
  </si>
  <si>
    <t>39099</t>
  </si>
  <si>
    <t>39100</t>
  </si>
  <si>
    <t>3911</t>
  </si>
  <si>
    <t>394320</t>
  </si>
  <si>
    <t>394420</t>
  </si>
  <si>
    <t>394520</t>
  </si>
  <si>
    <t>394620</t>
  </si>
  <si>
    <t>394720</t>
  </si>
  <si>
    <t>394820</t>
  </si>
  <si>
    <t>394920</t>
  </si>
  <si>
    <t>395020</t>
  </si>
  <si>
    <t>395120</t>
  </si>
  <si>
    <t>3953</t>
  </si>
  <si>
    <t>395623</t>
  </si>
  <si>
    <t>395723</t>
  </si>
  <si>
    <t>395724</t>
  </si>
  <si>
    <t>395823</t>
  </si>
  <si>
    <t>395824</t>
  </si>
  <si>
    <t>395923</t>
  </si>
  <si>
    <t>396023</t>
  </si>
  <si>
    <t>396123</t>
  </si>
  <si>
    <t>396520</t>
  </si>
  <si>
    <t>396920</t>
  </si>
  <si>
    <t>396929</t>
  </si>
  <si>
    <t>39736</t>
  </si>
  <si>
    <t>39758</t>
  </si>
  <si>
    <t>39763</t>
  </si>
  <si>
    <t>397929</t>
  </si>
  <si>
    <t>39862</t>
  </si>
  <si>
    <t>3994</t>
  </si>
  <si>
    <t>399504</t>
  </si>
  <si>
    <t>399718</t>
  </si>
  <si>
    <t>400016</t>
  </si>
  <si>
    <t>400020</t>
  </si>
  <si>
    <t>400120</t>
  </si>
  <si>
    <t>400724</t>
  </si>
  <si>
    <t>401224</t>
  </si>
  <si>
    <t>40192</t>
  </si>
  <si>
    <t>40201</t>
  </si>
  <si>
    <t>40236</t>
  </si>
  <si>
    <t>40283</t>
  </si>
  <si>
    <t>40311</t>
  </si>
  <si>
    <t>40339</t>
  </si>
  <si>
    <t>40387</t>
  </si>
  <si>
    <t>4048</t>
  </si>
  <si>
    <t>40545</t>
  </si>
  <si>
    <t>40562</t>
  </si>
  <si>
    <t>40579</t>
  </si>
  <si>
    <t>40601</t>
  </si>
  <si>
    <t>406021</t>
  </si>
  <si>
    <t>40766</t>
  </si>
  <si>
    <t>408122</t>
  </si>
  <si>
    <t>408222</t>
  </si>
  <si>
    <t>408322</t>
  </si>
  <si>
    <t>408422</t>
  </si>
  <si>
    <t>408522</t>
  </si>
  <si>
    <t>408622</t>
  </si>
  <si>
    <t>408922</t>
  </si>
  <si>
    <t>4102</t>
  </si>
  <si>
    <t>410324</t>
  </si>
  <si>
    <t>410622</t>
  </si>
  <si>
    <t>410722</t>
  </si>
  <si>
    <t>410822</t>
  </si>
  <si>
    <t>4109</t>
  </si>
  <si>
    <t>411823</t>
  </si>
  <si>
    <t>411923</t>
  </si>
  <si>
    <t>412023</t>
  </si>
  <si>
    <t>412123</t>
  </si>
  <si>
    <t>412124</t>
  </si>
  <si>
    <t>412223</t>
  </si>
  <si>
    <t>412224</t>
  </si>
  <si>
    <t>412320</t>
  </si>
  <si>
    <t>412323</t>
  </si>
  <si>
    <t>412324</t>
  </si>
  <si>
    <t>412420</t>
  </si>
  <si>
    <t>412423</t>
  </si>
  <si>
    <t>412523</t>
  </si>
  <si>
    <t>412623</t>
  </si>
  <si>
    <t>412723</t>
  </si>
  <si>
    <t>412823</t>
  </si>
  <si>
    <t>412923</t>
  </si>
  <si>
    <t>413023</t>
  </si>
  <si>
    <t>413123</t>
  </si>
  <si>
    <t>4143</t>
  </si>
  <si>
    <t>41494</t>
  </si>
  <si>
    <t>415323</t>
  </si>
  <si>
    <t>41536</t>
  </si>
  <si>
    <t>415423</t>
  </si>
  <si>
    <t>416923</t>
  </si>
  <si>
    <t>417803</t>
  </si>
  <si>
    <t>419277</t>
  </si>
  <si>
    <t>419522</t>
  </si>
  <si>
    <t>420624</t>
  </si>
  <si>
    <t>42104</t>
  </si>
  <si>
    <t>421201</t>
  </si>
  <si>
    <t>421207</t>
  </si>
  <si>
    <t>421276</t>
  </si>
  <si>
    <t>421496</t>
  </si>
  <si>
    <t>4220</t>
  </si>
  <si>
    <t>422123</t>
  </si>
  <si>
    <t>422223</t>
  </si>
  <si>
    <t>422323</t>
  </si>
  <si>
    <t>422423</t>
  </si>
  <si>
    <t>422823</t>
  </si>
  <si>
    <t>42297</t>
  </si>
  <si>
    <t>42339</t>
  </si>
  <si>
    <t>4237</t>
  </si>
  <si>
    <t>42439</t>
  </si>
  <si>
    <t>42500</t>
  </si>
  <si>
    <t>42502</t>
  </si>
  <si>
    <t>42523</t>
  </si>
  <si>
    <t>425323</t>
  </si>
  <si>
    <t>42581</t>
  </si>
  <si>
    <t>425822</t>
  </si>
  <si>
    <t>426323</t>
  </si>
  <si>
    <t>4268</t>
  </si>
  <si>
    <t>42683</t>
  </si>
  <si>
    <t>42691</t>
  </si>
  <si>
    <t>42715</t>
  </si>
  <si>
    <t>42745</t>
  </si>
  <si>
    <t>4276</t>
  </si>
  <si>
    <t>4278</t>
  </si>
  <si>
    <t>4279</t>
  </si>
  <si>
    <t>42794</t>
  </si>
  <si>
    <t>427984</t>
  </si>
  <si>
    <t>428023</t>
  </si>
  <si>
    <t>42825</t>
  </si>
  <si>
    <t>42828</t>
  </si>
  <si>
    <t>428775</t>
  </si>
  <si>
    <t>428924</t>
  </si>
  <si>
    <t>42968</t>
  </si>
  <si>
    <t>42990</t>
  </si>
  <si>
    <t>43040</t>
  </si>
  <si>
    <t>43050</t>
  </si>
  <si>
    <t>43061</t>
  </si>
  <si>
    <t>430623</t>
  </si>
  <si>
    <t>430922</t>
  </si>
  <si>
    <t>432025</t>
  </si>
  <si>
    <t>43244</t>
  </si>
  <si>
    <t>432822</t>
  </si>
  <si>
    <t>432922</t>
  </si>
  <si>
    <t>433123</t>
  </si>
  <si>
    <t>433624</t>
  </si>
  <si>
    <t>433724</t>
  </si>
  <si>
    <t>433824</t>
  </si>
  <si>
    <t>43420</t>
  </si>
  <si>
    <t>4343</t>
  </si>
  <si>
    <t>4345</t>
  </si>
  <si>
    <t>43478</t>
  </si>
  <si>
    <t>4358</t>
  </si>
  <si>
    <t>43634</t>
  </si>
  <si>
    <t>436522</t>
  </si>
  <si>
    <t>436622</t>
  </si>
  <si>
    <t>437024</t>
  </si>
  <si>
    <t>437124</t>
  </si>
  <si>
    <t>437224</t>
  </si>
  <si>
    <t>437324</t>
  </si>
  <si>
    <t>437424</t>
  </si>
  <si>
    <t>43772</t>
  </si>
  <si>
    <t>43776</t>
  </si>
  <si>
    <t>43794</t>
  </si>
  <si>
    <t>43815</t>
  </si>
  <si>
    <t>4389</t>
  </si>
  <si>
    <t>439322</t>
  </si>
  <si>
    <t>43934</t>
  </si>
  <si>
    <t>439422</t>
  </si>
  <si>
    <t>44063</t>
  </si>
  <si>
    <t>4407</t>
  </si>
  <si>
    <t>440820</t>
  </si>
  <si>
    <t>441020</t>
  </si>
  <si>
    <t>441120</t>
  </si>
  <si>
    <t>4411223</t>
  </si>
  <si>
    <t>441123</t>
  </si>
  <si>
    <t>441520</t>
  </si>
  <si>
    <t>44159</t>
  </si>
  <si>
    <t>44163</t>
  </si>
  <si>
    <t>44167</t>
  </si>
  <si>
    <t>441720</t>
  </si>
  <si>
    <t>442224</t>
  </si>
  <si>
    <t>4424</t>
  </si>
  <si>
    <t>44274</t>
  </si>
  <si>
    <t>4429</t>
  </si>
  <si>
    <t>44313</t>
  </si>
  <si>
    <t>44326</t>
  </si>
  <si>
    <t>44333</t>
  </si>
  <si>
    <t>44336</t>
  </si>
  <si>
    <t>443824</t>
  </si>
  <si>
    <t>444</t>
  </si>
  <si>
    <t>44559</t>
  </si>
  <si>
    <t>44575</t>
  </si>
  <si>
    <t>44619</t>
  </si>
  <si>
    <t>44634</t>
  </si>
  <si>
    <t>4464</t>
  </si>
  <si>
    <t>4467</t>
  </si>
  <si>
    <t>446820</t>
  </si>
  <si>
    <t>44697</t>
  </si>
  <si>
    <t>4488</t>
  </si>
  <si>
    <t>45045</t>
  </si>
  <si>
    <t>45048</t>
  </si>
  <si>
    <t>45054</t>
  </si>
  <si>
    <t>45080</t>
  </si>
  <si>
    <t>451449633099</t>
  </si>
  <si>
    <t>451524</t>
  </si>
  <si>
    <t>45223</t>
  </si>
  <si>
    <t>45273</t>
  </si>
  <si>
    <t>45296</t>
  </si>
  <si>
    <t>4534</t>
  </si>
  <si>
    <t>45390</t>
  </si>
  <si>
    <t>4539024</t>
  </si>
  <si>
    <t>453921</t>
  </si>
  <si>
    <t>454021</t>
  </si>
  <si>
    <t>454121</t>
  </si>
  <si>
    <t>45421</t>
  </si>
  <si>
    <t>454221</t>
  </si>
  <si>
    <t>4543</t>
  </si>
  <si>
    <t>454321</t>
  </si>
  <si>
    <t>454421</t>
  </si>
  <si>
    <t>454423</t>
  </si>
  <si>
    <t>454521</t>
  </si>
  <si>
    <t>454523</t>
  </si>
  <si>
    <t>454621</t>
  </si>
  <si>
    <t>454721</t>
  </si>
  <si>
    <t>454821</t>
  </si>
  <si>
    <t>454921</t>
  </si>
  <si>
    <t>455021</t>
  </si>
  <si>
    <t>455121</t>
  </si>
  <si>
    <t>45518</t>
  </si>
  <si>
    <t>4556</t>
  </si>
  <si>
    <t>456022</t>
  </si>
  <si>
    <t>456122</t>
  </si>
  <si>
    <t>45625</t>
  </si>
  <si>
    <t>4563</t>
  </si>
  <si>
    <t>45676</t>
  </si>
  <si>
    <t>45680</t>
  </si>
  <si>
    <t>4573</t>
  </si>
  <si>
    <t>457620</t>
  </si>
  <si>
    <t>45800</t>
  </si>
  <si>
    <t>458120</t>
  </si>
  <si>
    <t>458220</t>
  </si>
  <si>
    <t>458320</t>
  </si>
  <si>
    <t>458420</t>
  </si>
  <si>
    <t>459624</t>
  </si>
  <si>
    <t>46013</t>
  </si>
  <si>
    <t>46014</t>
  </si>
  <si>
    <t>46190</t>
  </si>
  <si>
    <t>4624</t>
  </si>
  <si>
    <t>46240</t>
  </si>
  <si>
    <t>46295</t>
  </si>
  <si>
    <t>46305</t>
  </si>
  <si>
    <t>4638</t>
  </si>
  <si>
    <t>4642</t>
  </si>
  <si>
    <t>464822</t>
  </si>
  <si>
    <t>464922</t>
  </si>
  <si>
    <t>465022</t>
  </si>
  <si>
    <t>4651</t>
  </si>
  <si>
    <t>465122</t>
  </si>
  <si>
    <t>465222</t>
  </si>
  <si>
    <t>46527</t>
  </si>
  <si>
    <t>465322</t>
  </si>
  <si>
    <t>4666</t>
  </si>
  <si>
    <t>466923</t>
  </si>
  <si>
    <t>467023</t>
  </si>
  <si>
    <t>467123</t>
  </si>
  <si>
    <t>467223</t>
  </si>
  <si>
    <t>467323</t>
  </si>
  <si>
    <t>4676</t>
  </si>
  <si>
    <t>467623</t>
  </si>
  <si>
    <t>467823</t>
  </si>
  <si>
    <t>467923</t>
  </si>
  <si>
    <t>46896</t>
  </si>
  <si>
    <t>4690</t>
  </si>
  <si>
    <t>46901</t>
  </si>
  <si>
    <t>46907</t>
  </si>
  <si>
    <t>46912</t>
  </si>
  <si>
    <t>469921</t>
  </si>
  <si>
    <t>4701</t>
  </si>
  <si>
    <t>47010</t>
  </si>
  <si>
    <t>47067</t>
  </si>
  <si>
    <t>4714</t>
  </si>
  <si>
    <t>47188</t>
  </si>
  <si>
    <t>47219</t>
  </si>
  <si>
    <t>47397</t>
  </si>
  <si>
    <t>47413</t>
  </si>
  <si>
    <t>47444</t>
  </si>
  <si>
    <t>47465</t>
  </si>
  <si>
    <t>47503</t>
  </si>
  <si>
    <t>47504</t>
  </si>
  <si>
    <t>47528</t>
  </si>
  <si>
    <t>4767</t>
  </si>
  <si>
    <t>476820</t>
  </si>
  <si>
    <t>476920</t>
  </si>
  <si>
    <t>477020</t>
  </si>
  <si>
    <t>4771</t>
  </si>
  <si>
    <t>477120</t>
  </si>
  <si>
    <t>477224</t>
  </si>
  <si>
    <t>47784</t>
  </si>
  <si>
    <t>47828</t>
  </si>
  <si>
    <t>48026</t>
  </si>
  <si>
    <t>4803</t>
  </si>
  <si>
    <t>48041</t>
  </si>
  <si>
    <t>4807</t>
  </si>
  <si>
    <t>481</t>
  </si>
  <si>
    <t>48102</t>
  </si>
  <si>
    <t>48123</t>
  </si>
  <si>
    <t>4813</t>
  </si>
  <si>
    <t>48171</t>
  </si>
  <si>
    <t>483823</t>
  </si>
  <si>
    <t>483923</t>
  </si>
  <si>
    <t>484023</t>
  </si>
  <si>
    <t>484121</t>
  </si>
  <si>
    <t>484221</t>
  </si>
  <si>
    <t>484321</t>
  </si>
  <si>
    <t>484421</t>
  </si>
  <si>
    <t>484521</t>
  </si>
  <si>
    <t>484621</t>
  </si>
  <si>
    <t>484721</t>
  </si>
  <si>
    <t>484821</t>
  </si>
  <si>
    <t>484921</t>
  </si>
  <si>
    <t>48593</t>
  </si>
  <si>
    <t>48634</t>
  </si>
  <si>
    <t>48635</t>
  </si>
  <si>
    <t>48671</t>
  </si>
  <si>
    <t>48692</t>
  </si>
  <si>
    <t>48743</t>
  </si>
  <si>
    <t>48749</t>
  </si>
  <si>
    <t>4876</t>
  </si>
  <si>
    <t>4879</t>
  </si>
  <si>
    <t>48815</t>
  </si>
  <si>
    <t>4883</t>
  </si>
  <si>
    <t>48852</t>
  </si>
  <si>
    <t>4889</t>
  </si>
  <si>
    <t>4892</t>
  </si>
  <si>
    <t>48926</t>
  </si>
  <si>
    <t>49011</t>
  </si>
  <si>
    <t>490122</t>
  </si>
  <si>
    <t>490322</t>
  </si>
  <si>
    <t>4922</t>
  </si>
  <si>
    <t>49248</t>
  </si>
  <si>
    <t>49267</t>
  </si>
  <si>
    <t>49311</t>
  </si>
  <si>
    <t>494320</t>
  </si>
  <si>
    <t>49526</t>
  </si>
  <si>
    <t>495720</t>
  </si>
  <si>
    <t>495820</t>
  </si>
  <si>
    <t>495920</t>
  </si>
  <si>
    <t>496020</t>
  </si>
  <si>
    <t>496120</t>
  </si>
  <si>
    <t>496220</t>
  </si>
  <si>
    <t>49708</t>
  </si>
  <si>
    <t>4973</t>
  </si>
  <si>
    <t>49745</t>
  </si>
  <si>
    <t>49771</t>
  </si>
  <si>
    <t>497720</t>
  </si>
  <si>
    <t>49802</t>
  </si>
  <si>
    <t>49853</t>
  </si>
  <si>
    <t>4988</t>
  </si>
  <si>
    <t>499</t>
  </si>
  <si>
    <t>50093</t>
  </si>
  <si>
    <t>50105</t>
  </si>
  <si>
    <t>50114</t>
  </si>
  <si>
    <t>5013</t>
  </si>
  <si>
    <t>502021</t>
  </si>
  <si>
    <t>50235</t>
  </si>
  <si>
    <t>50245</t>
  </si>
  <si>
    <t>5045</t>
  </si>
  <si>
    <t>504622</t>
  </si>
  <si>
    <t>505322</t>
  </si>
  <si>
    <t>505420</t>
  </si>
  <si>
    <t>50557</t>
  </si>
  <si>
    <t>50558</t>
  </si>
  <si>
    <t>50574</t>
  </si>
  <si>
    <t>50676</t>
  </si>
  <si>
    <t>5075</t>
  </si>
  <si>
    <t>50768</t>
  </si>
  <si>
    <t>50854</t>
  </si>
  <si>
    <t>508722</t>
  </si>
  <si>
    <t>508822</t>
  </si>
  <si>
    <t>50935</t>
  </si>
  <si>
    <t>50945</t>
  </si>
  <si>
    <t>509922</t>
  </si>
  <si>
    <t>50995</t>
  </si>
  <si>
    <t>510021</t>
  </si>
  <si>
    <t>510121</t>
  </si>
  <si>
    <t>510221</t>
  </si>
  <si>
    <t>510222</t>
  </si>
  <si>
    <t>51052</t>
  </si>
  <si>
    <t>51121</t>
  </si>
  <si>
    <t>51140</t>
  </si>
  <si>
    <t>5116</t>
  </si>
  <si>
    <t>51328</t>
  </si>
  <si>
    <t>51329</t>
  </si>
  <si>
    <t>51387</t>
  </si>
  <si>
    <t>51437</t>
  </si>
  <si>
    <t>5156</t>
  </si>
  <si>
    <t>51589</t>
  </si>
  <si>
    <t>516223</t>
  </si>
  <si>
    <t>516320</t>
  </si>
  <si>
    <t>5164</t>
  </si>
  <si>
    <t>516520</t>
  </si>
  <si>
    <t>5166</t>
  </si>
  <si>
    <t>516720</t>
  </si>
  <si>
    <t>516820</t>
  </si>
  <si>
    <t>516920</t>
  </si>
  <si>
    <t>517120</t>
  </si>
  <si>
    <t>517520</t>
  </si>
  <si>
    <t>517620</t>
  </si>
  <si>
    <t>517720</t>
  </si>
  <si>
    <t>517820</t>
  </si>
  <si>
    <t>51864</t>
  </si>
  <si>
    <t>51867</t>
  </si>
  <si>
    <t>51987</t>
  </si>
  <si>
    <t>5220</t>
  </si>
  <si>
    <t>5221</t>
  </si>
  <si>
    <t>52283</t>
  </si>
  <si>
    <t>52342</t>
  </si>
  <si>
    <t>52346</t>
  </si>
  <si>
    <t>52368</t>
  </si>
  <si>
    <t>52372</t>
  </si>
  <si>
    <t>52474</t>
  </si>
  <si>
    <t>52647</t>
  </si>
  <si>
    <t>52718</t>
  </si>
  <si>
    <t>527320</t>
  </si>
  <si>
    <t>52822</t>
  </si>
  <si>
    <t>52849</t>
  </si>
  <si>
    <t>52976</t>
  </si>
  <si>
    <t>53005</t>
  </si>
  <si>
    <t>53019</t>
  </si>
  <si>
    <t>53024</t>
  </si>
  <si>
    <t>53054</t>
  </si>
  <si>
    <t>530923</t>
  </si>
  <si>
    <t>53110</t>
  </si>
  <si>
    <t>531523</t>
  </si>
  <si>
    <t>532</t>
  </si>
  <si>
    <t>5321</t>
  </si>
  <si>
    <t>53213</t>
  </si>
  <si>
    <t>53219</t>
  </si>
  <si>
    <t>53264</t>
  </si>
  <si>
    <t>53302</t>
  </si>
  <si>
    <t>53350</t>
  </si>
  <si>
    <t>5339</t>
  </si>
  <si>
    <t>53653</t>
  </si>
  <si>
    <t>53657</t>
  </si>
  <si>
    <t>53676</t>
  </si>
  <si>
    <t>53683</t>
  </si>
  <si>
    <t>53732</t>
  </si>
  <si>
    <t>53734</t>
  </si>
  <si>
    <t>53829</t>
  </si>
  <si>
    <t>53833</t>
  </si>
  <si>
    <t>538423</t>
  </si>
  <si>
    <t>53861</t>
  </si>
  <si>
    <t>538623</t>
  </si>
  <si>
    <t>53969</t>
  </si>
  <si>
    <t>53971</t>
  </si>
  <si>
    <t>53995</t>
  </si>
  <si>
    <t>54007</t>
  </si>
  <si>
    <t>54025</t>
  </si>
  <si>
    <t>540321</t>
  </si>
  <si>
    <t>54036</t>
  </si>
  <si>
    <t>540421</t>
  </si>
  <si>
    <t>540521</t>
  </si>
  <si>
    <t>54061</t>
  </si>
  <si>
    <t>540621</t>
  </si>
  <si>
    <t>540721</t>
  </si>
  <si>
    <t>54075</t>
  </si>
  <si>
    <t>54082</t>
  </si>
  <si>
    <t>540821</t>
  </si>
  <si>
    <t>54090</t>
  </si>
  <si>
    <t>540921</t>
  </si>
  <si>
    <t>541021</t>
  </si>
  <si>
    <t>541121</t>
  </si>
  <si>
    <t>541221</t>
  </si>
  <si>
    <t>541321</t>
  </si>
  <si>
    <t>541521</t>
  </si>
  <si>
    <t>54165</t>
  </si>
  <si>
    <t>541921</t>
  </si>
  <si>
    <t>54210</t>
  </si>
  <si>
    <t>54236</t>
  </si>
  <si>
    <t>54269</t>
  </si>
  <si>
    <t>54274</t>
  </si>
  <si>
    <t>54280</t>
  </si>
  <si>
    <t>54286</t>
  </si>
  <si>
    <t>5431</t>
  </si>
  <si>
    <t>544735</t>
  </si>
  <si>
    <t>54554</t>
  </si>
  <si>
    <t>5458</t>
  </si>
  <si>
    <t>54586</t>
  </si>
  <si>
    <t>54596</t>
  </si>
  <si>
    <t>54644</t>
  </si>
  <si>
    <t>54697</t>
  </si>
  <si>
    <t>54708</t>
  </si>
  <si>
    <t>5471</t>
  </si>
  <si>
    <t>54713</t>
  </si>
  <si>
    <t>54761</t>
  </si>
  <si>
    <t>54768</t>
  </si>
  <si>
    <t>54771</t>
  </si>
  <si>
    <t>548526</t>
  </si>
  <si>
    <t>548529</t>
  </si>
  <si>
    <t>54886</t>
  </si>
  <si>
    <t>54950</t>
  </si>
  <si>
    <t>54996</t>
  </si>
  <si>
    <t>55032</t>
  </si>
  <si>
    <t>55043</t>
  </si>
  <si>
    <t>55052</t>
  </si>
  <si>
    <t>55056</t>
  </si>
  <si>
    <t>55062</t>
  </si>
  <si>
    <t>550622</t>
  </si>
  <si>
    <t>55067</t>
  </si>
  <si>
    <t>55072</t>
  </si>
  <si>
    <t>55087</t>
  </si>
  <si>
    <t>551</t>
  </si>
  <si>
    <t>55106</t>
  </si>
  <si>
    <t>55123</t>
  </si>
  <si>
    <t>552122</t>
  </si>
  <si>
    <t>552222</t>
  </si>
  <si>
    <t>552322</t>
  </si>
  <si>
    <t>552422</t>
  </si>
  <si>
    <t>55252</t>
  </si>
  <si>
    <t>552522</t>
  </si>
  <si>
    <t>552622</t>
  </si>
  <si>
    <t>55268</t>
  </si>
  <si>
    <t>552722</t>
  </si>
  <si>
    <t>552822</t>
  </si>
  <si>
    <t>552922</t>
  </si>
  <si>
    <t>553022</t>
  </si>
  <si>
    <t>553122</t>
  </si>
  <si>
    <t>553222</t>
  </si>
  <si>
    <t>553322</t>
  </si>
  <si>
    <t>553422</t>
  </si>
  <si>
    <t>553522</t>
  </si>
  <si>
    <t>553622</t>
  </si>
  <si>
    <t>553722</t>
  </si>
  <si>
    <t>553822</t>
  </si>
  <si>
    <t>554122</t>
  </si>
  <si>
    <t>554222</t>
  </si>
  <si>
    <t>554322</t>
  </si>
  <si>
    <t>554422</t>
  </si>
  <si>
    <t>55487</t>
  </si>
  <si>
    <t>55537</t>
  </si>
  <si>
    <t>55623</t>
  </si>
  <si>
    <t>55678</t>
  </si>
  <si>
    <t>55681</t>
  </si>
  <si>
    <t>55695</t>
  </si>
  <si>
    <t>55720</t>
  </si>
  <si>
    <t>55726</t>
  </si>
  <si>
    <t>55802</t>
  </si>
  <si>
    <t>558622</t>
  </si>
  <si>
    <t>55889</t>
  </si>
  <si>
    <t>5591</t>
  </si>
  <si>
    <t>5600</t>
  </si>
  <si>
    <t>56008</t>
  </si>
  <si>
    <t>561320</t>
  </si>
  <si>
    <t>56182</t>
  </si>
  <si>
    <t>56288</t>
  </si>
  <si>
    <t>563023</t>
  </si>
  <si>
    <t>563123</t>
  </si>
  <si>
    <t>563223</t>
  </si>
  <si>
    <t>564</t>
  </si>
  <si>
    <t>56425</t>
  </si>
  <si>
    <t>56463</t>
  </si>
  <si>
    <t>56544</t>
  </si>
  <si>
    <t>56565</t>
  </si>
  <si>
    <t>56583</t>
  </si>
  <si>
    <t>56617</t>
  </si>
  <si>
    <t>56628</t>
  </si>
  <si>
    <t>56742</t>
  </si>
  <si>
    <t>56754</t>
  </si>
  <si>
    <t>56757</t>
  </si>
  <si>
    <t>5675700819</t>
  </si>
  <si>
    <t>56759</t>
  </si>
  <si>
    <t>567920</t>
  </si>
  <si>
    <t>56856</t>
  </si>
  <si>
    <t>5700</t>
  </si>
  <si>
    <t>57021</t>
  </si>
  <si>
    <t>57033</t>
  </si>
  <si>
    <t>57066</t>
  </si>
  <si>
    <t>5707</t>
  </si>
  <si>
    <t>571020</t>
  </si>
  <si>
    <t>571120</t>
  </si>
  <si>
    <t>571220</t>
  </si>
  <si>
    <t>57128</t>
  </si>
  <si>
    <t>57130</t>
  </si>
  <si>
    <t>571420</t>
  </si>
  <si>
    <t>571520</t>
  </si>
  <si>
    <t>571620</t>
  </si>
  <si>
    <t>571720</t>
  </si>
  <si>
    <t>57178</t>
  </si>
  <si>
    <t>57180</t>
  </si>
  <si>
    <t>571820</t>
  </si>
  <si>
    <t>571920</t>
  </si>
  <si>
    <t>572020</t>
  </si>
  <si>
    <t>57244</t>
  </si>
  <si>
    <t>57247</t>
  </si>
  <si>
    <t>57248</t>
  </si>
  <si>
    <t>5728</t>
  </si>
  <si>
    <t>57284</t>
  </si>
  <si>
    <t>57297</t>
  </si>
  <si>
    <t>57306</t>
  </si>
  <si>
    <t>57390</t>
  </si>
  <si>
    <t>5740</t>
  </si>
  <si>
    <t>57432</t>
  </si>
  <si>
    <t>57442</t>
  </si>
  <si>
    <t>57474</t>
  </si>
  <si>
    <t>5758</t>
  </si>
  <si>
    <t>57617</t>
  </si>
  <si>
    <t>57622</t>
  </si>
  <si>
    <t>5763</t>
  </si>
  <si>
    <t>576621</t>
  </si>
  <si>
    <t>576721</t>
  </si>
  <si>
    <t>576821</t>
  </si>
  <si>
    <t>576921</t>
  </si>
  <si>
    <t>577021</t>
  </si>
  <si>
    <t>577121</t>
  </si>
  <si>
    <t>57768</t>
  </si>
  <si>
    <t>57773</t>
  </si>
  <si>
    <t>57774</t>
  </si>
  <si>
    <t>5786</t>
  </si>
  <si>
    <t>57882</t>
  </si>
  <si>
    <t>57930</t>
  </si>
  <si>
    <t>57934</t>
  </si>
  <si>
    <t>57936</t>
  </si>
  <si>
    <t>57977</t>
  </si>
  <si>
    <t>57988</t>
  </si>
  <si>
    <t>58066</t>
  </si>
  <si>
    <t>580822</t>
  </si>
  <si>
    <t>580922</t>
  </si>
  <si>
    <t>581022</t>
  </si>
  <si>
    <t>581122</t>
  </si>
  <si>
    <t>581222</t>
  </si>
  <si>
    <t>58124</t>
  </si>
  <si>
    <t>58130</t>
  </si>
  <si>
    <t>581322</t>
  </si>
  <si>
    <t>581522</t>
  </si>
  <si>
    <t>581622</t>
  </si>
  <si>
    <t>581822</t>
  </si>
  <si>
    <t>58183</t>
  </si>
  <si>
    <t>581922</t>
  </si>
  <si>
    <t>582022</t>
  </si>
  <si>
    <t>5836</t>
  </si>
  <si>
    <t>58360</t>
  </si>
  <si>
    <t>583722</t>
  </si>
  <si>
    <t>58395</t>
  </si>
  <si>
    <t>5840</t>
  </si>
  <si>
    <t>58556</t>
  </si>
  <si>
    <t>58558</t>
  </si>
  <si>
    <t>58580</t>
  </si>
  <si>
    <t>58594</t>
  </si>
  <si>
    <t>58599</t>
  </si>
  <si>
    <t>5868</t>
  </si>
  <si>
    <t>58705</t>
  </si>
  <si>
    <t>58757</t>
  </si>
  <si>
    <t>5878</t>
  </si>
  <si>
    <t>588020</t>
  </si>
  <si>
    <t>58817</t>
  </si>
  <si>
    <t>58925</t>
  </si>
  <si>
    <t>589820</t>
  </si>
  <si>
    <t>589920</t>
  </si>
  <si>
    <t>59077</t>
  </si>
  <si>
    <t>59123</t>
  </si>
  <si>
    <t>591920</t>
  </si>
  <si>
    <t>592020</t>
  </si>
  <si>
    <t>592120</t>
  </si>
  <si>
    <t>59226</t>
  </si>
  <si>
    <t>59228</t>
  </si>
  <si>
    <t>5925</t>
  </si>
  <si>
    <t>5926</t>
  </si>
  <si>
    <t>59261</t>
  </si>
  <si>
    <t>59308</t>
  </si>
  <si>
    <t>5931</t>
  </si>
  <si>
    <t>593123</t>
  </si>
  <si>
    <t>59316</t>
  </si>
  <si>
    <t>59322</t>
  </si>
  <si>
    <t>593620</t>
  </si>
  <si>
    <t>5938</t>
  </si>
  <si>
    <t>59385</t>
  </si>
  <si>
    <t>5959</t>
  </si>
  <si>
    <t>596220</t>
  </si>
  <si>
    <t>59631</t>
  </si>
  <si>
    <t>5975</t>
  </si>
  <si>
    <t>59770</t>
  </si>
  <si>
    <t>59922</t>
  </si>
  <si>
    <t>59968</t>
  </si>
  <si>
    <t>59972</t>
  </si>
  <si>
    <t>60027</t>
  </si>
  <si>
    <t>60043</t>
  </si>
  <si>
    <t>60046</t>
  </si>
  <si>
    <t>6008</t>
  </si>
  <si>
    <t>60081</t>
  </si>
  <si>
    <t>601020</t>
  </si>
  <si>
    <t>60164</t>
  </si>
  <si>
    <t>60251</t>
  </si>
  <si>
    <t>60308</t>
  </si>
  <si>
    <t>60321</t>
  </si>
  <si>
    <t>60413</t>
  </si>
  <si>
    <t>60433</t>
  </si>
  <si>
    <t>60435</t>
  </si>
  <si>
    <t>607620</t>
  </si>
  <si>
    <t>6079</t>
  </si>
  <si>
    <t>60794</t>
  </si>
  <si>
    <t>60835</t>
  </si>
  <si>
    <t>60853</t>
  </si>
  <si>
    <t>6097</t>
  </si>
  <si>
    <t>61026</t>
  </si>
  <si>
    <t>61038</t>
  </si>
  <si>
    <t>61044</t>
  </si>
  <si>
    <t>6105</t>
  </si>
  <si>
    <t>61050</t>
  </si>
  <si>
    <t>611822</t>
  </si>
  <si>
    <t>6120</t>
  </si>
  <si>
    <t>612021</t>
  </si>
  <si>
    <t>612022</t>
  </si>
  <si>
    <t>612122</t>
  </si>
  <si>
    <t>612222</t>
  </si>
  <si>
    <t>612322</t>
  </si>
  <si>
    <t>612522</t>
  </si>
  <si>
    <t>612622</t>
  </si>
  <si>
    <t>61269</t>
  </si>
  <si>
    <t>61291</t>
  </si>
  <si>
    <t>6130</t>
  </si>
  <si>
    <t>61385</t>
  </si>
  <si>
    <t>61391</t>
  </si>
  <si>
    <t>61523</t>
  </si>
  <si>
    <t>61638</t>
  </si>
  <si>
    <t>61696</t>
  </si>
  <si>
    <t>61721</t>
  </si>
  <si>
    <t>61742</t>
  </si>
  <si>
    <t>61747</t>
  </si>
  <si>
    <t>61751</t>
  </si>
  <si>
    <t>61897</t>
  </si>
  <si>
    <t>61904</t>
  </si>
  <si>
    <t>61966</t>
  </si>
  <si>
    <t>62150</t>
  </si>
  <si>
    <t>62154</t>
  </si>
  <si>
    <t>62378</t>
  </si>
  <si>
    <t>62420</t>
  </si>
  <si>
    <t>62452</t>
  </si>
  <si>
    <t>62484</t>
  </si>
  <si>
    <t>62516</t>
  </si>
  <si>
    <t>62573</t>
  </si>
  <si>
    <t>62584</t>
  </si>
  <si>
    <t>62591</t>
  </si>
  <si>
    <t>62880</t>
  </si>
  <si>
    <t>62884</t>
  </si>
  <si>
    <t>632021</t>
  </si>
  <si>
    <t>6321900461</t>
  </si>
  <si>
    <t>6321900536</t>
  </si>
  <si>
    <t>633621</t>
  </si>
  <si>
    <t>633821</t>
  </si>
  <si>
    <t>633921</t>
  </si>
  <si>
    <t>634021</t>
  </si>
  <si>
    <t>634121</t>
  </si>
  <si>
    <t>634221</t>
  </si>
  <si>
    <t>634321</t>
  </si>
  <si>
    <t>634421</t>
  </si>
  <si>
    <t>634521</t>
  </si>
  <si>
    <t>63454</t>
  </si>
  <si>
    <t>6353</t>
  </si>
  <si>
    <t>6364</t>
  </si>
  <si>
    <t>63722</t>
  </si>
  <si>
    <t>63794</t>
  </si>
  <si>
    <t>63950</t>
  </si>
  <si>
    <t>64099</t>
  </si>
  <si>
    <t>64235</t>
  </si>
  <si>
    <t>64283</t>
  </si>
  <si>
    <t>64320</t>
  </si>
  <si>
    <t>64513</t>
  </si>
  <si>
    <t>64593</t>
  </si>
  <si>
    <t>64594</t>
  </si>
  <si>
    <t>64642</t>
  </si>
  <si>
    <t>64645</t>
  </si>
  <si>
    <t>64744</t>
  </si>
  <si>
    <t>64872</t>
  </si>
  <si>
    <t>64874</t>
  </si>
  <si>
    <t>649122</t>
  </si>
  <si>
    <t>64935</t>
  </si>
  <si>
    <t>64936</t>
  </si>
  <si>
    <t>649522</t>
  </si>
  <si>
    <t>6498</t>
  </si>
  <si>
    <t>6512</t>
  </si>
  <si>
    <t>65132</t>
  </si>
  <si>
    <t>6519</t>
  </si>
  <si>
    <t>6521</t>
  </si>
  <si>
    <t>65234</t>
  </si>
  <si>
    <t>65303</t>
  </si>
  <si>
    <t>65340</t>
  </si>
  <si>
    <t>65362</t>
  </si>
  <si>
    <t>65374</t>
  </si>
  <si>
    <t>65400</t>
  </si>
  <si>
    <t>65753</t>
  </si>
  <si>
    <t>65829</t>
  </si>
  <si>
    <t>65871</t>
  </si>
  <si>
    <t>65962</t>
  </si>
  <si>
    <t>65975</t>
  </si>
  <si>
    <t>6602</t>
  </si>
  <si>
    <t>66114</t>
  </si>
  <si>
    <t>6614</t>
  </si>
  <si>
    <t>662</t>
  </si>
  <si>
    <t>66208</t>
  </si>
  <si>
    <t>662222</t>
  </si>
  <si>
    <t>662422</t>
  </si>
  <si>
    <t>662722</t>
  </si>
  <si>
    <t>662822</t>
  </si>
  <si>
    <t>6629</t>
  </si>
  <si>
    <t>66373</t>
  </si>
  <si>
    <t>66443</t>
  </si>
  <si>
    <t>6645</t>
  </si>
  <si>
    <t>66510</t>
  </si>
  <si>
    <t>66614</t>
  </si>
  <si>
    <t>66665</t>
  </si>
  <si>
    <t>66704</t>
  </si>
  <si>
    <t>66769</t>
  </si>
  <si>
    <t>66787</t>
  </si>
  <si>
    <t>66812</t>
  </si>
  <si>
    <t>66821</t>
  </si>
  <si>
    <t>66830</t>
  </si>
  <si>
    <t>66970</t>
  </si>
  <si>
    <t>6706</t>
  </si>
  <si>
    <t>67137</t>
  </si>
  <si>
    <t>67163</t>
  </si>
  <si>
    <t>67261</t>
  </si>
  <si>
    <t>6731</t>
  </si>
  <si>
    <t>67336</t>
  </si>
  <si>
    <t>67369</t>
  </si>
  <si>
    <t>67628</t>
  </si>
  <si>
    <t>67703</t>
  </si>
  <si>
    <t>67773</t>
  </si>
  <si>
    <t>67935</t>
  </si>
  <si>
    <t>6801</t>
  </si>
  <si>
    <t>68091</t>
  </si>
  <si>
    <t>68232</t>
  </si>
  <si>
    <t>68281</t>
  </si>
  <si>
    <t>68362</t>
  </si>
  <si>
    <t>68377</t>
  </si>
  <si>
    <t>68560</t>
  </si>
  <si>
    <t>68677</t>
  </si>
  <si>
    <t>68690</t>
  </si>
  <si>
    <t>69038</t>
  </si>
  <si>
    <t>6917</t>
  </si>
  <si>
    <t>6919</t>
  </si>
  <si>
    <t>69242</t>
  </si>
  <si>
    <t>69289</t>
  </si>
  <si>
    <t>69370</t>
  </si>
  <si>
    <t>69491</t>
  </si>
  <si>
    <t>69539</t>
  </si>
  <si>
    <t>69550</t>
  </si>
  <si>
    <t>6966</t>
  </si>
  <si>
    <t>69660</t>
  </si>
  <si>
    <t>69662</t>
  </si>
  <si>
    <t>69691</t>
  </si>
  <si>
    <t>69696</t>
  </si>
  <si>
    <t>69700</t>
  </si>
  <si>
    <t>69701</t>
  </si>
  <si>
    <t>69842</t>
  </si>
  <si>
    <t>69928</t>
  </si>
  <si>
    <t>70008</t>
  </si>
  <si>
    <t>70021</t>
  </si>
  <si>
    <t>70029</t>
  </si>
  <si>
    <t>70071</t>
  </si>
  <si>
    <t>70073</t>
  </si>
  <si>
    <t>7021</t>
  </si>
  <si>
    <t>7025</t>
  </si>
  <si>
    <t>70322</t>
  </si>
  <si>
    <t>70339</t>
  </si>
  <si>
    <t>70593</t>
  </si>
  <si>
    <t>70634</t>
  </si>
  <si>
    <t>7067</t>
  </si>
  <si>
    <t>7070</t>
  </si>
  <si>
    <t>70724</t>
  </si>
  <si>
    <t>70767</t>
  </si>
  <si>
    <t>70936</t>
  </si>
  <si>
    <t>70940</t>
  </si>
  <si>
    <t>70955</t>
  </si>
  <si>
    <t>71089</t>
  </si>
  <si>
    <t>71118</t>
  </si>
  <si>
    <t>71120</t>
  </si>
  <si>
    <t>71154</t>
  </si>
  <si>
    <t>712021</t>
  </si>
  <si>
    <t>7121</t>
  </si>
  <si>
    <t>71234</t>
  </si>
  <si>
    <t>71238</t>
  </si>
  <si>
    <t>71239</t>
  </si>
  <si>
    <t>71253</t>
  </si>
  <si>
    <t>71281</t>
  </si>
  <si>
    <t>71321</t>
  </si>
  <si>
    <t>71363</t>
  </si>
  <si>
    <t>71418</t>
  </si>
  <si>
    <t>71478</t>
  </si>
  <si>
    <t>71487</t>
  </si>
  <si>
    <t>71489</t>
  </si>
  <si>
    <t>71554</t>
  </si>
  <si>
    <t>71667</t>
  </si>
  <si>
    <t>7173</t>
  </si>
  <si>
    <t>71748</t>
  </si>
  <si>
    <t>71906</t>
  </si>
  <si>
    <t>71912</t>
  </si>
  <si>
    <t>72001</t>
  </si>
  <si>
    <t>72039</t>
  </si>
  <si>
    <t>72094</t>
  </si>
  <si>
    <t>72096</t>
  </si>
  <si>
    <t>722021</t>
  </si>
  <si>
    <t>7221</t>
  </si>
  <si>
    <t>7229</t>
  </si>
  <si>
    <t>72318</t>
  </si>
  <si>
    <t>7233</t>
  </si>
  <si>
    <t>72367</t>
  </si>
  <si>
    <t>72406</t>
  </si>
  <si>
    <t>72456</t>
  </si>
  <si>
    <t>72575</t>
  </si>
  <si>
    <t>7260</t>
  </si>
  <si>
    <t>72649</t>
  </si>
  <si>
    <t>72743</t>
  </si>
  <si>
    <t>7284</t>
  </si>
  <si>
    <t>72875</t>
  </si>
  <si>
    <t>7311</t>
  </si>
  <si>
    <t>73138</t>
  </si>
  <si>
    <t>7319</t>
  </si>
  <si>
    <t>7321</t>
  </si>
  <si>
    <t>73221</t>
  </si>
  <si>
    <t>73321</t>
  </si>
  <si>
    <t>73325</t>
  </si>
  <si>
    <t>73367</t>
  </si>
  <si>
    <t>73421</t>
  </si>
  <si>
    <t>73439</t>
  </si>
  <si>
    <t>7348</t>
  </si>
  <si>
    <t>73521</t>
  </si>
  <si>
    <t>73523</t>
  </si>
  <si>
    <t>73535</t>
  </si>
  <si>
    <t>73556</t>
  </si>
  <si>
    <t>7359</t>
  </si>
  <si>
    <t>73621</t>
  </si>
  <si>
    <t>73721</t>
  </si>
  <si>
    <t>7374</t>
  </si>
  <si>
    <t>73784</t>
  </si>
  <si>
    <t>737923</t>
  </si>
  <si>
    <t>73821</t>
  </si>
  <si>
    <t>73866</t>
  </si>
  <si>
    <t>73921</t>
  </si>
  <si>
    <t>73945</t>
  </si>
  <si>
    <t>73972</t>
  </si>
  <si>
    <t>74021</t>
  </si>
  <si>
    <t>74121</t>
  </si>
  <si>
    <t>7417</t>
  </si>
  <si>
    <t>74182</t>
  </si>
  <si>
    <t>7421</t>
  </si>
  <si>
    <t>74221</t>
  </si>
  <si>
    <t>74245</t>
  </si>
  <si>
    <t>74421</t>
  </si>
  <si>
    <t>74493</t>
  </si>
  <si>
    <t>74540</t>
  </si>
  <si>
    <t>74568</t>
  </si>
  <si>
    <t>7463</t>
  </si>
  <si>
    <t>74660</t>
  </si>
  <si>
    <t>74827</t>
  </si>
  <si>
    <t>74838</t>
  </si>
  <si>
    <t>74870</t>
  </si>
  <si>
    <t>74917</t>
  </si>
  <si>
    <t>74994</t>
  </si>
  <si>
    <t>75017</t>
  </si>
  <si>
    <t>75142</t>
  </si>
  <si>
    <t>7519</t>
  </si>
  <si>
    <t>7521</t>
  </si>
  <si>
    <t>7531</t>
  </si>
  <si>
    <t>75338</t>
  </si>
  <si>
    <t>75473</t>
  </si>
  <si>
    <t>75502</t>
  </si>
  <si>
    <t>75512</t>
  </si>
  <si>
    <t>75716</t>
  </si>
  <si>
    <t>75719</t>
  </si>
  <si>
    <t>75722</t>
  </si>
  <si>
    <t>7593</t>
  </si>
  <si>
    <t>7594</t>
  </si>
  <si>
    <t>7599</t>
  </si>
  <si>
    <t>7604</t>
  </si>
  <si>
    <t>76045</t>
  </si>
  <si>
    <t>76077</t>
  </si>
  <si>
    <t>761</t>
  </si>
  <si>
    <t>7621</t>
  </si>
  <si>
    <t>76300</t>
  </si>
  <si>
    <t>76454</t>
  </si>
  <si>
    <t>76521</t>
  </si>
  <si>
    <t>76577</t>
  </si>
  <si>
    <t>76589</t>
  </si>
  <si>
    <t>76618</t>
  </si>
  <si>
    <t>76682</t>
  </si>
  <si>
    <t>76841</t>
  </si>
  <si>
    <t>76886</t>
  </si>
  <si>
    <t>77093</t>
  </si>
  <si>
    <t>772021</t>
  </si>
  <si>
    <t>7721</t>
  </si>
  <si>
    <t>77375</t>
  </si>
  <si>
    <t>774441</t>
  </si>
  <si>
    <t>775</t>
  </si>
  <si>
    <t>77502</t>
  </si>
  <si>
    <t>77651</t>
  </si>
  <si>
    <t>77664</t>
  </si>
  <si>
    <t>77674</t>
  </si>
  <si>
    <t>7784</t>
  </si>
  <si>
    <t>77893</t>
  </si>
  <si>
    <t>7800</t>
  </si>
  <si>
    <t>78010</t>
  </si>
  <si>
    <t>78173</t>
  </si>
  <si>
    <t>782021</t>
  </si>
  <si>
    <t>78385</t>
  </si>
  <si>
    <t>78389</t>
  </si>
  <si>
    <t>78394</t>
  </si>
  <si>
    <t>78664</t>
  </si>
  <si>
    <t>7869</t>
  </si>
  <si>
    <t>787</t>
  </si>
  <si>
    <t>78743</t>
  </si>
  <si>
    <t>78861</t>
  </si>
  <si>
    <t>7890</t>
  </si>
  <si>
    <t>78908</t>
  </si>
  <si>
    <t>7892</t>
  </si>
  <si>
    <t>7893</t>
  </si>
  <si>
    <t>7895</t>
  </si>
  <si>
    <t>79022</t>
  </si>
  <si>
    <t>7905</t>
  </si>
  <si>
    <t>7912</t>
  </si>
  <si>
    <t>79252</t>
  </si>
  <si>
    <t>79258</t>
  </si>
  <si>
    <t>79267</t>
  </si>
  <si>
    <t>79396</t>
  </si>
  <si>
    <t>79401</t>
  </si>
  <si>
    <t>79625</t>
  </si>
  <si>
    <t>79626</t>
  </si>
  <si>
    <t>79638</t>
  </si>
  <si>
    <t>7964</t>
  </si>
  <si>
    <t>79642</t>
  </si>
  <si>
    <t>7973</t>
  </si>
  <si>
    <t>7982021</t>
  </si>
  <si>
    <t>79830</t>
  </si>
  <si>
    <t>79848</t>
  </si>
  <si>
    <t>7986</t>
  </si>
  <si>
    <t>79943</t>
  </si>
  <si>
    <t>8000208535</t>
  </si>
  <si>
    <t>8000423569</t>
  </si>
  <si>
    <t>8000424211</t>
  </si>
  <si>
    <t>8000424216</t>
  </si>
  <si>
    <t>8000425230</t>
  </si>
  <si>
    <t>8000431646</t>
  </si>
  <si>
    <t>8000432055</t>
  </si>
  <si>
    <t>8000432056</t>
  </si>
  <si>
    <t>8000437234</t>
  </si>
  <si>
    <t>8000437549</t>
  </si>
  <si>
    <t>8000437575</t>
  </si>
  <si>
    <t>8000438283</t>
  </si>
  <si>
    <t>8000438683</t>
  </si>
  <si>
    <t>8000439046</t>
  </si>
  <si>
    <t>8000440480</t>
  </si>
  <si>
    <t>8000440481</t>
  </si>
  <si>
    <t>8000441286</t>
  </si>
  <si>
    <t>8000441288</t>
  </si>
  <si>
    <t>8000441746</t>
  </si>
  <si>
    <t>8000445388</t>
  </si>
  <si>
    <t>8000448557</t>
  </si>
  <si>
    <t>8000449218</t>
  </si>
  <si>
    <t>8000449526</t>
  </si>
  <si>
    <t>8000450247</t>
  </si>
  <si>
    <t>8000450641</t>
  </si>
  <si>
    <t>8000450642</t>
  </si>
  <si>
    <t>8000451408</t>
  </si>
  <si>
    <t>8000452282</t>
  </si>
  <si>
    <t>8000452914</t>
  </si>
  <si>
    <t>8000452915</t>
  </si>
  <si>
    <t>8000453708</t>
  </si>
  <si>
    <t>800433700</t>
  </si>
  <si>
    <t>80102</t>
  </si>
  <si>
    <t>80177914</t>
  </si>
  <si>
    <t>80177982</t>
  </si>
  <si>
    <t>80178080</t>
  </si>
  <si>
    <t>80179146</t>
  </si>
  <si>
    <t>80179303</t>
  </si>
  <si>
    <t>80179304</t>
  </si>
  <si>
    <t>80180239</t>
  </si>
  <si>
    <t>80180492</t>
  </si>
  <si>
    <t>80180802</t>
  </si>
  <si>
    <t>801810045013</t>
  </si>
  <si>
    <t>80181819</t>
  </si>
  <si>
    <t>80181986</t>
  </si>
  <si>
    <t>80182472</t>
  </si>
  <si>
    <t>80182505</t>
  </si>
  <si>
    <t>80182711</t>
  </si>
  <si>
    <t>80184339</t>
  </si>
  <si>
    <t>80185415</t>
  </si>
  <si>
    <t>80185548</t>
  </si>
  <si>
    <t>80185968</t>
  </si>
  <si>
    <t>80185969</t>
  </si>
  <si>
    <t>80186565</t>
  </si>
  <si>
    <t>80187260</t>
  </si>
  <si>
    <t>80188862</t>
  </si>
  <si>
    <t>80189369</t>
  </si>
  <si>
    <t>80189391</t>
  </si>
  <si>
    <t>80189395</t>
  </si>
  <si>
    <t>80189612</t>
  </si>
  <si>
    <t>80189734</t>
  </si>
  <si>
    <t>80189785</t>
  </si>
  <si>
    <t>80189862</t>
  </si>
  <si>
    <t>80189931</t>
  </si>
  <si>
    <t>80190061</t>
  </si>
  <si>
    <t>80190089</t>
  </si>
  <si>
    <t>80190235</t>
  </si>
  <si>
    <t>80190388</t>
  </si>
  <si>
    <t>80190409</t>
  </si>
  <si>
    <t>80190434</t>
  </si>
  <si>
    <t>80190508</t>
  </si>
  <si>
    <t>80190560</t>
  </si>
  <si>
    <t>80190706</t>
  </si>
  <si>
    <t>801907919</t>
  </si>
  <si>
    <t>80190871</t>
  </si>
  <si>
    <t>80190903</t>
  </si>
  <si>
    <t>80191334</t>
  </si>
  <si>
    <t>80191369</t>
  </si>
  <si>
    <t>80191492</t>
  </si>
  <si>
    <t>80191529</t>
  </si>
  <si>
    <t>80191808</t>
  </si>
  <si>
    <t>80191861</t>
  </si>
  <si>
    <t>80191864</t>
  </si>
  <si>
    <t>80191906</t>
  </si>
  <si>
    <t>80191907</t>
  </si>
  <si>
    <t>80192069</t>
  </si>
  <si>
    <t>80192070</t>
  </si>
  <si>
    <t>80192111</t>
  </si>
  <si>
    <t>80192169</t>
  </si>
  <si>
    <t>80192198</t>
  </si>
  <si>
    <t>80192264</t>
  </si>
  <si>
    <t>80192285</t>
  </si>
  <si>
    <t>80192286</t>
  </si>
  <si>
    <t>80192465</t>
  </si>
  <si>
    <t>80192466</t>
  </si>
  <si>
    <t>80192520</t>
  </si>
  <si>
    <t>80192521</t>
  </si>
  <si>
    <t>80192601</t>
  </si>
  <si>
    <t>80192883</t>
  </si>
  <si>
    <t>80193147</t>
  </si>
  <si>
    <t>80193825</t>
  </si>
  <si>
    <t>80193837</t>
  </si>
  <si>
    <t>80193928</t>
  </si>
  <si>
    <t>80193979</t>
  </si>
  <si>
    <t>801939792</t>
  </si>
  <si>
    <t>80194171</t>
  </si>
  <si>
    <t>80194402</t>
  </si>
  <si>
    <t>80194881</t>
  </si>
  <si>
    <t>80194882</t>
  </si>
  <si>
    <t>80194999</t>
  </si>
  <si>
    <t>80195052</t>
  </si>
  <si>
    <t>80195240</t>
  </si>
  <si>
    <t>80195309</t>
  </si>
  <si>
    <t>80195363</t>
  </si>
  <si>
    <t>801953631</t>
  </si>
  <si>
    <t>80195455</t>
  </si>
  <si>
    <t>80195694</t>
  </si>
  <si>
    <t>80196046</t>
  </si>
  <si>
    <t>80196287</t>
  </si>
  <si>
    <t>80196354</t>
  </si>
  <si>
    <t>80196527</t>
  </si>
  <si>
    <t>80196577</t>
  </si>
  <si>
    <t>80196663</t>
  </si>
  <si>
    <t>80196671</t>
  </si>
  <si>
    <t>80196674</t>
  </si>
  <si>
    <t>80196987</t>
  </si>
  <si>
    <t>80196988</t>
  </si>
  <si>
    <t>80197032</t>
  </si>
  <si>
    <t>80197217</t>
  </si>
  <si>
    <t>80197280</t>
  </si>
  <si>
    <t>80197618</t>
  </si>
  <si>
    <t>80197727</t>
  </si>
  <si>
    <t>80197766</t>
  </si>
  <si>
    <t>80198032</t>
  </si>
  <si>
    <t>80198060</t>
  </si>
  <si>
    <t>80198091</t>
  </si>
  <si>
    <t>80198092</t>
  </si>
  <si>
    <t>80198175</t>
  </si>
  <si>
    <t>80198199</t>
  </si>
  <si>
    <t>80198228</t>
  </si>
  <si>
    <t>80198270</t>
  </si>
  <si>
    <t>80198273</t>
  </si>
  <si>
    <t>80198475</t>
  </si>
  <si>
    <t>80198573</t>
  </si>
  <si>
    <t>80198574</t>
  </si>
  <si>
    <t>80198741</t>
  </si>
  <si>
    <t>80198989</t>
  </si>
  <si>
    <t>80198990</t>
  </si>
  <si>
    <t>80199073</t>
  </si>
  <si>
    <t>80199973</t>
  </si>
  <si>
    <t>80200053</t>
  </si>
  <si>
    <t>80200054</t>
  </si>
  <si>
    <t>80200287</t>
  </si>
  <si>
    <t>80200503</t>
  </si>
  <si>
    <t>80200594</t>
  </si>
  <si>
    <t>80200640</t>
  </si>
  <si>
    <t>80200655</t>
  </si>
  <si>
    <t>80200791</t>
  </si>
  <si>
    <t>80200812</t>
  </si>
  <si>
    <t>80200813</t>
  </si>
  <si>
    <t>80200933</t>
  </si>
  <si>
    <t>80201209</t>
  </si>
  <si>
    <t>80201328</t>
  </si>
  <si>
    <t>80201329</t>
  </si>
  <si>
    <t>80201355</t>
  </si>
  <si>
    <t>80201356</t>
  </si>
  <si>
    <t>80201377</t>
  </si>
  <si>
    <t>80201448</t>
  </si>
  <si>
    <t>80201449</t>
  </si>
  <si>
    <t>80201631</t>
  </si>
  <si>
    <t>80201632</t>
  </si>
  <si>
    <t>80201774</t>
  </si>
  <si>
    <t>80201782</t>
  </si>
  <si>
    <t>80201986</t>
  </si>
  <si>
    <t>80201987</t>
  </si>
  <si>
    <t>80202091</t>
  </si>
  <si>
    <t>80202092</t>
  </si>
  <si>
    <t>80202210</t>
  </si>
  <si>
    <t>80202274</t>
  </si>
  <si>
    <t>80202528</t>
  </si>
  <si>
    <t>80202540</t>
  </si>
  <si>
    <t>80202597</t>
  </si>
  <si>
    <t>80202724</t>
  </si>
  <si>
    <t>80202756</t>
  </si>
  <si>
    <t>80202866</t>
  </si>
  <si>
    <t>80202924</t>
  </si>
  <si>
    <t>80203339</t>
  </si>
  <si>
    <t>80203617</t>
  </si>
  <si>
    <t>80203739</t>
  </si>
  <si>
    <t>80203779</t>
  </si>
  <si>
    <t>80203780</t>
  </si>
  <si>
    <t>80204067</t>
  </si>
  <si>
    <t>80204092</t>
  </si>
  <si>
    <t>80204146</t>
  </si>
  <si>
    <t>80204152</t>
  </si>
  <si>
    <t>80204211</t>
  </si>
  <si>
    <t>80204217</t>
  </si>
  <si>
    <t>80204286</t>
  </si>
  <si>
    <t>80204303</t>
  </si>
  <si>
    <t>80204412</t>
  </si>
  <si>
    <t>80204438</t>
  </si>
  <si>
    <t>80204441</t>
  </si>
  <si>
    <t>80204522</t>
  </si>
  <si>
    <t>80204856</t>
  </si>
  <si>
    <t>80204857</t>
  </si>
  <si>
    <t>80204966</t>
  </si>
  <si>
    <t>80205270</t>
  </si>
  <si>
    <t>80205305</t>
  </si>
  <si>
    <t>80205329</t>
  </si>
  <si>
    <t>80205642</t>
  </si>
  <si>
    <t>80205643</t>
  </si>
  <si>
    <t>80206163</t>
  </si>
  <si>
    <t>80206168</t>
  </si>
  <si>
    <t>80206667</t>
  </si>
  <si>
    <t>80206820</t>
  </si>
  <si>
    <t>80206904</t>
  </si>
  <si>
    <t>80206932</t>
  </si>
  <si>
    <t>80207573</t>
  </si>
  <si>
    <t>80207582</t>
  </si>
  <si>
    <t>80207587</t>
  </si>
  <si>
    <t>80207734</t>
  </si>
  <si>
    <t>80208797</t>
  </si>
  <si>
    <t>80209102</t>
  </si>
  <si>
    <t>80209484</t>
  </si>
  <si>
    <t>80209583</t>
  </si>
  <si>
    <t>80209972</t>
  </si>
  <si>
    <t>80210316</t>
  </si>
  <si>
    <t>80210423</t>
  </si>
  <si>
    <t>80210659</t>
  </si>
  <si>
    <t>80210719</t>
  </si>
  <si>
    <t>80210720</t>
  </si>
  <si>
    <t>80210773</t>
  </si>
  <si>
    <t>80211184</t>
  </si>
  <si>
    <t>80211185</t>
  </si>
  <si>
    <t>80211213</t>
  </si>
  <si>
    <t>80211222</t>
  </si>
  <si>
    <t>80211331</t>
  </si>
  <si>
    <t>80211347</t>
  </si>
  <si>
    <t>80211375</t>
  </si>
  <si>
    <t>80211459</t>
  </si>
  <si>
    <t>80211525</t>
  </si>
  <si>
    <t>80211528</t>
  </si>
  <si>
    <t>80211575</t>
  </si>
  <si>
    <t>80211738</t>
  </si>
  <si>
    <t>80211739</t>
  </si>
  <si>
    <t>80211740</t>
  </si>
  <si>
    <t>80211937</t>
  </si>
  <si>
    <t>80211988</t>
  </si>
  <si>
    <t>80212111</t>
  </si>
  <si>
    <t>80212448</t>
  </si>
  <si>
    <t>80212521</t>
  </si>
  <si>
    <t>80212870</t>
  </si>
  <si>
    <t>80213042</t>
  </si>
  <si>
    <t>80213043</t>
  </si>
  <si>
    <t>80213075</t>
  </si>
  <si>
    <t>80213155</t>
  </si>
  <si>
    <t>80213156</t>
  </si>
  <si>
    <t>80213341</t>
  </si>
  <si>
    <t>80213397</t>
  </si>
  <si>
    <t>80213503</t>
  </si>
  <si>
    <t>80213539</t>
  </si>
  <si>
    <t>80213786</t>
  </si>
  <si>
    <t>80213787</t>
  </si>
  <si>
    <t>80213863</t>
  </si>
  <si>
    <t>80213885</t>
  </si>
  <si>
    <t>80213912</t>
  </si>
  <si>
    <t>80213920</t>
  </si>
  <si>
    <t>80213921</t>
  </si>
  <si>
    <t>80214011</t>
  </si>
  <si>
    <t>80214050</t>
  </si>
  <si>
    <t>80214051</t>
  </si>
  <si>
    <t>80214181</t>
  </si>
  <si>
    <t>80214377</t>
  </si>
  <si>
    <t>80214388</t>
  </si>
  <si>
    <t>80214475</t>
  </si>
  <si>
    <t>80214819</t>
  </si>
  <si>
    <t>8029</t>
  </si>
  <si>
    <t>80373</t>
  </si>
  <si>
    <t>80992</t>
  </si>
  <si>
    <t>8105</t>
  </si>
  <si>
    <t>81134</t>
  </si>
  <si>
    <t>81239</t>
  </si>
  <si>
    <t>81288</t>
  </si>
  <si>
    <t>8130</t>
  </si>
  <si>
    <t>81359</t>
  </si>
  <si>
    <t>81362</t>
  </si>
  <si>
    <t>81387</t>
  </si>
  <si>
    <t>81491</t>
  </si>
  <si>
    <t>81500</t>
  </si>
  <si>
    <t>81668</t>
  </si>
  <si>
    <t>81672</t>
  </si>
  <si>
    <t>81702</t>
  </si>
  <si>
    <t>81724</t>
  </si>
  <si>
    <t>818</t>
  </si>
  <si>
    <t>821</t>
  </si>
  <si>
    <t>82641</t>
  </si>
  <si>
    <t>82651</t>
  </si>
  <si>
    <t>8275</t>
  </si>
  <si>
    <t>82927</t>
  </si>
  <si>
    <t>82963</t>
  </si>
  <si>
    <t>82967</t>
  </si>
  <si>
    <t>83022</t>
  </si>
  <si>
    <t>83062</t>
  </si>
  <si>
    <t>832021</t>
  </si>
  <si>
    <t>8329</t>
  </si>
  <si>
    <t>83305</t>
  </si>
  <si>
    <t>83370</t>
  </si>
  <si>
    <t>83459</t>
  </si>
  <si>
    <t>83480</t>
  </si>
  <si>
    <t>8350</t>
  </si>
  <si>
    <t>8368</t>
  </si>
  <si>
    <t>83765</t>
  </si>
  <si>
    <t>8381</t>
  </si>
  <si>
    <t>83822</t>
  </si>
  <si>
    <t>8412</t>
  </si>
  <si>
    <t>84218</t>
  </si>
  <si>
    <t>84304</t>
  </si>
  <si>
    <t>84381</t>
  </si>
  <si>
    <t>84396</t>
  </si>
  <si>
    <t>8452</t>
  </si>
  <si>
    <t>84521</t>
  </si>
  <si>
    <t>84524</t>
  </si>
  <si>
    <t>84526</t>
  </si>
  <si>
    <t>8455</t>
  </si>
  <si>
    <t>8460</t>
  </si>
  <si>
    <t>84971</t>
  </si>
  <si>
    <t>85323</t>
  </si>
  <si>
    <t>85422</t>
  </si>
  <si>
    <t>8548</t>
  </si>
  <si>
    <t>8552021</t>
  </si>
  <si>
    <t>85568</t>
  </si>
  <si>
    <t>85684</t>
  </si>
  <si>
    <t>85689</t>
  </si>
  <si>
    <t>8582021</t>
  </si>
  <si>
    <t>85880</t>
  </si>
  <si>
    <t>85887</t>
  </si>
  <si>
    <t>8591</t>
  </si>
  <si>
    <t>85979</t>
  </si>
  <si>
    <t>86021</t>
  </si>
  <si>
    <t>86038</t>
  </si>
  <si>
    <t>8675</t>
  </si>
  <si>
    <t>86829</t>
  </si>
  <si>
    <t>8691</t>
  </si>
  <si>
    <t>87166</t>
  </si>
  <si>
    <t>87236</t>
  </si>
  <si>
    <t>87499</t>
  </si>
  <si>
    <t>87519</t>
  </si>
  <si>
    <t>87678</t>
  </si>
  <si>
    <t>87916</t>
  </si>
  <si>
    <t>88012</t>
  </si>
  <si>
    <t>88389</t>
  </si>
  <si>
    <t>88478</t>
  </si>
  <si>
    <t>8853</t>
  </si>
  <si>
    <t>8860</t>
  </si>
  <si>
    <t>8861</t>
  </si>
  <si>
    <t>88808</t>
  </si>
  <si>
    <t>89089</t>
  </si>
  <si>
    <t>8911</t>
  </si>
  <si>
    <t>8920</t>
  </si>
  <si>
    <t>89201</t>
  </si>
  <si>
    <t>892021</t>
  </si>
  <si>
    <t>89250</t>
  </si>
  <si>
    <t>89254</t>
  </si>
  <si>
    <t>89273</t>
  </si>
  <si>
    <t>89312</t>
  </si>
  <si>
    <t>89388</t>
  </si>
  <si>
    <t>89428</t>
  </si>
  <si>
    <t>8945</t>
  </si>
  <si>
    <t>895</t>
  </si>
  <si>
    <t>89680</t>
  </si>
  <si>
    <t>89846</t>
  </si>
  <si>
    <t>89976</t>
  </si>
  <si>
    <t>9004</t>
  </si>
  <si>
    <t>902021</t>
  </si>
  <si>
    <t>9031</t>
  </si>
  <si>
    <t>9034</t>
  </si>
  <si>
    <t>90385</t>
  </si>
  <si>
    <t>90517</t>
  </si>
  <si>
    <t>90553</t>
  </si>
  <si>
    <t>90830</t>
  </si>
  <si>
    <t>9109</t>
  </si>
  <si>
    <t>91314</t>
  </si>
  <si>
    <t>9137</t>
  </si>
  <si>
    <t>9173</t>
  </si>
  <si>
    <t>91820</t>
  </si>
  <si>
    <t>9199</t>
  </si>
  <si>
    <t>9240</t>
  </si>
  <si>
    <t>92444</t>
  </si>
  <si>
    <t>92758</t>
  </si>
  <si>
    <t>92973</t>
  </si>
  <si>
    <t>9320</t>
  </si>
  <si>
    <t>9325</t>
  </si>
  <si>
    <t>9337</t>
  </si>
  <si>
    <t>93779</t>
  </si>
  <si>
    <t>93833</t>
  </si>
  <si>
    <t>93953</t>
  </si>
  <si>
    <t>94197</t>
  </si>
  <si>
    <t>94300</t>
  </si>
  <si>
    <t>94437</t>
  </si>
  <si>
    <t>94512</t>
  </si>
  <si>
    <t>94555</t>
  </si>
  <si>
    <t>9460</t>
  </si>
  <si>
    <t>94961</t>
  </si>
  <si>
    <t>95129</t>
  </si>
  <si>
    <t>95132</t>
  </si>
  <si>
    <t>95170</t>
  </si>
  <si>
    <t>952021</t>
  </si>
  <si>
    <t>95205</t>
  </si>
  <si>
    <t>9550001257</t>
  </si>
  <si>
    <t>9550002851</t>
  </si>
  <si>
    <t>9550004358</t>
  </si>
  <si>
    <t>9550005815</t>
  </si>
  <si>
    <t>9552021</t>
  </si>
  <si>
    <t>95535</t>
  </si>
  <si>
    <t>96148</t>
  </si>
  <si>
    <t>9616</t>
  </si>
  <si>
    <t>96162</t>
  </si>
  <si>
    <t>9617</t>
  </si>
  <si>
    <t>962021</t>
  </si>
  <si>
    <t>9647</t>
  </si>
  <si>
    <t>96643</t>
  </si>
  <si>
    <t>9685</t>
  </si>
  <si>
    <t>9698</t>
  </si>
  <si>
    <t>97436</t>
  </si>
  <si>
    <t>97438</t>
  </si>
  <si>
    <t>9758</t>
  </si>
  <si>
    <t>97923</t>
  </si>
  <si>
    <t>9805</t>
  </si>
  <si>
    <t>9807</t>
  </si>
  <si>
    <t>9815</t>
  </si>
  <si>
    <t>98279</t>
  </si>
  <si>
    <t>98280</t>
  </si>
  <si>
    <t>98281</t>
  </si>
  <si>
    <t>98562</t>
  </si>
  <si>
    <t>98663</t>
  </si>
  <si>
    <t>98666</t>
  </si>
  <si>
    <t>98668</t>
  </si>
  <si>
    <t>98726</t>
  </si>
  <si>
    <t>98748</t>
  </si>
  <si>
    <t>9889</t>
  </si>
  <si>
    <t>99128</t>
  </si>
  <si>
    <t>9920</t>
  </si>
  <si>
    <t>9922</t>
  </si>
  <si>
    <t>9926</t>
  </si>
  <si>
    <t>99618</t>
  </si>
  <si>
    <t>9965</t>
  </si>
  <si>
    <t>99652</t>
  </si>
  <si>
    <t>99662</t>
  </si>
  <si>
    <t>99672</t>
  </si>
  <si>
    <t>99673</t>
  </si>
  <si>
    <t>9996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</si>
</sst>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6" fontId="0" fillId="0" borderId="0" xfId="0" applyNumberFormat="1"/>
    <xf numFmtId="0" fontId="0" fillId="0" borderId="0" xfId="0" applyAlignment="1">
      <alignment wrapText="1"/>
    </xf>
    <xf numFmtId="17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4" fontId="0" fillId="0" borderId="0" xfId="0" applyNumberFormat="1" applyAlignment="1">
      <alignment horizontal="left" indent="2"/>
    </xf>
    <xf numFmtId="0" fontId="0" fillId="0" borderId="0" xfId="0" applyAlignment="1">
      <alignment horizontal="left" indent="3"/>
    </xf>
    <xf numFmtId="14" fontId="0" fillId="0" borderId="0" xfId="0" applyNumberForma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pivotCacheDefinition" Target="pivotCache/pivotCacheDefinition8.xml"/><Relationship Id="rId68" Type="http://schemas.openxmlformats.org/officeDocument/2006/relationships/pivotCacheDefinition" Target="pivotCache/pivotCacheDefinition13.xml"/><Relationship Id="rId84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pivotCacheDefinition" Target="pivotCache/pivotCacheDefinition3.xml"/><Relationship Id="rId74" Type="http://schemas.openxmlformats.org/officeDocument/2006/relationships/pivotCacheDefinition" Target="pivotCache/pivotCacheDefinition19.xml"/><Relationship Id="rId79" Type="http://schemas.openxmlformats.org/officeDocument/2006/relationships/pivotCacheDefinition" Target="pivotCache/pivotCacheDefinition24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pivotCacheDefinition" Target="pivotCache/pivotCacheDefinition1.xml"/><Relationship Id="rId64" Type="http://schemas.openxmlformats.org/officeDocument/2006/relationships/pivotCacheDefinition" Target="pivotCache/pivotCacheDefinition9.xml"/><Relationship Id="rId69" Type="http://schemas.openxmlformats.org/officeDocument/2006/relationships/pivotCacheDefinition" Target="pivotCache/pivotCacheDefinition14.xml"/><Relationship Id="rId77" Type="http://schemas.openxmlformats.org/officeDocument/2006/relationships/pivotCacheDefinition" Target="pivotCache/pivotCacheDefinition2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pivotCacheDefinition" Target="pivotCache/pivotCacheDefinition17.xml"/><Relationship Id="rId80" Type="http://schemas.openxmlformats.org/officeDocument/2006/relationships/pivotCacheDefinition" Target="pivotCache/pivotCacheDefinition25.xml"/><Relationship Id="rId8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pivotCacheDefinition" Target="pivotCache/pivotCacheDefinition4.xml"/><Relationship Id="rId67" Type="http://schemas.openxmlformats.org/officeDocument/2006/relationships/pivotCacheDefinition" Target="pivotCache/pivotCacheDefinition1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pivotCacheDefinition" Target="pivotCache/pivotCacheDefinition7.xml"/><Relationship Id="rId70" Type="http://schemas.openxmlformats.org/officeDocument/2006/relationships/pivotCacheDefinition" Target="pivotCache/pivotCacheDefinition15.xml"/><Relationship Id="rId75" Type="http://schemas.openxmlformats.org/officeDocument/2006/relationships/pivotCacheDefinition" Target="pivotCache/pivotCacheDefinition20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pivotCacheDefinition" Target="pivotCache/pivotCacheDefinition5.xml"/><Relationship Id="rId65" Type="http://schemas.openxmlformats.org/officeDocument/2006/relationships/pivotCacheDefinition" Target="pivotCache/pivotCacheDefinition10.xml"/><Relationship Id="rId73" Type="http://schemas.openxmlformats.org/officeDocument/2006/relationships/pivotCacheDefinition" Target="pivotCache/pivotCacheDefinition18.xml"/><Relationship Id="rId78" Type="http://schemas.openxmlformats.org/officeDocument/2006/relationships/pivotCacheDefinition" Target="pivotCache/pivotCacheDefinition23.xml"/><Relationship Id="rId81" Type="http://schemas.openxmlformats.org/officeDocument/2006/relationships/pivotCacheDefinition" Target="pivotCache/pivotCacheDefinition26.xml"/><Relationship Id="rId86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pivotCacheDefinition" Target="pivotCache/pivotCacheDefinition21.xml"/><Relationship Id="rId7" Type="http://schemas.openxmlformats.org/officeDocument/2006/relationships/worksheet" Target="worksheets/sheet7.xml"/><Relationship Id="rId71" Type="http://schemas.openxmlformats.org/officeDocument/2006/relationships/pivotCacheDefinition" Target="pivotCache/pivotCacheDefinition16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pivotCacheDefinition" Target="pivotCache/pivotCacheDefinition11.xml"/><Relationship Id="rId61" Type="http://schemas.openxmlformats.org/officeDocument/2006/relationships/pivotCacheDefinition" Target="pivotCache/pivotCacheDefinition6.xml"/><Relationship Id="rId82" Type="http://schemas.openxmlformats.org/officeDocument/2006/relationships/pivotCacheDefinition" Target="pivotCache/pivotCacheDefinition27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6.xml"/></Relationships>
</file>

<file path=xl/pivotCache/_rels/pivotCacheDefinition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THMANE" refreshedDate="46193.485332638891" createdVersion="7" refreshedVersion="7" minRefreshableVersion="3" recordCount="2868" xr:uid="{C747CEA4-2F9B-4D01-BA9D-60978ABA63FC}">
  <cacheSource type="worksheet">
    <worksheetSource ref="B1:B1048576" sheet="Clients"/>
  </cacheSource>
  <cacheFields count="1">
    <cacheField name="Intitulé" numFmtId="0">
      <sharedItems containsBlank="1" count="2833">
        <s v="AKZO NOBEL"/>
        <s v="AIGLOR"/>
        <s v="LACAPRO"/>
        <s v="LUKUS TRADE MAROC"/>
        <s v="MONDIAL THRADE"/>
        <s v="LA MAISON ITALIEN"/>
        <s v="GLOBAL TRANSMISSION"/>
        <s v="EXPRESS DISTRUBTION"/>
        <s v="OURIKA PEINTURE"/>
        <s v="LPEE"/>
        <s v="L3E"/>
        <s v="LABORATOIRE  MAGI"/>
        <s v="LABTRONIC"/>
        <s v="FG INDUSTRIE"/>
        <s v="HADJ FERTTATE"/>
        <s v="HADJ MOHAMED NADO"/>
        <s v="BEN HAJ FRERES"/>
        <s v="BELLEOUCH RABIE"/>
        <s v="BEN CHRIF MOHAMED"/>
        <s v="BENCHARIF NOUREDD"/>
        <s v="BOUTALEB DISTRIBUTION"/>
        <s v="BENIDENT"/>
        <s v="BERLAB"/>
        <s v="AUTO FILLER"/>
        <s v="BY CAR"/>
        <s v="BELAID LAHMED"/>
        <s v="HONAI AHMED"/>
        <s v="MANUPEINT"/>
        <s v="MAPROF"/>
        <s v="HANIN MOHAMED"/>
        <s v="MARCHIM"/>
        <s v="MANI FRERES PEINTURES"/>
        <s v="MULTICOLLES"/>
        <s v="HOUCHE OUTILS"/>
        <s v="MODIAM"/>
        <s v="MADANI PEINTURE"/>
        <s v="MRICA"/>
        <s v="MEGA CHIMIE"/>
        <s v="MAC GOLD"/>
        <s v="MADY PEINTURE"/>
        <s v="MIDI PEINTURE"/>
        <s v="MIRGON"/>
        <s v="MAG TRADING"/>
        <s v="MAGIC PEINTURE"/>
        <s v="MILLERIE DAR ESSALAM"/>
        <s v="MARDIS"/>
        <s v="MONOPOL  PEINTURE"/>
        <s v="MANULAND"/>
        <s v="MOURAD PEINTURE"/>
        <s v="MAAMORA CARROSSERIE"/>
        <s v="MATASA"/>
        <s v="MOSHI MOSHI"/>
        <s v="MULTI ACT"/>
        <s v="NAJIM BENCHARIF"/>
        <s v="NAZIH MOHAMED"/>
        <s v="NEJMA COLOR"/>
        <s v="NCCIC"/>
        <s v="J 2 J"/>
        <s v="OUTINAS"/>
        <s v="ORCHAZIT"/>
        <s v="PRODEC"/>
        <s v="PALAIS DE LA PEINTURE"/>
        <s v="PEINTURE HASSANI"/>
        <s v="PEINTURE BRAHIM"/>
        <s v="PEINTURE ABERKANE"/>
        <s v="PLASTEX"/>
        <s v="PREPEINT"/>
        <s v="POLYCOMMERCE"/>
        <s v="PPG SERVICE COMPRISE"/>
        <s v="POWER PEINT"/>
        <s v="PEINTURE ASSAADA"/>
        <s v="PRODUIT JAVEL KOUTOUBIA"/>
        <s v="Q AND Q"/>
        <s v="PROPAG"/>
        <s v="BITUMA"/>
        <s v="REPCA"/>
        <s v="RACHID BENATTAR"/>
        <s v="ROCHE OUTILS"/>
        <s v="KOUISS ABDELKADER"/>
        <s v="RIF COLOR"/>
        <s v="RICH PEINT"/>
        <s v="RIHANI NAJIB"/>
        <s v="RAI COSMET"/>
        <s v="BOBELEC"/>
        <s v="SOKADEP"/>
        <s v="SODECSO"/>
        <s v="SODIT COLOR"/>
        <s v="SARA CHIM"/>
        <s v="SOMEDROG"/>
        <s v="SMP"/>
        <s v="SEOUL PEINTURE"/>
        <s v="SFCM"/>
        <s v="SCAEL MAROC"/>
        <s v="SIDNI COLOR"/>
        <s v="SANIFER"/>
        <s v="SONEFI"/>
        <s v="SOCOBEN"/>
        <s v="SONAFIP"/>
        <s v="SIKA MAROC"/>
        <s v="SOREXI"/>
        <s v="SCANDI MAROC"/>
        <s v="STARCOL"/>
        <s v="SICOMED"/>
        <s v="SODEPRIM"/>
        <s v="SOMATHES"/>
        <s v="SIRFA"/>
        <s v="SEVEN COLOR"/>
        <s v="SOFACHIME"/>
        <s v="STAR SODA"/>
        <s v="SOCOMALEK"/>
        <s v="SOLAIT"/>
        <s v="STAR COLOR"/>
        <s v="STAND COLOR"/>
        <s v="SEBTI  ABDELLATIF"/>
        <s v="HAYAT ZITOUNI"/>
        <s v="SOMPAGRAF"/>
        <s v="SOLDIVE ASNI"/>
        <s v="SAIMACO"/>
        <s v="SBTR"/>
        <s v="SOFADIP"/>
        <s v="FENNASI"/>
        <s v="PLANETE  HUILES"/>
        <s v="SOCIETE IBNOU  ZAYAD"/>
        <s v="SERVICE TOTAL"/>
        <s v="SOGERMA"/>
        <s v="SAGHRO BITUME"/>
        <s v="LES AROMES DU MAROC"/>
        <s v="SDTM"/>
        <s v="SOCIETE MAROCAINE"/>
        <s v="SOPRIAM"/>
        <s v="SMDTI"/>
        <s v="TOUTA BAHROUN"/>
        <s v="TADLA PEINTURE"/>
        <s v="UTS INTERNATIONAL"/>
        <s v="MIDEL PEINTURE"/>
        <s v="TRENAL"/>
        <s v="TISSIR COLOR"/>
        <s v="TERRE NOUVELLE"/>
        <s v="UMADENT"/>
        <s v="STE GARAGE AUTO ZEROUALI"/>
        <s v="HADJ ALI"/>
        <s v="MASSADA COORPORATION"/>
        <s v="MULTI DISTRIBUTION ET TRADING"/>
        <s v="MASNAOUI"/>
        <s v="BITULIFE"/>
        <s v="BZO COLOR"/>
        <s v="BIMOURNE HANANE"/>
        <s v="ETABLISSEMENT BEN HAMIDA ET CIE"/>
        <m/>
        <s v="AOURIK LAHCEN"/>
        <s v="DROGUERIE BOUDIH"/>
        <s v="ISRA AUTO"/>
        <s v="OUTIRED"/>
        <s v="JAD DISTRIBUTION"/>
        <s v="BSBS"/>
        <s v="ASTA COLOR"/>
        <s v="ERREGRAGUI KADIM"/>
        <s v="POSITIVE GENERATION"/>
        <s v="PRODUITS CHIMIQUES AGOUZAL"/>
        <s v="AZIZ MAATAOUI"/>
        <s v="KRIMOU"/>
        <s v="LA ROUTE MAROCAINE"/>
        <s v="SERFA MAROC"/>
        <s v="SFAK STAR"/>
        <s v="SHAIBI REDOUANE"/>
        <s v="SIGMA"/>
        <s v="SIOF CONSERVERIES"/>
        <s v="SMAFIA"/>
        <s v="MATRIX PEINTURES"/>
        <s v="SOCIETE ZAIM"/>
        <s v="SYBA EQUIPEMENT"/>
        <s v="LAFFAR ABDELATIF "/>
        <s v="SEDKI ABSDESLAM"/>
        <s v="TANGER NEROLI"/>
        <s v="TAOURMATE"/>
        <s v="TKIK ABDELKADER"/>
        <s v="A2S"/>
        <s v="MEHDI CHAMROUK"/>
        <s v="ZANOUTI BOUJEMAA"/>
        <s v="MOGADOR CHIMIE"/>
        <s v="CADILHAC"/>
        <s v="CHROMA COLOR"/>
        <s v="CHARCUTERIE MIAMI"/>
        <s v="CMEFI"/>
        <s v="COFABRI BITUME"/>
        <s v="CALTE CHIMIE"/>
        <s v="AUTO MOVE"/>
        <s v="CASA DENTAIRE"/>
        <s v="MOSTAFA MIDELT"/>
        <s v="MOURTIB ABDERRAZAK"/>
        <s v="BENCHAKROUN MOHAMED"/>
        <s v="AIDI BOUCHAIB"/>
        <s v="G T F I"/>
        <s v="KETTANI AHMED"/>
        <s v="RAFII"/>
        <s v="RICHARD"/>
        <s v="VAISSIERE ET AMAR"/>
        <s v="NAMOUH RACHID"/>
        <s v="NMCI"/>
        <s v="NS DENTAL"/>
        <s v="BEKKARI OMAR"/>
        <s v="SAKI OMAR"/>
        <s v="OUARRAK"/>
        <s v="PEINTURE AL AAHD"/>
        <s v="PEINTURE ENNAKHIL"/>
        <s v="PEINTURE MAHASSINE"/>
        <s v="PETRO LABO"/>
        <s v="PLASTIMA"/>
        <s v="DROGUERIE OMAR"/>
        <s v="SEP NEGOCE"/>
        <s v="SERI DIFFUSION"/>
        <s v="SETA COLOR"/>
        <s v="SIBAGHATE"/>
        <s v="SINTRAM"/>
        <s v="SODIPRO"/>
        <s v="SOTECA"/>
        <s v="TASKAL"/>
        <s v="TITAN               "/>
        <s v="TODESCO"/>
        <s v="TOUAF MOHEMED"/>
        <s v="VERLAB"/>
        <s v="WAHAT KARIM"/>
        <s v="YARDEN MAROC"/>
        <s v="CARMOPEINT"/>
        <s v="CARREAU TAOUNAT"/>
        <s v="BS2M.COM"/>
        <s v="CLAL INDUSTRIE"/>
        <s v="CHAI ANDRIEUX"/>
        <s v="COMAGER"/>
        <s v="CCIC"/>
        <s v="CHLOBO"/>
        <s v="COCOMAR"/>
        <s v="DROGUERIE GURTILI"/>
        <s v="CROCPAINT"/>
        <s v="COLODEC"/>
        <s v="COMPTOIR DE LA PATISSERIE"/>
        <s v="COVIMA"/>
        <s v="COMPTOIR DE REFINISHING"/>
        <s v="CHIMIE YASSINE"/>
        <s v="CMA INVEST"/>
        <s v="COLAS DU MAROC"/>
        <s v="ALFA CHIMIE"/>
        <s v="COVEC"/>
        <s v="COLOPEINT"/>
        <s v="CEBACHIM"/>
        <s v="BS CHIMIE"/>
        <s v="ZAANANE MOHAMED"/>
        <s v="MOSHFI SAID"/>
        <s v="ALYAC"/>
        <s v="ENRETEC"/>
        <s v="ECONOMAT DU MAGHREB"/>
        <s v="ENERGY AUTO"/>
        <s v="EUROTEX"/>
        <s v="ENNASRE QUINCAILLERIE SARL"/>
        <s v="EQUIMATIP"/>
        <s v="EURONET WORK"/>
        <s v="ERRACHIDIA CAREAU"/>
        <s v="ETABLISSEMENT GRAND BAZAR"/>
        <s v="DROGUERIE OUSAMA"/>
        <s v="ESECAR"/>
        <s v="ARCOL"/>
        <s v="ETABLISSEMENT HADJ TALAL"/>
        <s v="EUROFANEG"/>
        <s v="ECOTRA"/>
        <s v="ESPACE KHALIJ"/>
        <s v="AGHARASS PEINTURE"/>
        <s v="ARENA PEINTURE"/>
        <s v="EUROPREFA"/>
        <s v="ETRACHEM"/>
        <s v="EL HAROUCHI HASSAN"/>
        <s v="DROGUERIE AL AMAL"/>
        <s v="ALICOMAR"/>
        <s v="AMAL ZAGORA"/>
        <s v="ETS ALCAYDE"/>
        <s v="ACHRO"/>
        <s v="AMIRA BOUGIE"/>
        <s v="2B COLOR"/>
        <s v="AXOMAR"/>
        <s v="DROGUERIE BAKHAT"/>
        <s v="DROGUERIE 12 RAMA"/>
        <s v="DINLAB"/>
        <s v="DROGUERIE TERMIDI"/>
        <s v="DIOUANI COLOR"/>
        <s v="DROGUERIE AHLAOU "/>
        <s v="DELTA DROGUERIE"/>
        <s v="NESSMA FLAVOR"/>
        <s v="DROGUERIE AL MASSIRA"/>
        <s v="ADDICSIA"/>
        <s v="DIMA GRAISSE"/>
        <s v="DROGUERIE AHLAN ALWAN"/>
        <s v="DROGUERIE AL AMAN"/>
        <s v="DROGUERIE BAGHDAD"/>
        <s v="DROGUERIE CHIGUER"/>
        <s v="DROGUERIE MESSOUDIA"/>
        <s v="DECOPIN"/>
        <s v="DROGUERIE AL BARAKA"/>
        <s v="DROGUERIE GRAND BAZAR"/>
        <s v="DROGUERIE ABERKANE"/>
        <s v="DROGUERIE AL HASSANI"/>
        <s v="DROGUERIE NOUR"/>
        <s v="AUTOMATION PRINT"/>
        <s v="DROGUERIE ANDALOUS"/>
        <s v="DROGUERIE AJERRAR"/>
        <s v="DRIOUCH SBAGHA"/>
        <s v="DROGUERIE AYOUB"/>
        <s v="DROGUERIE TAHILAB"/>
        <s v="DROGUERIE VOLTAIRE"/>
        <s v="DROGUERIE NOUREDDINE"/>
        <s v="DROGUERIE SHEMS"/>
        <s v="DROGUERIE TARIK"/>
        <s v="DROGUERIE AIT OUBELLA"/>
        <s v="DEMAR SOLUTIONS"/>
        <s v="DROGUERIE INDUSTRIELLE"/>
        <s v="CABINET AOUANI"/>
        <s v="DROGUERIE RIAD"/>
        <s v="DROGUERIE GENERAL"/>
        <s v="DROGUERIE AL FATH"/>
        <s v="DROGUERIE RAMI"/>
        <s v="DROGUERIE ERRAZAK"/>
        <s v="DROGUERIE NEDRLAND"/>
        <s v="DROGUERIE EL CHIFA"/>
        <s v="DROGUERIE DROLISA"/>
        <s v="DROGUERIE AL MAZRIA"/>
        <s v="DROGUERIE AMANAR"/>
        <s v="DETROIT NECTARS"/>
        <s v="FAUCON COLOR"/>
        <s v="ABH SYSTEM"/>
        <s v="ABIDAR ALI"/>
        <s v="AGRICO ASDIM"/>
        <s v="AHLA"/>
        <s v="AKHABELLA"/>
        <s v="AL MOUMTAZ NATURAL PRODUCT"/>
        <s v="ALCHEM"/>
        <s v="ALL GREEN LABORATOIRE"/>
        <s v="ALMENARA BUREAU"/>
        <s v="APIZER BIO PRODUIT"/>
        <s v="ARC PHARMA"/>
        <s v="ARCHIBETON"/>
        <s v="ARGAN MOGADOR"/>
        <s v="ARGAN OIL COMPANY"/>
        <s v="ARGAN SOUSS"/>
        <s v="ARGANAWA"/>
        <s v="ARGANEVE"/>
        <s v="ARGANIA VELVETINE"/>
        <s v="FACOP"/>
        <s v="ARGANIER DE L'ATLAS"/>
        <s v="ARGAN'S"/>
        <s v="AROMES ET MONTAGNES"/>
        <s v="ARTISANAL BIO ATTITUDE"/>
        <s v="AS MEDICAL CARE"/>
        <s v="ASSAISS ET TAMOUNTE"/>
        <s v="ASSOCIATION AL MOBADARA"/>
        <s v="ASSOCIATION EL BATOUL"/>
        <s v="BI-MEDIATION"/>
        <s v="FALCOZ"/>
        <s v="BIO ADORATES"/>
        <s v="BIO ET ZIN"/>
        <s v="BIO LYS"/>
        <s v="BIO PUR"/>
        <s v="BIOVENDIS"/>
        <s v="BODY LAND"/>
        <s v="BULLS AND LIONS"/>
        <s v="CASARTISAN EXPORT"/>
        <s v="CHAMITA"/>
        <s v="FLIXICAP"/>
        <s v="CHARME DU MAROC"/>
        <s v="CIP GOUM YOUSSEF"/>
        <s v="COLIBRI DEVELOPPEMENT"/>
        <s v="COMPTOIR AGRICOLE AL FADILA"/>
        <s v="COMPTOIR AGRICOLE AROMATHERAPIE"/>
        <s v="COOP WIRGANE"/>
        <s v="COOP AL BARANESS"/>
        <s v="COOP AL MOUSTAKBAL"/>
        <s v="COOP AL WIFAK"/>
        <s v="COOP AMANAR"/>
        <s v="COOP APICOLE ATAKWA"/>
        <s v="COOP ARGANE EL KHEIR"/>
        <s v="COOP DEMNATE PROD FORESTIERS"/>
        <s v="COOP TAITMATINE"/>
        <s v="COOP AFOULKI IDMINE AGADIR"/>
        <s v="COOP KAOUKI"/>
        <s v="DAME NATURE"/>
        <s v="DAR AL HAKIM"/>
        <s v="DIMA TERROIR"/>
        <s v="GRAPHOCHIME"/>
        <s v="EFAS"/>
        <s v="EL HOUSNY YOUSSEF"/>
        <s v="ENDURING SUN"/>
        <s v="ESPACE BIO NATURE"/>
        <s v="EZZARZOUR MOSTAFA"/>
        <s v="FAMOMI"/>
        <s v="FELLAH GZOULA"/>
        <s v="FLEUR DE THE"/>
        <s v="FINDUS MAROC"/>
        <s v="FLEUR ROZE"/>
        <s v="FONDATION ORIENT "/>
        <s v="GIE ARGAN TAROUDANT"/>
        <s v="GIE VITARGAN"/>
        <s v="GLOBAL TREASURES"/>
        <s v="GREEN COM"/>
        <s v="H2EA"/>
        <s v="HATIM GOUSRIR"/>
        <s v="HORIZON PARTNERS"/>
        <s v="FAPRODENT"/>
        <s v="LA SULTANA MARRAKECH"/>
        <s v="SEH RYAD MOGADOR OPERA"/>
        <s v="IBN AIBIL SAID"/>
        <s v="ILHAM LAMRANI"/>
        <s v="IMAN SAOUI"/>
        <s v="IRCOS LABORATOIRE"/>
        <s v="JERRA FLORE"/>
        <s v="KEROS INTERIOR PARFUME"/>
        <s v="KINANA"/>
        <s v="KINESPA"/>
        <s v="LABEL BIO"/>
        <s v="LABORATOIRE KPH"/>
        <s v="LABORATOIRE LE CONDOR"/>
        <s v="LACTALIA"/>
        <s v="LAMSA"/>
        <s v="ASEBBANE LARBI"/>
        <s v="OUCHOU LAURA"/>
        <s v="LB COSMETICS"/>
        <s v="LBC LAB"/>
        <s v="LE MARCHE DES SAVEURS"/>
        <s v="LE PANIER DU FERMIER"/>
        <s v="LES CONFINS DU MAROC"/>
        <s v="LES HUILES D'ESSAOUIRA"/>
        <s v="LES JARDINS DU SOUSS"/>
        <s v="LES PORCELAINES DE MARRAKECH"/>
        <s v="LES RENDEZ VOUS DU SOLEIL"/>
        <s v="LES REVES DE TERROIR"/>
        <s v="LILIs GOURMANDISE"/>
        <s v="FADIPAC"/>
        <s v="MAILBACK"/>
        <s v="MAIS ARGANA"/>
        <s v="MANZIL LA TORTUE"/>
        <s v="MAROCARTZA / TISMARO"/>
        <s v="MARRAKECH COSMETUDE"/>
        <s v="MATURALIA"/>
        <s v="MERAMIRI"/>
        <s v="SLASSI NARJISS"/>
        <s v="MOGADOR HUILERIE"/>
        <s v="MOMS COSMETICS"/>
        <s v="BENZEKRI"/>
        <s v="BRITAL HICHAM"/>
        <s v="TARIK"/>
        <s v="MUST CONSULTING IBD"/>
        <s v="MY BIO"/>
        <s v="ALSHEM"/>
        <s v="NATURAL HARMONY"/>
        <s v="NATURALINE"/>
        <s v="FABRICOM"/>
        <s v="NATURESENS"/>
        <s v="NATURIA BIO SHOP"/>
        <s v="NEGOPAC"/>
        <s v="NOPAL INDUSTRIE"/>
        <s v="NOURRITURE ET CON"/>
        <s v="O'DASSIA PEINTURE"/>
        <s v="OPTIM BUSINESS"/>
        <s v="PACK SYSTEM"/>
        <s v="PARTEC"/>
        <s v="PHARMACIE DU RIF"/>
        <s v="PHARMACIE CEDRE D"/>
        <s v="PHARMACIE DE L UN"/>
        <s v="POLY AGRO MAROC"/>
        <s v="PROMOSELMA"/>
        <s v="RAYHAN SHOP"/>
        <s v="COOP SABBAR RHAMN"/>
        <s v="SAHARA CACTUS"/>
        <s v="SALVEMA MAROC GOU"/>
        <s v="SERROUT JENNA"/>
        <s v="PARA ARGANI"/>
        <s v="SOUSS TERROIR"/>
        <s v="SUD ARGAN PRODUIT"/>
        <s v="SUD MAROC SERVICE"/>
        <s v="SWAN COSMETIQUE"/>
        <s v="TEMSAMANI"/>
        <s v="UCFA"/>
        <s v="UNIFAN"/>
        <s v="VALINCIA"/>
        <s v="YALIM"/>
        <s v="POLYCTRO"/>
        <s v="ZARAPHYT"/>
        <s v="ZITOUN DE MARRAKE"/>
        <s v="PANIER SAVEURS"/>
        <s v="DEUHN"/>
        <s v="DROGUERIE KAROUN"/>
        <s v="ABDELHADI BAATI"/>
        <s v="ALMAPACK"/>
        <s v="BARI DISTRIBUTION"/>
        <s v="AROMET"/>
        <s v="AFRIQUE ETANCHEITE"/>
        <s v="ARESCOT"/>
        <s v="AKRAM PEINTURE AU"/>
        <s v="GIEM"/>
        <s v="GH STOP"/>
        <s v="GRAPHICHIMIE"/>
        <s v="GTR"/>
        <s v="GARAGE ZITOUNA"/>
        <s v="GOUDRAR KHALID"/>
        <s v="GUEROUANI"/>
        <s v="GHAZALA MESSAGERI"/>
        <s v="BEN ALI"/>
        <s v="ATLAS OLIVE OILS"/>
        <s v="ARAZA PEINT"/>
        <s v="IMAPE"/>
        <s v="IMIANE"/>
        <s v="ISOPAINT"/>
        <s v="DROGUERIE DRISSI"/>
        <s v="INAPEQ"/>
        <s v="DROGUERIE TAMRI"/>
        <s v="IDA GOUGMAR"/>
        <s v="EPSILON LAB"/>
        <s v="ARD GUISSER"/>
        <s v="DROGUERIE TALEB"/>
        <s v="HEMPEL MAROC"/>
        <s v="JACK INDUSTRIE"/>
        <s v="HANDS PEINT"/>
        <s v="MELTON MAGHREB"/>
        <s v="JABRI ABDENNOUR"/>
        <s v="HERITIERS GUESSOU"/>
        <s v="HARMAZ DOHA"/>
        <s v="JARDIN MAJORELLE"/>
        <s v="EL RHAZZAR HAKIM"/>
        <s v="JET WALLY"/>
        <s v="CLIENT DIVERS"/>
        <s v="ARTS DU SOLEIL"/>
        <s v="IKING"/>
        <s v="SEVAM"/>
        <s v="PERFECT AFRICA DI"/>
        <s v="JEMNI DES HUILES "/>
        <s v="BILINT N CO"/>
        <s v="HERBA BLANCA"/>
        <s v="SGS MAROC"/>
        <s v="ORCADOR"/>
        <s v="BIO GAMME"/>
        <s v="UNIMER GROUPE"/>
        <s v="FD PEINTURE"/>
        <s v="BENKIRANE MERIEM"/>
        <s v="AGRATEL"/>
        <s v="VIMA SOUSS"/>
        <s v="SOQUMOL"/>
        <s v="REBEI HICHAM"/>
        <s v="ROULLOIS KHAIRA"/>
        <s v="VAILLANT DANIEL M"/>
        <s v="SEBBAG JULIETTE"/>
        <s v="DROGUERIE MCELLA"/>
        <s v="SICOPA"/>
        <s v="TRADISFOOD"/>
        <s v="KTZ CONSULTING"/>
        <s v="AZERZOUR MOSTAPHA"/>
        <s v="MOUMINE MOHAMED"/>
        <s v="ARGAN STAR"/>
        <s v="PROMICOM"/>
        <s v="AYA JANNATE"/>
        <s v="HERBORISTERIE DU "/>
        <s v="GA CONCEPT"/>
        <s v="NATURALIS"/>
        <s v="VITAESENS"/>
        <s v="GAP ARGAN"/>
        <s v="THE ARGAN MAGIC"/>
        <s v="RACHIMAR"/>
        <s v="SMARA PARKING sar"/>
        <s v="FENYADI"/>
        <s v="HORIZON INDUSTRIE"/>
        <s v="PHYTORAMA sarl"/>
        <s v="BIOCHOP"/>
        <s v="LABOTANIC"/>
        <s v="HOTEL LA TOUR HAS"/>
        <s v="AMAZONIA"/>
        <s v="LESART COMMUNICAT"/>
        <s v="PRODIGIA"/>
        <s v="PARA SANS GLUTEN"/>
        <s v="PIONAGRI sarl"/>
        <s v="BENI YAALA ZKARA"/>
        <s v="YOUKARI"/>
        <s v="ML EVENT"/>
        <s v="COOP AL BARAKA ES"/>
        <s v="BITUMEN sarl"/>
        <s v="YVANISENS"/>
        <s v="DEPASHA"/>
        <s v="SALON TONELLA"/>
        <s v="PACOS RABAT"/>
        <s v="ONG MOUVEMENT POU"/>
        <s v="IRAQI ALI"/>
        <s v="SAMARA"/>
        <s v="MKR sarl"/>
        <s v="COOP AGHINANE"/>
        <s v="ONE2MARKETPLUS"/>
        <s v="ASSISTANCE SAADA"/>
        <s v="BOUJEMAA BOUSENGA"/>
        <s v="PHARMACIE MEGAMAL"/>
        <s v="EL MIJHAR STORE"/>
        <s v="TRACOTEQ sarl"/>
        <s v="EXTRA D.P SARL"/>
        <s v="LIM CONSULTING"/>
        <s v="OLIVOIL"/>
        <s v="PHARMACIE MZOUDIA"/>
        <s v="MAROC MOVIE"/>
        <s v="ZED PEINTURE"/>
        <s v="MAJILAB"/>
        <s v="KR NATURE"/>
        <s v="MORROCAN ORGANIC "/>
        <s v="TRADITION D'ARGAN"/>
        <s v="JEAN MARIE SANTAN"/>
        <s v="ANNEES LUMIERES"/>
        <s v="FARMASI FRAGRANCE"/>
        <s v="PARAELAN"/>
        <s v="SWEENY"/>
        <s v="NAYOKA"/>
        <s v="PASSION ARGAN"/>
        <s v="BEST CLEAN"/>
        <s v="ARGALISS"/>
        <s v="INOVAG"/>
        <s v="DAR FUSHIA"/>
        <s v="JAPAS"/>
        <s v="SMAFEC"/>
        <s v="CHAMA BUSINESS sa"/>
        <s v="MARRAKECH SIGN"/>
        <s v="ARVECO"/>
        <s v="COSMETIQUE MEDICA"/>
        <s v="RAIS TRADE"/>
        <s v="CAMILO ACOSTA"/>
        <s v="TRAITEUR BERRADA"/>
        <s v="ASSOCIATION AFDF"/>
        <s v="CERAI-Alhucemas"/>
        <s v="HDH"/>
        <s v="BIO COSMED"/>
        <s v="CSAM - CPTOIR SEL"/>
        <s v="NATURAL SOURCE sa"/>
        <s v="BERRADA BOUCHRA"/>
        <s v="RACING KIT AUTO"/>
        <s v="GPAUMA"/>
        <s v="COOP TAHT AL AIN"/>
        <s v="SEGH S.A.R.L"/>
        <s v="ORGANIC SHOP"/>
        <s v="PHARMACIE LUMIERE"/>
        <s v="RENTAL"/>
        <s v="HUILE DARGAN"/>
        <s v="LES CONSERVES MEK"/>
        <s v="COOP YACOUT"/>
        <s v="JIHANE RAQIQ"/>
        <s v="COULEMON"/>
        <s v="BAINS DE MARRAKEC"/>
        <s v="DELICHEF"/>
        <s v="KELMO"/>
        <s v="COOP TALOUZT FEMI"/>
        <s v="SOMIA"/>
        <s v="M.EMBALLAGE"/>
        <s v="MON TAPIS"/>
        <s v="PAYS D'ARGAN EXPO"/>
        <s v="COOP AZIR"/>
        <s v="AGOUZAL AHMED"/>
        <s v="MARRAK"/>
        <s v="NATIMEX"/>
        <s v="BHA"/>
        <s v="TEX PIECE SARL"/>
        <s v="PHARMACIE EL MASJ"/>
        <s v="KHODRI ABDELALI"/>
        <s v="PHARMACIE ANBARY"/>
        <s v="ABDELLAH GOLF"/>
        <s v="PROMADEC"/>
        <s v="CENTRE AFRICAIN P"/>
        <s v="MOROCCAN COSMETIC"/>
        <s v="ZYMOPHAR"/>
        <s v="VITROPLANT MAROC"/>
        <s v="COOP CHAHDAT ANNA"/>
        <s v="ORIPERLE"/>
        <s v="ASIL COSMETIC sar"/>
        <s v="COOP L'EST OUJDA"/>
        <s v="WORK NET EXCHANGE"/>
        <s v="PARNASSE INDUSTRI"/>
        <s v="MARBAR CHIMIE"/>
        <s v="AFRIQUIA LUBRIFIA"/>
        <s v="MINALYS"/>
        <s v="MACRYL"/>
        <s v="MORKOCH"/>
        <s v="BIO TISSIR"/>
        <s v="BAKOURY BRAHIM"/>
        <s v="SABLA FOOD"/>
        <s v="PHARMACIE IBN SIN"/>
        <s v="BENJEXPORT"/>
        <s v="LOVE EAT CARE"/>
        <s v="CHOUMISSA sarl"/>
        <s v="BIO COSMETIQUE"/>
        <s v="HIGHT NEGOCE"/>
        <s v="INABRA"/>
        <s v="LILLA FOOD"/>
        <s v="MIRY ARGANA"/>
        <s v="VISPRO"/>
        <s v="ARGANEX"/>
        <s v="COOP TAMAYNOUTE"/>
        <s v="DIAFACOM"/>
        <s v="EASYLOG"/>
        <s v="ARMONYA"/>
        <s v="KH IMPORT EXPORT"/>
        <s v="MASTER CHIMICAL"/>
        <s v="LUBRIFIANT AL AKH"/>
        <s v="CHIMICOLOR PAINTS"/>
        <s v="AGUENAOU FATIMA"/>
        <s v="PELISSARD SARL"/>
        <s v="COLOR PELLE"/>
        <s v="KHIAM CUIR"/>
        <s v="SOCAMAR"/>
        <s v="ARGANE ADRAR"/>
        <s v="SOFASIA"/>
        <s v="NORD COLOR"/>
        <s v="AGRICONSULTING MA"/>
        <s v="SANTE ASSISTANCE "/>
        <s v="COOP ARGANANOUMSK"/>
        <s v="BUZZICHELLI"/>
        <s v="NATURO PATHI MARO"/>
        <s v="DROGUERIE QUINCAILLERIE DE LONDRES"/>
        <s v="MARPHI"/>
        <s v="COSMETIC HORIZONS"/>
        <s v="DONIA ALAACHAB"/>
        <s v="ROSAVER"/>
        <s v="LAARIBI BOIS"/>
        <s v="DROGUERIE HANIN"/>
        <s v="DAMANDIS"/>
        <s v="BIENVENUE AU MARO"/>
        <s v="HUILES D OLIVES D"/>
        <s v="BOUBKER"/>
        <s v="PERFUME HOUSE"/>
        <s v="TOP SAVEURS"/>
        <s v="LOUHMADI"/>
        <s v="SUKAR ET MELA"/>
        <s v="LAMSAT CHIFAE"/>
        <s v="LA MAROCAINE DES "/>
        <s v="VITALUS"/>
        <s v="COOP EL ANASER"/>
        <s v="ULILI sarl"/>
        <s v="COOP OUMNIA"/>
        <s v="COOP EL HOUDA"/>
        <s v="COOP AZZOHOUR"/>
        <s v="ANS"/>
        <s v="EL HOUSSINE NAIMI"/>
        <s v="TIGONTAF ARGANE"/>
        <s v="ART'DIF"/>
        <s v="COOP AJDDIGUE"/>
        <s v="SONALI"/>
        <s v="TOP SCIENCE"/>
        <s v="MEHDI RICHE"/>
        <s v="COOP ARSAT ANAKHI"/>
        <s v="ATLAS PRO INDUSTR"/>
        <s v="BUSINESS MARKET M"/>
        <s v="COOP NADA"/>
        <s v="ALLIAN'SPA"/>
        <s v="LOUNASDA"/>
        <s v="ATRAFEL SA MALI"/>
        <s v="COMPAGNIE CHERIFI"/>
        <s v="MAROCAINE DES IND"/>
        <s v="VITALYS CONSEIL"/>
        <s v="COMPUGRAPH"/>
        <s v="CHIWATE AL JANOB"/>
        <s v="FES TERROIR sarl"/>
        <s v="DELTA CAPSULE"/>
        <s v="ARGAN SHOP"/>
        <s v="MOROCCOS"/>
        <s v="RENFOR-BAT"/>
        <s v="CHIT"/>
        <s v="BIO OIL EL KARAM"/>
        <s v="TATOFT ASSO PRODU"/>
        <s v="TAIBI HAMID"/>
        <s v="GIE TSOULI"/>
        <s v="BO DESIGN"/>
        <s v="GIE PAM TAOUNATE"/>
        <s v="NAHDA MEZGUIDA"/>
        <s v="BOUJILAC"/>
        <s v="GIE AIN AICHA"/>
        <s v="COOP JIBALE ATLAS"/>
        <s v="AGRIBLED"/>
        <s v="KENZORIENT SARL"/>
        <s v="NOHA PARK ET LOISI"/>
        <s v="CORPODIM"/>
        <s v="COOP NOUARA"/>
        <s v="WASSA AGRO GROUP"/>
        <s v="AGRO NAFISS sarl"/>
        <s v="COOP TOUDARTE"/>
        <s v="PEINTURE EL HOUDA"/>
        <s v="MAITRES DU PAIN"/>
        <s v="L.IZZA sarl"/>
        <s v="COPPERATIVE ABNAA"/>
        <s v="COOP ABNAA MADINA"/>
        <s v="PATISSERIE DES SA"/>
        <s v="PAZHO SERVICES"/>
        <s v="AFRITOSMAROC"/>
        <s v="COOP AMJAD"/>
        <s v="AZOR"/>
        <s v="CAVES DES ILES"/>
        <s v="COOP EL BARAKA NA"/>
        <s v="ASSOCIATION PLANT"/>
        <s v="COOP LHWAFI"/>
        <s v="ASSOCIATION DES A"/>
        <s v="FISATEX"/>
        <s v="AL MARKAZ DISTRIB"/>
        <s v="COOP AL BARAKA AG"/>
        <s v="COOP AZERGUE"/>
        <s v="COOP NAHDA"/>
        <s v="LAKHAL DISTRIBUTI"/>
        <s v="TAHA TIJARA"/>
        <s v="CHOUMICHA NATURE "/>
        <s v="FHA SYSTEM sarl"/>
        <s v="CENTRE SPECIALISE"/>
        <s v="DKM GROUP"/>
        <s v="HELIOS PRODUCTION"/>
        <s v="NAHLAT AL MAGHREB"/>
        <s v="COOP TIZIA"/>
        <s v="MIEL LACHKAR"/>
        <s v="COOP TOUMENT"/>
        <s v="SPJ"/>
        <s v="ASSOCIATION ANNOJ"/>
        <s v="BELFAKIR REDOUANE"/>
        <s v="BIO-VERT sarl"/>
        <s v="UNITED PROJETS sa"/>
        <s v="COMPLEXE AGROALIM"/>
        <s v="BUSINESS TOURS &amp; "/>
        <s v="BERTIT EL MOSTAPH"/>
        <s v="SWEET CACTUS"/>
        <s v="COOP BECMA"/>
        <s v="AIT IZDIR HOUCINE"/>
        <s v="BIORANGINA"/>
        <s v="COOP ZRIGAT"/>
        <s v="GIE AOUFOUSS ERRA"/>
        <s v="COTE MAISON"/>
        <s v="COOP  AJAABOU"/>
        <s v="EL FAZAZI BILAL"/>
        <s v="BK MEDICAL"/>
        <s v="FOREVER ARGAN"/>
        <s v="KOSMANBEAUTY"/>
        <s v="TERBER"/>
        <s v="ATLAS CATERING AI"/>
        <s v="SEDEBIC"/>
        <s v="ZAIDI SABIR"/>
        <s v="SMEC MAURITANIE"/>
        <s v="MIPA-AG MAROC"/>
        <s v="MEK EQUIPEMENT"/>
        <s v="COREXIM"/>
        <s v="LAPARA SARL"/>
        <s v="COOP ZIZ"/>
        <s v="PHARMACIE RYAD SO"/>
        <s v="KINE DOUCE HEURE "/>
        <s v="MCSD"/>
        <s v="PRODECAR"/>
        <s v="PHARM INVEST"/>
        <s v="FOURNITURE EQUIPE"/>
        <s v="BIOUI TRAVAUX"/>
        <s v="TRICOL"/>
        <s v="LECHHAB ABDELGHAN"/>
        <s v="D'ALOVE sarl"/>
        <s v="AMYS"/>
        <s v="COOP ELBARAKA TAO"/>
        <s v="COOP FRITISSA"/>
        <s v="SMBS"/>
        <s v="ETS AIT BENNANI"/>
        <s v="ETA IMEX"/>
        <s v="OPTIMA CHIMIE"/>
        <s v="COOP TARGA"/>
        <s v="DRINKEL BIO"/>
        <s v="IXELENCE"/>
        <s v="SALAM PEINTURE"/>
        <s v="AGOUMI KHALIL "/>
        <s v="VIE NATURE"/>
        <s v="OLIVINVEST sarl"/>
        <s v="PHARMACIE DU GHAR"/>
        <s v="AMARI"/>
        <s v="PHARMA-S"/>
        <s v="ROSA HUILE"/>
        <s v="SAADAOUI ABDELKADER"/>
        <s v="PHARMACIE AL BACH"/>
        <s v="BIOPROP"/>
        <s v="S2A"/>
        <s v="PRODIET sarl"/>
        <s v="COSMALINE"/>
        <s v="TADAWOL TRADE"/>
        <s v="MCN AGRO"/>
        <s v="AUTO MOTO TOUNSI"/>
        <s v="COOP TAIBA CHIFAE"/>
        <s v="VITALY COLOR"/>
        <s v="SORIA NATURE"/>
        <s v="ASSOCIATION MAROB"/>
        <s v="TAKARKOURTE sarl"/>
        <s v="ENERSUN HOLDING"/>
        <s v="AKKAR MOHAMMED"/>
        <s v="ABTAL AGDAL"/>
        <s v="YAPRO"/>
        <s v="MZM"/>
        <s v="DIAMANT DISTRIBUT"/>
        <s v="BIOPAM"/>
        <s v="APM"/>
        <s v="LEBOMIN sarl"/>
        <s v="MAGIC ARGANA"/>
        <s v="PARA HM"/>
        <s v="ARGANE WORLD OIL"/>
        <s v="TRADIPAL"/>
        <s v="OULD BIHA MOHAMED"/>
        <s v="2 SEI ET NEGOCE"/>
        <s v="GIE TERROIRS SOLI"/>
        <s v="COOP BENI AMIR"/>
        <s v="COOP DEMNATE DE L"/>
        <s v="COOP DIR EL KSIBA"/>
        <s v="BADIR SIDI MOHAME"/>
        <s v="PLASTIQUE INTER"/>
        <s v="RUNI Ets"/>
        <s v="ZBAKH YOUSSEF"/>
        <s v="MABIOMA"/>
        <s v="COOP AL OUKHOUA"/>
        <s v="COMAJIB"/>
        <s v="BIO ASSIL"/>
        <s v="OXFAM ITALIA"/>
        <s v="SOCAPRAG"/>
        <s v="ORIENTAL GROUP"/>
        <s v="L'APPROVISIONNEUR"/>
        <s v="ARGAN MAGIE S.A.R"/>
        <s v="OXYGENE"/>
        <s v="DISTRIBIO"/>
        <s v="RUCHERS DE L'ATLA"/>
        <s v="SOMEDIS"/>
        <s v="ZINEGLOB"/>
        <s v="ENERGI-TECH TRANS"/>
        <s v="PHYTO VIE"/>
        <s v="ESPACE PARA BELLA"/>
        <s v="ZOUINKA HICHAM"/>
        <s v="ELIXIRIUM"/>
        <s v="SECU PORTES"/>
        <s v="AHMED TAZI"/>
        <s v="EURAFRIC"/>
        <s v="SARIM AGRO"/>
        <s v="NOEMIE CREATION"/>
        <s v="NOUR UNIVERS sarl"/>
        <s v="APIDEV"/>
        <s v="AL BARAHMIA"/>
        <s v="ASEL TECHNOLOGY"/>
        <s v="COOP GENERAL DES "/>
        <s v="REDA DITRIBUTION"/>
        <s v="PADEC - SENEGAL"/>
        <s v="OLVEA ATLANTIC"/>
        <s v="QUALITY 4 YOU"/>
        <s v="HOMEOPHARMA"/>
        <s v="PAR NATURE BIO"/>
        <s v="COOP AL FADL"/>
        <s v="OUTIBENDAR"/>
        <s v="MIEL BEN DAOUD"/>
        <s v="BIO PEINT sarl"/>
        <s v="SONA COLOR"/>
        <s v="AL BATRAE TAWABIL"/>
        <s v="COOP AMAL DE TAMA"/>
        <s v="TECOS MARITIME S."/>
        <s v="LA FERME BIO"/>
        <s v="PHARMACIE CHELLAH"/>
        <s v="NEGOCEDET"/>
        <s v="SASKABUSH TOLET"/>
        <s v="PHARMACIE LA ROTO"/>
        <s v="ECLADECO"/>
        <s v="ABTAS INDUSTRIE"/>
        <s v="DROGUERIE SIDI BO"/>
        <s v="L'ART D'HOTELERIE"/>
        <s v="FERME PEDAGOGIQUE"/>
        <s v="ARGAN OIL ZAD"/>
        <s v="PHARMACIE MARJANE"/>
        <s v="CONSERVERIE ESSALAMA"/>
        <s v="ASSOCIATION IBN A"/>
        <s v="COOP ANZAR"/>
        <s v="MW SYSTEM"/>
        <s v="ZIZMULTISERVICES"/>
        <s v="COOP AOUKIDA"/>
        <s v="EUROVETROCAP"/>
        <s v="MARNY"/>
        <s v="VIESEVE-ART"/>
        <s v="BLUEPEPPER COMPAN"/>
        <s v="MAGICOLLE sarl"/>
        <s v="DROGUERIE NASSIM"/>
        <s v="PHARMACIE EL KOUT"/>
        <s v="JBABDI ABDALLAH"/>
        <s v="EL MOUSSAOUI SIHA"/>
        <s v="DAR ARGANA"/>
        <s v="EL HILALI JALILA"/>
        <s v="ADHAM BELMOUDEN"/>
        <s v="BEST.CO"/>
        <s v="IMPACT"/>
        <s v="MEDI INVEST GROUP"/>
        <s v="AIMRANE D'INGENIE"/>
        <s v="ELMAY"/>
        <s v="MAROC TERROIR ET "/>
        <s v="HAMMAM SECRETS Sa"/>
        <s v="BELFAKIR SAID"/>
        <s v="BOUADE SAID"/>
        <s v="KENZ MAROC"/>
        <s v="DEL SUR"/>
        <s v="AGRO POLE OLIVIER"/>
        <s v="MCI SANTE ANIMALE"/>
        <s v="GHANI CHIMIQUES"/>
        <s v="JABALI MOHAMED"/>
        <s v="LABOTEST"/>
        <s v="BEN CHRIF AHMED"/>
        <s v="BAJ IMPORT EXPORT"/>
        <s v="CPTOIR MAROCAIN D"/>
        <s v="RIAD KALAA"/>
        <s v="NORTH AFRICA  AGR"/>
        <s v="LORILLEUX MAROC"/>
        <s v="LES JARDINS DE NA"/>
        <s v="ASS LA REINSERTIO"/>
        <s v="BAPLAST S.A.R.L"/>
        <s v="ARGAPUR"/>
        <s v="TAZARINE EVENEMEN"/>
        <s v="GUERTOUMY ABDENNA"/>
        <s v="DINAGRO"/>
        <s v="CHANTAL BEAUTE"/>
        <s v="ALLO PAELLA"/>
        <s v="ENRIQUE GARCIA GA"/>
        <s v="ELV FROM MAROC"/>
        <s v="VILLA LILIA"/>
        <s v="ARGANDEL"/>
        <s v="COTE BOUGIE"/>
        <s v="SACHETS MAROC"/>
        <s v="SUD BIO MAROC"/>
        <s v="DAR SOUSSIA"/>
        <s v="DECORS COMPOSITES"/>
        <s v="KLAS s.a.r.l"/>
        <s v="COMPTOIR BIO"/>
        <s v="LA MOGADOR SARL"/>
        <s v="BAZOUNA STORE"/>
        <s v="BOUAYAD MEHDI"/>
        <s v="SOTOTRACOM"/>
        <s v="COOP DES DATTES"/>
        <s v="S.B.R AGRI ESPACE"/>
        <s v="KHALID TAOUSSI"/>
        <s v="KIRY AHMED"/>
        <s v="IKRA YOUSSEF"/>
        <s v="BUTTER FLY CONCEP"/>
        <s v="COOP TAMOUNTE AIT"/>
        <s v="IGOUDAR DISTRIBUT"/>
        <s v="PROGRAMME OASIS T"/>
        <s v="MOSAIC PALAIS AZI"/>
        <s v="FILALI SVP"/>
        <s v="ZAMANI ABELKADER"/>
        <s v="JAWAD"/>
        <s v="HERBANATURE"/>
        <s v="REMILI SUD"/>
        <s v="SMAC"/>
        <s v="AMRANE"/>
        <s v="ARGAMAR"/>
        <s v="COOP TARGANTE"/>
        <s v="IGRANE ARGAN"/>
        <s v="MEDIUM TRAVAUX"/>
        <s v="HASSAN MOSLIH"/>
        <s v="JEAN BASTITE  DEL"/>
        <s v="GACHES CHIMIE SPE"/>
        <s v="CENTRE DES AFFAIR"/>
        <s v="Ets AINOURAHMATY "/>
        <s v="PROXIM MEDIA GROU"/>
        <s v="LA MAGREBINE DE D"/>
        <s v="MACHBAETE SARA"/>
        <s v="ARGAN MIRLEFT"/>
        <s v="RIAD DJEMANNA"/>
        <s v="STRETTA DI MANO S"/>
        <s v="BIOFARMA SENE SEN"/>
        <s v="CENTRE DECO"/>
        <s v="KONOUZ JIBAL IMOU"/>
        <s v="RIAD CHERGUI"/>
        <s v="SAHARA MULTIPRO"/>
        <s v="SYNERGIE FEMMES S"/>
        <s v="CENTRALE ACHAT AN"/>
        <s v="ZENA EXOTIC FRUIT"/>
        <s v="RYAD FRUIT"/>
        <s v="MOROCCAN NATURAL "/>
        <s v="POLTEC MAROC"/>
        <s v="TRANS VICTORY"/>
        <s v="AL AKHAWAIN COSME"/>
        <s v="COLAS EMULSION"/>
        <s v="PETRO-SURVEY"/>
        <s v="BOHI MAROC sarl"/>
        <s v="HMIDANI ABDERRAHM"/>
        <s v="PHARMACIE ESPOIR "/>
        <s v="CAIRE CENTRE TANG"/>
        <s v="IMPEX MOROCCO 4 Y"/>
        <s v="ISOTEC MAROC"/>
        <s v="ILOHA"/>
        <s v="EREBUS MAROC"/>
        <s v="VERGER IHLAL"/>
        <s v="SAVON D'ALEP"/>
        <s v="PLASTIPRO"/>
        <s v="MKDIS sarl"/>
        <s v="SPEMAG"/>
        <s v="KOUNOUZ OF MOROCC"/>
        <s v="RESTAURANT MURAIL"/>
        <s v="KING REVETEMENT S"/>
        <s v="IFAS MAGHREB"/>
        <s v="UNIVERS BIO PRODU"/>
        <s v="JASSI sarl"/>
        <s v="SENCHA"/>
        <s v="STE D'EXPLOITATIO"/>
        <s v="DROGUERIE OIAGAGU"/>
        <s v="ABUGINGER  GIE SE"/>
        <s v="ROYAL PALM Marrak"/>
        <s v="COOP THAWMAT"/>
        <s v="LES SURPRISES DE "/>
        <s v="LE MOULIN DE TAME"/>
        <s v="C.M.P.A"/>
        <s v="JNANE ZERHOUN"/>
        <s v="OUASIS DU SUD sar"/>
        <s v="LES DELICES GOURM"/>
        <s v="GARIDI KOUBA ALGE"/>
        <s v="ENIA"/>
        <s v="L'ART DU BAIN"/>
        <s v="JHIOUI HATIM"/>
        <s v="SIGMA TECHNOLOGIE"/>
        <s v="ECLATDERM SENEGAL"/>
        <s v="HAFID ABDELOUAHAB"/>
        <s v="PRINTPOINT"/>
        <s v="BOUIFADENE MOHAME"/>
        <s v="AFYACH SARL"/>
        <s v="COSMETIQUE SABHI"/>
        <s v="ASSOCIATION AL KA"/>
        <s v="PARIS ARABESQUES"/>
        <s v="DAR EL FAKIA"/>
        <s v="SAOAS: OMNIUM AGR"/>
        <s v="KEYSTONE INTERNAT"/>
        <s v="KI NATURE ET SANT"/>
        <s v="SPTS"/>
        <s v="MAROC TOUT ENERGI"/>
        <s v="BEAUTY FRESH"/>
        <s v="EIGENVALUE"/>
        <s v="NSA INVEST"/>
        <s v="AGRID MEKNES"/>
        <s v="ARGANIA"/>
        <s v="EL OUAFI MOHAMED"/>
        <s v="HANA K"/>
        <s v="PHARMACIE KHEOPS"/>
        <s v="LAASRI ABDELLAH"/>
        <s v="AKFAF"/>
        <s v="PEINTURE CHAMPION"/>
        <s v="MILD EVENTS SARL"/>
        <s v="MEDIPROMO SARL"/>
        <s v="MENARA MEDICAL"/>
        <s v="IMEX GENERAL"/>
        <s v="ABDELJALIL MEHDI"/>
        <s v="SGTSMORA"/>
        <s v="VECTORIUM"/>
        <s v="A2M NEGOCE SARL"/>
        <s v="UNIVERS PHARMA"/>
        <s v="MILOSA INTERNATIO"/>
        <s v="WASSOULI MUSTAPHA"/>
        <s v="PLANTE DOUKALA"/>
        <s v="TRANS SERVICES SA"/>
        <s v="SO-EXPORT IMPORT "/>
        <s v="PRO SEMAT"/>
        <s v="POINT PRODUCTION"/>
        <s v="MULTISERVICE POUR LE COMMERCE"/>
        <s v="GIE APIMA"/>
        <s v="GIE AHLAF HUILE D"/>
        <s v="OUTIMAR"/>
        <s v="AFRICAN DES HUILE"/>
        <s v="CARI START"/>
        <s v="FORMA ZEN"/>
        <s v="AZZI MOHAMMED"/>
        <s v="COOP SIDI MOUSSA"/>
        <s v="DROGUERIE ELAHMAD"/>
        <s v="PFIZER MAROC"/>
        <s v="MORCHID EL IDRISS"/>
        <s v="EL HADDAD TARIK"/>
        <s v="SAIBOUS AHMED"/>
        <s v="SAVON DE MARRAKEC"/>
        <s v="AA CHIMIE S.A.R.L"/>
        <s v="AIT RIAD YOUSSEF"/>
        <s v="EL KAMOUSS SARA"/>
        <s v="AKHDDAR SAHRAOUI "/>
        <s v="YANDEDIOP"/>
        <s v="GLO FOODS"/>
        <s v="JASMINE COMMUNICA"/>
        <s v="ASSOCIATION TITAO"/>
        <s v="PREMIUM FOOD AND "/>
        <s v="RACHA OLIVES"/>
        <s v="ETS ZIN ZIN"/>
        <s v="SOCIETE CONSERVES"/>
        <s v="BUTINA MIEL"/>
        <s v="INTERNATIONAL FRE"/>
        <s v="PARA SABEM"/>
        <s v="MARIBELL SKOB GRO"/>
        <s v="HALIB QUILLIEN MA"/>
        <s v="PRIMUS SERVICES"/>
        <s v="IDÆCLAIRE"/>
        <s v="NADIFI CONSULTING"/>
        <s v="DROGUERIE ALPHA"/>
        <s v="JEAN DUFLOT SARL"/>
        <s v="StÚ INSTRULAB Mar"/>
        <s v="ORKILA MAROC"/>
        <s v="MAHI ZOUBIR"/>
        <s v="EL GANA MOHAMED"/>
        <s v="SABEM"/>
        <s v="PURE EXPERIENCE"/>
        <s v="KAHENA AMFAD"/>
        <s v="NAHASS INVEST"/>
        <s v="ATELIER NATURE"/>
        <s v="ACOFARMA LAB"/>
        <s v="ABDELKARIM MOURAD"/>
        <s v="SHIZEN"/>
        <s v="BIO SPHERE"/>
        <s v="EXPERIA GLOBE"/>
        <s v="MARINA COSMETIC"/>
        <s v="BENSAID YASSIN"/>
        <s v="OUAZZANI MOULAY A"/>
        <s v="FIDARI"/>
        <s v="MANAHIL AIT BAAMR"/>
        <s v="ASSOCIATION HASSI"/>
        <s v="EVEMBA OKO JOSE L"/>
        <s v="DROGUERIE EL HORI"/>
        <s v="PHARMACIE BELAKHD"/>
        <s v="AGUIMEX"/>
        <s v="PROMANOVA"/>
        <s v="COTE PARA"/>
        <s v="ORGANIC SOURCING "/>
        <s v="CHIWATES DU TERRO"/>
        <s v="ZAKARIA AHMED"/>
        <s v="PEINTURE AL BOUKHARI"/>
        <s v="LABORATOIRES BORI"/>
        <s v="BANZ"/>
        <s v="RAMI HASSAN"/>
        <s v="RAHAPACK"/>
        <s v="ESTEVAL SENEGAL"/>
        <s v="FREE BUSINSS CLAS"/>
        <s v="MTS WILD SERVICES"/>
        <s v="COMASIG"/>
        <s v="ADGHAL GROUPE"/>
        <s v="BOUKHLIFI JAWAD"/>
        <s v="VERDEORTO SARL AU"/>
        <s v="COOP ASLAL"/>
        <s v="COOP OULED ELKORA"/>
        <s v="BIOCHARM TUNISIE"/>
        <s v="CHO COMPANY TUNIS"/>
        <s v="CANADA BEST LIFE"/>
        <s v="NOUR-DINE KARD"/>
        <s v="SAIDA MELLOUKI"/>
        <s v="PHARMACIE NASSIM "/>
        <s v="BEAUTE NATUREL"/>
        <s v="DOMAINES DE LA PO"/>
        <s v="JAC DISTRIBUTION"/>
        <s v="SODISTMA"/>
        <s v="DROGUERIE NAJAH A"/>
        <s v="HERITAGE BERBERE "/>
        <s v="COOP JABAL ALAM"/>
        <s v="SALMI EL HAFID"/>
        <s v="BAKKALI ABDELMAJI"/>
        <s v="ORCHIDEE THAI INS"/>
        <s v="BELAROME"/>
        <s v="K - Entreprise MA"/>
        <s v="ARGANOX"/>
        <s v="SAYBOLT MAROC"/>
        <s v="MYPUB"/>
        <s v="ASMENT DE TEMARA"/>
        <s v="EL JAAFARI RACHID"/>
        <s v="MAROC INTERNATION"/>
        <s v="PHARMACIE ALAMRAN"/>
        <s v="BAIT AL OUD"/>
        <s v="CENTRE ZEIN"/>
        <s v="ARGANASMETIC"/>
        <s v="DIVERS DHY"/>
        <s v="BEN &amp; SONS PACKAG"/>
        <s v="RIHANI MOUHCINE"/>
        <s v="SENNOUNI TARIK"/>
        <s v="KHAIRAOUI ABDELHA"/>
        <s v="MAROLIPES"/>
        <s v="COOP AL ATLAS SAG"/>
        <s v="COOP ASSID DEV DU"/>
        <s v="AD COOP"/>
        <s v="COSMO TERRE"/>
        <s v="DAVINCI MAROC"/>
        <s v="ARGALISTA"/>
        <s v="KARIM MOHAMED"/>
        <s v="JABER RAHAL"/>
        <s v="SADQI ALI"/>
        <s v="KINTESSENS"/>
        <s v="LYLAS COS"/>
        <s v="SBAO Ste Blanche "/>
        <s v="AMAECO sarl"/>
        <s v="MED COAST"/>
        <s v="SALUSWORLD"/>
        <s v="PARA CASA"/>
        <s v="SOMAFACO"/>
        <s v="DIAMANT PAVE"/>
        <s v="ASS AMAL P/ FEMME"/>
        <s v="EMIRATI MOROCCAN"/>
        <s v="JO AND JO MARRAKE"/>
        <s v="ML DISTRIBUTION"/>
        <s v="EL OUADRIGHI ABDE"/>
        <s v="COOP MIEL DE VIE"/>
        <s v="SOS NEGOCE"/>
        <s v="ASSOCIATION AL FA"/>
        <s v="PLAFAHUILE"/>
        <s v="ETABLISSEMENT EL OUJDI"/>
        <s v="POWER PROTECTION"/>
        <s v="THINK 2 THINK.COM"/>
        <s v="ATL EXPORT"/>
        <s v="ROSAYAS"/>
        <s v="ASSOCIATION AMSSF"/>
        <s v="ALNA ENGINEERING"/>
        <s v="BERBER SECRET"/>
        <s v="ISMO GLOBAL TRADI"/>
        <s v="LIQUIDATION IMPOR"/>
        <s v="SOUSS ARGANE"/>
        <s v="SWISS TRADE INTER"/>
        <s v="HADDAD OUSSAMA"/>
        <s v="SWIN CHOUS"/>
        <s v="GASTRONOMIA NAPOL"/>
        <s v="COOP FEUILLES VER"/>
        <s v="COPROCHIM"/>
        <s v="COOP MIDELT BIO"/>
        <s v="AMARANTE"/>
        <s v="SATEM TUNISIE"/>
        <s v="SCASCO"/>
        <s v="CELVER CLEAN"/>
        <s v="DOMAINE RAS AL AY"/>
        <s v="VMM"/>
        <s v="CHAGHOUANI RACHID"/>
        <s v="JEBLI MESSOUD"/>
        <s v="COOP RABOUHAT"/>
        <s v="COOP DRISSIA"/>
        <s v="COOP TADAMOUNE"/>
        <s v="DROGUERIE EL JOUL"/>
        <s v="RITUELS D'ORIENT"/>
        <s v="KANALI MOSTAPHA"/>
        <s v="STE CONSERVERIE M"/>
        <s v="COOP TAZKMOUT"/>
        <s v="MECHACHI OMAR"/>
        <s v="ALIGOD AHMED"/>
        <s v="PCP"/>
        <s v="AFRICA SEEDS SA"/>
        <s v="WILLY BAEY"/>
        <s v="RIF SESCO"/>
        <s v="BOTERROIRS SARL"/>
        <s v="POWER JOB SOLUTIO"/>
        <s v="SMARCOS"/>
        <s v="AFRA PEINT"/>
        <s v="DAR ARGANE BIO"/>
        <s v="CONSERVERIE LES P"/>
        <s v="ESPACE PARFUMS"/>
        <s v="MAPARCO"/>
        <s v="GOLFOIL"/>
        <s v="OLIVOIL SARL"/>
        <s v="JABRANE NEZHA"/>
        <s v="SHELTER"/>
        <s v="CORALIA"/>
        <s v="MARKET AND CO"/>
        <s v="RAMA DE PARFUMS s"/>
        <s v="RJR TRANDING &amp; CO"/>
        <s v="SACINO sarl"/>
        <s v="ETS AMAL"/>
        <s v="EL MESKINI ABD RAHMANE"/>
        <s v="COSMETIC NATURAL "/>
        <s v="AZBANE LABORATOIR"/>
        <s v="COOP TIFAOUT NOUG"/>
        <s v="COOP AWAT TIGHMAR"/>
        <s v="COOP BAYTI"/>
        <s v="GIE TIZARGANE"/>
        <s v="COOP ALKHADRAA"/>
        <s v="GROUPE BRASSERIES"/>
        <s v="TETRAPOLES"/>
        <s v="AD SYSTEMES SARL"/>
        <s v="PHARMACIE YASMINA"/>
        <s v="ALI N' PRODUCTION"/>
        <s v="NASFAD"/>
        <s v="MENSOURI KHALID"/>
        <s v="BENBEL MUSTAPHA"/>
        <s v="BEADZOO SARL"/>
        <s v="VILLA HOUDA"/>
        <s v="FATIMA TETOUANIA"/>
        <s v="TIJAN sarl"/>
        <s v="MRISS M HAMED"/>
        <s v="RAMDANE FOUAD"/>
        <s v="NAJIB TAGHRID"/>
        <s v="BABK SARL"/>
        <s v="IMAN'ART"/>
        <s v="JOUDI ABDERRAHMAN"/>
        <s v="LE GRAND PRINTEMPS"/>
        <s v="GHAYLANI"/>
        <s v="SECRET D'UNE GAZE"/>
        <s v="ABBASY MOUNA"/>
        <s v="AAZ ARGAN"/>
        <s v="SINCECO SARL"/>
        <s v="BIOGAN"/>
        <s v="MIRACLE DU SUD"/>
        <s v="ALTER ENERGY"/>
        <s v="ARTIWOOD"/>
        <s v="HERBORISTE MADAGA"/>
        <s v="BISTRO IMPORT"/>
        <s v="GHIRASS NATURE"/>
        <s v="DIVERSEY MAROC"/>
        <s v="MONOGRAMME"/>
        <s v="JUICE &amp; NECTAR PA"/>
        <s v="COSALINE"/>
        <s v="ABBOU ET FILS"/>
        <s v="DROGUERIE ASAKA"/>
        <s v="NATURA ET NATURO"/>
        <s v="ENTRBIOHUIL"/>
        <s v="HS PARTNERS"/>
        <s v="NECTAROME"/>
        <s v="RABEH REDA"/>
        <s v="TAROMED"/>
        <s v="CONFORT LAB"/>
        <s v="L'ATELIER MOGADOR"/>
        <s v="GOLF PRODUCTS"/>
        <s v="MOCT"/>
        <s v="MOUDDAHI SAID"/>
        <s v="DROGUERIE SALAM B"/>
        <s v="ASSO MIGRATION ET"/>
        <s v="NILGUN SARL"/>
        <s v="JAFEP"/>
        <s v="ASSTRA COLOR"/>
        <s v="PANNA NEGOCE sarl"/>
        <s v="LUDI SCIENCE"/>
        <s v="MEDSTART"/>
        <s v="FLORATUS SARLAU"/>
        <s v="LA VICTOIRE PIECE"/>
        <s v="LMGC"/>
        <s v="PAFA SENEGAL"/>
        <s v="HICHAM MESRAR"/>
        <s v="RAPIDO CONCEPT"/>
        <s v="LA SULTANA OUALID"/>
        <s v="FMS IMPORT EXPORT"/>
        <s v="VC DISTRIBUTION"/>
        <s v="FRESHKA"/>
        <s v="KAIZEN PEINTURE"/>
        <s v="ESPACE COSMETIC"/>
        <s v="PARA 2000"/>
        <s v="DROGUERIE ZAIDI S"/>
        <s v="HERBORISTE CARAVA"/>
        <s v="AROMATIC"/>
        <s v="AG'OS EXPORT"/>
        <s v="HUILERIES OUM RAB"/>
        <s v="ETABLISSEMENT KAW"/>
        <s v="OXYPAINT"/>
        <s v="BYTRA SYSTEME"/>
        <s v="KELLA COSMETICS"/>
        <s v="SO HA SABLE SARL"/>
        <s v="GLOBAL PROJETS"/>
        <s v="LES ATELIERS DU T"/>
        <s v="MAGHRIB FOOD STOR"/>
        <s v="AKSAY MUSTAPHA"/>
        <s v="OAM INDUSTRIE"/>
        <s v="KORTOBI HICHAM"/>
        <s v="ETABLISSEMENT BEL"/>
        <s v="CHRAIBI OMAR"/>
        <s v="TRADE INFINITY"/>
        <s v="MERYEM CHERKAOUI "/>
        <s v="ZAINA AGUENAOU"/>
        <s v="CERCLE D'EXCELLEN"/>
        <s v="AFRICADIS"/>
        <s v="AROMAPEDIA"/>
        <s v="WITHLIFE"/>
        <s v="NEW AFRICAN SERVICE"/>
        <s v="JILALI NAOU"/>
        <s v="MONSIEUR MEUBLE"/>
        <s v="COOP SOUKTANA"/>
        <s v="LABO SANTE"/>
        <s v="DEBBAGH MOHAMED"/>
        <s v="YASKA"/>
        <s v="KADIGRAF"/>
        <s v="GLORIA PEINTURE"/>
        <s v="ELG COSMETICS"/>
        <s v="MASKAT KEROS FRAG"/>
        <s v="PHARMACIE ESPACE "/>
        <s v="MBS"/>
        <s v="AHRAM MOHAMED"/>
        <s v="ISIDRO MOULES"/>
        <s v="PROMAGRAPH"/>
        <s v="ORZENA"/>
        <s v="DISACCESS"/>
        <s v="RACHIMARR"/>
        <s v="DIYA FASHION GROU"/>
        <s v="LES SENTEURS D'HI"/>
        <s v="MAD SY SARL GUINE"/>
        <s v="BENCHAIB-SALAH ED"/>
        <s v="SANDID MOUNIA"/>
        <s v="DELCOM"/>
        <s v="ARGANA'S"/>
        <s v="COOP MAROC VERT"/>
        <s v="IMB"/>
        <s v="COOP AGRICOLE BEL"/>
        <s v="S.O.H.A.F sarl"/>
        <s v="CHOUF OU CHRI"/>
        <s v="TANARGAN"/>
        <s v="211 SAVEURS"/>
        <s v="MIEL DHAILI"/>
        <s v="IMANI IMPORT EXPO"/>
        <s v="BIO BELLA"/>
        <s v="HIPPI HASSAN"/>
        <s v="COOP TAMAZAGHT"/>
        <s v="BLED CONSERVES"/>
        <s v="AFOUS ARGAN"/>
        <s v="COOP MANAHIL SOUS"/>
        <s v="BAROUZI KHADIJA"/>
        <s v="SOCRECH"/>
        <s v="PARANATURE"/>
        <s v="COOP AL OUTMANIYA"/>
        <s v="PRIVILEGIA COMMUN"/>
        <s v="ARGANIE"/>
        <s v="ATELIA SOLEIL D A"/>
        <s v="COOP MIEL MEJJI"/>
        <s v="ASKOUR LAHCEN"/>
        <s v="RAOUARAS SARL"/>
        <s v="INTERNATIONAL BUS"/>
        <s v="CASERNE VERTE ARG"/>
        <s v="DELICES DU LIBAN"/>
        <s v="SIMAB"/>
        <s v="LES BONS CHANTIER"/>
        <s v="DKT MAROC"/>
        <s v="SALY-BIO"/>
        <s v="SAFRAN &amp; EPICES P"/>
        <s v="MAXI BIO"/>
        <s v="LODARE"/>
        <s v="END2END"/>
        <s v="EL GANA NOUREDDIN"/>
        <s v="LAHLOU MOHAMED JALIL"/>
        <s v="BRAHIM TAGANZA"/>
        <s v="SAID SADOQ"/>
        <s v="AZIZ AKHEZANE"/>
        <s v="UNIMEDICA"/>
        <s v="VALIAMO"/>
        <s v="ARGAN PALACE"/>
        <s v="COOP ARGANE MEJJI"/>
        <s v="ARGANIS"/>
        <s v="BIO FOR YOU"/>
        <s v="DRUG STORE EL CHIFA"/>
        <s v="AGHSANE"/>
        <s v="COOP APICOLE TAZW"/>
        <s v="OUALI SAAD"/>
        <s v="GAHMOU ABDELLAH"/>
        <s v="EL OUAHMANI AHMED"/>
        <s v="LAARBI MOSTAFA"/>
        <s v="ESPACE PALMIERS"/>
        <s v="AKHEZANE MBARK"/>
        <s v="PHARMACIE LA MOSQ"/>
        <s v="ARGAN BELADI"/>
        <s v="COOP TIGUEMINE AR"/>
        <s v="SIMAB MAROC"/>
        <s v="OUAZZANI HASSANE"/>
        <s v="GH STOP COLLE"/>
        <s v="SAM COSMETIC"/>
        <s v="AITMA SENS"/>
        <s v="IMPRIMERIE PAPETE"/>
        <s v="ARAGAN BIO"/>
        <s v="TATNI HIND"/>
        <s v="STUDIO VDM"/>
        <s v="ROHIMEX"/>
        <s v="MISS JAWHARA"/>
        <s v="HD COSMETICS sarl"/>
        <s v="ASSOCIATION EDEN "/>
        <s v="PHARMACIE ACHOURO"/>
        <s v="PYRAMIDE PROTECTI"/>
        <s v="ENTREPRISE HOUAR"/>
        <s v="RACHID ABARDY"/>
        <s v="ORGAMOR Sarl"/>
        <s v="GIE ZOUYOUT OUED "/>
        <s v="RIF TRADING"/>
        <s v="PHARMACIE MELLAH "/>
        <s v="EL ICHRAQ INTERNA"/>
        <s v="TUFAYUR"/>
        <s v="FIRSTMINUTE EXPOR"/>
        <s v="HUILERIES ANOUAR "/>
        <s v="LE SIMOUN"/>
        <s v="TRIA GROUP"/>
        <s v="SAFA NATURE"/>
        <s v="SCENT'IN"/>
        <s v="FATIHI ABDELLATIF"/>
        <s v="MARLIM"/>
        <s v="KHOUZ LAHCEN"/>
        <s v="HANYN ABDELOUASSI"/>
        <s v="MENNIR KHALID"/>
        <s v="BACHA HASSAN"/>
        <s v="AHANSAL AYOUB"/>
        <s v="BENOZEN NABIL"/>
        <s v="RAKILI BADREDDINE"/>
        <s v="CLE CONCEPT COMMU"/>
        <s v="AZUR FISH SARL AU"/>
        <s v="FIRST MINUTE EXPO"/>
        <s v="FOSSOL PEINTURE"/>
        <s v="MASTER COAT"/>
        <s v="ASIA SAMET"/>
        <s v="SAFA GRAFIC"/>
        <s v="MEDIC EVERST"/>
        <s v="UPPER"/>
        <s v="KABA DJAKAGBE"/>
        <s v="SPINOSA"/>
        <s v="FLORIDA PEINTURE"/>
        <s v="PRODISPHAR"/>
        <s v="LAZRAK MOHAMMED"/>
        <s v="LARAICHI OMAR"/>
        <s v="ROSA NATURE"/>
        <s v="SGS TANGER MEDITERRANEE"/>
        <s v="H DESIGN"/>
        <s v="EL ARRASSI RACHID"/>
        <s v="LES ATELIERS AFYA"/>
        <s v="TANGER BUSINESS C"/>
        <s v="NG RETAIL sarl"/>
        <s v="MAX WORLD TRADE"/>
        <s v="SADIKI OMAR"/>
        <s v="LOULENA SARL"/>
        <s v="ZINZIN"/>
        <s v="SALECK SOUEIDY"/>
        <s v="MOROCCO'S SECRET"/>
        <s v="DISTRIBUTION BRHI"/>
        <s v="BAKHOUSS NADIA"/>
        <s v="L'AUTHENTICITE SA"/>
        <s v="L&amp;E COSMETIQUE"/>
        <s v="PRET A MANGER"/>
        <s v="EL OUAZZANI MEHDI"/>
        <s v="WINE SAKOUR"/>
        <s v="MORINGA GROUP"/>
        <s v="HILBAT"/>
        <s v="SIDIBE EXPORT"/>
        <s v="COSMORIENT"/>
        <s v="PHARMA SENS"/>
        <s v="COOP AL KHOUZAMA"/>
        <s v="COIFFURE DU LIBAN"/>
        <s v="AZOUZI MOUNIR"/>
        <s v="REDOUANE SOMADI"/>
        <s v="RAMLI ABDELAHAY"/>
        <s v="VINDI"/>
        <s v="MANSOURIA COMPANY"/>
        <s v="HAFSA SAMAC"/>
        <s v="GENMED"/>
        <s v="PHARMACIE PARANFA"/>
        <s v="NEGOCE WORLD COMP"/>
        <s v="DROGUERIE BAMOUSS"/>
        <s v="FONDATION FARASHA"/>
        <s v="ANZAL KHALID"/>
        <s v="RHEA COSMETICS"/>
        <s v="CAPILMA GROUPE"/>
        <s v="AFRIKISSIME"/>
        <s v="COGEPRA"/>
        <s v="FAYLAL BIO"/>
        <s v="SOILVITA MAROC"/>
        <s v="NATERRA'SOL"/>
        <s v="EURAFRICS PIECES"/>
        <s v="ECOCHIM"/>
        <s v="FODES"/>
        <s v="MOGADOR MALL"/>
        <s v="MERCI DELEUZE"/>
        <s v="ZINE-O-BELDI"/>
        <s v="PGS INVEST"/>
        <s v="CAMSA SARL"/>
        <s v="DISTRA"/>
        <s v="NOUR HOUSES"/>
        <s v="KINANE NAJIB"/>
        <s v="PHARMACIE ARRAHMA"/>
        <s v="FEDRAVET SA"/>
        <s v="BONZAI"/>
        <s v="ARGAMAROC sarl"/>
        <s v="GAZELLE DU MAROC"/>
        <s v="CLERMONT"/>
        <s v="COOP AGRICOLE HAS"/>
        <s v="HASSAD INVEST"/>
        <s v="OILS OF THE WORLD"/>
        <s v="ORIGINAL PEINTURE"/>
        <s v="SYLCHI &amp; CO"/>
        <s v="AWA GLOBAL PRODUC"/>
        <s v="HIGHT DECOR"/>
        <s v="AFRICAN OF AGRICU"/>
        <s v="FAIR BUSINESS COM"/>
        <s v="SYS TECHNOLOGY"/>
        <s v="ABTAS INDSUTRIE"/>
        <s v="COLORADO PEINTURES"/>
        <s v="LACASEM"/>
        <s v="ARGONAIR SAN GROU"/>
        <s v="KHALID AKHEZANE"/>
        <s v="CONSERVERIES SAFA"/>
        <s v="OURIKA PRESTIGE"/>
        <s v="MY GIFTS"/>
        <s v="JOTUN MAROC"/>
        <s v="SWEET SUNNAH SOCI"/>
        <s v="PREMICE"/>
        <s v="ORIENTAL FELLOUS"/>
        <s v="WILD BUTTERFLY"/>
        <s v="LIZHA PRESTIGE"/>
        <s v="FATI PACK"/>
        <s v="MOURAD JAZOULI"/>
        <s v="BIO AGADIR"/>
        <s v="DIETETIQUE.MA"/>
        <s v="MEDINA HERBAL"/>
        <s v="COOP TALIWINE"/>
        <s v="POINT PARA"/>
        <s v="ESPACE BIO SARL"/>
        <s v="DAR RHIZLANE"/>
        <s v="KINEKIRAMA S.A"/>
        <s v="MAROC NATURE"/>
        <s v="COOP FEMMES SOLID"/>
        <s v="2 HL ETANCHEITE"/>
        <s v="ANBAR HAMID"/>
        <s v="NORTH AFRICA HEAL"/>
        <s v="MON BLANC"/>
        <s v="EL HALABI YOUSSEF"/>
        <s v="JAMAL AGHENDA"/>
        <s v="NASSIRI LAHCEN"/>
        <s v="EL BAROUDI MOHAME"/>
        <s v="QUALIAGRO-AGAFAI"/>
        <s v="MOROCCAN SECRET"/>
        <s v="EL AOURF SARL"/>
        <s v="KARIM MUSTAPHA"/>
        <s v="STE SIHA LUBRIFIA"/>
        <s v="LUANCE SARL"/>
        <s v="ARGAN SOLO sarl"/>
        <s v="WELLNESS"/>
        <s v="PHARMACIE FILALI"/>
        <s v="NANOPROTECH"/>
        <s v="MEKLAB SERVICES"/>
        <s v="TIFIRASS BRAHIM"/>
        <s v="YOUSNINE KHALID"/>
        <s v="TOP SERVICE ABDOU"/>
        <s v="AFFIS PEINTURE"/>
        <s v="ELILOU"/>
        <s v="S.K GROUPE"/>
        <s v="MARRAKECH TOP AGR"/>
        <s v="FIVORY-NAT PHARM"/>
        <s v="BLOOK"/>
        <s v="ARGANITA"/>
        <s v="ETABLISSEMENT SOUSS"/>
        <s v="FAUCON CHIMIE"/>
        <s v="KAMLAFLOR MAROC"/>
        <s v="HUIL D'ARGAN TAMA"/>
        <s v="KASBAH D'ARGANE"/>
        <s v="ARGAN D'OR Maroc "/>
        <s v="PHYTO ESPACE"/>
        <s v="AMOUD"/>
        <s v="ETABLISSEMENT AGU"/>
        <s v="NUTRITECH AGRO"/>
        <s v="MAIMISH &amp; TZATZA"/>
        <s v="MAROC DESSERT INT"/>
        <s v="COMPTOIR DE BEAUT"/>
        <s v="DAME HUILE"/>
        <s v="MARINE SPECIES FISH MAROC"/>
        <s v="GATEXPO SARL"/>
        <s v="DOGUERIE AMOGAY"/>
        <s v="JAAFAR SERVICES"/>
        <s v="AGARDE AUTO"/>
        <s v="BELHADJ"/>
        <s v="PEIN DOM"/>
        <s v="VALSPAR"/>
        <s v="PEINTURE AL AMAL"/>
        <s v="TECHNICAL SYSTEM "/>
        <s v="NCS - NADIFI CONS"/>
        <s v="ESPACE BRICOLAGE"/>
        <s v="DROGUERIE AMOGAY"/>
        <s v="BATIFIX"/>
        <s v="MOROCCAN ORGANIC"/>
        <s v="SCIENCES-LAB S.A."/>
        <s v="NOUR COSMETIQUE"/>
        <s v="HUILERIES RHAMNA"/>
        <s v="ASS AL MAJD AL KH"/>
        <s v="DARIF MARWANE"/>
        <s v="M-ARTS SARL"/>
        <s v="COOP ARRACHADE"/>
        <s v="COOP NEIMA"/>
        <s v="DISTRIMATEK"/>
        <s v="EPURE"/>
        <s v="GLOBAL TRADE TODAY"/>
        <s v="SOFAPAS"/>
        <s v="HERBPHARMA"/>
        <s v="DAR ATTAJMIL"/>
        <s v="ZINE DECOR"/>
        <s v="HYGIENE ORIENT"/>
        <s v="DURIEU AFRIQUE"/>
        <s v="SKIN FOOD"/>
        <s v="PLAXI POUSS COSME"/>
        <s v="FADO AGRO FOOD"/>
        <s v="BERIC"/>
        <s v="PREPARATION AL MA"/>
        <s v="KANJAOUI ABDELFET"/>
        <s v="SEDECO sarl"/>
        <s v="CAMA SERVICES"/>
        <s v="COOP TAMOUNTE  CF"/>
        <s v="DROGUERIE OUCHEN"/>
        <s v="COOP AFOULKI AIT "/>
        <s v="PRODISTOP"/>
        <s v="BIOCIP MAROC"/>
        <s v="SIPROMED"/>
        <s v="DRA SOUSS MASSA D"/>
        <s v="ADN PHARMA"/>
        <s v="HUILEAROME"/>
        <s v="SADBAR"/>
        <s v="YOUNZITECH"/>
        <s v="COOP AFOULKI TEMA"/>
        <s v="BO-TERROIRS"/>
        <s v="PONTIS INVEST"/>
        <s v="MANUFACTURE COSME"/>
        <s v="IKB INTERNATIONAL"/>
        <s v="O.C.E."/>
        <s v="COOP TAZROURTE"/>
        <s v="DATRA"/>
        <s v="DIE AND JO MARRAC"/>
        <s v="INSPECTORATE"/>
        <s v="INTERBUCO SARL"/>
        <s v="GALERIE GERMAN MO"/>
        <s v="KNA Services"/>
        <s v="MAKE ME BIOTIFUL"/>
        <s v="AYOUZ PEINTURE"/>
        <s v="CENTRE DE SIGNALISATION"/>
        <s v="ASSOCIATION DOUAR"/>
        <s v="AL MENARA BUREAU"/>
        <s v="MADANARGAN sarl"/>
        <s v="DIS PLUS MAROC"/>
        <s v="EXODIA"/>
        <s v="INFO ADIL"/>
        <s v="LACHGARCO"/>
        <s v="RANIFA sarl"/>
        <s v="LA ROUTE DU NORD"/>
        <s v="COVERPLAT"/>
        <s v="CONAGRO"/>
        <s v="INSTA DEC"/>
        <s v="PHARMACIE RIMA"/>
        <s v="INWA NATURE"/>
        <s v="PHENIDIS"/>
        <s v="BIOFLAVOUR"/>
        <s v="EUROBI sarl"/>
        <s v="EXCELLENCE SAFRAN"/>
        <s v="MOKHTARI MANUTENT"/>
        <s v="ALTAPRO"/>
        <s v="ARROUD MOUNIR"/>
        <s v="BIOLOOK"/>
        <s v="UNIVERS FOOD"/>
        <s v="ARGALIFE sarl"/>
        <s v="WUSTENSAND Sarl"/>
        <s v="MISS ARGANA"/>
        <s v="AGRIAL"/>
        <s v="HISTOIR D'ART"/>
        <s v="BIOZEEN"/>
        <s v="COOP AKNARI"/>
        <s v="COOP TAZOUKNIT"/>
        <s v="COOP APIA"/>
        <s v="BAB MOULAY DRISS"/>
        <s v="123 SAFRAN"/>
        <s v="NASSAMAT ZAMAN"/>
        <s v="COOP MARJANA"/>
        <s v="SPIRULINE VITALGU"/>
        <s v="MAYMANA"/>
        <s v="TRIOMUS"/>
        <s v="SOFOTEM"/>
        <s v="RLOGISTIC"/>
        <s v="TRINITY"/>
        <s v="L'ARTISANT NATURE"/>
        <s v="AJBAN TAMOUDA"/>
        <s v="ARGANE TECHNOLOGI"/>
        <s v="FASHION SECRET"/>
        <s v="CHEZ MERYAMA"/>
        <s v="NATURAL ZEN"/>
        <s v="HSB"/>
        <s v="COOP EL FAIDHA"/>
        <s v="NORA DISTRIBUTION"/>
        <s v="AGRONORMA"/>
        <s v="SLIM DIET COOK"/>
        <s v="CHALOUPE"/>
        <s v="CPCM"/>
        <s v="LAAFAR ABDELLATIF"/>
        <s v="LES HUILERIES DU "/>
        <s v="ZOOTECH"/>
        <s v="LA MAISON ATLAS"/>
        <s v="TAFOUKT TRAITEUR"/>
        <s v="SANTIS"/>
        <s v="ASIA STORE"/>
        <s v="L MANSION"/>
        <s v="SJ SEBBAG JULIETT"/>
        <s v="ADAGUEN"/>
        <s v="ASSOCIATION AGRIC"/>
        <s v="COLIBRI NATURE"/>
        <s v="AV SERVICES"/>
        <s v="MOGADOR PRODUITS "/>
        <s v="ARTGANO"/>
        <s v="TRESORS DU TERROI"/>
        <s v="SOCIETE JARDIN MA"/>
        <s v="BIO MERYEM sarl"/>
        <s v="BRINS D'ORIENT Sa"/>
        <s v="AUZOUD"/>
        <s v="LES PARFUMS DU SOLEIL"/>
        <s v="LES JARDINS DE MA"/>
        <s v="ZOUBIDA TRADE sar"/>
        <s v="ARGANISME COSMETI"/>
        <s v="CODIPE"/>
        <s v="SABL'ART"/>
        <s v="LESIEUR CRISTAL"/>
        <s v="VISION CHIMIQUE"/>
        <s v="LIPIDICS Sarl"/>
        <s v="AIDES DEVELEPPEME"/>
        <s v="DROGUERIE SALAM"/>
        <s v="TAZI BENJELLOUN "/>
        <s v="PHARMACIE 3 MARS"/>
        <s v="CACTUS COMMODITIE"/>
        <s v="LES LABORATOIRES "/>
        <s v="AYA COSMETIQUE"/>
        <s v="LES SENS DE MARRA"/>
        <s v="OVERSEAS EVENT"/>
        <s v="FEMIELLA"/>
        <s v="INDOKA"/>
        <s v="COOP TAZRIL"/>
        <s v="NOPALIS"/>
        <s v="PHARMACIE LE GALI"/>
        <s v="EDEN TREASURES"/>
        <s v="HERBORIE EL HOUDA"/>
        <s v="MARRAKECH TAZAKOU"/>
        <s v="SHELL VIVO LUBRIC"/>
        <s v="TYAZA OILS"/>
        <s v="MAARIF ART"/>
        <s v="MALAK BIO"/>
        <s v="GOLDENDATES"/>
        <s v="HUILE ATLAS DE MA"/>
        <s v="ALLPACKAGING"/>
        <s v="COOP FEMININE TIM"/>
        <s v="ARGAMED"/>
        <s v="BIO EARTH"/>
        <s v="ALAA GLOBAL ENGIN"/>
        <s v="COOP MOGADOR"/>
        <s v="INSTIT AGRONOMIQU"/>
        <s v="COOP ARGANAT"/>
        <s v="COOP TIGHANIMINE "/>
        <s v="GROUPEX"/>
        <s v="ACHEHBOUNE PRODUC"/>
        <s v="MOROCCAN SOUK"/>
        <s v="COOP TAMESNA"/>
        <s v="INOV GREEN SAISS"/>
        <s v="COMPTOIR DE PROFI"/>
        <s v="TERRES ET TERROIR"/>
        <s v="COOP TAGMAT AZIAR"/>
        <s v="MOROCCANSOUL"/>
        <s v="PHYTOBIO AROMS"/>
        <s v="SEALEADS"/>
        <s v="COOP AGUERD"/>
        <s v="VIRGIN HOTEL MARO"/>
        <s v="SUP HERBES MAROC"/>
        <s v="MAZAGAN AGRICO IR"/>
        <s v="NEW PEPPERS"/>
        <s v="COMASEM"/>
        <s v="AMINO-FOOD"/>
        <s v="EL JABALI MHAMED"/>
        <s v="COOP ARGANE TAFIO"/>
        <s v="ASS AMITIE SOLIDA"/>
        <s v="ATLAS SAFRAN"/>
        <s v="RIAD DES AROMES"/>
        <s v="ARGANE ESSAOUIRA"/>
        <s v="SHENO"/>
        <s v="S.K HEALTH"/>
        <s v="COMONNOW"/>
        <s v="OMOROCCO sarl"/>
        <s v="COOP OSSARAT JIBA"/>
        <s v="HOME STORY"/>
        <s v="MIEL DAR BELAMRI"/>
        <s v="TRADEMAR"/>
        <s v="L'OR ROUGE DE TAL"/>
        <s v="COOP OULED AMER"/>
        <s v="CONSERVERIES AL ADARISSA"/>
        <s v="GIE TARGANINE"/>
        <s v="HADJ KADDOUR"/>
        <s v="ANSEYE"/>
        <s v="NEOC"/>
        <s v="PRESTASHOP"/>
        <s v="EUCLEAD"/>
        <s v="COOP AJDIGN'TARGA"/>
        <s v="JOUHOT ALAIN"/>
        <s v="ONLY NATURAL SARL"/>
        <s v="FST ERRACHIDIA"/>
        <s v="BIO BIO"/>
        <s v="ABSIM MAROC"/>
        <s v="GIE PTW"/>
        <s v="COOP SOFFI ROSE N"/>
        <s v="COOP IKBAR AGRICO"/>
        <s v="KOUTOUBIA"/>
        <s v="ADRAR SOUSS"/>
        <s v="LA MAROCAINE DE L"/>
        <s v="COOP AZEMMOUR"/>
        <s v="SDI INTERNATIONAL"/>
        <s v="ASM AERO"/>
        <s v="SOUSS NATUREL"/>
        <s v="MAISON D'ASA"/>
        <s v="BUY MORE TRADINC "/>
        <s v="SIBAGHAT SAYARAT "/>
        <s v="PROCESS ENGINERIN"/>
        <s v="LES SECRETS DE LU"/>
        <s v="FATMI NADIA"/>
        <s v="SUNCHEM"/>
        <s v="SE2I"/>
        <s v="COOP TAZOUKNITE"/>
        <s v="STE AFRICAINE DES"/>
        <s v="REDA SAVEURS FOOD"/>
        <s v="PHARMACHEM"/>
        <s v="SOUSS SAFFRON"/>
        <s v="ESSENTIEL BIO"/>
        <s v="DAR AZAAFARAN GIE"/>
        <s v="ZINE ARGANA"/>
        <s v="AIRMOND"/>
        <s v="SOHNA"/>
        <s v="COOP FLORA"/>
        <s v="BILAL ABDELHAK"/>
        <s v="NOUR PRODUIT AGRICOLE"/>
        <s v="BRUNI GLASS"/>
        <s v="CENTRE YASMINA"/>
        <s v="TERROIR ET TRADIT"/>
        <s v="ABDELKALEK ZIANE"/>
        <s v="LABORATOIRES BIOT"/>
        <s v="OLIAGRUM"/>
        <s v="MEGA PUB"/>
        <s v="REVES DE TERROIR"/>
        <s v="YAZAKI"/>
        <s v="CIFRADE"/>
        <s v="IKLIL AL ATLAS"/>
        <s v="JAGMOUZI"/>
        <s v="VISIODENT"/>
        <s v="UNIQUE FOODS"/>
        <s v="COOP AL BARAKA TA"/>
        <s v="NFG SANTE"/>
        <s v="SCANDIMAR"/>
        <s v="BOUJEMAOUI"/>
        <s v="SOLIDIS"/>
        <s v="GREEN SMILE"/>
        <s v="ANAGA"/>
        <s v="UBMC"/>
        <s v="MOULAY BRAHIM EL ALOUANI"/>
        <s v="CHERIF CONSERVES"/>
        <s v="HARMONIE PARFUMS "/>
        <s v="FORUM DE DISTRIBU"/>
        <s v="IMEXTRANS"/>
        <s v="NATURALISE PARA"/>
        <s v="EXTRA PAINTS"/>
        <s v="MODERN PACK"/>
        <s v="EL HOUARI MOHAMED"/>
        <s v="MTB SARL"/>
        <s v="EDEPAM"/>
        <s v="TECAD SARL"/>
        <s v="SUPRAFLEX"/>
        <s v="Ste HIND PEINTURE"/>
        <s v="PCNA"/>
        <s v="PEINTURE CHAMALIA"/>
        <s v="SOGEFERMA"/>
        <s v="DROUGUERIE RACHID"/>
        <s v="SAIS LUBRIFIANT"/>
        <s v="AMCOR FLEXIBLES"/>
        <s v="MOUJRI ABDELLAH"/>
        <s v="AK MOGADOR"/>
        <s v="CONSERVERIES OUALILI"/>
        <s v="ROLINO"/>
        <s v="BIMAKERN"/>
        <s v="BLOUMINE HP SARL"/>
        <s v="FALIZE"/>
        <s v="SIAR"/>
        <s v="KOMEZMAR"/>
        <s v="KHAYDA HAMID"/>
        <s v="RHONE CHIMIE INDUSTRIE MAROC"/>
        <s v="AMRASS"/>
        <s v="JIL EMBALLAGES"/>
        <s v="LARATES"/>
        <s v="HADI YOUSSEF"/>
        <s v="BOUZEKRI MLY CHRIF"/>
        <s v="GLX FOOD TRADING SARL"/>
        <s v="MEDITERRANEE FOOD INDUSTRIES"/>
        <s v="CSV"/>
        <s v="MASTER GROUP"/>
        <s v="SOKADICOM"/>
        <s v="AVM CHIM"/>
        <s v="STE TOUBKAL"/>
        <s v="ENERGIE FROID"/>
        <s v="ELDORADO PEINTURES"/>
        <s v="MAXI COLOR"/>
        <s v="BOUJDI DISTRIBUTION"/>
        <s v="EL HOUNAY AHMED"/>
        <s v="UNIVERS PRODUCT"/>
        <s v="RACHID KHORIBGA"/>
        <s v="AGAMIN"/>
        <s v="PARC INDUSTRIEL"/>
        <s v="LE JUTRAVE SARL"/>
        <s v="DROGUERIE TAFRAOUT"/>
        <s v="SAB REAL S.A.R.L"/>
        <s v="RACHID KHACHABA"/>
        <s v="TAMDA COULEUR"/>
        <s v="ATLADIS"/>
        <s v="COMPTOIR LES COULEURS DU NORDS"/>
        <s v="LA CAFETIERE"/>
        <s v="BRICONEGO"/>
        <s v="LAURA FISH"/>
        <s v="SNL"/>
        <s v="KORA PEINTURE"/>
        <s v="EL HOUARI IKHWANE "/>
        <s v="ASSLAK AL MAGHREB SARL"/>
        <s v="2 S 2 D"/>
        <s v="MPLABO"/>
        <s v="SOCIETE ATLANTIQUE D'ANCHOIS"/>
        <s v="ZINAEXPORT"/>
        <s v="AMAROC SA"/>
        <s v="ENVENTAIRA SARL AU"/>
        <s v="PLANET PEINTURE"/>
        <s v="VERONA GUSTO"/>
        <s v="SOMIDOR"/>
        <s v="PETRO GEORGE"/>
        <s v="SHAMS COLOR"/>
        <s v="AGRIDEV"/>
        <s v="SODEX MAROC"/>
        <s v="INDOY SARL"/>
        <s v="ETS AMAIZ"/>
        <s v="ASFAR PEINTURE"/>
        <s v="SKMAD"/>
        <s v="GLOBAL CONTROL &amp; SERVICES"/>
        <s v="DROGUERIE MOUSSAOUI"/>
        <s v="PASTOR"/>
        <s v="4 UP TECHNOLOGY"/>
        <s v="STE BISCO BOIS"/>
        <s v="JOTEX"/>
        <s v="NOTAM SARL"/>
        <s v="COLO-MAR PEINTURES"/>
        <s v="EXTRA PAINT"/>
        <s v="MANDARONA"/>
        <s v="STE INDUSTRIE CHIMIQUE EUROTEX"/>
        <s v="GIEM GENERALE INDUSTRIELLE"/>
        <s v="ALMOUTAHIDOUNE"/>
        <s v="ALWAN PAINTS"/>
        <s v="CONSERVERIE MODERN ESSAKY"/>
        <s v="KONOUZ RAYYAN SARL"/>
        <s v="LACHGUER OMAR"/>
        <s v="AIT ABDERAHMAN ABDESLAM ET JAWAD"/>
        <s v="KHALID JABRANE CHERRADI"/>
        <s v="ABOUELFAID ABDELMAJID"/>
        <s v="HADJ AHMED BEN MOUSSA"/>
        <s v="STE AYOUR"/>
        <s v="LAHSEN OUCHEN"/>
        <s v="LCMS MAROC"/>
        <s v="ENAJRAOUI MOHAMMED"/>
        <s v="RUCHES DU SOUSS"/>
        <s v="MIGAROMES"/>
        <s v="MUSTANG COLOR "/>
        <s v="AFILAME SARL"/>
        <s v="FLAMBO-Ets TAHAR BEL HADJ"/>
        <s v="SOCIETE MIEL DU MAROC"/>
        <s v="TM TRADING"/>
        <s v="STE SATMI SARL"/>
        <s v="PEINT SIK ELFATH"/>
        <s v="SUBLICOM"/>
        <s v="BEAU DE ROCHAS"/>
        <s v="SANDING GROUP MAROC"/>
        <s v="AOUZAL ABD ARRAHIM"/>
        <s v="MEHDI TOUMITE"/>
        <s v="TRICOL COLORS"/>
        <s v="OUSSOUD AL-MAGHRIB"/>
        <s v="MAROC SHOW BATIM"/>
        <s v="STE PETROMIN OILS DU MAROC"/>
        <s v="STE CHIMIE PROPRE"/>
        <s v="Ben Hadj freres Bhf"/>
        <s v="AIGUEBELLE"/>
        <s v="MATCO MAROC"/>
        <s v="AW SOUDAGE "/>
        <s v="GARAGE AUTO CARL BENZ "/>
        <s v="DENIA HOLDING  S.A  "/>
        <s v="STERI FOOD"/>
        <s v="ARBORESCENCE"/>
        <s v="E G B S"/>
        <s v="DAFLEX COLOR"/>
        <s v="CASATOOLS SARL"/>
        <s v="CHIMIPLEX"/>
        <s v="CARTIER SAADA"/>
        <s v="CONSERVERIE ZAGMOUZI"/>
        <s v="FRAMACO"/>
        <s v="MARRAKECH TOP AGRO EXPORT"/>
        <s v="DRY CHIM"/>
        <s v="EUROCOULEUR"/>
        <s v="INNOVA PAINT SARL"/>
        <s v="ACMATEC"/>
        <s v="METALSCATOLA AFRIQUE"/>
        <s v="STARCHIM"/>
        <s v="ESSAIH ISSAM"/>
        <s v="ABS- Alpha Bio Service"/>
        <s v="COMPLEX D'ANALYSE AGRICOLE"/>
        <s v="STE LUISANT DIAMANT"/>
        <s v="MEDIPCOM"/>
        <s v="U P F I"/>
        <s v="Ste BIJOUMARS S.A"/>
        <s v="AUXILIAR CONSERVERA"/>
        <s v="ENVASES EUROPE"/>
        <s v="AVEZ"/>
        <s v="SILVER FOOD"/>
        <s v="STE PROMOTION ARTS GRAPHIQUES"/>
        <s v="SUN SOUSS"/>
        <s v="A J S PROTECTION"/>
        <s v="STE CAOUTCHOUTIERE DES ZENATAS"/>
        <s v="DROGUERIE LAHCEN"/>
        <s v="SOCIETE DINA BOTTLING COMPANY"/>
        <s v="SAADA PEINTURE"/>
        <s v="DAMANAGRI"/>
        <s v="STE MAURITANIENNE DE PEINTURE"/>
        <s v="TOUCONCEPT"/>
        <s v="YKK MAROC"/>
        <s v="STGN"/>
        <s v="GCBI"/>
        <s v="ARIZONA PEINTURE"/>
        <s v="NOVALUB"/>
        <s v="PETROCAB"/>
        <s v="EPORAL SARL"/>
        <s v="SOUSSPRES"/>
        <s v="NOUREDDINE ABBOU"/>
        <s v="GROUP IFZIG TRANDING COMPAGNY"/>
        <s v="VCR"/>
        <s v="RABII &amp; FILS"/>
        <s v="YOUGOS LAVIE CHIMIE"/>
        <s v="REVECOP SARL"/>
        <s v="ENNASR ALIMENTAIRE AFRIQUAINE"/>
        <s v="ROCSTONES CONSTRUCTION"/>
        <s v="STE OUCHARMOUH DES MATERIAUX"/>
        <s v="SOLUTION BOIS"/>
        <s v="STE AGAMIN TRAVAUX DIVERS"/>
        <s v="ASBO PRODUIT SARL"/>
        <s v="VERJAT PAINTS"/>
        <s v="STANDARD OIL"/>
        <s v="SIDEN"/>
        <s v="GAMA ETANCHE"/>
        <s v="SOCIETE PIECES MOTOCYCLE"/>
        <s v="AR PEINT"/>
        <s v="SANITAIRE ELBAHJA"/>
        <s v="HIBA H COLOR"/>
        <s v="POSE INDUSTRIE"/>
        <s v="PATIBIS S .A"/>
        <s v="FIRST SIGNALS"/>
        <s v="MITO PEINTURE ECOLOGIQUES"/>
        <s v="ENVIRONMENT SOLUTION"/>
        <s v="STE BAPLAST"/>
        <s v="ADRAR COLOR"/>
        <s v="AZIM DISTRIBUTION"/>
        <s v="TISSA PEINTURES SARL"/>
        <s v="LES FERMES DU MORINGA MAROC"/>
        <s v="LAK COSMETIQUE"/>
        <s v="LUXE COLOR"/>
        <s v="ALWANE KOREA"/>
        <s v="HALL EPICES"/>
        <s v="IDENTAL MOROCCO"/>
        <s v="AIGLE CHIM"/>
        <s v="STE BORGONE"/>
        <s v="LES BAINS DE MARRAKECH "/>
        <s v="EXTRA CLINE"/>
        <s v="ETABLISSEMENT ROUX"/>
        <s v="BRICO BEST SARL"/>
        <s v="ESSADDIK EL FARHI"/>
        <s v="BELLAKHDAR LAHOUSSAINE"/>
        <s v="MAHJOUBI NOUREDDINE"/>
        <s v="SABONI AHMED"/>
        <s v="OUHSSOU MOHAMED"/>
        <s v="ABDELHAK ERRAKABI"/>
        <s v="LA PIE NOIRE"/>
        <s v="C M P A"/>
        <s v="ROSACHIM"/>
        <s v="AW SOUDAGE"/>
        <s v="NEWTECHNEGOCE"/>
        <s v="EL HANSALI ITKANE"/>
        <s v="INOVATIO HEATH CARE"/>
        <s v="RESIPRO SARL"/>
        <s v="COMPTOIR ZAHIR"/>
        <s v="DAOUD"/>
        <s v="ALFA COATING"/>
        <s v="NUICAR S.A.R. A.U"/>
        <s v="ECOMAB"/>
        <s v="KASTROUL"/>
        <s v="STE SAFTI"/>
        <s v="GARAGE BEAU DE ROCHAS"/>
        <s v="SOCIETE INFOSPP"/>
        <s v="DYNAMIC COLOR"/>
        <s v="QUALITY SEA PRODUCT SARL"/>
        <s v="ETS AGUEDACH FRERES"/>
        <s v="NEW FASA OIL"/>
        <s v="RIF SISCOU"/>
        <s v="FRAIS CAPRICES"/>
        <s v="MASSILLY MAROC"/>
        <s v="VIRGINIA EPICES"/>
        <s v="L.M.A FRESH"/>
        <s v="STE LAZAR"/>
        <s v="EL MOURABITE HASSAN"/>
        <s v="STE AKABEN SARL"/>
        <s v="BOURROU ABDELLAH"/>
        <s v="STE FIDO NEGOCE"/>
        <s v="GROUPEMENT ALIMENTAIRE REUNI"/>
        <s v="PROMALI"/>
        <s v="BIG OUTIL"/>
        <s v="SAFDI ART"/>
        <s v="DISTRIM PLUS"/>
        <s v="KHIYI RACHID"/>
        <s v="BRICOLAGE BELHASSAN"/>
        <s v="ROSA MAROC"/>
        <s v="BHIRAT ELECTRIC"/>
        <s v="STE AL KIMYA"/>
        <s v="STE MATEF"/>
        <s v="SIPP S.A"/>
        <s v="MEDAOUI COMMERCE"/>
        <s v="ISTANBOUL COLLE"/>
        <s v="GROUPE MOJAZINE"/>
        <s v="FRIO EQUIPEMENT"/>
        <s v="AGREQUIP DU MAGHREB"/>
        <s v="CLEAN ENVIRONMENT"/>
        <s v="MOGA DOREPICES"/>
        <s v="NEIMA ET RIZK"/>
        <s v="MHN FISH "/>
        <s v="VEOS ATLANTIC"/>
        <s v="ARGWAY PEINTURE"/>
        <s v="SWNB SARL"/>
        <s v="SERVINE"/>
        <s v="RACHID OUBARI"/>
        <s v="COOPERATIVE EMPREINTE POSITIVE"/>
        <s v="BRICO BEST"/>
        <s v="PETROM"/>
        <s v="ARIDIS SARL"/>
        <s v="ALLO DELIVERY"/>
        <s v="OUBIG SARL"/>
        <s v="L C P INDUSTRIE SARL"/>
        <s v="BRICOIMSOUSS"/>
        <s v="PHYTO PROD S.A"/>
        <s v="HAMZA OUHADER"/>
        <s v="VALENCIA COULEURS"/>
        <s v="JAWDA VINYLIQUE"/>
        <s v="BOUAZZOUZ IMPORT EXPORT"/>
        <s v="VICTORIA PAINT SARL"/>
        <s v="DODIREC"/>
        <s v="AZAARI OTHMAN"/>
        <s v="IMPRIM VERT"/>
        <s v="STE MILKY ICE "/>
        <s v="SYFAW INDUSTRIE"/>
        <s v="ALFA COATING INDUSTRIES"/>
        <s v="PRESTIGE CARROSSERIE"/>
        <s v="RADOUANE EL JAOUHARI"/>
        <s v="MY BAHARAT"/>
        <s v="WORLD PACK"/>
        <s v="MOHAMED SOUSSI"/>
        <s v="SOMA BITUM"/>
        <s v="LES RESIDENCES ANGAD"/>
        <s v="COOPERATIVE MY SPICES"/>
        <s v="MALAK ET MAYSSAE"/>
        <s v="CONSERVAL"/>
        <s v="STE ORANGE PEINTURES"/>
        <s v="KHALID MASSAR"/>
        <s v="GRIMEX"/>
        <s v="SCY PEINT"/>
        <s v="SEPCA SARL"/>
        <s v="COOPERATIVE BIOJABALIA"/>
        <s v="ADAM EL BARAKA"/>
        <s v="JOZY LIGHTS"/>
        <s v="MAATAK JAMAL"/>
        <s v="GRTP"/>
        <s v="IMGHAREN"/>
        <s v="AHOUCH LAHCEN"/>
        <s v="AHOUCH AHMED"/>
        <s v="OPTIMAL FACILITY MANAGEMENT"/>
        <s v="PHYTO AROMA"/>
        <s v="TIZI COLOR"/>
        <s v="ASTH MANUTENTION"/>
        <s v="SANISET"/>
        <s v="STE JANAH FRERES "/>
        <s v="DETERGNET RIDA CHIMIE"/>
        <s v="WAFA PAINT"/>
        <s v="L'ABEILLE DU SOUSS"/>
        <s v="CATTLEYA S.R.L"/>
        <s v="CONSERVES TAM"/>
        <s v="MERCATIK"/>
        <s v="KBF COSMETICS"/>
        <s v="SEDRIC S.A"/>
        <s v="NEOVADA SARL"/>
        <s v="SEK CORPORATION"/>
        <s v="ARTC BAT"/>
        <s v="DUXOL SARL"/>
        <s v="ETS WACO"/>
        <s v="ABOULFDAM MOHAMMED"/>
        <s v="AUTO TONIC"/>
        <s v="MERVEILLES DES MERS"/>
        <s v="FARAH MATERIAUX SARL"/>
        <s v="STE SCERO"/>
        <s v="ETS MBARKI"/>
        <s v="MOHAMED BEYYATO"/>
        <s v="ABDELOUAHED MOUYAH"/>
        <s v="STE HHY COMPANY"/>
        <s v="CONTRASTE SUD SARL AU"/>
        <s v="IKY PEINT SERVICE SARL"/>
        <s v="KANFAOUI SANITAIRE SARL"/>
        <s v="MARDAL SARL"/>
        <s v="DASMA SARL"/>
        <s v="KJ BAT"/>
        <s v="FATIMA ZAHRA ANDALOUSSI"/>
        <s v="MOUAOUIA RACHID"/>
        <s v="ZAIDI AHMED"/>
        <s v="LEADER COMPANY OF DISTRIBUTION CHEM"/>
        <s v="KARZAZI ABDELLAH"/>
        <s v="AL MARAI VIANDES"/>
        <s v="UNIVERS LABO"/>
        <s v="HYGIMAR"/>
        <s v="DROGUERIE TAOUHID"/>
        <s v="AARAB SLIMANE"/>
        <s v="SOCIETE PROMARCHE SARL"/>
        <s v="MAOHOUB RABIA"/>
        <s v="DOUZI MOHAMMED"/>
        <s v="BOUCHNANE IMPORT SARL AU"/>
        <s v="BOUCHNID EL HASSANE"/>
        <s v="YAZZA HASSAN"/>
        <s v="SAMIR MAATAK"/>
        <s v="RAGHIFI ABDESLAM"/>
        <s v="POLY LASIR"/>
        <s v="BRAHIM EL AISSAOUI"/>
        <s v="DRISSI SIDI MOURAD"/>
        <s v="ABDELKADER MANADIR"/>
        <s v="DROGUERIE DE PORT"/>
        <s v="AUTOCRAFT"/>
        <s v="MHS PAINT"/>
        <s v="AHOUCH HOUCINE"/>
        <s v="AZUL PAINT"/>
        <s v="DRISSI SIDI SMAIL"/>
        <s v="SOMAREG"/>
        <s v="Q P R SERVICE AUTO SARL"/>
        <s v="STE L H D N SARL"/>
        <s v="NOOR PEINTURE"/>
        <s v="KTSYS"/>
        <s v="MLY MED AIT EL MOUDDEN"/>
        <s v="TOP CAOUTCHOUE ET TRONSSMISSION"/>
        <s v="LEADER COLOR"/>
        <s v="LA PERLE D'OUEST"/>
        <s v="OSCAR COLOR"/>
        <s v="KASSOUSS MOHAMED"/>
        <s v="REX COLOR PEINTURES"/>
        <s v="BEST MAINTENANCE SERVICE"/>
        <s v="FOURNITURE.MA"/>
        <s v="DECOKAD"/>
        <s v="ABERKANE MOHAMED"/>
        <s v="OMAR BSISS"/>
        <s v="BASMA BRICO SARL"/>
        <s v="OCEAMIC LAAYOUNE"/>
        <s v="S.C.M.EQUIPEMENT"/>
        <s v="CAPRISAF"/>
        <s v="KAMAL ELAJLANI"/>
        <s v="BELMA"/>
        <s v="LES CONSERVERIES MAROCAINE DOHA"/>
        <s v="SIMPA SAMARA"/>
        <s v="UNION DES PECHERIES AFRICAINES"/>
        <s v="ORGAFOOD"/>
        <s v="LAAYOUN CONSERVE NAGJIR"/>
        <s v="ESSALHI MAROC"/>
        <s v="MAGI-TEST"/>
        <s v="FOODIS"/>
        <s v="ABATTOIRE SAHEL"/>
        <s v="CHARCUTERIE SAHEL"/>
        <s v="ABDELJABAR SOULAMI"/>
        <s v="AGRO-VENUSES"/>
        <s v="VITAFORM MENA"/>
        <s v="CAPSCIENCES"/>
        <s v="ABDERRAHMANE BAROUDI"/>
        <s v="ABDELFATAH BENAZI"/>
        <s v="NAFTSHALL"/>
        <s v="ONAS NEGOCE SARL"/>
        <s v="POLYCHEF INGENIERIE"/>
        <s v="RITEB RACHID"/>
        <s v="UNIVERSAL PEINT SARL"/>
        <s v="MAZAGON FISH"/>
        <s v="STE HORIZON EXPRESS SERVICES"/>
        <s v="LOGI FOOD MAROC"/>
        <s v="MASSALA EPICES"/>
        <s v="SOGENCO"/>
        <s v="FRUITS AND LEGUMES BY BARRAQ"/>
        <s v="CHAYGAR BRAHIM"/>
        <s v="BUREAU VERITAS MAROC"/>
        <s v="ALI AIT LHADJ"/>
        <s v="RAZED COLOR"/>
        <s v="EMAGINTECH "/>
        <s v="STE MEDCOS SARL"/>
        <s v="EL HDAGA FOOD"/>
        <s v="EXPERMETAL"/>
        <s v="LABELCOS"/>
        <s v="COQ INDUSTRIE"/>
        <s v="ZOUHAIR AKH EL ARAB"/>
        <s v="MONAROME"/>
        <s v="ATLANTIC SARDINE ANCHOVIE TAN-TAN"/>
        <s v="GRAISSE BELLEVILLE"/>
        <s v="SOZA PEINT"/>
        <s v="RACHID OUHOUD"/>
        <s v="ABDLKRIM LGZOUBA"/>
        <s v="ELMEKHROUBI RACHID"/>
        <s v="GROUP IFIZIG TRADING COMPANY"/>
        <s v="GENI HYGIENE"/>
        <s v="AL AZHAR ABDELMJID"/>
        <s v="NUTS  LINA"/>
        <s v="ECOTIF"/>
        <s v="MAZZA CHIMIE"/>
        <s v="BUFFA"/>
        <s v="KAMAL TARBOUCH"/>
        <s v="MAGIC WALLS"/>
        <s v="AFRICA WORLD BUSINESS"/>
        <s v="OUBOUQSSI YOUSSEF"/>
        <s v="LINAM "/>
        <s v="STE NOUVELLE AVEIRO MAROC"/>
        <s v="DROGUERIE ESOUBAII"/>
        <s v="BOUTIQUES DOMAINES AGRICOLES"/>
        <s v="HICHAM MAGUERRA"/>
        <s v="HELIOS CHIMIE SARL"/>
        <s v="STE IBERKAL"/>
        <s v="VISCA FOOD"/>
        <s v="ENTREPRISES ITALY"/>
        <s v="B2I GROUP"/>
        <s v="EL IDRISSI EL ALOUANI MY BRAHIM"/>
        <s v="SORETP"/>
        <s v="ABDLKRIM TALBAOUI"/>
        <s v="STE YAHYA AL FIRDAOUSS SARL AU"/>
        <s v="EL MOURABIT OMAR"/>
        <s v="MHAMMED EL MAALLEM"/>
        <s v="MELLOUKI ABDELGHANI"/>
        <s v="OUAZZANI TOUHAMI AHMED"/>
        <s v="GRAVO LASER"/>
        <s v="SAAD KHALIL"/>
        <s v="VISIBILITY"/>
        <s v="LUXE COLOR PLUS"/>
        <s v="MIDAV"/>
        <s v="INTER OIL "/>
        <s v="TECH FOND"/>
        <s v="DROGUERIE SALMA SARL"/>
        <s v="ZMSM"/>
        <s v="ETS AMAL HERITIERS BEN BRAHIM AH"/>
        <s v="ZOUITANE MOHSSINE"/>
        <s v="OUBOUQSSI OMAR"/>
        <s v="JANAH ABDELJALIL"/>
        <s v="TAOUSSI RABAH"/>
        <s v="ROCHES FER"/>
        <s v="PERLITE PRO SARL"/>
        <s v="ACHIBEST FOOD"/>
        <s v="MULTI CONSERVES MAROC"/>
        <s v="HALA &amp; PARTNERS "/>
        <s v="MARINE INDUSTRIE CHIMIE"/>
        <s v="BOURCHANIN &amp; CIE"/>
        <s v="ISMAILI MOULAY IDRISS"/>
        <s v="HICHAM TAMARIS"/>
        <s v="KHALID AIGLO"/>
        <s v="SOCIETE G.T.I CARROSSERIE"/>
        <s v="SOCIETE EPICEA"/>
        <s v="TAHRIYNE MOHAMMED"/>
        <s v="BAAZIZ MOHAMED"/>
        <s v="MERZOUQUI BENYOUNES"/>
        <s v="NEUTROPLAST MAROC"/>
        <s v="STE MIL YOU PARFUM SARL"/>
        <s v="CARPID SARL"/>
        <s v="ODICOLOR MAROC"/>
        <s v="ROSACOLOR"/>
        <s v="BE.COMMERCE"/>
        <s v="LABORATOIRES MEDIPACO"/>
        <s v="SABBAR MOHAMED"/>
        <s v="KHADAMAT PRO"/>
        <s v="PETROLUB SARLAU"/>
        <s v="KLIMENS"/>
        <s v="BRAZAGO PEINTURE"/>
        <s v="HOUAR"/>
        <s v="SAADAOUI ABDELGHANI"/>
        <s v="CAPTOOLS INDUSTRIES"/>
        <s v="EXPRESS LUBRIFIANTS"/>
        <s v="AUTO SERVICE NOUACEUR"/>
        <s v="SAID ED MBARK"/>
        <s v="SANIWORLD"/>
        <s v="STE CAPEMA"/>
        <s v="PEINTURE ROMA COLOR"/>
        <s v="CONSERVERIE DE LA GIRONDE"/>
        <s v="STE SENADRO SARL"/>
        <s v="STE INTERCONTINENTAL CAOUACHOUC"/>
        <s v="RECUP OIL SARL"/>
        <s v="TITANIUM PEINTURE SARL"/>
        <s v="UNICONSERVES"/>
        <s v="ORE DECOR"/>
        <s v="SIDTRAV"/>
        <s v="VICTUS &amp; TRADITUM FOODS"/>
        <s v="SODIREP"/>
        <s v="UNIVERS CAOUTCHOUC"/>
        <s v="OLYMPIA SAKA SARL"/>
        <s v="SAHARA COLLE PEINTURE"/>
        <s v="DM COLOR"/>
        <s v="ELHOUARI OMAR"/>
        <s v="SABCA MAROC"/>
        <s v="CALTE CHIMIQUE"/>
        <s v="EPICES GIRONA"/>
        <s v="ACT NEGOCE"/>
        <s v="COPAG"/>
        <s v="UNELEC MULTECH"/>
        <s v="COOPERATIVE APIA"/>
        <s v="B2S INDUSTRIE"/>
        <s v="STE TRAVMIL"/>
        <s v="VEGETAL EPICE"/>
        <s v="STE DORE CONSTRUCTION"/>
        <s v="SGS Tanger Méditerranée SARL(AU)"/>
        <s v="KHALID HARATI"/>
        <s v="ATLANTIC HOME SARDINES"/>
        <s v="LABTRONICS"/>
        <s v="FKG MAROC"/>
        <s v="MERIEM PEINT"/>
        <s v="LMH"/>
        <s v="MAZOZ PEINT"/>
        <s v="LA BOUTIQUE MAROCAINE DU CONVOYEUR"/>
        <s v="LA CHOUQUETTE DISTRIBUTION"/>
        <s v="STBI"/>
        <s v="OSKA MAROC"/>
        <s v="DIVA MAROC"/>
        <s v="AMADIR"/>
        <s v="MOHAMED ZERBAN"/>
        <s v="STE FREINAGE TANGER"/>
        <s v="SOLVE MAROC INDUSTRIE SARL"/>
        <s v="MEAT CORP"/>
        <s v="MANTEX"/>
        <s v="Belhassan Complexe Industriel et Commercial"/>
        <s v="ETS OUBAHA &amp; FILS"/>
        <s v="STE AMALOU PLASTIQUE SARL"/>
        <s v="PELADA SARL"/>
        <s v="SAHEL INDUSTRIE SARL"/>
        <s v="EUROPRO"/>
        <s v="AMSPEC"/>
        <s v="CUMAREX"/>
        <s v="ZEN DISTRIBUTION"/>
        <s v="TOUTANE LIMITED"/>
        <s v="CHRONO FISH"/>
        <s v="VERONA GOLD"/>
        <s v="LOGIDOU"/>
        <s v="ELEGANCE LUBRIFIANTS"/>
        <s v="NASSIMA FOOD"/>
        <s v="RITEB SAMIR"/>
        <s v="MOHAMMED SOUALEM"/>
        <s v="AMZAL ABDELAZIZ"/>
        <s v="PROJET-TS"/>
        <s v="OUSSAD MOHAMED"/>
        <s v="HAMDOUNE SOURI"/>
        <s v="ENOU CONSTRUCTION"/>
        <s v="STE PAVO COLOR"/>
        <s v="HORTICOM"/>
        <s v="TOP BETON"/>
        <s v="CODETRAM SARL"/>
        <s v="RESI STAR"/>
        <s v="LARKIN &amp; EDDY DISTRIBUTION"/>
        <s v="ABC AGRO SARL "/>
        <s v="ATLAS CONFITS"/>
        <s v="CHARCUTERIE EUROMAR SARL"/>
        <s v="MOGANOR"/>
        <s v="MAROC ASSAISONNEMENTS SARL"/>
        <s v="BELKABOUSS JAMILA"/>
        <s v="INTERNATIONAL CANNING COMPANY"/>
        <s v="NOUI PARTS AND SERVICES"/>
        <s v="CHOURAFI YOUSSEF"/>
        <s v="NETRAM SARL AU"/>
        <s v="AZID FISH MAROC SARL"/>
        <s v="ABIOCEN E NEGOCE"/>
        <s v="BATILUX"/>
        <s v="SOCIETE SLEEVETIK"/>
        <s v="KHALDYS"/>
        <s v="SOCO KACEMI SARL"/>
        <s v="MONTA CORP"/>
        <s v="MEGATRIX COLOR"/>
        <s v="STE MAGHREB OCEAN FOOD "/>
        <s v="OGICOM"/>
        <s v="ATUNEROS DEL SUR"/>
        <s v="TECHNAUTO"/>
        <s v="CAPREL"/>
        <s v="EL MRABET MOHAMED"/>
        <s v="RAMACOLOR PEINTURE"/>
        <s v="MOSTAFA LAMUDATE"/>
        <s v="FIDO  FOOD"/>
        <s v="BOU OUZALIM"/>
        <s v="LITTLEMA SARL"/>
        <s v="KENZI MOHAMMED"/>
        <s v="MHAMDI ALAOUI HACHEM"/>
        <s v="ZAITOUNI JABRAN"/>
        <s v="ALTEATRA"/>
        <s v="NEW VITA"/>
        <s v="NETPAK"/>
        <s v="EXTRA LOOK AUTO"/>
        <s v="KAIZEN DISTRIBUTEUR"/>
        <s v="EXP.DIST SARL"/>
        <s v="LIMPI MAROC"/>
        <s v="ALYATEC"/>
        <s v="Pélagique industrie "/>
        <s v="PESCADO"/>
        <s v="FAST AMBALAJ"/>
        <s v="AGROMAC1"/>
        <s v="STE TLATIG NEGOCE"/>
        <s v="BAKHAT MOHAMED"/>
        <s v="SBAI IBRAHIM"/>
        <s v="COLD FOOD"/>
        <s v="TRAMAUTO"/>
        <s v="PADIART"/>
        <s v="ARABIA FOOD"/>
        <s v="EPICES NOUR"/>
        <s v="FATINA FOOD BUSINESS"/>
        <s v="GREEN LIFE TECH"/>
        <s v="CONSERVAJAR"/>
        <s v="ATELIER TEULI"/>
        <s v="PELAGIC PRO"/>
        <s v="MAROC BUSINESS BAKKERY SARL"/>
        <s v="ROSACOLOR PEINTURES"/>
        <s v="RESTER ECO"/>
        <s v="STE SEMPACOLLE SARL"/>
        <s v="STE ASAKA WORLD"/>
        <s v="SALWAN DE PÊCHE MARITIME"/>
        <s v="SOMA LUBRIFIANTS SARL"/>
        <s v="MAI CHAKIB"/>
        <s v="RATIM"/>
        <s v="ALPHA COLLE"/>
        <s v="AKOUAS CLEAN"/>
        <s v="UNIVERS FOOD TRADING"/>
        <s v="MOUSSTRAF"/>
        <s v="SOMME MAROC"/>
        <s v="OLEA CAPITAL SLE BERTIN"/>
        <s v="ZWAWRI INCORPORATION SARL"/>
        <s v="GOODIE FRIST"/>
        <s v="TRANS ATLANTIC CANNED"/>
        <s v="SAREX"/>
        <s v="STE ADROC"/>
        <s v="ADA PEINT"/>
        <s v="LABOFOOD"/>
        <s v="FABRILUB"/>
        <s v="STE HORIZON PACK "/>
        <s v="CARO PEINT"/>
        <s v="BEUGIN MAROC"/>
        <s v="BAKHAT ALI"/>
        <s v="NATUREL CORE"/>
        <s v="M ASSALA EPICES"/>
        <s v="JIL LOGISTIQUE"/>
        <s v="STE MAROCAINE DES EPICES REHAMNA"/>
        <s v="BOUHIKY ET FILS BUSNESS SERVICE AND NEGOCE SARL"/>
        <s v="PN STORE MAROC"/>
        <s v="EQUIPEMENT CHEFCHAOUNI SARL"/>
        <s v="LES BIOS D'AGADIR"/>
        <s v="SAAD EQUIPEMENT"/>
        <s v="MOHAMED SOUALEM WARDA"/>
        <s v="GROUPO"/>
        <s v="SILVER SERTISSAGE"/>
        <s v="MAMOUNI ALAOUI ABDERRAHMANE"/>
        <s v="STE PRTECT PLUS YOUNY"/>
        <s v="BIDA GRAPH SARL"/>
        <s v="AGRI ORGANIC DOMAINE DE CHTOUKA SARL"/>
        <s v="YAZZA ALI"/>
        <s v="PROGIGA SARL"/>
        <s v="L.G.M.C "/>
        <s v="M2FC SARL AU"/>
        <s v="DOUCHANI ABDELLATIF"/>
        <s v="EXKYM"/>
        <s v="KEMICA"/>
        <s v="BARGACH MOHAMED"/>
        <s v="TERRE D'EPICE SARL"/>
        <s v="TRIBOLOGIE"/>
        <s v="AGRO FOOD INDUSTRIE"/>
        <s v="KAROUN ABDERRAHIM"/>
        <s v="BOLGOT LATIFA OU EL MOUBAREK YOUNES"/>
        <s v="LINIAGE PEINTURES"/>
        <s v="PLARUCE ENGINEERING"/>
        <s v="MOHAMED WAKRIM"/>
        <s v="GOLBAL FILTERING SOLUTION"/>
        <s v="MILOUD BOGUERIN"/>
        <s v="ERG DELICES "/>
        <s v="PROXIMA INDUSTRIEL"/>
        <s v="CHARKAOUI RHIMOU"/>
        <s v="RACHID AITTIFAST"/>
        <s v="SOUFIANE EL BAKKARI"/>
        <s v="SUN PACKAGING ET GRAPHICS"/>
        <s v="SOGAP"/>
        <s v="M SOUAH EL HOUSSAINE"/>
        <s v="MOROCCAN ATLANTIC PILCHARDUS"/>
        <s v="TAFDIS"/>
        <s v="SOCIETE JANANE ZEMZAMI"/>
        <s v="MAJILAB MAROC"/>
        <s v="ALTERNATIVE SERVICE"/>
        <s v="YOUSSEF OUAHBI"/>
        <s v="DH CREATIVE PAINT"/>
        <s v="SOCIETE SOGAP"/>
        <s v="AKHERSOUM MOHAMED"/>
        <s v="GRATIM"/>
        <s v="STE LAMINI FOOD"/>
        <s v="SOCIETE AGRICOLE LES DEUX DOMAINES"/>
        <s v="EURAFRIC SERVICE ET INGENIERIE"/>
        <s v="WAFA SOUSS"/>
        <s v="BE. PEINTURE"/>
        <s v="AGRI CHALLENGE"/>
        <s v="UNIVERS DELI"/>
        <s v="ATUNEROS DEL SUR CONSERVAS"/>
        <s v="IDNAFOOD"/>
        <s v="ALMADINA BIHI"/>
        <s v="RAHAU SOLUTIONS"/>
        <s v="ACQ INFO."/>
        <s v="STE ROSA FERTYL SARL"/>
        <s v="GENIAL DELICE"/>
        <s v="ADFERT MAROC"/>
        <s v="STE NORTH AFRICAN FOODS PRODUCT COMPANY SARL AU"/>
        <s v="TOP CONNEXION LOGISTIQUE"/>
        <s v="LABORATOIRE MAROCAIN D'HYGIENE"/>
        <s v="BOURZIK MOKHTAR"/>
        <s v="ISOLACK"/>
        <s v="STE BOUARGANE FOOD"/>
        <s v="URCIMAR,S.A"/>
        <s v="NATURAL BIO FOOD"/>
        <s v="4 FAMILLE"/>
        <s v="NOUTFIA ABDELMALAK"/>
        <s v="LA CONSERVERIE MODERNE DU SUD"/>
        <s v="CONSERVERIES PELAGIQUES DE DAKHLA"/>
        <s v="ALEOSAN AGRO"/>
        <s v="IBDAA COLOR"/>
        <s v="VITRO PACK SARLAU "/>
        <s v="EDS ENGINEERING COMPANY"/>
        <s v="MS ENPRESA"/>
        <s v="SOMAP ET SERVICE"/>
        <s v="JILPROPRIETA FONDIARA"/>
        <s v="TOUFA FOOD"/>
        <s v="ANALAB SARLAU "/>
        <s v="ANDALUS FOOD GROUP"/>
        <s v="TUNAMAX"/>
        <s v="MOROCCAN FOOD PROCESSING"/>
        <s v="POLYSPACE INDUST"/>
        <s v="WAD SERVICES INDUSTRIES"/>
        <s v="COMMERCIAMAR EXPO"/>
        <s v="SIDNI IFNI FISH SARL"/>
        <s v="DELICES AMINE SARLAU"/>
        <s v="J'AIME ARDI"/>
        <s v="DOUILI MULTI WORKS"/>
        <s v="SUDAK MAROC"/>
        <s v="ILSOTRA DISTRIBUTION"/>
        <s v="REYAD PESCA"/>
        <s v="B&amp;G Fromagerie"/>
        <s v="FOOD PROCESS"/>
        <s v="SERVICES TRAVAUX PROVISIONS"/>
        <s v="SARIBEKIR AMBALAJ SANAYI VE"/>
        <s v="OLIV MARK"/>
        <s v="BENDARI KHADDOUJ"/>
        <s v="SAMIA FADILI"/>
        <s v="AIT IZOUAN ABDELAH"/>
        <s v="AJOUGHLAL MOHAMED"/>
        <s v="T.D.H.A."/>
        <s v="GLOMATEST"/>
        <s v="EL BAHIJ YOUSSEF"/>
        <s v="AMMOR ZINEB"/>
        <s v="LIXUS BETON SARL"/>
        <s v="ROCK &amp; MAN SARL"/>
        <s v="FDL CHEMICALS"/>
        <s v="FADLI SAID"/>
        <s v="MOHAMED AHOUJI   "/>
        <s v="RIZAL Sarl"/>
        <s v="MOUTII ERRAHMANI LAHMIDI"/>
        <s v="SAHELMIX"/>
        <s v="Deliz food processing"/>
        <s v="CONSERVES NORA"/>
        <s v="STE DIAGNOLINE"/>
        <s v="STE REVECOP"/>
        <s v="CONSTANCE DISTRIBUTION"/>
        <s v="GREEN DOKTOR"/>
        <s v="NORDIC DESIGN"/>
        <s v="YOUSSRA TRANS NEGO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THMANE" refreshedDate="46193.485934490738" createdVersion="7" refreshedVersion="7" minRefreshableVersion="3" recordCount="521" xr:uid="{03926B02-5F3A-4A44-B088-53FF9787C330}">
  <cacheSource type="worksheet">
    <worksheetSource ref="B1:B1048576" sheet="Fournisseurs"/>
  </cacheSource>
  <cacheFields count="1">
    <cacheField name="Intitulé" numFmtId="0">
      <sharedItems containsBlank="1" count="517">
        <s v="RIO CAIMA"/>
        <s v="ALCION PLASTICOS "/>
        <s v="BEMASA CAPS"/>
        <s v="ENVASES METALURGI"/>
        <s v="IMTO"/>
        <s v="REPLI"/>
        <s v="JUVASA"/>
        <s v="SACCOF PACKAGING"/>
        <s v="EURAFRIC PIECES SARL"/>
        <s v="DATA DEV SARL"/>
        <s v="FASTEN"/>
        <s v="PIRAMAL"/>
        <s v="BRUNI GLASS"/>
        <s v="EUROVETROCAP"/>
        <s v="LIMEA FISMA"/>
        <s v="MWV ITALIA"/>
        <s v="SILFA METAL PACKA"/>
        <s v="FOUNISSEURS DIVERS"/>
        <s v="GENERALE INCENDIE"/>
        <s v="KERIX"/>
        <s v="FIRST INFORMATIQUE"/>
        <s v="AUTOROUTES DU MAROC"/>
        <s v="TELECONTACT"/>
        <s v="LYDEC"/>
        <s v="MICROCHOIX MAROC"/>
        <s v="GENERAL-BUREAU"/>
        <s v="DEPOT AIN HARROUD"/>
        <s v="MAROC TELECOM"/>
        <s v="ATLAS VOYAGE"/>
        <s v="BRICOMA"/>
        <s v="CABINET AISSE"/>
        <s v="M BRICOLAGE"/>
        <s v="REKRUTE"/>
        <s v="ROYAL AIR MAROC"/>
        <s v="WAFA ASSURANCE"/>
        <s v="RIAD SABAH"/>
        <s v="MICRODATA"/>
        <s v="VEILLE TECHNOLOGIE"/>
        <s v="MAROC EXPRESS"/>
        <s v="ASSURANCE EL ANDA"/>
        <s v="ROUCHE OUTILS"/>
        <s v="SERENIS ASSURANCE"/>
        <s v="TRANSPORT LOCAL"/>
        <s v="SPEDIMEX"/>
        <s v="DOUANE"/>
        <s v="MARSA MAROC"/>
        <s v="STCMA"/>
        <s v="DHL MAROC"/>
        <s v="LA VOIE EXPRESS"/>
        <s v="PANOMARIQUE TRANS"/>
        <s v="RAM - TRANSPORT I"/>
        <s v="GLOBAL NETWORK LO"/>
        <s v="IFS NEUTRAL MARIT"/>
        <s v="CTM MESSAGERIE"/>
        <s v="LASRY MAROC"/>
        <s v="SAGET MAROC"/>
        <s v="GEFCO TRANSPORT"/>
        <s v="MARBAR LOGISTICS "/>
        <s v="M&amp;M"/>
        <s v="PROLOGISTIC TRANS"/>
        <s v="COGEPRA"/>
        <s v="STE TRANSPORT MOU"/>
        <s v="ATLAS MESSAGERIE"/>
        <s v="SEAGOLINE"/>
        <s v="SJL MAGHREB"/>
        <s v="SONOCO Métal Packaging Maroc"/>
        <s v="MUTRONIC"/>
        <s v="OFFSET POLYPLAST"/>
        <s v="MANUFACTURE D'EMB"/>
        <s v="RAHAPACK"/>
        <s v="BEN &amp; SONS PACKAG"/>
        <s v="PARA2000"/>
        <s v="PACK SYSTEM"/>
        <s v="GREIF"/>
        <s v="LES EMBALLAGES MODERNES"/>
        <s v="COVERPLA"/>
        <s v="CASA-PACKING"/>
        <s v="SOCIETE CENTRALE D'EMBALLAGES"/>
        <s v="JAD DISTRIBUTION"/>
        <s v="FAST AMBALAJ"/>
        <s v="SOCIETE LIBANAISE POUR L'INDUSTRIE "/>
        <s v="MASSILLY"/>
        <s v="JIL EMBALLAGES"/>
        <s v="WORLD FIDUCIAIRE"/>
        <s v="METTALLIFNI"/>
        <s v="SAMWA SARL"/>
        <s v="POLYACCESSOIRES"/>
        <s v="PORTNET "/>
        <s v="WEC LINES"/>
        <s v="STATION EL MAMOUNIA"/>
        <s v="ALL LINES SHIPPING"/>
        <s v="GALION FRNS ETRG"/>
        <s v="SOTRALIS"/>
        <s v="METALSCATOLA AFRIQUE"/>
        <s v="AVEZ SAS"/>
        <s v="LOYER MR ROCK"/>
        <s v="KING 4 MEDIA"/>
        <s v="HANINECONSEIL"/>
        <s v="MOROCCO TOURS"/>
        <s v="LOYER LA GIRONDE"/>
        <s v="AGL ASSURANCE"/>
        <s v="FEDEX"/>
        <s v="ASMAE FORWARDING EXPRESS"/>
        <s v="NAVIGHREB"/>
        <s v="JUSTCLIM"/>
        <s v="STE FH ELECTRIC"/>
        <s v="CROWN FOOD ESPANA"/>
        <s v="BENDARI KHADOUJ"/>
        <s v="ENTEPOT CONSULTING"/>
        <s v="SALAM GRAVURE"/>
        <s v="METALSCATOLA ITALIE"/>
        <s v="STE CERAME AMBIANCE INFINI"/>
        <s v="COLOMAR"/>
        <s v="SOPRIAM"/>
        <s v="LOYER MR GHOUNAIM AIN SBAA"/>
        <s v="KHALDYS"/>
        <s v="AUXILIAR CONSERVERA SA"/>
        <s v="EIMSUP"/>
        <s v="GES MAROC"/>
        <s v="ARKAS MAROC"/>
        <s v="ALUFA PUB"/>
        <s v="ALI RHOUNAIM"/>
        <s v="OPDR"/>
        <s v="PREMIUM LOCATION"/>
        <s v="SOUSS PIENTURES"/>
        <s v="ASSKO PACK"/>
        <s v="AJARIF INFO"/>
        <s v="SOMACHAME"/>
        <s v="SOMALAM"/>
        <s v="KARE ACCOUNTING"/>
        <s v="SOKADEP"/>
        <s v="MOGETRAC"/>
        <s v="MTL"/>
        <s v="CARREFOUR"/>
        <s v="OP BOX "/>
        <s v="EXMARIS"/>
        <s v="TRANS EL HAMMAZ SARL AU"/>
        <s v="MAXI AUTO"/>
        <s v="G LOG MAROC"/>
        <s v="IBEROSTAR"/>
        <s v="LIMANETRANS SARL AU"/>
        <s v="DAR MAKTOUB"/>
        <s v="MAROC LEASING"/>
        <s v="HOTEL EMILIO MORETTI"/>
        <s v="AUTO LOOK"/>
        <s v="CENTRALE AUTO CHERIFIENNE"/>
        <s v="STATION TOTAL MAHATA SARL"/>
        <s v="ROCAMORA "/>
        <s v="ANWAR ET ELYAS TRANS"/>
        <s v="KARTI MOHAMED - AVOCAT"/>
        <s v="OUSSAAD NEGOCE"/>
        <s v="TOTAL MAROC SA"/>
        <s v="EE INDUSTRIAL CONSULTING"/>
        <s v="COEUR DE SERTISSAGE"/>
        <s v="POSE INDUSTRIE"/>
        <s v="VMM"/>
        <s v="INTER PLI"/>
        <s v="DABA MAROC"/>
        <s v="IKEA ZENATA"/>
        <s v="COSMO NATURE"/>
        <s v="LE CABESTAN"/>
        <s v="STL AR"/>
        <s v="EULER HERMES ACMAR"/>
        <s v="RESTOPRO PIZZA"/>
        <s v="DAR KAMAR"/>
        <s v="FNAC CASA MM"/>
        <s v="WAFA BAIL"/>
        <s v="BESTMARK"/>
        <s v="AYOUTRANS"/>
        <s v="AUTO NEJMA"/>
        <s v="BISTROT CHIC"/>
        <s v="FENETRE SUR COUR"/>
        <s v="OSTREA OUALIDIA"/>
        <s v="SOFITEL MOGADOR"/>
        <s v="KITEA GEANT BOUSKOURA"/>
        <s v="LUNIM INDUSTRIE"/>
        <s v="INSTITUT FRANCAIS"/>
        <s v="DECATHLON"/>
        <s v="MAZAGAN BEACH RESORT"/>
        <s v="LILYS RESTO CASA"/>
        <s v="I RESTORANTE ITALIANO"/>
        <s v="SIMULATOR ONLINE"/>
        <s v="LA PAUSE TAJINE"/>
        <s v="MARJANE"/>
        <s v="DSV TRANSPORT"/>
        <s v="MR KITABRI HASSANE"/>
        <s v="Mme ZINEB AMMOR"/>
        <s v="SK CONTRACT"/>
        <s v="HJM TRANS"/>
        <s v="JTTL"/>
        <s v="CAP-AOUYAL-FRICO TRANSPORT"/>
        <s v="DISTRIMPEX SARL"/>
        <s v="ABOU RAYANE"/>
        <s v="GRUPO COMOBI"/>
        <s v="YMMI TRANS"/>
        <s v="ENVASES UNIVERSALES"/>
        <s v="INNOVER TRANSPORT"/>
        <s v="AZUR VOYAGES"/>
        <s v="I2M TRANS"/>
        <s v="SALAH EL BAHRAWI"/>
        <s v="RENAULT COMMERCE MAROC"/>
        <s v="ENVASES EUROPE"/>
        <s v="SAS SOREMA"/>
        <s v="S.A JAC N.V"/>
        <s v="COMPOSANT DIFFUSION"/>
        <s v="MALLARD FERRIERE"/>
        <s v="HENGEL "/>
        <s v="Sarten Ambalaj Sanayi ve Ticaret AS"/>
        <s v="Novio Packaging BV"/>
        <m/>
        <s v="ORANGE"/>
        <s v="IVRMAD"/>
        <s v="SAFI MED"/>
        <s v="LE PORT DE NEGOCE"/>
        <s v="CHAJARI BUSNISS"/>
        <s v="ALAMSIM"/>
        <s v="MARGLORY"/>
        <s v="TRO"/>
        <s v="METRO TRAVAUX"/>
        <s v="Saribekir Ambalaj - SBK"/>
        <s v="ACHBOUKH ABDELKARIM"/>
        <s v="SOMAFERG"/>
        <s v="BDP INTERNATIONAL"/>
        <s v="VECTORYS"/>
        <s v="TBG -TRANSPORT BEN EL GHALI"/>
        <s v="GLUD"/>
        <s v="RECOING &amp; JACQUETY"/>
        <s v="SOMME MAROC"/>
        <s v="ADVALUE"/>
        <s v="GIUSEPPE LOGISTIKA"/>
        <s v="COFACE MAROC"/>
        <s v="MOON ASSUR (EX PREVAS)"/>
        <s v="RAY CARGO"/>
        <s v="BOUHOU NEGOCE"/>
        <s v="MSEFER &amp; ASSOCIES "/>
        <s v="DISYSTEM"/>
        <s v="N4T MATERIALS"/>
        <s v="ILIP S.r.l."/>
        <s v="BREXIT"/>
        <s v="NOTRE COM"/>
        <s v="E-PARTENAIRE"/>
        <s v="SRM"/>
        <s v="SOGELEASE"/>
        <s v="R2M INDUSTRIE"/>
        <s v="AHMED OUBARI"/>
        <s v="ONEE"/>
        <s v="JIL LOGISTIQUE"/>
        <s v="ELECTROPLANET"/>
        <s v="SENATOR"/>
        <s v="SMAA"/>
        <s v="STE HORIZON EXPRESS"/>
        <s v="TOP BUREAU"/>
        <s v="SCANDINAVIAN AUTO "/>
        <s v="NWARA TRANS"/>
        <s v="CONTINENTAL STEEL"/>
        <s v="SOCIETE SAWSAN NEGOCE"/>
        <s v="RC NEGOCE "/>
        <s v="NADI NEGOCE"/>
        <s v="RIMA RAFIK"/>
        <s v="SOCAF"/>
        <s v="DB SCHENKER MAROC"/>
        <s v="HCME"/>
        <s v="SALVA INDUSTRIAL"/>
        <s v="PANEM INTERNATIONAL SAS"/>
        <s v="MALLARD FRRIERE"/>
        <s v="MSC MAROC"/>
        <s v="RM SYSTEME SARL"/>
        <s v="AVOCATS MOHAMED BENCHAKROUN &amp; KHADIJA EL ALAMI"/>
        <s v="DECOSTORY"/>
        <s v="PADEL NUESTRO"/>
        <s v="RAMSA"/>
        <s v="LES ALLIANCES"/>
        <s v="STATE COM"/>
        <s v="JILPROPRIETA FONDIARA"/>
        <s v="HCEM AUTOMOBILE"/>
        <s v="Y.M.F EXTREME MOTORS"/>
        <s v="SMEIA"/>
        <s v="DAREB HITECH "/>
        <s v="HMY"/>
        <s v="ESPACE BADR"/>
        <s v="MASSILY PORTUGAL"/>
        <s v="OMNILOGISTIC"/>
        <s v="BJORN"/>
        <s v="GTPROTECT"/>
        <s v="ASSURANCES ATLANTIQUE SUD"/>
        <s v="ALLIANZ MAROC"/>
        <s v="VINTEKK"/>
        <s v="CMA CGM MAROC"/>
        <s v="ALLO UNIVERS NETTOYAGE"/>
        <s v="OTOKTONE "/>
        <s v="SARGA SURF CAMP"/>
        <s v="CHAMS ENERGY SOLUTIONS"/>
        <s v="ARSLAN"/>
        <s v="MOROPACK "/>
        <s v="CHAIN PREJECT"/>
        <s v="MOBIL TWO SARL"/>
        <s v="MIDDLE EAST GLASS CONTAINERS-SADAT CO.S.A.E"/>
        <s v="LIWICOM "/>
        <s v="BASTURK CAM SANAYI VE TICARET"/>
        <s v="KANDIL"/>
        <s v="MOHAMED FEKHAR"/>
        <s v="JAD TRAVEL"/>
        <s v="OCONTROL"/>
        <s v="SAT MESSAGERIE"/>
        <s v="ENVASES IBERICA"/>
        <s v="BA GLASS"/>
        <s v="LOCOFREIGHT"/>
        <s v="MAERSK MAROC"/>
        <s v="PNEURAMA"/>
        <s v="MIDAS "/>
        <s v="MAGHREB CONSULTING"/>
        <s v="KYM BUREAUTIQUE"/>
        <s v="SUPRATOURS MESSAGERIE"/>
        <s v="ASSURANCE IFRY"/>
        <s v="COSCO SHIPING"/>
        <s v="GROUP AUTO PLUS"/>
        <s v="AMANA EXPRESS "/>
        <s v="NEW SUN DISTRIBUTION EXPRESS"/>
        <s v="BEJDIS SARL"/>
        <s v="SISECAM DIS TICARET A.S"/>
        <s v="EXPERT FREIGHT"/>
        <s v="GHAZALA MESSAGERIE"/>
        <s v="GAMMA TRANSIT"/>
        <s v="PNEUMATIQUE SOUSS"/>
        <s v="IMANE SAFOUI"/>
        <s v="AIRFRANCE"/>
        <s v="MAGIC WALLS"/>
        <s v="PADEL MAROC NACHO PAYAN"/>
        <s v="DOUNIA MATRIAUX CONSTRUCTION"/>
        <s v="AUTO HALL"/>
        <s v="MTR EXPRESS"/>
        <s v="MAFRE MAROC ASSISTANCE"/>
        <s v="MALI ZELLIJ DISTRIBUTION"/>
        <s v="SG MANUTENTION"/>
        <s v="POLYCHEF INGENIERIE"/>
        <s v="SOCIETE REGIONALE MULTISERVICES CASA-SETTAT"/>
        <s v="TRANS UNIVERS"/>
        <s v="CCEI POOL MAROC"/>
        <s v="BERLIN PACKAGING ITALY S.P.A"/>
        <s v="WAFA SOUSS"/>
        <s v="UNIVERS DIGITAL"/>
        <s v="AMUZEUM"/>
        <s v="TRAFIMAR MAROC"/>
        <s v="BOOKMANIA"/>
        <s v="LES BATISSEURS DU FUTUR"/>
        <s v="ASNITRANS"/>
        <s v="SALAH ELBAHRAWI"/>
        <s v="SRM SOUSS MASSA"/>
        <s v="GF METHOD"/>
        <s v="KENNEDY HOSPITALITY RESORT"/>
        <s v="COLONIE RESIDENCES "/>
        <s v="LA CANTINE FAMILY"/>
        <s v="AIRARABIA"/>
        <s v="TOYOTA DU MAROC"/>
        <s v="RELAX HOTELS"/>
        <s v="MY CHOCOLAT SARL"/>
        <s v="CASA GALICIA"/>
        <s v="TILDI HOTEL "/>
        <s v="RISTORANTE ITALIANO"/>
        <s v="LA PLAYA"/>
        <s v="RESTOPRO BOUSKOURA"/>
        <s v="INCONA"/>
        <s v="MCDONAL'S "/>
        <s v="RESTAURANT ZAYNA"/>
        <s v="DAR LYS"/>
        <s v="ATLAS HOSPITALITY TERMINUS"/>
        <s v="BOUACHRA ELEC "/>
        <s v="MAROC EQUIPEMENT SERVICE"/>
        <s v="ROYAL MANSOUR"/>
        <s v="LITTLE MAMMA"/>
        <s v="LE TIRE BOUCHON"/>
        <s v="RESTAURANT KOYA"/>
        <s v="ONCF"/>
        <s v="CASA PADRE"/>
        <s v="SNACK AMINE"/>
        <s v="WAFA GRANIT"/>
        <s v="SOFITEL AGADIR ROYAL BAY"/>
        <s v="TRESALUM "/>
        <s v="RIBSON"/>
        <s v="GRP ANDALOUS"/>
        <s v="WEEZEVENT "/>
        <s v="NESPRESSO"/>
        <s v="TECHNIC SOLUTIONS SERVICES"/>
        <s v="TISSIR TIRE"/>
        <s v="IDO BUILD"/>
        <s v="ATELIER GOURMAND"/>
        <s v="BLEND "/>
        <s v="LUXURY EL ANDALOUS"/>
        <s v="LE DELI ROBUCHON"/>
        <s v="KEREST SARL "/>
        <s v="NORI REST"/>
        <s v="LE PETIT CORNICHON"/>
        <s v="PALAIS ANTHEA"/>
        <s v="LAPIZ PRIVE"/>
        <s v="METARUN NEGOCE"/>
        <s v="B.MOUH NEGOCE"/>
        <s v="S.I.A.M"/>
        <s v="JET DRIVE"/>
        <s v="FATIHA OUCHANE"/>
        <s v="ETABLISSEMENT SOUSS "/>
        <s v="CLOUD PRINT"/>
        <s v="COLORADO "/>
        <s v="IBIS"/>
        <s v="ODASSIA "/>
        <s v="AUTO COOL"/>
        <s v="ZENATA CLUB"/>
        <s v="BOUSANIKT"/>
        <s v="REST BEACH COMPANY"/>
        <s v="RCW SARL"/>
        <s v="ROBUCHON CLUBHOUSE"/>
        <s v="THE RITZ CARLTON"/>
        <s v="COMPTOIR UNIVERSEL GLOBAL"/>
        <s v="MANAL ELEC"/>
        <s v="ITALCIA"/>
        <s v="B&amp;B HOTEL PORTO"/>
        <s v="HOTEL OCCIDENTAL VIGO "/>
        <s v="SILVER AUTO SERVICE"/>
        <s v="TABLE III REST"/>
        <s v="RESTOPRO"/>
        <s v="PAUL CIEL"/>
        <s v="RITUEL AGADIR"/>
        <s v="ZANZI BAR"/>
        <s v="AFRIQUE WATER"/>
        <s v="MAGHREB FLUIDE"/>
        <s v="XV SERVICES"/>
        <s v="PULLMAN DU SUD"/>
        <s v="MAROC DESSERT"/>
        <s v="KHARBOUCH SAID"/>
        <s v="EQUIPEMENT BASSIF"/>
        <s v="LUCY IN THE SKY "/>
        <s v="RELAIS DE PARIS"/>
        <s v="GUICHET MAROC"/>
        <s v="SEPALUMIC MAROC"/>
        <s v="VTAR"/>
        <s v="PREFACE"/>
        <s v="UPLINE COURTAGE"/>
        <s v="JOES BEACH"/>
        <s v="DEKRA AUTOMOTIVE"/>
        <s v="BAIE BLANCH"/>
        <s v="ARBORESCENCE"/>
        <s v="LARBRE DE ZOE"/>
        <s v="ILOLI "/>
        <s v="DAR BABA"/>
        <s v="KOOL SMOOTHIE"/>
        <s v="RYAD WATIER"/>
        <s v="HOTEL PRESTIGE AGADIR SPA"/>
        <s v="L'ARDOISE GOURMANDE "/>
        <s v="TIKIDA BEACH "/>
        <s v="LONGUE VIE HOTEL "/>
        <s v="EXLOITATION ZEITOUN "/>
        <s v="PURE PASSION "/>
        <s v="BUDDHA BAR "/>
        <s v="THE VIEW AGADIR"/>
        <s v="RIAD VILLA BLANCHE"/>
        <s v="OASIS CAFE"/>
        <s v="RMA ASSURANCE"/>
        <s v="POWER FILL "/>
        <s v="REST BABA TURC"/>
        <s v="SANIWORLD"/>
        <s v="TST"/>
        <s v="NOMOS SERVICES"/>
        <s v="STE FRERES HAUTS "/>
        <s v="TOVTS"/>
        <s v="DANI WEB "/>
        <s v="STE CARROSSERIE ABOUELFALAH"/>
        <s v="GAMA ALMANAR ATELIER"/>
        <s v="AUTO ASSISTANCE"/>
        <s v="J&amp;M TECHNOLOGIE"/>
        <s v="CAFC"/>
        <s v="HOTEL DAKHLA SOUTH BAY"/>
        <s v="PALM CULINAIRE "/>
        <s v="DA NOLITA"/>
        <s v="UNION MARRUECOS SOLUCION"/>
        <s v="FADELA GRILL "/>
        <s v="GOOD FOOD MIAMI"/>
        <s v="ISTIRAHA STATION "/>
        <s v="REZO ROUTE "/>
        <s v="BARCELO FES MEDINA"/>
        <s v="SAHGUN AMBALAJ KIMYA VE GIDA SAN"/>
        <s v="ECOTRA"/>
        <s v="COUTITRA SERVICE"/>
        <s v="MAQAM DES HABOUS"/>
        <s v="CENTRO PORSCHE MARBELLA"/>
        <s v="LA BODEGA DE CASABLANCA"/>
        <s v="AUTO BLADI"/>
        <s v="SH MARKET"/>
        <s v="AXA ASSURANCE"/>
        <s v="MAISON OLIIER"/>
        <s v="AFMA ASSURANCE"/>
        <s v="SCHENKER MAROC"/>
        <s v="ECO TERRE"/>
        <s v="MALTI HICHAM"/>
        <s v="PATCHI GHANDI"/>
        <s v="GRIPAC "/>
        <s v="REST RYAD DU PECHEUR "/>
        <s v="REST OH MY BUN"/>
        <s v="MTT EXPERTISES"/>
        <s v="STE MAROCAINE DE PROMOTION"/>
        <s v="SWIFT DESK"/>
        <s v="V5 DIGITAL"/>
        <s v="KOMFORAUTO"/>
        <s v="REST KOYA"/>
        <s v="FAIRMONT ROYAL "/>
        <s v="NEW ANFA NEGOCE"/>
        <s v="MT POLYVALENTE"/>
        <s v="INDUSTRIAS BETIK, S.A"/>
        <s v="BAB MANSOUR"/>
        <s v="SODISMA"/>
        <s v="RIAD PASSIFLORA"/>
        <s v="SEVAM"/>
        <s v="LOS PESCADEROS"/>
        <s v="MP TRANSPORT"/>
        <s v="CONFORT &amp; DESIGN MEUBLES DE BUREAU"/>
        <s v="LE 7EME CIEL"/>
        <s v="BALEARIA"/>
        <s v="CAFE M"/>
        <s v="ARI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THMANE" refreshedDate="46193.48627789352" createdVersion="7" refreshedVersion="7" minRefreshableVersion="3" recordCount="2304" xr:uid="{22FE1FCB-F38E-4D04-97DF-6AD3F2DF55DE}">
  <cacheSource type="worksheet">
    <worksheetSource ref="A1:E2305" sheet="Articles ADS"/>
  </cacheSource>
  <cacheFields count="5">
    <cacheField name="Type" numFmtId="0">
      <sharedItems count="1">
        <s v="Standard"/>
      </sharedItems>
    </cacheField>
    <cacheField name="Référence article" numFmtId="0">
      <sharedItems count="2304">
        <s v="ZIMOHMY"/>
        <s v="ZDESCOMPTE"/>
        <s v="Z8457000000011"/>
        <s v="Z8452000000542"/>
        <s v="Z8445402249060"/>
        <s v="Z8445402248964"/>
        <s v="Z8445402248797"/>
        <s v="Z8445402248780"/>
        <s v="Z8445402248773"/>
        <s v="Z8445402248520"/>
        <s v="Z8445402248513"/>
        <s v="Z8445402248506"/>
        <s v="Z8445402248490"/>
        <s v="Z8445402248483"/>
        <s v="Z8445402248476"/>
        <s v="Z8445402248445"/>
        <s v="Z8445402213382"/>
        <s v="Z8445402202416"/>
        <s v="Z8445402126071"/>
        <s v="Z8445402125838"/>
        <s v="Z8445402125678"/>
        <s v="Z8445402125616"/>
        <s v="Z8445402125371"/>
        <s v="Z8445402125272"/>
        <s v="Z8445402125258"/>
        <s v="Z8445402125210"/>
        <s v="Z8445402125197"/>
        <s v="Z8445402125173"/>
        <s v="Z8445402125159"/>
        <s v="Z8445402125074"/>
        <s v="Z8445402125050"/>
        <s v="Z8445402125036"/>
        <s v="Z8441000000249"/>
        <s v="Z8441000000232"/>
        <s v="Z8437024363538"/>
        <s v="Z8437024363460"/>
        <s v="Z8437024363453"/>
        <s v="Z8437024363439"/>
        <s v="Z8437024363422"/>
        <s v="Z8437024363354"/>
        <s v="Z8437024363248"/>
        <s v="Z8437024363231"/>
        <s v="Z8437024363200"/>
        <s v="Z8437024363187"/>
        <s v="Z8437024363149"/>
        <s v="Z8437024363125"/>
        <s v="Z8436603192767"/>
        <s v="Z8436603192538"/>
        <s v="Z8436603192521"/>
        <s v="Z8436603192491"/>
        <s v="Z8436603192163"/>
        <s v="Z8436603192156"/>
        <s v="Z8436603190947"/>
        <s v="Z8436572008335"/>
        <s v="Z8436572007505"/>
        <s v="Z8436572004702"/>
        <s v="Z8436572003514"/>
        <s v="Z8436572001169"/>
        <s v="Z8436572000032"/>
        <s v="Z8436567661750"/>
        <s v="Z8436567661743"/>
        <s v="Z8436567661590"/>
        <s v="Z8436567654837"/>
        <s v="Z8436520099644"/>
        <s v="Z8436520099569"/>
        <s v="Z8436049561301"/>
        <s v="Z8435536771063"/>
        <s v="Z8435536771049"/>
        <s v="Z8435536768568"/>
        <s v="Z8435536768483"/>
        <s v="Z8435536767998"/>
        <s v="Z8435536761927"/>
        <s v="Z8435536752109"/>
        <s v="Z8435536752079"/>
        <s v="Z8435536746177"/>
        <s v="Z8435536746146"/>
        <s v="Z8435536745828"/>
        <s v="Z8435536745811"/>
        <s v="Z8435536745521"/>
        <s v="Z8435536745392"/>
        <s v="Z8435536744241"/>
        <s v="Z8435536738547"/>
        <s v="Z8435536737670"/>
        <s v="Z8435536737663"/>
        <s v="Z8435536737649"/>
        <s v="Z8435536734976"/>
        <s v="Z8435536728715"/>
        <s v="Z8435536723956"/>
        <s v="Z8435393586787"/>
        <s v="Z8435393583748"/>
        <s v="Z8435393583731"/>
        <s v="Z8435393583625"/>
        <s v="Z8434417357549"/>
        <s v="Z8434417357501"/>
        <s v="Z8403001230926"/>
        <s v="Z8403001230834"/>
        <s v="Z8402004199865"/>
        <s v="Z8401010262198"/>
        <s v="Z8401010262167"/>
        <s v="Z8401010262150"/>
        <s v="Z8401010262112"/>
        <s v="Z8401008201987"/>
        <s v="Z8401002250455"/>
        <s v="Z726423468592"/>
        <s v="Z724794637593"/>
        <s v="Z724794637579"/>
        <s v="Z724794637562"/>
        <s v="Z724794634325"/>
        <s v="Z724794634226"/>
        <s v="Z724794627471"/>
        <s v="Z724794406618"/>
        <s v="Z724794397312"/>
        <s v="Z724794376713"/>
        <s v="Z724794375938"/>
        <s v="Z724794256268"/>
        <s v="Z724794221945"/>
        <s v="Z7155-P"/>
        <s v="Z7053-P"/>
        <s v="Z7051-P"/>
        <s v="Z7031-P"/>
        <s v="Z7029-P"/>
        <s v="Z32370-P"/>
        <s v="Z32245-2-140-P"/>
        <s v="Z32245-2-135-P"/>
        <s v="Z32245-2-13-P"/>
        <s v="Z32245-2-11-P"/>
        <s v="Z32223-1-4-P"/>
        <s v="Z32223-1-3-P"/>
        <s v="Z32223-1-2-P"/>
        <s v="Z31828-1-5-P"/>
        <s v="Z31828-1-4-P"/>
        <s v="Z31828-1-3-P"/>
        <s v="Z31541-2-16-P"/>
        <s v="Z31455-2-55-P"/>
        <s v="Z31455-2-54-P"/>
        <s v="Z31455-2-53-P"/>
        <s v="Z31439-1-4-P"/>
        <s v="Z31439-1-3-P"/>
        <s v="Z31439-1-2-P"/>
        <s v="Z31436-1-4-P"/>
        <s v="Z31436-1-3-P"/>
        <s v="Z31436-1-2-P"/>
        <s v="Z31434-1-4-P"/>
        <s v="Z31434-1-3-P"/>
        <s v="Z31431-1-5-P"/>
        <s v="Z31431-1-4-P"/>
        <s v="Z31431-1-3-P"/>
        <s v="Z31430-1-5-P"/>
        <s v="Z31430-1-4-P"/>
        <s v="Z31430-1-3-P"/>
        <s v="Z31429-1-5-P"/>
        <s v="Z31429-1-4-P"/>
        <s v="Z31429-1-3-P"/>
        <s v="Z31410-1-5-P"/>
        <s v="Z31410-1-4-P"/>
        <s v="Z31392-1-4-P"/>
        <s v="Z31253-2-18-P"/>
        <s v="Z31253-2-17-P"/>
        <s v="Z31253-2-16-P"/>
        <s v="Z31253-2-15-P"/>
        <s v="Z31253-2-14-P"/>
        <s v="Z31186-1-5-P"/>
        <s v="Z31186-1-4-P"/>
        <s v="Z31186-1-3-P"/>
        <s v="Z31175-1-4-P"/>
        <s v="Z31175-1-3-P"/>
        <s v="Z31136-1-4-P"/>
        <s v="Z31136-1-3-P"/>
        <s v="Z31132-1-4-P"/>
        <s v="Z31132-1-3-P"/>
        <s v="Z30998-1-5-P"/>
        <s v="Z30998-1-4-P"/>
        <s v="Z30998-1-3-P"/>
        <s v="Z30994-1-5-P"/>
        <s v="Z30994-1-4-P"/>
        <s v="Z30994-1-3-P"/>
        <s v="Z30948-P"/>
        <s v="Z30946-P"/>
        <s v="Z30944-P"/>
        <s v="Z30941-P"/>
        <s v="Z30927-2-35-P"/>
        <s v="Z30927-2-34-P"/>
        <s v="Z30927-2-33-P"/>
        <s v="Z30925-2-13-P"/>
        <s v="Z30925-2-12-P"/>
        <s v="Z30925-2-11-P"/>
        <s v="Z30913-P"/>
        <s v="Z30912-P"/>
        <s v="Z30911-P"/>
        <s v="Z30910-P"/>
        <s v="Z30907-P"/>
        <s v="Z30906-P"/>
        <s v="Z30712-1-5-P"/>
        <s v="Z30712-1-4-P"/>
        <s v="Z30712-1-3-P"/>
        <s v="Z30710-1-3-P"/>
        <s v="Z30701-1-3-P"/>
        <s v="Z30667-1-3-P"/>
        <s v="Z30665-1-5-P"/>
        <s v="Z30665-1-4-P"/>
        <s v="Z30665-1-3-P"/>
        <s v="Z30664-1-5-P"/>
        <s v="Z30664-1-4-P"/>
        <s v="Z30664-1-3-P"/>
        <s v="Z30657-1-3-P"/>
        <s v="Z30506-2-18-P"/>
        <s v="Z30506-2-17-P"/>
        <s v="Z30506-2-16-P"/>
        <s v="Z30506-2-15-P"/>
        <s v="Z30503-2-12-P"/>
        <s v="Z30503-2-11-P"/>
        <s v="Z30503-2-10-P"/>
        <s v="Z30488-2-18-P"/>
        <s v="Z30488-2-17-P"/>
        <s v="Z30488-2-16-P"/>
        <s v="Z30488-2-15-P"/>
        <s v="Z30488-2-14-P"/>
        <s v="Z30483-2-17-P"/>
        <s v="Z30483-2-16-P"/>
        <s v="Z30483-2-15-P"/>
        <s v="Z30418-1-5-P"/>
        <s v="Z30418-1-4-P"/>
        <s v="Z30418-1-3-P"/>
        <s v="Z30402-1-4-P"/>
        <s v="Z30402-1-3-P"/>
        <s v="Z30402-1-2-P"/>
        <s v="Z30318-P"/>
        <s v="Z30271-1-5-P"/>
        <s v="Z30271-1-4-P"/>
        <s v="Z30271-1-3-P"/>
        <s v="Z30270-1-5-P"/>
        <s v="Z30270-1-4-P"/>
        <s v="Z30270-1-3-P"/>
        <s v="Z30268-1-4-P"/>
        <s v="Z30266-1-5-P"/>
        <s v="Z30266-1-4-P"/>
        <s v="Z30266-1-3-P"/>
        <s v="Z30263-1-4-P"/>
        <s v="Z30263-1-3-P"/>
        <s v="Z30263-1-2-P"/>
        <s v="Z30226-1-4-P"/>
        <s v="Z30226-1-3-P"/>
        <s v="Z30224-1-4-P"/>
        <s v="Z30224-1-3-P"/>
        <s v="Z30216-2-41-P"/>
        <s v="Z30216-2-40-P"/>
        <s v="Z30216-2-39-P"/>
        <s v="Z30216-2-37-P"/>
        <s v="Z30188-1-4-P"/>
        <s v="Z30188-1-3-P"/>
        <s v="Z30188-1-2-P"/>
        <s v="Z30174-1-4-P"/>
        <s v="Z30174-1-3-P"/>
        <s v="Z30173-1-5-P"/>
        <s v="Z30173-1-4-P"/>
        <s v="Z30173-1-3-P"/>
        <s v="Z30128-1-3-P"/>
        <s v="Z30128-1-2-P"/>
        <s v="Z30126-1-3-P"/>
        <s v="Z30126-1-2-P"/>
        <s v="Z30119-1-5-P"/>
        <s v="Z30119-1-4-P"/>
        <s v="Z30119-1-3-P"/>
        <s v="Z30116-1-4-P"/>
        <s v="Z30116-1-3-P"/>
        <s v="Z30116-1-2-P"/>
        <s v="Z30074-P"/>
        <s v="Z30071-P"/>
        <s v="Z29977-P"/>
        <s v="Z29963-2-41-P"/>
        <s v="Z29963-2-40-P"/>
        <s v="Z29963-2-39-P"/>
        <s v="Z29963-2-15-P"/>
        <s v="Z29961-2-13-P"/>
        <s v="Z29961-2-12-P"/>
        <s v="Z29961-2-11-P"/>
        <s v="Z29960-2-41-P"/>
        <s v="Z29960-2-40-P"/>
        <s v="Z29960-2-39-P"/>
        <s v="Z29960-2-37-P"/>
        <s v="Z29952-2-36-P"/>
        <s v="Z29952-2-13-P"/>
        <s v="Z29952-2-12-P"/>
        <s v="Z29952-2-11-P"/>
        <s v="Z29949-2-36-P"/>
        <s v="Z29949-2-13-P"/>
        <s v="Z29949-2-12-P"/>
        <s v="Z29949-2-11-P"/>
        <s v="Z29942-2-41-P"/>
        <s v="Z29942-2-40-P"/>
        <s v="Z29942-2-39-P"/>
        <s v="Z29942-2-37-P"/>
        <s v="Z29924-2-36-P"/>
        <s v="Z29924-2-35-P"/>
        <s v="Z29924-2-11-P"/>
        <s v="Z29920-2-41-P"/>
        <s v="Z29920-2-40-P"/>
        <s v="Z29920-2-39-P"/>
        <s v="Z29920-2-37-P"/>
        <s v="Z29918-2-41-P"/>
        <s v="Z29918-2-40-P"/>
        <s v="Z29918-2-39-P"/>
        <s v="Z29918-2-37-P"/>
        <s v="Z29910-2-15-P"/>
        <s v="Z29703-1-5-P"/>
        <s v="Z29703-1-4-P"/>
        <s v="Z29703-1-3-P"/>
        <s v="Z29702-1-3-P"/>
        <s v="Z29574-P"/>
        <s v="Z29553-P"/>
        <s v="Z29547-P"/>
        <s v="Z29544-P"/>
        <s v="Z29523-P"/>
        <s v="Z29501-P"/>
        <s v="Z29499-P"/>
        <s v="Z29487-1-4-P"/>
        <s v="Z29487-1-3-P"/>
        <s v="Z29467-1-4-P"/>
        <s v="Z29467-1-3-P"/>
        <s v="Z29467-1-2-P"/>
        <s v="Z29258-1-4-P"/>
        <s v="Z29258-1-3-P"/>
        <s v="Z29258-1-2-P"/>
        <s v="Z29257-1-4-P"/>
        <s v="Z29257-1-3-P"/>
        <s v="Z29257-1-2-P"/>
        <s v="Z29219-P"/>
        <s v="Z29212-P"/>
        <s v="Z29209-P"/>
        <s v="Z29154-P"/>
        <s v="Z29115-1-5-P"/>
        <s v="Z29115-1-4-P"/>
        <s v="Z29115-1-3-P"/>
        <s v="Z29096-1-4-P"/>
        <s v="Z29096-1-3-P"/>
        <s v="Z29096-1-2-P"/>
        <s v="Z29092-1-4-P"/>
        <s v="Z29092-1-3-P"/>
        <s v="Z29092-1-2-P"/>
        <s v="Z28934-1-5-P"/>
        <s v="Z28934-1-4-P"/>
        <s v="Z28934-1-3-P"/>
        <s v="Z28715-1-5-P"/>
        <s v="Z28715-1-4-P"/>
        <s v="Z28715-1-3-P"/>
        <s v="Z28471-P"/>
        <s v="Z28249-P"/>
        <s v="Z28192-P"/>
        <s v="Z27414-1-3-P"/>
        <s v="Z27396-1-5-P"/>
        <s v="Z27396-1-4-P"/>
        <s v="Z27396-1-3-P"/>
        <s v="Z27321-1-5-P"/>
        <s v="Z27321-1-4-P"/>
        <s v="Z27321-1-3-P"/>
        <s v="Z26810-1-4-P"/>
        <s v="Z26810-1-3-P"/>
        <s v="Z26810-1-2-P"/>
        <s v="Z26773-2-35-P"/>
        <s v="Z26755-2-41-P"/>
        <s v="Z26755-2-40-P"/>
        <s v="Z26755-2-15-P"/>
        <s v="Z26571-2-13-P"/>
        <s v="Z26571-2-12-P"/>
        <s v="Z26571-2-11-P"/>
        <s v="Z26569-2-12-P"/>
        <s v="Z26569-2-11-P"/>
        <s v="Z26566-2-16-P"/>
        <s v="Z26565-2-18-P"/>
        <s v="Z26565-2-17-P"/>
        <s v="Z26565-2-16-P"/>
        <s v="Z26565-2-15-P"/>
        <s v="Z26565-2-14-P"/>
        <s v="Z26550-2-18-P"/>
        <s v="Z26550-2-17-P"/>
        <s v="Z26550-2-16-P"/>
        <s v="Z26550-2-15-P"/>
        <s v="Z26546-2-18-P"/>
        <s v="Z26546-2-17-P"/>
        <s v="Z26546-2-16-P"/>
        <s v="Z26546-2-15-P"/>
        <s v="Z26518-P"/>
        <s v="Z26507-P"/>
        <s v="Z26506-P"/>
        <s v="Z26505-P"/>
        <s v="Z26504-P"/>
        <s v="Z26501-P"/>
        <s v="Z26500-P"/>
        <s v="Z26433-P"/>
        <s v="Z26409-P"/>
        <s v="Z26355-P"/>
        <s v="Z26335-1-4-P"/>
        <s v="Z26335-1-3-P"/>
        <s v="Z26333-1-4-P"/>
        <s v="Z26333-1-3-P"/>
        <s v="Z26333-1-2-P"/>
        <s v="Z26330-1-4-P"/>
        <s v="Z26330-1-3-P"/>
        <s v="Z26330-1-2-P"/>
        <s v="Z26326-1-4-P"/>
        <s v="Z26326-1-3-P"/>
        <s v="Z26326-1-2-P"/>
        <s v="Z26325-1-4-P"/>
        <s v="Z26325-1-3-P"/>
        <s v="Z26325-1-2-P"/>
        <s v="Z26311-1-4-P"/>
        <s v="Z26311-1-3-P"/>
        <s v="Z26311-1-2-P"/>
        <s v="Z26309-1-4-P"/>
        <s v="Z26309-1-3-P"/>
        <s v="Z26309-1-2-P"/>
        <s v="Z26303-1-5-P"/>
        <s v="Z26303-1-4-P"/>
        <s v="Z26303-1-3-P"/>
        <s v="Z26301-1-5-P"/>
        <s v="Z26301-1-4-P"/>
        <s v="Z26301-1-3-P"/>
        <s v="Z26284-1-5-P"/>
        <s v="Z26284-1-4-P"/>
        <s v="Z26284-1-3-P"/>
        <s v="Z26282-1-5-P"/>
        <s v="Z26282-1-4-P"/>
        <s v="Z26282-1-3-P"/>
        <s v="Z26280-1-5-P"/>
        <s v="Z26280-1-4-P"/>
        <s v="Z26280-1-2-P"/>
        <s v="Z26265-1-5-P"/>
        <s v="Z26265-1-4-P"/>
        <s v="Z26265-1-3-P"/>
        <s v="Z26264-1-5-P"/>
        <s v="Z26264-1-4-P"/>
        <s v="Z26264-1-3-P"/>
        <s v="Z26262-1-5-P"/>
        <s v="Z26262-1-2-P"/>
        <s v="Z26235-1-5-P"/>
        <s v="Z26235-1-4-P"/>
        <s v="Z26235-1-3-P"/>
        <s v="Z26191-1-4-P"/>
        <s v="Z26180-1-5-P"/>
        <s v="Z26180-1-4-P"/>
        <s v="Z26172-1-5-P"/>
        <s v="Z26172-1-4-P"/>
        <s v="Z26172-1-3-P"/>
        <s v="Z26167-1-5-P"/>
        <s v="Z26167-1-4-P"/>
        <s v="Z26167-1-3-P"/>
        <s v="Z26156-P"/>
        <s v="Z26138-P"/>
        <s v="Z26137-P"/>
        <s v="Z26096-2-13-P"/>
        <s v="Z26096-2-12-P"/>
        <s v="Z26096-2-11-P"/>
        <s v="Z26096-2-10-P"/>
        <s v="Z26093-2-18-P"/>
        <s v="Z26093-2-17-P"/>
        <s v="Z26093-2-16-P"/>
        <s v="Z26093-2-15-P"/>
        <s v="Z26087-2-41-P"/>
        <s v="Z26087-2-40-P"/>
        <s v="Z26087-2-39-P"/>
        <s v="Z26087-2-15-P"/>
        <s v="Z26081-2-17-P"/>
        <s v="Z26081-2-16-P"/>
        <s v="Z26081-2-15-P"/>
        <s v="Z26081-2-14-P"/>
        <s v="Z26080-2-18-P"/>
        <s v="Z26080-2-17-P"/>
        <s v="Z26080-2-16-P"/>
        <s v="Z26080-2-15-P"/>
        <s v="Z26080-2-14-P"/>
        <s v="Z26049-P"/>
        <s v="Z26047-P"/>
        <s v="Z25823-1-3-P"/>
        <s v="Z25716-P"/>
        <s v="Z25710-P"/>
        <s v="Z25696-P"/>
        <s v="Z25659-P"/>
        <s v="Z25645-P"/>
        <s v="Z25636-P"/>
        <s v="Z25633-P"/>
        <s v="Z25462-P"/>
        <s v="Z25435-2-17-P"/>
        <s v="Z25435-2-16-P"/>
        <s v="Z25435-2-15-P"/>
        <s v="Z25435-2-14-P"/>
        <s v="Z25433-2-17-P"/>
        <s v="Z25433-2-16-P"/>
        <s v="Z25433-2-15-P"/>
        <s v="Z25433-2-14-P"/>
        <s v="Z25432-2-13-P"/>
        <s v="Z25432-2-12-P"/>
        <s v="Z25432-2-11-P"/>
        <s v="Z25431-2-16-P"/>
        <s v="Z25431-2-15-P"/>
        <s v="Z25417-P"/>
        <s v="Z25415-P"/>
        <s v="Z25339-2-18-P"/>
        <s v="Z25339-2-17-P"/>
        <s v="Z25339-2-16-P"/>
        <s v="Z25339-2-15-P"/>
        <s v="Z25214-P"/>
        <s v="Z25186-P"/>
        <s v="Z25044-1-5-P"/>
        <s v="Z25044-1-4-P"/>
        <s v="Z25044-1-3-P"/>
        <s v="Z24851-P"/>
        <s v="Z24838-P"/>
        <s v="Z24568-P"/>
        <s v="Z24567-P"/>
        <s v="Z24210-P"/>
        <s v="Z24129-2-18-P"/>
        <s v="Z24129-2-17-P"/>
        <s v="Z24129-2-16-P"/>
        <s v="Z24129-2-14-P"/>
        <s v="Z24122-1-4-P"/>
        <s v="Z24122-1-3-P"/>
        <s v="Z24122-1-2-P"/>
        <s v="Z22725-P"/>
        <s v="Z22481-1-4-P"/>
        <s v="Z22481-1-3-P"/>
        <s v="Z22481-1-2-P"/>
        <s v="Z22086-P"/>
        <s v="Z21824-P"/>
        <s v="Z21215-1-5-P"/>
        <s v="Z21215-1-4-P"/>
        <s v="Z21215-1-3-P"/>
        <s v="Z21215-1-2-P"/>
        <s v="Z20809-P"/>
        <s v="Z19359-1-4-P"/>
        <s v="Z19359-1-3-P"/>
        <s v="Z19359-1-2-P"/>
        <s v="Z18907-P"/>
        <s v="Z18906-P"/>
        <s v="Z18904-P"/>
        <s v="Z18903-P"/>
        <s v="Z18288-1-4-P"/>
        <s v="Z18288-1-3-P"/>
        <s v="Z18288-1-2-P"/>
        <s v="Z17540-P"/>
        <s v="Z17531-P"/>
        <s v="Z17474-P"/>
        <s v="Z17344-1-5-P"/>
        <s v="Z17344-1-4-P"/>
        <s v="Z17344-1-3-P"/>
        <s v="Z17308-P"/>
        <s v="Z17304-P"/>
        <s v="Z17289-P"/>
        <s v="Z17016-P"/>
        <s v="Z17015-P"/>
        <s v="Z17012-P"/>
        <s v="Z17011-P"/>
        <s v="Z17002-P"/>
        <s v="Z16934-P"/>
        <s v="Z1675-P"/>
        <s v="Z16669-P"/>
        <s v="Z16135-P"/>
        <s v="Z16122-P"/>
        <s v="Z15969-P"/>
        <s v="Z15855-P"/>
        <s v="Z14943-P"/>
        <s v="Z13528-P"/>
        <s v="Z13526-P"/>
        <s v="Z13314-P"/>
        <s v="Z13308-P"/>
        <s v="Z106456-2-41-P"/>
        <s v="Z106456-2-16-P"/>
        <s v="Z106456-2-15-P"/>
        <s v="Z104409-2-55-P"/>
        <s v="Z104409-2-54-P"/>
        <s v="Z104409-2-53-P"/>
        <s v="Z104409-2-52-P"/>
        <s v="Z104389-2-140-P"/>
        <s v="Z104389-2-135-P"/>
        <s v="Z104389-2-13-P"/>
        <s v="Z104389-2-11-P"/>
        <s v="Z104360-2-87-P"/>
        <s v="Z104360-2-140-P"/>
        <s v="Z104360-2-135-P"/>
        <s v="Z104360-2-11-P"/>
        <s v="Z104338-2-55-P"/>
        <s v="Z104338-2-54-P"/>
        <s v="Z104338-2-53-P"/>
        <s v="Z104338-2-52-P"/>
        <s v="Z104321-2-56-P"/>
        <s v="Z104321-2-55-P"/>
        <s v="Z104321-2-54-P"/>
        <s v="Z104321-2-53-P"/>
        <s v="Z104321-2-52-P"/>
        <s v="Z104084-2-36-P"/>
        <s v="Z104084-2-35-P"/>
        <s v="Z104084-2-12-P"/>
        <s v="Z104084-2-11-P"/>
        <s v="Z103972-2-41-P"/>
        <s v="Z103972-2-40-P"/>
        <s v="Z103972-2-39-P"/>
        <s v="Z103972-2-18-P"/>
        <s v="Z103971-2-41-P"/>
        <s v="Z103971-2-40-P"/>
        <s v="Z103971-2-39-P"/>
        <s v="Z103971-2-37-P"/>
        <s v="Z103971-2-18-P"/>
        <s v="Z103799-2-41-P"/>
        <s v="Z103799-2-40-P"/>
        <s v="Z103799-2-39-P"/>
        <s v="Z103799-2-37-P"/>
        <s v="Z097512711005"/>
        <s v="Z097512699990"/>
        <s v="Z097512699976"/>
        <s v="Z097512511223"/>
        <s v="Z097512511094"/>
        <s v="Z097512511087"/>
        <s v="Z045566923073"/>
        <s v="Z045566923059"/>
        <s v="Z045566922991"/>
        <s v="9997628744106"/>
        <s v="9997628744090"/>
        <s v="9997628744083"/>
        <s v="9997628744076"/>
        <s v="9997628744069"/>
        <s v="9996481544083"/>
        <s v="9996481544076"/>
        <s v="9995207837089_"/>
        <s v="9995207837072_"/>
        <s v="9995207737082_"/>
        <s v="9995207737075_"/>
        <s v="9995207737068_"/>
        <s v="9995207637085_"/>
        <s v="9995207637078_"/>
        <s v="9995207637061_"/>
        <s v="9995207437081_"/>
        <s v="9995207437074_"/>
        <s v="9995207437067_"/>
        <s v="9995207337084_"/>
        <s v="97512910040"/>
        <s v="97512910026"/>
        <s v="97512909976"/>
        <s v="97512909969"/>
        <s v="97512909952"/>
        <s v="97512909938"/>
        <s v="97512909921"/>
        <s v="97512753203"/>
        <s v="97512753135"/>
        <s v="97512753036"/>
        <s v="97512753029"/>
        <s v="97512752992"/>
        <s v="97512752961"/>
        <s v="97512719025"/>
        <s v="97512676175"/>
        <s v="97512676168"/>
        <s v="97512676137"/>
        <s v="97512676120"/>
        <s v="97512675406"/>
        <s v="97512675383"/>
        <s v="97512675376"/>
        <s v="97512619288"/>
        <s v="9506999000"/>
        <s v="887768225346"/>
        <s v="8718837148810"/>
        <s v="8718837148803"/>
        <s v="8718837148414_"/>
        <s v="8718837148391"/>
        <s v="8718837138224_"/>
        <s v="8718837138217_"/>
        <s v="8718837138187_"/>
        <s v="8718837138170_"/>
        <s v="8718837138064_"/>
        <s v="8718837138057_"/>
        <s v="8718837020789_"/>
        <s v="8445757157607_"/>
        <s v="8445757157591_"/>
        <s v="8445757123152"/>
        <s v="8445648616251"/>
        <s v="8445648616244"/>
        <s v="8445648616237"/>
        <s v="8445648616220"/>
        <s v="8445648616213"/>
        <s v="8445648616206"/>
        <s v="8445648528271"/>
        <s v="8445648528264"/>
        <s v="8445648528257"/>
        <s v="8445648528240"/>
        <s v="8445648418145"/>
        <s v="8445648418138"/>
        <s v="8445648418121"/>
        <s v="8445648418114"/>
        <s v="8445648418107"/>
        <s v="8445648418091"/>
        <s v="8445648157082_"/>
        <s v="8445648157075_"/>
        <s v="8445648157068_"/>
        <s v="8445648157051_"/>
        <s v="8445648156863_"/>
        <s v="8445648156856_"/>
        <s v="8445648156849_"/>
        <s v="8445648118878"/>
        <s v="8445648118861"/>
        <s v="8445648118854"/>
        <s v="8445648118847"/>
        <s v="8445456975915"/>
        <s v="8445456975908"/>
        <s v="8445456975892"/>
        <s v="8445456975885"/>
        <s v="8445456975878"/>
        <s v="8445456975861"/>
        <s v="8445456975854"/>
        <s v="8445456975847"/>
        <s v="8445456975571"/>
        <s v="8445456975557"/>
        <s v="8445456975533"/>
        <s v="8445456975519"/>
        <s v="8445456974147_"/>
        <s v="8445456974123_"/>
        <s v="8445456974109_"/>
        <s v="8445456974086_"/>
        <s v="8445456973997_"/>
        <s v="8445456973980"/>
        <s v="8445456973973_"/>
        <s v="8445456973966"/>
        <s v="8445456973959_"/>
        <s v="8445456973942"/>
        <s v="8445456973935_"/>
        <s v="8445456973928"/>
        <s v="8445456973911"/>
        <s v="8445456690757"/>
        <s v="8445090124816"/>
        <s v="8445090124793"/>
        <s v="8445090124779"/>
        <s v="8445090124762"/>
        <s v="8445090124755"/>
        <s v="8445090120252"/>
        <s v="8445090112707"/>
        <s v="8445090112677"/>
        <s v="8445090111311"/>
        <s v="8445090111052"/>
        <s v="8445090110208"/>
        <s v="8445090051730"/>
        <s v="8445090050641_"/>
        <s v="8445090046903"/>
        <s v="8445090046866"/>
        <s v="8445090040833_"/>
        <s v="8445090019051"/>
        <s v="844090124809"/>
        <s v="8437024363989"/>
        <s v="8437024363286_"/>
        <s v="8437024363026_"/>
        <s v="8437009222898_"/>
        <s v="8436625201157"/>
        <s v="8436625200570"/>
        <s v="8436625200563"/>
        <s v="8436625200525"/>
        <s v="8436625200518"/>
        <s v="8436625200426"/>
        <s v="8436612941066"/>
        <s v="8436612941059"/>
        <s v="8436612941042"/>
        <s v="8436612940694"/>
        <s v="8436612940663"/>
        <s v="8436612940625"/>
        <s v="8436612940595"/>
        <s v="8436612940588"/>
        <s v="8436612940564"/>
        <s v="8436612940342"/>
        <s v="8436612940328"/>
        <s v="8436612940298"/>
        <s v="8436612940083"/>
        <s v="8436612940069"/>
        <s v="8436612940021"/>
        <s v="8436612940007"/>
        <s v="8436603199995"/>
        <s v="8436603199988"/>
        <s v="8436603199964"/>
        <s v="8436603199957"/>
        <s v="8436603199940"/>
        <s v="8436603199933"/>
        <s v="8436603199926"/>
        <s v="8436603199919"/>
        <s v="8436603199902"/>
        <s v="8436603199483"/>
        <s v="8436603199476"/>
        <s v="8436603199469"/>
        <s v="8436603199452"/>
        <s v="8436603199360"/>
        <s v="8436603199353"/>
        <s v="8436603199346"/>
        <s v="8436603199339"/>
        <s v="8436603199315"/>
        <s v="8436603199308"/>
        <s v="8436603199292"/>
        <s v="8436603199285"/>
        <s v="8436603199209"/>
        <s v="8436603199193"/>
        <s v="8436603199186"/>
        <s v="8436603199179"/>
        <s v="8436603199131"/>
        <s v="8436603199124"/>
        <s v="8436603199117"/>
        <s v="8436603199100"/>
        <s v="8436603199094"/>
        <s v="8436603199087"/>
        <s v="8436603199032"/>
        <s v="8436603199025"/>
        <s v="8436603199018"/>
        <s v="8436603198950"/>
        <s v="8436603198912"/>
        <s v="8436603198820"/>
        <s v="8436603198813"/>
        <s v="8436603198806"/>
        <s v="8436603198790"/>
        <s v="8436603198783"/>
        <s v="8436603198547"/>
        <s v="8436603198530"/>
        <s v="8436603198523"/>
        <s v="8436603198516"/>
        <s v="8436603198509"/>
        <s v="8436603198493"/>
        <s v="8436603198196"/>
        <s v="8436603198172"/>
        <s v="8436603198134"/>
        <s v="8436603198073"/>
        <s v="8436603198066"/>
        <s v="8436603198042"/>
        <s v="8436603198035"/>
        <s v="8436603198028"/>
        <s v="8436603198011"/>
        <s v="8436603197816"/>
        <s v="8436603197809"/>
        <s v="8436603197793"/>
        <s v="8436603197397"/>
        <s v="8436603197380"/>
        <s v="8436603197342"/>
        <s v="8436603195874"/>
        <s v="8436603195867"/>
        <s v="8436603195850"/>
        <s v="8436603195843"/>
        <s v="8436603195836"/>
        <s v="8436603195829"/>
        <s v="8436603195805"/>
        <s v="8436603195744"/>
        <s v="8436603195737"/>
        <s v="8436603195720"/>
        <s v="8436603195713"/>
        <s v="8436603195706"/>
        <s v="8436603195683"/>
        <s v="8436603195676"/>
        <s v="8436603194426"/>
        <s v="8436603194402"/>
        <s v="8436603194396"/>
        <s v="8436603194389"/>
        <s v="8436603194372"/>
        <s v="8436603194310_"/>
        <s v="8436603194303_"/>
        <s v="8436603194280_"/>
        <s v="8436603194099"/>
        <s v="8436603193764"/>
        <s v="8436603193672"/>
        <s v="8436603193245___"/>
        <s v="8436603193092_"/>
        <s v="8436603193085_"/>
        <s v="8436603193078_"/>
        <s v="8436603192774"/>
        <s v="8436603192651_"/>
        <s v="8436603192637_"/>
        <s v="8436603192156_"/>
        <s v="8436603192125"/>
        <s v="8436603192095"/>
        <s v="8436603192071_"/>
        <s v="8436603192064"/>
        <s v="8436603192040_"/>
        <s v="8436603191449_"/>
        <s v="8436603191418"/>
        <s v="8436603191395"/>
        <s v="8436603191388"/>
        <s v="8436603191371"/>
        <s v="8436603191364"/>
        <s v="8436603191340"/>
        <s v="8436603191333"/>
        <s v="8436603191319"/>
        <s v="8436603191296"/>
        <s v="8436603191289"/>
        <s v="8436603191272"/>
        <s v="8436603191265"/>
        <s v="8436603191241_"/>
        <s v="8436603191227_"/>
        <s v="8436603191210"/>
        <s v="8436603191180_"/>
        <s v="8436603191173"/>
        <s v="8436603190961"/>
        <s v="8436603190527"/>
        <s v="8436603190510"/>
        <s v="8436603190503"/>
        <s v="8436603190428"/>
        <s v="8436603190411"/>
        <s v="8436603190404_"/>
        <s v="8436603190398"/>
        <s v="8436603190275"/>
        <s v="8436603190251_"/>
        <s v="8436603190244"/>
        <s v="8436590731765"/>
        <s v="8436590731758"/>
        <s v="8436575383385"/>
        <s v="8436572007444"/>
        <s v="8436572004702_"/>
        <s v="8436572003521_"/>
        <s v="8436572001169_"/>
        <s v="8436567664546_"/>
        <s v="8436567663136"/>
        <s v="8436567663112"/>
        <s v="8436567661712_"/>
        <s v="8436567661620"/>
        <s v="8436567659979"/>
        <s v="8436567659955"/>
        <s v="8436567659948"/>
        <s v="8436567659382"/>
        <s v="8436567657999"/>
        <s v="8436567657852"/>
        <s v="8436567654974"/>
        <s v="8436567653700"/>
        <s v="8436567653373_"/>
        <s v="8436567653366_"/>
        <s v="8436548249533"/>
        <s v="8436548249526"/>
        <s v="8436548249441"/>
        <s v="8436548249434"/>
        <s v="8436548249410"/>
        <s v="8436548249403"/>
        <s v="8436548249298"/>
        <s v="8436548249281"/>
        <s v="8436548249120"/>
        <s v="8436548249113"/>
        <s v="8436548249106"/>
        <s v="8436548249090"/>
        <s v="8436548249076"/>
        <s v="8436548249069"/>
        <s v="8436548249052"/>
        <s v="8436548249045"/>
        <s v="8436548249038"/>
        <s v="8436548249014"/>
        <s v="8436548249007"/>
        <s v="8436548248987"/>
        <s v="8436548248956"/>
        <s v="8436548248949"/>
        <s v="8436548248932"/>
        <s v="8436548248925"/>
        <s v="8436548248918"/>
        <s v="8436548248901"/>
        <s v="8436548248895"/>
        <s v="8436548248888"/>
        <s v="8436548248871"/>
        <s v="8436548248864"/>
        <s v="8436548248628"/>
        <s v="8436548248598"/>
        <s v="8436548248352"/>
        <s v="8436548248253"/>
        <s v="8436548248246"/>
        <s v="8436548248239"/>
        <s v="8436548248222"/>
        <s v="8436548248208"/>
        <s v="8436548248192"/>
        <s v="8436548248185"/>
        <s v="8436548248178"/>
        <s v="8436548248079_"/>
        <s v="8436548247997"/>
        <s v="8436548247744"/>
        <s v="8436548247713_"/>
        <s v="8436548247706"/>
        <s v="8436548247683_"/>
        <s v="8436548247676"/>
        <s v="8436548247669_"/>
        <s v="8436548247621_"/>
        <s v="8436548247256"/>
        <s v="8436548247201"/>
        <s v="8436548246143"/>
        <s v="8436548245610"/>
        <s v="8436548245474"/>
        <s v="8436548244972"/>
        <s v="8436548244958"/>
        <s v="8436548243586"/>
        <s v="8436548241278"/>
        <s v="8436548241216"/>
        <s v="8436548240103"/>
        <s v="8436520099675_"/>
        <s v="8436520099484"/>
        <s v="8436049568454"/>
        <s v="8436049561295"/>
        <s v="8436049561271"/>
        <s v="8436049560342_"/>
        <s v="8435778902805"/>
        <s v="8435778902799"/>
        <s v="8435778902782"/>
        <s v="8435778902775"/>
        <s v="8435778902751"/>
        <s v="8435778902744"/>
        <s v="8435778902706"/>
        <s v="8435778902669"/>
        <s v="8435778902645"/>
        <s v="8435778902638"/>
        <s v="8435778902621"/>
        <s v="8435778902317"/>
        <s v="8435778901884"/>
        <s v="8435778901877"/>
        <s v="8435778901860"/>
        <s v="8435778901785"/>
        <s v="8435778901778"/>
        <s v="8435778901761"/>
        <s v="8435778901686"/>
        <s v="8435778901679"/>
        <s v="8435778901662"/>
        <s v="8435778901587"/>
        <s v="8435778901570"/>
        <s v="8435778901563"/>
        <s v="8435778901556"/>
        <s v="8435778901532"/>
        <s v="8435778901525"/>
        <s v="8435778901518"/>
        <s v="8435778901501"/>
        <s v="8435778901433"/>
        <s v="8435778901426"/>
        <s v="8435778901419"/>
        <s v="8435778901402"/>
        <s v="8435778901334"/>
        <s v="8435778901327"/>
        <s v="8435778901310"/>
        <s v="8435778901303"/>
        <s v="8435778900528"/>
        <s v="8435778900511"/>
        <s v="8435778900504"/>
        <s v="8435778900498"/>
        <s v="8435778900320"/>
        <s v="8435762906079"/>
        <s v="8435762904662"/>
        <s v="8435762904648"/>
        <s v="8435762904617"/>
        <s v="8435762904600"/>
        <s v="8435762904594"/>
        <s v="8435762904587"/>
        <s v="8435762904518"/>
        <s v="8435762904501"/>
        <s v="8435762904495"/>
        <s v="8435762904488"/>
        <s v="8435762904464"/>
        <s v="8435762904457"/>
        <s v="8435762904440"/>
        <s v="8435762904433"/>
        <s v="8435762904419"/>
        <s v="8435762904402"/>
        <s v="8435762904396"/>
        <s v="8435762904389"/>
        <s v="8435762902927"/>
        <s v="8435762902897"/>
        <s v="8435762902873"/>
        <s v="8435762902859"/>
        <s v="8435762902811"/>
        <s v="8435762902804"/>
        <s v="8435762902798"/>
        <s v="8435762902675"/>
        <s v="8435762900909"/>
        <s v="8435762900893"/>
        <s v="8435762900886"/>
        <s v="8435762900879"/>
        <s v="8435758312266"/>
        <s v="8435758312259"/>
        <s v="8435758311948"/>
        <s v="8435758311931"/>
        <s v="8435758311924"/>
        <s v="8435758311863"/>
        <s v="8435758311856"/>
        <s v="8435758311849"/>
        <s v="8435758311542"/>
        <s v="8435758311535"/>
        <s v="8435758311528"/>
        <s v="8435758311061"/>
        <s v="8435758311054"/>
        <s v="8435758310989"/>
        <s v="8435758310972"/>
        <s v="8435758310965"/>
        <s v="8435758306678"/>
        <s v="8435758306661"/>
        <s v="8435758306586"/>
        <s v="8435758306548"/>
        <s v="8435758306531"/>
        <s v="8435758302366"/>
        <s v="8435739406274"/>
        <s v="8435739406250"/>
        <s v="8435739406069"/>
        <s v="8435739405956"/>
        <s v="8435739405857"/>
        <s v="8435739405840"/>
        <s v="8435739405833"/>
        <s v="8435739405826"/>
        <s v="8435739405819"/>
        <s v="8435739405802"/>
        <s v="8435739403211"/>
        <s v="8435739403198"/>
        <s v="8435739403181"/>
        <s v="8435739403112"/>
        <s v="8435739403020"/>
        <s v="8435739403006"/>
        <s v="8435739402979"/>
        <s v="8435739402962"/>
        <s v="8435739402955"/>
        <s v="8435739402948"/>
        <s v="8435739402931"/>
        <s v="8435739402924"/>
        <s v="8435739402917"/>
        <s v="8435739402887"/>
        <s v="8435739402849"/>
        <s v="8435739402832"/>
        <s v="8435739402825"/>
        <s v="8435739402801"/>
        <s v="8435739402795"/>
        <s v="8435739402788"/>
        <s v="8435739402771"/>
        <s v="8435739402764"/>
        <s v="8435739402757"/>
        <s v="8435739402740"/>
        <s v="8435739402689"/>
        <s v="8435739402672"/>
        <s v="8435739402665"/>
        <s v="8435585043654"/>
        <s v="8435547998596"/>
        <s v="8435547998589"/>
        <s v="8435547998138_"/>
        <s v="8435547998121_"/>
        <s v="8435547998114_"/>
        <s v="8435547997926"/>
        <s v="8435547997919"/>
        <s v="8435547995298_"/>
        <s v="8435547995281_"/>
        <s v="8435547995274_"/>
        <s v="8435547995267_"/>
        <s v="8435547995250_"/>
        <s v="8435547995243_"/>
        <s v="8435547995236_"/>
        <s v="8435547995229_"/>
        <s v="8435547995212_"/>
        <s v="8435547994338_"/>
        <s v="8435547994321_"/>
        <s v="8435547994314_"/>
        <s v="8435547994307_"/>
        <s v="8435547991702_"/>
        <s v="8435547991696_"/>
        <s v="8435547991689_"/>
        <s v="8435547989778_"/>
        <s v="8435547989761_"/>
        <s v="8435547989754_"/>
        <s v="8435547984131_"/>
        <s v="8435547984124_"/>
        <s v="8435547984117_"/>
        <s v="8435547984100_"/>
        <s v="8435547984094_"/>
        <s v="8435547983981_"/>
        <s v="8435547983974_"/>
        <s v="8435547983967_"/>
        <s v="8435547983950_"/>
        <s v="8435547983943_"/>
        <s v="8435547978918_"/>
        <s v="8435547978901_"/>
        <s v="8435547978895_"/>
        <s v="8435536799807"/>
        <s v="8435536799777"/>
        <s v="8435536798237"/>
        <s v="8435536798220"/>
        <s v="8435536798107"/>
        <s v="8435536798084"/>
        <s v="8435536798053"/>
        <s v="8435536798008"/>
        <s v="8435536797995"/>
        <s v="8435536797292"/>
        <s v="8435536797162"/>
        <s v="8435536795533"/>
        <s v="8435536795526"/>
        <s v="8435536795083"/>
        <s v="8435536795076"/>
        <s v="8435536794215"/>
        <s v="8435536794208"/>
        <s v="8435536793591"/>
        <s v="8435536793577"/>
        <s v="8435536793560"/>
        <s v="8435536793553"/>
        <s v="8435536793546"/>
        <s v="8435536793539"/>
        <s v="8435536793522"/>
        <s v="8435536793515"/>
        <s v="8435536793508"/>
        <s v="8435536793485"/>
        <s v="8435536793478"/>
        <s v="8435536793454"/>
        <s v="8435536793447"/>
        <s v="8435536793430"/>
        <s v="8435536793423"/>
        <s v="8435536793416"/>
        <s v="8435536793201"/>
        <s v="8435536793195"/>
        <s v="8435536793188"/>
        <s v="8435536793157"/>
        <s v="8435536793140"/>
        <s v="8435536793133"/>
        <s v="8435536793058"/>
        <s v="8435536793041"/>
        <s v="8435536793034"/>
        <s v="8435536792945"/>
        <s v="8435536792846"/>
        <s v="8435536792839"/>
        <s v="8435536792815"/>
        <s v="8435536792808"/>
        <s v="8435536792792"/>
        <s v="8435536792785"/>
        <s v="8435536792778"/>
        <s v="8435536792754"/>
        <s v="8435536792747"/>
        <s v="8435536792730"/>
        <s v="8435536792525_"/>
        <s v="8435536792518_"/>
        <s v="8435536789631"/>
        <s v="8435536789624"/>
        <s v="8435536789518"/>
        <s v="8435536789495"/>
        <s v="8435536789471_"/>
        <s v="8435536789426"/>
        <s v="8435536789419"/>
        <s v="8435536789297"/>
        <s v="8435536788498"/>
        <s v="8435536788238"/>
        <s v="8435536788221"/>
        <s v="8435536788214"/>
        <s v="8435536788177"/>
        <s v="8435536788160"/>
        <s v="8435536788023"/>
        <s v="8435536788016"/>
        <s v="8435536787781"/>
        <s v="8435536787736Y"/>
        <s v="8435536787736X"/>
        <s v="8435536787736"/>
        <s v="8435536785763"/>
        <s v="8435536785756"/>
        <s v="8435536785749"/>
        <s v="8435536785732"/>
        <s v="8435536785718"/>
        <s v="8435536785701"/>
        <s v="8435536785695"/>
        <s v="8435536784810"/>
        <s v="8435536784803"/>
        <s v="8435536784797"/>
        <s v="8435536782830"/>
        <s v="8435536782731_"/>
        <s v="8435536782724_"/>
        <s v="8435536782267"/>
        <s v="8435536782250"/>
        <s v="8435536782243"/>
        <s v="8435536782236"/>
        <s v="8435536782205"/>
        <s v="8435536782199"/>
        <s v="8435536782182"/>
        <s v="8435536781895"/>
        <s v="8435536781888"/>
        <s v="8435536781871"/>
        <s v="8435536781796"/>
        <s v="8435536781789"/>
        <s v="8435536781772"/>
        <s v="8435536780669_"/>
        <s v="8435536780652_"/>
        <s v="8435536780645_"/>
        <s v="8435536780515"/>
        <s v="8435536779656"/>
        <s v="8435536779649"/>
        <s v="8435536779632"/>
        <s v="8435536779625"/>
        <s v="8435536778055_"/>
        <s v="8435536778048_"/>
        <s v="8435536778031_"/>
        <s v="8435536777942"/>
        <s v="8435536777720_"/>
        <s v="8435536777713_"/>
        <s v="8435536777706_"/>
        <s v="8435536776860"/>
        <s v="8435536776853"/>
        <s v="8435536776846"/>
        <s v="8435536776839"/>
        <s v="8435536776716"/>
        <s v="8435536776709"/>
        <s v="8435536776655"/>
        <s v="8435536776648"/>
        <s v="8435536776556"/>
        <s v="8435536776549"/>
        <s v="8435536776532"/>
        <s v="8435536776501"/>
        <s v="8435536776495"/>
        <s v="8435536775344_"/>
        <s v="8435536775337_"/>
        <s v="8435536775320_"/>
        <s v="8435536775313_"/>
        <s v="8435536775306_"/>
        <s v="8435536775290_"/>
        <s v="8435536775283_"/>
        <s v="8435536775276_"/>
        <s v="8435536775269_"/>
        <s v="8435536775252"/>
        <s v="8435536772008_"/>
        <s v="8435536771964_"/>
        <s v="8435536769435"/>
        <s v="8435536769428"/>
        <s v="8435536767974"/>
        <s v="8435536767967_"/>
        <s v="8435536758613_"/>
        <s v="8435536758606_"/>
        <s v="8435536758590_"/>
        <s v="8435536758583_"/>
        <s v="8435536758576_"/>
        <s v="8435536756510_"/>
        <s v="8435536756503_"/>
        <s v="8435536756466_"/>
        <s v="8435536756459_"/>
        <s v="8435536756442_"/>
        <s v="8435536755704"/>
        <s v="8435536755698"/>
        <s v="8435536753793_"/>
        <s v="8435536753786_"/>
        <s v="8435536753779_"/>
        <s v="8435536752420"/>
        <s v="8435536752185"/>
        <s v="8435536752154"/>
        <s v="8435536752116"/>
        <s v="8435536752109_"/>
        <s v="8435536752093"/>
        <s v="8435536748225_"/>
        <s v="8435536748218_"/>
        <s v="8435536748201_"/>
        <s v="8435536748195_"/>
        <s v="8435536746146"/>
        <s v="8435536744296"/>
        <s v="8435536744234"/>
        <s v="8435536743084"/>
        <s v="8435536738554"/>
        <s v="8435536735140_"/>
        <s v="8435536731968"/>
        <s v="8435536731944"/>
        <s v="8435536727756_"/>
        <s v="8435536724137_"/>
        <s v="8435536706690"/>
        <s v="8435406802118"/>
        <s v="8435406802101"/>
        <s v="8435393587456"/>
        <s v="8435393587210_"/>
        <s v="8435393586930_"/>
        <s v="8435087234321"/>
        <s v="8432891983049"/>
        <s v="8432891983032"/>
        <s v="8432891983025"/>
        <s v="8432891424443_"/>
        <s v="8432891424436_"/>
        <s v="8432891238903"/>
        <s v="8432891238804"/>
        <s v="8432891238705"/>
        <s v="8432891238606"/>
        <s v="8432891221103"/>
        <s v="8432891220601"/>
        <s v="8432891220403"/>
        <s v="8432891220304"/>
        <s v="8432891213306"/>
        <s v="8432891213207"/>
        <s v="8432891213108"/>
        <s v="8432891212903"/>
        <s v="8432891212804"/>
        <s v="8404001208274_"/>
        <s v="8404001207857_"/>
        <s v="8403001233392_"/>
        <s v="8403001233378_"/>
        <s v="8403001231190"/>
        <s v="8403001231138"/>
        <s v="8403001191876"/>
        <s v="8402009230570_"/>
        <s v="8402005416602_"/>
        <s v="8402003192997"/>
        <s v="8402003192973_"/>
        <s v="8402003192928"/>
        <s v="8401010262334_"/>
        <s v="8401008201987_"/>
        <s v="8401001244028_"/>
        <s v="8401001243144_"/>
        <s v="8401001243038_"/>
        <s v="8401001242819_"/>
        <s v="766871822614"/>
        <s v="766871822591"/>
        <s v="766871822584"/>
        <s v="766871822546"/>
        <s v="766871822508"/>
        <s v="766871822393"/>
        <s v="765066747145"/>
        <s v="765066747107"/>
        <s v="765066747060"/>
        <s v="765066747053"/>
        <s v="765066747046"/>
        <s v="765066746988"/>
        <s v="765066746971"/>
        <s v="765066746964"/>
        <s v="765066746957"/>
        <s v="765066746940"/>
        <s v="765066746858_"/>
        <s v="7350073938155"/>
        <s v="7350073938148"/>
        <s v="7350073937905_"/>
        <s v="7350073932177"/>
        <s v="7350073930722"/>
        <s v="726424939046"/>
        <s v="726424938988"/>
        <s v="726424938964"/>
        <s v="726424938957"/>
        <s v="726424938933_"/>
        <s v="726424938896"/>
        <s v="726424938872"/>
        <s v="726424938841_"/>
        <s v="726424855049_"/>
        <s v="726424722587_"/>
        <s v="726424722563_"/>
        <s v="726424722556_"/>
        <s v="726424686766"/>
        <s v="726424410262_"/>
        <s v="726424270736"/>
        <s v="726424077564"/>
        <s v="726424077557"/>
        <s v="726424077540"/>
        <s v="726424077533"/>
        <s v="726424077526"/>
        <s v="726423980018"/>
        <s v="726423980001"/>
        <s v="726423979999"/>
        <s v="726423979982"/>
        <s v="726423923435_"/>
        <s v="726423923428_"/>
        <s v="726423855064"/>
        <s v="726423855040"/>
        <s v="726423855033"/>
        <s v="726423855019"/>
        <s v="726423855002"/>
        <s v="726423491088_"/>
        <s v="726423486343"/>
        <s v="726423459460_"/>
        <s v="726423389033"/>
        <s v="726423389026"/>
        <s v="726423389019"/>
        <s v="726423389002"/>
        <s v="726423370727"/>
        <s v="726423359456"/>
        <s v="726423359449"/>
        <s v="726423359432"/>
        <s v="726423359418"/>
        <s v="726423358411"/>
        <s v="726423358398"/>
        <s v="726423358381"/>
        <s v="726423358374"/>
        <s v="726423354482"/>
        <s v="726423354475"/>
        <s v="726423354468"/>
        <s v="726423354451"/>
        <s v="726423354437"/>
        <s v="726423354420"/>
        <s v="726423351733"/>
        <s v="726423351719"/>
        <s v="726423351702"/>
        <s v="726423351689"/>
        <s v="726423351672"/>
        <s v="726423347859"/>
        <s v="726423347842"/>
        <s v="726423347767"/>
        <s v="726423347743"/>
        <s v="726423347736"/>
        <s v="726423347729"/>
        <s v="726423347699"/>
        <s v="726423346456"/>
        <s v="726423270584"/>
        <s v="726423270577"/>
        <s v="726423270560"/>
        <s v="726423270553"/>
        <s v="726423269762"/>
        <s v="726423269755"/>
        <s v="726423269748"/>
        <s v="726423269731"/>
        <s v="726423269472"/>
        <s v="726423269465"/>
        <s v="726423269458"/>
        <s v="726423269441"/>
        <s v="726423268901"/>
        <s v="726423268895"/>
        <s v="726423268888"/>
        <s v="726423268222"/>
        <s v="726423268215"/>
        <s v="726423268208"/>
        <s v="726423268192"/>
        <s v="726423268086"/>
        <s v="726423268062"/>
        <s v="726423268055"/>
        <s v="724794927359"/>
        <s v="724794885901"/>
        <s v="724794885895"/>
        <s v="724794885888"/>
        <s v="724794874752"/>
        <s v="724794874745"/>
        <s v="724794874738"/>
        <s v="724794858530"/>
        <s v="724794797396_"/>
        <s v="724794797389_"/>
        <s v="724794797372_"/>
        <s v="724794797365_"/>
        <s v="724794797358_"/>
        <s v="724794717561_"/>
        <s v="724794702260_"/>
        <s v="724794702253_"/>
        <s v="724794643624"/>
        <s v="724794643617"/>
        <s v="724794643600"/>
        <s v="724794643594"/>
        <s v="724794643570"/>
        <s v="724794643495"/>
        <s v="724794643488"/>
        <s v="724794643464"/>
        <s v="724794643402"/>
        <s v="724794643396"/>
        <s v="724794643389"/>
        <s v="724794643372"/>
        <s v="724794635919_"/>
        <s v="724794635902"/>
        <s v="724794635506_"/>
        <s v="724794635407_"/>
        <s v="724794635346_"/>
        <s v="724794635339_"/>
        <s v="724794634332"/>
        <s v="724794634325_"/>
        <s v="724794627457"/>
        <s v="724794626955"/>
        <s v="724794626948"/>
        <s v="724794596289"/>
        <s v="724794592830_"/>
        <s v="724794592755_"/>
        <s v="724794592731_"/>
        <s v="724794592717_"/>
        <s v="724794592090_"/>
        <s v="724794592014_"/>
        <s v="724794592007_"/>
        <s v="724794591963_"/>
        <s v="724794591178"/>
        <s v="724794591147"/>
        <s v="724794591123"/>
        <s v="724794591116"/>
        <s v="724794591093"/>
        <s v="724794591086"/>
        <s v="724794591062"/>
        <s v="724794590751"/>
        <s v="724794590690_"/>
        <s v="724794590676_"/>
        <s v="724794590669_"/>
        <s v="724794590652"/>
        <s v="724794590645"/>
        <s v="724794590621"/>
        <s v="724794569542"/>
        <s v="724794553022_"/>
        <s v="724794553015_"/>
        <s v="724794552957_"/>
        <s v="724794552940_"/>
        <s v="724794552933_"/>
        <s v="724794552766"/>
        <s v="724794552742"/>
        <s v="724794552735"/>
        <s v="724794552728"/>
        <s v="724794552599"/>
        <s v="724794552582"/>
        <s v="724794552575"/>
        <s v="724794552223_"/>
        <s v="724794552209_"/>
        <s v="724794552193_"/>
        <s v="724794551066"/>
        <s v="724794550557"/>
        <s v="724794550540"/>
        <s v="724794548554"/>
        <s v="724794548530"/>
        <s v="724794548523"/>
        <s v="724794542828_"/>
        <s v="724794540039"/>
        <s v="724794540022"/>
        <s v="724794540015"/>
        <s v="724794540008_"/>
        <s v="724794539910_"/>
        <s v="724794539903_"/>
        <s v="724794539897_"/>
        <s v="724794539880_"/>
        <s v="724794539675_"/>
        <s v="724794539651_"/>
        <s v="724794539644_"/>
        <s v="724794538418_"/>
        <s v="724794538401_"/>
        <s v="724794538395_"/>
        <s v="724794538388_"/>
        <s v="724794533123_"/>
        <s v="724794533116_"/>
        <s v="724794533109_"/>
        <s v="724794533093_"/>
        <s v="724794519301_"/>
        <s v="724794519295_"/>
        <s v="724794519288_"/>
        <s v="724794519271_"/>
        <s v="724794517031"/>
        <s v="724794517024"/>
        <s v="724794517017"/>
        <s v="724794517000"/>
        <s v="724794498033"/>
        <s v="724794482223"/>
        <s v="724794482209"/>
        <s v="724794482100_"/>
        <s v="724794482100"/>
        <s v="724794414156_"/>
        <s v="724794414149_"/>
        <s v="724794414132_"/>
        <s v="724794414125_"/>
        <s v="724794414125"/>
        <s v="724794414118_"/>
        <s v="724794414118"/>
        <s v="724794414101_"/>
        <s v="724794406601"/>
        <s v="724794402306"/>
        <s v="724794397312_"/>
        <s v="724794376713_"/>
        <s v="724794374542"/>
        <s v="724794256275"/>
        <s v="724794222317_"/>
        <s v="724794222300"/>
        <s v="724794217313"/>
        <s v="724794189672"/>
        <s v="724794189658"/>
        <s v="724794188460"/>
        <s v="724794188422"/>
        <s v="724794188392"/>
        <s v="724794188385"/>
        <s v="724794174012"/>
        <s v="724794174005"/>
        <s v="724794173992"/>
        <s v="724794173985"/>
        <s v="724794173732_"/>
        <s v="724794173725_"/>
        <s v="724794173718_"/>
        <s v="724794173701_"/>
        <s v="724794151037"/>
        <s v="724794151020_"/>
        <s v="6211323100"/>
        <s v="6208910090"/>
        <s v="6109902000"/>
        <s v="602561992246"/>
        <s v="5059882575736"/>
        <s v="5059882575729"/>
        <s v="5059882575712"/>
        <s v="5059882575705"/>
        <s v="5059882575699"/>
        <s v="5059882575682"/>
        <s v="5059882575675"/>
        <s v="5059882575668"/>
        <s v="5059882575651"/>
        <s v="5059882575637"/>
        <s v="5059431839364"/>
        <s v="5059431839340"/>
        <s v="5059431839333"/>
        <s v="5059431839326"/>
        <s v="5059431839319"/>
        <s v="5059431529951"/>
        <s v="5059431529944"/>
        <s v="5059431529937"/>
        <s v="5059431529920"/>
        <s v="5059431430059_"/>
        <s v="5059431430042_"/>
        <s v="5059431430035_"/>
        <s v="5059431430028_"/>
        <s v="5059431429954_"/>
        <s v="5059431429947_"/>
        <s v="5059431429930_"/>
        <s v="5059431428391_"/>
        <s v="5059431428155_"/>
        <s v="5059431428148_"/>
        <s v="5059431428131_"/>
        <s v="5059431428117_"/>
        <s v="5059431398328"/>
        <s v="5059431398311"/>
        <s v="5059431398298"/>
        <s v="5059431346640"/>
        <s v="5059431346633"/>
        <s v="5059431346626"/>
        <s v="5059431346619"/>
        <s v="5059431298147"/>
        <s v="5059431298130"/>
        <s v="5059431298123"/>
        <s v="5059431298116"/>
        <s v="5051686195868"/>
        <s v="5051686195851"/>
        <s v="5051686195844"/>
        <s v="5013317228826_"/>
        <s v="4819400000"/>
        <s v="4570158314404"/>
        <s v="4570158314381"/>
        <s v="4570158314039"/>
        <s v="4570158314015"/>
        <s v="4570158312790"/>
        <s v="4570158312776"/>
        <s v="4570158311632"/>
        <s v="4570158311625"/>
        <s v="4570158310802"/>
        <s v="4570158310796"/>
        <s v="4570158310611"/>
        <s v="4570158310567"/>
        <s v="4570158309394"/>
        <s v="4570158309387"/>
        <s v="4570158307291"/>
        <s v="4570158307284"/>
        <s v="4570158307086"/>
        <s v="4570158307079"/>
        <s v="4570158176491"/>
        <s v="4570158176446"/>
        <s v="4570158176422"/>
        <s v="4570158176385"/>
        <s v="4570158176354"/>
        <s v="4570158174022"/>
        <s v="4570158173315"/>
        <s v="4570158173278"/>
        <s v="4570158173254"/>
        <s v="4570158173230"/>
        <s v="4570158173223"/>
        <s v="4570158173216"/>
        <s v="4570158173209"/>
        <s v="4570158173193"/>
        <s v="4570158173186"/>
        <s v="4570158173179"/>
        <s v="4570158173162"/>
        <s v="4570158173155"/>
        <s v="4570158171816"/>
        <s v="4570158171809"/>
        <s v="4570158171793"/>
        <s v="4570158171762"/>
        <s v="4570158171755"/>
        <s v="4570158168489"/>
        <s v="4570158168472"/>
        <s v="4570158168465"/>
        <s v="4570158168441"/>
        <s v="4570158168434"/>
        <s v="4570158168427"/>
        <s v="4570158168403"/>
        <s v="4570158168335"/>
        <s v="4570158168311"/>
        <s v="4570158168298"/>
        <s v="4570158168236"/>
        <s v="4570158168229"/>
        <s v="4570158167482"/>
        <s v="4570158167475"/>
        <s v="4570158167468"/>
        <s v="4570158167444"/>
        <s v="4570158167437"/>
        <s v="4570158167413"/>
        <s v="4570158167406"/>
        <s v="4570158167383"/>
        <s v="4570158167369"/>
        <s v="4570158167116"/>
        <s v="4570158167000"/>
        <s v="4570158165228"/>
        <s v="4570158165211"/>
        <s v="4570158165204"/>
        <s v="4570158165198"/>
        <s v="4570158165181"/>
        <s v="4570158165150"/>
        <s v="4570158165136"/>
        <s v="4570158165129"/>
        <s v="4570158165112"/>
        <s v="4570158165082"/>
        <s v="4570158165075"/>
        <s v="4570158165068"/>
        <s v="4570158165051"/>
        <s v="4570158165037"/>
        <s v="4570158165013"/>
        <s v="4570158164993"/>
        <s v="4570158164962"/>
        <s v="4570158164085"/>
        <s v="4570158164047"/>
        <s v="4570158164023"/>
        <s v="4570158163972"/>
        <s v="4570158163941"/>
        <s v="45566303691"/>
        <s v="45566303660"/>
        <s v="4550457832205"/>
        <s v="4550457832199"/>
        <s v="4550457832137"/>
        <s v="4550457832090"/>
        <s v="4550457832076"/>
        <s v="4550457832069"/>
        <s v="4550457832052"/>
        <s v="4550457831192"/>
        <s v="4550457831178"/>
        <s v="4550457831123"/>
        <s v="4550457831109"/>
        <s v="4550457831024"/>
        <s v="4550457831000"/>
        <s v="4550457829007"/>
        <s v="4550457828970"/>
        <s v="4550457828963"/>
        <s v="4550457828956"/>
        <s v="4550457828918"/>
        <s v="4550457828895"/>
        <s v="4550457828888"/>
        <s v="4550457828871"/>
        <s v="4550457828451"/>
        <s v="4550457828444"/>
        <s v="4550457828406"/>
        <s v="4550457828390"/>
        <s v="4550457828383"/>
        <s v="4550457828352"/>
        <s v="4550457828314"/>
        <s v="4550457680400"/>
        <s v="4550457680295"/>
        <s v="4550457680288"/>
        <s v="4550457680271"/>
        <s v="4550457679596"/>
        <s v="4550457679589"/>
        <s v="4550457679572"/>
        <s v="4550457679565"/>
        <s v="4550457679558"/>
        <s v="4550457679527"/>
        <s v="4550457679480"/>
        <s v="4550457676915"/>
        <s v="4550457676892"/>
        <s v="4550457676885"/>
        <s v="4550457676854"/>
        <s v="4550457676830"/>
        <s v="4550457676823"/>
        <s v="4550457676809"/>
        <s v="4550457676465"/>
        <s v="4550457676441"/>
        <s v="4550457676410"/>
        <s v="4550457676397"/>
        <s v="4550457676380"/>
        <s v="4550457676328"/>
        <s v="4550457675826"/>
        <s v="4550457675819"/>
        <s v="4550457675796"/>
        <s v="4550457675765"/>
        <s v="4550457675758"/>
        <s v="4550457675727"/>
        <s v="4550457675710"/>
        <s v="4550457675697"/>
        <s v="4550457675680"/>
        <s v="4550457674768"/>
        <s v="4550457674744"/>
        <s v="4550457674737"/>
        <s v="4550457674669"/>
        <s v="4550457674652"/>
        <s v="4550457674638"/>
        <s v="4550457674621"/>
        <s v="4550457674607"/>
        <s v="4550457673327"/>
        <s v="4550457673310"/>
        <s v="4550457673303"/>
        <s v="4550457673242"/>
        <s v="4550457673235"/>
        <s v="4550457673204"/>
        <s v="4550457673198"/>
        <s v="4550457670951"/>
        <s v="4550457670906"/>
        <s v="4550457670883"/>
        <s v="4550457670852"/>
        <s v="4550457670838"/>
        <s v="4550457670821"/>
        <s v="4550457670814"/>
        <s v="4550457669375"/>
        <s v="4550457669351"/>
        <s v="4550457669313"/>
        <s v="4550457669238"/>
        <s v="4550457667302"/>
        <s v="4550457667296"/>
        <s v="4550457667265"/>
        <s v="4550457667258"/>
        <s v="4550457667241"/>
        <s v="4550457667203"/>
        <s v="4550457666701"/>
        <s v="4550457666657"/>
        <s v="4550457666640"/>
        <s v="4550457666633"/>
        <s v="4550457666589"/>
        <s v="4550457665612"/>
        <s v="4550457665582"/>
        <s v="4550457665575"/>
        <s v="4550457665520"/>
        <s v="4550457665506"/>
        <s v="4550457665490"/>
        <s v="4550457665483"/>
        <s v="4550457390811"/>
        <s v="4550457390781"/>
        <s v="4550457390774"/>
        <s v="4550457390750"/>
        <s v="4550457390736"/>
        <s v="4550457390712"/>
        <s v="4550457390699"/>
        <s v="4550457390675"/>
        <s v="4550457390668"/>
        <s v="4550457390477"/>
        <s v="4550457390354"/>
        <s v="4550457388504"/>
        <s v="4550457388481"/>
        <s v="4550457388474"/>
        <s v="4550457388467"/>
        <s v="4550457388450"/>
        <s v="4550457388399"/>
        <s v="4550457388382"/>
        <s v="4550457343183"/>
        <s v="4550457343169"/>
        <s v="4550457343152"/>
        <s v="4550457343114"/>
        <s v="4550457343091"/>
        <s v="4550457342186"/>
        <s v="4550457341332"/>
        <s v="4550457341295"/>
        <s v="4550457341271"/>
        <s v="4550457341264"/>
        <s v="4550457341233"/>
        <s v="4550457341226"/>
        <s v="4550457341196"/>
        <s v="4550457215831"/>
        <s v="4550457215817"/>
        <s v="4550457215787"/>
        <s v="4550457215442"/>
        <s v="4550457215428"/>
        <s v="4550457215411"/>
        <s v="4550457213110"/>
        <s v="4550457213103"/>
        <s v="4550457213080"/>
        <s v="4550457155021"/>
        <s v="4550457154987"/>
        <s v="4550457154932"/>
        <s v="4550457153201"/>
        <s v="4550457153157"/>
        <s v="4550457153140"/>
        <s v="4550457153133"/>
        <s v="4550457153126"/>
        <s v="4550457153096"/>
        <s v="4550457153089"/>
        <s v="4550457152839"/>
        <s v="4550457152815"/>
        <s v="4550457151801"/>
        <s v="4550457151795"/>
        <s v="4550457151696"/>
        <s v="4550457145312"/>
        <s v="4550457145251"/>
        <s v="4550457145237"/>
        <s v="4550457145206"/>
        <s v="4550457145183"/>
        <s v="4550457144414"/>
        <s v="4550457144391"/>
        <s v="4550457144360"/>
        <s v="4550457144353"/>
        <s v="4550457144339"/>
        <s v="4550457144292"/>
        <s v="4550457143844"/>
        <s v="4550457142922"/>
        <s v="4550457142885"/>
        <s v="4550456885851"/>
        <s v="4550456885844_"/>
        <s v="4550456885837"/>
        <s v="4550456885813_"/>
        <s v="4550456885806_"/>
        <s v="4550456885783"/>
        <s v="4550456885752_"/>
        <s v="4550456885738_"/>
        <s v="4550456885707_"/>
        <s v="4550456865211"/>
        <s v="4550456865150"/>
        <s v="4550456849662_"/>
        <s v="4550456849655_"/>
        <s v="4550456849600_"/>
        <s v="4550456849563_"/>
        <s v="4550456674363"/>
        <s v="4550456674349"/>
        <s v="4550456674332"/>
        <s v="4550456674325"/>
        <s v="4550456674257"/>
        <s v="4550456674240"/>
        <s v="4550456670259"/>
        <s v="4550456670242"/>
        <s v="4550456670235"/>
        <s v="4550456670150"/>
        <s v="4550456670136"/>
        <s v="4550456670112"/>
        <s v="4550456669819"/>
        <s v="4550456669796"/>
        <s v="4550456669772"/>
        <s v="4550456669741_"/>
        <s v="4550456669734"/>
        <s v="4550456668928"/>
        <s v="4550456668881"/>
        <s v="4550456668867"/>
        <s v="4550456668850"/>
        <s v="4550456668836"/>
        <s v="4550456668812"/>
        <s v="4550456668614"/>
        <s v="4550456668553"/>
        <s v="4550456668539"/>
        <s v="4550456668508"/>
        <s v="4550456668492"/>
        <s v="4550456667419_"/>
        <s v="4550456667358"/>
        <s v="4550456667341"/>
        <s v="4550456667327"/>
        <s v="4550456667273"/>
        <s v="4550456667259"/>
        <s v="4550456667242"/>
        <s v="4550456664470"/>
        <s v="4550456663121_"/>
        <s v="4550456663053_"/>
        <s v="4550456663046"/>
        <s v="4550456663022_"/>
        <s v="4550456662490"/>
        <s v="4550456662476"/>
        <s v="4550456662384"/>
        <s v="4550456351578_"/>
        <s v="4550456351561_"/>
        <s v="4550456351547_"/>
        <s v="4550456345782_"/>
        <s v="4550456345751_"/>
        <s v="4550456345744_"/>
        <s v="4550456336834_"/>
        <s v="4550456336827_"/>
        <s v="4550456336810_"/>
        <s v="4550456333130_"/>
        <s v="4550456333123_"/>
        <s v="4550456333116_"/>
        <s v="4550456333109_"/>
        <s v="4550456175020_"/>
        <s v="4550456175013_"/>
        <s v="4550456174993_"/>
        <s v="4550456174962_"/>
        <s v="4550456174894_"/>
        <s v="4550456159761_"/>
        <s v="4550456159754_"/>
        <s v="4550456159747_"/>
        <s v="4550456158573_"/>
        <s v="4550456158566_"/>
        <s v="4550456158542_"/>
        <s v="4550456158320_"/>
        <s v="4550456158313_"/>
        <s v="4550456158306_"/>
        <s v="4550456158290_"/>
        <s v="4550456157408_"/>
        <s v="4550456157392_"/>
        <s v="4550456157378_"/>
        <s v="4550456156791"/>
        <s v="4550456156784"/>
        <s v="4550456156777"/>
        <s v="4550456156760"/>
        <s v="4550456156418_"/>
        <s v="4550456156401"/>
        <s v="4550456156371__"/>
        <s v="4550456155923_"/>
        <s v="4550456155916_"/>
        <s v="4550456155893"/>
        <s v="4550456155886_"/>
        <s v="4550456155701"/>
        <s v="4550456155695"/>
        <s v="4550456155664_"/>
        <s v="4550456155657_"/>
        <s v="4550456155640"/>
        <s v="4550456155633_"/>
        <s v="4550456155626"/>
        <s v="4550456155459_"/>
        <s v="4550456155435_"/>
        <s v="4550456155404_"/>
        <s v="4550456137165"/>
        <s v="4550456136960_"/>
        <s v="4550456136939_"/>
        <s v="4550456136861_"/>
        <s v="4550456136854_"/>
        <s v="4550456135994_"/>
        <s v="4550456135987_"/>
        <s v="4550456135949_"/>
        <s v="4550456135925_"/>
        <s v="4550456135598"/>
        <s v="4550456135581"/>
        <s v="4550456135574"/>
        <s v="4550456135499"/>
        <s v="4550456135475"/>
        <s v="4550456135123"/>
        <s v="4550456135109"/>
        <s v="4550456135093"/>
        <s v="4550456135062"/>
        <s v="4550456135055"/>
        <s v="4550456135000"/>
        <s v="4550456134997"/>
        <s v="4550456134966"/>
        <s v="4550456134959"/>
        <s v="4550456134935"/>
        <s v="4550456134898"/>
        <s v="4550456134874"/>
        <s v="4550456134843"/>
        <s v="4550456134829"/>
        <s v="4550456119932_"/>
        <s v="4550456119888_"/>
        <s v="4550456119826_"/>
        <s v="4550456119802_"/>
        <s v="4550456117433"/>
        <s v="4550456117396"/>
        <s v="4550456117389"/>
        <s v="4550456117365"/>
        <s v="4550456114555"/>
        <s v="4550456114524"/>
        <s v="4550456114500"/>
        <s v="4550456114494"/>
        <s v="4550456114470"/>
        <s v="4550456114463"/>
        <s v="4550456114449"/>
        <s v="4550456114395"/>
        <s v="4550456112094_"/>
        <s v="4550456112032_"/>
        <s v="4550456111998_"/>
        <s v="4550456108516_"/>
        <s v="4550456108493_"/>
        <s v="4550456108417_"/>
        <s v="4550456106062"/>
        <s v="4550456103931_"/>
        <s v="4550456103887_"/>
        <s v="4550456103818_"/>
        <s v="4550456103795_"/>
        <s v="4550456103429_"/>
        <s v="4550456103337_"/>
        <s v="4550456103313_"/>
        <s v="4550455733696_"/>
        <s v="4550455733658_"/>
        <s v="4550455733610_"/>
        <s v="4550455733603_"/>
        <s v="4550455733566"/>
        <s v="4550455733542_"/>
        <s v="4550455731968"/>
        <s v="4550455731937"/>
        <s v="4550455731883"/>
        <s v="4550455660718"/>
        <s v="4550455658531_"/>
        <s v="4550455658487_"/>
        <s v="4550455658425_"/>
        <s v="4550455628190_"/>
        <s v="4550455481313_"/>
        <s v="4550455148964_"/>
        <s v="4550455148957_"/>
        <s v="4550455148926_"/>
        <s v="4550455148902"/>
        <s v="4550455148889"/>
        <s v="4550455033529"/>
        <s v="4550455031396_"/>
        <s v="4550330599799"/>
        <s v="4550330599768"/>
        <s v="4550330599126"/>
        <s v="4550330599102"/>
        <s v="4550330599096"/>
        <s v="4550330599089"/>
        <s v="4550330597085"/>
        <s v="4550329903699"/>
        <s v="4550329903682"/>
        <s v="4550329903675"/>
        <s v="4550329903668"/>
        <s v="4550329903651"/>
        <s v="4550329558974"/>
        <s v="4550329558950"/>
        <s v="4550329558943"/>
        <s v="4550329558936"/>
        <s v="4550329558929"/>
        <s v="4550329558899"/>
        <s v="4550329558868"/>
        <s v="4550329558837"/>
        <s v="4066746559468"/>
        <s v="3926909790"/>
        <s v="3490150149464"/>
        <s v="31259-P_"/>
        <s v="30024-P"/>
        <s v="198772136673"/>
        <s v="198772134426"/>
        <s v="198772134419"/>
        <s v="198772134402"/>
        <s v="198772134396"/>
        <s v="198772103453"/>
        <s v="198772015749"/>
        <s v="198772015732"/>
        <s v="196652636176"/>
        <s v="196652636169"/>
        <s v="196652636152"/>
        <s v="196652636145"/>
        <s v="196652094204"/>
        <s v="196652094198"/>
        <s v="196652094181"/>
        <s v="196652094174"/>
        <s v="196483102543_"/>
        <s v="196483102451_"/>
        <s v="196483102437_"/>
        <s v="196483102420_"/>
        <s v="196432973811_"/>
        <s v="196432973798_"/>
        <s v="196432973781_"/>
        <s v="196432973767_"/>
        <s v="196432942084_"/>
        <s v="196432942077_"/>
        <s v="196432942060_"/>
        <s v="196432942046_"/>
        <s v="196432753345"/>
        <s v="196432753338"/>
        <s v="196307737296"/>
        <s v="196307737289"/>
        <s v="196307737272"/>
        <s v="196307737265"/>
        <s v="195907245156_"/>
        <s v="195907245101_"/>
        <s v="194979396148"/>
        <s v="194979396131"/>
        <s v="194979396124"/>
        <s v="194979395936"/>
        <s v="194979395929"/>
        <s v="194979395912"/>
        <s v="194979395394"/>
        <s v="194979395370"/>
        <s v="194979395301"/>
        <s v="194979395288"/>
        <s v="194979258132"/>
        <s v="194979258125"/>
        <s v="194979258118"/>
        <s v="194979258040"/>
        <s v="194979258033"/>
        <s v="194979258026"/>
        <s v="194979190890"/>
        <s v="194979190883"/>
        <s v="194979190876"/>
        <s v="194979145791_"/>
        <s v="194979145784_"/>
        <s v="194979145777_"/>
        <s v="194979145760_"/>
        <s v="194979135686_"/>
        <s v="194979135679_"/>
        <s v="194979135662_"/>
        <s v="194979135655_"/>
        <s v="194979135631_"/>
        <s v="194979135624_"/>
        <s v="194979135617_"/>
        <s v="194979132609_"/>
        <s v="194979132593_"/>
        <s v="194979132586_"/>
        <s v="192935891829_"/>
        <s v="192935891737_"/>
        <s v="192935891713_"/>
        <s v="192935891706_"/>
        <s v="192662333920_"/>
        <s v="192662333869"/>
        <s v="18436603193679"/>
        <s v="18436603192658"/>
        <s v="18436603192641"/>
        <s v="18436603192634"/>
        <s v="18436567654964"/>
        <s v="18436049569946_"/>
        <s v="18436049561285"/>
        <s v="113575-P"/>
        <s v="113574-P"/>
        <s v="113004-P"/>
        <s v="111811-P"/>
        <s v="106600-P_"/>
        <s v="10072489757130_"/>
        <s v="10072489756133_"/>
        <s v="10072489403037"/>
        <s v="10072489402030"/>
        <s v="097512717557_"/>
        <s v="097512716482"/>
        <s v="097512705851_"/>
        <s v="097512683746_"/>
        <s v="097512681391"/>
        <s v="097512681360"/>
        <s v="097512680042_"/>
        <s v="097512680028_"/>
        <s v="097512680011_"/>
        <s v="097512680004_"/>
        <s v="097512679992_"/>
        <s v="097512679985"/>
        <s v="097512675338_"/>
        <s v="097512675321_"/>
        <s v="097512675314_"/>
        <s v="097512647922_"/>
        <s v="097512637916_"/>
        <s v="097512637909_"/>
        <s v="097512637886_"/>
        <s v="097512637879_"/>
        <s v="097512637862_"/>
        <s v="097512612395"/>
        <s v="097512610797"/>
        <s v="097512553506"/>
        <s v="097512545624"/>
        <s v="097512545471"/>
        <s v="097512521611_"/>
        <s v="097512511094_"/>
        <s v="097512511087_"/>
        <s v="097512480840_"/>
        <s v="097512480826_"/>
        <s v="097512478755_"/>
        <s v="097512478489_"/>
        <s v="097512463867_"/>
        <s v="0887768147075_"/>
        <s v="045566923073_"/>
        <s v="045566923011_"/>
        <s v="045566923004"/>
        <s v="045566304254"/>
        <s v="045566303684"/>
        <s v="045566303370"/>
        <s v="045566302212"/>
        <s v="045566301826"/>
        <s v="0198772015732"/>
      </sharedItems>
    </cacheField>
    <cacheField name="Désignation" numFmtId="0">
      <sharedItems count="2245">
        <s v="MOBILIE MAGASIN HMY"/>
        <s v="DESCOMPTE"/>
        <s v="STAR VIE BASALTO OSIRIS"/>
        <s v="STAR VIE PRODIGY 24K "/>
        <s v="NECESER BULLPADEL D.CASE CORAL "/>
        <s v="BOLSA BULLPADEL NEGRO MUJER  "/>
        <s v="BOLSA BULLPADEL PERFORMANCE CORAL  "/>
        <s v="BOLSA BULLPADEL BPP-23014 PERFORMANCE KAKI  "/>
        <s v="BOLSA BULLPADEL BPP-23014 PERFORMANCE NEGRO AZUL  "/>
        <s v="BULPPADEL ELITE W MUJER 2023 "/>
        <s v="BULLPADEL FLOW W MUJER 2023 "/>
        <s v="BULLPADEL VERTEX 03 W MUJER 2023 "/>
        <s v="BULLPADEL VERTEX 03 COMFORT 2023 "/>
        <s v="BULLPADEL VERTEX 03 CTR 2023 "/>
        <s v="BULLPADEL VERTEX 03 2023 "/>
        <s v="BULLPADEL HACK 03 2023 "/>
        <s v="MOCHILA BULLPADEL FUN S GRIS  "/>
        <s v="PALETERO BULLPADEL XSERIES BPP22004 NARANJA  "/>
        <s v="NECESER BULLPADEL BPP-22018 HACK NEGRO  "/>
        <s v="MOCHILA BULLPADEL BPM-22001 HACK  "/>
        <s v="BOLSA BULLPADEL BPP 22006 FLOW NEGRO  "/>
        <s v="BOLSA BULLPADEL BPP-22001 VERTEX  "/>
        <s v="BOLSA BULLPADEL BPP 22012 HACK NEGRO  "/>
        <s v="BULLPADEL VERTEX JUNIOR GIRL "/>
        <s v="BULLPADEL VERTEX JUNIOR BOY "/>
        <s v="BULLPADEL INDIGA W MUJER "/>
        <s v="BULLPADEL INDIGA POWER 2022 "/>
        <s v="BULLPADEL INDIGA CONTROL "/>
        <s v="BULLPADEL BP10 EVO 2022 "/>
        <s v="BULLPADEL AXYM DB 2022 "/>
        <s v="BULLPADEL IONIC CONTROL "/>
        <s v="BULLPADEL IONIC POWER "/>
        <s v="PALETERO STAR VIE TITANIA PRO  "/>
        <s v="PALETERO STAR VIE BASALTO PRO  "/>
        <s v="STARVIE METHEORA DUAL 2023"/>
        <s v="PALETERO STARVIE TITANIA LINE PTITANIALINE "/>
        <s v="PALETERO STARVIE AQUILA LINE PAQUILINE "/>
        <s v="PALETERO STARVIE BASALTO TOUR BAG PBASTB "/>
        <s v="PALETERO STARVIE TRITON 2.0 BAG PTRITON2-0 "/>
        <s v="STARVIE DRONOS GALAXY SPEED 2.0 2023"/>
        <s v="STARVIE ARCADIA 2.0 2023"/>
        <s v="STARVIE VESTA 2.0 2023"/>
        <s v="STARVIE TITANIA KEPLER PRO 2.0 2023"/>
        <s v="STARVIE AQUILA SPACE PRO 2.0 2023"/>
        <s v="STARVIE BASALTO OSIRIS PRO 2.0 2023"/>
        <s v="STARVIE TRITÓN PRO 2.0 2023 "/>
        <s v="NOX SILHOUTTE CASUAL SERIES 23 "/>
        <s v="NOX MP10 GEM ATOMIKAS 23"/>
        <s v="NOX MJ10 GEM ATOMIKAS 23 "/>
        <s v="NOX ML10 SHOTGUN LUXURY SERIES 23"/>
        <s v="NOX AT10 GENIUS 12K BY AGUSTIN TAPIA 23 "/>
        <s v="NOX AT10 GENIUS 18K BY AGUSTÍN TAPIA 23 "/>
        <s v="NOX MM2 PRO "/>
        <s v="BLACK CROWN HURRICANE 2022 "/>
        <s v="PALETERO BLACK CROWN HURRICANE GRIS VERDE FLUOR  "/>
        <s v="BLACK CROWN PITON ATTACK PLUS "/>
        <s v="BLACK CROWN PITON AIR 20 "/>
        <s v="BLACK CROWN PITON 7.0 "/>
        <s v="BLACK CROWN PITON 4.0 "/>
        <s v="NOX ML10 SHOTGUN LUXURY SERIES 2022 "/>
        <s v="NOX AT10 GENIUS BY AGUSTÍN TAPIA 2022 "/>
        <s v="NOX ULTIMATE POWER 3 ORO "/>
        <s v="PALETERO NOX PADEL TOUR NEGRO BPTOURNEGRO  "/>
        <s v="BLACK CROWN HURRICANE PRO 2.0 2023"/>
        <s v="BLACK CROWN SPECIAL 16K 2023"/>
        <s v="BOTE 120 UD OVERGRIPS NOX PRO COLORES"/>
        <s v="SIUX SG COPPER EDITION 18K (España) "/>
        <s v="SIUX SG DIABLO REVOLUTION II SANYO PRO (Marruecos) "/>
        <s v="POLO PADEL NUESTRO HOMBRE CUELLO(61052010) (Portugal) L"/>
        <s v="POLO PADEL NUESTRO CUELLO MUJER(61052010) (Portugal) M"/>
        <s v="SIUX ELECTRA ST1 M (Marruecos) "/>
        <s v="GORRA TECNICA PADEL NUESTRO LOGO NUEVO"/>
        <s v="SIUX ELECTRA ST2 "/>
        <s v="SIUX DIABLO REVOLUTION II AIR (Marruecos) "/>
        <s v="MOCHILA SIUX FUSION AZUL  "/>
        <s v="MOCHILA SIUX FUSION NEGRO ROJO  "/>
        <s v="SIUX PEGASUS 3K 2022 "/>
        <s v="SIUX PEGASUS 3K AMARILLO 2022 (Marruecos) "/>
        <s v="SIUX CURVE AVANT AMARILLO "/>
        <s v="SIUX TSUNAMI ALL BLACK 3K ROJO"/>
        <s v="SIUX SX6 WOMAN 2022"/>
        <s v="SIUX TSUNAMI JUNIOR "/>
        <s v="PALETERO SIUX COMBI TOUR PÚRPURA  "/>
        <s v="PALETERO SIUX COMBI TOUR AZUL  "/>
        <s v="PALETERO SIUX COMBI TOUR AMARILLO  "/>
        <s v="SIUX DIABLO ALL BLACK 2020 AMG01  (España) "/>
        <s v="MOCHILA SIUX TRAIL 2.0 GOLD  "/>
        <s v="TAMBOR OVERGRIPS SIUX PRO X60 BLANCO PERFORADO"/>
        <s v="BOLSO DROP SHOT LIMA 22 COBRE MUJER  "/>
        <s v="DROP SHOT CONQUEROR 10 "/>
        <s v="DROP SHOT CONQUEROR 10 SOFT "/>
        <s v="DROP SHOT DELTA 2.0 "/>
        <s v="PALETERO BULLPADEL XSERIES NEGRO AZUL  "/>
        <s v="MOCHILA BULLPADEL X-COMPACT AMARILLO  "/>
        <s v="PALETERO VARLION BEGINS RED 220301602  "/>
        <s v="PALETERO VARLION SUMMUM PRO MARRON  "/>
        <s v="PROTECTOR VARLION HEXAGON NEGRO (Switzerland) "/>
        <s v="VARLION BOURNE CARBON 3 PRISMA 2023  (España) "/>
        <s v="VARLION MAXIMA PRISMA SOFT 2023  (España) "/>
        <s v="VARLION LW SUMMUM PRISMA AIRFLOW W 2023  (España) "/>
        <s v="VARLION BOURNE PRISMA AIRFLOW W LIMA 2023  (España) "/>
        <s v="VARLION LW HEXAGON 8.8  (España) "/>
        <s v="VARLION CARRERA C BLACK LTD  (España) "/>
        <s v="HEAD DELTA MOTION 2022 "/>
        <s v="HEAD SPEED PRO X 2023 "/>
        <s v="HEAD SPEED MOTION 2023 "/>
        <s v="HEAD SPEED PRO 2023 "/>
        <s v="HEAD EVO SPEED 2023 "/>
        <s v="HEAD ZEPHYR UL 2023 "/>
        <s v="MOCHILA HEAD TOUR 25 L ROSA  "/>
        <s v="PALETERO HEAD TOUR TEAM MONSTERCOMBI NEGRO NARANJA  "/>
        <s v="HEAD EVO DELTA 2022 "/>
        <s v="HEAD EDGE LTD NARANJA "/>
        <s v="PALETERO HEAD ELITE PADEL SUPERCOMBI 283702 BKWH  "/>
        <s v="HEAD ULTIMATE POWER II"/>
        <s v="HEAD FLASH W 2022 228272 "/>
        <s v="GORRA HEAD NEGRA PROMOTION CAP     "/>
        <s v="OVERGRIP ADIDAS 3 UNIDADES ROSA     "/>
        <s v="OVERGRIP ADIDAS 3 UNIDADES BLANCO     "/>
        <s v="CUBO DE 25 OVERGRIP ADIDAS     "/>
        <s v="PROTECTOR ADIDAS ANTISHOCK TRANSPARENTE     "/>
        <s v="CAJON BOTE BOLAS ADIDAS SPEEDRX BL1XA3U14    "/>
        <s v="ADIDAS DEFIANT SPEED W CLAY CORE GX7135 MUJER   T 39 1/3"/>
        <s v="ADIDAS DEFIANT SPEED W CLAY CORE GX7135 MUJER  T 38 2/3"/>
        <s v="ADIDAS DEFIANT SPEED W CLAY CORE GX7135 MUJER  T 40"/>
        <s v="ADIDAS DEFIANT SPEED W CLAY CORE GX7135 MUJER   T 38"/>
        <s v="CAMISETA DE TIRANTES ADIDAS CLUB HN6199   L"/>
        <s v="CAMISETA DE TIRANTES ADIDAS CLUB HN6199   M"/>
        <s v="CAMISETA DE TIRANTES ADIDAS CLUB HN6199   S"/>
        <s v="PANTALON CORTO ADIDAS CLUB GL5400    XL"/>
        <s v="PANTALON CORTO ADIDAS CLUB GL5400    L"/>
        <s v="PANTALON CORTO ADIDAS CLUB GL5400    M"/>
        <s v="NIKE AIR COURT VAPOR PRO CZ0220 401 43"/>
        <s v="ADIDAS ADIZERO UBERSONIC 4 M CLAY CO GY4004  T 44 2/3"/>
        <s v="ADIDAS ADIZERO UBERSONIC 4 M CLAY CO GY4004  T 43 1/3"/>
        <s v="ADIDAS ADIZERO UBERSONIC 4 M CLAY CO GY4004  T 42 2/3"/>
        <s v="FALDA NOX TEAM T22MFATBL MUJER    L"/>
        <s v="FALDA NOX TEAM T22MFATBL MUJER    M"/>
        <s v="FALDA NOX TEAM T22MFATBL MUJER    S"/>
        <s v="CAMISETA TIRANTES NOX TEAM FIT T22MCATTFBL MUJER    L"/>
        <s v="CAMISETA TIRANTES NOX TEAM FIT T22MCATTFBL MUJER    M"/>
        <s v="CAMISETA TIRANTES NOX TEAM FIT T22MCATTFBL MUJER    S"/>
        <s v="SHORT NOX TEAM T22HSHTDB M"/>
        <s v="SHORT NOX TEAM T22HSHTDB L"/>
        <s v="CAMISETA NOX TEAM REGULAR T22HCATRDB    XL"/>
        <s v="CAMISETA NOX TEAM REGULAR T22HCATRDB  M"/>
        <s v="CAMISETA NOX TEAM REGULAR T22HCATRDB  L"/>
        <s v="CAMISETA NOX TEAM REGULAR T22HCATRGR    XL"/>
        <s v="CAMISETA NOX TEAM REGULAR T22HCATRGR    L"/>
        <s v="CAMISETA NOX TEAM REGULAR T22HCATRGR    M"/>
        <s v="POLO NOX TEAM T22HPOTRBL    XL"/>
        <s v="POLO NOX TEAM T22HPOTRBL    L"/>
        <s v="POLO NOX TEAM T22HPOTRBL    M"/>
        <s v="SHORT NOX PRO PIRATE T22HSHPROPIB    XL"/>
        <s v="SHORT NOX PRO PIRATE T22HSHPROPIB    L"/>
        <s v="CAMISETA BASIC NOX T21HCABAZMBL    L"/>
        <s v="BULLPADEL HACK HYBRID PN 22 BLANCO AZ15012000   T 45"/>
        <s v="BULLPADEL HACK HYBRID PN 22 BLANCO AZ15012000   T 44"/>
        <s v="BULLPADEL HACK HYBRID PN 22 BLANCO AZ15012000   T 43"/>
        <s v="BULLPADEL HACK HYBRID PN 22 BLANCO AZ15012000  T 42"/>
        <s v="BULLPADEL HACK HYBRID PN 22 BLANCO AZ15012000   T 41"/>
        <s v="BERMUDA JOMA ECO CHAMPIONSHIP NAVY WHT 102841.332    XL"/>
        <s v="BERMUDA JOMA ECO CHAMPIONSHIP NAVY WHT 102841.332    L"/>
        <s v="BERMUDA JOMA ECO CHAMPIONSHIP NAVY WHT 102841.332    M"/>
        <s v="CAMISETA JOMA M/C ECO CHAMP AZUL NAVY 102748.773   L"/>
        <s v="CAMISETA JOMA M/C ECO CHAMP AZUL NAVY 102748.773    M"/>
        <s v="CAMISETA JOMA ESSENTIAL 2 WHT-NAVY 101508.203   L"/>
        <s v="CAMISETA JOMA ESSENTIAL 2 WHT-NAVY 101508.203    M"/>
        <s v="CAMISETA JOMA WINNER ANTRACITA-NEGRO 100946.151    L"/>
        <s v="CAMISETA JOMA WINNER ANTRACITA-NEGRO 100946.151   M"/>
        <s v="CONJUNTO JHAYBER JEANS SPORTNET DA23046-35    XL"/>
        <s v="CONJUNTO JHAYBER JEANS SPORTNET DA23046-35    L"/>
        <s v="CONJUNTO JHAYBER JEANS SPORTNET DA23046-35    M"/>
        <s v="CONJUNTO JHAYBER MOSAIC BLACK DA23045-200    XL"/>
        <s v="CONJUNTO JHAYBER MOSAIC BLACK DA23045-200    L"/>
        <s v="CONJUNTO JHAYBER MOSAIC BLACK DA23045-200    M"/>
        <s v="MUNEQUERA VARLION CLASSIC  CELESTE ACCTEA220303400 W     "/>
        <s v="MUNEQUERA VARLION CLASSIC PINK ACCTEA220301700 W "/>
        <s v="MUNEQUERA VARLION CLASSIC NAVY/WH CCTEA220203600 "/>
        <s v="MUNEQUERA VARLION CLASSIC GREEN ACCTEA220202900 "/>
        <s v="BULLPADEL NEXT HYB PR W 22I AZ AZ64073000  T 39.5"/>
        <s v="BULLPADEL NEXT HYB PR W 22I AZ AZ64073000  T 38.5"/>
        <s v="BULLPADEL NEXT HYB PR W 22I AZ AZ64073000  T 37.5"/>
        <s v="BULLPADEL FLOW HYB FLY 22I BL-K AZ63012015 MUJER  T 40"/>
        <s v="BULLPADEL FLOW HYB FLY 22I BL-K AZ63012015 MUJER  T 39"/>
        <s v="BULLPADEL FLOW HYB FLY 22I BL-K AZ63012015 MUJER   T 38"/>
        <s v="MUNEQUERA BULLPADEL BPMU225 FW 420 005MUJER     "/>
        <s v="GORRA BULLPADEL BPV2233 FW 057 MUJER     "/>
        <s v="GORRA BULLPADEL BPV2233 FW 005 MUJER     "/>
        <s v="GORRA BULLPADEL BPG2210 FW 721     "/>
        <s v="GORRA BULLPADEL BPG2211 FW 012     "/>
        <s v="GORRA BULLPADEL BPG2211 FW 005     "/>
        <s v="CAMISETA BULLPADEL COJIN 721 AG20721000    XL"/>
        <s v="CAMISETA BULLPADEL COJIN 721 AG20721000    L"/>
        <s v="CAMISETA BULLPADEL COJIN 721 AG20721000    M"/>
        <s v="CAMISETA BULLPADEL COATI 712 AG27712000  M"/>
        <s v="CAMISETA BULLPADEL MIXTA 084 AI22084000  M"/>
        <s v="SHORT BULLPADEL CODAL M 004 AG15004000  M"/>
        <s v="SHORT BULLPADEL COCHI AG26184000    XL"/>
        <s v="SHORT BULLPADEL COCHI AG26184000    L"/>
        <s v="SHORT BULLPADEL COCHI AG26184000    M"/>
        <s v="SHORT BULLPADEL COFRE 004 AG10004000    XL"/>
        <s v="SHORT BULLPADEL COFRE 004 AG10004000    L"/>
        <s v="SHORT BULLPADEL COFRE 004 AG10004000    M"/>
        <s v="SHORT BULLPADEL MOLER 005 AI24005000  M"/>
        <s v="JOMA T.SLAM MEN 2203 MARINO TSLAMW2203PN  T 45"/>
        <s v="JOMA T.SLAM MEN 2203 MARINO TSLAMW2203PN   T 44"/>
        <s v="JOMA T.SLAM MEN 2203 MARINO TSLAMW2203PN  T 43"/>
        <s v="JOMA T.SLAM MEN 2203 MARINO TSLAMW2203PN  T 42"/>
        <s v="JOMA T.SLAM 2202 BLANCO FUCSIA TSLALW2202P MUJER   T 39"/>
        <s v="JOMA T.SLAM 2202 BLANCO FUCSIA TSLALW2202P MUJER  T 38"/>
        <s v="JOMA T.SLAM 2202 BLANCO FUCSIA TSLALW2202P MUJER   T 37"/>
        <s v="JOMA T.OPEN 2232 BLANCO ROJO AZUL TOPENW2232PN  T 45"/>
        <s v="JOMA T.OPEN 2232 BLANCO ROJO AZUL TOPENW2232PN   T 44"/>
        <s v="JOMA T.OPEN 2232 BLANCO ROJO AZUL TOPENW2232PN   T 43"/>
        <s v="JOMA T.OPEN 2232 BLANCO ROJO AZUL TOPENW2232PN  T 42"/>
        <s v="JOMA T.OPEN 2232 BLANCO ROJO AZUL TOPENW2232PN  T 41"/>
        <s v="JOMA T.OPEN 22 CLAY NEGRO CORAL TOPENW2201PN  T 44"/>
        <s v="JOMA T.OPEN 22 CLAY NEGRO CORAL TOPENW2201PN  T 43"/>
        <s v="JOMA T.OPEN 22 CLAY NEGRO CORAL TOPENW2201PN  T 42"/>
        <s v="CAMISETA SIUX SANYO NEGRO (Portugal)  XL"/>
        <s v="CAMISETA SIUX SANYO NEGRO (Portugal)  L"/>
        <s v="CAMISETA SIUX SANYO NEGRO (Portugal)  M"/>
        <s v="CAMISETA ADIDAS CLUB HN6194 MUJER    L"/>
        <s v="CAMISETA ADIDAS CLUB HN6194 MUJER    M"/>
        <s v="CAMISETA ADIDAS CLUB HN6194 MUJER    S"/>
        <s v="DROP SHOT CANYON PRO DP264024 "/>
        <s v="CAMISETA ADIDAS ENT22 HC0450    XL"/>
        <s v="CAMISETA ADIDAS ENT22 HC0450    L"/>
        <s v="CAMISETA ADIDAS ENT22 HC0450    M"/>
        <s v="CAMISETA ADIDAS ENT22 HC0449    XL"/>
        <s v="CAMISETA ADIDAS ENT22 HC0449    L"/>
        <s v="CAMISETA ADIDAS ENT22 HC0449    M"/>
        <s v="PANTALON CORTO ADIDAS ENT22 TR HB0575 L"/>
        <s v="PANTALON CORTO ADIDAS ENT22 TR H57488    XL"/>
        <s v="PANTALON CORTO ADIDAS ENT22 TR H57488    L"/>
        <s v="PANTALON CORTO ADIDAS ENT22 TR H57488    M"/>
        <s v="FALDA ADIDAS PLEAT HN6189 MUJER    L"/>
        <s v="FALDA ADIDAS PLEAT HN6189 MUJER    M"/>
        <s v="FALDA ADIDAS PLEAT HN6189 MUJER    S"/>
        <s v="GORRA ASICS PF 3043A073 400     L"/>
        <s v="GORRA ASICS PF 3043A073 400     M"/>
        <s v="GORRA ASICS PF 3043A073 001     L"/>
        <s v="GORRA ASICS PF 3043A073 001     M"/>
        <s v="ASICS SOLUTION SPEED FF 2 CLAY1041A187 300  T 44.5"/>
        <s v="ASICS SOLUTION SPEED FF 2 CLAY1041A187 300  T 43.5"/>
        <s v="ASICS SOLUTION SPEED FF 2 CLAY1041A187 300   T 42.5"/>
        <s v="ASICS SOLUTION SPEED FF 2 CLAY1041A187 300  T 41.5"/>
        <s v="CAMISETA ASICS COURT 2042A157 100 MUJER    L"/>
        <s v="CAMISETA ASICS COURT 2042A157 100 MUJER    M"/>
        <s v="CAMISETA ASICS COURT 2042A157 100 MUJER    S"/>
        <s v="CAMISETA ASICS COURT M 2041A138 400    L"/>
        <s v="CAMISETA ASICS COURT M 2041A138 400    M"/>
        <s v="CAMISETA ASICS COURT M 2041A138 400    XL"/>
        <s v="CAMISETA ASICS CORE TANK 2012C334 401 MUJER    M"/>
        <s v="CAMISETA ASICS CORE TANK 2012C334 401 MUJER    S"/>
        <s v="CAMISETA ASICS CORE TANK 2012C331 701 MUJER    M"/>
        <s v="CAMISETA ASICS CORE TANK 2012C331 701 MUJER    S"/>
        <s v="CAMISETA ASICS CORE 2011C341 020    XL"/>
        <s v="CAMISETA ASICS CORE 2011C341 020    L"/>
        <s v="CAMISETA ASICS CORE 2011C341 020    M"/>
        <s v="CAMISETA ASICS CORE TOP 2011C334 402    L"/>
        <s v="CAMISETA ASICS CORE TOP 2011C334 402    M"/>
        <s v="CAMISETA ASICS CORE TOP 2011C334 402    S"/>
        <s v="GORRA DROP SHOT CAMDEN MN DC264007     "/>
        <s v="GORRA DROP SHOT DAKOTA G DC264004     "/>
        <s v="PALETERO ADIDAS CARBON CONTROL BG6PB5 U45 OFP     "/>
        <s v="ASICS GEL-RESOLUTION 8 CLAY 1041A346 960  T 44.5"/>
        <s v="ASICS GEL-RESOLUTION 8 CLAY 1041A346 960  T 43.5"/>
        <s v="ASICS GEL-RESOLUTION 8 CLAY 1041A346 960  T 42.5"/>
        <s v="ASICS GEL-RESOLUTION 8 CLAY 1041A346 960  T 42"/>
        <s v="ASICS GEL-CHALLENGER 13 PADEL 1042A205 400 MUJER   T 40"/>
        <s v="ASICS GEL-CHALLENGER 13 PADEL 1042A205 400 MUJER   T 39"/>
        <s v="ASICS GEL-CHALLENGER 13 PADEL 1042A205 400 MUJER   T 38"/>
        <s v="ASICS GEL-CHALLENGER 13 PADEL 1041A315 401  T 44.5"/>
        <s v="ASICS GEL-CHALLENGER 13 PADEL 1041A315 401   T 43.5"/>
        <s v="ASICS GEL-CHALLENGER 13 PADEL 1041A315 401  T 42.5"/>
        <s v="ASICS GEL-CHALLENGER 13 PADEL 1041A315 401  T 41.5"/>
        <s v="ASICS SOLUTION SWIFT FF CLAY 1042A198 104 MUJER  T 40.5"/>
        <s v="ASICS SOLUTION SWIFT FF CLAY 1042A198 104 MUJER   T 40"/>
        <s v="ASICS SOLUTION SWIFT FF CLAY 1042A198 104 MUJER   T 39"/>
        <s v="ASICS SOLUTION SWIFT FF CLAY 1042A198 104 MUJER   T 38"/>
        <s v="ASICS GEL-CHALLENGER 13 CLAY 1042A165 103 MUJER   T 40.5"/>
        <s v="ASICS GEL-CHALLENGER 13 CLAY 1042A165 103 MUJER  T 40"/>
        <s v="ASICS GEL-CHALLENGER 13 CLAY 1042A165 103 MUJER   T 39"/>
        <s v="ASICS GEL-CHALLENGER 13 CLAY 1042A165 103 MUJER  T 38"/>
        <s v="ASICS GEL-RESOLUTION 8 CLAY 1041A076 405  T 44.5"/>
        <s v="ASICS GEL-RESOLUTION 8 CLAY 1041A076 405  T 43.5"/>
        <s v="ASICS GEL-RESOLUTION 8 CLAY 1041A076 405  T 42.5"/>
        <s v="ASICS GEL-RESOLUTION 8 CLAY 1041A076 405   T 41.5"/>
        <s v="ASICS GEL-PADEL PRO 5 1042A200 100 MUJER  T 40.5"/>
        <s v="ASICS GEL-PADEL PRO 5 1042A200 100 MUJER  T 39.5"/>
        <s v="ASICS GEL-PADEL PRO 5 1042A200 100 MUJER  T 38"/>
        <s v="ASICS GEL PADEL PRO 5 AZUL BLANCO 1041A302 403   T 44.5"/>
        <s v="ASICS GEL PADEL PRO 5 AZUL BLANCO 1041A302 403   T 43.5"/>
        <s v="ASICS GEL PADEL PRO 5 AZUL BLANCO 1041A302 403  T 42.5"/>
        <s v="ASICS GEL PADEL PRO 5 AZUL BLANCO 1041A302 403  T 41.5"/>
        <s v="ASICS GEL DEDICATE 7 CLAY BLANCO AZUL 1041A224 103  T 44.5"/>
        <s v="ASICS GEL DEDICATE 7 CLAY BLANCO AZUL 1041A224 103  T 43.5"/>
        <s v="ASICS GEL DEDICATE 7 CLAY BLANCO AZUL 1041A224 103   T 42.5"/>
        <s v="ASICS GEL DEDICATE 7 CLAY BLANCO AZUL 1041A224 103  T 41.5"/>
        <s v="ASICS GEL-GAME 8 CLAY-OC 1041A193 407  42"/>
        <s v="POLO NIKE COURT DRI-FIT DH0857 480    XL"/>
        <s v="POLO NIKE COURT DRI-FIT DH0857 480    L"/>
        <s v="POLO NIKE COURT DRI-FIT DH0857 480    M"/>
        <s v="POLO NIKE COURT DRI-FIT DH0857 451 M"/>
        <s v="PALETERO HEAD CORE PADEL ULTIMATE 284221 WHGR ODP     "/>
        <s v="OVERGRIPS VARLION SUMMUM AIR X3 ACCRAA2006008  (Japan)   "/>
        <s v="OVERGRIPS VARLION H2O X3 MULTICOLOR ACCRAA2003021  (Japan)   "/>
        <s v="OVERGRIPS VARLION H2O X3 GREEN ACCRAA200301703 "/>
        <s v="VARLION LW CTI DIFUSOR BLACK RACKCC2216015 "/>
        <s v="VARLION LW CARBON 8 PRISMA PANSY MUJER RACKCC2210 "/>
        <s v="VARLION LW SUMMUM PRISMA S RACKCC2207 "/>
        <s v="CAMISETA NIKE COURT DRY-FIT DJ4167 100   L"/>
        <s v="CAMISETA NIKE COURT DRY-FIT DJ4167 100   M"/>
        <s v="FALDA HEAD CLUB BASIC 814399 AN MUJER    L"/>
        <s v="FALDA HEAD CLUB BASIC 814399 AN MUJER    M"/>
        <s v="FALDA HEAD CLUB BASIC 814399 AN MUJER    S"/>
        <s v="SHORT BULLPADEL TOCON 088 AJ65088000 MUJER    L"/>
        <s v="SHORT BULLPADEL TOCON 088 AJ65088000 MUJER    M"/>
        <s v="SHORT BULLPADEL TOCON 088 AJ65088000 MUJER    S"/>
        <s v="CAMISETA BULLPADEL TOMAR 008 AJ53008000 MUJER    L"/>
        <s v="CAMISETA BULLPADEL TOMAR 008 AJ53008000 MUJER    M"/>
        <s v="CAMISETA BULLPADEL TOMAR 008 AJ53008000 MUJER    S"/>
        <s v="PALETERO VARLION SUMMUM PINK 220202802     "/>
        <s v="PALETERO VARLION SUMMUM PRO GREEN 220102702     "/>
        <s v="PALETERO VARLION SUMMUM PRO GREY 220101402     "/>
        <s v="MUNEQUERA TECNIFIBRE 2PK 54WRISBLAC NEGRO    "/>
        <s v="CAMISETA HEAD PADEL TYPO 811442 PT    XL"/>
        <s v="CAMISETA HEAD PADEL TYPO 811442 PT    L"/>
        <s v="CAMISETA HEAD PADEL TYPO 811442 PT    M"/>
        <s v="CAMISETA SIN MANGAS HEAD SPIRIT MUJER 814542 RS    L"/>
        <s v="CAMISETA SIN MANGAS HEAD SPIRIT MUJER 814542 RS    M"/>
        <s v="CAMISETA SIN MANGAS HEAD SPIRIT MUJER 814542 RS    S"/>
        <s v="CAMISETA HEAD TIE-BREAK MUJER 814502 NGXW    L"/>
        <s v="CAMISETA HEAD TIE-BREAK MUJER 814502 NGXW    M"/>
        <s v="CAMISETA HEAD TIE-BREAK MUJER 814502 NGXW    S"/>
        <s v="CAMISETA HEAD CLUB CARL 811489 RDWH    XL"/>
        <s v="CAMISETA HEAD CLUB CARL 811489 RDWH    L"/>
        <s v="CAMISETA HEAD CLUB CARL 811489 RDWH    M"/>
        <s v="CAMISETA HEAD PLAY TECH 811502 XMDB    XL"/>
        <s v="CAMISETA HEAD PLAY TECH 811502 XMDB    L"/>
        <s v="CAMISETA HEAD PLAY TECH 811502 XMDB    M"/>
        <s v="RS CLASSIC PADEL PERFORATED OVERGRIP 3-PACK 83014 "/>
        <s v="VARLION LW DIFUSOR W 2021 RACPAC2010015 "/>
        <s v="CAJON DE BOLAS VARLION SUMMUM PRO W EXP    "/>
        <s v="POLO ADIDAS ENT22 HB5328    M"/>
        <s v="POLO ADIDAS ENT22 H57487    XL"/>
        <s v="POLO ADIDAS ENT22 H57487    L"/>
        <s v="POLO ADIDAS ENT22 H57487    M"/>
        <s v="POLO ADIDAS M 3S PQ PS GK9138    XL"/>
        <s v="POLO ADIDAS M 3S PQ PS GK9138    L"/>
        <s v="POLO ADIDAS M 3S PQ PS GK9138    M"/>
        <s v="SHORT ASICS COURT W 2042A186 404 MUJER    L"/>
        <s v="SHORT ASICS COURT W 2042A186 404 MUJER    M"/>
        <s v="SHORT ASICS COURT W 2042A186 404 MUJER    S"/>
        <s v="ASICS PADEL LIMA FF 1042A144 710 MUJER  39.5"/>
        <s v="ASICS PADEL LIMA FF 1041A199 409  T 44.5"/>
        <s v="ASICS PADEL LIMA FF 1041A199 409  T 43.5"/>
        <s v="ASICS PADEL LIMA FF 1041A199 409   T 42"/>
        <s v="HEAD SPRINT PRO 3.5 CLAY 274052 SALI MUJER  T 40"/>
        <s v="HEAD SPRINT PRO 3.5 CLAY 274052 SALI MUJER  T 39"/>
        <s v="HEAD SPRINT PRO 3.5 CLAY 274052 SALI MUJER  T 38"/>
        <s v="HEAD SPRINT PRO 3.5 CLAY 274032 BSTE MUJER  T 39"/>
        <s v="HEAD SPRINT PRO 3.5 CLAY 274032 BSTE MUJER  T 38"/>
        <s v="HEAD SPRINT PRO 3.5 SANYO 273622 WH  43"/>
        <s v="HEAD SPRINT PRO 3.5 SANYO 273612 BSOR  T 45"/>
        <s v="HEAD SPRINT PRO 3.5 SANYO 273612 BSOR  T 44"/>
        <s v="HEAD SPRINT PRO 3.5 SANYO 273612 BSOR  T 43"/>
        <s v="HEAD SPRINT PRO 3.5 SANYO 273612 BSOR  T 42"/>
        <s v="HEAD SPRINT PRO 3.5 SANYO 273612 BSOR  T 41"/>
        <s v="HEAD SPRINT PRO 3.5 CLAY 273092 WH  T 45"/>
        <s v="HEAD SPRINT PRO 3.5 CLAY 273092 WH  T 44"/>
        <s v="HEAD SPRINT PRO 3.5 CLAY 273092 WH  T 43"/>
        <s v="HEAD SPRINT PRO 3.5 CLAY 273092 WH  T 42"/>
        <s v="HEAD SPRINT PRO 3.5 CLAY 273072 GRYE  T 45"/>
        <s v="HEAD SPRINT PRO 3.5 CLAY 273072 GRYE  T 44"/>
        <s v="HEAD SPRINT PRO 3.5 CLAY 273072 GRYE  T 43"/>
        <s v="HEAD SPRINT PRO 3.5 CLAY 273072 GRYE  T 42"/>
        <s v="STAR VIE ASTRUM ERIS ASTRUM22 "/>
        <s v="PAR MUNEQUERA STAR VIE ROJA STAR WHITE MR21     "/>
        <s v="MUNEQUERA STAR VIE NEGRA STAR RED MN21X1     "/>
        <s v="PAR MUNEQUERA STAR VIE NEGRA STAR DORADA MN21 "/>
        <s v="PAR MUNEQUERA STAR VIE MORADA STAR YELLOW MM21     "/>
        <s v="PROTECTOR STAR VIE PVC STAR VIE MORADO PT21M  (España)   "/>
        <s v="PROTECTOR STAR VIE PVC STAR VIE DORADO PT21D  (España)   "/>
        <s v="HEAD DELTA PRO 228102 "/>
        <s v="BLACK CROWN SPECIAL POWER "/>
        <s v="CAJON 24 BOTES BULLPADEL FIP NEXT PRO AF43000000     "/>
        <s v="CAMISETA BULLPADEL EULARI 973 W232973000 MUJER    L"/>
        <s v="CAMISETA BULLPADEL EULARI 973 W232973000 MUJER    M"/>
        <s v="FALDA BULLPADEL BULDER 005 W437005000 MUJER    L"/>
        <s v="FALDA BULLPADEL BULDER 005 W437005000 MUJER    M"/>
        <s v="FALDA BULLPADEL BULDER 005 W437005000 MUJER    S"/>
        <s v="CAMISETA BULLPADEL BUBLEX 005 W176005000 MUJER    L"/>
        <s v="CAMISETA BULLPADEL BUBLEX 005 W176005000 MUJER    M"/>
        <s v="CAMISETA BULLPADEL BUBLEX 005 W176005000 MUJER    S"/>
        <s v="SUDADERA BULLPADEL EDORTA 497 W205497000 MUJER    L"/>
        <s v="SUDADERA BULLPADEL EDORTA 497 W205497000 MUJER    M"/>
        <s v="SUDADERA BULLPADEL EDORTA 497 W205497000 MUJER    S"/>
        <s v="SUDADERA BULLPADEL BERAUN 005 W166005000 MUJER    L"/>
        <s v="SUDADERA BULLPADEL BERAUN 005 W166005000 MUJER    M"/>
        <s v="SUDADERA BULLPADEL BERAUN 005 W166005000 MUJER    S"/>
        <s v="FALDA BULLPADEL ETORNE 497 W230497000 MUJER    L"/>
        <s v="FALDA BULLPADEL ETORNE 497 W230497000 MUJER    M"/>
        <s v="FALDA BULLPADEL ETORNE 497 W230497000 MUJER    S"/>
        <s v="CAMISETA BULLPADEL ERIETE 423 W223423000 MUJER    L"/>
        <s v="CAMISETA BULLPADEL ERIETE 423 W223423000 MUJER    M"/>
        <s v="CAMISETA BULLPADEL ERIETE 423 W223423000 MUJER    S"/>
        <s v="CAMISETA BULLPADEL TAYIL 016 W355016000    XL"/>
        <s v="CAMISETA BULLPADEL TAYIL 016 W355016000    L"/>
        <s v="CAMISETA BULLPADEL TAYIL 016 W355016000    M"/>
        <s v="SUDADERA BULLPADEL TESANA 005 W361005000    XL"/>
        <s v="SUDADERA BULLPADEL TESANA 005 W361005000    L"/>
        <s v="SUDADERA BULLPADEL TESANA 005 W361005000    M"/>
        <s v="SUDADERA BULLPADEL KARAKAL 423 V934423000    XL"/>
        <s v="SUDADERA BULLPADEL KARAKAL 423 V934423000    L"/>
        <s v="SUDADERA BULLPADEL KARAKAL 423 V934423000    M"/>
        <s v="CAMISETA BULLPADELARKEL 060W288060000    XL"/>
        <s v="CAMISETA BULLPADELARKEL 060W288060000    L"/>
        <s v="CAMISETA BULLPADELARKEL 060W288060000    M"/>
        <s v="CAMISETA BULLPADELEDER 005W292005000    XL"/>
        <s v="CAMISETA BULLPADELEDER 005W292005000    L"/>
        <s v="CAMISETA BULLPADELEDER 005W292005000    S"/>
        <s v="POLO BULLPADEL MADON 138 W285138000    XL"/>
        <s v="POLO BULLPADEL MADON 138 W285138000    L"/>
        <s v="POLO BULLPADEL MADON 138 W285138000    M"/>
        <s v="CAMISETA BULLPADEL CHER 497 W799497000    XL"/>
        <s v="CAMISETA BULLPADEL CHER 497 W799497000    L"/>
        <s v="CAMISETA BULLPADEL CHER 497 W799497000    M"/>
        <s v="CAMISETA BULLPADEL CHER 012 W799012000    XL"/>
        <s v="CAMISETA BULLPADEL CHER 012 W799012000    S"/>
        <s v="SHORT BULLPADEL CONSOLA 497 N861497000    XL"/>
        <s v="SHORT BULLPADEL CONSOLA 497 N861497000    L"/>
        <s v="SHORT BULLPADEL CONSOLA 497 N861497000    M"/>
        <s v="SHORT BULLPADEL WPT REMUNE 004 Q588004000    L"/>
        <s v="SHORT BULLPADEL WPT RIOPALE 026 N462026000    XL"/>
        <s v="SHORT BULLPADEL WPT RIOPALE 026 N462026000    L"/>
        <s v="POLO BULLPADEL WPT RODEO 004 1663004000    XL"/>
        <s v="POLO BULLPADEL WPT RODEO 004 1663004000    L"/>
        <s v="POLO BULLPADEL WPT RODEO 004 1663004000    M"/>
        <s v="CAMISETA BULLPADEL WPT RIDE 151 Q375151000    XL"/>
        <s v="CAMISETA BULLPADEL WPT RIDE 151 Q375151000    L"/>
        <s v="CAMISETA BULLPADEL WPT RIDE 151 Q375151000    M"/>
        <s v="NECESER BULLPADEL BPP-22008 D.CASE 750 AU80750000     "/>
        <s v="BOLSA BULLPADEL BPP-22014 PERFORMANCE 21 "/>
        <s v="BOLSA BULLPADEL BPP-22014 PERFORMANCE 05 "/>
        <s v="BULLPADEL FLOW HYB FLY 22V SALM AU95973000   T 40"/>
        <s v="BULLPADEL FLOW HYB FLY 22V SALM AU95973000  T 39"/>
        <s v="BULLPADEL FLOW HYB FLY 22V SALM AU95973000  T 38"/>
        <s v="BULLPADEL FLOW HYB FLY 22V SALM AU95973000   T 37"/>
        <s v="BULLPADEL BEKER 22V GRIS OSCURO AU94006000  T 45"/>
        <s v="BULLPADEL BEKER 22V GRIS OSCURO AU94006000  T 44"/>
        <s v="BULLPADEL BEKER 22V GRIS OSCURO AU94006000  T 43"/>
        <s v="BULLPADEL BEKER 22V GRIS OSCURO AU94006000  T 42"/>
        <s v="BULLPADEL VERTEX GRIP 22V MNO AU91004000  T 44.5"/>
        <s v="BULLPADEL VERTEX GRIP 22V MNO AU91004000   T 43.5"/>
        <s v="BULLPADEL VERTEX GRIP 22V MNO AU91004000  T 42.5"/>
        <s v="BULLPADEL VERTEX GRIP 22V MNO AU91004000 42"/>
        <s v="BULLPADEL HACK HYB FLY 22V NEG AU88005000   T 44"/>
        <s v="BULLPADEL HACK HYB FLY 22V NEG AU88005000  T 43"/>
        <s v="BULLPADEL HACK HYB FLY 22V NEG AU88005000  T 42"/>
        <s v="BULLPADEL HACK HYB FLY 22V NEG AU88005000  T 41"/>
        <s v="BULLPADEL HACK HYB FLY 22V B/R AU88012001  T 45"/>
        <s v="BULLPADEL HACK HYB FLY 22V B/R AU88012001  T 44"/>
        <s v="BULLPADEL HACK HYB FLY 22V B/R AU88012001  T 43"/>
        <s v="BULLPADEL HACK HYB FLY 22V B/R AU88012001  T 42"/>
        <s v="BULLPADEL HACK HYB FLY 22V B/R AU88012001  T 41"/>
        <s v="GORRA BULLPADEL WPT BPV-WPT2214 004 AN80004000     "/>
        <s v="GORRA BULLPADEL WPT BPG-WPT2213 004 AN76004000     "/>
        <s v="CAMISETA ADIDAS CF1036 M"/>
        <s v="PALETERO ADIDAS CONTROL LIMA BG6PA0U28     "/>
        <s v="PALETERO ADIDAS CONTROL 3.0 BG3PB4U03 "/>
        <s v="PALETERO ADIDAS MULTIGAME BG1PC3U31 "/>
        <s v="ADIDAS ADIPOWER CTRL 3.1 RK1CC9U17 "/>
        <s v="PACK 3 OVERGRIP TECNIFIBRE PLAYERS PRO 52ATPPLAWH "/>
        <s v="BOLSA 12 OVERGRIP TECNIFIBRE CONTACT P. 52ATPCON12     "/>
        <s v="PACK 3 OVERGRIP TECNIFIBRE CONTACT PRO 52ATPCONBK "/>
        <s v="NECESER NOX WPT NECNEWPT     "/>
        <s v="NOX AT10 CALAT10SEANVY.  T 44"/>
        <s v="NOX AT10 CALAT10SEANVY.  T 43"/>
        <s v="NOX AT10 CALAT10SEANVY.  T 42"/>
        <s v="NOX AT10 CALAT10SEANVY.  T 41"/>
        <s v="NOX ML10 HEXA CALMLHEXNYLIM  T 44"/>
        <s v="NOX ML10 HEXA CALMLHEXNYLIM  T 43"/>
        <s v="NOX ML10 HEXA CALMLHEXNYLIM  T 42"/>
        <s v="NOX ML10 HEXA CALMLHEXNYLIM  T 41"/>
        <s v="NOX AT10 LUX CALATLUXTLIME MUJER  T 40"/>
        <s v="NOX AT10 LUX CALATLUXTLIME MUJER  T 39"/>
        <s v="NOX AT10 LUX CALATLUXTLIME MUJER   T 38"/>
        <s v="NOX AT10 LUX AZUL NAVY CALATLUXNAVY 43"/>
        <s v="NOX AT10 LUX AZUL NAVY CALATLUXNAVY 42"/>
        <s v="NOX MP10 GEMELAS ATOMIKAS BY MAPI PMP10LUX22 "/>
        <s v="NOX ML10 PRO CUP LUXURY SERIES "/>
        <s v="BULLPADEL VERTEX LIGHT 21 NEGRO AMARILLO AE17005000   T 45"/>
        <s v="BULLPADEL VERTEX LIGHT 21 NEGRO AMARILLO AE17005000   T 44"/>
        <s v="BULLPADEL VERTEX LIGHT 21 NEGRO AMARILLO AE17005000   T 43"/>
        <s v="BULLPADEL VERTEX LIGHT 21 NEGRO AMARILLO AE17005000   T 42"/>
        <s v="TAMBOR 50 GRIPS BULLPADEL GB1201 "/>
        <s v="SIUX ELECTRA ST1 "/>
        <s v="POLO BULLPADEL CRIZE BLANCO    XL"/>
        <s v="POLO BULLPADEL CRIZE 012    L"/>
        <s v="POLO BULLPADEL CRIZE BLANCO    M"/>
        <s v="PROTECTOR STAR VIE PVC LOGO NEGRO "/>
        <s v="PROTECTOR NOX ML10 10TH ANNIVERSARY NEGRO ROJO "/>
        <s v="MUÑEQUERA PEQUEÑA ADIDAS TENNIS NEGRO BLANCO     "/>
        <s v="MUÑEQUERA GRANDE ADIDAS BLANCO NEGRO     "/>
        <s v="BLISTER OVERGRIPS SIUX PRO X3 PERFORADO ROSA FLUOR     "/>
        <s v="NOX AT10 NEGRO NARANJA CALAT10NENA  T 45"/>
        <s v="NOX AT10 NEGRO NARANJA CALAT10NENA  T 44"/>
        <s v="NOX AT10 NEGRO NARANJA CALAT10NENA  T 43"/>
        <s v="NOX AT10 NEGRO NARANJA CALAT10NENA  T 41"/>
        <s v="CAMISETA ASICS SILVER SS AZUL AZUFRE MUJER    L"/>
        <s v="CAMISETA ASICS SILVER SS TOP 2012A029 402   M"/>
        <s v="CAMISETA ASICS SILVER SS AZUL AZUFRE MUJER    S"/>
        <s v="HEAD WRISTBAND 2.5 AZUL     "/>
        <s v="FALDA CLUB ADIDAS GL5468    L"/>
        <s v="FALDA CLUB ADIDAS GL5468    M"/>
        <s v="FALDA CLUB ADIDAS GL5468    S"/>
        <s v="OVERGRIP BULLPADEL GB-1201 NEGRO     "/>
        <s v="STAR VIE DRONOS GALAXY "/>
        <s v="CORTAVIENTOS NOX TEAM T20MCOAZ MUJER    L"/>
        <s v="CORTAVIENTOS NOX TEAM T20MCOAZ MUJER    M"/>
        <s v="CORTAVIENTOS NOX TEAM T20MCOAZ MUJER    S"/>
        <s v="CAJON NOX 24 BOTES DE 3 PELOTAS DE PADEL PRO TITANIUM     "/>
        <s v="CAJA 100 OVERGRIP SIUX LISO MULTICOLOR"/>
        <s v="NOX POLO MUJER META 10TH T19MPOME10    L"/>
        <s v="NOX POLO MUJER META 10TH T19MPOME10    M"/>
        <s v="NOX POLO MUJER META 10TH T19MPOME10    S"/>
        <s v="ANTIVIBRADOR SHOCKOUT NARANJA  (España)   "/>
        <s v="ANTIVIBRADOR SHOCKOUT AZUL  (España)   "/>
        <s v="ANTIVIBRADOR SHOCKOUT AMARILLO  (España)   "/>
        <s v="ANTIVIBRADOR SHOCKOUT ROJO 100-0001"/>
        <s v="HEAD CLUB SHORTS 811379 BK    L"/>
        <s v="HEAD CLUB SHORTS 811379 BK    M"/>
        <s v="HEAD CLUB SHORTS 811379 BK    S"/>
        <s v="TAMBOR 50 PROTECTORES SIUX TRANSPARENTE SX1450     "/>
        <s v="HEAD ANTISHOCK SKIN PADDLE 288503     "/>
        <s v="PALETERO NOX PADEL TOUR BLUE MARINE BPTOURAZUL     "/>
        <s v="HEAD CLUB SHORTS 811379 DB    XL"/>
        <s v="HEAD CLUB SHORTS 811379 DB    L"/>
        <s v="HEAD CLUB SHORTS 811379 DB    M"/>
        <s v="HEAD PROMOTION CAP 287299 NV     "/>
        <s v="HEAD PRO PLAYER WOMENS VISOR 287139 BK     "/>
        <s v="PALETERO HEAD CORE PADEL COMBI 283889 BKNY ODP     "/>
        <s v="BLISTER OVERGRIPS SIUX PRO X3 VARIOS COLORES PREFO "/>
        <s v="BLISTER OVERGRIPS SIUX PRO X3 AZUL PREFORADO     "/>
        <s v="BLISTER OVERGRIPS SIUX PRO X3 NEGRO PREFORADO "/>
        <s v="BLISTER OVERGRIPS SIUX PRO X3 BLANCO PERFORADO     "/>
        <s v="BOLSA OVERGRIPS SIUX PRO X12 BLANCO PERFORADO     "/>
        <s v="MUÑEQUERA DUNLOP PRO X2 NEGRO "/>
        <s v="BLACK CROWN PITON "/>
        <s v="PROTECTOR BULLPADEL CUSTOM WEIGHT 005 455593     "/>
        <s v="CAJÓN PELOTAS PADEL HEAD PADEL PRO S     "/>
        <s v="CUBO 60 OVERGRIPS WILSON PERFORADOS BLANCOS"/>
        <s v="GRIP BULLPADEL HESACORE  (Italy)   "/>
        <s v="CUBO 50 OVERGRIP BULLPADEL GB-1604     "/>
        <s v="BLISTER NOX OVERGRIPS PRO COLORES 3 UNIDADES OVPROBLCO3     "/>
        <s v="OVERGRIP BULLPADEL GB-1705 NARANJA     "/>
        <s v="OVERGRIP BULLPADEL GB-1603 BLANCO     "/>
        <s v="OVERGRIP BULLPADEL 3 UNIDADES GB-1202 CELESTE     "/>
        <s v="PROTECTOR BULLPADEL FRAME 3 UNIDADES NEGRO     "/>
        <s v="ZAPATILLAS HEAD SPRINT TEAM 3.0 273841 DBTE  T 44.5"/>
        <s v="ZAPATILLAS HEAD SPRINT TEAM 3.0 273841 DBTE  T 43"/>
        <s v="ZAPATILLAS HEAD SPRINT TEAM 3.0 273841 DBTE  T 42"/>
        <s v="ZAPATILLAS ADIDAS SOLEMATCH CONTROL M HQ8440  T 44 2/3"/>
        <s v="ZAPATILLAS ADIDAS SOLEMATCH CONTROL M HQ8440  T 43 1/3"/>
        <s v="ZAPATILLAS ADIDAS SOLEMATCH CONTROL M HQ8440  T 42 2/3"/>
        <s v="ZAPATILLAS ADIDAS SOLEMATCH CONTROL M HQ8440  T 41 1/3"/>
        <s v="ZAPATILLAS ADIDAS SOLEMATCH CONTROL W CLAY HQ8448 MUJER   T 39 1/3"/>
        <s v="ZAPATILLAS ADIDAS SOLEMATCH CONTROL W CLAY HQ8448 MUJER  T 38 2/3"/>
        <s v="ZAPATILLAS ADIDAS SOLEMATCH CONTROL W CLAY HQ8448 MUJER   T 40"/>
        <s v="ZAPATILLAS ADIDAS SOLEMATCH CONTROL W CLAY HQ8448 MUJER  T 38"/>
        <s v="ZAPATILLAS ADIDAS AVAFLASH HP5272 MUJER  T 40 2/3"/>
        <s v="ZAPATILLAS ADIDAS AVAFLASH HP5272 MUJER  T 39 1/3"/>
        <s v="ZAPATILLAS ADIDAS AVAFLASH HP5272 MUJER  T 38 2/3"/>
        <s v="ZAPATILLAS ADIDAS AVAFLASH HP5272 MUJER  T 38"/>
        <s v="ZAPATILLAS ADIDAS BARRICADE M HQ8917  T 44 2/3"/>
        <s v="ZAPATILLAS ADIDAS BARRICADE M HQ8917  T 43 1/3"/>
        <s v="ZAPATILLAS ADIDAS BARRICADE M HQ8917  T 42 2/3"/>
        <s v="ZAPATILLAS ADIDAS BARRICADE M HQ8917  T 41 1/3"/>
        <s v="ZAPATILLAS ADIDAS COURTFLASH SPEED HQ8482  T 45 1/3"/>
        <s v="ZAPATILLAS ADIDAS COURTFLASH SPEED HQ8482  T 44 2/3"/>
        <s v="ZAPATILLAS ADIDAS COURTFLASH SPEED HQ8482  T 43 1/3"/>
        <s v="ZAPATILLAS ADIDAS COURTFLASH SPEED HQ8482 T 42 2/3"/>
        <s v="ZAPATILLAS ADIDAS COURTFLASH SPEED HQ8482  T 41 1/3"/>
        <s v="ASICS SOLUTION SPEED FF 2 CLAY 1042A134-104 MUJER  T 40.5"/>
        <s v="ASICS SOLUTION SPEED FF 2 CLAY 1042A134-104 MUJER  T 39.5"/>
        <s v="ASICS SOLUTION SPEED FF 2 CLAY 1042A134-104 MUJER  T 39"/>
        <s v="ASICS SOLUTION SPEED FF 2 CLAY 1042A134-104 MUJER    T 38"/>
        <s v="ZAPATILLAS ASICS GEL-GAME 9 PADEL 1041A336 400  T 44.5"/>
        <s v="ZAPATILLAS ASICS GEL-GAME 9 PADEL 1041A336 400  T 43.5"/>
        <s v="ZAPATILLAS ASICS GEL-GAME 9 PADEL 1041A336 400  T 42.5"/>
        <s v="ZAPATILLAS ASICS GEL-GAME 9 PADEL 1041A336 400  T 45"/>
        <s v="ZAPATILLAS ASICS GEL-GAME 9 PADEL 1041A336 100  T 44.5"/>
        <s v="ZAPATILLAS ASICS GEL-GAME 9 PADEL 1041A336 100  T 43.5"/>
        <s v="ZAPATILLAS ASICS GEL-GAME 9 PADEL 1041A336 100  T 42.5"/>
        <s v="ZAPATILLAS ASICS GEL-GAME 9 PADEL 1041A336 100  T 41.5"/>
        <s v="ZAPATILLAS ASICS GEL-GAME 9 PADEL 1041A336 100  T 45"/>
        <s v="ZAPATILLAS ASICS SOLUTION SPEED FF 2 CLAY 1041A187 402  T 44.5"/>
        <s v="ZAPATILLAS ASICS SOLUTION SPEED FF 2 CLAY 1041A187 402  T 43.5"/>
        <s v="ZAPATILLAS ASICS SOLUTION SPEED FF 2 CLAY 1041A187 402  T 42.5"/>
        <s v="ZAPATILLAS ASICS SOLUTION SPEED FF 2 CLAY 1041A187 402  T 41.5"/>
        <s v="WILSON BELA PRO V2  "/>
        <s v="WILSON BELA ELITE V2 ROJO "/>
        <s v="WILSON BELA LT V2 BLANCO"/>
        <s v="WILSON ULTRA ELITE V2 PADEL  "/>
        <s v="PALETERO WILSON BELA SUPER TOUR  "/>
        <s v="PALETERO WILSON BELA SUPER TOUR NEGRO WR8901201001  "/>
        <s v="PALETERO DUNLOP TOUR INTRO LT WHT/BLK 10316697 OFP  "/>
        <s v="PALETERO DUNLOP TOUR INTRO LT BLK/PNK 10316692 OFP  "/>
        <s v="PALETERO DUNLOP TOUR INTRO LT BLK/WHT 10316696 OFP  "/>
        <s v="CAMISETA JOMA COMBI MARINO OSCURO XXL"/>
        <s v="CAMISETA JOMA COMBI MARINO OSCURO XL"/>
        <s v="CAMISETA JOMA COMBI MARINO OSCURO L"/>
        <s v="CAMISETA JOMA COMBI MARINO OSCURO M"/>
        <s v="CAMISETA JOMA COMBI MARINO OSCURO S"/>
        <s v="BERMUDA JOMA DRIVE L"/>
        <s v="BERMUDA JOMA DRIVE M"/>
        <s v="MEDIUM JOMA SOCKS 43/46"/>
        <s v="MEDIUM JOMA SOCKS 39/42"/>
        <s v="INVISIBLE JOMA SOCKS 43/46"/>
        <s v="INVISIBLE JOMA SOCKS 39/42"/>
        <s v="INVISIBLE JOMA SOCKS 35/38"/>
        <s v="JOMA ANKLE SOCKS 43/46"/>
        <s v="JOMA ANKLE SOCKS 39/42"/>
        <s v="JOMA ANKLE SOCKS 35/38"/>
        <s v="ZAPATILLAS WILSON RUSH PRO 4.5 WRS336 44"/>
        <s v="ZAPATILLAS WILSON RUSH PRO 4.5 WRS336 42"/>
        <s v="ZAPATILLAS WILSON RUSH PRO 4.5 WRS336 44 2/3"/>
        <s v="ZAPATILLAS WILSON RUSH PRO 4.5 WRS336 42 2/3"/>
        <s v="ZAPATILLAS WILSON RUSH PRO 4.5 WRS336 41 1/3"/>
        <s v="ZAPATILLAS WILSON RUSH PRO 4.5WRS336 45 1/3"/>
        <s v="ZAPATILLAS WILSON RUSH PRO 4.5 WRS336 43 1/3"/>
        <s v="ZAPATILLAS WILSON BELA TOUR WRS331580 45 1/3"/>
        <s v="ZAPATILLAS WILSON BELA TOUR WRS331580 44 2/3"/>
        <s v="ZAPATILLAS WILSON BELA TOUR WRS331580 46 2/3"/>
        <s v="ZAPATILLAS WILSON BELA TOUR WRS331580 41 1/3"/>
        <s v="ZAPATILLAS WILSON BELA TOUR WRS331580 42 2/3"/>
        <s v="ZAPATILLAS WILSON BELA TOUR WRS331580 43 1/3"/>
        <s v="WILSON CUPRA PADEL V2 "/>
        <s v="ZAPATILLAS WILSON HURAKN PRO WRS330450  45 1/3"/>
        <s v="ZAPATILLAS WILSON HURAKN PRO WRS330450  44 2/3"/>
        <s v="ZAPATILLAS WILSON HURAKN PRO WRS330450 43 1/3"/>
        <s v="ZAPATILLAS WILSON HURAKN PRO WRS330450   42 2/3"/>
        <s v="WILSON BELA PRO ROJO WRS331170 44 2/3"/>
        <s v="WILSON BELA PRO ROJO WRS331170 43 1/3"/>
        <s v="WILSON BELA PRO ROJO WRS331170 42 2/3"/>
        <s v="WILSON CUPRA PADEL 6H2050539"/>
        <s v=" PROTECTOR DE PALA PADEL NUESTRO  "/>
        <s v="CINTA PROTECCIÓN WILSON PADEL GUARD"/>
        <s v="GORRA ASICS ESNT BLANCO"/>
        <s v="GORRA ASICS ESNT NEGRO"/>
        <s v="ASICS PRFM VISOR"/>
        <s v="VISERA ASICS PRFM VISOR 3013A278-001"/>
        <s v="3 SOCK PAIRS ASICS PED 43/46"/>
        <s v="3 SOCK PAIRS ASICS PED 39/42"/>
        <s v="PACK OF 3 PAIRS ASICS QUARTER SOCKS43/46"/>
        <s v="PACK OF 3 PAIRS ASICS QUARTER SOCKS39/42"/>
        <s v="ASICS 6PPK Crew Shocks 39/42"/>
        <s v="ZAPATILLAS JOMA T.SPIN LADY 2305 TSPILS2305P MUJER 40"/>
        <s v="ZAPATILLAS JOMA T.SPIN LADY 2305 TSPILS2305P MUJER 39"/>
        <s v="ZAPATILLAS JOMA T.POINT LADY 2301 TPOILS2301P MUJER 37"/>
        <s v="ZAPATILLAS MUNICH PADX 57 PADEL 403 46"/>
        <s v="ZAPATILLAS MUNICH PADX 57 PADEL 403 45"/>
        <s v="ZAPATILLAS MUNICH PADX 57 PADEL 403 44"/>
        <s v="ZAPATILLAS MUNICH PADX 57 PADEL 403 43"/>
        <s v="ZAPATILLAS MUNICH PADX 57 PADEL 403 42"/>
        <s v="ZAPATILLAS MUNICH PADX 57 PADEL 403 41"/>
        <s v="ZAPATILLAS MUNICH ATOMIK44"/>
        <s v="ZAPATILLAS MUNICH ATOMIK43"/>
        <s v="ZAPATILLAS MUNICH ATOMIK42"/>
        <s v="ZAPATILLAS MUNICH ATOMIK41"/>
        <s v="ZAPATILLA MUNICH PADX STUPA 46 PADEL 46"/>
        <s v="ZAPATILLA MUNICH PADX STUPA 45"/>
        <s v="ZAPATILLA MUNICH PADX STUPA 44"/>
        <s v="ZAPATILLA MUNICH PADX STUPA 43"/>
        <s v="ZAPATILLA MUNICH PADX STUPA 46 PADEL 42"/>
        <s v="ZAPATILLA MUNICH PADX STUPA 41"/>
        <s v="WOMENS LILAC AND PINK MUNICH PADX 34 PADEL 40"/>
        <s v="WOMENS LILAC AND PINK MUNICH PADX 34 PADEL 39"/>
        <s v="WOMENS LILAC AND PINK MUNICH PADX 34 PADEL 38"/>
        <s v="WOMENS LILAC AND PINK MUNICH PADX 34 PADEL 37"/>
        <s v="BLUE AND LIME GREEN MUNICH PADX 32 PADEL 44"/>
        <s v="BLUE AND LIME GREEN MUNICH PADX 32 PADEL 43"/>
        <s v="BLUE AND LIME GREEN MUNICH PADX 32 PADEL 42"/>
        <s v="MUNICH PADX 30 AZUL MARINO NARANJA 44"/>
        <s v="MUNICH PADX 30 AZUL MARINO NARANJA 43"/>
        <s v="MUNICH PADX 30 AZUL MARINO NARANJA 42"/>
        <s v="MUNICH PADX 30 AZUL MARINO NARANJA 4034030 41"/>
        <s v="JOMA T.SLAM MEN 2224 GRANATE TSLAMW2224 45"/>
        <s v="JOMA T.SLAM MEN 2224 GRANATE TSLAMW2224 44.5"/>
        <s v="JOMA T.SLAM MEN 2224 GRANATE TSLAMW2224 44"/>
        <s v="JOMA T.SLAM MEN 2224 GRANATE TSLAMW2224 43.5"/>
        <s v="JOMA T.SLAM MEN 2224 GRANATE TSLAMW2224 43"/>
        <s v="JOMA T.SLAM MEN 2224 GRANATE TSLAMW2224 42.5"/>
        <s v="JOMA T.SLAM MEN 2224 GRANATE TSLAMW2224 42"/>
        <s v="JOMA T.SLAM MEN 2224 GRANATE TSLAMW2224 41"/>
        <s v="JOMA T.SLAM MEN 22 MARINO TSLAMW2203 44.5"/>
        <s v="JOMA T.SLAM MEN 22 MARINO TSLAMW2203 43.5"/>
        <s v="JOMA T.SLAM MEN 22 MARINO TSLAMW2203 42.5"/>
        <s v="JOMA T.SLAM MEN 22 MARINO TSLAMW2203  41"/>
        <s v="JOMA T.POINT MEN 2202 BLANCO 45"/>
        <s v="JOMA T.POINT MEN 2202 BLANCO 44"/>
        <s v="JOMA T.POINT MEN 2202 BLANCO 43"/>
        <s v="JOMA T.POINT MEN 2202 BLANCO 42"/>
        <s v="JOMA T.POINT MEN 2201 NEGRO VERDE 45"/>
        <s v="JOMA T.POINT MEN 2201 NEGRO VERDE MX TPOINW2201 44.5"/>
        <s v="JOMA T.POINT MEN 2201 NEGRO VERDE 44"/>
        <s v="JOMA T.POINT MEN 2201 NEGRO VERDE MX TPOINW2201 43.5"/>
        <s v="JOMA T.POINT MEN 2201 NEGRO VERDE 43"/>
        <s v="JOMA T.POINT MEN 2201 NEGRO VERDE MX TPOINW2201 42,5"/>
        <s v="JOMA T.POINT MEN 2201 NEGRO VERDE 42"/>
        <s v="JOMA T.POINT MEN 2201 NEGRO VERDE MX TPOINW2201 41"/>
        <s v="JOMA T.POINT MEN 2201 NEGRO VERDE MX TPOINW2201 40.5"/>
        <s v="JOMA T.POINT MEN 2201 NEGRO VERDE MXTPOINW2201 42"/>
        <s v="CALCETINES ENEBE FUTURE GRIS/NEGRO A000337.A43/46"/>
        <s v="CALCETINES ENEBE FUTUREGRIS/NEGRO (9506999035/38"/>
        <s v="CALCETINES ENEBE FUTURE BLANCO/ GRISA000337.243/46"/>
        <s v="CALCETINES ENEBE FUTURE BLANCO/ GRIS A000337.239/42"/>
        <s v="CALCETINES ENEBE FUTURE BLANCO/ GRIS A000337.235/38"/>
        <s v="PALETERO BLACK CROWN ULTIMATE SERIES V2 MARINO/ CELESTE"/>
        <s v="PALA BLACK CROWN PITON 12 SILVER"/>
        <s v="PALA BLACK CROWN PITON PREMIUM 24"/>
        <s v="MUÃ‘EQUERA BLACK CROWN LONG"/>
        <s v="PALETERO BLACK CROWN ULTIMATE SERIES"/>
        <s v="CALCETINES ENEBE FUTURE NEGRO/ GRIS A000337.A43/46"/>
        <s v="PROTECTOR SOFTEE PADEL DORA"/>
        <s v="BLACK SOFTEE BALL BASKET "/>
        <s v="BLISTER 3 OVERGRIPS PRO VIBOR-A LISO AZUL"/>
        <s v="BLISTER OVERGRIPS VIBOR-A PRO X3 LISO NEGRO"/>
        <s v="PROTECTOR SOFTEE PADEL TRANSPARENTE"/>
        <s v="PALETERO SOFTEE PADEL PREMIUM NEGRO ROJO"/>
        <s v="CALCETINES ENEBE FUTURE GRIS/NEGRO A000337.39/42"/>
        <s v="PALA STARVIE KENTA ETERNAL PRO"/>
        <s v="NECESER STARVIE TRITON NTRITON"/>
        <s v="GORRA STARVIE PRO"/>
        <s v="PALA PRINCE TITAN ULTRA LIGHT JUNIOR"/>
        <s v=" PALETERO SIUX PULSE 200Ã“27  "/>
        <s v=" SIUX BEAT HYBRID 3 AIR  "/>
        <s v=" SIUX BEAT HYBRID 3 "/>
        <s v=" SIUX ASTRA HYBRID   "/>
        <s v=" PALA SIUX ASTRA HYBRID AIR 200058   "/>
        <s v=" SIUX FENIX PRO GLOW PURPLE 2026  "/>
        <s v="STARVIE ASTRUM + PSTAMP31000 "/>
        <s v="STARVIE TRITON POWER  + PSTTB31000"/>
        <s v="STARVIE TRITON BALANCE + PSTTB31000 "/>
        <s v="PALA STARVIE RAPTOR PSTRS21000"/>
        <s v="PALA STARVIE TRITÃ“N PRO PSTTRP21000"/>
        <s v="PALA STARVIE METHEORA DUAL PSTMD21000"/>
        <s v="PALA STARVIE BRAVA PSTBV21000"/>
        <s v="PALA STARVIE BRAVA PRO PSTBVP21000"/>
        <s v="PALA STARVIE BASALTO PRO PSTBP21000"/>
        <s v="NECESER STARVIE TRITON NSTTR4100"/>
        <s v="PALA STARVIE TRITON SOFT"/>
        <s v="PALETERO STARVIE PADEL ELITE BSTEL31000 "/>
        <s v="PALA STARVIE DRONOS ULTRA SPEED SOFT "/>
        <s v="PALA STARVIE BASALTO PRO "/>
        <s v="PALA STARVIE ASTRUM"/>
        <s v="PALA STARVIE METHEORA DUAL PSTMD"/>
        <s v="PALA NOX EQUATION "/>
        <s v="NOX EQUATION LIGHT PEQULIADV25 "/>
        <s v="PALA NOX TL10 QUANTUM 12K BY TINO LIBAAK PTL10LUXQ25"/>
        <s v="NOX ML10 QUANTUM 3K BY MIGUEL LAMPERTI 2025"/>
        <s v="PALA NOX AT10 GENIUS 12K BY AGUSTIN TAPIA PAT10GENIUS25"/>
        <s v="PALA NOX AT10 GENIUS ATTACK 12K BY AGUSTIN TAPIA PAT10GENIUSAT25"/>
        <s v="PALA NOX AT10 GENIUS ATTACK 18K ALUM BY AGUSTIN TAPIA PAT10GENIU"/>
        <s v="PALA NOX AT10 GENIUS 18K ALUM BY AGUSTIN TAPIA PAT10GENIUS1825"/>
        <s v="NOX AT10 PRO CUP COMFORT BY AGUSTIN TAPIA 2025"/>
        <s v="CAMISETA NOX SPONSORS AT10 T24CASPATDBXL"/>
        <s v="CAMISETA NOX SPONSORS AT10 T24CASPATDBL"/>
        <s v="CAMISETA NOX SPONSORS AT10 T24CASPATDBM"/>
        <s v="CAMISETA NOX SPONSORS AT10 T24CASPATDBS"/>
        <s v="CAMISETA NOX TEAM REGULAR BLANCO XL"/>
        <s v="CAMISETA NOX TEAM REGULAR BLANCO L"/>
        <s v="CAMISETA NOX TEAM REGULAR BLANCO M"/>
        <s v="CAMISETA NOX TEAM REGULAR BLANCO S"/>
        <s v="CAMISETA NOX TEAM REGULAR BLACK T24HCATRBL XL"/>
        <s v="CAMISETA NOX TEAM REGULAR BLACK T24HCATRBL L"/>
        <s v="CAMISETA NOX TEAM REGULAR BLACK T24HCATRBL M"/>
        <s v="CAMISETA NOX TEAM REGULAR BLACK T24HCATRBL S"/>
        <s v="ZAPATILLAS NOX AT10 PRO CALAT10GATI MUJER40"/>
        <s v="ZAPATILLAS NOX AT10 PRO CALAT10GATI MUJER39"/>
        <s v="ZAPATILLAS NOX AT10 PRO CALAT10GATI MUJER38"/>
        <s v="ZAPATILLAS NOX AT10 PRO CALAT10GATI MUJER37"/>
        <s v=" NOX AT10 PRO CALAT10BLRE 45"/>
        <s v=" NOX AT10 PRO CALAT10BLRE 44"/>
        <s v=" NOX AT10 PRO CALAT10BLRE 43"/>
        <s v=" NOX AT10 PRO CALAT10BLRE 42"/>
        <s v=" NOX AT10 PRO CALAT10BLRE  41"/>
        <s v=" NOX AT10 PRO CALAT10BLRE 40"/>
        <s v="ZAPATILLAS NOX AT10 PRO CALAT10BLGO 44"/>
        <s v="ZAPATILLAS NOX AT10 PRO CALAT10BLGO 43"/>
        <s v="ZAPATILLAS NOX AT10 PRO CALAT10BL42"/>
        <s v="ZAPATILLAS NOX AT10 PRO CALAT10WHITE 45"/>
        <s v="ZAPATILLAS NOX AT10 PRO CALAT10WHITE  41"/>
        <s v="ZAPATILLAS NOX NERBO CALUXNERWHSB 45"/>
        <s v="ZAPATILLAS NOX NERBO CALUXNERWHSB 44"/>
        <s v="ZAPATILLAS NOX NERBO CALUXNERWHSB 43"/>
        <s v="ZAPATILLAS NOX NERBO CALUXNERWHSB 42"/>
        <s v="ZAPATILLAS NOX NERBO CALUXNERWHSB 41"/>
        <s v="ZAPATILLAS NOX ML10 HEXA CALMLHEXBL45"/>
        <s v="ZAPATILLAS NOX ML10 HEXA CALMLHEXBLGS 44"/>
        <s v="ZAPATILLAS NOX ML10 HEXA CALMLHEXBLGS 43"/>
        <s v="ZAPATILLAS NOX ML10 HEXA42"/>
        <s v=" NOX ML10 HEXA CALMLHEXBLGS  41"/>
        <s v="ZAPATILLAS NOX ML10 HEXA CALMLHEXBL40"/>
        <s v="PALETERO NOX STREET SERIES BPSTBLGR"/>
        <s v="PALETERO NOX STREET SERIES BPSTGRPI"/>
        <s v="PALETERO NOX AT10 TEAM BPAT10TEGRGR"/>
        <s v="NECESER NOX LUXURY SERIES NECLUXGRBL"/>
        <s v="MOCHILA NOX LUXURY OPEN SERIES MOCOPENBLRE "/>
        <s v=" MOCHILA NOX LUXURY MASTER SERIES MOCLUXMASTER "/>
        <s v="PALETERO NOX LUXURY OPEN SERIES BPOPENBLRE"/>
        <s v="PALETERO NOX LUXURY OPEN SERIES BPOPENBLBR"/>
        <s v="PALETERO NOX LUXURY MASTER SERIES BPLUXMASTER"/>
        <s v="VESTIDO NOX PRO CHARCOAL GREY T24FWMVESCG XL"/>
        <s v="VESTIDO NOX PRO CHARCOAL GREY T24FWMVESCG L"/>
        <s v="VESTIDO NOX PRO CHARCOAL GREY T24FWMVESCG M"/>
        <s v="CAMISETA NOX PRO MISTY GREY T24FWHCAMG L"/>
        <s v="CAMISETA NOX PRO MISTY GREY T24FWHCAMG M"/>
        <s v="CAMISETA NOX PRO LILY GREEN T24FWHCALG L"/>
        <s v="NOX ML10 PRO CUP 3K 2024"/>
        <s v="NOX ML10 BAHIA 12K 2024"/>
        <s v="NOX ML10 SHOTGUN 18K"/>
        <s v="NOX AT10 GENIUS 12K AGUSTIN TAPIA 2024"/>
        <s v="NOX AT10 GENIUS 18K AGUSTIN TAPIA 2024"/>
        <s v="NOX AT GENIUS ATTACK 18K AGUSTÃN TAPIA 2024"/>
        <s v="PALA NOX PACK AT GENIUS LIMITED EDITION"/>
        <s v="MOCHILA NOX STREET MOCSTGREY"/>
        <s v="MOCHILA NOX STREET MOCSTBLLG"/>
        <s v="PALETERO NOX PRO SERIES BPPROSCAMEL"/>
        <s v="PALETERO NOX PRO SERIES BPPROSBLACK"/>
        <s v="PALETERO NOX PRO SERIES BPPROSBLUE"/>
        <s v="MOCHILA NOX PRO SERIES MOCPROSBLUE"/>
        <s v="MOCHILA NOX PRO SERIES MOCPROSBLACK "/>
        <s v="ZAPATILLAS NOX AT10 CALAT10WHBL   46"/>
        <s v="ZAPATILLAS NOX AT10 CALAT10WHBL   44"/>
        <s v="ZAPATILLAS NOX AT10 CALAT10WHBL   43"/>
        <s v="ZAPATILLAS NOX AT10 CALAT10WHBL   42"/>
        <s v="ZAPATILLAS NOX AT10 CALAT10WHBL  41"/>
        <s v="ZAPATILLAS NOX AT10 CALAT10FIRB 44"/>
        <s v="ZAPATILLAS NOX AT10 CALAT10FIRB 43"/>
        <s v="ZAPATILLAS NOX AT10 CALAT10FIRB 41"/>
        <s v="ZAPATILLAS NOX ML10 HEXA CALMLHEXBLFR 40"/>
        <s v="NOX VK10"/>
        <s v="GRIP NOX CUSTOM 6 UNIDADES"/>
        <s v="SHORT NOX PRO XL"/>
        <s v="CAMISETA NOX PRO REGULAR T23SSHCACB XL"/>
        <s v="CAMISETA NOX PRO REGULAR T23SSHCACBL"/>
        <s v="CAMISETA NOX PRO REGULAR T23SSHCACB M"/>
        <s v="NOX X-ONE CASUAL SERIES PXONE23"/>
        <s v="MUÃ‘EQUERA LARGA BLISTER NOX"/>
        <s v="MUÃ‘EQUERA BLISTERNOX X2"/>
        <s v="NOX AT10 GENIUS 18K BY AGUSTÃN TAPIA 23"/>
        <s v="NOX TEMPO WPT LUXURY SERIES 23"/>
        <s v="MOCHILA NOX STREET PACK GRIS"/>
        <s v="MOCHILA NOX AT10 TEAM SERIES BLK/RD MOCAT10TEBLR"/>
        <s v="PALETERO NOX AT10 COMPETITION TROLLEY NEGRO AZUL"/>
        <s v="PALETERO NOX AT10 COMPETITION XL COMP"/>
        <s v="SHORT NOX TEAMXL"/>
        <s v="SHORT NOX TEAM T22HSHTDBS"/>
        <s v="SHORT NOX TEAM T22HSHTBLXL"/>
        <s v="SHORT NOX TEAM T22HSHTBLL"/>
        <s v="SHORT NOX TEAM T22HSHTBLM"/>
        <s v="SHORT NOX TEAM T22HSHTBLS"/>
        <s v="SHORT NOX TEAM T22HSHTWHXL"/>
        <s v="SHORT NOX TEAM T22HSHTWHL"/>
        <s v="SHORT NOX TEAM T22HSHTWHS"/>
        <s v="SHORT NOX TEAM T22HSHTREXL"/>
        <s v="SHORT NOX TEAM T22HSHTREL"/>
        <s v="SHORT NOX TEAM T22HSHTREM"/>
        <s v="SHORT NOX TEAM T22HSHTRES"/>
        <s v="CAMISETA NOX TEAM REGULAR T22HCATRGRXL"/>
        <s v="CAMISETA NOX TEAM REGULAR T22HCATRGRM"/>
        <s v="CAMISETA NOX TEAM REGULAR T22HCATRGRS"/>
        <s v="CAMISETA NOX TEAM REGULAR T22HCATRDB L"/>
        <s v="CAMISETA NOX TEAM REGULAR T22HCATRDB M"/>
        <s v="MOCHILA MM2 PRO "/>
        <s v="CORTAVIENTOS NOX PRO T22HCOPRORB XL"/>
        <s v="CORTAVIENTOS NOX PRO T22HCOPRORB L"/>
        <s v="CORTAVIENTOS NOX PRO T22HCOPRORB M"/>
        <s v="SHORT NOX PRO T22HSHPROSB XL"/>
        <s v="SHORT NOX PRO T22HSHPROSB L"/>
        <s v="SHORT NOX PROM"/>
        <s v="SHORT NOX PRO T22HSHPROSB S"/>
        <s v="CAMISETA NOX PRO REGULAR AZUL CELESTE XL"/>
        <s v="CAMISETA NOX PRO REGULAR AZUL CELESTEM"/>
        <s v="CAMISETA NOX PRO REGULAR AZUL CELESTE S"/>
        <s v="MYSTICA ICARO YELLOW "/>
        <s v="MYSTICA ICARO BLUE "/>
        <s v="CINTA DE SUJECIÃ“N DE RÃ“TULA SIUX"/>
        <s v="BLACK CROWN SPECIAL "/>
        <s v="BLACK CROWN PITON ATTACK PLUS"/>
        <s v="BLACK CROWN PITON NAKANO 3K"/>
        <s v="BLACK CROWN PITON 7.0"/>
        <s v="NOX LOAD 3D"/>
        <s v="CORTAVIENTOS NOX PRO GRIS OSCURO XL"/>
        <s v="CORTAVIENTOS NOX PRO GRIS OSCURO M"/>
        <s v="NOX AT GENIUS ATTACK 18K 2022"/>
        <s v="NOX ULTIMATE POWER FIBER BLACK LTD"/>
        <s v="CORTAVIENTOS NOX PRO T21IHCORPAZRO XL"/>
        <s v="CORTAVIENTOS NOX PRO T21IHCORPAZRO M"/>
        <s v="CORTAVIENTOS NOX PRO T21IHCORPAZRO S"/>
        <s v="NOX AT10 NEGRO NARANJA CALAT10NENA 40"/>
        <s v=" FUNDÃ NOX PRO NYLON FUNDAPRO  "/>
        <s v="NOX X-ONE C.6"/>
        <s v="BOTE 120 UD OVERGRIP NOX PRO EXTRA GRIP BOT120OVEXGRIP"/>
        <s v="TOALLA POTENCIADORA GRIP NOX BY GORILLA CATOAGRNO2"/>
        <s v="RED NOX FOLDING BASKET WITH WHEELS"/>
        <s v="RED NOX BALL COLLECTOR TUBE"/>
        <s v="CUBO LOK DE OVERGRIPS x60 WHITE AC1TA0WH"/>
        <s v="BLISTER SET OF PADEL OVERGRIP 4 UNITS LOK GREEN AC1BA1GR Green"/>
        <s v="ZAPATILLERO  ALL  FOR  PADEL  SHOE  BAG AG"/>
        <s v="PALETEROALL FOR PADEL RACKETBAG CONTROL 3.3 PINK"/>
        <s v="PALETERO ALLÂ FORÂ PADELÂ RACKETBAGÂ CONTROLÂ 3.3Â BLUE"/>
        <s v="BOLSO ALL FOR PADEL WEEKENDER BAG ANTHRACITE "/>
        <s v="PALETERO ALL FOR PADELRACKETBAG MULTIGAME 3.3 GREY "/>
        <s v="PALETERO ALL FOR PADEL RACKETBAG MULTIGAME 3.3 BLACK"/>
        <s v="ALL FOR PADEL CROSS IT LIGHT"/>
        <s v="PALA ALL FOR PADEL CROSS IT CTRL"/>
        <s v="ALL FOR PADEL CROSS IT"/>
        <s v="ALL FOR PADEL ADIPOWER JUNIOR 3.3"/>
        <s v=" ALL FOR PADEL MATCH LIGHT 3.3 2023 "/>
        <s v="AFP MATCH 3.3 BLACK LIME 2024"/>
        <s v="ALL FOR PADEL MATCH 3.3 BLACK RED 2024"/>
        <s v="AFP DRIVE LIGHT 3.3"/>
        <s v="AFP DRIVE 3.3 VINTAGE"/>
        <s v="ALL FOR PADELRX SERIES LIME 2024"/>
        <s v="ALL FOR PADEL  RX SERIES LIGHT 2024"/>
        <s v="PALA ALL FOR PADELADIPOWER TEAM LIGHT 3.3"/>
        <s v="AFP METALBONE TEAM 3.3 2024"/>
        <s v="AFP METALBONE CARBON CTRL 3.3 2024"/>
        <s v="ALL FOR PADEL METALBONE CARBON 3.3 2024"/>
        <s v="AFP ADIPOWER LIGHT 3.3"/>
        <s v="ALL FOR PADEL ADIPOWER CTRL 3.3 "/>
        <s v="AFP ADIPOWER MULTIWEIGHT CTRL 3.3"/>
        <s v="AFP ADIPOWER MULTIWEIGHT 3.3"/>
        <s v="AFP METALBONE HRD+ 2024"/>
        <s v="AFP METALBONE CTRL 3.3 2024"/>
        <s v="AFP METALBONE 3.3 2024"/>
        <s v="ALL FOR PADEL XTREME BLACK LIMA"/>
        <s v="AFP MASTER LTD2023"/>
        <s v="TUBO RECOGEPELOTAS ALL FOR PADEL  SPEED RX AC1VA2U10"/>
        <s v="CUBO DE OVERGRIP 25 UNIDADES ALL FOR PADEL"/>
        <s v="OVERGRIP ALL FOR PADEL AC2BA2WH"/>
        <s v=" OVERGRIP ALL FOR PADEL AC2BA2RD  "/>
        <s v=" OVERGRIP ALL FOR PADEL AC2BÃ2BK  "/>
        <s v="OVERGRIP AFP 3 UNIDADES AC2BA1YE"/>
        <s v="OVERGRIP AFP 3 UNIDADES AC2BA1OR"/>
        <s v="SET OVERGRIP ALL FOR PADEL 3 UNIDADES AC2BA1WH"/>
        <s v="SET OVERGRIP ALL FOR PADEL  3 UNIDADES BL"/>
        <s v="NECESER ALL FOR PADEL ACCESORY BAG GALAN"/>
        <s v="PALETERO All For Padel TOUR 3.2 BG2PA0U56"/>
        <s v="AFP ADIPOWER TEAM 2023 "/>
        <s v="AFP W TEAM WOMAN 2023 "/>
        <s v="AFP ADIPOWER CTRL TEAM 2023"/>
        <s v="AFP CTRL 3.2 2023"/>
        <s v="AFP ADIPOWER MULTIWEIGHT CTRL 2023"/>
        <s v="ALL FOR PADEL METALBONE CTRL 3.2 2023"/>
        <s v="AFP METALBONE HRD 3.2 2023"/>
        <s v="PALETERO All For Padel CONTROL AZUL"/>
        <s v="AFP RADOGAR CTRL 3D "/>
        <s v="RECOGEPELOTAS AFP BALL SPEED RX"/>
        <s v="AFP RYZE PRO "/>
        <s v="ALL FOR PADEL ESSEX CTRL BLACK WHITE"/>
        <s v="PALETERO ADIDAS!CARBON CONTROL NEGRO BLANCO"/>
        <s v="PALETERO ADIDAS  CARBON CONTROL NEGRO"/>
        <s v=" PALETERO ALL FOR PADEL CONTROL NEGRO BLANCO  "/>
        <s v="PALETERO ADIDAS  CONTROL NEGRO NARANJA"/>
        <s v="OVERGRIP ALL FOR PADEL  3 UNIDADES NARANJA"/>
        <s v="PALETERO ADIDAS  CONTROL BG6PA1U28"/>
        <s v="PADELBAG BLACK CROWN HURRICANE GREY MELON"/>
        <s v="BLACK CROWN PITON ATTACK 16K"/>
        <s v="MUÃ‘EQUERA NOX BLISTER NEGRA 2 UD"/>
        <s v="TAMBOR OVERGRIPS NOX PADEL PRO BLANCO"/>
        <s v="OVERGRIP NOX PRO BLANCO BLISTER 3 UNIDADES"/>
        <s v="CALCETINES CA A BAJA NOX BLANCO GRIS MUJER35/39"/>
        <s v="PALA NOX X-ZERO BLUE PXZERÃ•IÃ‰Ã‰ "/>
        <s v="PALA NOXX-ZERO RED PXZERORE "/>
        <s v="PALA NOX X-HERO BLUE PXHEROBL "/>
        <s v="PALÃ NÃ•X XHÃŠÃ‰IO REÃ• PXHEROFTE "/>
        <s v="PALA NOX EQUATION SOFT ADVANCED PEQUSADV26"/>
        <s v="PALA NOX EQUATION HARD ADVANCED PEQUHADV26 (9506510000)"/>
        <s v="PALA NOX VK10 VENTUS CONTROL 12K BY ARANZAZU OSORO PVK1OVENTUS12 "/>
        <s v="PALA NOX AT10 GENIUS ATTACK 12K ALUM XTREME BY AGUSTIN TAPIA PAT "/>
        <s v="PALA NOX AT10 GENIUS 12K ALUM XTREME BY AGUSTIN TAPIA PAT1OGENIU "/>
        <s v="PALA NOX AT10 GENIUS ATTACK 18K ALUM BY AGUSTIN TAPIA PAT1OGENIU"/>
        <s v="PALA NOX AT10 GENIUS 18K ALUMBY AGUSTIN TAPIA PAT10GENIUS1826 "/>
        <s v=" PACK PALA NOX AT GENIUS OFFICIÃL RACKET BAP1 (BUENOS AIRES) PACK  "/>
        <s v="VESTIDO MUJER PRO T25SSMVEDT DUSTY VAINILLE L"/>
        <s v="VESTIDO MUJER PRO T25SSMVEDT DUSTY VAINILLE M"/>
        <s v="VESTIDO MUJER PRO T25SSMVEDT DUSTY VAINILLE S"/>
        <s v="FALDA MUJER PRO T25SSMFADT DUSTY TURL"/>
        <s v="FALDA MUJER PRO T25SSMFADT DUSTY TURQUOISEM"/>
        <s v="FALDA MUJER PRO T25SSMFADT DUSTY TURQUOISES"/>
        <s v="CAMISETA TIRANTES MUJER PRO T25SSMCATDT DUSTY TURQUOISE L"/>
        <s v="CAMISETA TIRANTES MUJER PRO T25SSMCATDT DUSTY TURQUOISE M"/>
        <s v="CAMISETA TIRANTES MUJER PRO T25SSMCATDT DUSTY TURQUOISE S"/>
        <s v="SHORT NOX PRO T25SSHSHDT DUSTY TURQUXL"/>
        <s v="SHORT NOX PRO T25SSHSHDT DUSTY TURL"/>
        <s v="SHORT NOX PRO T25SSHSHDT DUSTY TURM"/>
        <s v="SHORT NOX PRO T25SSHSHDT DUSTY TURS"/>
        <s v="SHORT NOX PRO T25SSHSHMO MOCK ORANGE DEGRXL"/>
        <s v="SHORT NOX PRO T25SSHSHMO MOCK ORANGE DEGRL"/>
        <s v="SHORT NOX PRO T25SSHSHMO MOCK ORANGE DEGRM"/>
        <s v="SHORT NOX PRO T25SSHSHMO MOCK ORANGE DEGRS"/>
        <s v="CAMISETA NOX PRO T25SSHCAMO MOCK ORANGE DEGRXL"/>
        <s v="CAMISETA NOX PRO T25SSHCAMO MOCK ORANGE DEGRL"/>
        <s v="CAMISETA NOX PRO T25SSHCAMO MOCK ORANGE DEGRM"/>
        <s v="CAMISETA NOX PRO T25SSHCAMO MOCK ORANGE DEGRS"/>
        <s v="CAMISETA NOX PRO T25SSHCADT DUSTY TURQUXL"/>
        <s v="CAMISETA NOX PRO T25SSHCADT DUSTY TURQUL"/>
        <s v="CAMISETA NOX PRO T25SSHCADT DUSTY TURQUM"/>
        <s v="CAMISETA NOX PRO T25SSHCADT DUSTY TURQUS"/>
        <s v="PALETERO NOX PRO SERIES WHITE BPPROSWHITE"/>
        <s v="PALETERO NOX ML10 TEAM BLACK/CLAY BPML10TEBLCL"/>
        <s v="PALETERO NOX ML10 TEAM WHITE/GREY BPML10TEWHGR"/>
        <s v="PALETERO NOX ML10 TEAM BLACK/BLUE BPML10TEBLBL"/>
        <s v="PACK AT GENIUS LIMITED EDITION PACKPATLTD25"/>
        <s v="SIUX ELECTRA ST3 SPECIAL EDITION"/>
        <s v="PANTALÃ“N SIUX CLUB 25 HOMBRE MXL"/>
        <s v="PANTALÃ“N SIUX CLUB 25 HOMBRE MAM"/>
        <s v="PANTALÃ“N SIUX CLUB 25 HOMBRE BLXL"/>
        <s v="PANTALÃ“N SIUX CLUB 25 HOMBRE BLL"/>
        <s v="PANTALÃ“N SIUX CLUB 25 HOMBRE BLM"/>
        <s v="PANTALÃ“N SIUX CLUB 25 HOMBRE BLS"/>
        <s v="CAMISETA SIUX CLUB 25 HOMBRE NEXL"/>
        <s v="CAMISETA SIUX CLUB 25 HOMBRE NEGL"/>
        <s v="CAMISETA SIUX CLUB 25 HOMBRE NEGM"/>
        <s v="CAMISETA SIUX CLUB 25 HOMBRE NEGS"/>
        <s v="CAMISETA SIUX CLUB 25 HOMBRE BLANXL"/>
        <s v="CAMISETA SIUX CLUB 25 HOMBRE BLANL"/>
        <s v="CAMISETA SIUX CLUB 25 HOMBRE BLAM"/>
        <s v="CAMISETA SIUX CLUB 25 HOMBRE BLANS"/>
        <s v="CAMISETA SIUX CLUB 25 HOMBRE MARIXL"/>
        <s v="CAMISETA SIUX CLUB 25 HOMBRE MARIL"/>
        <s v="CAMISETA SIUX CLUB 25 HOMBRE MARM"/>
        <s v="CAMISETA SIUX CLUB 25 HOMBRE MARIS"/>
        <s v="SIUX BEAT JUNIOR 2025 "/>
        <s v="SIUX DIABLO GO 4"/>
        <s v="SIUX FENIX ELITE 5"/>
        <s v="SIUX DIABLO ELITE 4 (95065100) (EspaÃ±a) (8435762902859)"/>
        <s v="SIUX FENIX PRO 5 2025"/>
        <s v="SIUX ELECTRA STUPA PRO ST4"/>
        <s v="SIUX DIABLO PRO 4"/>
        <s v="TOALLA SIUX FLASH"/>
        <s v="CAMISETA SIUX HOMBRE MATCH 24 GRISXL"/>
        <s v="CAMISETA SIUX HOMBRE MATCH 24L"/>
        <s v="CAMISETA SIUX HOMBRE MATCH 24 GRISM"/>
        <s v="CAMISETA SIUX HOMBRE MATCH 24 GRISS"/>
        <s v="FALDA DROP SHOT LIRIO DT322L"/>
        <s v="FALDA DROP SHOT LIRIO DT3226M"/>
        <s v="FALDA DROP SHOT ONIX DT3226L"/>
        <s v="FALDA DROP SHOT ONIX DT322M"/>
        <s v="FALDA DROP SHOT ONIX DT3226S"/>
        <s v="FALDA DROP SHOT LYS DT3226L"/>
        <s v="FALDA DROP SHOT LYS DT3226M"/>
        <s v="FALDA DROP SHOT LYS DT3226S"/>
        <s v="CAMISETA DROP SHOT LIRIO DT3223L"/>
        <s v="CAMISETA DROP SHOT LIRIO DT3223M"/>
        <s v="CAMISETA DROP SHOT LIRIO DT3223S"/>
        <s v="CAMISETA DROP SHOT ONIX DT3223L"/>
        <s v="CAMISETA DROP SHOT ONIX DT3223M"/>
        <s v="CAMISETA DROP SHOT LYS DT3223L"/>
        <s v="CAMISETA DROP SHOT LYS DT3223M"/>
        <s v="CAMISETA DROP SHOT LYS DT3223S"/>
        <s v="PALA DROP SHOT AXION ATTACK 1.0 "/>
        <s v="PALA DROP SHOT CANYON PRO ATTACK 1.0 DP324018 "/>
        <s v="PALA DROP SHOT EXPLORER PRO CONTROL 1.0 "/>
        <s v="PALA DROP SHOT CANYON PRO COMFORT 1.0 "/>
        <s v="PALA DROP SHOT CONQUEROR CONFORT"/>
        <s v="PALA DROP SHOT CONQUEROR ATTACK"/>
        <s v=" PALETERO ALL FOR PADEL TOUR BRONZE 2026 AB2PA3U57  "/>
        <s v=" PALETERO ALL FOR PADEL MULTIGAME TONAL BLACK 2026 ABI PA8U10  "/>
        <s v=" PALA ALL FOR PADEL MATCH 2026 BLACK/GREEN AR5GA4U28 "/>
        <s v=" ALL FOR PADEL CROSSIT LIGHT 2026 AR1CB3U87  "/>
        <s v=" PALA ALL FOR PADEL METALBONE TEAM 2026 AR2AA3U22  "/>
        <s v=" PALA ALL FOR PADEL METALBONE CARBON CTRL 2026  "/>
        <s v=" PARA ALL FOR PADEL METALBONE CARBON 2026  "/>
        <s v=" PALA ALL FOR PADEL METALBONE HRD 2026  "/>
        <s v=" PALA ALL FOR PADEL METALBONE CTRL 2026 AR1CB0U22  "/>
        <s v=" ALL FOR PADEL METALBONE 2026 (9506510000)  "/>
        <s v="NECESER ADIDAS SAND 3.4"/>
        <s v="NECESER ALL FOR PADEL OFFWHITE 3.4 AB5NA1U64"/>
        <s v="NECESER ALL FOR PADEL BLACK/RED 3.4 AB5NA0U22 "/>
        <s v="PALETERO ADIDAS  TOUR BLUE 3.4"/>
        <s v="PALETERO!ADIDAS  MULTIGAME SAND 3.4 "/>
        <s v="ALL  FOR  PADEL  MATCH  BLUE  3.4"/>
        <s v="ALL FOR PADEL DRIVE LIGHT 3.4 "/>
        <s v="ALL FOR PADEL DRIVE GREY 3.4 "/>
        <s v="ALL FOR PADEL DRIVE BLACK 3.4 "/>
        <s v="PALA ALL FOR PADEL RX SERIES RED 3.4"/>
        <s v="PALA ALL FOR PADEL RX SERIES LIGHT 3.4"/>
        <s v="PALA ALL FOR PADEL RX SERIES LIME 3.4"/>
        <s v="PALA ALL FOR PADEL CROSS LT TEAM LIGHT 25"/>
        <s v="CROSS LT LIGHT 3.4 "/>
        <s v="PALA ALL FOR PADEL ADIPOWER CARBON LIGHT 25"/>
        <s v="PALA ALL FOR PADEL ADIPOWER CARBON CTRL 25"/>
        <s v="PALA ALL FOR PADEL ADIPOWER MULTIWEIGHT CTRL 3.4"/>
        <s v="PALA ALL FOR PADEL METALBONE TEAM LIGHT 3.4"/>
        <s v="PALA ALL FOR PADEL METALBONE TEAM 3.4"/>
        <s v="PALA ALL FOR PADEL METALBONE CARBON CTRL 3.4"/>
        <s v="PALA  ALL FOR PADEL  METALBONE CARBON 3.4"/>
        <s v="PALA ALL FOR PADEL METALBONE HRD+ 3.4"/>
        <s v="PALA ALL FOR PADEL METALBONE CTRL 3.4"/>
        <s v="METALBONE 3.4 AR1AA0U22"/>
        <s v="PALA ALL FOR PADEL ADIPOWER LEGEND 2024"/>
        <s v="PALA ALL FOR PADEL CROSSIT PRO EDT 2024"/>
        <s v="PALA ALL FOR PADEL METALBONE PRO ETD"/>
        <s v="TUBO RECOGEPELOTAS SOFTEE 15 PELOTAS AZUL"/>
        <s v="SHORT ENDLESS HEAT 40035 BLUE L"/>
        <s v="SHORT ENDLESS HEAT 40035 BLUE M"/>
        <s v="CAMISETA ENDLESS ACE DIAMOND DEGRADE BLACKXL"/>
        <s v="CAMISETA ENDLESS ACE DIAMOND DEGRADE 40217 BLACK L"/>
        <s v="CAMISETA ENDLESS ACE DIAMOND DEGRADE 40217 BLACKM"/>
        <s v="CAMISETA  ENDLESS  ACE  IZZY  40187  BLUE RUBI L"/>
        <s v="CAMISETA  ENDLESS  ACE  IZZY  40187  BLUE RUBI M"/>
        <s v="FALDA ENDLESS ICONIC 40205 GREENXL"/>
        <s v="FALDA ENDLESS ICONIC 40205 GREENL"/>
        <s v="FALDA ENDLESS ICONIC 40205 GREENM"/>
        <s v="FALDA ENDLESS ICONIC 40205 GREENS"/>
        <s v="FALDA ENDLESS ICONIC 40205 GREENXS"/>
        <s v="FALDA ENDLESS ICONIC 40205 BLACK GREENXL"/>
        <s v="FALDA ENDLESS ICONIC 40205 BLACK GREEN L"/>
        <s v="FALDA ENDLESS ICONIC 40205 BLACK GREEN M"/>
        <s v="FALDA ENDLESS ICONIC 40205 BLACK GREEN S"/>
        <s v="FLOW WOMAN ENDLESS T-SHIRTL"/>
        <s v="FLOWWOMAN ENDLESS T-SHIRT M"/>
        <s v=" FLOW WOMAN ENDLESS T-SHIRT S"/>
        <s v="FLOW WOMAN ENDLESS T-SHIRT XS"/>
        <s v="CAMISETA ENDLESS UNLIMITED DIAMOND 40194 BLK BLUEXL"/>
        <s v="CAMISETA ENDLESS UNLIMITED DIAMOND 40194 BLK BLUE L"/>
        <s v="CAMISETA ENDLESS UNLIMITED DIAMOND 40194 BLK BLUE M"/>
        <s v="SHORT ENDLESS ACE FLAK 40189 BLUE XL"/>
        <s v="SHORT ENDLESS ACE FLAK 40189 BLUE L"/>
        <s v="SHORT ENDLESS ACE FLAK 40189 BLUE M"/>
        <s v="FALDA ENDLESS LUX RIBBON 40171 TITANIUM MUJERXL"/>
        <s v="FALDA ENDLESS LUX RIBBON 40171 TITANIUM MUJERL"/>
        <s v="FALDA ENDLESS LUX RIBBON 40171 TITANIUM MUJERM"/>
        <s v="FALDA ENDLESS LUX RIBBON 40171 TITANIUM MUJERS"/>
        <s v="FALDA ENDLESS LUX RIBBON 40171 TITANIUM MUJERXS"/>
        <s v="CAMISETA ENDLESS LUX RIBBON 40170 BLK TITANM MUJERXL"/>
        <s v="CAMISETA ENDLESS LUX RIBBON 40170 BLK TITANM MUJER L"/>
        <s v="CAMISETA ENDLESS LUX RIBBON 40170 BLK TITANM MUJERM"/>
        <s v="CAMISETA ENDLESS LUX RIBBON 40170 BLK TITANM MUJER S"/>
        <s v="CAMISETA ENDLESS LUX RIBBON 40170 BLK TITANM MUJERXS"/>
        <s v="PANTAL N CORTO ENDLESS SLASH NEGRO XL"/>
        <s v="PANTAL N CORTO ENDLESS SLASH NEGRO L"/>
        <s v="SHORT ENDLESS SLASH 40141 BLACK M"/>
        <s v="PANTALON SIUX HOMBRE MATCH 24 GRIS XL"/>
        <s v="PANTALON SIUX HOMBRE MATCH 24 GRIS S"/>
        <s v="PACK 2 MUÃ‘EQUERAS SIUX ICON ROYAL"/>
        <s v="PACK 2 MUÃ‘EQUERAS SIUX ICON AZUL"/>
        <s v="PACK 3 CALCETINES SIUX CAÃ‘A ALTA GRISES 35/38"/>
        <s v="PACK 3 CALCETINES SIUX CAÃ‘A ALTA GRISES 43/46"/>
        <s v="PACK 3 CALCETINES SIUX CAÃ‘A ALTA GRISES 39/42"/>
        <s v="PACK 3 CALCETINES SIUX CAÃ‘A ALTA MIX 43/46"/>
        <s v="PACK 3 CALCETINES SIUX CAÃ‘A ALTA MIX 39/42"/>
        <s v="SIUX BEAT KID JUNIOR"/>
        <s v="SIUX BEAT CONTROL"/>
        <s v="PANTALON SIUX EMAN HOMBRE AZUL L"/>
        <s v="PANTALON SIUX EMAN HOMBRE AZUL M"/>
        <s v="POLO SIUX EMAN HOMBRE AZUL L"/>
        <s v="POLO SIUX EMAN HOMBRE AZUL M"/>
        <s v="PALETERO SIUX DIABLO SANYO"/>
        <s v="PALETERO SIUX TRILOGY PATTY SS24 "/>
        <s v="SIUX BEAT HYBRID "/>
        <s v="SIUX DIABLO GO 3"/>
        <s v="SIUX DIABLO REVOLUTION 3 JUNIOR"/>
        <s v="SIUX DIABLO REVOLUTION LITE 3"/>
        <s v="SIUX DIABLO REVOLUTION III SANYO PRO"/>
        <s v="SIUX ELECTRA GO 3 "/>
        <s v="SIUX ELECTRA JR ST3"/>
        <s v="SIUX ELECTRA ST3 LITE"/>
        <s v="SIUX ELECTRA ST3 PRO"/>
        <s v="SIUX FENIX PRO 4"/>
        <s v="SIUX FENIX IV LITE"/>
        <s v="SIUX SPYDER REVOLUTION 3 LITE ATTACK HARD "/>
        <s v="SIUX SPYDER LITE CTRL 3 HARD 2024"/>
        <s v="SIUX TRILOGY GO 4"/>
        <s v="SIUX TRILOGY LITE AIR 4"/>
        <s v="SIUX TRILOGY CONTROL PRO 4"/>
        <s v="CAMISETA PROMOCIONAL MUJER PADEL NUESTRO LIGHT BLL"/>
        <s v="CAMISETA PROMOCIONAL MUJER PADEL NUESTRO LIGHT BLM"/>
        <s v="CAMISETA PROMOCIONAL MUJER PADEL NUESTRO LIGHT BLS"/>
        <s v="CAMISETA PROMOCIONAL MUJER PADEL NUESTRO RL"/>
        <s v="CAMISETA PROMOCIONAL MUJER PADEL NUESTRO RM"/>
        <s v="CAMISETA PROMOCIONAL MUJER PADEL NUESTRO RS"/>
        <s v="CAMISETA PROMOCIONALMUJERPADEL NUESTRO WHIL"/>
        <s v="CAMISETA PROMOCIONAL MUJER PADEL NUESTRO WHIM"/>
        <s v="CAMISETA PROMOCIONAL MUJER PADEL NUESTRO WHIS"/>
        <s v="CAMISETA PN AZUL BLANCO L"/>
        <s v="CAMISETA PROMOCIONAL HOMBRE PADEL NUESTRO LIL"/>
        <s v="CAMISETA PROMOCIONAL HOMBRE PADEL NUESTRO LIM"/>
        <s v="CAMISETA PROMOCIONAL HOMBRE PADEL NUESTROWXXL"/>
        <s v="CAMISETA PROMOCIONAL HOMBRE PADEL NUESTRO WHIXL"/>
        <s v="CAMISETA PROMOCIONAL HOMBRE PADEL NUESTRO WHIL"/>
        <s v="CAMISETA PROMOCIONAL HOMBRE PADEL NUESTRO WHIM"/>
        <s v="CAMISETA PROMOCIONAL HOMBRE PADEL NUESTRO WHIS"/>
        <s v="CAMISETA PN NAVY AMARILLA XL"/>
        <s v="CAMISETA PN NAVY/AMARILLA  L"/>
        <s v="CAMISETA PN NAVY AMARILLA M"/>
        <s v="TOALLA PN AZUL"/>
        <s v="TOALLA SIUX MARINA"/>
        <s v="TUBO RECOGEPELOTAS SIUX 15 PLTS ROJO"/>
        <s v="TUBO RECOGEPELOTAS SIUX 15 PLTS TRANSPARENTE"/>
        <s v="TUBO RECOGEPELOTAS SIUX 15 PLTS AMARILLO"/>
        <s v="MUÃ‘EQUERA NEGRA CLUB SIUX LARGA (Portugal)"/>
        <s v="MUÃ‘EQUERA BLANCA SIUX LARGA"/>
        <s v="CAJÃ“N SIUX NEO BALLS x24"/>
        <s v="CAJÃ“N SIUX NEO BALLS SPEEDx24 "/>
        <s v="SIUX DIABLO REVOLUTION 3K 2023"/>
        <s v="SIUX PRO GRIP PERFORATED X3 BLANCO"/>
        <s v="CAMISETA PN HOMBRE MARINO XL"/>
        <s v="CAMISETA TORNEO B2B PN HOMBRE MARINO L"/>
        <s v="CAMISETA TORNEO B2B PN HOMBRE MARINO M"/>
        <s v="CAMISETA PN HOMBRE NEGRA  L"/>
        <s v="CAMISETA PN HOMBRE NEGRA  M"/>
        <s v="CAMISETA TORNEO B2B PN MUJER MARINO M"/>
        <s v="CAMISETA TORNEO B2B PN MUJER MARINO S"/>
        <s v="COMPETITION GORRA MARINO"/>
        <s v="COMPETITION GORRA NEGRA"/>
        <s v="COMPETITION GORRA BLANCA"/>
        <s v="PANTALÃ“N SIUX HOMBRE ELITE NAVY BLUE XL"/>
        <s v="PANTALÃ“N SIUX HOMBRE ELITE NAVY BLUE L"/>
        <s v="PANTALÃ“N SIUX HOMBRE ELITE NAVY BLUE M"/>
        <s v="PANTALÃ“N SIUX HOMBRE ELITE NAVY BLUE S"/>
        <s v="PANTALÃ“N SIUX HOMBRE ELITE GREEN XL"/>
        <s v="PANTALÃ“N SIUX HOMBRE ELITE GREEN L"/>
        <s v="PANTALÃ“N SIUX HOMBRE ELITE GREEN M"/>
        <s v="FALDA SIUX MUJER DESIRE GREEL"/>
        <s v="FALDA SIUX MUJER DESIRE GREEM"/>
        <s v="FALDA SIUX MUJER DESIRE GREES"/>
        <s v="PACK 3 CALCETINES NEGROS DHAKA CAÃ‘A ALTA 43/46"/>
        <s v="PACK 3 CALCETINES BLANCOS DHAKA43/46"/>
        <s v="PACK 3 CALCETINES BLANCOS DHAKA 39/42"/>
        <s v="CAMISETA SIUX HOMBRE EMPIRE NAVY BLUE XL"/>
        <s v="CAMISETA SIUX HOMBRE EMPIRE NAVY BLUE L"/>
        <s v="CAMISETA SIUX HOMBRE EMPIRE NAVY BLUE M"/>
        <s v="CAMISETA SIUX HOMBRE EMPIRE NAVY BLUE S"/>
        <s v="CAMISETA SIUX HOMBRE COMBER WHITE L"/>
        <s v="CAMISETA SIUX HOMBRE COMBER WHITE M"/>
        <s v="CAMISETA SIUX HOMBRE COMBER WHITE S"/>
        <s v="CAMISETA   SIUX   HOMBRE   EMPIRE   GREEN XL "/>
        <s v="CAMISETA  SIUX  HOMBRE  EMPIRE GREEN  L"/>
        <s v="CAMISETA  SIUX  HOMBRE  EMPIRE GREEN M"/>
        <s v="CAMISETA SIN MANGAS SIUX MUJER WISH GREEN L"/>
        <s v="CAMISETA SIN MANGAS SIUX MUJER WISH GREEN M"/>
        <s v="CAMISETA SIN MANGAS SIUX MUJER WISH GREEN S"/>
        <s v="PACK 3 CALCETINES GRISES DHAKA 43/46"/>
        <s v="PACK 3 CALCETINES GRISES DHAKA CA A MEDIA 39/42"/>
        <s v="PACK 3 CALCETINES GRISES DHAKA CA A MEDIA 35/38"/>
        <s v="PACK 3 CALCETINES SIUX NEGROS DHAKA CAÃ‘A MEDIA 43/46"/>
        <s v="CAMISETA ELECTRA STUPA AZUL  XL"/>
        <s v="CAMISETA ELECTRA STUPA AZUL  L"/>
        <s v="CAMISETA ELECTRA STUPA AZUL  M"/>
        <s v="CAMISETA ELECTRA STUPA AZUL  S"/>
        <s v="CAMISETA SIUX DIABLO SANYO OFFICIAL WHITEXL"/>
        <s v="CAMISETA SIUX DIABLO SANYO OFFICIAL WHITEL"/>
        <s v="CAMISETA SIUX DIABLO SANYO OFFICIAL WHITEM"/>
        <s v="PALETERO SIUX ELECTRA STUPA BLACK"/>
        <s v="CAMISETA SIUX ELECTRA STUPA OFFICIAL BLACK XL"/>
        <s v="CAMISETA SIUX ELECTRA STUPA OFFICIAL BLACKL"/>
        <s v="CAMISETA SIUX ELECTRA STUPA OFFICIAL BLACKM"/>
        <s v="PANTALON SIUX CLUB NAVY BLUE XL"/>
        <s v="PANTALON SIUX CLUB NAVY BLUE L"/>
        <s v="PANTALON SIUX CLUB NAVY BLUE M"/>
        <s v="PANTALON SIUX CLUB NAVY BLUE S"/>
        <s v="PANTALON SIUX CLUB BLACK XL"/>
        <s v="PANTALON SIUX CLUB BLACK L"/>
        <s v="CAMISETA SIUX CLUB NAVY BLUE L"/>
        <s v="CAMISETA SIUX CLUB NAVY BLUE M"/>
        <s v="CAMISETA SIUX CLUB WHITE L"/>
        <s v="CAMISETA SIUX HOMBRE CLUB BLANCA M"/>
        <s v="CAMISETA SIUX HOMBRE CLUB BLANCA S"/>
        <s v="CAMISETA SIUX CLUB BLACK L"/>
        <s v="CAMISETA SIUX CLUB BLACK M"/>
        <s v="SKIRT SIYX WOMAN WAVE XL"/>
        <s v="SKIRT SIYX WOMAN WAVE L"/>
        <s v="SKIRT SIYX WOMAN WAVE BLUE M"/>
        <s v="SKIRT SIYX WOMAN WAVES S"/>
        <s v="SKI RT SIYX WOMAN WAVE XS"/>
        <s v="CAMISETA SIUX MUJER WAVE XL"/>
        <s v="CAMISETA SIUX MUJER WAVEL"/>
        <s v="CAMISETA SIUX MUJER WAVE ROYALM"/>
        <s v="CAMISETA SIUX MUJER WAVE ROYALS"/>
        <s v="CAMISETA SIUX MUJER WAVE ROYAL XS"/>
        <s v="CALCETIN SIUX INVISIBLE EVIL BLANCO/NEGRO 40/42"/>
        <s v="CALCETIN SIUX INVISIBLE EVIL BLANCO/NEGRO 43/45"/>
        <s v="CHAPAS PN LOGO NU"/>
        <s v="CAJA BOLÃGRAFOS PN MERCHANDISING 50 UNIDAD"/>
        <s v="SIUX ST2 DE STUPA CONTROL"/>
        <s v="SIUX ST2 DE STUPA HIBRID"/>
        <s v="SIUX DIABLO JEWEL WOMAN DRESS XL"/>
        <s v="SIUX DIABLO JEWEL WOMAN DRESS L"/>
        <s v="SIUX DIABLO JEWEL WOMAN DRESS M"/>
        <s v="SIUX DIABLO JEWEL WOMAN DRESS S"/>
        <s v="SIUX DIABLO JEWEL WOMAN DRESS XS"/>
        <s v="SIUX BODOVA T-SHIRTL"/>
        <s v="SIUX BODOVA T-SHIRT M"/>
        <s v="SIUX BODOVA T-SHIRT XL"/>
        <s v="SIUX BODOVA T-SHIRT L"/>
        <s v="CAMISETA SIUX ZEMPER L"/>
        <s v="CAMISETA SIUX ZEMPER M"/>
        <s v="SHORT PANTS SIUX DIABLO RIBBONXL"/>
        <s v="SHORT PANTS SIUX DIABLO RIBBON L"/>
        <s v="SHORT PANTS SIUX DIABLO RIBBONM"/>
        <s v="PANTALON CORTO SIUX DIABLO SERIES NEGRO L"/>
        <s v="SIUX FENIX II 3K"/>
        <s v="SIUX TRILOGY ATTACK 3 2023"/>
        <s v="SIUX TRILOGY II CONTROL 24K PATTY LLAGUNO 2023 "/>
        <s v="SIUX ELECTRA ST2"/>
        <s v="SIUX FENIX III JAVI RUIZ PRO"/>
        <s v="WHITE SIUX DIABLO DRESSXL"/>
        <s v="WHITE SIUX DIABLO DRESS L"/>
        <s v="WHITE SIUX DIABLO DRESS M"/>
        <s v="WHITE SIUX DIABLO DRESS S"/>
        <s v="MOCHILA SIUX FUSION NEGRO ROJO"/>
        <s v="SIUX VIKING III"/>
        <s v="SIUX SX6 2022 "/>
        <s v="SIUX BLACK CARBON REVOLUTION 3K"/>
        <s v="ORYGEN INTRUDER"/>
        <s v="MULTICOLOURED SIUX "/>
        <s v="ECLYPSE TOTAL 3.0 "/>
        <s v="ECLYPSE LUNAR 3.0 WOMAN"/>
        <s v="SIUX MATCH PRO BALLS "/>
        <s v="BLISTER OVERGRIPS SIUX PRO X3 VARIOS"/>
        <s v=" SIUX  ELECTRA PRO 2026 FIRE RED  "/>
        <s v="CODERA NEOPRENO"/>
        <s v="MUÃ‘EQUERA DE NEOPRENO SOFTEE "/>
        <s v="DROP SHOT CANYON SOFT"/>
        <s v="LONG DROP SHOT BLUE WRISTBAND "/>
        <s v="WHITE DROP SHOT DAKOTA CAP "/>
        <s v="GRIP VISION REEMPLAZO PRO NEGRO"/>
        <s v="SUDADERA JHAYBER ANNIVERSARY BLACK L"/>
        <s v="SUDADERA JHAYBER ANNIVERSARY BLACK M"/>
        <s v="SUDADERA JHAYBER ANNIVERSARY BLACK S"/>
        <s v="MUÃ‘EQUERA JHAYBER MATE NEGRO"/>
        <s v="MUNEQUERA J.HAYBER"/>
        <s v="CONJUNTO JHAYBER DN23062-700 14"/>
        <s v="CONJUNTO JHAYBER DN23062-700 12"/>
        <s v="CONJUNTO JHAYBER DN23062-700 10"/>
        <s v="CONJUNTO JHAYBER DN23062-700 8"/>
        <s v="CONJUNTO JHAYBER DA23054-37 XXL"/>
        <s v="CONJUNTO JHAYBER DA23054-37 XL"/>
        <s v="CONJUNTO JHAYBER DA23054-37 L"/>
        <s v="CONJUNTO JHAYBER DA23054-37 M"/>
        <s v="CONJUNTO JHAYBER DA23050-37 XL"/>
        <s v="CONJUNTO JHAYBER DA23050-37 L"/>
        <s v="CONJUNTO JHAYBER DA23050-37 M"/>
        <s v="CONJUNTO JHAYBER DA23050-37 S"/>
        <s v="CANS OF VARLION SUMMUM PRO W BALLS "/>
        <s v="BOLAS VARLION SUMMUM PRO S "/>
        <s v="MOCHILA VARLION AMBASSADORS NEGRO"/>
        <s v="MOCHILA VARLION AMBASSADORS ROJO VINO"/>
        <s v="MOCHILA VARLION AMBASSADORS DARK BLUE"/>
        <s v="MOCHILA VARLION AMBASSADORS MARRÃ“N"/>
        <s v="PALETERO VARLION TRAVEL TOUR WHEELS NEGRO"/>
        <s v="CINTA CABEZA VARLION PINK"/>
        <s v="GRIP VARLION SPONGE TEX NEGRO / AMARILLO"/>
        <s v="OVERGRIPS VARLION H2O X3 WHITE"/>
        <s v="YELLOW VARLION H2O X3 OVERGRIPS "/>
        <s v="OVERGRIPS VARLION H2O X3 ORANGE"/>
        <s v="VARLION MAXIMA SUMMUM JUNIOR 2023"/>
        <s v="VARLION LW HEXAGON 8.8"/>
        <s v="VARLION LW CARBON TI DIFUSOR BLACK"/>
        <s v="VARLION LW SUMMUM PRISMA"/>
        <s v="VARLION LW SUMMUM PRISMA S"/>
        <s v="VARLION MAXIMA SUMMUN PRISMA S"/>
        <s v="PROTECTOR SOFTEE PADEL GEOMETRÃA"/>
        <s v="TAMBOR 60 OVERGRIPS SHOCKOUT PREMIUM PERFORADO "/>
        <s v="TAMBOR 60 OVERGRIPS PREMIUM LISOS BLANCO NEGRO"/>
        <s v="SHOCKOUT DUAL PRO GRIP Y OVERGRIP AZUL NARANJA"/>
        <s v=" DUAL PRO GRIP NEGRO/NARANJA 100-0015 "/>
        <s v="ANTIVIBRADOR SHOCKOUT verde (EspaÃ±a)"/>
        <s v="PROTECTOR SHOCK OUT 100-0057 TRANSAPARENTE (espana)"/>
        <s v="BOLSA SHOCKOUT X12 OVERGRIPS PREMIUM BLANCO LISO"/>
        <s v="TAMBOR SHOCKOUT X24 OVERGRIPS PREMIUM BLANCO "/>
        <s v="TAMBOR SHOCKOUT X60 OVERGRIPS PREMIUM MULTICOLOR PERF"/>
        <s v="TAMBOR SHOCKOUT X60 OVERGRIPS PREMIUM MULTICOLOR LISO"/>
        <s v="PLANTILLA DEPORTIVA SHOCKOUT SUPREME 45"/>
        <s v="PLANTILLA DEPORTIVA SHOCKOUT SUPREME 44"/>
        <s v="PLANTILLA DEPORTIVA SHOCKOUT SUPREME 43"/>
        <s v="PLANTILLA DEPORTIVA SHOCKOUT SUPREME 42"/>
        <s v="PROTECTOR SHOCK OUT BOLAS"/>
        <s v="RS MOCHILA TEAM PEQUEÃ‘A NEGRO"/>
        <s v="MOCHILA RS TEAM GRANDE AZUL MARINO"/>
        <s v="RS PADEL PRO TOUR 3 PACK OVERGRIP "/>
        <s v="RS COBRA JUNIOR EDITION "/>
        <s v="RS COBRA EDITION NEGRO BLANCO"/>
        <s v="BANDA PARA LA CABEZA HEAD LOGO BLANCO"/>
        <s v="BANDA PARA LA CABEZA HEAD LOGO NEGRO"/>
        <s v="MUÃ‘EQURA HEAD WRISTBAND 5 INCH 285070 WH"/>
        <s v="MUÃ‘EQUERA HEAD 5 INCH ROJO"/>
        <s v="MUÃ‘EQURA HEAD WRISTBAND NV"/>
        <s v="MUÃ‘EQUERAS HEAD 2.5&quot; ROJO"/>
        <s v="HEAD WRISTBAND NV"/>
        <s v="MU EQURA HEAD WRISTBAND 2,5 BK"/>
        <s v="PALETERO HEAD CORE PADEL COMBI"/>
        <s v="HEAD CLUB SHORTS BK XL"/>
        <s v="HEAD CLUB SHORTS BKM"/>
        <s v="HEAD CLUB SHORTS BK L"/>
        <s v="HEAD ULTIMATE POWER GREEN WITH CB"/>
        <s v="MUÃ‘EQURA HEAD 5 BK"/>
        <s v="OVERGRIP HEAD XTREME SOFT X60 BOX BLANCO"/>
        <s v="ZAPATILLAS HEAD REVOLT PRO 4.5 CLAY MUJER 274215 40"/>
        <s v="ZAPATILLAS HEAD REVOLT PRO 4.5 CLAY MUJER 274215 39"/>
        <s v="ZAPATILLAS HEAD REVOLT PRO 4.5 CLAY MUJER 274215 38,5"/>
        <s v="ZAPATILLAS HEAD REVOLT PRO 4.5 CLAY MUJER 274215 38"/>
        <s v="ZAPATILLAS HEAD REVOLT PRO 4.5 CLAY MUJER 274215 37"/>
        <s v="SHORT HEAD POWER 8112XL"/>
        <s v="SHORT HEAD POWER 81125S"/>
        <s v="SHORT HEAD POWER 81125M"/>
        <s v="SHORT HEAD POWER 8112L"/>
        <s v="HEAD TENNIS CREW ATHLETES WHITE 43/46"/>
        <s v="HEAD TENNIS CREW ATHLETES WHITE 39/42"/>
        <s v="ZAPATILLAS HEAD MOTION PRO PADEL MEN 273604 BBFC 45"/>
        <s v="ZAPATILLAS HEAD MOTION PRO PADEL MEN 273604 BBFC 44"/>
        <s v="ZAPATILLAS HEAD MOTION PRO PADEL MEN 273604 BBFC 43"/>
        <s v="ZAPATILLAS HEAD MOTION PRO PADEL MEN 273604 BBFC 42"/>
        <s v=" HEAD MOTION PRO PADEL MEN 273604 BBFC 41"/>
        <s v="HEAD GRAVITY MOTION"/>
        <s v="PALETERO HEAD BASIC PADEL CB 285042"/>
        <s v="HEAD DELTA PRO 228102"/>
        <s v="SUDADERA HEAD RALLY 811425 TE XL"/>
        <s v="SUDADERA HEAD RALLY 811425 TE S"/>
        <s v="SUDADERA HEAD RALLY 811425 TE M"/>
        <s v="SUDADERA HEAD RALLY 811425 TE L"/>
        <s v="ZAPATILLAS HEAD REVOLT PRO 4.5 CLAY MUJER 274255 WHTB 39"/>
        <s v="ZAPATILLAS HEAD SPRINT TEAM 4.0 CLAY MUJER 274455 W40.5"/>
        <s v="ZAPATILLAS HEAD SPRINT TEAM 4.0 CLAY MUJER 274455 W40"/>
        <s v="ZAPATILLAS HEAD SPRINT TEAM 4.0 CLAY MUJER 274455 W39"/>
        <s v="ZAPATILLAS HEAD SPRINT TEAM 4.0 CLAY MUJER 274455 W38"/>
        <s v="ZAPATILLAS HEAD REVOLT PRO 4.5 CLAY MUJER 274255 WHTB 40"/>
        <s v="ZAPATILLAS HEAD REVOLT PRO 4.5 CLAY MUJER 274255 WHTB 38,5"/>
        <s v="ZAPATILLAS HEAD REVOLT PRO 4.5 CLAY MUJER 274255 WHTB 38"/>
        <s v="ZAPATILLAS HEAD REVOLT PRO 4.5 CLAY MUJER 274255 WHTB 37"/>
        <s v="ZAPATILLAS HEAD MOTION PRO PADEL 45"/>
        <s v="ZAPATILLAS HEAD MOTION PRO PADEL 273645 WHBK 44,5"/>
        <s v="ZAPATILLAS HEAD MOTION PRO PADEL 44"/>
        <s v="ZAPATILLAS HEAD MOTION PRO PADEL 43"/>
        <s v="ZAPATILLAS HEAD MOTION PRO PADEL 42"/>
        <s v="ZAPATILLAS HEAD MOTION PRO PADEL 41"/>
        <s v="ZAPATILLAS HEAD SPRINT PRO 4.0 CLAY 273195 WHBK 45"/>
        <s v="ZAPATILLAS HEAD SPRINT PRO 4.0 CLAY 273195 WHBK 44"/>
        <s v="ZAPATILLAS HEAD SPRINT PRO 4.0 CLAY 273195 WHBK 43"/>
        <s v="ZAPATILLAS HEAD SPRINT PRO 4.0 CLAY 273195 WHBK 42"/>
        <s v="ZAPATILLAS HEAD SPRINT PRO 4.0 CLAY 273195 WHBK 41"/>
        <s v="VISERA HEAD PRO PLAYER WOMENS 287135 WH "/>
        <s v="VISERA HEAD PRO PLAYER WOMENS 287135 WG "/>
        <s v="GORRA HEAD PRO PLAYER 287115 WH"/>
        <s v="GORRA HEAD PRO PLAYER 287115 NV "/>
        <s v="GORRA HEAD PRO PLAYER 287115 BK "/>
        <s v="GORRA HEAD PRO PLAYER 287115 AQ "/>
        <s v="VISERA HEAD PERFORMANCE 287105 BK "/>
        <s v="PALETERO HEAD PRO X PADEL BAG L BK 260045"/>
        <s v="SUDADERA HEAD RALLY 811425 NV XL"/>
        <s v="SUDADERA HEAD RALLY 811425 NV S"/>
        <s v="SUDADERA HEAD RALLY 811425 NV M"/>
        <s v="SUDADERA HEAD RALLY 811425 NV L"/>
        <s v="CAMISETA HEAD SLICE II 811265 XL"/>
        <s v="CAMISETA HEAD SLICE II 811265 S"/>
        <s v="CAMISETA HEAD SLICE II 811265 M"/>
        <s v="CAMISETA HEAD SLICE II 811265 L"/>
        <s v="SHORT HEAD POWER 8112S"/>
        <s v="SHORT HEAD POWER 8112M"/>
        <s v="CAMISETA HEAD TOPSPIN 811235 XVS"/>
        <s v="CAMISETA HEAD TOPSPIN 811235 XM"/>
        <s v="CAMISETA HEAD TOPSPIN 811235 XVLL"/>
        <s v="CAMISETA HEAD SLICE 811215 XL"/>
        <s v="CAMISETA HEAD SLICE 811215 S"/>
        <s v="CAMISETA HEAD SLICE 811215 M"/>
        <s v="CAMISETA HEAD SLICE 811215 L"/>
        <s v="HEAD EXTREME ONE 2023"/>
        <s v="CAMISETA HEAD PLAY TECH TANK TOP 814844 CEWH MUJER S"/>
        <s v="CAMISETA HEAD PLAY TECH TANK TOP 814844 CEWH MUJER M"/>
        <s v="CAMISETA HEAD PLAY TECH TANK TOP 814844 CEWH MUJER L"/>
        <s v="FALDA HEAD PLAY SKORT 814884 S"/>
        <s v="FALDA HEAD PLAY SKORT 814884 M"/>
        <s v="FALDA HEAD PLAY SKORT 814884 L"/>
        <s v="PALETERO HEAD TEAM PADEL BAG 262354 BLBK"/>
        <s v="CHAQUETA HEAD CLUB 22 MUJER 814401 WHXS"/>
        <s v="CHAQUETA HEAD CLUB 22 MUJER 814401 WHXL"/>
        <s v="CHAQUETA HEAD CLUB 22 MUJER 814401 WHS"/>
        <s v="CHAQUETA HEAD CLUB 22 MUJER 814401 WH M"/>
        <s v="CHAQUETA HEAD CLUB 22 MUJER 814401 WH L"/>
        <s v="HEAD EVO EXTREME 2023"/>
        <s v="PALA HEAD EXTREME MOTION 2023"/>
        <s v="HEAD EXTREME PRO 2023"/>
        <s v="ZAPATILLAS HEAD MOTION PRO PADEL MEN 273613 WHLN 45"/>
        <s v=" HEAD MOTION PRO PADEL MEN 273613 WHLN 44,5"/>
        <s v="ZAPATILLAS HEAD MOTION PRO PADEL MEN 273613 WHLN 44"/>
        <s v="ZAPATILLAS HEAD MOTION PRO PADEL MEN 273613 WHLN 43"/>
        <s v="ZAPATILLAS HEAD MOTION PRO PADEL MEN 273613 WHLN 42"/>
        <s v="HEAD MOTION PRO PADEL 273603 BKWH 46,5"/>
        <s v="HEAD MOTION PRO PADEL 273603 BKWH 46"/>
        <s v="HEAD MOTION PRO PADEL 273603 BKWH 44,5"/>
        <s v="HEAD MOTION PRO PADEL 273603 BKWH 40,5"/>
        <s v="HEAD MOTION PRO PADEL 273603 BKWH 40"/>
        <s v="HEAD MOTION PRO PADEL 273603 BKWH 39"/>
        <s v="HEAD MOTION PRO PADEL 273603 BKWH 38,5"/>
        <s v="PADELBAG HEAD PRO X LBLACK"/>
        <s v="PALETRO HEAD TOUR AZUL"/>
        <s v="CALCETINES HEAD 1P CREW 811533 PAGR43/46"/>
        <s v="CALCETINES HEAD 1P SNEAKER 811523 PAGR39/42"/>
        <s v="CALCETINES HEAD 1P SNEAKER 811523 MGRO39/42"/>
        <s v="CALCETINES HEAD 1P SNEAKER 811523 MGRO35/38"/>
        <s v="HEAD SPEED JUNIOR 2023"/>
        <s v="HEAD EVO SPEED 2023"/>
        <s v="RAQUETERO HEAD TOUR M 260823 CHYU"/>
        <s v="PALETERO HEAD BASE M 261443 NEGRO AMARILLO"/>
        <s v="PALETERO HEAD BASE M 261343 NEGRO ROJO"/>
        <s v="PALETERO HEAD CCT PADEL CB 288075"/>
        <s v="HEAD SPRINT VELCRO 3 BLANCO AZUL JUNIOR"/>
        <s v="HEAD SPRINT 3.5 AMARILLO VERDE JUNIOR"/>
        <s v="HEAD REVOLT PRO 4.0 LIMA BLANCO NIÃ‘O 275263 32"/>
        <s v="HEAD REVOLT PRO 4.0 LIMA BLANCO NIÃ‘O 39"/>
        <s v="HEAD REVOLT PRO 4.0 LIMA BLANCO NIÃ‘O 38"/>
        <s v="HEAD REVOLT PRO 4.0 LIMA BLANCO NIÃ‘O  37"/>
        <s v="HEAD REVOLT PRO 4.0 LIMA BLANCO NIÃ‘O  36"/>
        <s v="HEAD REVOLT PRO 4.0 LIMA BLANCO NIÃ‘O 275263 35"/>
        <s v="HEAD REVOLT PRO 4.0 LIMA BLANCO NIÃ‘O 275263 34"/>
        <s v="HEAD REVOLT PRO 4.0 CLAY NEGRO AZUL NIÃ‘O 275213 BKTE 32"/>
        <s v="HEAD REVOLT PRO 4.0 CLAY NEGRO AZUL NIÃ‘O"/>
        <s v="HEAD REVOLT PRO 4.0 CLAY NEGRO AZUL NIÃ‘O 34,5"/>
        <s v="HEAD REVOLT PRO 4.0 CLAY NEGRO AZUL NIÃ‘O 275213 BKTE 34"/>
        <s v="HEAD REVOLT PRO 4.0 CLAY NEGRO AZUL NIÃ‘O 275213 BKTE 33"/>
        <s v="FALDA HEAD PADEL SKORT 814533 CO S"/>
        <s v="FALDA HEAD DYNAMIC SKORT 814703 BK S"/>
        <s v="FALDA HEAD DYNAMIC SKORT 814703 BK M"/>
        <s v="SHORT HEAD DYNAMIC 814693 WH MUJER S"/>
        <s v="SHORT HEAD DYNAMIC 814693 WH MUJER M"/>
        <s v="SHORT HEAD DYNAMIC 814693 WH MUJER L"/>
        <s v="CAMISETA TIRANTES HEAD SPIRIT TANK 814683 WH MUJER XS"/>
        <s v="CAMISETA TIRANTES HEAD SPIRIT TANK 814683 WH MUJER S"/>
        <s v="CAMISETA TIRANTES HEAD SPIRIT TANK 814683 WH MUJER M"/>
        <s v="CAMISETA TIRANTES HEAD SPIRIT TANK 814683 WH MUJER L"/>
        <s v="CAMISETA TIRANTES HEAD SPIRIT TANK 814683 NV MUJER S"/>
        <s v="CAMISETA TIRANTES HEAD SPIRIT TANK 814683 NV MUJER M"/>
        <s v="CAMISETA TIRANTES HEAD SPIRIT TANK 814683 NV MUJER L"/>
        <s v="CAMISETA TIRANTES HEAD SPIRIT TANK 814683 BK MUJER XS"/>
        <s v="CAMISETA TIRANTES HEAD SPIRIT TANK 814683 BK MUJER S"/>
        <s v="CAMISETA TIRANTES HEAD SPIRIT TANK 814683 BK MUJER M"/>
        <s v="FALDA HEAD PERFORMANCE SKORT 814633 M"/>
        <s v="CAMISETA DE TIRANTES HEAD PERFORMANCE TANK 814623 MUXR MUJER S"/>
        <s v="CAMISETA DE TIRANTES HEAD PERFORMANCE TANK 814623 MUXR MUJER M"/>
        <s v="FALDA HEAD PADEL SKORT 814533 CO XL"/>
        <s v="FALDA HEAD PADEL SKORT 814533 CO M"/>
        <s v="FALDA HEAD PADEL SKORT 814533 CO L"/>
        <s v="SHORT HEAD POWERNV L"/>
        <s v="CAMISETA HEAD PADEL TECH 811363 XL"/>
        <s v="CAMISETA HEAD PADEL TECH 811363 S"/>
        <s v="CAMISETA HEAD PADEL TECH 811363 M"/>
        <s v="CAMISETA HEAD PADEL TECH 811363 LN L"/>
        <s v="CAMISETA HEAD PADEL TECH 811363 GRLN XL"/>
        <s v="CAMISETA HEAD PADEL TECH 811363 GRLN S"/>
        <s v="CAMISETA HEAD PADEL TECH 811363 GRLN M"/>
        <s v="CAMISETA HEAD PADEL TECH 811363 GRLNL"/>
        <s v="SHORT HEAD PADELNV XL"/>
        <s v="SHORT HEAD PADELNV M"/>
        <s v="SHORT HEAD PADELNV L"/>
        <s v="CAMISETA HEAD CLUB IVAN 811033 DBXL"/>
        <s v="CAMISETA HEAD CLUB IVAN 811033 DBS"/>
        <s v="CAMISETA HEAD CLUB IVAN 811033 DB M"/>
        <s v="CAMISETA HEAD CLUB IVAN 811033 DBL"/>
        <s v="SUDADERA HEAD CLUB BYRON 811449 PALN XL"/>
        <s v="SUDADERA HEAD CLUB BYRON 811449 PALN S"/>
        <s v="SUDADERA HEAD CLUB BYRON 811449 PALN M"/>
        <s v="SUDADERA HEAD CLUB BYRON 811449 PALN L"/>
        <s v="SUDADERA HEAD CLUB ROSIE 814489 NV MUJER XL"/>
        <s v="SUDADERA HEAD CLUB ROSIE 814489 NV MUJER S"/>
        <s v="SUDADERA HEAD CLUB ROSIE 814489 NV MUJER M"/>
        <s v="SUDADERA HEAD CLUB ROSIE 814489 NV MUJER L"/>
        <s v="SHORT HEAD CLUB 25 TECH 811379 NV XL"/>
        <s v="SHORT HEAD CLUB 25 TECH 811379 NV S"/>
        <s v="SHORT HEAD CLUB 25 TECH 811379 NV M"/>
        <s v="SHORT HEAD CLUB 25 TECH 811379 NV L"/>
        <s v="HEAD XTREME TRACK OWERWRAP 285124 BK"/>
        <s v="HEAD SPRINT PRO 3.5 SF CLAY NEGRO NARANJA 273012 BKOR 38"/>
        <s v="GRIP HEAD DUAL ABSORBING NEGRO"/>
        <s v="HEAD GRIP XTREMESOFT BL"/>
        <s v="HEAD GRIP XTREMESOFT OVERWRAP 285104 BL"/>
        <s v="HEAD TENNIS 2P STRIPE QUARTER GREY WHITE SOCKS43/46"/>
        <s v="HEAD TENNIS 2P STRIPE QUARTER GREY WHITE SOCKS39/42"/>
        <s v="HEAD TENNIS 2P STRIPE QUARTER GREY WHITE SOCKS35/38"/>
        <s v="HEAD 2P STRIPE QUARTER SOCKS 43/46"/>
        <s v="CALCETINES HEAD 2P STRIPE QUARTER 43/46"/>
        <s v="HEAD 2P STRIPE QUARTER SOCKS 39/42"/>
        <s v="CALCETINES HEAD 2P STRIPE QUARTER 39/42"/>
        <s v="HEAD 2P STRIPE QUARTER SOCKS 35/38"/>
        <s v="PALETERO HEAD TOUR TEAM MONSTERCOMBI"/>
        <s v="OVERGRIP HEAD PADEL PRO 3 PCS 285111 GR"/>
        <s v="HEAD EVO DELTA 2022"/>
        <s v="HEAD EDGE LTD NARANJA"/>
        <s v="HEAD CALIBRE ROSA"/>
        <s v="HEAD ULTIMATE POWER II WITH CB NARANJA"/>
        <s v="PALETERO HEAD CORE PADEL ULTIMATE BLANCO GRIS"/>
        <s v="PALETERO HEAD PADEL CORE ULTIMATE"/>
        <s v="HEAD GRAPHENE 360 DELTA GOLD "/>
        <s v="HEAD SPRINT PRO 3.5 CLAY BLANCO 45"/>
        <s v="HEAD SPRINT PRO 3.5 CLAY BLANCO  44"/>
        <s v="HEAD SPRINT PRO 3.5 SF CLAY NEGRO NARANJA 273012 BKOR 44,5"/>
        <s v="HEAD SPRINT PRO 3.5 SF CLAY NEGRO NARANJA 273012 BKOR 42"/>
        <s v="HEAD SPRINT PRO 3.5 SF CLAY NEGRO NARANJA 273012 BKOR 40"/>
        <s v="HEAD SPRINT PRO 3.5 SF CLAY NEGRO NARANJA 273012 BKOR 39"/>
        <s v="SUDADERA HEAD CLUB FYNN FZ 811459 BK XL"/>
        <s v="SUDADERA HEAD CLUB FYNN FZ 811459 BK S"/>
        <s v="SUDADERA HEAD CLUB FYNN FZ 811459 BK M"/>
        <s v="SUDADERA HEAD CLUB FYNN FZ 811459 BK L"/>
        <s v="SUDADERA CAPUCHA HEAD CLUB BYRON 811449 DB XL"/>
        <s v="SUDADERA CAPUCHA HEAD CLUB BYRON 811449 DB S"/>
        <s v="SUDADERA CAPUCHA HEAD CLUB BYRON 811449 DB M"/>
        <s v="SUDADERA CAPUCHA HEAD CLUB BYRON 811449 DB L"/>
        <s v="HEAD 2.5 ROSA"/>
        <s v="HEAD WRISTBAND 2.5 MARINE WATER"/>
        <s v="CONJUNTO JHAYBER DA23052-100 XL"/>
        <s v="CAMISETA JHAYBER DA3241-100 M"/>
        <s v="CAMISETA JHAYBER DA3241-100 XL"/>
        <s v="PLANTILLA FOOTGEL PADEL EUCALIPTO 43/46"/>
        <s v="ZAPATILLAS MIZUNO WAVE EXCEED TOUR 6 CC 47"/>
        <s v="ZAPATILLAS MIZUNO WAVE EXCEED TOUR 6 CC 46"/>
        <s v="ZAPATILLAS MIZUNO WAVE EXCEED TOUR 6 CC 45"/>
        <s v="ZAPATILLAS MIZUNO WAVE EXCEED TOUR 6 CC 44.5"/>
        <s v="ZAPATILLAS MIZUNO WAVE EXCEED TOUR 6 CC 44"/>
        <s v="ZAPATILLAS MIZUNO WAVE EXCEED TOUR 6 CC 43"/>
        <s v="ZAPATILLAS MIZUNO WAVE EXCEED TOUR 6 CC 42.5"/>
        <s v="ZAPATILLAS MIZUNO WAVE EXCEED TOUR 6 CC 42"/>
        <s v="ZAPATILLAS MIZUNO WAVE EXCEED TOUR 6 CC 41"/>
        <s v="ZAPATILLAS MIZUNO WAVE EXCEED TOUR 6 CC 40"/>
        <s v="ZAPATILLAS MIZUNO WAVE EXCEED LIGHT 2 61GC2320 28 45"/>
        <s v="ZAPATILLAS MIZUNO WAVE EXCEED LIGHT 2 61GC2320 28 44"/>
        <s v="ZAPATILLAS MIZUNO WAVE EXCEED LIGHT 2 61GC2320 28 43"/>
        <s v="ZAPATILLAS MIZUNO WAVE EXCEED LIGHT 2 61GC2320 28 42,5"/>
        <s v="ZAPATILLAS MIZUNO WAVE EXCEED LIGHT 2 61GC2320 28  42"/>
        <s v="SHORT MIZUNO TRAD M 62EBA500 14 NAVYXL"/>
        <s v="SHORT MIZUNO TRAD M 62EBA500 14 NAVYL"/>
        <s v="SHORT MIZUNO TRAD M 62EBA500 14 NAVYM"/>
        <s v="SHORT MIZUNO TRAD M 62EBA500 14 NAVYS"/>
        <s v="ZAPATILLAS MIZUNO WAVE ENFORCE TOUR CCMUJER 40"/>
        <s v="ZAPATILLAS MIZUNO WAVE ENFORCE TOUR CCMUJER39"/>
        <s v="ZAPATILLAS MIZUNO WAVE ENFORCE TOUR CCMUJER 38.5"/>
        <s v="ZAPATILLAS MIZUNO WAVE ENFORCE TOUR CCMUJER 38"/>
        <s v="ZAPATILLAS MIZUNO WAVE ENFORCE TOUR CC44"/>
        <s v="ZAPATILLAS MIZUNO WAVE ENFORCE TOUR CC 43"/>
        <s v="ZAPATILLAS MIZUNO WAVE ENFORCE TOUR CC 42.5"/>
        <s v="ZAPATILLAS MIZUNO WAVE ENFORCE TOUR 61GB2306-2744.5"/>
        <s v="ZAPATILLAS MIZUNO WAVE EXCEED LIGHT44"/>
        <s v="ZAPATILLAS MIZUNO WAVE EXCEED LIGHT 43"/>
        <s v="ZAPATILLAS MIZUNO WAVE EXCEED LIGHT 42.5"/>
        <s v="ZAPATILLAS MIZUNO WAVE EXCEED LIGHT41"/>
        <s v="CAMISETA MIZUNO 32EA7040C 97 BLACK/ SILVER XL"/>
        <s v="CAMISETA MIZUNO 32EA7040C 97 BLACK/ SILVER L"/>
        <s v="CAMISETA MIZUNO 32EA7040C 97 BLACK/ SILVER S"/>
        <s v="CAMISETA MIZUNO 32EA7040C 77 WHITE/ SILVER XL"/>
        <s v="CAMISETA MIZUNO 32EA7040C 77 WHITE/ SILVER L"/>
        <s v="CAMISETA MIZUNO 32EA7040C 77 WHITE/ SILVER M"/>
        <s v="CAMISETA MIZUNO 32EA7040C 77 WHITE/ SILVER S"/>
        <s v="CAMISETA MIZUNO 32EA7040C 62 RED/ WHITE XL"/>
        <s v="CAMISETA MIZUNO 32EA7040C 62 RED/ WHITE L"/>
        <s v="CAMISETA MIZUNO 32EA7040C 62 RED/ WHITE M"/>
        <s v="CAMISETA MIZUNO 32EA7040C 62 RED/ WHITE S"/>
        <s v="CALCETINES MIZUNO TRAINING LOW L"/>
        <s v="CALCETINES MIZUNO TRAINING LOW M"/>
        <s v="CALCETINES MIZUNO TRAINING LOW S"/>
        <s v="LLAVERO DUNLOP KEYRING"/>
        <s v=" PACK 200 UDS. BOLSA PAPEL PADEL NUESTRO 32X40X12  "/>
        <s v="SHORT ASICS COURT 7IN SHORT 2041A344-001 L"/>
        <s v="SHORT ASICS COURT 7IN SHORT 2041A344-001 M"/>
        <s v="CAMISETA ASICS COURT SS TOP 2041A339-400 L"/>
        <s v="CAMISETA ASICS COURT SS TOP 2041A339-400 M"/>
        <s v="SHORT ASICS COURT 7IN SHORT 2041A344-100 L"/>
        <s v="SHORT ASICS COURT 7IN SHORT 2041A344-100 M"/>
        <s v="CAMISETA ASICS CORE ALL OVER PRINT SS TOP 2011D212-001 L"/>
        <s v="CAMISETA ASICS CORE ALL OVER PRINT SS TOP 2011D212-001 M"/>
        <s v="CAMISETA ASICS PADEL COURT SS TOP 2041A349-401 L"/>
        <s v="CAMISETA ASICS PADEL COURT SS TOP 2041A349-401 M"/>
        <s v="CAMISETA ASICS COURT SS TOP 2041A339-500 M"/>
        <s v="CAMISETA ASICS COURT SS TOP 2041A339-500 L"/>
        <s v="SHORT ASICS COURT 7IN SHORT 2041A344-400 L"/>
        <s v="SHORT ASICS COURT 7IN SHORT 2041A344-400 M"/>
        <s v="CAMISETA ASICS COURT SS TOP 2041A339-100 L"/>
        <s v="CAMISETA ASICS COURT SS TOP 2041A339-100M"/>
        <s v="SHORT ASICS PADEL COURT 7IN SHORT 2041A350-401 L"/>
        <s v="SHORT ASICS PADEL COURT 7IN SHORT 2041A350-401 M"/>
        <s v=" ASICS SOLUTION SWIFT FF 2 PADEL 1041A465-400 44,5"/>
        <s v=" ASICS SOLUTION SWIFT FF 2 PADEL 1041A465-400 42"/>
        <s v=" ASICS SOLUTION SWIFT FF 2 PADEL 1041A465-400 43,5"/>
        <s v=" ASICS SOLUTION SWIFT FF 2 PADEL 1041A465-400 45"/>
        <s v=" ASICS SOLUTION SWIFT FF 2 PADEL 1041A465-400 42,5"/>
        <s v="ZAPATILLAS ASICS SOLUTION SWIFT FF 2 CLAY 1041A467-102 45"/>
        <s v=" ASICS GEL-RESOLUTION X PADEL 1041A492-400 42,5"/>
        <s v=" ASICS GEL-RESOLUTION X PADEL 1041A492-400 44"/>
        <s v=" ASICS GEL-RESOLUTION X PADEL 1041A492-400 40"/>
        <s v=" ASICS GEL-RESOLUTION X PADEL 1041A492-400 39,5"/>
        <s v=" ASICS GEL-RESOLUTION X PADEL 1041A492-400 46"/>
        <s v=" ASICS GEL-RESOLUTION X PADEL 1041A492-400 46,5"/>
        <s v=" ASICS GEL-RESOLUTION X PADEL 1041A492-400 45"/>
        <s v=" ASICS GEL-RESOLUTION X PADEL 1041A492-400 41,5"/>
        <s v=" ASICS GEL-RESOLUTION X PADEL 1041A492-400 44,5"/>
        <s v=" ASICS GEL-RESOLUTION X PADEL 1041A492-400 40,5"/>
        <s v=" ASICS GEL-RESOLUTION X PADEL 1041A492-400 43,5"/>
        <s v=" ASICS GEL-RESOLUTION X PADEL 1041A492-400 42"/>
        <s v="ASICS GAME FF CLAY/OC 1042A282-101 MUJER 37,5"/>
        <s v=" ASICS GAME FF CLAY/OC 1042A282-101 MUJER 39,5"/>
        <s v="ASICS GAME FF CLAY/OC 1042A282-101 MUJER 38"/>
        <s v=" ASICS GAME FF CLAY/OC 1042A282-101 MUJER 40"/>
        <s v="ASICS GAME FF CLAY/OC 1042A282-101 MUJER 39"/>
        <s v=" ASICS GAME FF CLAY/OC 1042A282-500 MUJER 37"/>
        <s v=" ASICS GAME FF CLAY/OC 1042A282-500 MUJER 39"/>
        <s v=" ASICS GAME FF CLAY/OC 1042A282-500 MUJER 38"/>
        <s v=" ASICS GAME FF CLAY/OC 1042A282-500 MUJER 40"/>
        <s v=" ASICS GAME FF CLAY/OC 1042A282-500 MUJER  39,5"/>
        <s v=" ASICS GAME FF CLAY/OC 1042A282-500 MUJER 37,5"/>
        <s v=" ASICS GAME FF CLAY/OC 1042A282-500 MUJER 40,5"/>
        <s v=" ASICS GAME FF PADEL 1042A286-100 MUJER 39"/>
        <s v=" ASICS GAME FF PADEL 1042A286-100 MUJER 37"/>
        <s v=" ASICS GAME FF PADEL 1042A286-100 MUJER 39,5"/>
        <s v=" ASICS GAME FF PADEL 1042A286-100 MUJER 38"/>
        <s v=" ASICS GAME FF PADEL 1042A286-100 MUJER 37,5"/>
        <s v=" ASICS GEL-RESOLUTION X CLAY 1042A277-100 MUJER 38"/>
        <s v=" ASICS GEL-RESOLUTION X CLAY 1042A277-100 MUJER 37"/>
        <s v=" ASICS GEL-RESOLUTION X CLAY 1042A277-100 MUJER 39,5"/>
        <s v=" ASICS GEL-RESOLUTION X CLAY 1042A277-100 MUJER 42"/>
        <s v=" ASICS GEL-RESOLUTION X CLAY 1042A277-100 MUJER 40"/>
        <s v=" ASICS GEL-RESOLUTION X CLAY 1042A277-100 MUJER 42,5"/>
        <s v=" ASICS GEL-RESOLUTION X CLAY 1042A277-100 MUJER 39"/>
        <s v=" ASICS GEL-RESOLUTION X CLAY 1042A277-100 MUJER 37,5"/>
        <s v=" ASICS GEL-RESOLUTION X CLAY 1042A277-100 MUJER 40,5"/>
        <s v=" ASICS GEL-RESOLUTION X CLAY 1041A485-100 44,5"/>
        <s v=" ASICS GEL-RESOLUTION X CLAY 1041A485-100 44"/>
        <s v=" ASICS GEL-RESOLUTION X CLAY 1041A485-500 40,5"/>
        <s v=" ASICS GEL-RESOLUTION X CLAY 1041A485-500 43,5"/>
        <s v=" ASICS GEL-RESOLUTION X CLAY 1041A485-500 44"/>
        <s v=" ASICS GEL-RESOLUTION X CLAY 1041A485-500 42,5"/>
        <s v=" ASICS GEL-RESOLUTION X CLAY 1041A485-500 45"/>
        <s v=" ASICS GEL-RESOLUTION X CLAY 1041A485-500 41,5"/>
        <s v=" ASICS GEL-RESOLUTION X CLAY 1041A485-500 44,5"/>
        <s v=" ASICS GEL-RESOLUTION X CLAY 1041A485-500 42"/>
        <s v=" ASICS GEL-RESOLUTION X CLAY 1041A485-500 46"/>
        <s v=" ASICS GEL-RESOLUTION X 1041A481-500 56,5"/>
        <s v=" ASICS GEL-RESOLUTION X 1041A481-500 42,5"/>
        <s v=" ASICS GEL-RESOLUTION X 1041A481-500 45"/>
        <s v=" ASICS GEL-RESOLUTION X 1041A481-500 47"/>
        <s v=" ASICS GEL-RESOLUTION X 1041A481-500 56"/>
        <s v=" ASICS GEL-RESOLUTION X 1041A481-500 44"/>
        <s v=" ASICS GEL-RESOLUTION X 1041A481-500 44,5"/>
        <s v=" ASICS GEL-RESOLUTION X 1041A481-500 42"/>
        <s v=" ASICS GEL-RESOLUTION X CLAY 1042A277-500 MUJER 40"/>
        <s v=" ASICS GEL-RESOLUTION X CLAY 1042A277-500 MUJER 40,5"/>
        <s v=" ASICS GEL-RESOLUTION X CLAY 1042A277-500 MUJER 39,5"/>
        <s v=" ASICS GEL-RESOLUTION X CLAY 1042A277-500 MUJER 39"/>
        <s v=" ASICS GEL-RESOLUTION X CLAY 1042A277-500 MUJER 38"/>
        <s v="DUNLOP INFERNO SILVER"/>
        <s v="DUNLOP NEMESIS "/>
        <s v="ZAPATILLAS ASICS SOLUTION SWIFT FF 2 PADEL L.E. 1041A497 100 42"/>
        <s v="ZAPATILLAS ASICS SOLUTION SWIFT FF 2 PADEL L.E. 1041A497 100 46"/>
        <s v="ZAPATILLAS ASICS SOLUTION SWIFT FF 2 PADEL L.E. 1041A497 100  44,5"/>
        <s v="ZAPATILLAS ASICS SOLUTION SWIFT FF 2 PADEL L.E. 1041A497 100  45"/>
        <s v="ZAPATILLAS ASICS SOLUTION SWIFT FF 2 PADEL L.E. 1041A497 100 41,5"/>
        <s v="ZAPATILLAS ASICS SOLUTION SWIFT FF 2 PADEL L.E. 1041A497 100 43,5"/>
        <s v="ZAPATILLAS ASICS SOLUTION SWIFT FF 2 PADEL L.E. 1041A497 100  42,5"/>
        <s v="ZAPATILLAS ASICS COURT FF 3 NOVAK CLAY 1041A362 963 44"/>
        <s v="ZAPATILLAS ASICS COURT FF 3 NOVAK CLAY 1041A362 963 42"/>
        <s v="ZAPATILLAS ASICS COURT FF 3 NOVAK CLAY 1041A362 963 44,5"/>
        <s v="ZAPATILLAS ASICS COURT FF 3 NOVAK CLAY 1041A362 963 42,5"/>
        <s v="ZAPATILLAS ASICS COURT FF 3 NOVAK CLAY 1041A362 963 45"/>
        <s v="ZAPATILLAS ASICS COURT FF 3 NOVAK CLAY 1041A362 963 43,5"/>
        <s v="ZAPATILLAS ASICS SOLUTION SPEED FF 3 CLAY 1041A437 400 42,5"/>
        <s v="ZAPATILLAS ASICS SOLUTION SPEED FF 3 CLAY 1041A437 400 44,5"/>
        <s v="ZAPATILLAS ASICS SOLUTION SPEED FF 3 CLAY 1041A437 400 43,5"/>
        <s v="ZAPATILLAS ASICS SOLUTION SPEED FF 3 CLAY 1041A437 400 46,5"/>
        <s v="ZAPATILLAS ASICS SOLUTION SPEED FF 3 CLAY 1041A437 400  44"/>
        <s v="ZAPATILLAS ASICS SOLUTION SPEED FF 3 CLAY 1041A437 400 41,5"/>
        <s v="ZAPATILLAS ASICS SOLUTION SPEED FF 3 CLAY 1041A437 400 45"/>
        <s v=" ASICS SOLUTION SPEED FF 3 CLAY 1041A437 400 42"/>
        <s v="ZAPATILLAS ASICS GEL GAME 9 CLAY/OC 1041A358 401 46,5"/>
        <s v="ZAPATILLAS ASICS GEL GAME 9 CLAY/OC 1041A358 401 42"/>
        <s v="ZAPATILLAS ASICS GEL GAME 9 CLAY/OC 1041A358 401 45"/>
        <s v="ZAPATILLAS ASICS GEL GAME 9 CLAY/OC 1041A358 401 44,5"/>
        <s v="ZAPATILLAS ASICS GEL GAME 9 CLAY/OC 1041A358 401 41,5"/>
        <s v="ZAPATILLAS ASICS GEL GAME 9 CLAY/OC 1041A358 401 42,5"/>
        <s v="ZAPATILLAS ASICS GEL GAME 9 CLAY/OC 1041A358 401 43,5"/>
        <s v="ZAPATILLAS ASICS SOLUTION SPEED FF 3 PADEL 1041A496 800 42,5"/>
        <s v="ZAPATILLAS ASICS SOLUTION SPEED FF 3 PADEL 1041A496 800 44,5"/>
        <s v="ZAPATILLAS ASICS SOLUTION SPEED FF 3 PADEL 1041A496 800 45"/>
        <s v="ZAPATILLAS ASICS SOLUTION SPEED FF 3 PADEL 1041A496 800 43,5"/>
        <s v="ZAPATILLAS ASICS GEL CHALLENGER 14 CLAY 1041A449 402 41,5"/>
        <s v="ZAPATILLAS ASICS GEL CHALLENGER 14 CLAY 1041A449 402 42,5"/>
        <s v="ZAPATILLAS ASICS GEL CHALLENGER 14 CLAY 1041A449 402 44,5"/>
        <s v="ZAPATILLAS ASICS GEL CHALLENGER 14 CLAY 1041A449 402 45"/>
        <s v="ZAPATILLAS ASICS GEL CHALLENGER 14 CLAY 1041A449 402 43,5"/>
        <s v="ZAPATILLAS ASICS GEL CHALLENGER 14 CLAY 1041A449 402 42"/>
        <s v="ZAPATILLAS ASICS GEL CHALLENGER 14 CLAY 1041A449 402 46"/>
        <s v="ZAPATILLAS ASICS GEL GAME 9 CLAY/OC 1041A358 104 45"/>
        <s v="ZAPATILLAS ASICS GEL GAME 9 CLAY/OC 1041A358 104 42,5 "/>
        <s v="ZAPATILLAS ASICS GEL GAME 9 CLAY/OC 1041A358 104 46,5"/>
        <s v="ZAPATILLAS ASICS GEL GAME 9 CLAY/OC 1041A358 104 44,5"/>
        <s v="ZAPATILLAS ASICS GEL GAME 9 CLAY/OC 1041A358 104 46"/>
        <s v="ZAPATILLAS ASICS GEL GAME 9 CLAY/OC 1041A358 104 43,5"/>
        <s v="ZAPATILLAS ASICS GEL GAME 9 CLAY/OC 1041A358 104  41,5"/>
        <s v="ZAPATILLAS ASICS GEL RESOLUTION 9 CLAY 1042A224 701 MUJER 37,5"/>
        <s v="ZAPATILLAS ASICS GEL RESOLUTION 9 CLAY 1042A224 701 MUJER 39,5"/>
        <s v="ZAPATILLAS ASICS GEL RESOLUTION 9 CLAY 1042A224 701 MUJER 38"/>
        <s v="ZAPATILLAS ASICS GEL RESOLUTION 9 CLAY 1042A224 701 MUJER 39"/>
        <s v="ZAPATILLAS ASICS GEL RESOLUTION 9 CLAY 1042A224 701 MUJER 40"/>
        <s v="ZAPATILLAS ASICS GEL RESOLUTION 9 CLAY 1042A224 701 MUJER 40,5"/>
        <s v="ZAPATILLAS ASICS GEL RESOLUTION 9 PADEL 1041A334 300 42,5"/>
        <s v="ZAPATILLAS ASICS GEL RESOLUTION 9 PADEL 1041A334 300 45"/>
        <s v=" ASICS GEL RESOLUTION 9 PADEL 1041A334 300 44"/>
        <s v="ZAPATILLAS ASICS GEL RESOLUTION 9 PADEL 1041A334 300 41,5"/>
        <s v="ZAPATILLAS ASICS GEL RESOLUTION 9 PADEL 1041A334 300 42"/>
        <s v="ZAPATILLAS ASICS GEL RESOLUTION 9 PADEL 1041A334 300 43,5"/>
        <s v="ZAPATILLAS ASICS GEL RESOLUTION 9 PADEL 1041A334 300 46"/>
        <s v="ZAPATILLAS ASICS GEL RESOLUTION 9 PADEL 1041A334 300 44,5"/>
        <s v="ZAPATILLAS ASICS GEL RESOLUTION 9 PADEL 1041A334 300 46,5"/>
        <s v="ZAPATILLAS ASICS GEL RESOLUTION 9 CLAY 1041A375 404 42,5"/>
        <s v="ZAPATILLAS ASICS GEL RESOLUTION 9 CLAY 1041A375 404 41,5"/>
        <s v="ZAPATILLAS ASICS GEL RESOLUTION 9 CLAY 1041A375 404 42"/>
        <s v="ZAPATILLAS ASICS GEL RESOLUTION 9 CLAY 1041A375 404 43,5"/>
        <s v="ZAPATILLAS ASICS GEL RESOLUTION 9 CLAY 1041A375 404 45"/>
        <s v="ZAPATILLAS ASICS GEL RESOLUTION 9 CLAY 1041A375 404 44,5"/>
        <s v="ZAPATILLAS ASICS GEL RESOLUTION 9 CLAY 1041A375 404 46,5"/>
        <s v="ZAPATILLAS ASICS GEL RESOLUTION 9 CLAY 1041A375 404 46"/>
        <s v="ZAPATILLAS ASICS GEL DEDICATE 8 CLAY 1041A448 401 42,5"/>
        <s v="ZAPATILLAS ASICS GEL DEDICATE 8 CLAY 1041A448 401 42"/>
        <s v="ZAPATILLAS ASICS GEL DEDICATE 8 CLAY 1041A448 401 44,5"/>
        <s v="ZAPATILLAS ASICS GEL DEDICATE 8 CLAY 1041A448 401 45"/>
        <s v="ZAPATILLAS ASICS GEL DEDICATE 8 CLAY 1041A448 401 44"/>
        <s v="ZAPATILLAS ASICS GEL DEDICATE 8 CLAY 1041A448 401 41,5"/>
        <s v="ZAPATILLAS ASICS GEL DEDICATE 8 CLAY 1041A448 401 43,5"/>
        <s v="ZAPATILLAS ASICS GEL CHALLENGER 14 PADEL 1041A404 403 46"/>
        <s v="ZAPATILLAS ASICS GEL CHALLENGER 14 PADEL 1041A404 403 46,5"/>
        <s v="ZAPATILLAS ASICS GEL CHALLENGER 14 PADEL 1041A404 403 42,5"/>
        <s v="ZAPATILLAS ASICS GEL CHALLENGER 14 PADEL 1041A404 403 41,5"/>
        <s v="ZAPATILLAS ASICS GEL CHALLENGER 14 PADEL 1041A404 403 45"/>
        <s v="ZAPATILLAS ASICS GEL CHALLENGER 14 PADEL 1041A404 403 44,5"/>
        <s v="ZAPATILLAS ASICS GEL CHALLENGER 14 PADEL 1041A404 403 43,5"/>
        <s v="ZAPATILLAS ASICS GEL GAME 9 CLAY/OC 1042A217 106 MUJER  40"/>
        <s v="ZAPATILLAS ASICS GEL GAME 9 CLAY/OC 1042A217 106 MUJER 37,5"/>
        <s v="ZAPATILLAS ASICS GEL GAME 9 CLAY/OC 1042A217 106 MUJER  39,5"/>
        <s v="ZAPATILLAS ASICS GEL GAME 9 CLAY/OC 1042A217 106 MUJER 40,5"/>
        <s v="ZAPATILLAS ASICS GEL DEDICATE 8 CLAY 1042A255 701 MUJER 37"/>
        <s v="ZAPATILLAS ASICS GEL DEDICATE 8 CLAY 1042A255 701 MUJER  39,5"/>
        <s v="ZAPATILLAS ASICS GEL DEDICATE 8 CLAY 1042A255 701 MUJER  38"/>
        <s v="ZAPATILLAS ASICS GEL DEDICATE 8 CLAY 1042A255 701 MUJER 37,5"/>
        <s v="ZAPATILLAS ASICS GEL DEDICATE 8 CLAY 1042A255 701 MUJER 39"/>
        <s v="ZAPATILLAS ASICS GEL DEDICATE 8 CLAY 1042A255 701 MUJER 40,5"/>
        <s v="ZAPATILLAS ASICS SOLUTION SWIFT FF 2 PADEL 1042A264 500 MUJER 39"/>
        <s v="ZAPATILLAS ASICS SOLUTION SWIFT FF 2 PADEL 1042A264 500 MUJER 38"/>
        <s v="ZAPATILLAS ASICS SOLUTION SWIFT FF 2 PADEL 1042A264 500 MUJER 39,5"/>
        <s v="ZAPATILLAS ASICS SOLUTION SWIFT FF 2 PADEL 1042A264 500 MUJER 40"/>
        <s v="ZAPATILLAS ASICS SOLUTION SWIFT FF 2 PADEL 1042A264 500 MUJER 40,5"/>
        <s v="ZAPATILLAS ASICS GEL RESOLUTION 9 PADEL 1042A245 500 MUJER 39,5"/>
        <s v="ZAPATILLAS ASICS GEL RESOLUTION 9 PADEL 1042A245 500 MUJER 38"/>
        <s v="ZAPATILLAS ASICS GEL RESOLUTION 9 PADEL 1042A245 500 MUJER 40,5"/>
        <s v="ZAPATILLAS ASICS GEL RESOLUTION 9 PADEL 1042A245 500 MUJER 37,5"/>
        <s v="ZAPATILLAS ASICS GEL RESOLUTION 9 PADEL 1042A245 500 MUJER 40"/>
        <s v="ZAPATILLAS ASICS GEL RESOLUTION 9 PADEL 1042A245 500 MUJER 37"/>
        <s v="ZAPATILLAS ASICS GEL RESOLUTION 9 PADEL 1042A245 500 MUJER 39"/>
        <s v="ASICS SOLUTION SPEED FF 3 CLAY 1041A437-101 42.5"/>
        <s v="ASICS SOLUTION SPEED FF 3 CLAY 1041A437-101 42"/>
        <s v="ASICS SOLUTION SPEED FF 3 CLAY 1041A437-101 44"/>
        <s v="ASICS SOLUTION SPEED FF 3 CLAY 1041A437-101 41.5"/>
        <s v="ASICS SOLUTION SPEED FF 3 CLAY 1041A437-101 45"/>
        <s v="ASICS SOLUTION SPEED FF 3 CLAY 1041A437-101 46"/>
        <s v="ASICS SOLUTION SPEED FF 3 CLAY 1041A437-101 46.5"/>
        <s v="ASICS SOLUTION SPEED FF 3 CLAY 1041A437-101 43.5"/>
        <s v="ASICS SOLUTION SPEED FF 3 CLAY 1041A437-101 44.5"/>
        <s v="ZAPATILLAS ASICS SOLUTION SWIFT FF CLAY 1042A198-403 MUJER 37"/>
        <s v="ZAPATILLAS ASICS SOLUTION SWIFT FF CLAY 1042A198-403 MUJER 36"/>
        <s v="ZAPATILLAS ASICS GEL-RESOLUTION 9 CLAY 1041A458-100 43.5"/>
        <s v="ZAPATILLAS ASICS GEL-RESOLUTION 9 CLAY 1041A458-100 42.5"/>
        <s v="ZAPATILLAS ASICS GEL-RESOLUTION 9 CLAY 1041A458-100 41.5"/>
        <s v="ZAPATILLAS ASICS GEL-RESOLUTION 9 CLAY 1041A458-100 39,5"/>
        <s v="ZAPATILLAS ASICS GEL-RESOLUTION 9 CLAY 1041A458-100 44.5"/>
        <s v="ZAPATILLAS ASICS GEL-RESOLUTION 9 CLAY 1041A458-100 46.5"/>
        <s v="ZAPATILLAS ASICS GEL-RESOLUTION 9 CLAY 1041A458-100 45"/>
        <s v="ZAPATILLAS ASICS GEL-CHALLENGER 14 PADEL 1041A477-001 41.5"/>
        <s v="ZAPATILLAS ASICS GEL-CHALLENGER 14 PADEL 1041A477-001 42.5"/>
        <s v="ZAPATILLAS ASICS GEL-CHALLENGER 14 PADEL 1041A477-001 45"/>
        <s v="ZAPATILLAS ASICS GEL-CHALLENGER 14 PADEL 1041A477-001 44.5"/>
        <s v="ZAPATILLAS ASICS GEL-CHALLENGER 14 PADEL 1041A477-001 43.5"/>
        <s v="ZAPATILLAS ASICS GEL-RESOLUTION 9 PADEL 1042A245-001 MUJER 39,5"/>
        <s v="ZAPATILLAS ASICS GEL-RESOLUTION 9 PADEL 1041A334-402 40.5"/>
        <s v="ZAPATILLAS ASICS GEL-RESOLUTION 9 PADEL 1041A334-402 42,5"/>
        <s v="ZAPATILLAS ASICS GEL-RESOLUTION 9 PADEL 1041A334-402 44,5"/>
        <s v="ZAPATILLAS ASICS GEL-RESOLUTION 9 PADEL 1041A334-402 41,5"/>
        <s v="ZAPATILLAS ASICS GEL-RESOLUTION 9 PADEL 1041A334-402 43,5"/>
        <s v="ZAPATILLAS ASICS GEL-RESOLUTION 9 PADEL 1041A334-402 42"/>
        <s v="ZAPATILLAS ASICS GEL-RESOLUTION 9 PADEL 1041A334-402 45"/>
        <s v="PANTALON CORTO ASICS MEN COURT 7IN M"/>
        <s v="PANTALON CORTO ASICS COURT 7IN S"/>
        <s v="PANTALON CORTO ASICS COURT 7IN XL"/>
        <s v="CAMISETA ASICS MEN COURT SS TOP 2041A255-802 M"/>
        <s v="CAMISETA ASICS MEN COURT SS TOP 2041A255-802 S"/>
        <s v="CAMISETA ASICS MEN COURT SS TOP 2041A255-802 L"/>
        <s v="CAMISETA ASICS MEN COURT SS TOP L"/>
        <s v="CAMISETA ASICS MEN COURT SS TOP S"/>
        <s v="CAMISETA ASICS MEN COURT SS TOP  M"/>
        <s v="ZAPATILLAS ASICS GEL-GAME 9 GS CLAY/OC 1044A057-403 JUNIOR 39"/>
        <s v="ZAPATILLAS ASICS GEL-GAME 9 GS CLAY/OC 1044A057-403 JUNIOR 38"/>
        <s v="ZAPATILLAS ASICS GEL-GAME 9 GS CLAY/OC 1044A057-403 JUNIOR 37"/>
        <s v="ASICS GEL-DEDICATE 8 PADEL 1041A414-402 44.5"/>
        <s v="ASICS GEL-DEDICATE 8 PADEL 1041A414-402 42.5"/>
        <s v="ASICS GEL-DEDICATE 8 PADEL 1041A414-402 42"/>
        <s v="ASICS GEL-DEDICATE 8 PADEL 1041A414-402 46.5"/>
        <s v="ZAPATILLAS ASICS GEL-DEDICATE 8 PADEL 1041A414-402 45"/>
        <s v="ASICS GEL-DEDICATE 8 PADEL 1041A414-402 47"/>
        <s v="ASICS GEL-DEDICATE 8 PADEL 1041A414-402 43.5"/>
        <s v="ZAPATILLAS ASICS GEL-RESOLUTION 9 GS CLAY 1044A068-103 JUNIOR  37"/>
        <s v="ZAPATILLAS ASICS GEL-RESOLUTION 9 GS CLAY 1044A068-103 JUNIOR 38"/>
        <s v="ASICS GEL-RESOLUTION 9 GS CLAY NIÃ‘O 1044A068-301  39"/>
        <s v="ASICS GEL-RESOLUTION 9 GS CLAY NIÃ‘O 1044A068-301 38"/>
        <s v="ASICS GEL-RESOLUTION 9 GS CLAY NIÃ‘O 1044A068-301 37"/>
        <s v="ZAPATILLAS ASICS GEL-CHALLENGER 14 PADEL 1041A404-402 46.5"/>
        <s v="ZAPATILLAS ASICS GEL-CHALLENGER 14 PADEL 1041A404-402 44.5"/>
        <s v="ZAPATILLAS ASICS GEL-CHALLENGER 14 PADEL 1041A404-402 42.5"/>
        <s v="ZAPATILLAS ASICS GEL-CHALLENGER 14 PADEL 1041A404-402 43.5"/>
        <s v="ZAPATILLAS ASICS GEL-CHALLENGER 14 PADEL 1041A404-402 45"/>
        <s v="ASICS SOLUTION SPEED FF 3 CLAY 1041A437-800 44.5"/>
        <s v="ASICS SOLUTION SPEED FF 3 CLAY 1041A437-800 43.5"/>
        <s v="ASICS SOLUTION SPEED FF 3 CLAY 1041A437-800 42"/>
        <s v="ASICS SOLUTION SPEED FF 3 CLAY 1041A437-800 45"/>
        <s v="ASICS SOLUTION SPEED FF 3 CLAY 1041A437-800 46"/>
        <s v="ASICS SOLUTION SPEED FF 3 CLAY 1041A437-800 42.5"/>
        <s v="ASICS SOLUTION SPEED FF 3 1041A438-800 40.5"/>
        <s v="ASICS COURT FF 3 CLAY 1041A371-401 44.5"/>
        <s v="ASICS COURT FF 3 CLAY 1041A371-401 43.5"/>
        <s v="ZAPATILLAS ASICS GEL-RESOLUTION 9 CLAY 1041A458 001 44"/>
        <s v="ZAPATILLAS ASICS GEL-RESOLUTION 9 CLAY"/>
        <s v="ZAPATILLAS ASICS GEL-RESOLUTION 9 CLAY 1041A458 001 42"/>
        <s v="ZAPATILLAS ASICS GEL-RESOLUTION 9 CLAY 1041A458 001 45"/>
        <s v="ZAPATILLAS ASICS GEL-CHALLENGER 14 CLAY BLANCO NEGRO 1041A449 1 45"/>
        <s v="ZAPATILLAS ASICS GEL-CHALLENGER 14 CLAY BLANCO NEGRO 1041A449 1 44,5"/>
        <s v="ZAPATILLAS ASICS COURT FF 3 NOVAK CLAY"/>
        <s v="ZAPATILLAS ASICS GEL-RESOLUTION 9 PADEL 1041A334 401 40.5"/>
        <s v="ZAPATILLAS ASICS GEL-RESOLUTION 9 PADEL 1041A334 401 42.5"/>
        <s v="ZAPATILLAS ASICS GEL-RESOLUTION 9 PADEL 1041A334 401 45"/>
        <s v="ZAPATILLAS ASICS GEL-RESOLUTION 9 PADEL 1041A334 401 41.5"/>
        <s v="ZAPATILLAS ASICS GEL-RESOLUTION 9 PADEL 1041A334 401 43.5"/>
        <s v="ZAPATILLAS ASICS GEL-RESOLUTION 9 PADEL 1041A334 401 44.5"/>
        <s v="ZAPATILLAS ASICS SOLUTION SPEED FF 2 CLAY 1042A134 405 MUJER 39 "/>
        <s v="ZAPATILLAS ASICS SOLUTION SPEED FF 2 CLAY 1042A134 405 MUJER 38"/>
        <s v="ZAPATILLAS ASICS SOLUTION SPEED FF 2 CLAY 1042A134 405 MUJER 39,5"/>
        <s v="ZAPATILLAS ASICS SOLUTION SPEED FF 2 CLAY 1042A134 405 MUJER 40"/>
        <s v="ZAPATILLAS ASICS SOLUTION SPEED FF 2 CLAY 1042A134 405 MUJER 37,5"/>
        <s v="ZAPATILLAS ASICS SOLUTION SPEED FF 2 CLAY 1042A134 405 MUJER 40,5"/>
        <s v="ASICS SOLUTION SPEED FF 2 CLAY BLANCO 1041A187 102 41.5"/>
        <s v="ASICS SOLUTION SPEED FF 2 CLAY BLANCO 1041A187 102 43.5"/>
        <s v="ASICS SOLUTION SPEED FF 2 CLAY BLANCO 1041A187 102 44.5"/>
        <s v="ASICS SOLUTION SPEED FF 2 CLAY BLANCO"/>
        <s v="ASICS SOLUTION SPEED FF 2 CLAY BLANCO 1041A187 102 42.5"/>
        <s v="ZAPATILLAS ASICS GEL-CHALLENGER 14 PADEL 1042A232 100 MUJER 40"/>
        <s v="ZAPATILLAS ASICS GEL-CHALLENGER 14 PADEL 1042A232 100 MUJER 38"/>
        <s v="ZAPATILLAS ASICS GEL-CHALLENGER 14 PADEL 1042A232 100 MUJER 37"/>
        <s v="ZAPATILLAS ASICS GEL-CHALLENGER 14 PADEL 1042A232 100 MUJER 39"/>
        <s v="ZAPATILLAS ASICS GEL-CHALLENGER 14 PADEL 1042A232 100 MUJER 37,5"/>
        <s v="ZAPATILLAS ASICS GEL-CHALLENGER 14 PADEL 1042A232 100 MUJER 36"/>
        <s v="ZAPATILLAS ASICS GEL-RESOLUTION 9 PADEL 1042A245 400 MUJER 39.5"/>
        <s v="ZAPATILLAS ASICS GEL-RESOLUTION 9 PADEL 1042A245 400 MUJER 37"/>
        <s v="ZAPATILLAS ASICS GEL-RESOLUTION 9 PADEL 1042A245 400 MUJER 40.5"/>
        <s v="ZAPATILLAS ASICS GEL-RESOLUTION 9 PADEL 1042A245 400 MUJER 38"/>
        <s v="ZAPATILLAS ASICS GEL-RESOLUTION 9 PADEL 1042A245 400 MUJER 37.5"/>
        <s v="ZAPATILLAS ASICS SOLUTION SPEED FF 2"/>
        <s v="ZAPATILLAS ASICS SOLUTION SWIFT FF PADEL 1041A314 101 44,5"/>
        <s v="ZAPATILLAS ASICS SOLUTION SWIFT FF PADEL 1041A314 101 46,5"/>
        <s v="ZAPATILLAS ASICS SOLUTION SWIFT FF PADEL 1041A314 101 40,5"/>
        <s v="ZAPATILLAS ASICS SOLUTION SWIFT FF PADEL 1041A314 101 42,5"/>
        <s v="ZAPATILLAS ASICS SOLUTION SWIFT FF PADEL 1041A314 101 43,5"/>
        <s v="ZAPATILLAS ASICS SOLUTION SWIFT FF PADEL 1041A314 101 41,5"/>
        <s v="ZAPATILLAS ASICS GEL-CHALLENGER 14 1042A231 400 MUJER 37"/>
        <s v="ZAPATILLAS ASICS GEL-RESOLUTION 9 CLAY 1041A37544.5"/>
        <s v="ZAPATILLAS ASICS GEL-RESOLUTION 9 CLAY 1041A375 43.5"/>
        <s v="ZAPATILLAS ASICS GEL-RESOLUTION 9 CLAY 1041A375 101 45"/>
        <s v="ZAPATILLAS ASICS GEL-RESOLUTION 9 CLAY 1041A375 42.5"/>
        <s v="ZAPATILLAS ASICS GEL-CHALLENGER 14 CLAY 1041A449 400  44.5"/>
        <s v="ZAPATILLAS ASICS GEL-CHALLENGER 14 CLAY 1041A449 400 41.5"/>
        <s v="ZAPATILLAS ASICS GEL-CHALLENGER 14 CLAY 1041A449 400  43.5"/>
        <s v="SUJETADOR ASICS CORE LOGO BRAMUJERS"/>
        <s v="SUJETADOR ASICS CORE LOGO BRA 2012C573-400 MUJERM"/>
        <s v="SUJETADOR ASICS CORE LOGO BRA 2012C573-400 MUJER L"/>
        <s v="CAMISETA ASICS CORE SS TOP XL"/>
        <s v="CAMISETA ASICS CORE SS TOP 2011C341-021 L"/>
        <s v="CAMISETA ASICS CORE SS TOPM"/>
        <s v="ASICS BIG LOGO TEE T-SHIRTL"/>
        <s v="ASICS BIG LOGO TEE T-SHIRTXL"/>
        <s v="ASICS BIG LOGO TEE T-SHIRTM"/>
        <s v="SUJETADOR ASICS CORE LOGO BRA 2012C573-300 MUJERL"/>
        <s v="SUJETADOR ASICS CORE LOGO BRA MUJER XL"/>
        <s v="SUJETADOR ASICS CORE LOGO BRA MUJERS"/>
        <s v="SUJETADOR ASICS CORE LOGO BRA 2012C573-300 MUJERM"/>
        <s v="WOMENS WHITE ASICS GEL-RESOLUTION 9 40"/>
        <s v="WOMENS WHITE ASICS GEL-RESOLUTION 9 39"/>
        <s v="WOMENS WHITE ASICS GEL-RESOLUTION 9 37"/>
        <s v="WOMENS WHITE ASICS GEL-RESOLUTION 9 38"/>
        <s v="ASICS GEL-RESOLUTION 9 BLANCO MUJER"/>
        <s v="ASICS COURT SKORT WOMAN SKIRT S"/>
        <s v="ASICS COURT SKORT WOMAN SKIRT L"/>
        <s v="ASICSCOURT SKORT WOMAN SKIRTM"/>
        <s v="SHORT ASICS MEN MATCH 7IN L"/>
        <s v="SHORT ASICS MEN MATCH 7IN 20 M"/>
        <s v="SHORT ASICS MEN MATCH 7IN XL"/>
        <s v="ASICS COURT SKORT WOMAN SKIRT M"/>
        <s v="ASICS COURT SKORT WOMAN SKIRT XS"/>
        <s v="SHORT ASICS MEN COURT 9IN L"/>
        <s v="SHORT ASICS MEN COURT 9IN M"/>
        <s v="SHORT ASICS MEN COURT 9IN XL"/>
        <s v="SHORT ASICS MEN COURT 7IN 2041A260-100 L"/>
        <s v="SHORT ASICS MEN COURT 7IN 2041A260-100 M"/>
        <s v="SHORT ASICS MEN COURT 7IN 2041A260-100 S"/>
        <s v="SHORT ASICS MEN COURT 7IN 2041A260-100 XL"/>
        <s v="ASICS COURT TANK WOMEN'S S"/>
        <s v="ASICS COURT TANK WOMEN'S T-SHIRT M"/>
        <s v="ASICS COURT TANK WOMEN'S L"/>
        <s v="ASICS COURT WOMEN'S DRESSS"/>
        <s v="ASICS COURT WOMEN'S DRESSL"/>
        <s v=" ASICS COURT WOMEN'S DRESSM"/>
        <s v="ASICS COURT WOMEN'S DRESSXS"/>
        <s v=" ASICS COURT TANK WOMEN'S XS"/>
        <s v=" ASICS COURT TANK WOMEN'SXL"/>
        <s v="SHORT ASICS MEN COURT9IN M"/>
        <s v="SHORT ASICS MEN COURT 9INXL"/>
        <s v="SHORT ASICS MEN COURT9IN L"/>
        <s v="ASICS GEL-GAME 9 PADEL MARINO CELESTE 1041A336 400 46,5"/>
        <s v="ASICS GEL-GAME 9 PADEL BLANCO NEGRO"/>
        <s v="WOMENS WHITE AND PINK ASICS GEL-GAME 9 PADEL37"/>
        <s v="WOMENS WHITE AND PINK ASICS GEL-GAME 9 PADEL38"/>
        <s v="WOMENS WHITE AND PINK ASICS GEL-GAME 9 PADEL39"/>
        <s v="WOMENS WHITE AND PINK ASICS GEL-GAME 9 PADEL40"/>
        <s v="ASICS GEL-GAME 9 BLANCO AZUL 1041A337 101 42"/>
        <s v="ASICS GEL-GAME 9 BLANCO AZUL 1041A337 101 44"/>
        <s v="ASICS GEL-GAME 9 BLANCO AZUL 1041A337 101 41,5"/>
        <s v="ASICS GEL-GAME 9 BLANCO AZUL 1041A337 101 45"/>
        <s v="ASICS GEL-GAME 9 BLANCO AZUL 1041A337 101 40,5"/>
        <s v="ASICS GEL-GAME 9 CLAY/OC 1041A358 100  46.5"/>
        <s v="ASICS GEL-GAME 9 CLAY/OC 1041A358 100  44.5"/>
        <s v="ASICS GEL-GAME 9 CLAY/OC 1041A358 100 46"/>
        <s v="ASICS GEL-GAME 9 CLAY/OC 1041A358 100 43.5"/>
        <s v="ASICS GEL-GAME 9 CLAY/OC 1041A358 100 42.5"/>
        <s v="ASICS GEL-GAME 9 CLAY/OC 1041A358 100  45"/>
        <s v="ASICS GEL-GAME 9 CLAY/OC 1041A358 100  41.5"/>
        <s v="ASICS GEL-GAME 9 CLAY BLANCO LIMA 1041A358 101 47"/>
        <s v="ASICS GEL-GAME 9 CLAY BLANCO LIMA 1041A358 101  44"/>
        <s v="ASICS GEL-GAME 9 CLAY BLANCO LIMA 1041A358 101 46"/>
        <s v="ASICS GEL-GAME 9 CLAY BLANCO LIMA 1041A358 101  43.5"/>
        <s v="ASICS GEL-GAME 9 CLAY BLANCO LIMA 1041A358 101  45"/>
        <s v="ASICS GEL-GAME 9 CLAY BLANCO LIMA 1041A358 101   44.5"/>
        <s v="ASICS GEL-GAME 9 CLAY BLANCO LIMA 1041A358 101 46.5"/>
        <s v="ASICS GEL-RESOLUTION 9 PADEL BLUE INDIGO 42.5"/>
        <s v="ASICS GEL-RESOLUTION 9 PADEL BLUE INDIGO 43.5"/>
        <s v="ASICS GEL-RESOLUTION 9 PADEL BLUE INDIGO 41.5"/>
        <s v="ASICS GEL-RESOLUTION 9 PADEL BLUE INDIGO 44.5"/>
        <s v="ASICS COURT FF 3 CLAY AZUL VERDE 1041A371 400  44"/>
        <s v="ASICS COURT FF 3 CLAY AZUL VERDE 1041A371 400 42"/>
        <s v="ASICS COURT FF 3 CLAY AZUL VERDE 1041A371 400  43.5"/>
        <s v="ASICS COURT FF 3 CLAY AZUL VERDE 1041A371 400  44.5"/>
        <s v="ASICS GEL-RESOLUTION 9 CLAY BLANCO NEGRO 1041A375 100 43,5"/>
        <s v="ASICS GEL-RESOLUTION 9 CLAY BLANCO NEGRO 1041A375 100 48"/>
        <s v="ASICS GEL-RESOLUTION 9 CLAY BLANCO NEGRO 1041A375 100 41,5"/>
        <s v="ASICS GEL-RESOLUTION 9 CLAY BLANCO NEGRO 1041A375 100 45"/>
        <s v="ASICS GEL-RESOLUTION 9 CLAY BLANCO NEGRO 1041A375 100 42"/>
        <s v="ASICS GEL-RESOLUTION 9 CLAY BLANCO NEGRO 1041A375 100 44,5"/>
        <s v="ASICS GEL-RESOLUTION 9 CLAY BLANCO NEGRO 1041A375 100 42,5"/>
        <s v="ASICS GEL-RESOLUTION 9 CLAY BLANCO NEGRO 1041A375 100 44"/>
        <s v="ZAPATILLAS ASICS GEL-RESOLUTION 9 CLAY 1041A38544.5"/>
        <s v="ZAPATILLAS ASICS GEL-RESOLUTION 9 CLAY 1041A38542.5"/>
        <s v="ZAPATILLAS ASICS GEL-RESOLUTION 9 CLAY 1041A38543.5"/>
        <s v="ASICS GEL RESOLUTION 9 CLAY WHITE PURPLE WOMAN 40"/>
        <s v="ASICS GEL RESOLUTION 9 CLAY WHITE PURPLE WOMAN 38"/>
        <s v="ASICS GEL RESOLUTION 9 CLAY WHITE PURPLE WOMAN 39"/>
        <s v="ZAPATILLAS ASICS SOLUTION SPEED FF 2 CLAY 1041A390 960 44.5"/>
        <s v="ASICS SOLUTION SPEED FF 2 CLAY AZUL VERDE"/>
        <s v="ASICS SOLUTION SWIFT FF CLAY AZUL LIMA"/>
        <s v="ASICS SOLUTION SWIFT FF PADEL BLANCO NEGRO"/>
        <s v="ASICS SOLUTION SWIFT FF PADEL BLANCO NEGRO 1041A314 100 45"/>
        <s v="ASICS SOLUTION SWIFT FF PADEL BLANCO PLATA MUJER 1042A204 100 37,5"/>
        <s v="ASICS SOLUTION SWIFT FF PADEL BLANCO PLATA MUJER 1042A204 100 40,5"/>
        <s v="ASICS SOLUTION SWIFT FF PADEL BLANCO PLATA MUJER 1042A204 100 39,5"/>
        <s v="ASICS SOLUTION SWIFT FF CLAY 1041A299 102 48"/>
        <s v="ASICS GEL CHALLENGER 13 BLUE WHITE WOMAN 40"/>
        <s v="ASICS GEL CHALLENGER 13 BLUE WHITE WOMAN 38"/>
        <s v="ASICS GEL CHALLENGER 13 BLUE WHITE WOMAN 39"/>
        <s v="ASICS SOLUTION SWIFT FF CLAY BLANCO AZUL MUJER"/>
        <s v="ASICS PINK WRISTBAND "/>
        <s v="ASICS 6PPK ANKLE WHITE 43/46"/>
        <s v="ASICS 6PPK 35/38"/>
        <s v="ASICS 6PPK ANKLE 39/42"/>
        <s v="CALCETINES ASICS 6PPK ANKLE NEGRO"/>
        <s v="ZAPATILLAS ASICS GEL-CHALLENGER 13 CLAY AZUL BLANCO 1041A221 500 47"/>
        <s v="ZAPATILLAS ASICS PADEL LIMA FF MULTICOLOR"/>
        <s v="CHAQUETA ASICS CORE JACKET XL"/>
        <s v="CHAQUETA ASICS CORE JACKET S"/>
        <s v="CHAQUETA ASICS CORE JACKET 2012C341 001 MUJER XL"/>
        <s v="CHAQUETA ASICS CORE JACKET 2012C341 001 MUJER L"/>
        <s v="CHAQUETA ASICS CORE JACKET 2012C341 001 MUJER M"/>
        <s v="CHAQUETA ASICS CORE JACKET 2012C341 001 MUJER S"/>
        <s v="CHAQUETA ASICS CORE JACKET L"/>
        <s v="SUDADERA ASICS FZ HOODIE 2031A983 M"/>
        <s v="SUDADERA ASICS FZ HOODIE 2031A983 XL"/>
        <s v="SUDADERA ASICS FZ HOODIE 2031A983 XXL"/>
        <s v="SUDADERA ASICS FZ HOODIE 2031A983 L"/>
        <s v="SUDADERA ASICS FZ HOODIE 2031A983 S"/>
        <s v="ASICS SOLUTION SPEED FF 2 CLAY BLANCO NEGRO MUJER 1042A134 100 42,5"/>
        <s v="ASICS SOLUTION SPEED FF 2 CLAY BLANCO NEGRO MUJER 1042A134 100 39,5"/>
        <s v="ASICS SOLUTION SPEED FF 2 CLAY BLANCO NEGRO MUJER 1042A134 100 40,5"/>
        <s v="ASICS SOLUTION SPEED FF 2 CLAY BLANCO NEGRO MUJER 1042A134 100 39"/>
        <s v="ASICS SOLUTION SPEED FF 2 CLAY BLANCO NEGRO MUJER 1042A134 100 40 "/>
        <s v="ASICS SOLUTION SPEED FF 2 CLAY BLANCO NEGRO MUJER 1042A134 100 41,5"/>
        <s v="ASICS SOLUTION SPEED FF 2 CLAY BLANCO NEGRO MUJER 1042A134 100 37,5"/>
        <s v="ASICS SOLUTION SPEED FF 2 CLAY BLANCO NEGRO MUJER 1042A134 100 38"/>
        <s v="BOLSA DE DEPORTE ADIDAS TIRO LEAGUE"/>
        <s v=" PACK50 UDS. LLAVERO PADEL NUESTRO  "/>
        <s v="PELOTAS TECNIFIBRE PADEL TEAM"/>
        <s v="PROTECTOR NOX STINGER 10TH ANIVERSARIO"/>
        <s v="WILSON PADEL X3 BALL"/>
        <s v=" PALETERO HEAD CÃ–ELLO TOUR PADEL 261985  "/>
        <s v="HEAD EDGE II BLAC"/>
        <s v="HEAD EDGE II WHIT"/>
        <s v="PALA HEAD EXTREME EDGE WHITE 228625 SMU"/>
        <s v="PALA HEAD EXTREME EDGE BLACK228615SM"/>
        <s v=" PALETERO HEAD TOUR 261336 GEOR  "/>
        <s v="PALA HEAD COELLO MOTION 2025 225025"/>
        <s v="PALA HEAD COELLO PRO 2025 225015"/>
        <s v="CAMISETA NEW BALANCE ACCELERATE MT23222 DKJ XL"/>
        <s v="CAMISETA NEW BALANCE ACCELERATE MT23222 DKJ S"/>
        <s v="CAMISETA NEW BALANCE ACCELERATE MT23222 DKJ M"/>
        <s v="CAMISETA NEW BALANCE ACCELERATE MT23222 DKJ L"/>
        <s v="CAMISETA NEW BALANCE ACCELERATE MT23223 GR XL"/>
        <s v="CAMISETA NEW BALANCE ACCELERATE MT23223 GR S"/>
        <s v="CAMISETA NEW BALANCE ACCELERATE MT23223 GR M"/>
        <s v="CAMISETA NEW BALANCE ACCELERATE MT23223 GR L"/>
        <s v="ZAPATILLAS KSWISS ULTRASHOT TEAM"/>
        <s v="NEW BALANCE MCY996F5 45"/>
        <s v="NEW BALANCE MCY996F544"/>
        <s v="NEW BALANCE MCY996F5 43"/>
        <s v="NEW BALANCE MCY996F5 42"/>
        <s v="WOMENS WHITE AND BLUE NEW BALANCE 40"/>
        <s v="WOMENS WHITE AND BLUE NEW BALANCE 39"/>
        <s v="WOMENS WHITE AND BLUE NEW BALANCE 38"/>
        <s v="WOMENS WHITE AND BLUE NEW BALANCE 37"/>
        <s v="CAMISETA NEW BALANCE TENACITY MT31095 GMH S"/>
        <s v="CAMISETA NEW BALANCE TENACITY MT31095 GMH M"/>
        <s v="SHORT NEW BALANCE ACCELERATE 7 INCH MS23230 BK XL"/>
        <s v="SHORT NEW BALANCE ACCELERATE 7 INCH S"/>
        <s v="SHORT NEW BALANCE ACCELERATE 7 INCH MS23230 BK M"/>
        <s v="SHORT NEW BALANCE ACCELERATE 7 INCH MS23230 BK L"/>
        <s v="VISERA NEW BALANCE PERFORMANCE WT "/>
        <s v="VISERA NEW BALANCE PERFORMANCE BK"/>
        <s v="CALCETINES WILSON QUARTER TOP 3 PACK WU00083511ZAB BRIGHT WHL"/>
        <s v="CALCETINES WILSON QUARTER TOP 3 PACK WU00083511ZAB BRIGHT WHM"/>
        <s v="CALCETINES WILSON QUARTER TOP3 PACK WU00083511ZAB BRIGHT WHS"/>
        <s v="CALCETINES WILSON QUARTER TOP WU00015511BKA BLL"/>
        <s v="CALCETINES WILSON QUARTER TOP WU00015511BKA BLACK (611595M"/>
        <s v="WILSON QUARTER TOP WU00015511BKA BLS"/>
        <s v=" CALCETINES WILSON CREW LOGO 3 PACK WU00084511ZAA MUL"/>
        <s v="CALCETINES WILSON CREW LOGO 3 PACK WU00084511ZAA MUS"/>
        <s v="CALCETINES WILSON ANKLE TAB 3 PACK WU00075511WTA BRIGHT WHL"/>
        <s v="CALCETINES WILSON ANKLE TAB 3 PACK WU00075511WTA BRIGHT WHS"/>
        <s v="CALCETINES WILSON ANKLE TAB WU00062411WTA BRIGHT WHS"/>
        <s v="CALCETINES WILSON ANKLE TAB WU00062411WTA BRIGHT WHM"/>
        <s v="CALCETINES WILSON ANKLE TAB WU00062411WTA BRIGHT WHL"/>
        <s v="CALCETINES WILSON ANKLE TAB WU00062411BKA BLS"/>
        <s v="CALCETINES WILSON ANKLE TAB WU00062411BKA BLM"/>
        <s v="CALCETINES WILSON ANKLE TAB WU00062411BKA BLL"/>
        <s v="CALCENTINES WILSON QUARTER-LENGHT WU00015331WTA BRIGHT  WHITL"/>
        <s v="CALCENTINES WILSON QUARTER-LENGHT WU00015331WTA BRIGHT  WHITM"/>
        <s v="CALCENTINES WILSON QUARTER-LENGHT WU00015331WTA BRIGHT  WHITS"/>
        <s v="CAMISETA WILSON M SERIES SEAMLESS CREW 2.0WT XL"/>
        <s v="CAMISETA WILSON M SERIES SEAMLESS CREW 2.0WTL"/>
        <s v="CAMISETA WILSON M SERIES SEAMLESS CREW 2.0WT M"/>
        <s v="CAMISETA WILSON M SERIES SEAMLESS CREW 2.0WT S"/>
        <s v="SHORT WILSON M TOURNAMENT SHORT 7 WTXL"/>
        <s v="SHORT WILSON M TOURNAMENT SHORT 7 WT L"/>
        <s v="SHORT WILSON M TOURNAMENT SHORT 7WTM"/>
        <s v="SHORT WILSON M TOURNAMENT SHORT 7WTS"/>
        <s v="SHORT WILSON M TOURNAMENT SHORT 7 BK XL"/>
        <s v="SHORT WILSON M TOURNAMENT SHORT 7BK L"/>
        <s v="SHORT WILSON M TOURNAMENT SHORT 7 BK M"/>
        <s v="POLO WILSON M SERIES SEAMLESS W91M314124 BK XL"/>
        <s v="POLO WILSON M SERIES SEAMLESS W91M314124 BK L"/>
        <s v="POLO WILSON M SERIES SEAMLESS W91M314124 BK M"/>
        <s v="KSWISS HYPERCOURT SUPREME BLANCO AZUL"/>
        <s v="GORRA NEW BALANCE PERFORMANCE WT "/>
        <s v="GORRA NEW BALANCE PERFORMANCE BK"/>
        <s v="BLISTER (4 UDS) NOX CUSTOM GRIP NOXCUGRIPBOX"/>
        <s v="BLISTER (2 UDS) MUÃ‘EQUERA NOX LARGA NEGRA LOGO BLA"/>
        <s v="BLISTER (2 UDS) MUÃ‘EQUERA LARGA NOX BLANCA LOGO NE"/>
        <s v="BLISTER (2 UDS) MUÃ‘EQUERA NOX GRIS LOGO NEGRO MUGR"/>
        <s v="BLISTER (3 UDS) OVERGRIP NOX PRO PERFORADO"/>
        <s v="CANS OF NOX PRO TITANIUM PADEL BALLS "/>
        <s v="BLISTER (3 UDS) OVERGRIP NOX PRO FLUOR"/>
        <s v="CAJON 24 BOTES BOLAS WILSON PREMIER PADEL "/>
        <s v="CAJON 24 BOTES BOLAS WILSON PREMIER PADEL SPEED"/>
        <s v="CAJON DE PELOTAS LOK FRESH BALLES 24 BOTES"/>
        <s v="CAJA 250 UDS BOLSA DE PAPEL PN 34X54X16"/>
        <s v="WILSON PADEL X3 SPEED "/>
        <s v="HEAD PADEL PRO S BALLS "/>
        <s v="HEAD PADEL PRO BALLS "/>
        <s v="BOLAS HEAD PADEL PRO S"/>
        <s v="BOLAS HEAD PADEL PRO"/>
        <s v="WILSON PRO OVERGRIP WHITE "/>
        <s v="OVERGRIP WILSON PRO OVERGRIP PADEL"/>
        <s v="MOCHILA WILSON BELA PADEL BACKPACK"/>
        <s v="MOCHILA WILSON BELA PADEL BACKPACK NEGRO"/>
        <s v="ZAPATILLAS WILSON HURAKN PRO W WRS330490 MUJER 40"/>
        <s v="ZAPATILLAS WILSON HURAKN PRO W WRS330490 MUJER 38"/>
        <s v="BLACKANDPINKWILSONKAOSSWIFT1.5CLAY 40 2/3"/>
        <s v="BLACK AND PINK WILSON KAOS SWIFT 1.5 CLAY39 1/3"/>
        <s v="BLACK AND PINK WILSON KAOS SWIFT 1.5 CLAY38 2/3"/>
        <s v="BLACK AND PINK WILSON KAOS SWIFT 1.5 CLAY37 1/3"/>
        <s v="BLACKANDPINKWILSONKAOSSWIFT1.5CLAY38"/>
        <s v="WILSON KAOS SWIFT 1.5 CLAY NERGO ROSA WRS331100 36 2/3"/>
        <s v="RED WILSON BELA PRO WRS33117040"/>
        <s v="RED WILSON BELA PRO WRS331170 39 1/3"/>
        <s v="RED WILSON BELA PRO WRS331170 38 2/3"/>
        <s v="MOCHILA WILSON TOUR BACKPACK NEGRO"/>
        <s v="BLACK WILSON BELA PRO WRS331110 SHOES45 1/3"/>
        <s v="BLACK WILSON BELA PRO WRS331110 SHOES44 2/3"/>
        <s v="BLACK WILSON BELA PRO WRS331110 SHOES43 1/3"/>
        <s v="BLACK WILSON BELA PRO WRS331110 SHOES42 2/3"/>
        <s v="BLACK WILSON BELA PRO WRS331110 SHOES 41 1/3"/>
        <s v="CAJA OVERGRIP WILSON 50 PIEZAS BLANCO"/>
        <s v="WILSON INTRIGUE BLACK 0501429"/>
        <s v="WILSON BLADE TEAM V2 "/>
        <s v="WILSON BLADE TEAM V2 BLACK "/>
        <s v="WILSON BLADE PRO PADEL V2 2 NEGRO VERDE"/>
        <s v="WILSON OVERGRIPS IN A VARIETY OF COLOURS "/>
        <s v="WILSON BELA SUPER TOUR PADELBAG"/>
        <s v="PADELBAG WILSON BELA SUPER TOUR NEGRO "/>
        <s v="CALCETINES WILSON M CREW SOCK 3PR/PK "/>
        <s v="PACK 3 SOCKS WILSON NO SHOW SOCK WHITE WOMAN"/>
        <s v="PACK 3 SOCKS WILSON NO SHOW SOCK BLACK WOMAN "/>
        <s v="CALCETINES WILSON M CREW SOCK 3PR/PK"/>
        <s v="WILSON BELA PRO PADEL 2"/>
        <s v="WILSON PERFORATED OVERGRIPS "/>
        <s v="PALETERO DUNLOP TOUR INTRO LT WHT/BLK"/>
        <s v="PALETERO DUNLOP TOUR INTRO LT BLK/BLK"/>
        <s v="PALETERO DUNLOP TOUR INTRO NEGRO DORADO"/>
        <s v="PALA DUNLOP AERO-STAR TEAM"/>
        <s v="DUNLOP INFERNO GOLD"/>
        <s v="DUNLOP INFERNO ULTIMATE PRO BLACK"/>
        <s v="DUNLOP SONIC SOFT "/>
        <s v="DUNLOP RENEGADE"/>
        <s v="PALA HEAD COELLO PRO 2025"/>
      </sharedItems>
    </cacheField>
    <cacheField name="Nomenclature" numFmtId="0">
      <sharedItems count="1">
        <s v="Aucune"/>
      </sharedItems>
    </cacheField>
    <cacheField name="Famille" numFmtId="0">
      <sharedItems count="6">
        <s v="ZAC"/>
        <s v="ZTX"/>
        <s v="ZRQ"/>
        <s v="ZSAC"/>
        <s v="ZBL"/>
        <s v="ZC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THMANE" refreshedDate="46193.486640856485" createdVersion="7" refreshedVersion="7" minRefreshableVersion="3" recordCount="2" xr:uid="{31B7349A-7F7E-4C45-B86F-F0BEFF583BF2}">
  <cacheSource type="worksheet">
    <worksheetSource ref="A1:E3" sheet="Articles Bouchon Couronne"/>
  </cacheSource>
  <cacheFields count="5">
    <cacheField name="Type" numFmtId="0">
      <sharedItems/>
    </cacheField>
    <cacheField name="Référence article" numFmtId="0">
      <sharedItems/>
    </cacheField>
    <cacheField name="Désignation" numFmtId="0">
      <sharedItems count="2">
        <s v="Bouchon couronne  en Fer blanc  - VIVE"/>
        <s v="Bouchon couronne  en Fer blanc  - CB"/>
      </sharedItems>
    </cacheField>
    <cacheField name="Nomenclature" numFmtId="0">
      <sharedItems count="1">
        <s v="Aucune"/>
      </sharedItems>
    </cacheField>
    <cacheField name="Famill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THMANE" refreshedDate="46193.486826967594" createdVersion="7" refreshedVersion="7" minRefreshableVersion="3" recordCount="9" xr:uid="{8A8011BE-B543-41D3-93B3-B467DCCA7B05}">
  <cacheSource type="worksheet">
    <worksheetSource ref="A1:E10" sheet="Articles Consignation"/>
  </cacheSource>
  <cacheFields count="5">
    <cacheField name="Type" numFmtId="0">
      <sharedItems/>
    </cacheField>
    <cacheField name="Référence article" numFmtId="0">
      <sharedItems count="9">
        <s v="COPM0099"/>
        <s v="COPE0099"/>
        <s v="COPA0099"/>
        <s v="COPA0013"/>
        <s v="COIN0012"/>
        <s v="COCM0099"/>
        <s v="COCE0099"/>
        <s v="COCA0099"/>
        <s v="COCA0011"/>
      </sharedItems>
    </cacheField>
    <cacheField name="Désignation" numFmtId="0">
      <sharedItems count="9">
        <s v="Palette Bois MA - Consignation à nous retourner"/>
        <s v="Palette Bois EUI - Consignation à nous retourner"/>
        <s v="Palette Bois AC - Consignation à nous retourner"/>
        <s v="Consignation CR - Palette Bois 1420X1120"/>
        <s v="Consignation CR - Intercalaires 1420X1120"/>
        <s v="Cadre Bois MA - Consignation à nous retourner"/>
        <s v="Cadre Bois EUI - Consignation à nous retourner"/>
        <s v="Cadre Bois AC - Consignation à nous retourner"/>
        <s v="Consignation CR - Cadre Bois 1420X1120"/>
      </sharedItems>
    </cacheField>
    <cacheField name="Nomenclature" numFmtId="0">
      <sharedItems count="1">
        <s v="Aucune"/>
      </sharedItems>
    </cacheField>
    <cacheField name="Famill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THMANE" refreshedDate="46193.487040856482" createdVersion="7" refreshedVersion="7" minRefreshableVersion="3" recordCount="36" xr:uid="{8A01E777-534D-4C49-A36E-65AA7DE47FDC}">
  <cacheSource type="worksheet">
    <worksheetSource ref="A2:E38" sheet="Articles Frais Gestion"/>
  </cacheSource>
  <cacheFields count="5">
    <cacheField name="Standard" numFmtId="0">
      <sharedItems/>
    </cacheField>
    <cacheField name="XREPORT" numFmtId="0">
      <sharedItems count="36">
        <s v="FRTP0001"/>
        <s v="FRCP003"/>
        <s v="FRCP002"/>
        <s v="FRCP001"/>
        <s v="FOMA0008"/>
        <s v="FOMA0007"/>
        <s v="FOMA0006"/>
        <s v="FOMA0003"/>
        <s v="FOMA0002"/>
        <s v="FANO0022"/>
        <s v="FANO0021"/>
        <s v="FANO0020"/>
        <s v="FANO0019"/>
        <s v="FANO0018"/>
        <s v="FANO0017"/>
        <s v="FANO0016"/>
        <s v="FANO0015"/>
        <s v="FANO0014"/>
        <s v="FANO0013"/>
        <s v="FANO0012"/>
        <s v="FANO0011"/>
        <s v="FANO0010"/>
        <s v="FANO0009"/>
        <s v="FANO0008"/>
        <s v="FANO0007"/>
        <s v="FANO0006"/>
        <s v="FANO0005"/>
        <s v="FANO0004"/>
        <s v="FANO0003"/>
        <s v="FANO0002"/>
        <s v="FANO0001"/>
        <s v="FAEX0003"/>
        <s v="FAEX0002"/>
        <s v="E0000000001"/>
        <s v="AVMDSNC"/>
        <s v="AVLOG"/>
      </sharedItems>
    </cacheField>
    <cacheField name="REPORT" numFmtId="0">
      <sharedItems count="36">
        <s v="Frais de transport sur ventes"/>
        <s v="Frais de Composition - Impression Lithographique sur Métal"/>
        <s v="Frais de Composition - Impression IML sur Plastique"/>
        <s v="Frais de Composition - Impression Offset sur Plastique"/>
        <s v="Fournitures Materiel de Cuisine"/>
        <s v="Scotch Transparent 50x100"/>
        <s v="Sac Papier Rames 80G 82*224 SI"/>
        <s v="Film Etirable Manuel"/>
        <s v="Colle KP40"/>
        <s v="TRANSPORT -T- 10%"/>
        <s v="TRANSPORT - T - 12%"/>
        <s v="ANNEXES"/>
        <s v="MANIPULATION"/>
        <s v="TRANSPORT - T - 13%"/>
        <s v="Frais transport CG-NT"/>
        <s v="Frais d'échange -NT"/>
        <s v="Frais d'échange-T 20%"/>
        <s v="Frais de péage- NT "/>
        <s v="Frais de magasinage-NT"/>
        <s v="Frais de passage - T 20%"/>
        <s v="Frais fixe dossier - imprimes -T 20%"/>
        <s v="Taxe AD valorem - NT"/>
        <s v="Camionnage - T"/>
        <s v="Autres Frais - T 20%"/>
        <s v="Autres Frais - T 14%"/>
        <s v="Autres Frais - NT"/>
        <s v="Arrondi - NT"/>
        <s v="Douane - Quittance TVA"/>
        <s v="Taxe Régional - T"/>
        <s v="Honoraires de Transit - T"/>
        <s v="TMPA - NT"/>
        <s v="Freight - NT"/>
        <s v="Surrestaries - NT"/>
        <s v="Ecart à justifier"/>
        <s v="Avoir sur marchandise non conforme"/>
        <s v="Avoir reclamation logistique"/>
      </sharedItems>
    </cacheField>
    <cacheField name="Aucune" numFmtId="0">
      <sharedItems count="1">
        <s v="Aucune"/>
      </sharedItems>
    </cacheField>
    <cacheField name="ALFI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THMANE" refreshedDate="46193.487224421297" createdVersion="7" refreshedVersion="7" minRefreshableVersion="3" recordCount="455" xr:uid="{C865E020-786E-4ACB-B828-5D54FCFE95B3}">
  <cacheSource type="worksheet">
    <worksheetSource ref="A2:E457" sheet="Articles Metal"/>
  </cacheSource>
  <cacheFields count="5">
    <cacheField name="Standard" numFmtId="0">
      <sharedItems containsBlank="1"/>
    </cacheField>
    <cacheField name="INTERETS_2023/PRET" numFmtId="0">
      <sharedItems containsBlank="1" count="453">
        <s v="1203HO100116"/>
        <s v="1203HO100115"/>
        <s v="1203HO100114"/>
        <s v="1203HO100113"/>
        <s v="1203HO100112"/>
        <s v="1203HO100111"/>
        <s v="1203HO100110"/>
        <s v="1203HO100105"/>
        <s v="1203HO100104"/>
        <s v="1203HO100103"/>
        <s v="1203HO100102"/>
        <s v="1203HO100101"/>
        <s v="1104HCV00111"/>
        <s v="1104HCV00110"/>
        <s v="090302NK1103"/>
        <s v="090302NK1101"/>
        <s v="090302NK0503"/>
        <s v="090302NK0501"/>
        <s v="040404NS0103"/>
        <s v="040404NS0102"/>
        <s v="040404NS0101"/>
        <s v="030404NS0106"/>
        <s v="030404NS0105"/>
        <s v="030404NS0103"/>
        <s v="030404NS0102"/>
        <s v="030404NS0101"/>
        <s v="030404BS0104"/>
        <s v="029494TS9297"/>
        <s v="021414JS0101"/>
        <s v="021312JK0101"/>
        <s v="020903OV0109"/>
        <s v="020807IL1704"/>
        <s v="020807IL1703"/>
        <s v="020807IL1702"/>
        <s v="020807IL1701"/>
        <s v="020807IL1695"/>
        <s v="020807IL1694"/>
        <s v="020807IL1693"/>
        <s v="020807IL1692"/>
        <s v="020807IL1691"/>
        <s v="020807IL1690"/>
        <s v="020807IL1689"/>
        <s v="020807IL1688"/>
        <s v="020807IL1687"/>
        <s v="020807IL1686"/>
        <s v="020807IL1685"/>
        <s v="020807IL1684"/>
        <s v="020807IL1683"/>
        <s v="020807IL1682"/>
        <s v="020807IL1681"/>
        <s v="020807IL1680"/>
        <s v="020807IL1679"/>
        <s v="020807IL1678"/>
        <s v="020807IL1677"/>
        <s v="020807IL1676"/>
        <s v="020807IL1675"/>
        <s v="020807IL1674"/>
        <s v="020807IL1673"/>
        <s v="020807IL1672"/>
        <s v="020807IL1671"/>
        <s v="020807IL1670"/>
        <s v="020807IL1669"/>
        <s v="020807IL1668"/>
        <s v="020807IL1667"/>
        <s v="020807IL1666"/>
        <s v="020807IL1665"/>
        <s v="020807IL1664"/>
        <s v="020807IL1663"/>
        <s v="020807IL1662"/>
        <s v="020807IL1661"/>
        <s v="020807IL1660"/>
        <s v="020807IL1659"/>
        <s v="020807IL1658"/>
        <s v="020807IL1657"/>
        <s v="020807IL1656"/>
        <s v="020807IL1654"/>
        <s v="020807IL1653"/>
        <s v="020807IL1652"/>
        <m/>
        <s v="Article lié"/>
        <s v="020807IL1651"/>
        <s v="020807IL1650"/>
        <s v="020807IL1649"/>
        <s v="020807IL1648"/>
        <s v="020807IL1647"/>
        <s v="020807IL1646"/>
        <s v="020807IL1645"/>
        <s v="020807IL1644"/>
        <s v="020807IL1643"/>
        <s v="020807IL1642"/>
        <s v="020807IL1641"/>
        <s v="020807IL1640"/>
        <s v="020807IL1639"/>
        <s v="020807IL1638"/>
        <s v="020807IL1637"/>
        <s v="020807IL1636"/>
        <s v="020807IL1635"/>
        <s v="0208071IL653"/>
        <s v="020801NL1701"/>
        <s v="020801NL1604"/>
        <s v="020801NL1603"/>
        <s v="020801NL1602"/>
        <s v="020801NL1601"/>
        <s v="020801IL1657"/>
        <s v="020801IL1655"/>
        <s v="020801IL1654"/>
        <s v="020801IL1653"/>
        <s v="020801IL1638"/>
        <s v="020801IL1634"/>
        <s v="020801IL1633"/>
        <s v="020801IL1632"/>
        <s v="020801IL1631"/>
        <s v="020801IL1630"/>
        <s v="020801IL1628"/>
        <s v="020801IL1627"/>
        <s v="020801IL1626"/>
        <s v="020801IL1625"/>
        <s v="020801IL1624"/>
        <s v="020801IL1623"/>
        <s v="020801IL1620"/>
        <s v="020801IL1619"/>
        <s v="020801IL1618"/>
        <s v="020801IL1616"/>
        <s v="020801IL1609"/>
        <s v="020801IL1602"/>
        <s v="020801IL1601"/>
        <s v="020800IL1656"/>
        <s v="020502NL1501"/>
        <s v="020499NS0213"/>
        <s v="020405NS0222"/>
        <s v="020404TFS0211"/>
        <s v="020404NS5101"/>
        <s v="020404NS1207"/>
        <s v="020404NS0906"/>
        <s v="020404NS0905"/>
        <s v="020404NS0222"/>
        <s v="020404NS0221"/>
        <s v="020404NS0213"/>
        <s v="020404NS0211"/>
        <s v="020404NS0210"/>
        <s v="020404NS0209"/>
        <s v="020404NS0208"/>
        <s v="020404NS0207"/>
        <s v="020404NS0206"/>
        <s v="020404NS0205"/>
        <s v="020404NS0204"/>
        <s v="020404NS0203"/>
        <s v="020404NS0202"/>
        <s v="020404NS0201"/>
        <s v="020404NS0113"/>
        <s v="020404NS0112"/>
        <s v="020404NS0111"/>
        <s v="020404NS0110"/>
        <s v="020404NS0109"/>
        <s v="020404NS0108"/>
        <s v="020404NS0107"/>
        <s v="020404NS0106"/>
        <s v="020404NS0105"/>
        <s v="020404NS0104"/>
        <s v="020404NS0103"/>
        <s v="020404NS0102"/>
        <s v="020404NS0101"/>
        <s v="020404IM0303"/>
        <s v="020404IM0302"/>
        <s v="020404IM0301"/>
        <s v="020404IM0201"/>
        <s v="020404IM0103"/>
        <s v="020404IM0102"/>
        <s v="020404IM0101"/>
        <s v="020404EP0111"/>
        <s v="020404AL9101"/>
        <s v="020401NK0411"/>
        <s v="0203SRT0102"/>
        <s v="0203SIG40505"/>
        <s v="0203SIG30701"/>
        <s v="0203SIG3021M"/>
        <s v="0203GOG41103"/>
        <s v="0203EPG0505"/>
        <s v="020399NK0113"/>
        <s v="020307OV0102"/>
        <s v="020303NK0513"/>
        <s v="020303NK0512"/>
        <s v="020303NK0103"/>
        <s v="020303NK0102"/>
        <s v="020303NK0101"/>
        <s v="020302TFS0612"/>
        <s v="020302PET0001"/>
        <s v="020302NK6101"/>
        <s v="020302NK5101"/>
        <s v="020302NK4101"/>
        <s v="020302NK3101"/>
        <s v="020302NK2103"/>
        <s v="020302NK1201"/>
        <s v="020302NK1105"/>
        <s v="020302NK1104"/>
        <s v="020302NK1103"/>
        <s v="020302NK1102"/>
        <s v="020302NK1101"/>
        <s v="020302NK1002"/>
        <s v="020302NK1001"/>
        <s v="020302NK0913"/>
        <s v="020302NK0912"/>
        <s v="020302NK0911"/>
        <s v="020302NK0910"/>
        <s v="020302NK0909"/>
        <s v="020302NK0908"/>
        <s v="020302NK0907"/>
        <s v="020302NK0906"/>
        <s v="020302NK0905"/>
        <s v="020302NK0904"/>
        <s v="020302NK0903"/>
        <s v="020302NK0902"/>
        <s v="020302NK0901"/>
        <s v="020302NK0813"/>
        <s v="020302NK0803"/>
        <s v="020302NK0802"/>
        <s v="020302NK0801"/>
        <s v="020302NK0712"/>
        <s v="020302NK0702"/>
        <s v="020302NK0701"/>
        <s v="020302NK0612"/>
        <s v="020302NK0602"/>
        <s v="020302NK0522"/>
        <s v="020302NK0521"/>
        <s v="020302NK0514"/>
        <s v="020302NK0513"/>
        <s v="020302NK0512"/>
        <s v="020302NK0511"/>
        <s v="020302NK0510"/>
        <s v="020302NK0506"/>
        <s v="020302NK0505"/>
        <s v="020302NK0504"/>
        <s v="020302NK0503"/>
        <s v="020302NK0502"/>
        <s v="020302NK0501"/>
        <s v="020302NK0412"/>
        <s v="020302NK0411"/>
        <s v="020302NK0410"/>
        <s v="020302NK0409"/>
        <s v="020302NK0407"/>
        <s v="020302NK0406"/>
        <s v="020302NK0405"/>
        <s v="020302NK0404"/>
        <s v="020302NK0403"/>
        <s v="020302NK0402"/>
        <s v="020302NK0401"/>
        <s v="020302NK0301"/>
        <s v="020302NK0201"/>
        <s v="020302NK0113"/>
        <s v="020302NK0103"/>
        <s v="020302NK0101"/>
        <s v="020302NI0112"/>
        <s v="020302NI0111"/>
        <s v="020302NI0110"/>
        <s v="020302NI0109"/>
        <s v="020302NG0601"/>
        <s v="020302MK2101"/>
        <s v="020302MK1120"/>
        <s v="020302MK1118"/>
        <s v="020302MK1115"/>
        <s v="020302MK1114"/>
        <s v="020302MK1113"/>
        <s v="020302MK1112"/>
        <s v="020302MK1111"/>
        <s v="020302MK1110"/>
        <s v="020302MK0803"/>
        <s v="020302MK0802"/>
        <s v="020302MK0801"/>
        <s v="020302LK0801"/>
        <s v="020302LK0741"/>
        <s v="020302LK0740"/>
        <s v="020302LK0739"/>
        <s v="020302LK0738"/>
        <s v="020302LK0737"/>
        <s v="020302LK0736"/>
        <s v="020302LK0735"/>
        <s v="020302LK0734"/>
        <s v="020302LK0733"/>
        <s v="020302LK0732"/>
        <s v="020302LK0731"/>
        <s v="020302LK0730"/>
        <s v="020302LK0728"/>
        <s v="020302LK0727"/>
        <s v="020302LK0726"/>
        <s v="020302LK0725"/>
        <s v="020302LK0724"/>
        <s v="020302LK0723"/>
        <s v="020302LK0722"/>
        <s v="020302LK0721"/>
        <s v="020302LK0720"/>
        <s v="020302LK0719"/>
        <s v="020302LK0718"/>
        <s v="020302LK0717"/>
        <s v="020302LK0716"/>
        <s v="020302LK0715"/>
        <s v="020302LK0714"/>
        <s v="020302LK0713"/>
        <s v="020302LK0712"/>
        <s v="020302LK0711"/>
        <s v="020302LK0710"/>
        <s v="020302LK0709"/>
        <s v="020302LK0708"/>
        <s v="020302LK0707"/>
        <s v="020302LK0706"/>
        <s v="020302LK0705"/>
        <s v="020302LK0704"/>
        <s v="020302LK0703"/>
        <s v="020302LK0702"/>
        <s v="020302IM0402"/>
        <s v="020302IM0401"/>
        <s v="020302IM0301"/>
        <s v="020302IM0203"/>
        <s v="020302IM0201"/>
        <s v="020302IM0103"/>
        <s v="020302IM0102"/>
        <s v="020302IM0101"/>
        <s v="020302IK1199"/>
        <s v="020302IK1198"/>
        <s v="020302IK1118"/>
        <s v="020302IK1117"/>
        <s v="020302IK1116"/>
        <s v="020302IK1115"/>
        <s v="020302IK1114"/>
        <s v="020302IK1113"/>
        <s v="020302IK1112"/>
        <s v="020302IK1111"/>
        <s v="020302IK1110"/>
        <s v="020302IK1109"/>
        <s v="020302IK1108"/>
        <s v="020302IK1107"/>
        <s v="020302IK1106"/>
        <s v="020302IK1105"/>
        <s v="020302IK1011"/>
        <s v="020302IK1010"/>
        <s v="020302IK1009"/>
        <s v="020302IK1008"/>
        <s v="020302IK1007"/>
        <s v="020302IK1006"/>
        <s v="020302IK1005"/>
        <s v="020302IK1004"/>
        <s v="020302IK1002"/>
        <s v="020302IK1001"/>
        <s v="020302IK0990"/>
        <s v="020302IK0908"/>
        <s v="020302IK0907"/>
        <s v="020302IK0906"/>
        <s v="020302IK0905"/>
        <s v="020302IK0904"/>
        <s v="020302IK0903"/>
        <s v="020302IK0902"/>
        <s v="020302IK0901"/>
        <s v="020302IK0817"/>
        <s v="020302IK0816"/>
        <s v="020302IK0811"/>
        <s v="020302IK0810"/>
        <s v="020302IK0809"/>
        <s v="020302IK0808"/>
        <s v="020302IK0807"/>
        <s v="020302IK0805"/>
        <s v="020302IK0804"/>
        <s v="020302IK0803"/>
        <s v="020302IK0802"/>
        <s v="020302IK0801"/>
        <s v="020302IK0558"/>
        <s v="020302IK0557"/>
        <s v="020302IK0556"/>
        <s v="020302IK0555"/>
        <s v="020302IK0554"/>
        <s v="020302IK0553"/>
        <s v="020302IK0552"/>
        <s v="020302IK0551"/>
        <s v="020302IK0550"/>
        <s v="020302IK0549"/>
        <s v="020302IK0548"/>
        <s v="020302IK0547"/>
        <s v="020302IK0546"/>
        <s v="020302IK0545"/>
        <s v="020302IK0544"/>
        <s v="020302IK0543"/>
        <s v="020302IK0542"/>
        <s v="020302IK0541"/>
        <s v="020302IK0539"/>
        <s v="020302IK0538"/>
        <s v="020302IK0537"/>
        <s v="020302IK0535"/>
        <s v="020302IK0534"/>
        <s v="020302IK0533"/>
        <s v="020302IK0532"/>
        <s v="020302IK0531"/>
        <s v="020302IK0530"/>
        <s v="020302IK0529"/>
        <s v="020302IK0528"/>
        <s v="020302IK0527"/>
        <s v="020302IK0523"/>
        <s v="020302IK0522"/>
        <s v="020302IK0521"/>
        <s v="020302IK0520"/>
        <s v="020302IK0519"/>
        <s v="020302IK0518"/>
        <s v="020302IK0517"/>
        <s v="020302IK0516"/>
        <s v="020302IK0515"/>
        <s v="020302IK0514"/>
        <s v="020302IK0513"/>
        <s v="020302IK0512"/>
        <s v="020302IK0511"/>
        <s v="020302IK0510"/>
        <s v="020302IK0508"/>
        <s v="020302IK0507"/>
        <s v="020302IK0506"/>
        <s v="020302IK0503"/>
        <s v="020302IK0502"/>
        <s v="020302IK0501"/>
        <s v="020302IK0417"/>
        <s v="020302IK0416"/>
        <s v="020302IK0414"/>
        <s v="020302IK0413"/>
        <s v="020302IK0411"/>
        <s v="020302IK0410"/>
        <s v="020302IK0409"/>
        <s v="020302IK0408"/>
        <s v="020302IK0407"/>
        <s v="020302IK0406"/>
        <s v="020302IK0405"/>
        <s v="020302IK0404"/>
        <s v="020302IK0403"/>
        <s v="020302IK0402"/>
        <s v="020302IK0401"/>
        <s v="020302IK0302"/>
        <s v="020302IK0301"/>
        <s v="020302CVPET01"/>
        <s v="020302AL9101"/>
        <s v="020302AL1002"/>
        <s v="020203NL1511"/>
        <s v="020203NL1102"/>
        <s v="020203NL1101"/>
        <s v="020203NL0508"/>
        <s v="020203NL0507"/>
        <s v="020203NL0506"/>
        <s v="020203NL0505"/>
        <s v="020203NL0504"/>
        <s v="020203NL0503"/>
        <s v="020203NL0502"/>
        <s v="020203NL0501"/>
        <s v="020203IL0501"/>
        <s v="020202NL0501"/>
        <s v="020202NL0402"/>
        <s v="020202NL0401"/>
        <s v="020202NL0301"/>
        <s v="020202IL0503"/>
        <s v="020202IL0502"/>
        <s v="020202IL0404"/>
        <s v="0020302NK0906"/>
      </sharedItems>
    </cacheField>
    <cacheField name="INTERETS 2023 / PRET CONCENTI LE 09/03/2022" numFmtId="0">
      <sharedItems containsBlank="1" count="453">
        <s v="Bidon 10L Rect Or - BPANI - Huile Olive"/>
        <s v="Bidon 1/2L Rect Or - BPANI - Huile Olive"/>
        <s v="Bidon 250ML Rect Or - BPANI - Huile Olive"/>
        <s v="Bidon 2.5L Rect Or - BPANI - Huile Olive"/>
        <s v="Bidon 3L Rect Or - BPANI - Huile Olive"/>
        <s v="Bidon 1L Rect Or - BPANI - Huile Olive"/>
        <s v="Bidon 5L Rect Or - BPANI - Huile Olive"/>
        <s v="Bidon 1L Bourchanin Olinia BPANI"/>
        <s v="Bidon 2.5L QUALIAGRO Les Domaines ARG CONV V.X BPANI"/>
        <s v="Bidon 4L Bourchanin Olinia BPANI"/>
        <s v="Bidon 2.5L QUALIAGRO Les Domaines ARG BIO V.X BPANI"/>
        <s v="Bidon 5L QUALIAGRO Les Domaines ARG BIO V.X BPANI"/>
        <s v="Cap Plastique Noir - Bidon Huile Olive "/>
        <s v="Cap Plastique Vert - Bidon Huile Olive "/>
        <s v="Boite 4L Tronconique - 180X195 - Pails - FB CB - Blanc PPT"/>
        <s v="Boite 5kg Tronconique - 168x180x235 - Pails - FB CB - Blanc PPT"/>
        <s v="Boite 1kg Longue - 108x131 - OS - Blanc PPT"/>
        <s v="Boite 1kg Courte - 108x099 - OS -PPT"/>
        <s v="Petit Spain D Inviolabilité T20"/>
        <s v="Collier Diamétre 285 AV-T285 UN"/>
        <s v="Collier Diamétre 180 T28-N T180 UN"/>
        <s v="Cap Plastique BR - Stolz - HZ32 - Bleu"/>
        <s v="Cap Plastique BR - Stolz - HZ32 - Blanc"/>
        <s v="Cap Plastique BR - Stolz - HZ42 - Rouge"/>
        <s v="Cap Plastique BR - Stolz - HZ32 - Rouge"/>
        <s v="Cap Plastique BA - C6 - HZ24 - Rouge"/>
        <s v="Cap Plastique BA - C7 - HZ32 - Rouge"/>
        <s v="Cap TFS OF D73mm Chile - VIVE"/>
        <s v="Cap FBN Simple D052mm "/>
        <s v="Boite Fer Blanc OS Jitney Lisse - 52x88 - VI Blanc BPANI"/>
        <s v="Fond 1/2 Oval EOE"/>
        <s v="Seau 15L T - D305- Pails - PRODEC -SBAGHTI LAQUE"/>
        <s v="Seau 22L T - 285x305x335 - Pails - PRODEC -PROSUD 2011"/>
        <s v="Seau 22L T - 285x305x335 - Pails - PRODEC PRO 99"/>
        <s v="Seau 22L T - 285x305x335 - Pails - PRODEC -DAREX PLAST PLUS"/>
        <s v="Seau 22L T - 285x305x335 - Pails-FACOP-SUPER FACONYL"/>
        <s v="Seau 22L T - 285x305x335 - Pails-FACOP-EUROVINYL"/>
        <s v="Seau 22L T - 285x305x335 - Pails-FACOP-BAHIA SUD"/>
        <s v="Seau 22L T - 285x305x335 - Pails-MIDI NYL MAT 214"/>
        <s v="Seau 22L T - 285x305x335 - Pails-MIDI SUD FACADE"/>
        <s v="Seau 22L T - 285x305x335 - Pails-MIDI MAT BATIMENT"/>
        <s v="Seau 22L T - 285x305x335 - Pails-DECOPIN - FLEUR"/>
        <s v="Seau 22L T - 285x305x335 - ODASSIA - ODAQUA"/>
        <s v="Seau 22L T - 285x305x335 - ODASSIA - VINYTEK"/>
        <s v="Seau 22L T - 285x305x335 - ODASSIA - ODAPLAST"/>
        <s v="Seau 22L T - 285x305x335 - ODASSIA - ODAVINYL"/>
        <s v="Seau 15L T - D305- Pails - PRODEC -SBAGHTI LAQUE PLUS"/>
        <s v="Seau 18L T - D305- Pails - PRODEC -SBAGHTI LAQUE PLUS / NV"/>
        <s v="Seau 22L T - 285x305x335 - Pails - PRODEC -SBAGHTI VINYL PLUS"/>
        <s v="Seau 22L T - 285x305x335 - Pails - AR PEINT -ARSTANDARD"/>
        <s v="Seau 22L T - 285x305x335 - Pails - CHROMA COLOR"/>
        <s v="Seau 22L T - 285x305x335 - Pails - SOFACHIM P3D VOX LATEX"/>
        <s v="Seau 22L T - 285x305x335 - Pails - SOFACHIM P3D SOFAPLAST"/>
        <s v="Seau 22L T - 285x305x335 - Pails - SOFACHIM P3D SOFALATEX"/>
        <s v="Seau 22L T - 285x305x335 - Pails - SONACOLOR - SONAVINYL"/>
        <s v="Seau 22L T - 285x305x335 - Pails - RESIPRO-RESIPROX100-RESINE EPOXY"/>
        <s v="Seau 22L T - 285x305x335 - Pails - SAADA PEINTURE - AL MANARA VINYL"/>
        <s v="Seau 22L T - 285x305x335 - Pails - SAADA PEINTURE - SV501 VINYL"/>
        <s v="Seau 22L T - 285x305x335 - Pails - SUPRAFLEX - ECOBLANC NEW"/>
        <s v="Seau 22L T - 285x305x335 - Pails - SUPRAFLEX - SUPRAVINYL +"/>
        <s v="Seau 22L T - 285x305x335 - Pails - SUPRAFLEX - EXTRAVINYL +"/>
        <s v="Seau 22L T - 285x305x335 - Pails - SUPRAFLEX - ACQUAVINYL +"/>
        <s v="Seau 22L T - 285x305x335 - Pails - DECOPIN - V508"/>
        <s v="Seau 15L T - 285x305x250 - Pails - EUROTEX - K10"/>
        <s v="Seau 20L T - 292x365 - Pails - EUROTEX - GENERIQUE"/>
        <s v="Seau 15L T - 285x305x250 - Pails - EUROTEX - GENERIQUE"/>
        <s v="Seau 15L T - 285x305x250 - Pails - EUROTEX - EUROMAT"/>
        <s v="Seau 22L T - 285x305x335 - Pails - MUSTANG - MUSTLAK"/>
        <s v="Seau 22L T - 285x305x335 - Pails - MUSTANG - MUST801"/>
        <s v="Seau 22L T - 285x305x335 - Pails - MUSTANG - MUST602"/>
        <s v="Seau 22L T - 285x305x335 - Pails - MUSTANG - MUST403"/>
        <s v="Seau 22L T - 285x305x335 - Pails - TRICOL - EXTRANYL"/>
        <s v="Seau 22L T - 285x305x335 - Pails - TRICOL - ZENLAC"/>
        <s v="Seau 22L T - 285x305x335 - Pails - SBAGHTANA - S2"/>
        <s v="Seau 22L T - 285x305x335 - Pails - COPROCHIM - LUXEPLAST"/>
        <s v="Seau 22L T - 285x305x335 - Pails - AR PEINT - EXTRAPEINT"/>
        <s v="Seau 22L T - 285x305x335 - Pails - AR PEINT - VINYLPEINT"/>
        <s v="Seau 22L T - 285x305x335 - Pails - MAXICOLOR - MASTER"/>
        <m/>
        <s v="FBIDI"/>
        <s v="Seau 22L T - 285x305x335 - Pails - MAXICOLOR - ONDAVINYL"/>
        <s v="Seau 22L T - 285x305x335 - Pails - SIDNI COLOR - ECOMAIL"/>
        <s v="Seau 22L T - 285x305x335 - Pails - SIDNI COLOR - SIDNILAC EXTRA"/>
        <s v="Seau 22L T - 285x305x335 - Pails - SIDNI COLOR - VINYLOOK"/>
        <s v="Seau 22L T - 285x305x335 - Pails - SIDNI COLOR - VINYLAX V12"/>
        <s v="Seau 22L T - 285x305x335 - Pails - SIDNI COLOR - DMAX "/>
        <s v="Seau 22L T - 285x305x335 - Pails - SIDNI COLOR - PLASTOLUX"/>
        <s v="Seau 22L T - 285x305x335 - Pails - SIDNI COLOR - V55 MODE VINYL"/>
        <s v="Seau 22L T - 285x305x335 - Pails - SIDNI COLOR - SIDNIPLAST V8"/>
        <s v="Seau 22L T - 285x305x335 - Pails - SONACOLOR - SONAQUA"/>
        <s v="Seau 22L T - 285x305x335 - Pails - TRICOL - BATAL 202"/>
        <s v="Seau 22L T - 285x305x335 - Pails - TRICOL - TRICOLAC"/>
        <s v="Seau 22L T - 285x305x335 - Pails - SAADA - VINYL SV703"/>
        <s v="Seau 22L T - 285x305x335 - Pails - HFF - GALAXY VYNIL"/>
        <s v="Seau 22L T - 285x305x335 - Pails - MAXICOLOR DETRAFLEX A 150"/>
        <s v="Seau 22L T - 285x305x335 - Pails - HFF - ETOILE VINYL"/>
        <s v="Seau 22L T - 285x305x335 - Pails - MAXICOLOR SOULTANA"/>
        <s v="Seau 22L T - 285x305x335 - Pails - MAXICOLOR - DETRAFLEX 250 M"/>
        <s v="Seau 22L Tronco SANS VERNIS INTERIEUR - 285x305x335 - Pails - FB CB"/>
        <s v="Seau 10L Tronconique - 285x305x295 - Pails - FB CB"/>
        <s v="Seau 17L Tronconique - 285x305x295 - Pails - FB CB"/>
        <s v="Seau 15L Tronconique - 285x305x257 - Pails - FB CB"/>
        <s v="Seau 22L Tronconique - 285x305x335 - Pails - FB CB"/>
        <s v="Seau 22L T - 285x305x335 - Pails - BZO COLOR - BZO LAC"/>
        <s v="Seau 22L T - 285x305x335 - Pails - SOFACHIM P3D 3DPLAST"/>
        <s v="Seau 22L T - 285x305x335 - Pails - SOFACHIM P3D CITYPLAST"/>
        <s v="Seau 22L T - 285x305x335 - Pails - BZO COLOR - BZO MAT"/>
        <s v="Seau 22L T - 285x305x335 - Pails - BZO COLOR - BZO VINYL"/>
        <s v="Seau 22L T - 285x305x335 - Pails - EUROCOULEUR - EuroVinyl 115"/>
        <s v="Seau 22L T - 285x305x335 - Pails - EUROCOULEUR - EuroPlast 77"/>
        <s v="Seau 15L T - 285x305x252 - Pails - EUROCOULEUR - Euro Laque"/>
        <s v="Seau 22L T - 285x305x335 - Pails - EUROCOULEUR - Acry Facade 108"/>
        <s v="Seau 15L T - 285x305x252 - Pails - SONAFIP CLASSICOLAC"/>
        <s v="Seau 22L T - 285x305x335 - Pails - MAXICOLOR DELTA"/>
        <s v="Seau 22L T - 285x305x335 - Pails - MAXICOLOR STARFORCE"/>
        <s v="Seau 22L T - 285x305x335 - Pails - JAFEP PLASTICO 405"/>
        <s v="Seau 22L T - 285x305x335 - Pails - JAFEP PLASTICO 305"/>
        <s v="Seau 22L T - 285x305x335 - Pails - TISSIR - PEINT INDUSTR"/>
        <s v="Seau 22L T - 285x305x335 - Pails - SOFACHIM P3D AXAPLAST"/>
        <s v="Seau 22L T - 285x305x335 - Pails - EUROTEX EURO 800"/>
        <s v="Seau 22L T - 285x305x335 - Pails - BZO COLOR - BZO STAR VINYL"/>
        <s v="Seau 22L T - 285x305x335 - Pails - EUROTEX OCEANO PLUS"/>
        <s v="Seau 15L T - 285x305x257 - Pails - SUPRAFLEX EXTRALAC"/>
        <s v="Seau 22L T - 285x305x335 - Pails - TISSIR - MARINA"/>
        <s v="Seau 22L T - 285x305x335 - Pails - EUROTEX MAT PROF"/>
        <s v="Seau 22L T - 285x305x335 - Pails - EUROTEX IRIPLAST OCEAN"/>
        <s v="Seau 22L T - 285x305x335 - Pails - BZO COLOR - SUPER BZO LAC"/>
        <s v="Estagnon 20L Cylindrique - 240x240x370 - ST42 - FB CB"/>
        <s v="Cap FBN OF 1/4 Club EED D122mm - BPANI"/>
        <s v="Cap FB Std D096mm - Ro400 Logifood Petit Pecheur (New)"/>
        <s v="Cap TFS Ouv. Facile D099mm - VIVE "/>
        <s v="Cvc ALU OF 1/4 Club EED Silver - BPANI"/>
        <s v="Cap FBN OF_73mm - VIVE_BPANI "/>
        <s v="Cap FB Ext Neutre VI Or Tulipe D180mm (Seau 4,5 Tulipe)"/>
        <s v="Cap FB CB  PAIL D305mm (avec Bouch STOLZ)"/>
        <s v="Cap FBN Ouv. Facile D099mm - Ro400 Logifood Petit Pecheur"/>
        <s v="Cap FBN Ouv. Facile D099mm - Tamima RO400"/>
        <s v="Cap FBN OF 1/4 Club D122mm - BPANI"/>
        <s v="Cap FBN Ouv. Facile D099mm - VIVE "/>
        <s v="Cap FBN Simple D073mm - VIVE - BPA NI"/>
        <s v="Cap FB PAIL D305  Imprimé PRODEC LAQUE /NV"/>
        <s v="Cap FB PAIL D305  Imprimé PRODEC VINYL /VP"/>
        <s v="Cap FBN OF D73mm Chile - VIVE "/>
        <s v="Cap FB CB VERNIS INT. Tulipe D180mm (Seau 3,5/5 kg Tulipe)"/>
        <s v="Cap FB PAIL D305  Imprimé Quadri SIDNI COLOR"/>
        <s v="Cap FB Vernis PAIL D180mm (Seau 3,5 kg Tronco VI Alimentaire)"/>
        <s v="Cap FBN OF 1/4 Club D122mm - VIVE "/>
        <s v="Cap FBN OF D83mm - VIVE "/>
        <s v="Cap FBN Simple D065mm "/>
        <s v="CAP FBN Simple D 96 STD "/>
        <s v="Cap FBN Simple D153mm-VIVE- BPA NI"/>
        <s v="Cap FBN Simple D099mm - VIVE - BPA NI"/>
        <s v="Cap FBN Simple D070mm - VIVE - BPA NI"/>
        <s v="Cap FBN Simple D055mm - VIVE - BPA NI"/>
        <s v="Cap FBN OS D55mm (Boite 1/4kg - 71x80)"/>
        <s v="Cap FBN OS D45mm (Boite 1/10kg - 55x55 )"/>
        <s v="Cap FB CB  Tulipe D180mm (Seau 3,5/5 kg Tulipe)"/>
        <s v="Cap FB CB  PAIL D305mm (Seau 15/17/22 L Tronconique)"/>
        <s v="Cap FB CB  PAIL D180mm (Seau 3,5/4,5/5 kg Tronconique)"/>
        <s v="Cap FB CB  OS D93/98mm (Boite 108X70/108x99/108x125/108X131)"/>
        <s v="Cap FB CB  OS D76mm (Boite 1/2kg H - 86x110)"/>
        <s v="Cap FB CB  BR D108mm (Boite 108x70/108x105)"/>
        <s v="Cvc FB OF 1/4 Club Epoxy Litho 2C - OC - Rosa Rouge SHV"/>
        <s v="Cvc FB OF 1/4 Club Epoxy Litho 2C - OC - Oceamic Rouge SHV"/>
        <s v="Cvc FB OF 1/4 Club Epoxy Litho 2C - Silverfood - Ginny Rouge "/>
        <s v="Cvc FB OF 1/4 Club Epoxy Litho 2C - Silverfood - Atlanta Rouge "/>
        <s v="Cvc FB OF 1/4 Club Epoxy Litho Amadir - Citadelle Jaune "/>
        <s v="Cvc FB OF 1/4 Club Epoxy Litho Amadir - 525 Jaune "/>
        <s v="Cvc FB OF 1/4 Club Epoxy Litho 2C - Silverfood - Silver Rouge "/>
        <s v="Cap FBN Simple D099mm - VIVE - EPOXY"/>
        <s v="Cvc ALU OF Dingley Gold - BPANI"/>
        <s v="Boite 1/4 Lisse OF - 73x58 - Mouluree - BPANI - MIEL - NOTAM ZEMZAMI"/>
        <s v="Boite OF 4/4 - 099x109 - Silver - G4 - EPOXY"/>
        <s v="Boite OF 4/4 - 099x120 - Silver - G4 - BPANI"/>
        <s v="Boite A10 - 153x180 -Silver - 0.25 - G3 BPANI"/>
        <s v="Boite A10 - 153x180 -Silver - 0.21 - G3 BPANI"/>
        <s v="Boite 5/1 - 153x245 - Ext Gold - Int Blanc Ceramique G4 BPANI"/>
        <s v="Boite OF 4/4 - 099x120 - Silver - G4 - EPOXY"/>
        <s v="Boite FB Conique EED 1/4 Club - 125ml - 122x028 - BPANI"/>
        <s v="Boite 1/2 Oval 340ml"/>
        <s v="Boite 4/4 -099x119- BPANI WHITE PIGMENT_VICTUS DAR EL AASAL "/>
        <s v="Boite 4/4 -099x119- BPANI WHITE PIGMENT_VICTUS JANANE EL AASAL "/>
        <s v="Boite FB RET OF 1/5 Ro160-TAM THON NATUREL-080x041,5 "/>
        <s v="Boite FB RET OF 1/5 Ro160-TAM THON HUILE VGT-080x041,5 "/>
        <s v="Boite Fer Blanc RET OF 1/5 Thon -Ro160 - 080x041,5 "/>
        <s v="Boite 4/4 Fds TFS-099x12-ENNASR/MFI-Dinar Abricot - Blanc Epoxy"/>
        <s v="Boite Ronde Aluminium Quaty 100 ml "/>
        <s v="Boite ALU Droite EES 1/4 Club 27 Silver - 120ml - BPANI"/>
        <s v="Boite ALU Conique EED 1/4 Club 29 Silver - 125ml - BPANI"/>
        <s v="Boite ALU Conique EED 1/4 Club 27 Silver - 120ml - BPANI"/>
        <s v="Boite ALU Conique EED 1/4 Club 22 Silver - 90ml - BPANI"/>
        <s v="Boite 5/1 - 153x245 - Ext Silver - Int Vernis Or G4 BPANI"/>
        <s v="Boite Fer Blanc 5Kg Brut (Abricot) - 153x273 - Mouluree - VE  "/>
        <s v="Boite 5kg Tronconique VI - 168x180x235 - Pails - FB CB"/>
        <s v="Boite 5kg Tulipe VI - 169x190x252 - OS - FB CB"/>
        <s v="Boite 5/1 - 153x245 - Ext Silver - Int Blanc Ceramique G4 BPANI"/>
        <s v="Boite 5kg Tulipe - 169x190x252 - OS - FB CB"/>
        <s v="Boite 5kg Tronconique - 168x180x235 - Pails - FB CB"/>
        <s v="Boite 4,5kg Tulipe - 169x190x210 - OS - FB CB"/>
        <s v="Boite 4,5kg Tronconique - 168x180x205 - Pails - FB CB"/>
        <s v="Boite FB OF 1/10 Thon - Ro80 - 65x38 - LOGIFOOD PTIT PECHEUR PIMENT"/>
        <s v="Boite Fer Blanc OF 1/10 Thon - Ro80 - 065x038 - LOGIF - MIRO HV"/>
        <s v="Boite Fer Blanc OF 1/10 Thon - Ro80 - 065x038 - LOGIF - GOLDY ST"/>
        <s v="Boite Fer Blanc OF 1/10 Thon - Ro80 - 065x038 - LOGIF - GOLDY HV"/>
        <s v="Boite Fer Blanc OF 1/10 Thon - Ro80 - 065x038 - JF - ISADORA ST"/>
        <s v="Boite Fer Blanc OF 1/10 Thon - Ro80 - 065x038 - JF - ISADORA HV"/>
        <s v="Boite FB OF 1/10 Thon - Ro80 - 65x38 - LOGIFOOD PTIT PECHEUR ST ROUGE"/>
        <s v="Boite FB OF 1/10 Thon - Ro80 - 65x38 - LOGIFOOD PTIT PECHEUR HV BLEU"/>
        <s v="Boite Fer Blanc OF 1/10 Thon - Ro80 - 065x038 - MDM - LUKA TST ROUGE"/>
        <s v="Boite Fer Blanc OF 1/10 Thon - Ro80 - 065x038 - TAMIMA BLEU"/>
        <s v="Boite 1/2kg Longue - 086x110 - OS - PPT"/>
        <s v="Boite Fer Blanc OF 1/10 Thon - Ro80 - 065x038 - TAMIMA ROUGE"/>
        <s v="Boite Fer Blanc OF 1/10 Thon - Ro80 - 065x038 - VMM PESCADA"/>
        <s v="Boite 4/4 - 099x109 - GLO FOODS - KOUNOUZ - "/>
        <s v="Boite 3,5kg Tronconique VI - 169x180x171 - Pails -FB CB"/>
        <s v="Boite 3,5kg Tulipe - 169x190x182 - OS - FB CB"/>
        <s v="Boite 3,5kg Tronconique - 169x180x171 - Pails -FB CB"/>
        <s v="Boite 4/4 - 099x109 - GLO FOODS - Seven Abricot - Blanc Epoxy"/>
        <s v="Boite Fer Blanc 1K700 - Mouluree - 153x100 - BPA NI"/>
        <s v="Boite A10 - 153x180 -Silver - 0.25 - G4 BPANI"/>
        <s v="Boite 4/4 - 099x120 - ENNASR/MFI - Dinar Abricot - Blanc Epoxy"/>
        <s v="Boite Fer Blanc 2K500 - Mouluree - 153x120 - BPA NI"/>
        <s v="Boite 4/4 OF - 099x120 - JANANE ZEM. - MULTIFLEURS"/>
        <s v="Boite 4/4 OF - 099x120 - JANANE ZEM. - AASAL L'BLAD"/>
        <s v="Boite 4/4 OF - 099x120 - LOGI FOOD-LE P'TIT PECHEUR Thon HV  "/>
        <s v="Boite 4/4 - 099x120 - Mouluree - BPANI -Victus - Dar AL Assal - "/>
        <s v="Boite 4/4 - 099x120 - ENNASR/MFI - OVD FATMA - Vernis Int. Or"/>
        <s v="Boite 4/4 OF - 099x120 - Mouluree - NOTAM - Miel Zemzami"/>
        <s v="Boite 4/4 OF - 099x120 - Mouluree - BPANI - MIEL - MIEL DU MAROC"/>
        <s v="Boite Fer Blanc OS 4/4 - 099x120 - Mouluree - VIVE - BPA NI"/>
        <s v="Boite OF 4/4 - 099x120 - Silver - G3 - BPANI"/>
        <s v="Boite 1kg Moyenne - 108x125 - OS - FBN"/>
        <s v="Boite 1kg Longue - 108x131 - OS - FBN"/>
        <s v="Boite 1kg Courte - 108x105 - BR - FBN"/>
        <s v="Boite 1kg Courte - 108x099 - OS - FBN"/>
        <s v="Boite Fer Blanc 1/2 Basse- OF EPOXI "/>
        <s v="Boite 1/2 Haute OF - 73x110 - Mouluree - BPANI - MIEL - NOTAM ZEMZAMI"/>
        <s v="Boite 1/2 Haute OF - 73x110 - Mouluree - BPANI - MIEL - MIEL DU MAROC"/>
        <s v="Boite Fer Blanc 1/2 Basse RET - 096x68 - VIVE"/>
        <s v="Boite FB OF_73 1/2 Haute RET - 070x110 - Mouluree - VIVE BPANI"/>
        <s v="Boite FB OS_70 1/2 Haute RET - 070x110 - Mouluree - VIVE BPANI"/>
        <s v="Boite Fer Blanc OS 1/2 Haute - 073x110 - Mouluree - VIVE - BPA NI"/>
        <s v="Boite Fer Blanc OF 1/2 Haute - 073x110 - Mouluree - VIVE - BPANI"/>
        <s v="Boite 1/2kg Longue - 086x110 - OS - FBN"/>
        <s v="Boite 1/2kg Courte - 108x070 - OS - FBN"/>
        <s v="Boite 1/2kg Courte - 108x070 - BR - FBN"/>
        <s v="Boite 1/4kg - 071x080 - OS - FBN"/>
        <s v="Boite 1/10kg - 055x055 - OS - FBN"/>
        <s v="Boite FB Droite 1/4 Club - 125ml - 122x028 - BPANI"/>
        <s v="Boite FB Droite 1/4 Club - 125ml - 122x028 - VIVE"/>
        <s v="Boite Fer Blanc OF 1/10 Thon -Ro80 - 065x038 "/>
        <s v="Boite Fer Blanc OF 1/2 Basse RET TAM- THON AU NATUREL - 096x68"/>
        <s v="Boite Fer Blanc OF 1/2 Basse RET TAM- THON HUILE VGT - 096x68"/>
        <s v="Boite Fer Blanc OF 1/2 Basse RET LOGIFOOD - PETIT PECHEUR - 096x68"/>
        <s v="Boite Fer Blanc OF 1/2 Basse RET TAMIMA - 099x68"/>
        <s v="Boite 4/4 - 096x115 - Silver - G3 "/>
        <s v="Boite 5/1 - 153x242 - GLO FOODS - Seven Abricot - Blanc Epoxy"/>
        <s v="Boite 5/1-153x245 Spec LM- VMM / STAR -Sauce Pizza - VI Blanc"/>
        <s v="Boite 5/1 - 153x245 - ENNASR/MFI - Conf. Fraises DINAR - VI Blanc"/>
        <s v="Boite 5/1 - 153x245 - SMARCOS - DCT KATCHA - VI Blanc"/>
        <s v="Boite 5/1 - 153x245 - ENNASR/MFI - Conf. Abricot DINAR - VI Blanc"/>
        <s v="Boite 5/1 - 153x245 - ENNASR/MFI - OVD FATMA - Vernis Int. Or"/>
        <s v="Boite 5/1 - 153x245 - New Peppers Sweet African Pepper - BPANI"/>
        <s v="Boite 5/1 - 153x245 - Univers Food Zébrée by Univ Food - BPANI"/>
        <s v="Boite 5/1 - 153x245 - Univers Food Zébrée by Casa Oliva - BPANI"/>
        <s v="Seau 3.5 kg Tronconique VI - MIEL DAR ESSALAM - MIEL 4KG300"/>
        <s v="Seau 3.5 kg Tronco VI + CVC VIVE - MIEL DAR ESSALAM - EUCALYPTUS 4KG"/>
        <s v="Seau 3.5 kg Tronco VI + CVC VIVE - NOTAM - Miel Zemzami"/>
        <s v="Boite 400G RET NEUTRE (1/2H PET FOOD) - 070X110"/>
        <s v="Boite 350GLuncheon meat POULET Bestcoock OF  -073X110-Al Firdaouss "/>
        <s v="Boite 350G luncheon meat DINDE OF -073X110-Al Firdaouss"/>
        <s v="Boite 400G RET-070X110-ODACE Boulettes au Bœuf  Chat-COPAG"/>
        <s v="Boite 400G RET-070X110-QUATY Boulettes Boeuf Chat Adulte-COPAG"/>
        <s v="Boite 400G RET-070X110-QUATY Boulettes Saumon Chat Adulte-COPAG"/>
        <s v="Boite 400G RET-070X110-QUATY Boulettes Volaille Chat Adulte-COPAG"/>
        <s v="Boite 400G RET-070X110-OSKAY Boulettes Volailles Chien Adulte-COPAG"/>
        <s v="Boite 400G RET-070X110-OSKAY Boulettes Viandes Chien Adulte-COPAG"/>
        <s v="Boite 400G RET-070X110-ODACE Boulettes Volaille Chat-COPAG"/>
        <s v="Boite 400G RET-070X110-ODACE Boulettes Saumon Chat-COPAG"/>
        <s v="Boite 400G RET-070X110-AYDI Boulettes Volailles Chien-COPAG"/>
        <s v="Boite 400G RET-070X110-AYDI Boulettes Bœuf Chien-COPAG"/>
        <s v="Boite 1KG700 NIEMA BŒUF &amp; VOLAILLES -EUROMAR"/>
        <s v="Boite 350G LUNCHEON DINDE  - 073x110 - FOODIS"/>
        <s v="Boite 800G LUNCHEON - 073x225 -SOMAFACO - BONBURG LUNCHON POULET"/>
        <s v="Boite 800G LUNCHEON - 073x225 -AL FIRDAOUSS - BEST COCK OLIVES"/>
        <s v="Boite 1/2 Haute OF - 73x110 - Mouluree - INTEROIL - BECHAR EL KHEIR"/>
        <s v="Boite 1KG700 LUNCHEON - 099x243 - AL FIRDAOUSS - LUNCH PIQUANTE"/>
        <s v="Boite 800G LUNCHEON - 073x225 -AL FIRDAOUSS - LUNCH PIQUANTE"/>
        <s v="Boite 400G RET-070X110-QUATY Terrine Junior-COPAG"/>
        <s v="Boite 400G RET-070X110-QUATY Terrine Adultes-COPAG"/>
        <s v="Boite 400G RET-070X110-OSKAY Terrine Junior-COPAG"/>
        <s v="Boite 400G RET-070X110-OSKAY Terrine Adultes-COPAG"/>
        <s v="Boite 1KG700 LUNCHEON - 099x243 - AL FIRDAOUSS - LUNCH DINDE "/>
        <s v="Boite 800G LUNCHEON - 073x225 -AL FIRDAOUSS - LUNCH POULET BEST COCK"/>
        <s v="Boite 800G LUNCHEON - 073x225 -AL FIRDAOUSS - LUNCH DINDE"/>
        <s v="Boite 800G LUNCHEON - 073x225 - SAHEL - LUNCH POULET"/>
        <s v="Boite 800G LUNCHEON - 073x225 - SAHEL - LUNCH DINDE"/>
        <s v="Boite 800G LUNCHEON - 073x225 - FOODIS - LUNCH DINDE"/>
        <s v="Boite 1KG700 LUNCHEON - 099x243 - FOODIS - LUNCH DINDE "/>
        <s v="Boite 1KG700 LUNCHEON - 099x243 - AL MARAI - OUSSOL POULET"/>
        <s v="Boite 800G LUNCHEON - 073x225 - AL MARAI - OUSSOL POULET"/>
        <s v="Boite 350G LUNCHEON - 073x110 - AL MARAI - OUSSOL POULET"/>
        <s v="Boite 1KG700 LUNCHEON - 099x243 - COPAG - LUNCH JAYDA BOEUF"/>
        <s v="Boite 800G LUNCHEON - 073x225 - COPAG - LUNCH JAYDA BOEUF"/>
        <s v="Boite 350G RET- 073x70x110 - COPAG - LUNCH JAYDA BOEUF"/>
        <s v="Boite 350G LUNCHEON - 073x110 - AL MARAI - OUSSOL DINDE"/>
        <s v="Boite 800G LUNCHEON - 073x225 - AL MARAI - OUSSOL DINDE"/>
        <s v="Boite 1KG700 LUNCHEON - 099x243 - AL MARAI - OUSSOL DINDE"/>
        <s v="Boite FB Club AC 125ml - Litho 2 C - OC Rosa Rouge SHV "/>
        <s v="Boite FB Club AC 125ml - Litho 2 C - OC Oceamic Rouge SHV "/>
        <s v="Boite FB Club AC 125ml - Litho 2 C - Epoxy - SF Ginny Rouge"/>
        <s v="Boite FB Club AC 125ml -Litho-Epoxy-TAM FILETS THON"/>
        <s v="Boite FB Club AC 125ml - Litho 2 C - Epoxy - SF Atlanta Rouge"/>
        <s v="Boite FB Club AC 125ml Citadelle Jau Sar HV- Epoxy-AMADIR "/>
        <s v="Boite FB Club AC 125ml 525 Jaune Sar HV- Epoxy-AMADIR "/>
        <s v="Boite FB Club AC 125ml - Litho 2 C - Epoxy - SF Silver Rouge"/>
        <s v="Boite 5kg T avec Jonc - 168x180x235 -Pails -PRODEC-SBAGHTI LAQUE"/>
        <s v="Boite 5kg T avec Jonc - 168x180x235 -Pails -PRODEC-G4+"/>
        <s v="Boite 5kg T avec Jonc - 168x180x235 -Pails -PRODEC-SBAGHTI LAQUE PLUS"/>
        <s v="Boite 5kg T avec Jonc - 168x180x235 - Pails -BOULMANE-JOTEX"/>
        <s v="Boite 5kg T avec Jonc - 168x180x235 - Pails -CHROMA COLOR"/>
        <s v="Boite 5kg T avec Jonc - 168x180x235 - Pails -COPROCHIM-COPROLAC"/>
        <s v="Boite 5kg T avec Jonc - 168x180x235 - Pails -RESIPRO-DURCISSEUR EPOXY"/>
        <s v="Boite 5kg T avec Jonc - 168x180x235 - Pails - AIGLOR - APPRET"/>
        <s v="Boite 5kg T avec Jonc - 168x180x235 - Pails - AIGLOR - AIGLOCAR"/>
        <s v="Boite 5kg T avec Jonc - 168x180x235 - Pails - AIGLOR - AIGLOLAC"/>
        <s v="Boite 5kg T avec Jonc - 168x180x235 - Pails - TRICOL -TRICOLAC"/>
        <s v="Boite 5kg T avec Jonc - 168x180x235 - Pails -EUROCOULEUR- Euro Laque"/>
        <s v="Boite 5kg T avec Jonc - 168x180x235 - Pails - MIPA - MILLALAC"/>
        <s v="Boite 5kg T avec Jonc - 168x180x235 - Pails - SOFACHIME - SOFALAC"/>
        <s v="Boite 5kg T avec Jonc - 168x180x235 - Pails - SOFACHIME - AXA LAQUE"/>
        <s v="Boite 5kg T - 168x180x235 - Pails - MUSTANG - MUSTLAC"/>
        <s v="Boite 4,5kg T - 169x180x208 - Pails -SOFACHIM AXA FER"/>
        <s v="Boite 4,5kg T - 169x180x208 - Pails - OUSSOUD - ANTIROUILLE"/>
        <s v="Boite 4,5kg T - 169x180x208 - Pails - SONACOLOR - SONAFER"/>
        <s v="Boite 4,5kg T - 169x180x208 - Pails - SONAFIP JAWHARA"/>
        <s v="Boite 4,5kg T Jonc - 169x180x208 - Pails - EUROCOULEUR - Euro Fer"/>
        <s v="Boite 4,5kg T Jonc - 169x180x208 - Pails - EUROCOULEUR- Bateau Laque"/>
        <s v="Boite 4,5kg T Jonc - 169x180x208 - Pails - SOFACHIME - 3D LAQUE"/>
        <s v="Boite 4,5kg T Jonc - 169x180x217 - Pails - TISSIR C4"/>
        <s v="Boite 4,5kg T Jonc - 169x180x217 - Pails - TISSIR STARFER"/>
        <s v="Boite 4,5kg T Jonc - 169x180x217 - Pails - MANUP MANULAQUE"/>
        <s v="Boite 1/2H_OF-73x110-Mouluree-VI_BlanC_ORGADFOOD-TISSA Maquereaux ST"/>
        <s v="Boite 4L Tulipe - 180x197 - EUROTEX - NOVA COLOR"/>
        <s v="Boite 4L Tulipe - 180x197 - OUSSOUD AL MAGHREB - ANTI ROUILLE"/>
        <s v="Boite 4L Tulipe - 180x197 - OUSSOUD AL MAGHREB - VERNIS SYNTHETIQUE"/>
        <s v="Boite 4L Tulipe - 180x197 - EUROTEX - GENERIQUE"/>
        <s v="Boite 3L5 Tulipe - 180x170 - EUROTEX - EUROMAT"/>
        <s v="Boite 4L Tulipe - 180x197 - EUROTEX - NOVOLACK"/>
        <s v="Boite 4L Tulipe - 180x197 - EUROTEX - K10"/>
        <s v="Boite 4L Tulipe - 180x197 - EUROTEX - LAQUE"/>
        <s v="Boite 3,5kg T Jonc - 169x180x171 - Pails - PRODEC-SBAGHTI VINYL PLUS"/>
        <s v="Boite 3,5kg T Jonc - 169x180x171 - Pails - CHROMA COLOR"/>
        <s v="Boite 3.5kg T - 169x180x171 - Pails - TRICOL - BATAL 202"/>
        <s v="Boite 3.5kg T - 169x180x171 - Pails - SONAFIP JAWHARA"/>
        <s v="Boite 3.5kg T - 169x180x171 - Pails - EUROCOULEUR - EuroPlast 77"/>
        <s v="Boite 3.5kg T - 169x180x171 - Pails -EUROCOULEUR-Goudron Cellulosique"/>
        <s v="Boite 3.5kg T - 169x180x171 - Pails - EUROCOULEUR - Chromat"/>
        <s v="Boite 3,5kg T Jonc - 169x180x171 - Pails - AIGLOROUILLE R3016"/>
        <s v="Boite 3,5kg T Jonc - 169x180x171 - Pails - AIGLOROUILLE G7040"/>
        <s v="Boite 3,5kg T Jonc - 169x180x171 - Pails - AIGLOR GOUDRON AUTO"/>
        <s v="Boite 3,5kg T Jonc - 169x180x171 - Pails - AIGLOR AIGLOZINC"/>
        <s v="Boite 3,5kg T - 169x180x171 - Pails - SONAFIP MAXIPLAST"/>
        <s v="Boite 1kg Courte - 108x099 - OS - SOFACHIM AXAFER"/>
        <s v="Boite 1kg Longue -108x131 -OS-MUSTANG-VERNIS TITANG"/>
        <s v="Boite 1kg Longue - 108x131 - OS - CHROMA COLOR"/>
        <s v="Boite 1kg Longue - 108x125 - OS - COPROCHIM - COPROLAC"/>
        <s v="Boite 1kg Longue - 108x131 - OS - EUROTEX - EUROMAT"/>
        <s v="Boite 1kg Longue - 108x131 - OS - BENCHRIF - MATCO - ENCAUSTIQUE"/>
        <s v="Boite 1kg Longue - 108x131 - OS - EUROTEX K10"/>
        <s v="Boite 1kg Longue - 108x131 - OS - EUROTEX NOVACOLOR"/>
        <s v="Boite 1kg - 108x125 - OS - SOFACHIME - P3D AXALAQUE"/>
        <s v="Boite 1kg - 108x125 - OS - SOFACHIME - SOFALAC"/>
        <s v="Boite 1kg Longue - 108x99 - OS - SHAMSCOLOR - SHAMSOFER"/>
        <s v="Boite 1kg Longue - 108x131 - OS - SHAMSCOLOR - OMALAC"/>
        <s v="Boite 1kg Longue - 108x131 - OS - SHAMSCOLOR - SHAMSLAC"/>
        <s v="Boite 1kg Longue - 108x131 - OS - SHAMSCOLOR - SHAMSWOOD"/>
        <s v="Boite 1kg Longue - 108x131 - OS - COPROCHIM - VERNICOP"/>
        <s v="Boite 1kg Longue - 108x99 - OS - OUSSOUD - ANTIROUILLE"/>
        <s v="Boite 1kg Longue - 108x131 - OS - OUSSOUD - VERNIS SYNTH BRILLANT"/>
        <s v="Boite 1kg Longue - 108x131 - OS - OUSSOUD - VERNIS CELLULO BRILLANT"/>
        <s v="Boite 1kg Courte - 108x099 - OS - SONACOLOR - SONAFER"/>
        <s v="Boite 1kg Longue - 108x131 - OS - HFF - GALAXY LAC"/>
        <s v="Boite 1kg Longue - 108x131 - OS - OUSSOUD - BOUCHES PORES"/>
        <s v="Boite 1kg Moyenne - 108x125 - OS - EUROCOULEUR- Goudron Cellulosique "/>
        <s v="Boite 1kg Courte - 108x099 - OS - EUROCOULEUR - Chromat"/>
        <s v="Boite 1kg Courte - 108x099 - OS - EUROCOULEUR - Euro Fer"/>
        <s v="Boite 1kg Longue - 108x131 - OS - EUROCOULEUR - Euro Wood"/>
        <s v="Boite 1kg Longue - 108x131 - OS - EUROCOULEUR - Euro Laque"/>
        <s v="Boite 1kg Longue - 108x131 - OS - EUROCOULEUR - Euro Auto"/>
        <s v="Boite 1kg Longue - 108x131 - OS - EUROCOULEUR - Bateau Laque"/>
        <s v="Boite 1kg Longue - 108x131 - OS - MUSTANG - MUSTLAC"/>
        <s v="Boite 1kg Longue - 108x131 - OS - BENCHRIF - MATCO - CERA"/>
        <s v="Boite 1kg Moyenne - 108x125 - OS - SONAFIP CLASSICO LAC"/>
        <s v="Boite 1kg Moyenne - 108x125 - OS - ARENA ARENALAC"/>
        <s v="Boite 1kg Longue - 108x131 - OS - MIPA APPRET"/>
        <s v="Boite 1kg Moyenne - 108x125 - OS - MIPA MILLALAC"/>
        <s v="Boite 1kg Moyenne - 108x125 - OS - TISSIR C4"/>
        <s v="Boite 1kg Moyenne - 108x125 - OS - SONAFIP TENSIFTE"/>
        <s v="Boite 1kg Moyenne - 108x125 - OS - SONAFIP JAWHARA"/>
        <s v="Boite 1kg Moyenne - 108x125 - OS - MANUP MANULAQUE"/>
        <s v="Boite 1kg Moyenne - 108x125 - OS - AIGLOR APPRET"/>
        <s v="Boite 1kg Moyenne - 108x125 - OS - AIGLOLAC"/>
        <s v="Boite 1kg Longue - 108x131 -OS - AIGLOCAR"/>
        <s v="Boite 1kg Longue - 108x131 - OS - MIPA MILLAFLEX"/>
        <s v="Boite 1kg Longue - 108x131 - OS - MIPA CELLULO OPAQUE V"/>
        <s v="Boite 1kg Longue - 108x131 - OS - MIPA CELLULO METAL G"/>
        <s v="Boite 1kg Longue - 108x131 - OS - EUROTEX NOVOLACK"/>
        <s v="Boite 1kg Longue - 108x131 - OS - AIGLOR SURFABOIS"/>
        <s v="Boite 1kg Longue - 108x131 - OS - AIGLOFLEX"/>
        <s v="Boite 1kg Courte - 108x099 - OS - TISSIR STARFER"/>
        <s v="Boite 1kg Courte - 108x099 - OS - AIGLOZINC"/>
        <s v="Boite 1kg Courte - 108x099 - OS - AIGLOROUILLE"/>
        <s v="Boite 1/2kg L - 086x110 - OS - EUROTEX-K10"/>
        <s v="Boite 1/2kg L - 086x110 - OS - COPROCHIM - VERNICOP"/>
        <s v="Boite 1/2kg Courte - 108x070 - OS - SONACOLOR - SONAFER"/>
        <s v="Boite 1/2kg L - 086x110 - OS - EUROCOULEUR - EUROLAQUE"/>
        <s v="Boite 1/2kg Courte - 108x070 - OS - TISSIR STARFER"/>
        <s v="Boite 1/2kg L - 086x110 - OS - SONAFIP CLASSICO LAC"/>
        <s v="Boite 1/2kg Courte - 108x070 - OS - MIPA Peinture Cellulosique"/>
        <s v="Boite 1/2kg Courte - 108x070 - OS - MIPA Pate a polir P7"/>
        <s v="Boite 1/2kg Courte - 108x070 - OS - MIPA Pate a lustrer"/>
        <s v="Boite 1/2kg L - 086x110 - OS - SONAFIP TENSIFT"/>
        <s v="Boite 1/2kg L - 086x110 - OS - MANUPEINT MANULAQUE"/>
        <s v="Boite 1/2kg L - 086x110 - OS - EUROTEX NOVOLACK"/>
        <s v="Boite 1/2kg Courte - 108x070 - OS - AIGLOR APPRET"/>
        <s v="Boite 1/2kg Courte - 108x070 - OS - AIGLOLAC"/>
        <s v="Boite 1/2kg Courte - 108x070 - OS - AIGLOCAR"/>
        <s v="Boite 1/4kg - 071x080 - OS - EUROCOULEUR - Euro Auto"/>
        <s v="Boite 1/4kg - 071x080 - OS - MIPA CELLULO OPAQUE"/>
        <s v="Couvercle D73 OF Aluminium"/>
        <s v="Boite ALU Dingley P21 Gold - 115ml - BPANI"/>
        <s v="Boite 4,5kg Tulipe - 169x190x210 - OS - FBN - VI OR ALIM"/>
        <s v="Bidon 1L Rect Court - 166x063x119 - C6 - PRODEC VERT"/>
        <s v="Bidon 5L Rectangulaire - 150x120x295 - ST42 - FBN"/>
        <s v="Bidon 5L Rectangulaire - 150x120x295 - ST42 - FB CB"/>
        <s v="Bidon 1/2L Rectangulaire - 115x59x105 - ST32 - FB CB"/>
        <s v="Bidon 1L Rectangulaire Haut (diluant) - 115x59x187 - ST32 - PPT"/>
        <s v="Bidon 1/2L Rectangulaire (diluant) - 115x59x105 - ST32 - PPT"/>
        <s v="Bidon 1/2L Rectangulaire (vernis) - 115x59x105 - ST32 - PPT"/>
        <s v="Bidon 1L Rectangulaire Haut (vernis) - 115x59x187 - ST32 - PPT"/>
        <s v="Bidon 1L Rectangulaire Haut - 115x59x187 - ST32 - FB CB"/>
        <s v="Bidon 1L Rectangulaire Court - 166x063x119 - C6 - FBN"/>
        <s v="Bidon 1L Rectangulaire Court - 166x063x119 - C6 - FB CB"/>
        <s v="Bidon 1L Rect Haut - 115x59x187 - C7 32 - MIPA DIL UNIVERSEL"/>
        <s v="Bidon 1L Cylindrique - 108x131 - ST42 - FBN"/>
        <s v="Bidon 1/2L Cylindrique - 071x146 - C6 - FBN"/>
        <s v="Bidon 1/2L Cylindrique - 071x138 - C6 - FBN"/>
        <s v="Bidon 1/4L Cylindrique - 071X080 - C6 - FBN"/>
        <s v="Bidon 1L Cylindrique - 108x131 - ST42 - EUROTEX - TINTE BOIS"/>
        <s v="Bidon 1L Cylindrique - 108x131 - ST32 - AIGLOR VERNIBOIS"/>
        <s v="Bidon 1/2L Cylindrique - 073x138 - C6 - MIPA - DILUANT UNIVERSEL"/>
        <s v="Boite Fer Blanc OF 1/10 Thon - Ro80 - 065x038 - MDM - LUKA THV BLEU"/>
      </sharedItems>
    </cacheField>
    <cacheField name="Aucune" numFmtId="0">
      <sharedItems containsBlank="1" count="3">
        <s v="Article lié"/>
        <s v="Aucune"/>
        <m/>
      </sharedItems>
    </cacheField>
    <cacheField name="TFSAFN" numFmtId="0">
      <sharedItems containsBlank="1" count="16">
        <s v="FBBIN"/>
        <s v="FBBII"/>
        <s v="FBAFN"/>
        <s v="FBIDN"/>
        <s v="FBIDAN"/>
        <s v="FBVN"/>
        <s v="FBIDI"/>
        <m/>
        <s v="FBAFI"/>
        <s v="ALFN"/>
        <s v="FBVI"/>
        <s v="FBFN"/>
        <s v="ALPI"/>
        <s v="FBFI"/>
        <s v="FBLN"/>
        <s v="FBL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THMANE" refreshedDate="46193.487616782404" createdVersion="7" refreshedVersion="7" minRefreshableVersion="3" recordCount="109" xr:uid="{826ED6D5-127F-4700-9664-D8F7E2FC4B11}">
  <cacheSource type="worksheet">
    <worksheetSource ref="A1:E110" sheet="Articles Plastique"/>
  </cacheSource>
  <cacheFields count="5">
    <cacheField name="Type" numFmtId="0">
      <sharedItems/>
    </cacheField>
    <cacheField name="Référence article" numFmtId="0">
      <sharedItems/>
    </cacheField>
    <cacheField name="Désignation" numFmtId="0">
      <sharedItems count="109">
        <s v="ALVEOLE ROND 30x50 PP THERMO 54 NOIR"/>
        <s v="ALVEOLE ROND 30x50 PP THERMO 51 NOIR"/>
        <s v="ALVEOLE ROND 30x50 PP THERMO 48 NOIR"/>
        <s v="ALVEOLE ROND 30x50 PP THERMO 45 NOIR"/>
        <s v="ALVEOLE ROND 30x50 PP THERMO 42 NOIR"/>
        <s v="ALVEOLE ROND 30x50 PP THERMO 40 NOIR"/>
        <s v="ALVEOLE ROND 30x50 PP THERMO 37 NOIR"/>
        <s v="ALVEOLE ROND 30x50 PP THERMO 35 NOIR"/>
        <s v="ALVEOLE ROND 30x50 PP THERMO 32 NOIR"/>
        <s v="ALVEOLE ROND 30x50 PP THERMO 30 NOIR"/>
        <s v="ALVEOLE ROND 30x50 PP THERMO 28 NOIR"/>
        <s v="ALVEOLE ROND 30x50 PP THERMO 26 NOIR"/>
        <s v="ALVEOLE ROND 30x50 PP THERMO 24 NOIR"/>
        <s v="ALVEOLE ROND 30x50 PP THERMO 22 NOIR"/>
        <s v="ALVEOLE ROND 30x50 PP THERMO 20 NOIR"/>
        <s v="ALVEOLE ROND 30x50 PP THERMO 18 NOIR"/>
        <s v="ALVEOLE ROND 30x50 PP THERMO 16 NOIR"/>
        <s v="PET pilljar 100ml clear with 40mm snap on neck"/>
        <s v="Alcap closure 43mm white for Pilljar 100ml"/>
        <s v="Cvc JK Rond Plastique PP Transparent 1500"/>
        <s v="Cvc JK Rond Plastique PP Orange 1500"/>
        <s v="Cvc JK Rond Plastique PP Transparent 850"/>
        <s v="Cvc JK Rond Plastique PP Orange 850"/>
        <s v="Cvc JK Rond Plastique PP Blanc 1200"/>
        <s v="Seau 30L Sans Anse Hobbock"/>
        <s v="Cvc Rond Plastique PP Neutre Blanc 30000"/>
        <s v="Cvc Rond Plastique PP Neutre Transp 10000"/>
        <s v="Seau Rond Plastique PP Transparent 10000 AP"/>
        <s v="Seau RECT Plastique PP Neutre Blanc 5000 AM"/>
        <s v="Seau RECT Plastique PP Noir  4000 AM"/>
        <s v="Seau RECT Plastique PP Neutre Blanc 4000 AM"/>
        <s v="Seau Rond Plastique PP Neutre Noir 2300 AP"/>
        <s v="Seau &quot;ANID&quot; Rond Plastique PP Neutre Blanc 17/18L AM"/>
        <s v="Seau Rond Plastique OP PP NOIR 18000 AM"/>
        <s v="Seau Rond Plastique OP PP Rouge 18000 AM"/>
        <s v="Seau Rond Plastique OP PP Neutre Blanc 18000 AM"/>
        <s v="Seau Rond Plastique OP PP Neutre Blanc 20000 AM"/>
        <s v="Seau &quot;ANID&quot; Rond Plastique PP Neutre Blanc 19/20L AM"/>
        <s v="Seau Rond Plastique PP Neutre Blanc 10000 AP"/>
        <s v="Seau &quot;ANID&quot; Rond Plastique PP Neutre Blanc 17/18L AP"/>
        <s v="Seau Rond Plastique PP Neutre Blanc 10000 AM"/>
        <s v="Seau Rond Plastique PP Transparent 5500 AP"/>
        <s v="Seau Rond Plastique PP Neutre Blanc 5500 AM"/>
        <s v="Seau Rond Plastique PP Neutre Blanc 5500 AP"/>
        <s v="Seau Rond Plastique PP Transparent 4600 AP"/>
        <s v="Seau Rond Plastique PP Neutre Blanc 4600 AP"/>
        <s v="Seau Rond Plastique PP Neutre Blanc 4600 AM"/>
        <s v="Seau Rond Plastique PP Neutre 4600  AM Rouge"/>
        <s v="Seau Rond Plastique PP Neutre 3800  AM Rouge"/>
        <s v="Seau Rond Plastique PP Neutre  4000 InvBox AM Noir"/>
        <s v="Seau Rond Plastique PP Neutre Blanc 4000 InvBox AM"/>
        <s v="Seau Rond Plastique PP Transparent 3800 AP"/>
        <s v="Seau Rond Plastique PP Neutre Blanc 3800 AP"/>
        <s v="Seau Rond Plastique PP Neutre 3800  AM Bleu"/>
        <s v="Seau Rond Plastique PP Neutre Blanc 3800 AM"/>
        <s v="Seau Rond Plastique PP Transparent 1700 AP"/>
        <s v="Seau Rond Plastique PP Neutre Blanc 1700 AP"/>
        <s v="Seau Rond Plastique PP Transparent 2300 AP"/>
        <s v="Seau Rond Plastique PP Neutre Blanc 2300 AP"/>
        <s v="Seau JK Rond Plastique PP Neutre Blanc 21L AP"/>
        <s v="Seau JK - Rond Plastique PP Transparent 1500 AP"/>
        <s v="Cvc RECT Plastique PP Neutre Blanc 5L"/>
        <s v="Cvc RECT Plastique PP Noir  4L"/>
        <s v="Cvc RECT Plastique PP Neutre Blanc 4L"/>
        <s v="Cvc JK Rond Plastique PP Neutre Blanc 21L"/>
        <s v="Cvc Rond Plastique PP Neutre Blanc 20000"/>
        <s v="Cvc &quot;ANID&quot; Rond Plastique PP Neutre Blanc 19/20L"/>
        <s v="Cvc Rond Plastique PP  NOIR 18000"/>
        <s v="Cvc Rond Plastique PP  Rouge 18000"/>
        <s v="Cvc Rond Plastique PP Neutre Blanc 18000"/>
        <s v="Cvc &quot;ANID&quot; Rond Plastique PP Neutre Blanc 17/18L"/>
        <s v="Cvc Rond Plastique PP Neutre Blanc 10000"/>
        <s v="Cvc Rond Plastique PP Neutre Transp 3800/4600"/>
        <s v="Cvc Rond Plastique PP Neutre Transp 280"/>
        <s v="Cvc Plastique PP Neutre Transp 180"/>
        <s v="Cvc Rond Plastique PP Neutre Rouge 3800/4600"/>
        <s v="Cvc Rond Plastique PP Neutre Bleu 3800/4600"/>
        <s v="Pot Rond Plastique PP Transparent 1200 AP"/>
        <s v="Pot Rond Plastique PP Neutre Blanc 1200 AP"/>
        <s v="Pot Rond Plastique PP Transparent 870 AP"/>
        <s v="Pot Rond Plastique PP Neutre Blanc 870 AP"/>
        <s v="Pot Rond Plastique PP Transparent 600 AP"/>
        <s v="Pot Rond Plastique PP Neutre Blanc 600 AP "/>
        <s v="Pot Rond Plastique PP Transparent 280 SA"/>
        <s v="Pot Rond Plastique PP Neutre Blanc 280 SA"/>
        <s v="Pot Rond Plastique PP Transparent 180 SA"/>
        <s v="Pot Rond Plastique PP Neutre Blanc 180 SA"/>
        <s v="Pot JK - Rond Plastique PP Neutre Blanc 1200 AP"/>
        <s v="Pot JK - Rond Plastique PP Transparent 850 AP"/>
        <s v="Cvc Rond Plastique PP Neutre Transp 870"/>
        <s v="Cvc Rond Plastique PP Neutre Blanc 870"/>
        <s v="Cvc Rond Plastique PP Neutre Transp 600"/>
        <s v="Cvc Rond Plastique PP Neutre Blanc 600"/>
        <s v="Cvc Rond Plastique PP Neutre Transp 5500"/>
        <s v="Cvc Rond Plastique PP Neutre Blanc 5500"/>
        <s v="Cvc Rond Plastique PP Neutre  4000ML INVB Noir "/>
        <s v="Cvc Rond Plastique PP Neutre Blanc 4000MLINVB"/>
        <s v="Cvc Rond Plastique PP Neutre Blanc 3800/4600"/>
        <s v="Cvc Rond Plastique PP Neutre Noir 2300"/>
        <s v="Cvc Rond Plastique PP Neutre Rouge  2300"/>
        <s v="Cvc Rond Plastique PP Neutre Jaune 2300"/>
        <s v="Cvc Rond Plastique PP Neutre Transp 2300"/>
        <s v="Cvc Rond Plastique PP Neutre Blanc 2300"/>
        <s v="Cvc Rond Plastique PP Neutre Transp 1700"/>
        <s v="Cvc Rond Plastique PP Neutre Blanc 1700"/>
        <s v="Cvc Rond Plastique PP Neutre Transp 1200"/>
        <s v="Cvc Rond Plastique PP Neutre Blanc 1200"/>
        <s v="Cvc Rond Plastique PP Neutre Blanc 280"/>
        <s v="Cvc Rond Plastique PP Neutre Blanc 180"/>
      </sharedItems>
    </cacheField>
    <cacheField name="Nomenclature" numFmtId="0">
      <sharedItems/>
    </cacheField>
    <cacheField name="Famille" numFmtId="0">
      <sharedItems count="3">
        <s v="PLATH"/>
        <s v="PET"/>
        <s v="PLA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THMANE" refreshedDate="46193.487767013889" createdVersion="7" refreshedVersion="7" minRefreshableVersion="3" recordCount="109" xr:uid="{5D6DC469-0B95-48E9-80BF-E713D5C0E2DD}">
  <cacheSource type="worksheet">
    <worksheetSource ref="A1:E110" sheet="Articles Pres Serv"/>
  </cacheSource>
  <cacheFields count="5">
    <cacheField name="Type" numFmtId="0">
      <sharedItems/>
    </cacheField>
    <cacheField name="Référence article" numFmtId="0">
      <sharedItems count="109">
        <s v="13478-54"/>
        <s v="13478-51"/>
        <s v="13478-48"/>
        <s v="13478-45"/>
        <s v="13478-42"/>
        <s v="13478-40"/>
        <s v="13478-37"/>
        <s v="13478-35"/>
        <s v="13478-32"/>
        <s v="13478-30"/>
        <s v="13478-28"/>
        <s v="13478-26"/>
        <s v="13478-24"/>
        <s v="13478-22"/>
        <s v="13478-20"/>
        <s v="13478-18"/>
        <s v="13478-16"/>
        <s v="050101NV0101"/>
        <s v="050101CP0101"/>
        <s v="04JK1711CV02"/>
        <s v="04JK1711CV01"/>
        <s v="04JK0701CV02"/>
        <s v="04JK0701CV01"/>
        <s v="04JK01CV1201"/>
        <s v="043001GA0301"/>
        <s v="040CV30003"/>
        <s v="0408CV10001"/>
        <s v="040802NL1201"/>
        <s v="040801RC1102"/>
        <s v="040801RC0904N"/>
        <s v="040801RC0904"/>
        <s v="040801NR0602"/>
        <s v="040801NL1513"/>
        <s v="040801NL1508"/>
        <s v="040801NL1507"/>
        <s v="040801NL1506"/>
        <s v="040801NL1505"/>
        <s v="040801NL1503"/>
        <s v="040801NL1303"/>
        <s v="040801NL1302"/>
        <s v="040801NL1201"/>
        <s v="040801NL1103"/>
        <s v="040801NL1102"/>
        <s v="040801NL1101"/>
        <s v="040801NL1003"/>
        <s v="040801NL1002"/>
        <s v="040801NL1001"/>
        <s v="040801NL0914"/>
        <s v="040801NL0913"/>
        <s v="040801NL0905"/>
        <s v="040801NL0904"/>
        <s v="040801NL0903"/>
        <s v="040801NL0902"/>
        <s v="040801NL09012"/>
        <s v="040801NL0901"/>
        <s v="040801NL0702"/>
        <s v="040801NL0701"/>
        <s v="040801NL0603"/>
        <s v="040801NL0602"/>
        <s v="040801JK1302"/>
        <s v="040801JK0702"/>
        <s v="0407RCCV5000"/>
        <s v="0407RCCV4000N"/>
        <s v="0407RCCV4000"/>
        <s v="0407CV21JK01"/>
        <s v="0407CV20001"/>
        <s v="0407CV190001"/>
        <s v="0407CV180012"/>
        <s v="0407CV180011"/>
        <s v="0407CV180001"/>
        <s v="0407CV170001"/>
        <s v="0407CV10001"/>
        <s v="040799CV3846"/>
        <s v="040791CV0301"/>
        <s v="040791CV0201"/>
        <s v="040703CV3946"/>
        <s v="040703CV3846"/>
        <s v="040701NL0504"/>
        <s v="040701NL0503"/>
        <s v="040701NL0502"/>
        <s v="040701NL0501"/>
        <s v="040701NL0403"/>
        <s v="040701NL0402"/>
        <s v="040701NL0302"/>
        <s v="040701NL0301"/>
        <s v="040701NL0202"/>
        <s v="040701NL0201"/>
        <s v="040701JK0503"/>
        <s v="040701JK0502"/>
        <s v="040701CV8702"/>
        <s v="040701CV8701"/>
        <s v="040701CV6002"/>
        <s v="040701CV6001"/>
        <s v="040701CV5501"/>
        <s v="040701CV5500"/>
        <s v="040701CV4001"/>
        <s v="040701CV4000"/>
        <s v="040701CV3846"/>
        <s v="040701CV2304"/>
        <s v="040701CV2303"/>
        <s v="040701CV2302"/>
        <s v="040701CV2301"/>
        <s v="040701CV2300"/>
        <s v="040701CV1701"/>
        <s v="040701CV1700"/>
        <s v="040701CV1201"/>
        <s v="040701CV1200"/>
        <s v="040701CV0301"/>
        <s v="040701CV0201"/>
      </sharedItems>
    </cacheField>
    <cacheField name="Désignation" numFmtId="0">
      <sharedItems count="109">
        <s v="ALVEOLE ROND 30x50 PP THERMO 54 NOIR"/>
        <s v="ALVEOLE ROND 30x50 PP THERMO 51 NOIR"/>
        <s v="ALVEOLE ROND 30x50 PP THERMO 48 NOIR"/>
        <s v="ALVEOLE ROND 30x50 PP THERMO 45 NOIR"/>
        <s v="ALVEOLE ROND 30x50 PP THERMO 42 NOIR"/>
        <s v="ALVEOLE ROND 30x50 PP THERMO 40 NOIR"/>
        <s v="ALVEOLE ROND 30x50 PP THERMO 37 NOIR"/>
        <s v="ALVEOLE ROND 30x50 PP THERMO 35 NOIR"/>
        <s v="ALVEOLE ROND 30x50 PP THERMO 32 NOIR"/>
        <s v="ALVEOLE ROND 30x50 PP THERMO 30 NOIR"/>
        <s v="ALVEOLE ROND 30x50 PP THERMO 28 NOIR"/>
        <s v="ALVEOLE ROND 30x50 PP THERMO 26 NOIR"/>
        <s v="ALVEOLE ROND 30x50 PP THERMO 24 NOIR"/>
        <s v="ALVEOLE ROND 30x50 PP THERMO 22 NOIR"/>
        <s v="ALVEOLE ROND 30x50 PP THERMO 20 NOIR"/>
        <s v="ALVEOLE ROND 30x50 PP THERMO 18 NOIR"/>
        <s v="ALVEOLE ROND 30x50 PP THERMO 16 NOIR"/>
        <s v="PET pilljar 100ml clear with 40mm snap on neck"/>
        <s v="Alcap closure 43mm white for Pilljar 100ml"/>
        <s v="Cvc JK Rond Plastique PP Transparent 1500"/>
        <s v="Cvc JK Rond Plastique PP Orange 1500"/>
        <s v="Cvc JK Rond Plastique PP Transparent 850"/>
        <s v="Cvc JK Rond Plastique PP Orange 850"/>
        <s v="Cvc JK Rond Plastique PP Blanc 1200"/>
        <s v="Seau 30L Sans Anse Hobbock"/>
        <s v="Cvc Rond Plastique PP Neutre Blanc 30000"/>
        <s v="Cvc Rond Plastique PP Neutre Transp 10000"/>
        <s v="Seau Rond Plastique PP Transparent 10000 AP"/>
        <s v="Seau RECT Plastique PP Neutre Blanc 5000 AM"/>
        <s v="Seau RECT Plastique PP Noir  4000 AM"/>
        <s v="Seau RECT Plastique PP Neutre Blanc 4000 AM"/>
        <s v="Seau Rond Plastique PP Neutre Noir 2300 AP"/>
        <s v="Seau &quot;ANID&quot; Rond Plastique PP Neutre Blanc 17/18L AM"/>
        <s v="Seau Rond Plastique OP PP NOIR 18000 AM"/>
        <s v="Seau Rond Plastique OP PP Rouge 18000 AM"/>
        <s v="Seau Rond Plastique OP PP Neutre Blanc 18000 AM"/>
        <s v="Seau Rond Plastique OP PP Neutre Blanc 20000 AM"/>
        <s v="Seau &quot;ANID&quot; Rond Plastique PP Neutre Blanc 19/20L AM"/>
        <s v="Seau Rond Plastique PP Neutre Blanc 10000 AP"/>
        <s v="Seau &quot;ANID&quot; Rond Plastique PP Neutre Blanc 17/18L AP"/>
        <s v="Seau Rond Plastique PP Neutre Blanc 10000 AM"/>
        <s v="Seau Rond Plastique PP Transparent 5500 AP"/>
        <s v="Seau Rond Plastique PP Neutre Blanc 5500 AM"/>
        <s v="Seau Rond Plastique PP Neutre Blanc 5500 AP"/>
        <s v="Seau Rond Plastique PP Transparent 4600 AP"/>
        <s v="Seau Rond Plastique PP Neutre Blanc 4600 AP"/>
        <s v="Seau Rond Plastique PP Neutre Blanc 4600 AM"/>
        <s v="Seau Rond Plastique PP Neutre 4600  AM Rouge"/>
        <s v="Seau Rond Plastique PP Neutre 3800  AM Rouge"/>
        <s v="Seau Rond Plastique PP Neutre  4000 InvBox AM Noir"/>
        <s v="Seau Rond Plastique PP Neutre Blanc 4000 InvBox AM"/>
        <s v="Seau Rond Plastique PP Transparent 3800 AP"/>
        <s v="Seau Rond Plastique PP Neutre Blanc 3800 AP"/>
        <s v="Seau Rond Plastique PP Neutre 3800  AM Bleu"/>
        <s v="Seau Rond Plastique PP Neutre Blanc 3800 AM"/>
        <s v="Seau Rond Plastique PP Transparent 1700 AP"/>
        <s v="Seau Rond Plastique PP Neutre Blanc 1700 AP"/>
        <s v="Seau Rond Plastique PP Transparent 2300 AP"/>
        <s v="Seau Rond Plastique PP Neutre Blanc 2300 AP"/>
        <s v="Seau JK Rond Plastique PP Neutre Blanc 21L AP"/>
        <s v="Seau JK - Rond Plastique PP Transparent 1500 AP"/>
        <s v="Cvc RECT Plastique PP Neutre Blanc 5L"/>
        <s v="Cvc RECT Plastique PP Noir  4L"/>
        <s v="Cvc RECT Plastique PP Neutre Blanc 4L"/>
        <s v="Cvc JK Rond Plastique PP Neutre Blanc 21L"/>
        <s v="Cvc Rond Plastique PP Neutre Blanc 20000"/>
        <s v="Cvc &quot;ANID&quot; Rond Plastique PP Neutre Blanc 19/20L"/>
        <s v="Cvc Rond Plastique PP  NOIR 18000"/>
        <s v="Cvc Rond Plastique PP  Rouge 18000"/>
        <s v="Cvc Rond Plastique PP Neutre Blanc 18000"/>
        <s v="Cvc &quot;ANID&quot; Rond Plastique PP Neutre Blanc 17/18L"/>
        <s v="Cvc Rond Plastique PP Neutre Blanc 10000"/>
        <s v="Cvc Rond Plastique PP Neutre Transp 3800/4600"/>
        <s v="Cvc Rond Plastique PP Neutre Transp 280"/>
        <s v="Cvc Plastique PP Neutre Transp 180"/>
        <s v="Cvc Rond Plastique PP Neutre Rouge 3800/4600"/>
        <s v="Cvc Rond Plastique PP Neutre Bleu 3800/4600"/>
        <s v="Pot Rond Plastique PP Transparent 1200 AP"/>
        <s v="Pot Rond Plastique PP Neutre Blanc 1200 AP"/>
        <s v="Pot Rond Plastique PP Transparent 870 AP"/>
        <s v="Pot Rond Plastique PP Neutre Blanc 870 AP"/>
        <s v="Pot Rond Plastique PP Transparent 600 AP"/>
        <s v="Pot Rond Plastique PP Neutre Blanc 600 AP "/>
        <s v="Pot Rond Plastique PP Transparent 280 SA"/>
        <s v="Pot Rond Plastique PP Neutre Blanc 280 SA"/>
        <s v="Pot Rond Plastique PP Transparent 180 SA"/>
        <s v="Pot Rond Plastique PP Neutre Blanc 180 SA"/>
        <s v="Pot JK - Rond Plastique PP Neutre Blanc 1200 AP"/>
        <s v="Pot JK - Rond Plastique PP Transparent 850 AP"/>
        <s v="Cvc Rond Plastique PP Neutre Transp 870"/>
        <s v="Cvc Rond Plastique PP Neutre Blanc 870"/>
        <s v="Cvc Rond Plastique PP Neutre Transp 600"/>
        <s v="Cvc Rond Plastique PP Neutre Blanc 600"/>
        <s v="Cvc Rond Plastique PP Neutre Transp 5500"/>
        <s v="Cvc Rond Plastique PP Neutre Blanc 5500"/>
        <s v="Cvc Rond Plastique PP Neutre  4000ML INVB Noir "/>
        <s v="Cvc Rond Plastique PP Neutre Blanc 4000MLINVB"/>
        <s v="Cvc Rond Plastique PP Neutre Blanc 3800/4600"/>
        <s v="Cvc Rond Plastique PP Neutre Noir 2300"/>
        <s v="Cvc Rond Plastique PP Neutre Rouge  2300"/>
        <s v="Cvc Rond Plastique PP Neutre Jaune 2300"/>
        <s v="Cvc Rond Plastique PP Neutre Transp 2300"/>
        <s v="Cvc Rond Plastique PP Neutre Blanc 2300"/>
        <s v="Cvc Rond Plastique PP Neutre Transp 1700"/>
        <s v="Cvc Rond Plastique PP Neutre Blanc 1700"/>
        <s v="Cvc Rond Plastique PP Neutre Transp 1200"/>
        <s v="Cvc Rond Plastique PP Neutre Blanc 1200"/>
        <s v="Cvc Rond Plastique PP Neutre Blanc 280"/>
        <s v="Cvc Rond Plastique PP Neutre Blanc 180"/>
      </sharedItems>
    </cacheField>
    <cacheField name="Nomenclature" numFmtId="0">
      <sharedItems count="2">
        <s v="Aucune"/>
        <s v="Article lié"/>
      </sharedItems>
    </cacheField>
    <cacheField name="Famille" numFmtId="0">
      <sharedItems count="3">
        <s v="PLATH"/>
        <s v="PET"/>
        <s v="PLA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THMANE" refreshedDate="46193.488083449076" createdVersion="7" refreshedVersion="7" minRefreshableVersion="3" recordCount="18" xr:uid="{D4C3A38E-9EB5-4EF8-9D75-8BA65BCF8432}">
  <cacheSource type="worksheet">
    <worksheetSource ref="A1:E19" sheet="Articles Twist Off"/>
  </cacheSource>
  <cacheFields count="5">
    <cacheField name="Type" numFmtId="0">
      <sharedItems/>
    </cacheField>
    <cacheField name="Référence article" numFmtId="0">
      <sharedItems/>
    </cacheField>
    <cacheField name="Désignation" numFmtId="0">
      <sharedItems/>
    </cacheField>
    <cacheField name="Nomenclature" numFmtId="0">
      <sharedItems count="1">
        <s v="Aucune"/>
      </sharedItems>
    </cacheField>
    <cacheField name="Famille" numFmtId="0">
      <sharedItems count="2">
        <s v="TOI"/>
        <s v="T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THMANE" refreshedDate="46193.488230439812" createdVersion="7" refreshedVersion="7" minRefreshableVersion="3" recordCount="13" xr:uid="{A2F04AB6-E0D1-4D48-ABC9-7591170B17A4}">
  <cacheSource type="worksheet">
    <worksheetSource ref="A1:E14" sheet="Article Verre"/>
  </cacheSource>
  <cacheFields count="5">
    <cacheField name="Type" numFmtId="0">
      <sharedItems count="1">
        <s v="Standard"/>
      </sharedItems>
    </cacheField>
    <cacheField name="Référence article" numFmtId="0">
      <sharedItems count="13">
        <s v="VER13BOC277BON"/>
        <s v="VER11BOC720KNO"/>
        <s v="VER11BOC370KNO"/>
        <s v="VER03BOC277BON"/>
        <s v="VER03BOC130BON"/>
        <s v="VER02BOC212ATL"/>
        <s v="VER02BOC105ATL"/>
        <s v="VER01BOC720STD"/>
        <s v="VER01BOC660STD"/>
        <s v="VER01BOC370STD"/>
        <s v="VER01BOC300STD"/>
        <s v="VER01BOC212STD"/>
        <s v="VER01BOC105STD"/>
      </sharedItems>
    </cacheField>
    <cacheField name="Désignation" numFmtId="0">
      <sharedItems count="13">
        <s v="Verre - POT BONTA 277ml TO66"/>
        <s v="Verre - POT KNOTTY JAR 720ml TO82"/>
        <s v="Verre - POT KNOTTY JAR 370ml TO63"/>
        <s v="Verre - POT BONTA 277ml TO63"/>
        <s v="Verre - POT BONTA 130ml TO63"/>
        <s v="Verre - POT ATLAS 212ml TO58"/>
        <s v="Verre - POT ATLAS 106ml TO48"/>
        <s v="Verre - POT STANDARD 720ml TO82"/>
        <s v="Verre - POT STANDARD 660ml TO82"/>
        <s v="Verre - POT STANDARD 370ml TO63"/>
        <s v="Verre - POT STANDARD 300ml TO63"/>
        <s v="Verre - POT STANDARD 212ml TO63"/>
        <s v="Verre - POT STANDARD 105ml TO48"/>
      </sharedItems>
    </cacheField>
    <cacheField name="Nomenclature" numFmtId="0">
      <sharedItems/>
    </cacheField>
    <cacheField name="Famille" numFmtId="0">
      <sharedItems count="1">
        <s v="V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THMANE" refreshedDate="46193.48843784722" createdVersion="7" refreshedVersion="7" minRefreshableVersion="3" recordCount="933" xr:uid="{CED1BE9D-85BA-448C-8B1A-00CB3869C3E4}">
  <cacheSource type="worksheet">
    <worksheetSource ref="A1:C1048576" sheet="Plan Comptable"/>
  </cacheSource>
  <cacheFields count="3">
    <cacheField name="Type" numFmtId="0">
      <sharedItems containsBlank="1" count="2">
        <s v="Détail"/>
        <m/>
      </sharedItems>
    </cacheField>
    <cacheField name="Numéro" numFmtId="0">
      <sharedItems containsBlank="1" count="933">
        <s v="10000000"/>
        <s v="11000000"/>
        <s v="11100000"/>
        <s v="11110000"/>
        <s v="11120000"/>
        <s v="11170000"/>
        <s v="11171000"/>
        <s v="11175000"/>
        <s v="11190000"/>
        <s v="11200000"/>
        <s v="11210000"/>
        <s v="11220000"/>
        <s v="11230000"/>
        <s v="11300000"/>
        <s v="11400000"/>
        <s v="11500000"/>
        <s v="11510000"/>
        <s v="11520000"/>
        <s v="11550000"/>
        <s v="11600000"/>
        <s v="11610000"/>
        <s v="11690000"/>
        <s v="11800000"/>
        <s v="11810000"/>
        <s v="11890000"/>
        <s v="11900000"/>
        <s v="11910000"/>
        <s v="11990000"/>
        <s v="13000000"/>
        <s v="13100000"/>
        <s v="13110000"/>
        <s v="13190000"/>
        <s v="13500000"/>
        <s v="13510000"/>
        <s v="13520000"/>
        <s v="13540000"/>
        <s v="13550000"/>
        <s v="13560000"/>
        <s v="13580000"/>
        <s v="14000000"/>
        <s v="14100000"/>
        <s v="14800000"/>
        <s v="14810000"/>
        <s v="14820000"/>
        <s v="14830000"/>
        <s v="14840000"/>
        <s v="14850000"/>
        <s v="14860000"/>
        <s v="14870000"/>
        <s v="14880000"/>
        <s v="15000000"/>
        <s v="15100000"/>
        <s v="15110000"/>
        <s v="15120000"/>
        <s v="15130000"/>
        <s v="15140000"/>
        <s v="15150000"/>
        <s v="15160000"/>
        <s v="15180000"/>
        <s v="15500000"/>
        <s v="15510000"/>
        <s v="15520000"/>
        <s v="15550000"/>
        <s v="15580000"/>
        <s v="16000000"/>
        <s v="16010000"/>
        <s v="16050000"/>
        <s v="17000000"/>
        <s v="17100000"/>
        <s v="17200000"/>
        <s v="20000000"/>
        <s v="21000000"/>
        <s v="21100000"/>
        <s v="21110000"/>
        <s v="21120000"/>
        <s v="21130000"/>
        <s v="21140000"/>
        <s v="21160000"/>
        <s v="21170000"/>
        <s v="21180000"/>
        <s v="21200000"/>
        <s v="21210000"/>
        <s v="21250000"/>
        <s v="21280000"/>
        <s v="21300000"/>
        <s v="22000000"/>
        <s v="22100000"/>
        <s v="22200000"/>
        <s v="22300000"/>
        <s v="22800000"/>
        <s v="22850000"/>
        <s v="23000000"/>
        <s v="23100000"/>
        <s v="23110000"/>
        <s v="23120000"/>
        <s v="23130000"/>
        <s v="23140000"/>
        <s v="23160000"/>
        <s v="23180000"/>
        <s v="23200000"/>
        <s v="23210000"/>
        <s v="23211000"/>
        <s v="23214000"/>
        <s v="23218000"/>
        <s v="23230000"/>
        <s v="23250000"/>
        <s v="23270000"/>
        <s v="23280000"/>
        <s v="23300000"/>
        <s v="23310000"/>
        <s v="23320000"/>
        <s v="23321000"/>
        <s v="23324000"/>
        <s v="23330000"/>
        <s v="23380000"/>
        <s v="23400000"/>
        <s v="23500000"/>
        <s v="23510000"/>
        <s v="23520000"/>
        <s v="23550000"/>
        <s v="23560000"/>
        <s v="23580000"/>
        <s v="23800000"/>
        <s v="23900000"/>
        <s v="23920000"/>
        <s v="23930000"/>
        <s v="23940000"/>
        <s v="23950000"/>
        <s v="23970000"/>
        <s v="23980000"/>
        <s v="24100000"/>
        <s v="24110000"/>
        <s v="24150000"/>
        <s v="24160000"/>
        <s v="24180000"/>
        <s v="24800000"/>
        <s v="24810000"/>
        <s v="24811000"/>
        <s v="24813000"/>
        <s v="24818000"/>
        <s v="24830000"/>
        <s v="24860000"/>
        <s v="24861000"/>
        <s v="24862000"/>
        <s v="24864000"/>
        <s v="24864100"/>
        <s v="24864200"/>
        <s v="24864300"/>
        <s v="24870000"/>
        <s v="24880000"/>
        <s v="25100000"/>
        <s v="25110000"/>
        <s v="25800000"/>
        <s v="25810000"/>
        <s v="25880000"/>
        <s v="27000000"/>
        <s v="27100000"/>
        <s v="27200000"/>
        <s v="28000000"/>
        <s v="28100000"/>
        <s v="28110000"/>
        <s v="28111000"/>
        <s v="28112000"/>
        <s v="28113000"/>
        <s v="28114000"/>
        <s v="28116000"/>
        <s v="28117000"/>
        <s v="28118000"/>
        <s v="28120000"/>
        <s v="28121000"/>
        <s v="28125000"/>
        <s v="28128000"/>
        <s v="28130000"/>
        <s v="28210000"/>
        <s v="28220000"/>
        <s v="28230000"/>
        <s v="28280000"/>
        <s v="28300000"/>
        <s v="28310000"/>
        <s v="28311000"/>
        <s v="28312000"/>
        <s v="28313000"/>
        <s v="28314000"/>
        <s v="28316000"/>
        <s v="28318000"/>
        <s v="28320000"/>
        <s v="28321000"/>
        <s v="28322000"/>
        <s v="28323000"/>
        <s v="28325000"/>
        <s v="28327000"/>
        <s v="28328000"/>
        <s v="28330000"/>
        <s v="28331000"/>
        <s v="28332000"/>
        <s v="28333000"/>
        <s v="28338000"/>
        <s v="28340000"/>
        <s v="28350000"/>
        <s v="28351000"/>
        <s v="28352000"/>
        <s v="28355000"/>
        <s v="28356000"/>
        <s v="28358000"/>
        <s v="28380000"/>
        <s v="29000000"/>
        <s v="29200000"/>
        <s v="29300000"/>
        <s v="29410000"/>
        <s v="29480000"/>
        <s v="29510000"/>
        <s v="29580000"/>
        <s v="30000000"/>
        <s v="31000000"/>
        <s v="31100000"/>
        <s v="31110000"/>
        <s v="31120000"/>
        <s v="31160000"/>
        <s v="31180000"/>
        <s v="31200000"/>
        <s v="31210000"/>
        <s v="31211000"/>
        <s v="31212000"/>
        <s v="31220000"/>
        <s v="31221000"/>
        <s v="31222000"/>
        <s v="31223000"/>
        <s v="31224000"/>
        <s v="31225000"/>
        <s v="31226000"/>
        <s v="31227000"/>
        <s v="31230000"/>
        <s v="31231000"/>
        <s v="31232000"/>
        <s v="31233000"/>
        <s v="31260000"/>
        <s v="31280000"/>
        <s v="31300000"/>
        <s v="31310000"/>
        <s v="31311000"/>
        <s v="31312000"/>
        <s v="31317000"/>
        <s v="31340000"/>
        <s v="31341000"/>
        <s v="31342000"/>
        <s v="31343000"/>
        <s v="31380000"/>
        <s v="31400000"/>
        <s v="31410000"/>
        <s v="31411000"/>
        <s v="31412000"/>
        <s v="31450000"/>
        <s v="31451000"/>
        <s v="31452000"/>
        <s v="31453000"/>
        <s v="31480000"/>
        <s v="31500000"/>
        <s v="31510000"/>
        <s v="31520000"/>
        <s v="31560000"/>
        <s v="31580000"/>
        <s v="34000000"/>
        <s v="34100000"/>
        <s v="34110000"/>
        <s v="34130000"/>
        <s v="34170000"/>
        <s v="34180000"/>
        <s v="34200000"/>
        <s v="34210000"/>
        <s v="34210001"/>
        <s v="34211000"/>
        <s v="34212000"/>
        <s v="34230000"/>
        <s v="34240000"/>
        <s v="34250000"/>
        <s v="34251000"/>
        <s v="34251700"/>
        <s v="3425CQ18"/>
        <s v="3425EF18"/>
        <s v="34270000"/>
        <s v="34271000"/>
        <s v="34272000"/>
        <s v="34280000"/>
        <s v="34300000"/>
        <s v="34310000"/>
        <s v="34320000"/>
        <s v="34330000"/>
        <s v="34380000"/>
        <s v="34500000"/>
        <s v="34510000"/>
        <s v="34511000"/>
        <s v="34512000"/>
        <s v="34513000"/>
        <s v="34530000"/>
        <s v="34550000"/>
        <s v="34551000"/>
        <s v="34551020"/>
        <s v="34552000"/>
        <s v="34552007"/>
        <s v="345520101"/>
        <s v="34552010"/>
        <s v="34552011"/>
        <s v="34552012"/>
        <s v="34552013"/>
        <s v="34552014"/>
        <s v="34552015"/>
        <s v="34552016"/>
        <s v="34552018"/>
        <s v="34552020"/>
        <s v="34552021"/>
        <s v="34560000"/>
        <s v="34580000"/>
        <s v="34600000"/>
        <s v="34610000"/>
        <s v="34620000"/>
        <s v="34630000"/>
        <s v="34640000"/>
        <s v="34670000"/>
        <s v="34680000"/>
        <s v="34800000"/>
        <s v="34810000"/>
        <s v="34820000"/>
        <s v="34870000"/>
        <s v="34880000"/>
        <s v="34880001"/>
        <s v="34900000"/>
        <s v="34910000"/>
        <s v="34930000"/>
        <s v="34950000"/>
        <s v="34970000"/>
        <s v="35000000"/>
        <s v="35010000"/>
        <s v="35020000"/>
        <s v="35040000"/>
        <s v="35060000"/>
        <s v="35061000"/>
        <s v="35062000"/>
        <s v="35080000"/>
        <s v="37000000"/>
        <s v="37010000"/>
        <s v="37020000"/>
        <s v="39000000"/>
        <s v="39100000"/>
        <s v="39110000"/>
        <s v="39120000"/>
        <s v="39130000"/>
        <s v="39140000"/>
        <s v="39150000"/>
        <s v="39400000"/>
        <s v="39410000"/>
        <s v="39420000"/>
        <s v="39430000"/>
        <s v="39460000"/>
        <s v="39480000"/>
        <s v="39500000"/>
        <s v="40000000"/>
        <s v="411100079"/>
        <s v="411100938"/>
        <s v="411101175"/>
        <s v="411101483"/>
        <s v="411101490"/>
        <s v="411101599"/>
        <s v="411101688"/>
        <s v="411101725"/>
        <s v="44110000"/>
        <s v="44110001"/>
        <s v="44110002"/>
        <s v="44110003"/>
        <s v="44110004"/>
        <s v="44111000"/>
        <s v="44118000"/>
        <s v="44119000"/>
        <s v="44130000"/>
        <s v="44150000"/>
        <s v="44151000"/>
        <s v="44151601"/>
        <s v="44151602"/>
        <s v="44151603"/>
        <s v="44151604"/>
        <s v="44151605"/>
        <s v="44151606"/>
        <s v="44151607"/>
        <s v="44152000"/>
        <s v="44170000"/>
        <s v="44170001"/>
        <s v="44180000"/>
        <s v="44200000"/>
        <s v="44210000"/>
        <s v="44250000"/>
        <s v="44270000"/>
        <s v="44280000"/>
        <s v="44300000"/>
        <s v="44320000"/>
        <s v="44320001"/>
        <s v="44320002"/>
        <s v="44320003"/>
        <s v="44320004"/>
        <s v="44410000"/>
        <s v="44410001"/>
        <s v="44410002"/>
        <s v="44430000"/>
        <s v="44480000"/>
        <s v="44510000"/>
        <s v="44520000"/>
        <s v="44520001"/>
        <s v="44520002"/>
        <s v="44522000"/>
        <s v="44525000"/>
        <s v="44530000"/>
        <s v="44550000"/>
        <s v="44550001"/>
        <s v="44550004"/>
        <s v="44550020"/>
        <s v="44560000"/>
        <s v="44570000"/>
        <s v="44580001"/>
        <s v="44580002"/>
        <s v="44580003"/>
        <s v="44630000"/>
        <s v="44650000"/>
        <s v="44880000"/>
        <s v="44880001"/>
        <s v="44880002"/>
        <s v="44930000"/>
        <s v="44970000"/>
        <s v="45060000"/>
        <s v="47010000"/>
        <s v="47020000"/>
        <s v="51112000"/>
        <s v="51150000"/>
        <s v="51410000"/>
        <s v="51410001"/>
        <s v="51410002"/>
        <s v="51410003"/>
        <s v="51410004"/>
        <s v="51410005"/>
        <s v="51410006"/>
        <s v="51420000"/>
        <s v="51430000"/>
        <s v="51460000"/>
        <s v="51480000"/>
        <s v="51600000"/>
        <s v="51610000"/>
        <s v="51610001"/>
        <s v="51650000"/>
        <s v="55000000"/>
        <s v="55200000"/>
        <s v="55201000"/>
        <s v="55300000"/>
        <s v="55300001"/>
        <s v="55300002"/>
        <s v="55400000"/>
        <s v="55410000"/>
        <s v="55480000"/>
        <s v="59000000"/>
        <s v="60000000"/>
        <s v="61000000"/>
        <s v="61100000"/>
        <s v="61100001"/>
        <s v="61100002"/>
        <s v="61110000"/>
        <s v="61110201"/>
        <s v="61111000"/>
        <s v="61120000"/>
        <s v="61120001"/>
        <s v="61120002"/>
        <s v="61120003"/>
        <s v="61120004"/>
        <s v="61120005"/>
        <s v="61140000"/>
        <s v="61180000"/>
        <s v="61190000"/>
        <s v="61200000"/>
        <s v="61210000"/>
        <s v="61211000"/>
        <s v="61212000"/>
        <s v="61220000"/>
        <s v="61221000"/>
        <s v="61222000"/>
        <s v="61223000"/>
        <s v="61224000"/>
        <s v="61225000"/>
        <s v="61226000"/>
        <s v="61227000"/>
        <s v="61230000"/>
        <s v="61231000"/>
        <s v="61232000"/>
        <s v="61233000"/>
        <s v="61240000"/>
        <s v="61241000"/>
        <s v="61242000"/>
        <s v="61243000"/>
        <s v="61250000"/>
        <s v="61250010"/>
        <s v="61251000"/>
        <s v="61251001"/>
        <s v="61251002"/>
        <s v="61252000"/>
        <s v="61253000"/>
        <s v="61254000"/>
        <s v="61255000"/>
        <s v="61260000"/>
        <s v="61261000"/>
        <s v="61262000"/>
        <s v="61263000"/>
        <s v="61264000"/>
        <s v="61280000"/>
        <s v="61281000"/>
        <s v="61290000"/>
        <s v="61291000"/>
        <s v="61292000"/>
        <s v="61293000"/>
        <s v="61295000"/>
        <s v="61296000"/>
        <s v="61298000"/>
        <s v="61310000"/>
        <s v="61311000"/>
        <s v="61312000"/>
        <s v="61313000"/>
        <s v="61314000"/>
        <s v="61315000"/>
        <s v="61316000"/>
        <s v="61317000"/>
        <s v="61318000"/>
        <s v="61320000"/>
        <s v="61321000"/>
        <s v="61330000"/>
        <s v="61331000"/>
        <s v="61332000"/>
        <s v="61335000"/>
        <s v="61340000"/>
        <s v="61341000"/>
        <s v="61343000"/>
        <s v="61345000"/>
        <s v="61348000"/>
        <s v="61350000"/>
        <s v="61351000"/>
        <s v="61352000"/>
        <s v="61353000"/>
        <s v="61360000"/>
        <s v="61361000"/>
        <s v="61365000"/>
        <s v="61365001"/>
        <s v="61367000"/>
        <s v="61370000"/>
        <s v="61371000"/>
        <s v="61378000"/>
        <s v="61410000"/>
        <s v="61411000"/>
        <s v="61413000"/>
        <s v="61415000"/>
        <s v="61416000"/>
        <s v="61420000"/>
        <s v="61421000"/>
        <s v="61425000"/>
        <s v="61426000"/>
        <s v="61428000"/>
        <s v="61430000"/>
        <s v="61431000"/>
        <s v="61432000"/>
        <s v="61433000"/>
        <s v="61434000"/>
        <s v="61435000"/>
        <s v="61435100"/>
        <s v="61435200"/>
        <s v="61436000"/>
        <s v="61436100"/>
        <s v="61440000"/>
        <s v="61441000"/>
        <s v="61442000"/>
        <s v="61443000"/>
        <s v="61444000"/>
        <s v="61446000"/>
        <s v="61447000"/>
        <s v="61448000"/>
        <s v="61450000"/>
        <s v="61451000"/>
        <s v="61452000"/>
        <s v="61455000"/>
        <s v="61456000"/>
        <s v="61457000"/>
        <s v="61460000"/>
        <s v="61461000"/>
        <s v="61462000"/>
        <s v="61463000"/>
        <s v="61470000"/>
        <s v="61471000"/>
        <s v="61472000"/>
        <s v="61473000"/>
        <s v="61480000"/>
        <s v="61490000"/>
        <s v="61600000"/>
        <s v="61610000"/>
        <s v="61610001"/>
        <s v="61611000"/>
        <s v="61612000"/>
        <s v="61615000"/>
        <s v="61650000"/>
        <s v="61670000"/>
        <s v="61671000"/>
        <s v="61673000"/>
        <s v="61678000"/>
        <s v="61680000"/>
        <s v="61700000"/>
        <s v="61710000"/>
        <s v="61711000"/>
        <s v="61711100"/>
        <s v="61711800"/>
        <s v="61711900"/>
        <s v="61712000"/>
        <s v="61712400"/>
        <s v="61713000"/>
        <s v="61713001"/>
        <s v="61713002"/>
        <s v="61713003"/>
        <s v="61713200"/>
        <s v="61713400"/>
        <s v="61714000"/>
        <s v="61715000"/>
        <s v="61740000"/>
        <s v="61741000"/>
        <s v="61741010"/>
        <s v="61741020"/>
        <s v="61741030"/>
        <s v="61742000"/>
        <s v="61743000"/>
        <s v="61743001"/>
        <s v="61743002"/>
        <s v="61744000"/>
        <s v="61745000"/>
        <s v="61760000"/>
        <s v="61761000"/>
        <s v="61762000"/>
        <s v="61763000"/>
        <s v="61764000"/>
        <s v="61765000"/>
        <s v="61766000"/>
        <s v="61768000"/>
        <s v="61770000"/>
        <s v="61771000"/>
        <s v="61774000"/>
        <s v="61780000"/>
        <s v="61800000"/>
        <s v="61810000"/>
        <s v="61820000"/>
        <s v="61830000"/>
        <s v="61850000"/>
        <s v="61860000"/>
        <s v="61870000"/>
        <s v="61880000"/>
        <s v="61900000"/>
        <s v="61910000"/>
        <s v="61911000"/>
        <s v="61912000"/>
        <s v="61920000"/>
        <s v="61921000"/>
        <s v="61922000"/>
        <s v="61923000"/>
        <s v="61928000"/>
        <s v="61930000"/>
        <s v="61931000"/>
        <s v="61932000"/>
        <s v="61933000"/>
        <s v="61934000"/>
        <s v="61935000"/>
        <s v="61938000"/>
        <s v="61940000"/>
        <s v="61942000"/>
        <s v="61943000"/>
        <s v="61950000"/>
        <s v="61955000"/>
        <s v="61957000"/>
        <s v="61960000"/>
        <s v="61961000"/>
        <s v="61964000"/>
        <s v="61980000"/>
        <s v="61981000"/>
        <s v="61984000"/>
        <s v="63000000"/>
        <s v="63100000"/>
        <s v="63110000"/>
        <s v="63111000"/>
        <s v="63113000"/>
        <s v="63114000"/>
        <s v="63115000"/>
        <s v="63118000"/>
        <s v="63180000"/>
        <s v="63300000"/>
        <s v="63310000"/>
        <s v="63380000"/>
        <s v="63800000"/>
        <s v="63820000"/>
        <s v="63850000"/>
        <s v="63860000"/>
        <s v="63880000"/>
        <s v="63900000"/>
        <s v="63910000"/>
        <s v="63920000"/>
        <s v="63930000"/>
        <s v="63937000"/>
        <s v="63940000"/>
        <s v="63960000"/>
        <s v="63980000"/>
        <s v="65000000"/>
        <s v="65100000"/>
        <s v="65120000"/>
        <s v="65130000"/>
        <s v="65140000"/>
        <s v="65180000"/>
        <s v="65600000"/>
        <s v="65610000"/>
        <s v="65680000"/>
        <s v="65800000"/>
        <s v="65800001"/>
        <s v="65810000"/>
        <s v="65811000"/>
        <s v="65812000"/>
        <s v="65820000"/>
        <s v="65830000"/>
        <s v="65831000"/>
        <s v="65833000"/>
        <s v="65850000"/>
        <s v="65860000"/>
        <s v="65861000"/>
        <s v="65862000"/>
        <s v="65863000"/>
        <s v="65880000"/>
        <s v="65900000"/>
        <s v="65910000"/>
        <s v="65911000"/>
        <s v="65912000"/>
        <s v="65913000"/>
        <s v="65940000"/>
        <s v="65941000"/>
        <s v="65942000"/>
        <s v="65944000"/>
        <s v="65945000"/>
        <s v="65946000"/>
        <s v="65950000"/>
        <s v="65955000"/>
        <s v="65957000"/>
        <s v="65960000"/>
        <s v="65962000"/>
        <s v="65963000"/>
        <s v="65980000"/>
        <s v="66600000"/>
        <s v="67000000"/>
        <s v="67010000"/>
        <s v="67050000"/>
        <s v="67051000"/>
        <s v="67052000"/>
        <s v="67080000"/>
        <s v="70000000"/>
        <s v="71000000"/>
        <s v="71100000"/>
        <s v="71110000"/>
        <s v="71130000"/>
        <s v="71180000"/>
        <s v="71190000"/>
        <s v="71200000"/>
        <s v="71210000"/>
        <s v="71211000"/>
        <s v="71212000"/>
        <s v="71217000"/>
        <s v="71220000"/>
        <s v="71221000"/>
        <s v="71222000"/>
        <s v="71240000"/>
        <s v="71241000"/>
        <s v="71242000"/>
        <s v="71243000"/>
        <s v="71250000"/>
        <s v="71251000"/>
        <s v="71252000"/>
        <s v="71253000"/>
        <s v="71260000"/>
        <s v="71270000"/>
        <s v="71271000"/>
        <s v="71272000"/>
        <s v="71273000"/>
        <s v="71275000"/>
        <s v="71276000"/>
        <s v="71278000"/>
        <s v="71280000"/>
        <s v="71290000"/>
        <s v="71291000"/>
        <s v="71292000"/>
        <s v="71294000"/>
        <s v="71295000"/>
        <s v="71298000"/>
        <s v="71300000"/>
        <s v="71310000"/>
        <s v="71311000"/>
        <s v="71312000"/>
        <s v="71317000"/>
        <s v="71320000"/>
        <s v="71321000"/>
        <s v="71322000"/>
        <s v="71327000"/>
        <s v="71340000"/>
        <s v="71341000"/>
        <s v="71342000"/>
        <s v="71343000"/>
        <s v="71400000"/>
        <s v="71410000"/>
        <s v="71420000"/>
        <s v="71430000"/>
        <s v="71480000"/>
        <s v="71600000"/>
        <s v="71610000"/>
        <s v="71680000"/>
        <s v="71800000"/>
        <s v="71810000"/>
        <s v="71820000"/>
        <s v="71850000"/>
        <s v="71860000"/>
        <s v="71870000"/>
        <s v="71880000"/>
        <s v="71900000"/>
        <s v="71910000"/>
        <s v="71920000"/>
        <s v="71930000"/>
        <s v="71940000"/>
        <s v="71950000"/>
        <s v="71957000"/>
        <s v="71960000"/>
        <s v="71970000"/>
        <s v="71971000"/>
        <s v="71972000"/>
        <s v="71973000"/>
        <s v="71975000"/>
        <s v="71976000"/>
        <s v="71978000"/>
        <s v="71980000"/>
        <s v="71981000"/>
        <s v="71984000"/>
        <s v="73000000"/>
        <s v="73100000"/>
        <s v="73200000"/>
        <s v="73210000"/>
        <s v="73250000"/>
        <s v="73280000"/>
        <s v="73300000"/>
        <s v="73310000"/>
        <s v="73380000"/>
        <s v="73800000"/>
        <s v="73810000"/>
        <s v="73811000"/>
        <s v="73813000"/>
        <s v="73830000"/>
        <s v="73840000"/>
        <s v="73850000"/>
        <s v="73860000"/>
        <s v="73880000"/>
        <s v="73900000"/>
        <s v="73910000"/>
        <s v="73920000"/>
        <s v="73930000"/>
        <s v="73937000"/>
        <s v="73940000"/>
        <s v="73960000"/>
        <s v="73970000"/>
        <s v="73971000"/>
        <s v="73973000"/>
        <s v="73978000"/>
        <s v="73980000"/>
        <s v="75000000"/>
        <s v="75100000"/>
        <s v="75120000"/>
        <s v="75130000"/>
        <s v="75140000"/>
        <s v="75180000"/>
        <s v="75600000"/>
        <s v="75610000"/>
        <s v="75680000"/>
        <s v="75700000"/>
        <s v="75770000"/>
        <s v="75780000"/>
        <s v="75800000"/>
        <s v="75810000"/>
        <s v="75811000"/>
        <s v="75812000"/>
        <s v="75820000"/>
        <s v="75830000"/>
        <s v="75850000"/>
        <s v="75860000"/>
        <s v="75861000"/>
        <s v="75862000"/>
        <s v="75863000"/>
        <s v="75880000"/>
        <s v="75900000"/>
        <s v="75910000"/>
        <s v="75911000"/>
        <s v="75912000"/>
        <s v="75940000"/>
        <s v="75941000"/>
        <s v="75942000"/>
        <s v="75944000"/>
        <s v="75945000"/>
        <s v="75946000"/>
        <s v="75950000"/>
        <s v="75955000"/>
        <s v="75957000"/>
        <s v="75960000"/>
        <s v="75962000"/>
        <s v="75963000"/>
        <s v="75970000"/>
        <s v="75980000"/>
        <s v="78530000"/>
        <s v="80000000"/>
        <s v="81000000"/>
        <s v="81100000"/>
        <s v="81400000"/>
        <s v="81700000"/>
        <s v="81710000"/>
        <s v="81790000"/>
        <s v="83000000"/>
        <s v="84000000"/>
        <s v="85000000"/>
        <s v="86000000"/>
        <s v="88000000"/>
        <s v="90000000"/>
        <s v="91000000"/>
        <s v="92000000"/>
        <s v="93000000"/>
        <s v="94000000"/>
        <s v="95000000"/>
        <s v="96000000"/>
        <s v="97000000"/>
        <s v="98000000"/>
        <s v="99000000"/>
        <s v="99999990"/>
        <m/>
      </sharedItems>
    </cacheField>
    <cacheField name="Intitulé du compte" numFmtId="0">
      <sharedItems containsBlank="1" count="908">
        <s v="BILAN D'OUVERTURE"/>
        <s v="CAPITAUX PROPRES"/>
        <s v="CAPITAL SOCIAL OU PERSONNEL"/>
        <s v="CAPITAL SOCIAL"/>
        <s v="FONDS DE DOTATION"/>
        <s v="CAPITAL PERSONNEL"/>
        <s v="CAPITAL INDIVIDUEL"/>
        <s v="COMPTE DE L'EXPLOITANT"/>
        <s v="ACTIONNAIRES,CAPITAL SOUSCRIT-NON A"/>
        <s v="PRIMES D'EMISSION,DE FUSION ET D'AP"/>
        <s v="PRIMES D'EMISSION"/>
        <s v="PRIMES DE FUSION"/>
        <s v="PRIMES D'APPORT"/>
        <s v="ECARTS DE REEVALUATION"/>
        <s v="RESERVE LEGALE"/>
        <s v="AUTRES RESERVES"/>
        <s v="RESERVES STATUTAIRES OU CONTRACTUEL"/>
        <s v="RESERVES FACULTATIVES"/>
        <s v="RESERVES REGLEMENTEES"/>
        <s v="REPORT A NOUVEAU"/>
        <s v="REPORT A NOUVEAU ( SOLDE CREDITEUR)"/>
        <s v="REPORT A NOUVEAU (SOLDE DEBITEUR)"/>
        <s v="RESULTATS NETS EN INST. D'AFFECTATI"/>
        <s v="RESULTATS NETS EN INSTANCE D'AFFECT"/>
        <s v="RESULTAT NET DE L'EXCERCICE"/>
        <s v="RESULTAT NET DE L'EXERCICE (CREDITE"/>
        <s v="RESULTAT NET DE L'EXERCICE (DEBITEU"/>
        <s v="CAPITAUX PROPRES ASSIMILES"/>
        <s v="SUBVENTIONS D'INVESTISSEMENT"/>
        <s v="SUBVENTIONS D'INVESTISSEMENT RECUES"/>
        <s v="SUBV. D'INVEST. INSCRITES AU CPTS P"/>
        <s v="PROVISIONS REGLEMENTEES"/>
        <s v="PROV. POUR AMORTISSEMENTS DEROGATOI"/>
        <s v="PROV. POUR PLUS-VALUES EN INSTANCE"/>
        <s v="PROVISIONS POUR INVESTISSEMENTS"/>
        <s v="PROV. POUR RECONSTITUTION DES GISEM"/>
        <s v="PROV. POUR ACQUISITION ET CONST. DE"/>
        <s v="AUTRES PROVISIONS REGLEMENTEES"/>
        <s v="DETTES DE FINANCEMENT"/>
        <s v="EMPRUNTS OBLIGATAIRES."/>
        <s v="AUTRES DETTES DE FINANCEMENT"/>
        <s v="EMPRUNTS AUPRES DES ETABLISSTS DE C"/>
        <s v="AVANCES DE L'ETAT"/>
        <s v="DETTES RATTACHEES A DES PARTICIPATI"/>
        <s v="BILLETS DE FONDS"/>
        <s v="AVANCES RECUES ET COMPTES COURANTS"/>
        <s v="FOURNISSEURS D'IMMOBILISATIONS"/>
        <s v="DEPOTS ET CAUTIONNEMENTS RECUS"/>
        <s v="DETTES DE FINANCEMENT DIVERSES"/>
        <s v="PROV. DURABLES POUR RISQUES &amp; CHARG"/>
        <s v="PROVISIONS POUR RISQUES"/>
        <s v="PROVISIONS POUR LITIGES"/>
        <s v="PROV. POUR GARANTIES DONNEES AUX CL"/>
        <s v="PROVISIONS POUR PROPRE ASSUREUR"/>
        <s v="PROV. POUR PERTES SUR MARCHES A TER"/>
        <s v="PROV. POUR AMENDES, DOUBLES DROITS,"/>
        <s v="PROVISIONS POUR PERTES DE CHANGE"/>
        <s v="AUTRES PROVISIONS POUR RISQUES"/>
        <s v="PROVISIONS POUR CHARGES"/>
        <s v="PROVISIONS POUR IMPOTS"/>
        <s v="PROV. POUR PENSIONS DE RETRAITE &amp; O"/>
        <s v="PROV. POUR CHARGES A REPARTIR /PLUS"/>
        <s v="AUTRES PROVISIONS POUR CHARGES"/>
        <s v="COMPTES DE LIAISON DES ETABLIS. ET"/>
        <s v="COMPTES DE LIAISON DU SIEGE"/>
        <s v="COMPTES DE LIAISON DES ETABLISSEMEN"/>
        <s v="ECARTS DE CONVERTION-PASSIF"/>
        <s v="AUGMENTATION DES CREANCES IMMOBILIS"/>
        <s v="DIMINUTION DES DETTES DE FINANCEMEN"/>
        <s v="BILAN DE CLOTURE"/>
        <s v="IMMOBILISATION EN NON-VALEURS"/>
        <s v="FRAIS PRELIMINAIRES"/>
        <s v="FRAIS DE CONSTITUTION"/>
        <s v="FRAIS PREALABLES AU DEMARRAGE"/>
        <s v="FRAIS D'AUGMENTATION DU CAPITAL"/>
        <s v="FRAIS /OPERAT.DE FUSIONS,SCISSIONS"/>
        <s v="FRAIS DE PROSPECTION"/>
        <s v="FRAIS DE PUBLICITE"/>
        <s v="AUTRES FRAIS PRELIMINAIRES"/>
        <s v="CHARGES A REPARTIR SUR PLUSIEURS EX"/>
        <s v="FRAIS D'ACQUISITION DES IMMOBILISAT"/>
        <s v="FRAIS D'EMISSION DES EMPRUNTS"/>
        <s v="AUTRES CHARGES A REPARTIR"/>
        <s v="PRIMES DE REMBOURSEMENT DES OBLIGAT"/>
        <s v="IMMOBILISATIONS INCORPORELLES"/>
        <s v="IMMOBILISATION EN RECHERCHE &amp; DEVEL"/>
        <s v="BREVETS,MARQUES,DROITS ET VALEURS S"/>
        <s v="FONDS COMMERCIAL"/>
        <s v="AUTRES IMMOBILISATIONS INCORPORELLE"/>
        <s v="IMMOBILISATIONS INCORPORELLES EN CO"/>
        <s v="IMMOBILISATIONS CORPORELLES"/>
        <s v="TERRAINS"/>
        <s v="TERRAINS NUS"/>
        <s v="TERRAINS AMENAGES"/>
        <s v="TERRAINS BATIS"/>
        <s v="TERRAINS DE GISEMENT"/>
        <s v="AGENCEMENTS ET AMENAGEMENTS DE TERR"/>
        <s v="AUTRES TERRAINS"/>
        <s v="CONSTRUCTIONS"/>
        <s v="BATIMENTS"/>
        <s v="BATIMENTS INDUSTRIELS (A,B...)"/>
        <s v="BATIMENTS ADMINISTRATIF &amp; COMMERCIA"/>
        <s v="AUTRES BATIMENTS"/>
        <s v="CONSTRUCTIONS SUR TERRAINS D'AUTRUI"/>
        <s v="OUVRAGES D'INFRASTRUCTURE"/>
        <s v="AGENCEMENTS ET AMENAGEMENTS DES CON"/>
        <s v="AUTRES CONSTRUCTIONS"/>
        <s v="INSTAL. TECHNIQUES,MATERIEL &amp; OUTIL"/>
        <s v="INSTALLATIONS TECHNIQUES"/>
        <s v="MATERIEL ET OUTILLAGE"/>
        <s v="MATERIEL"/>
        <s v="OUTILLAGE"/>
        <s v="EMBALLAGES RECUPERABLES IDENTIFIABL"/>
        <s v="AUTRES INSTALLATIONS TECHNIQUES,MAT"/>
        <s v="MATERIEL DE TRANSPORT"/>
        <s v="MOBILIER, MAT. DE BUREAU &amp; AMENAGT"/>
        <s v="MOBILIER DE BUREAU"/>
        <s v="MATERIEL DE BUREAU"/>
        <s v="MATERIEL INFORMATIQUE"/>
        <s v="AGENCEMENT, INSTALLATION &amp; AMENAGT"/>
        <s v="AUTRES MOBILIER, MATERIEL DE BUREAU"/>
        <s v="AUTRES IMMOBILISATIONS CORPORELLES"/>
        <s v="IMMOBILISATIONS CORPORELLES EN COUR"/>
        <s v="IMMOBIL. CORPORELLES EN COURS DES T"/>
        <s v="IMM COR EN COURS INST. TECHNIQ, MAT"/>
        <s v="IMMOB. CORPORELLES EN COURS DE MATE"/>
        <s v="IMM COR EN COURS MOB. MAT DE BUREAU"/>
        <s v="AVCES &amp; ACPTES VERSES/COMMANDES D'I"/>
        <s v="AUTRES IMMOBILST. CORPORELLES EN CO"/>
        <s v="PRETS IMMOBILISES"/>
        <s v="PRETS AU PERSONNEL"/>
        <s v="PRETS AUX ASSOCIES"/>
        <s v="AUTRES PRETS"/>
        <s v="AUTRES CREANCES FINANCIERES"/>
        <s v="TITRES IMMOBILISES (DROITS DE CREAN"/>
        <s v="OBLIGATIONS"/>
        <s v="BONS D'EQUIPEMENT"/>
        <s v="BONS DIVERS"/>
        <s v="CREANCES RATTACHEES A DES PARTICIPA"/>
        <s v="DEPOTS &amp; CAUTIONNEMENTS VERSES"/>
        <s v="DEPOTS"/>
        <s v="DEPOT &amp; CAUTIONNEMENT VERSES LYDEC"/>
        <s v="CAUTIONNEMENTS"/>
        <s v="CAUTIONNEMENT LOYER AIN SBAA"/>
        <s v="CAUTIONNEMENT TOTAL MAROC"/>
        <s v="CAUTIONNEMENT LOYER AGADIR TASSILA"/>
        <s v="CREANCES IMMOBILISEES"/>
        <s v="CREANCES FINANCIERES DIVERSES"/>
        <s v="TITRES DE PARTICIPATION"/>
        <s v="TP JILPROPRIETA 200 TITRE"/>
        <s v="AUTRES TITRES IMMOBILISES(DROITS DE"/>
        <s v="ACTIONS"/>
        <s v="TITRES DIVERS"/>
        <s v="ECARTS DE CONVERTION-ACTIF"/>
        <s v="DIMINUTION DES CREANCES IMMOBILISEE"/>
        <s v="AUGMENTATION DES DETTES DE FINANCEM"/>
        <s v="AMORTISSEMENTS DES IMMOBILISATIONS"/>
        <s v="AMORTISSEMENTS DES NON-VALEURS"/>
        <s v="AMORTISSEMENTS DES FRAIS PRELIMINAI"/>
        <s v="AMORTISSEMENTS DES FRAIS DE CONSTIT"/>
        <s v="AMORTISST. DES FRAIS PRELIMINAIRES"/>
        <s v="AMORTISST DES FRAIS D'AUGMENT.DU CA"/>
        <s v="AMORT DES FRAIS SUR OPERT.DE FUSION"/>
        <s v="AMORTISST DES FRAIS DE PROSPECTION"/>
        <s v="AMORTISSEMENT DES FRAIS DE PUBLICIT"/>
        <s v="AMORTISST DES AUTRES FRAIS PRELIMIN"/>
        <s v="AMORTISSEMENTS DES CHARGES A REPART"/>
        <s v="AMORTISST DES FRAIS D'ACQUISITION D"/>
        <s v="AMORTISST DES FRAIS D'EMISSION DES"/>
        <s v="AMORTISST DES AUTRES CHARGES A REPA"/>
        <s v="AMORTISST DES PRIMES DE REMBRST DES"/>
        <s v="AMRTISST DE L'IMMOB. EN RECHERCHE &amp;"/>
        <s v="AMORTISST DES BREVETS,MARQUES,DROIT"/>
        <s v="AMORTISSEMENTS DU FONDS COMMERCIAL"/>
        <s v="AMORTISST DES AUTRES IMMOB.INCORPOR"/>
        <s v="AMORTISSEMENT DES IMMOBILISATION CO"/>
        <s v="AMORTISSEMENT DES TERRAINS"/>
        <s v="AMORTISSEMENTS DES TERRAINS NUS"/>
        <s v="AMORTISSEMENTS DES TERRAINS AMENAGE"/>
        <s v="AMORTISSEMENTS DES TERRAINS BATIS"/>
        <s v="AMORTISSEMENTS DES TERRAINS DE GISE"/>
        <s v="AMORTISST DES AGENCEMENT &amp; AMENAGT"/>
        <s v="AMORTISSEMENT DES AUTRES TERRAINS"/>
        <s v="AMORTISSEMENTS DES CONSTRUCTIONS"/>
        <s v="AMORTISSEMENTS DES BATIMENTS"/>
        <s v="AMORTISS. DE L'OUTILLAGE"/>
        <s v="AMORTISSTS.DES CONSTRCT. /TERRAINS"/>
        <s v="AMORTISSEMENTS DES OUVRAGES D'INFRA"/>
        <s v="AMORTISSEMENTS DES INSTAL. AGC &amp; AM"/>
        <s v="AMORTISSEMENTS DES AUTRES CONSTRUCT"/>
        <s v="AMORTISST DES INSTAL.TECHNIQUES, MA"/>
        <s v="AMORTISST DES INSTAL. TECHNIQUES"/>
        <s v="AMORTISSEMENTS DU MATERIEL ET OUTIL"/>
        <s v="AMORTISSTS DES EMBALLAGES RECUP. ID"/>
        <s v="AMORTISSTS DES AUTRES INSTAL. TECHN"/>
        <s v="AMORTISSEMENTS DU MATERIEL DE TRANS"/>
        <s v="AMORTISST DU M.M.B &amp; AMENAGEMENTS D"/>
        <s v="AMORTISSEMENTS DU MOBILIER DE BUREA"/>
        <s v="AMORTISSEMENTS DU MATERIEL DE BUREA"/>
        <s v="AMORTISSEMENTS DU MATERIEL INFORMAT"/>
        <s v="AMORTISST DES AGENCEMENTS,INSTAL. &amp;"/>
        <s v="AMORTISST DES AUTRES M.M.B &amp; AMENAG"/>
        <s v="AMORTISST DES AUTRES IMMOB. CORPORE"/>
        <s v="PROV.POUR DEPRECIATION DES IMMOBIL."/>
        <s v="PROV. POUR DEPRCT. DES IMMOB. INCOR"/>
        <s v="PROV. POUR DEPRECT. DES IMMOB. CORP"/>
        <s v="PROV. POUR DEPRECIATION DES PRETS I"/>
        <s v="PROV. POUR DEPREC. DES AUTRES CREAN"/>
        <s v="PROV. POUR DEPREC. DES TITRES DE PA"/>
        <s v="PROV. POUR DEPREC. DES AUTRES TITRE"/>
        <s v="COMPTES D'ACTIF CIRCULANT (H.TRESOR"/>
        <s v="STOCK"/>
        <s v="MARCHANDISES"/>
        <s v="STOCK DE MARCHANDISES"/>
        <s v="MARCHANDISES (GROUPE B)"/>
        <s v="MARCHANDISES EN COURS DE ROUTE"/>
        <s v="AUTRES MARCHANDISES"/>
        <s v="MATIERES ET FOURNITURES CONSOMMABLE"/>
        <s v="MATIERES PREMIERES"/>
        <s v="MATIERES PREMIERES (GROUPE A)"/>
        <s v="MATIERES PREMIERES (GROUPE B)"/>
        <s v="MATIERES CONSOMMABLES (GROUPE A)"/>
        <s v="MATIERES CONSOMMABLES (GROUPE B)"/>
        <s v="COMBUSTIBLES"/>
        <s v="PRODUITS D'ENTRETIEN"/>
        <s v="FOURNITURES D'ATELIER &amp; D'USINE"/>
        <s v="FOURNITURES DE MAGASIN"/>
        <s v="FOURNITURES DE BUREAU"/>
        <s v="EMBALLAGES"/>
        <s v="EMBALLAGES PERDUS"/>
        <s v="EMBALLAGES RECUPERABLES NON IDENTIF"/>
        <s v="EMBALLAGES A USAGE MIXTE"/>
        <s v="MATIERES &amp; FOURN. CONSOMMABLES EN C"/>
        <s v="AUTRES MATIERES &amp; FOURNITURES CONSO"/>
        <s v="PRODUITS EN COURS"/>
        <s v="BIENS EN COURS"/>
        <s v="BIENS PRODUITS EN COURS"/>
        <s v="BIENS INTERMEDIAIRES EN COURS"/>
        <s v="BIENS RESIDUELS EN COURS"/>
        <s v="SERVICES EN COURS"/>
        <s v="TRAVAUX EN COURS"/>
        <s v="ETUDES EN COURS"/>
        <s v="PRESTATION EN COURS"/>
        <s v="AUTRES PRODUITS EN COURS"/>
        <s v="PRDTS INTERMEDIAIRES ET PRDTS RESID"/>
        <s v="PRODUITS INTERMEDIAIRES"/>
        <s v="PRODUITS INTERMEDIAIRES (GROUPE A)"/>
        <s v="PRODUITS INTERMEDIAIRES (GROUPE B)"/>
        <s v="PRODUITS RESIDUELS (OU MATIERES DE"/>
        <s v="DECHETS"/>
        <s v="REBUTS"/>
        <s v="MATIERES DE RECUPERATION"/>
        <s v="AUTRES PRODUITS INTERMED. &amp; PRODUIT"/>
        <s v="PRODUITS FINIS"/>
        <s v="PRODUITS FINIS (GROUPE A)"/>
        <s v="PRODUITS FINIS (GROUPE B)"/>
        <s v="PRODUITS FINIS EN COURS DE ROUTE"/>
        <s v="AUTRES PRODUITS FINIS"/>
        <s v="CREANCES DE L'ACTIF CIRCULANT"/>
        <s v="FOURNISSEURS DEBITEURS, AVANCES &amp; A"/>
        <s v="FRS-AVANCES &amp; ACOMPTES VERSES /COMM"/>
        <s v="FRS-CREANCES POUR EMBALLAGES &amp; MATE"/>
        <s v="R .R. R. A OBTENIR - AVOIRS NON ENC"/>
        <s v="AUTRES FOURNISSEURS DEBITEURS"/>
        <s v="CLIENTS ET COMPTES RATTACHES"/>
        <s v="COLLECTIF CLIENTS"/>
        <s v="PRICE WATERHOUSECOOPER ADVISOR"/>
        <s v="CLIENTS-CATEGORIE A"/>
        <s v="CLIENTS-CATEGORIE B"/>
        <s v="CLIENTS-RETENUES DE GARANTIE"/>
        <s v="CLIENTS DOUTEUX OU LITIGIEUX"/>
        <s v="CLIENTS-EFFETS A RECEVOIR"/>
        <s v="CLIENTS-EFFETS A RECEVOIR-OCTOBRE"/>
        <s v="CHEQUE A ENCAISSER 2017"/>
        <s v="CHEQUE A ENCAISSER 2018"/>
        <s v="CLIENTS EFFS A RECEVOIR 2018"/>
        <s v="CLTS-FACT A ETABLIR &amp; CREANCE/TRAV"/>
        <s v="CLIENTS -FACTURES A ETABLIR"/>
        <s v="CREANCES SUR TRAVAUX NON ENCORE FAC"/>
        <s v="AUTRES CLIENTS &amp; COMPTES RATTACHES"/>
        <s v="PERSONNEL - DEBITEUR"/>
        <s v="Avances sur salaire"/>
        <s v="Prêts sur salaire"/>
        <s v="AUTRES PRESTATIONS SOCIALES"/>
        <s v="PERSONNEL -AUTRES DEBITEURS"/>
        <s v="ETAT-DEBITEUR"/>
        <s v="SUBVENTIONS A RECEVOIR"/>
        <s v="SUBVENTIONS D'INVESTISSEMENT A RECE"/>
        <s v="SUBVENTIONS D'EXPLOITATION A RECEVO"/>
        <s v="SUBVENTIONS D'EQUILIBRE A RECEVOIR"/>
        <s v="ACOMPTES SUR IMPOTS SUR LES RESULTA"/>
        <s v="TVA 20% SUR ACHATS"/>
        <s v="ETAT- T.V.A RECUPERABLE SUR IMMOBIL"/>
        <s v="ETAT TVA RECUP/IMMO 20%"/>
        <s v="ETAT TVA RECUPERABLE SUR CHARGES"/>
        <s v="ETAT TVA RECUP/CHG 7%"/>
        <s v="ETAT TVA RECUP /CHGT 10%"/>
        <s v="ETAT TVA RECUP/CHG 10%"/>
        <s v="ETAT TVA RECUP/CHG 11%"/>
        <s v="ETAT TVA RECUP /CHG 12%"/>
        <s v="ETAT TVA RECUP/CHG 13%"/>
        <s v="ETAT TVA RECUP/CHG 14%"/>
        <s v="ETAT TVA RECUP/CHG 15%"/>
        <s v="ETAT TVA RECUP/CHG 16%"/>
        <s v="ETAT TVA RECUP/CHG 18%"/>
        <s v="ETAT TVA RECUP/CHG 20%"/>
        <s v="ETAT TVA RECUP/DOUANE"/>
        <s v="ETAT- CREDIT DE T.V.A SUIVANT DECLA"/>
        <s v="ETAT-AUTRES COMPTES DEBITEURS"/>
        <s v="COMPTES D'ASSOCIES - DEBITEURS"/>
        <s v="ASSOCIES -COMPTES D'APPORT EN SOCIE"/>
        <s v="ACTIONNAIRES -CAPITAL SOUSCRIT &amp; AP"/>
        <s v="COMPTES COURANTS DES ASSOCIES-DEBIT"/>
        <s v="ASSOCIES-OPERATIONS FAITES EN COMMU"/>
        <s v="CREANCES RATTACHEES AUX COMPTES D'A"/>
        <s v="AUTRES COMPTES D'ASSOCIERS DEBITEUR"/>
        <s v="AUTRES DEBITEURS"/>
        <s v="CREANCES SUR CESSIONS D'IMMOBILISAT"/>
        <s v="CREANCES SUR CESSIONS D'ELEMENTS D'"/>
        <s v="CREANCES RATTACHEES AUX AUTRES DEBI"/>
        <s v="DEBITEUR GIMACUIR"/>
        <s v="DIVERS DEBITEURS"/>
        <s v="COMPTES DE REGUL.-ACTIF"/>
        <s v="CHARGES CONSTATEES D'AVANCE"/>
        <s v="INTERETS COURUS &amp; NON ECHUS A PERCE"/>
        <s v="COMPTES DE REPARTITION PERIODIQUE D"/>
        <s v="COMPTE D'ATTENTE"/>
        <s v="TITRES ET VALEURS DE PLACEMENT"/>
        <s v="ACTIONS,PARTIE LIBEREE"/>
        <s v="ACTIONS, PARTIE NON LIBEREE"/>
        <s v="BONS DE CAISSE ET BONS DU TRESOR"/>
        <s v="BONS DE CAISSE"/>
        <s v="BONS DU TRESOR"/>
        <s v="AUTRES TITRES ET VALEURS DE PLACEME"/>
        <s v="ECARTS DE CONVERSION-ACTIF (ELEMENT"/>
        <s v="DIMINUTION DES CREANCES CIRCULANTES"/>
        <s v="AUGMENTATION DES DETTES CIRCULANTES"/>
        <s v="3497"/>
        <s v="PROVISION POUR DEPRECIATION DES STO"/>
        <s v="PROV. POUR DEPRECIATION DES MARCHAN"/>
        <s v="PROV. POUR DEPREC. DES MATIERES &amp; F"/>
        <s v="PROV. POUR DEPRCT DES PRODUITS EN C"/>
        <s v="PROV. POUR DEPREC. DES PRODUITS INT"/>
        <s v="PROV. POUR DEPREC. DES PRODUITS FIN"/>
        <s v="PROV. POUR DEPR. DES CREANCES DE L'"/>
        <s v="PROV POUR DEPR -FRS DEBITEURS, AVAN"/>
        <s v="PROV POUR DEPR DES CLIENTS &amp; COMPTE"/>
        <s v="PROV. POUR DEPR DU PERSONNEL -DEBIT"/>
        <s v="PROV. POUR DEPR. DES COMPTES D'ASSO"/>
        <s v="PROV. POUR DEPRECIATION DES AUTRES"/>
        <s v="PROV POUR DEPREC DES TITRES ET VALE"/>
        <s v="COMPTES DE PASSIF CIRCULANT"/>
        <s v="KOUISS ABDELKADER"/>
        <s v="REDA DITRIBUTION"/>
        <s v="PREMIUM FOOD AND NUTRITION PFN"/>
        <s v="CHOUF OU CHRI"/>
        <s v="COOP TAMAZAGHT"/>
        <s v="MAX WORLD TRADE"/>
        <s v="KINEKIRAMA S.A"/>
        <s v="ARGAN D'OR Maroc Groupe"/>
        <s v="COLLECTIF FOURNISSEURS"/>
        <s v="EULER - INDEMNISATIONS "/>
        <s v="COFACE - INDEMNISATIONS"/>
        <s v="FIRST INFORMATIQUE F N P"/>
        <s v="DAMANE RELACNE CIH"/>
        <s v="FOURNISSEURS - CATEGORIE A"/>
        <s v="FOURNISSEURS DE FRAIS GENERAUX"/>
        <s v="FOURNISSEURS COMPTANT"/>
        <s v="FOURNISSEURS - RETENUES DE GARANTIE"/>
        <s v="FOURNISSEURS - EFFETS A PAYER"/>
        <s v="FOURNISSEURS-EFFETS A PAYER OCTOBRE"/>
        <s v="FORS - EFFETS A PAYER - JAN 2016"/>
        <s v="FORS - EFFETS A PAYER - FEV 2016"/>
        <s v="FORS - EFFETS A PAYER - MARS 2016"/>
        <s v="FORS - EFFETS A PAYER - AVRIL 2016"/>
        <s v="FORS - EFFETS A PAYER - MAI 2016"/>
        <s v="FORS - EFFETS A PAYER - JUIN 2016"/>
        <s v="FORS - EFFETS A PAYER - JUIL 2016"/>
        <s v="FORS - CHEQ A PAYER"/>
        <s v="FOURNISSEURS - FNP"/>
        <s v="FNP"/>
        <s v="AUTRES FOURNISSEURS ET COMPTES RATT"/>
        <s v="CLIENTS CREDITEURS,AVANCES ET ACOMP"/>
        <s v="CLTS-AVANCES &amp; ACOMP. RECUS/COMMAND"/>
        <s v="CLTS -DETTES POUR EMBAL. ET MATERIE"/>
        <s v="R.R.R A ACCORDER -AVOIRS A ETABLIR"/>
        <s v="AUTRES CLIENTS CREDITEURS"/>
        <s v="PERSONNEL-CREDITEUR"/>
        <s v="Rémunérations dues au personnel"/>
        <s v="YOUSSEF EL BAHIJ"/>
        <s v="RACHID MOUSTAHSSINE"/>
        <s v="NAOUFAL AIDEM"/>
        <s v="HASNA AIT HAMOU"/>
        <s v="CAISSE NATIONALE SECURITE SOCIALE"/>
        <s v="CNSS"/>
        <s v="AMO"/>
        <s v="C.I.M.R"/>
        <s v="AUTRES ORGANISMES SOCIAUX"/>
        <s v="CONTRIBUTION SOCIALE"/>
        <s v="ETAT-IMPOT-TAXE ET ASSIMILES"/>
        <s v="XXXX CONTRIBUTION SOCIALE"/>
        <s v="RETENUE A LA SOURCE "/>
        <s v="TAXE PROFESSIONNELLE"/>
        <s v="Impôts sur le revenu"/>
        <s v="IS"/>
        <s v="TVA SUR 20 VENTE"/>
        <s v="TVA 10% VT"/>
        <s v="TAXE SUR 0.25"/>
        <s v="TVA SUR PRODUITS A 20%"/>
        <s v="ETAT TVA DUE"/>
        <s v="ETAT RAS / DIVIDENDES"/>
        <s v="ETAT AUTRES COMPTES CREDITEURS"/>
        <s v="RETENUE A LA SOURCE"/>
        <s v=" Droit de timbre / Enc Espéce 0,25"/>
        <s v="COMPTES COURANTS ASSOCIES CREDITEUR"/>
        <s v="ASSOCIES-DIVIDENDES A PAYER"/>
        <s v="DIVERS CREANCIERS"/>
        <s v="MR JILALI EL BAHIJ"/>
        <s v="MME KHADIJA EL BAHIJ"/>
        <s v="Intérêts courus non échus à payer"/>
        <s v="COMPTES D'ATTENTE"/>
        <s v="PROVISION POUR PERTE DE CHANGE"/>
        <s v="AUGMENTATION DES CREANCES"/>
        <s v="DIMINUTION DES DETTES CIRCULANTES"/>
        <s v="CHEQUE A ENCAISSER"/>
        <s v="VIREMENTS DE FONDS"/>
        <s v="AWB"/>
        <s v="BQ AWB EURO"/>
        <s v="CIH"/>
        <s v="BQ AWB DH CONV"/>
        <s v="DAMANE RELANCE"/>
        <s v="SOCIETE GENERALE"/>
        <s v="CIH II"/>
        <s v="BLOCAGES"/>
        <s v="TRESORERIE GENERALE"/>
        <s v="CHEQUES POSTAUX"/>
        <s v="AUTRES ETABLISSEMENT FINANCIERS &amp; A"/>
        <s v="CAISSES, REGIES D'AVANCES ET ACCRED"/>
        <s v="CAISSE"/>
        <s v="CAISSE DEPENSE"/>
        <s v="REGIES D'AVANCES &amp; ACCREDITIFS"/>
        <s v="TRESORERIE -PASSIF"/>
        <s v="CREDITS D'ESCOMPTE"/>
        <s v="CREDIT D'ESCOMPTE CM"/>
        <s v="CREDITS DE TRESOREIE"/>
        <s v="OBLIGATION CAUTIONNE"/>
        <s v="REFINANCEMENT"/>
        <s v="BANQUES (SOLDES CREDITEURS)"/>
        <s v="AUTRES ETABLISSEMENTS FINANCIERS &amp;"/>
        <s v="PROV. POUR DEPREC. DES COMPTES DE T"/>
        <s v="COMPTES DE CHARGES"/>
        <s v="CHARGES D'EXPLOITATION"/>
        <s v="ACHATS REVENDUS DE MARCHANDISES"/>
        <s v="ACHATS MARCH 20%"/>
        <s v="ACHATS MARCH 7%"/>
        <s v="ACHAT MARCHANDISE LOCAL"/>
        <s v="FRAIS DE DOUANE"/>
        <s v="ACHATS MEUBLES"/>
        <s v="ACHAT MARCHANDISE IMPORT"/>
        <s v="FRAIS DE TRANSIT"/>
        <s v="FRAIS DE TRANSPORT"/>
        <s v="ACHAT MARCHANDISE IMPORT ADS"/>
        <s v="TRANSPORT D'IMPORTATION"/>
        <s v="VARIATION DE STOCKS DE MARCHANDISES"/>
        <s v="ACHATS REVENDUS DE MARCHAND. DES EX"/>
        <s v="R.R.R.OBTENUS  SUR ACHATS DE MARCHA"/>
        <s v="ACHATS CONSOMMES DE MATIERES &amp; DE F"/>
        <s v="ACHAT DE MATIERES PREMIERES"/>
        <s v="FRAIS DES DOUANES"/>
        <s v="ACHATS DE MATIERES PREMIERES B"/>
        <s v="ACHATS DE MATIERES ET FOURNITURES"/>
        <s v="ACHATS DE MATIERES &amp; FOURNITURES A"/>
        <s v="ACHATS DE MATIERES &amp; FOURNITURES B"/>
        <s v="ACHATS DE COMBUSTIBLES"/>
        <s v="ACHATS DE PRODUITS D'ENTRETIEN"/>
        <s v="ACHATS DE FOURNITURES D'ATELIER &amp; D"/>
        <s v="ACHATS DE FOURNITURES DE MAGASIN"/>
        <s v="ACHATS DE FOURNITURES DE BUREAU"/>
        <s v="ACHATS D'EMBALLAGES"/>
        <s v="ACHATS D'EMBALLAGES PERDUS"/>
        <s v="ACHATS D'EMBALLAGES RECUPERABLES NO"/>
        <s v="ACHATS D'EMBALLAGES A USAGE MIXTE"/>
        <s v="VARIATION DES STOCKS DE MATIERES &amp;"/>
        <s v="VARIATION DES STOCKS DE MATIERS PRE"/>
        <s v="VARIATION DES STOCKS DE MAT &amp; FOURN"/>
        <s v="VARIATION DES STOCKS DES EMBALLAGES"/>
        <s v="ACHATS NON STOCKES DE MATIERES &amp; FO"/>
        <s v="LYDEC"/>
        <s v="ACHATS DE FOURN NON STOCKABLES (eau"/>
        <s v="ELECTRICITE"/>
        <s v="EAU"/>
        <s v="ACHATS DE FOURNITURES D'ENTRETIEN"/>
        <s v="ACHATS DE PETIT OUTILLAGES ET DE PE"/>
        <s v="CARBURANTS"/>
        <s v="ACHATS DE TRAVAUX ETUDES ET PRESTAT"/>
        <s v="ACHATS DES TRAVAUX"/>
        <s v="ACHATS DES ETUDES"/>
        <s v="ACHATS DES PRESTATIONS DE SERVICES"/>
        <s v="ACHATS DES PRESTATIONS -AUTO-ENTREP"/>
        <s v="ACHATS DE MATIERES &amp; FOURNIT DES EX"/>
        <s v="ACHATS DES MATIÈRES ET DES FOURNITU"/>
        <s v="R.R.R.OBTENUS / ACHATS CONSOMMES DE"/>
        <s v="R.R.R.O. /ACHATS DE MATIERES PREMIE"/>
        <s v="R.R.R.O. /ACHATS DE MAT &amp; FOURN. CO"/>
        <s v="R.R.R.O. /ACHATS DES EMBALLAGES"/>
        <s v="R.R.R.O. /ACHATS NON STOCKES"/>
        <s v="R.R.R.O. /ACHATS DE TRAVAUX,ETUDES"/>
        <s v="R.R.R.O. /ACHATS DE MAT. &amp; FOURNIT."/>
        <s v="LOCATIONS ET CHARGES LOCATIVES"/>
        <s v="LOCATION DE TERRAINS"/>
        <s v="LOCATION DE CONSTRUCTIONS"/>
        <s v="LOCATION DE MATERIEL &amp; D'OUTILLAGE"/>
        <s v="LOCATION DE MOBILIER &amp; MATERIEL DE"/>
        <s v="LOCATION DE MATERIEL INFORMATIQUE"/>
        <s v="LOCATION DE MATERIEL DE TRANSPORT"/>
        <s v="MALIS SUR EMBALLAGES RENDUS"/>
        <s v="LOCATIONS ET CHARGES LOCATIVES DIVE"/>
        <s v="REDEVANCES DE CREDIT BAIL"/>
        <s v="REDEVANCES DE CREDIT-BAIL -MOBILIER"/>
        <s v="ENTRETIEN ET REPARATIONS"/>
        <s v="ENTRETIEN &amp; REPARATIONS DES BIENS I"/>
        <s v="ENTRET &amp; REPARATION BIENS MOBILIERS"/>
        <s v="MAINTENANCE"/>
        <s v="PRIMES D'ASSURANCES"/>
        <s v="ASSURANCES MULTIRISQUES (VOL.INC.RE"/>
        <s v="ASSURANCES - risques d'exploitation"/>
        <s v="ASSURANCES - MATERIEL DE TRANSPORT"/>
        <s v="ASSURANCE - ASSURANCE CREDIT"/>
        <s v="REMUNERT.DU PERSONNEL EXTERIEUR A L"/>
        <s v="REMUNERATIONS DU PERSONNEL OCCASION"/>
        <s v="REMUNERATIONS DU PERSONNEL INTERIMA"/>
        <s v="REMUNERATIONS DU PERSONNEL DETACHE"/>
        <s v="REMUNERATIONS D'INTERMEDIAIRES &amp; HO"/>
        <s v="COMMISSIONS &amp; COURTAGES"/>
        <s v="HONORAIRES"/>
        <s v="HONORAIRES AUTRES"/>
        <s v="FRAIS D'ACTES &amp; DE CONTENTIEUX"/>
        <s v="REDEVANCES POUR BREVETS MARQUES,DRO"/>
        <s v="REDEVANCES POUR BREVETS"/>
        <s v="AUTRES REDEVANCES"/>
        <s v="ETUDES ,RECHERCHE &amp; DOCUMENTATION"/>
        <s v="ETUDES GENERALES"/>
        <s v="RECHERCHES"/>
        <s v="DOCUMENTATION GENERALE"/>
        <s v="DOCUMENTATION TECHNIQUE"/>
        <s v="TRANSPORTS"/>
        <s v="TRANSPORTS DU PERSONNEL"/>
        <s v="TRANSPORTS / ACHATS"/>
        <s v="TRANSPORTS SUR VENTES"/>
        <s v="AUTRES TRANSPORTS"/>
        <s v="DEPLACEMENTS MISSIONS ET RECEPTIONS"/>
        <s v="VOYAGES ET DEPLACEMENTS"/>
        <s v="FRAIS DE DEPLACEMENT"/>
        <s v="FRAIS DE DEMENAGEMENT"/>
        <s v="FRAIS DE CARBURANT"/>
        <s v="MISSIONS"/>
        <s v="HERBERGEMENTS"/>
        <s v="FRAIS DE GARDIENNAGE"/>
        <s v="RECEPTIONS"/>
        <s v="FRAIS DE RESTAURATION"/>
        <s v="PUBLICITE PUBLICATIONS ET RELATIONS"/>
        <s v="ANNONCES ET INSERTIONS"/>
        <s v="ECHANTILLONS, CATALOGUES &amp; IMPRIMES"/>
        <s v="FOIRES &amp; EXPOSITIONS"/>
        <s v="PRIMES DE PUBLICITE"/>
        <s v="PUBLICATIONS"/>
        <s v="CADEAUX A LA CLIENTELE"/>
        <s v="AUTRES CHARGES DE PUBLICITE &amp; RELAT"/>
        <s v="FRAIS POSTAUX"/>
        <s v="FRAIS D'INTERNET"/>
        <s v="FRAIS DE TELEPHONE"/>
        <s v="FRAIS DE TELEX &amp; DE TELEGRAMMES"/>
        <s v="SERVICES BANCAIRES"/>
        <s v="COTISATIONS &amp; DONS"/>
        <s v="COTISATIONS"/>
        <s v="DONS"/>
        <s v="INTERETS DES EMPRUNTS"/>
        <s v="FRAIS D'ACHAT &amp; DE VENTE DES TITRES"/>
        <s v="FRAIS SUR EFFETS DE COMMERCE"/>
        <s v="FRAIS ET COMMISSIONS / SERVICES BAN"/>
        <s v="AUTRES CHARGES EXTERNES DES EXCE AN"/>
        <s v="R.R.R.OBTENUS SUR AUTRES CHARGES EX"/>
        <s v="IMPOTS ET TAXES"/>
        <s v="IMPOTS ET TAXES DIRECTS"/>
        <s v="CCS"/>
        <s v="TAXE URBAINE &amp; TAXE D'EDILITE"/>
        <s v="PATENTE"/>
        <s v="TAXES LOCALES"/>
        <s v="IMPOTS ET TAXES INDIRECTS"/>
        <s v="IMPOTS,TAXES &amp; DROITS ASSIMILES"/>
        <s v="DROITS D'ENREGISTREMENT ET DE TIMBR"/>
        <s v="TAXES / LES VEHICULES"/>
        <s v="AUTRES IMPOTS,TAXES &amp; DROITS ASSIMI"/>
        <s v="IMPOTS &amp; TAXES DES EXERCICES ANTERI"/>
        <s v="CHARGES DE PERSONNEL"/>
        <s v="REMUNERATIONS DU PERSONNEL"/>
        <s v="APPOINTEMENTS &amp; SALAIRES"/>
        <s v="Salaire fixe"/>
        <s v="Congé Payé"/>
        <s v="Ancienneté Légale"/>
        <s v="PRIMES &amp; GRATIFICATIONS"/>
        <s v="PRIME DE RENDEMENT"/>
        <s v="INDEMNITES &amp; AVANTAGES DIVERS"/>
        <s v="Indemnités de transport"/>
        <s v="Indemnités de panier"/>
        <s v="Indemnités de représentation"/>
        <s v="INDEMNITE DE TRANSPORT"/>
        <s v="PRIME DE SALISSURE"/>
        <s v="COMMISSION AU PERSONNEL"/>
        <s v="REMUNERATIONS DES ADMINISTRAT.,GERA"/>
        <s v="CHARGES SOCIALES"/>
        <s v="COTISATIONS DE SECURITE SOCIALE"/>
        <s v="C.N.S.S"/>
        <s v="A.M.O"/>
        <s v="COTISATIONS AUX CAISSES DE RETRAITE"/>
        <s v="COTISATIONS AUX MUTUELLES"/>
        <s v="C.I.M.R Cadres sup"/>
        <s v="C.I.M.R Employés"/>
        <s v="PRESTATIONS FAMILIALES"/>
        <s v="ASSURANCES ACCIDENTS DE TRAVAIL"/>
        <s v="CHARGES SOCIALES DIVERSES"/>
        <s v="ASSURANCES GROUPE"/>
        <s v="PRESTATIONS DE RETRAITES"/>
        <s v="ALLOCATIONS AUX OEUVRES SOCIALES"/>
        <s v="HABILLEMENT &amp; VETEMENTS DE TRAVAIL"/>
        <s v="INDEMNITES DE PREAVIS &amp; DE LICENCIE"/>
        <s v="MEDECINE DE TRAVAIL,PHARMACIE"/>
        <s v="AUTRES CHARGES SOCIALES DIVERSES"/>
        <s v="REMUNERATION DE L'EXPLOITANT"/>
        <s v="CHARGES SOCIALES /APPOINT. &amp; SAL DE"/>
        <s v="CHARGES DE PERSONNEL DES EXERCICES"/>
        <s v="AUTRES CHARGES D'EXPLOITATION"/>
        <s v="JETONS DE PRESENCE"/>
        <s v="PERTES SUR CREANCES IRRECOUVRABLES"/>
        <s v="CHARGES DIVERS NON JUSTIFIEES"/>
        <s v="PERTES SUR OPERATIONS FAITES EN COM"/>
        <s v="TRANSFERT DE PROFITS /OPERT.FAITES"/>
        <s v="DIFFCES DE REGLTS/CHARGES DE L'EXER"/>
        <s v="AUTRES CHARGES D'EXPLOITATION. DES"/>
        <s v="DOTATIONS D'EXPLOITATION"/>
        <s v="DOTATIONS D'EXPLT. AUX AMORT. DE L'"/>
        <s v="D.E.A. DES FRAIS PRELIMINAIRES"/>
        <s v="D.E.A. DES CHARGES A REPARTIR"/>
        <s v="DOT. D'EXPL. AUX AMORT. DES IMMOB."/>
        <s v="D.E.A. DE L'IMMOB. EN RECH. &amp; DEVEL"/>
        <s v="D.E.A. DES BREVETS,MARQUES,DROITS &amp;"/>
        <s v="D.E.A. DU FONDS COMMERCIAL"/>
        <s v="D.E.A. DES AUTRES IMMOB.INCORPORELL"/>
        <s v="D.E.A. DES IMMOBILISATIONS CORPOREL"/>
        <s v="D.E.A. DES TERRAINS"/>
        <s v="D.E.A. DES CONSTRUCTIONS"/>
        <s v="D.E.A. DES INSTAL. TECH. , MAT. &amp; O"/>
        <s v="D.E.A. DU MATERIEL DE TRANSPORT"/>
        <s v="D.E.A. DES MOBILIER, MAT. DE BUREAU"/>
        <s v="D.E.A. DES AUTRES IMMOBILISATIONS C"/>
        <s v="DOT.D'EXP.AUX PROV.POUR DPRCT DES I"/>
        <s v="D.E.P. POUR DEPRCT DES IMMOB. INCOR"/>
        <s v="D.E.P. POUR DEPRCT DES IMMOB. CORPO"/>
        <s v="D.E.P. POUR RISQUES &amp; CHARGES"/>
        <s v="D.E.P. POUR RISQUES &amp; CHARGES DURAB"/>
        <s v="D.E.P. POUR RISQUES &amp; CHARGES MOMEN"/>
        <s v="D.E.P. POUR DEPRECIATION DE L'ACTIF"/>
        <s v="D.E.P. POUR DEPRECIATION DES STOCKS"/>
        <s v="D.E.P. POUR DEPRCT DES CRCES DE L'A"/>
        <s v="DOTATION D'EXPLT DES EXERCICES ANTE"/>
        <s v="D.E  AUX AMORTISST DES EXERCICES AN"/>
        <s v="D.E. AUX PROVISIONS DES EXERCICES A"/>
        <s v="CHARGES FINANCIERES"/>
        <s v="CHARGES D'INTERETS"/>
        <s v="INTERETS DES EMPRUNTS ET DETTES"/>
        <s v="INTERETS  DES DETTES RATTACHEES A D"/>
        <s v="INTERETS DES C/C &amp; DEPOTS CREDITEUR"/>
        <s v="INTERETS BANCAIRES &amp; SUR OPERT DE F"/>
        <s v="AUTRES INTERETS DES EMPRUNTS &amp; DETT"/>
        <s v="CHARGES D'INTERETS DES EXERCICES AN"/>
        <s v="PERTES DE CHANGE"/>
        <s v="PERTES DE CHANGE PROPRES A L'EXERCI"/>
        <s v="PERTES DE CHANGE DES EXERCICES ANTE"/>
        <s v="AUTRES CHARGES FINANCIERES"/>
        <s v="PERTES /CREANCES LIEES A DES PARTIC"/>
        <s v="CHARGES NETTES /CESSIONS DE TITRES"/>
        <s v="ESCOMPTES ACCORDES"/>
        <s v="AUTRES CHARGES FINANCIERES DES EXCE"/>
        <s v="DOTATIONS FINANCIERES"/>
        <s v="DOT AUX AMORTISSEMENT DES  OBLIGATI"/>
        <s v="D.P. POUR DEPRCT DES IMMOBILISATION"/>
        <s v="D.P. POUR RISQUES &amp; CHARGES FINANCI"/>
        <s v="D.P. POUR DEPRCT DES TITRES &amp; VALEU"/>
        <s v="D.P. POUR DEPRCT DES COMPTES DE TRE"/>
        <s v="DOT. FINANCIERES DES EXERCICES ANTE"/>
        <s v="CHARGES NON COURANTES"/>
        <s v="VALEURS NETTES D'AMORT. DES IMMOB.C"/>
        <s v="V.N.A DES IMMOB. INCORPORELLES CEDE"/>
        <s v="V.N.A DES IMMOB.CORPORELLES CEDEES"/>
        <s v="V.N.A DES IMMOB. FINANCIERES CEDEES"/>
        <s v="V.N.A DES IMMOB. CEDEES DES EXERCIC"/>
        <s v="SUBVENTIONS ACCORDEES"/>
        <s v="SUBVENTIONS ACCORDEES DE L'EXERCICE"/>
        <s v="SUBVENTIONS ACCORDEES DES EXERCICES"/>
        <s v="AUTRES CHARGES NON COURANTES"/>
        <s v="Arrondi TVA"/>
        <s v="PENALITES SUR MARCHES &amp; DEDITS"/>
        <s v="PENALITES SUR MARCHES"/>
        <s v="DEDITS"/>
        <s v="RAPPELS D'IMPOTS (AUTRES QU'IMPOTS/"/>
        <s v="PENALITES &amp; AMENDES FISCALES OU PEN"/>
        <s v="PENALITES &amp; AMENDES FISCALES"/>
        <s v="PENALITES &amp; AMENDES PENALES"/>
        <s v="CREANCES DEVENUES IRRECOUVRABLES"/>
        <s v="DONS, LIBERALITES &amp; LOTS"/>
        <s v="LIBERALITES"/>
        <s v="LOTS"/>
        <s v="AUTRES CHARGES NON COURANTES DES EX"/>
        <s v="DOTATIONS NON COURANTES"/>
        <s v="D.A. EXCEPTIONNELS DES IMMOBILISATI"/>
        <s v="D.A.E.DE L'IMMOBILISATION EN NON VA"/>
        <s v="D.A.E.DES IMMOBILISATION INCORPOREL"/>
        <s v="D.A.E. DES IMMOBILISATIONS CORPOREL"/>
        <s v="DOTATIONS NON COURANTES AUX PROV. R"/>
        <s v="DNC POUR AMORTISSEMENTS DEROGATOIRE"/>
        <s v="DNC POUR PLUS-VALUES EN INSTANCE D'"/>
        <s v="DNC POUR INVESTISSEMENTS"/>
        <s v="DNC POUR RECONSTITUTION DE GISEMENT"/>
        <s v="DNC POUR ACQUISITION &amp; CONSTRUCTION"/>
        <s v="D.NON COURANTES AUX PROV. POUR RISQ"/>
        <s v="D.N.C AUX PROV.POUR RISQUES &amp; CHARG"/>
        <s v="D.N.C AUX PROV. POUR RISQUES &amp; CHAR"/>
        <s v="D.N.C AUX PROVISIONS POUR DEPRECIAT"/>
        <s v="D.N.C AUX PROV. POUR DEPRECT. DE L'"/>
        <s v="D.N.C AUX PROV.POUR DEPRECT. DE L'A"/>
        <s v="DOT.NON COURANTES DES EXERCICES ANT"/>
        <s v="ECART DE CHANGE"/>
        <s v="IMPOTS SUR LES RESULTATS"/>
        <s v="IMPOTS SUR LES BENEFICES"/>
        <s v="IMPOSITION MINIMALE ANNUELLE DES SO"/>
        <s v="CM IS"/>
        <s v="CM PSN/IS"/>
        <s v="RAPPELS &amp; DEGREVEMENTS DES IMPOTS /"/>
        <s v="COMPTES DE PRODUITS"/>
        <s v="PRODUITS D'EXPLOITATION"/>
        <s v="VENTES DE MARCHANDISES"/>
        <s v="VENTES DE MARCHANDISES A L'ETRANGER"/>
        <s v="VENTES DE MARCHANDISES DES EXERCICE"/>
        <s v="R.R.R. ACCORDES PAR L'ENTREPRISE"/>
        <s v="VENTES DE BIENS &amp; SERVICES PRODUITS"/>
        <s v="VENTES DE BIENS PRODUITS AU MAROC"/>
        <s v="VENTES DE PRODUITS FINIS"/>
        <s v="VENTES DE PRODUITS INTERMEDIAIRES"/>
        <s v="VENTES DE PRODUITS RESIDUELS"/>
        <s v="VENTES DE BIENS PRODUITS EXPORTES"/>
        <s v="VENTES DE SERVICES PRODUITS AU MARO"/>
        <s v="TRAVAUX"/>
        <s v="ETUDES"/>
        <s v="PRESTATIONS SERVICE MAROC"/>
        <s v="VENTES SERVICES PRODUITS  EXPORTES"/>
        <s v="PRESTATIONS SERVICE EXPORTEES"/>
        <s v="REDEVANCES PR BREVETS,MARQUES,DROIT"/>
        <s v="VENTES ET PRODUITS ACCESSOIRES"/>
        <s v="LOCATIONS DIVERSES RECUES"/>
        <s v="COMMISSIONS &amp; COURTAGES RECUS"/>
        <s v="PRDTS DE SCES EXPLOITES DANS L'INTE"/>
        <s v="BONIS SUR REPRISES D'EMBALLAGES CON"/>
        <s v="PORTS &amp; FRAIS ACCESSOIRES FACTURES"/>
        <s v="AUTRES VENTES &amp; PRODUITS ACCESSOIRE"/>
        <s v="VENTES DE BIENS &amp; SCES PRDTS DES EX"/>
        <s v="R.R.R.ACCORDES /VENTES DU MAROC DES"/>
        <s v="R.R.R.ACCORDES /VENTES A L'ETRANGER"/>
        <s v="R.R.R.ACCORDES /VENTES AU MAROC DES"/>
        <s v="R.R.R ACCORDES SUR VENTES A L'ETRAN"/>
        <s v="R.R.R ACCORDES /VENTES  BIENS ET SE"/>
        <s v="VARIATION DES STOCKS DE PRODUITS"/>
        <s v="VARIATIONS DES STOCKS DE PRODUITS E"/>
        <s v="VARIAT. DES STOCKS DE BIENS PRDTS E"/>
        <s v="VARIAT.DES STOCKS DE PRDTS INTERM.E"/>
        <s v="VARIAT.DES STOCKS DE PRDTS RESIDUEL"/>
        <s v="VARIATION DES STOCKS DE BIENS PRODU"/>
        <s v="VARIATION DES STOCKS DE PRODUITS FI"/>
        <s v="VARIAT. DES STOCKS DE PRDTS INTERME"/>
        <s v="VARIATION DES STOCKS DE PRODUITS RE"/>
        <s v="VARIATIONS DES STOCKS DE SERVICES E"/>
        <s v="VARIATION DES STOCKS DE TRAVAUX EN"/>
        <s v="VARIATION DES STOCKS D'ETUDES EN CO"/>
        <s v="VARIATION DES STOCKS DE PRESTATION"/>
        <s v="IMMOB. PRODUITES PAR L'ENTREPRISE P"/>
        <s v="IMMOBILISATION EN NON-VALEURS PRODU"/>
        <s v="IMMOBILISATION INCORPORELLES PRODUI"/>
        <s v="IMMOBILISATIONS COPORELLES PRODUITE"/>
        <s v="IMMOB. PRODUITES DES EXERCICES ANTE"/>
        <s v="SUBVENTION D'EXPLOITATION"/>
        <s v="SUBVENTIONS D'EXPLOITATION RECUES D"/>
        <s v="SUBVENT. D'EXPLOIT. RECUES DES EXER"/>
        <s v="AUTRES PRODUITS  D'EXPLOITATION"/>
        <s v="JETONS DE PRESENCE RECUS"/>
        <s v="REVENUS DES IMMEUBLES NON AFFECTES"/>
        <s v="PROFITS SUR OPERATIONS FAITES EN CO"/>
        <s v="TRANSFERT DE PERTES /OPERATION FAIT"/>
        <s v="DIFFCES DE REGLTS CLIENTS DE L'EXER"/>
        <s v="AUTRES PRODUITS D'EXPLT. DES EXERCI"/>
        <s v="REPRISES D'EXPLT. ,TRANSFERTS DE CH"/>
        <s v="REPRISES SUR AMORT. DE L'IMMOB. EN"/>
        <s v="REPRISES SUR AMORT. DES IMMOB. INCO"/>
        <s v="REPRISES SUR AMORT. DES IMMOB. CORP"/>
        <s v="REPRISES /PROV POUR DEPRCT DES IMMO"/>
        <s v="REPRISES SUR PROV POUR RISQUES &amp; CH"/>
        <s v="REPRISE/PROV PR RISQ ET CHARGE MOME"/>
        <s v="REPRISES SUR PROV POUR DEPRCT DE L'"/>
        <s v="TRANSFERTS DE CHARGES D'EXPLOITATIO"/>
        <s v="T.C.E- ACHATS DE MARCHANDISES"/>
        <s v="T.C.E -ACHATS CONSOMMES DE MATIERES"/>
        <s v="T.C.E -AUTRES CHARGES EXTERNES"/>
        <s v="T.C.E -IMPOT ET TAXES"/>
        <s v="T.C.E -CHARGES DU PERSONNEL"/>
        <s v="T.C.E -AUTRES CHARGES D'EXPLOITATIO"/>
        <s v="REPRISES /AMORT. &amp; PROV DES EXERCIC"/>
        <s v="REPRISES /AMORT. DES EXERCICES ANTE"/>
        <s v="REPRISES/PROV DES EXERCICES ANTERIE"/>
        <s v="PRODUITS FINANCIERS"/>
        <s v="PRODUITS DES TITRES DE PARTIC"/>
        <s v="PRDTS DES TITRES DE PARTIC.1 DES AU"/>
        <s v="REVENUS DES TITRES DE PARTICIPATION"/>
        <s v="REVENUS DES TITRES IMMOBILISES"/>
        <s v="PRDTS DES TITRES PART.&amp; AUTRES TITR"/>
        <s v="GAINS DE CHANGE"/>
        <s v="GAINS DE CHANGE PROPRES A L'EXERCIC"/>
        <s v="GAINS DE CHANGE DES EXERCICES ANTER"/>
        <s v="INTERETS ET AUTRES PRODUITS FINANCI"/>
        <s v="INTERETS &amp; AUTRES PRODUITS ASSIMILE"/>
        <s v="INTERETS DES PRETS"/>
        <s v="REVENUS DES AUTRES CREANCES FINANCI"/>
        <s v="REVENUS DES CREANCES RATTACHEES A D"/>
        <s v="REVENUS DES TITRES &amp; VALEURS DE PLA"/>
        <s v="PRODUITS NETS /CESSIONS DE TITRES &amp;"/>
        <s v="ESCOMPTES OBTENUS"/>
        <s v="INTERETS &amp; AUTRES PRDTS FINANCIERS"/>
        <s v="REPRISES FINANCIERES,TRANSFERTS DE"/>
        <s v="REPRISES /AMORT DES PRIMES DE REMBS"/>
        <s v="REPRISES /PROV POUR RISQUES &amp; CHARG"/>
        <s v="REPRISES/PROV POUR DEPRCT DES TITRE"/>
        <s v="REPRISES/PROV POUR DEPRCT DES CPTES"/>
        <s v="TRANSFERTS DE CHARGES FINANCIERES"/>
        <s v="TRANSFERTS -CHARGES D'INTERETS"/>
        <s v="TRANSFERTS - PERTES DE CHANGE"/>
        <s v="TRANSFERTS AUTRES CHARGES FINANCIER"/>
        <s v="REPRISES /DOT FINANCIERES DES EXERC"/>
        <s v="PRODUITS NON COURANTS"/>
        <s v="PRODUITS DES CESSIONS D'IMMOBILISAT"/>
        <s v="P.C DES IMMOBILISATIONS INCORPORELL"/>
        <s v="P.C DES IMMOBILISATIONS CORPORELLES"/>
        <s v="P.C DES IMMOBILISATIONS FINANCIERES"/>
        <s v="P.C DES IMMOBILISATION EXERCICES AN"/>
        <s v="SUBVENTIONS D'EQUILIBRE"/>
        <s v="SUBVENTIONS D'EQUILIBRE RECUES DE L"/>
        <s v="SUBVENTIONS D'EQUILIBRE RECUES DES"/>
        <s v="REPRISES SUR SUBVENTIONS D'INVESTIS"/>
        <s v="REPRISES /SUBV D'INVESTISSEMENT DE"/>
        <s v="REPRISES /SUBV D'INVESTISST DES EXE"/>
        <s v="AUTRES PRODUITS NON COURANTS"/>
        <s v="PENALITES &amp; DEDITS RECUS"/>
        <s v="PENALITES RECUES SUR MARCHES"/>
        <s v="DEDITS RECUS"/>
        <s v="DEGREVEMENTS D'IMPOTS (AUTRES QU'IM"/>
        <s v="REMBOURSEMENTS SINISTRES"/>
        <s v="RENTREES SUR CREANCES SOLDEES"/>
        <s v="DONS,LIBERALITES &amp; LOTS RECUS"/>
        <s v="AUTRES PRDTS NON COURANTS DES EXECE"/>
        <s v="&quot;REPRISES NON COURANTES;TRANSF. DE "/>
        <s v="REPRISES NON COURANTES/AMORT EXCEPT"/>
        <s v="R.A.E DE L'IMMOBILISATION EN NON VA"/>
        <s v="R.A.E. DES IMMOBILISATIONS INCORPOR"/>
        <s v="REPRISES NON COURANTES/PROVISIONS R"/>
        <s v="REPRISES SUR AMORT. DEROGATOIRES"/>
        <s v="REPRISES SUR PLUS-VALUES EN INSTANC"/>
        <s v="REPRISES SUR PROV POUR INVESTISSEME"/>
        <s v="REPRISES SUR PROV POUR RECONSTITUTI"/>
        <s v="REPRISES SUR PROV POUR ACQUISITION"/>
        <s v="REPRISES NON COURANTES /PROV POUR R"/>
        <s v="REPRISES /PROV POUR RISQUE &amp; CHARGE"/>
        <s v="REPRISES/PROV POUR RISQUES &amp; CHARGE"/>
        <s v="REPRISES NON COURANTES /PROV POUR D"/>
        <s v="R.N.C /PROV POUR DEPRCIATION DE L'A"/>
        <s v="R.N.C. /PROV POUR DEPRCIATION DE L'"/>
        <s v="TRANSFERTS DE CHARGES NON COURANTES"/>
        <s v="REPRISES NON COURANTES DES EXERCICE"/>
        <s v="REMBOURSEMENT SINISTRES"/>
        <s v="COMPTES DE RESULTATS"/>
        <s v="RESULTATS D'EXPLOITATION"/>
        <s v="MARGE BRUTE"/>
        <s v="VALEUR AJOUTEE"/>
        <s v="EXCEDENT BRUT D'EXPLOITATION"/>
        <s v="EXCEDENT BRUT D'EXPLOITATION (CREDI"/>
        <s v="INSUFFISANCE BRUTE D'EXPLOITATION"/>
        <s v="RESULTAT FINANCIER"/>
        <s v="RESULTAT COURANT"/>
        <s v="RESULTAT NON COURANT"/>
        <s v="RESULTAT AVANT IMPOTS"/>
        <s v="RESULTAT APRES IMPOTS"/>
        <s v="COMPTES ANALYTIQUES"/>
        <s v="COMPTES DE RECLASST ET D'ANALYSE"/>
        <s v="SECTIONS ANALYTIQUES"/>
        <s v="COUTS D'ACHATS OU DE PRODUCTION"/>
        <s v="INVENTAIRE PERMANENT DES STOCK"/>
        <s v="COUTS DE REVIENT"/>
        <s v="ECARTS SUR COUTS PREETABLIS"/>
        <s v="DIFFERENCES D'INCORPORATION"/>
        <s v="RESULTATS ANALYTIQUES"/>
        <s v="COMPTES DE LIAISONS INTERNES"/>
        <s v="COMPTE ATTENT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THMANE" refreshedDate="46193.48861828704" createdVersion="7" refreshedVersion="7" minRefreshableVersion="3" recordCount="15" xr:uid="{91A61E42-ADB0-45B6-8C72-BD40DE0F5C0C}">
  <cacheSource type="worksheet">
    <worksheetSource ref="A1:C1048576" sheet="Code Affairs Proposition"/>
  </cacheSource>
  <cacheFields count="3">
    <cacheField name="Type" numFmtId="0">
      <sharedItems containsBlank="1" count="2">
        <s v="Détail"/>
        <m/>
      </sharedItems>
    </cacheField>
    <cacheField name="Numéro" numFmtId="0">
      <sharedItems containsBlank="1"/>
    </cacheField>
    <cacheField name="Intitulé de la section" numFmtId="0">
      <sharedItems containsBlank="1" count="15">
        <s v="SMARCOS"/>
        <s v="VMM"/>
        <s v="LOGI FOOD"/>
        <s v="CHERIF CONSERVES"/>
        <s v="SIDNI COLOR"/>
        <s v="SHAMS COLOR"/>
        <s v="OLYMPIA SAKA SARL"/>
        <s v="ASFAR PEINTURE"/>
        <s v="BRAZAGO PEINTURE"/>
        <s v="NASSIMA FOOD"/>
        <s v="STE JANAH"/>
        <s v="CONSERVERIES SAFA"/>
        <s v="UNIVERS FOOD"/>
        <s v="SALWAN DE PÊCHE MARITIM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THMANE" refreshedDate="46193.488775115744" createdVersion="7" refreshedVersion="7" minRefreshableVersion="3" recordCount="250" xr:uid="{FA146C66-D714-4310-A515-5EE6F1EED75D}">
  <cacheSource type="worksheet">
    <worksheetSource ref="A1:J251" sheet="Documents des ventes cours"/>
  </cacheSource>
  <cacheFields count="12">
    <cacheField name="Type" numFmtId="0">
      <sharedItems/>
    </cacheField>
    <cacheField name="Etat" numFmtId="0">
      <sharedItems containsNonDate="0" containsString="0" containsBlank="1" count="1">
        <m/>
      </sharedItems>
    </cacheField>
    <cacheField name="Statut" numFmtId="0">
      <sharedItems count="2">
        <s v="A comptabiliser"/>
        <s v="Saisi"/>
      </sharedItems>
    </cacheField>
    <cacheField name="N° pièce" numFmtId="0">
      <sharedItems count="250">
        <s v="FAC150332"/>
        <s v="FAC150494"/>
        <s v="FAC160106"/>
        <s v="FAC160489"/>
        <s v="FAC161071"/>
        <s v="FAC171290"/>
        <s v="FAC180218"/>
        <s v="FAC181482"/>
        <s v="FAC181483"/>
        <s v="FAC181962"/>
        <s v="FAC190284"/>
        <s v="FAC190286"/>
        <s v="FAC190416"/>
        <s v="FAC190438"/>
        <s v="FAC190442"/>
        <s v="FAC190453"/>
        <s v="FAC190465"/>
        <s v="FAC190495"/>
        <s v="FAC190544"/>
        <s v="FAC190545"/>
        <s v="FAC190547"/>
        <s v="FAC190548"/>
        <s v="FAC191283"/>
        <s v="FAR190010"/>
        <s v="FAR190011"/>
        <s v="FAR190012"/>
        <s v="FAV190001"/>
        <s v="FAC191395"/>
        <s v="FAC191333"/>
        <s v="FAC192119"/>
        <s v="FAC192139"/>
        <s v="DE260004"/>
        <s v="DE260005"/>
        <s v="FAC260222"/>
        <s v="FAC260223"/>
        <s v="FAC260224"/>
        <s v="FAC260226"/>
        <s v="FAC260227"/>
        <s v="FAC260225"/>
        <s v="FAC260229"/>
        <s v="FAC260228"/>
        <s v="FAC260230"/>
        <s v="FAC260231"/>
        <s v="FAC260232"/>
        <s v="FAC260233"/>
        <s v="FACSA26017"/>
        <s v="FAC260234"/>
        <s v="FAC260235"/>
        <s v="FAC260236"/>
        <s v="FAC260237"/>
        <s v="FACSA26018"/>
        <s v="FAC260241"/>
        <s v="FAC260239"/>
        <s v="FAC260240"/>
        <s v="FAC260238"/>
        <s v="FAC260245"/>
        <s v="FAC260242"/>
        <s v="FAC260246"/>
        <s v="FAC260243"/>
        <s v="FAC260244"/>
        <s v="FAC260253"/>
        <s v="FAC260254"/>
        <s v="FAC260247"/>
        <s v="FAC260248"/>
        <s v="FAC260249"/>
        <s v="FAC260250"/>
        <s v="FAC260251"/>
        <s v="FAC260252"/>
        <s v="FAC260256"/>
        <s v="FAC260255"/>
        <s v="FAC260257"/>
        <s v="FAC260258"/>
        <s v="FAC260261"/>
        <s v="FAC260262"/>
        <s v="FAC260260"/>
        <s v="FAC260259"/>
        <s v="FAC260268"/>
        <s v="FAC260269"/>
        <s v="FAC260267"/>
        <s v="FAC260265"/>
        <s v="FAC260263"/>
        <s v="FAC260264"/>
        <s v="FAC260266"/>
        <s v="FAC260271"/>
        <s v="FAC260270"/>
        <s v="FAC260273"/>
        <s v="FAC260272"/>
        <s v="FAC260276"/>
        <s v="FAC260277"/>
        <s v="FAC260275"/>
        <s v="FAC260274"/>
        <s v="FAC260279"/>
        <s v="FAC260281"/>
        <s v="FAC260280"/>
        <s v="FAC260282"/>
        <s v="FAC260278"/>
        <s v="FAC260285"/>
        <s v="FAC260289"/>
        <s v="FAC260287"/>
        <s v="FAC260288"/>
        <s v="FAC260290"/>
        <s v="FAC260283"/>
        <s v="FAC260291"/>
        <s v="FAC260284"/>
        <s v="FAC260286"/>
        <s v="FAC260295"/>
        <s v="FAC260293"/>
        <s v="FAC260292"/>
        <s v="FAC260294"/>
        <s v="FAC260296"/>
        <s v="FAC260297"/>
        <s v="FAC260300"/>
        <s v="FAC260299"/>
        <s v="FAR260002"/>
        <s v="FAC260298"/>
        <s v="FAC260301"/>
        <s v="FAC260303"/>
        <s v="FAC260302"/>
        <s v="FAC260307"/>
        <s v="FAC260305"/>
        <s v="FAC260304"/>
        <s v="FAC260306"/>
        <s v="FAC260308"/>
        <s v="FAC260309"/>
        <s v="FAC260310"/>
        <s v="FAC260319"/>
        <s v="FAC260311"/>
        <s v="FAC260316"/>
        <s v="FAC260317"/>
        <s v="FAC260320"/>
        <s v="FAC260318"/>
        <s v="FAC260312"/>
        <s v="FAC260315"/>
        <s v="FAC260324"/>
        <s v="FAC260323"/>
        <s v="FAC260322"/>
        <s v="FAC260313"/>
        <s v="FAC260314"/>
        <s v="FAC260321"/>
        <s v="FAC260325"/>
        <s v="FAC260326"/>
        <s v="FAC260330"/>
        <s v="FAC260327"/>
        <s v="FAC260331"/>
        <s v="FAC260329"/>
        <s v="FAC260328"/>
        <s v="FAC260333"/>
        <s v="FAC260332"/>
        <s v="FACSA26019"/>
        <s v="FAC260335"/>
        <s v="FAC260334"/>
        <s v="PSSL2604"/>
        <s v="FAC260336"/>
        <s v="FAC260337"/>
        <s v="FAC260339"/>
        <s v="FAC260338"/>
        <s v="FAC260342"/>
        <s v="FAC260344"/>
        <s v="FAC260340"/>
        <s v="FAC260345"/>
        <s v="FAC260341"/>
        <s v="FAC260343"/>
        <s v="OP260345"/>
        <s v="FAC260346"/>
        <s v="FAC260347"/>
        <s v="FAC260348"/>
        <s v="FACSA26020"/>
        <s v="OP260350"/>
        <s v="FAC260350"/>
        <s v="FAC260353"/>
        <s v="FAC260352"/>
        <s v="FAC260351"/>
        <s v="FAC260349"/>
        <s v="FAC260355"/>
        <s v="FAC260354"/>
        <s v="FAC260357"/>
        <s v="FAC260356"/>
        <s v="FAC260360"/>
        <s v="FAC260359"/>
        <s v="FAC260358"/>
        <s v="FAC260361"/>
        <s v="FAC260362"/>
        <s v="OP260363"/>
        <s v="FAC260364"/>
        <s v="FAV260001"/>
        <s v="FAC260363"/>
        <s v="FAC260365"/>
        <s v="FAC260366"/>
        <s v="FAC260368"/>
        <s v="FAC260370"/>
        <s v="FAC260374"/>
        <s v="FAC260371"/>
        <s v="FAC260367"/>
        <s v="FAC260372"/>
        <s v="FAC260373"/>
        <s v="FAC260369"/>
        <s v="FAC260375"/>
        <s v="FAC260376"/>
        <s v="FAC260380"/>
        <s v="FAC260382"/>
        <s v="FAC260383"/>
        <s v="FACSA26021"/>
        <s v="FAC260377"/>
        <s v="FAC260378"/>
        <s v="FAR260004"/>
        <s v="FAC260381"/>
        <s v="FAR260003"/>
        <s v="FAC260379"/>
        <s v="FAC260388"/>
        <s v="FAC260385"/>
        <s v="FAC260387"/>
        <s v="FAC260386"/>
        <s v="FAC260384"/>
        <s v="FAC260389"/>
        <s v="FAC260390"/>
        <s v="FAC260391"/>
        <s v="BL260402"/>
        <s v="BL260399"/>
        <s v="BL260395"/>
        <s v="BL260398"/>
        <s v="BL260409"/>
        <s v="BL260401"/>
        <s v="BL260393"/>
        <s v="BL260396"/>
        <s v="BL260412"/>
        <s v="BL260400"/>
        <s v="BL260394"/>
        <s v="BL260397"/>
        <s v="BL260411"/>
        <s v="BL260410"/>
        <s v="BL260407"/>
        <s v="BL260403"/>
        <s v="BL260404"/>
        <s v="BL260408"/>
        <s v="BL260405"/>
        <s v="BL260406"/>
        <s v="FAC260392"/>
        <s v="FAC260413"/>
        <s v="OP260387"/>
        <s v="FAC260414"/>
        <s v="FAC260416"/>
        <s v="FAC260418"/>
        <s v="FAC260417"/>
        <s v="FAC260419"/>
        <s v="FAC260420"/>
        <s v="FAC260423"/>
        <s v="FAC260422"/>
        <s v="FAC260421"/>
        <s v="FAC260424"/>
        <s v="BL260425"/>
      </sharedItems>
    </cacheField>
    <cacheField name="Référence" numFmtId="0">
      <sharedItems containsBlank="1"/>
    </cacheField>
    <cacheField name="Date" numFmtId="14">
      <sharedItems containsSemiMixedTypes="0" containsNonDate="0" containsDate="1" containsString="0" minDate="2015-11-10T00:00:00" maxDate="2026-06-09T00:00:00" count="73">
        <d v="2015-11-10T00:00:00"/>
        <d v="2015-12-17T00:00:00"/>
        <d v="2016-01-28T00:00:00"/>
        <d v="2016-04-22T00:00:00"/>
        <d v="2016-08-30T00:00:00"/>
        <d v="2017-10-25T00:00:00"/>
        <d v="2018-02-22T00:00:00"/>
        <d v="2018-09-27T00:00:00"/>
        <d v="2018-12-26T00:00:00"/>
        <d v="2019-03-04T00:00:00"/>
        <d v="2019-03-05T00:00:00"/>
        <d v="2019-03-29T00:00:00"/>
        <d v="2019-04-03T00:00:00"/>
        <d v="2019-04-04T00:00:00"/>
        <d v="2019-04-06T00:00:00"/>
        <d v="2019-04-15T00:00:00"/>
        <d v="2019-04-20T00:00:00"/>
        <d v="2019-07-26T00:00:00"/>
        <d v="2019-08-06T00:00:00"/>
        <d v="2019-08-09T00:00:00"/>
        <d v="2019-08-20T00:00:00"/>
        <d v="2019-11-26T00:00:00"/>
        <d v="2019-11-28T00:00:00"/>
        <d v="2026-02-24T00:00:00"/>
        <d v="2026-02-28T00:00:00"/>
        <d v="2026-04-01T00:00:00"/>
        <d v="2026-04-02T00:00:00"/>
        <d v="2026-04-03T00:00:00"/>
        <d v="2026-04-06T00:00:00"/>
        <d v="2026-04-07T00:00:00"/>
        <d v="2026-04-08T00:00:00"/>
        <d v="2026-04-09T00:00:00"/>
        <d v="2026-04-10T00:00:00"/>
        <d v="2026-04-11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7T00:00:00"/>
        <d v="2026-04-28T00:00:00"/>
        <d v="2026-04-29T00:00:00"/>
        <d v="2026-04-30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6-01T00:00:00"/>
        <d v="2026-06-02T00:00:00"/>
        <d v="2026-06-03T00:00:00"/>
        <d v="2026-06-04T00:00:00"/>
        <d v="2026-06-05T00:00:00"/>
        <d v="2026-06-08T00:00:00"/>
      </sharedItems>
      <fieldGroup par="11" base="5">
        <rangePr groupBy="months" startDate="2015-11-10T00:00:00" endDate="2026-06-09T00:00:00"/>
        <groupItems count="14">
          <s v="&lt;10/11/2015"/>
          <s v="jan"/>
          <s v="fév"/>
          <s v="mar"/>
          <s v="avr"/>
          <s v="mai"/>
          <s v="jui"/>
          <s v="juil"/>
          <s v="août"/>
          <s v="sept"/>
          <s v="oct"/>
          <s v="nov"/>
          <s v="déc"/>
          <s v="&gt;09/06/2026"/>
        </groupItems>
      </fieldGroup>
    </cacheField>
    <cacheField name="N° client" numFmtId="0">
      <sharedItems/>
    </cacheField>
    <cacheField name="Intitulé client" numFmtId="0">
      <sharedItems/>
    </cacheField>
    <cacheField name="Souche" numFmtId="0">
      <sharedItems/>
    </cacheField>
    <cacheField name="Hors taxe" numFmtId="0">
      <sharedItems containsSemiMixedTypes="0" containsString="0" containsNumber="1" minValue="0" maxValue="1447682.4"/>
    </cacheField>
    <cacheField name="Trimestres" numFmtId="0" databaseField="0">
      <fieldGroup base="5">
        <rangePr groupBy="quarters" startDate="2015-11-10T00:00:00" endDate="2026-06-09T00:00:00"/>
        <groupItems count="6">
          <s v="&lt;10/11/2015"/>
          <s v="Trimestre1"/>
          <s v="Trimestre2"/>
          <s v="Trimestre3"/>
          <s v="Trimestre4"/>
          <s v="&gt;09/06/2026"/>
        </groupItems>
      </fieldGroup>
    </cacheField>
    <cacheField name="Années" numFmtId="0" databaseField="0">
      <fieldGroup base="5">
        <rangePr groupBy="years" startDate="2015-11-10T00:00:00" endDate="2026-06-09T00:00:00"/>
        <groupItems count="14">
          <s v="&lt;10/11/2015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09/0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THMANE" refreshedDate="46193.48918113426" createdVersion="7" refreshedVersion="7" minRefreshableVersion="3" recordCount="3" xr:uid="{03139196-F774-4884-95F9-EDB4F5CEE2BF}">
  <cacheSource type="worksheet">
    <worksheetSource ref="A1:J1048576" sheet="Documents des ventes Devis"/>
  </cacheSource>
  <cacheFields count="10">
    <cacheField name="Type" numFmtId="0">
      <sharedItems containsBlank="1"/>
    </cacheField>
    <cacheField name="Etat" numFmtId="0">
      <sharedItems containsNonDate="0" containsString="0" containsBlank="1" count="1">
        <m/>
      </sharedItems>
    </cacheField>
    <cacheField name="Statut" numFmtId="0">
      <sharedItems containsBlank="1"/>
    </cacheField>
    <cacheField name="N° pièce" numFmtId="0">
      <sharedItems containsBlank="1" count="3">
        <s v="DE260004"/>
        <s v="DE260005"/>
        <m/>
      </sharedItems>
    </cacheField>
    <cacheField name="Référence" numFmtId="0">
      <sharedItems containsBlank="1"/>
    </cacheField>
    <cacheField name="Date" numFmtId="0">
      <sharedItems containsNonDate="0" containsDate="1" containsString="0" containsBlank="1" minDate="2026-02-24T00:00:00" maxDate="2026-03-01T00:00:00"/>
    </cacheField>
    <cacheField name="N° client" numFmtId="0">
      <sharedItems containsBlank="1"/>
    </cacheField>
    <cacheField name="Intitulé client" numFmtId="0">
      <sharedItems containsBlank="1"/>
    </cacheField>
    <cacheField name="Souche" numFmtId="0">
      <sharedItems containsBlank="1"/>
    </cacheField>
    <cacheField name="Hors taxe" numFmtId="0">
      <sharedItems containsString="0" containsBlank="1" containsNumber="1" minValue="2091.8000000000002" maxValue="3769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THMANE" refreshedDate="46193.489381481479" createdVersion="7" refreshedVersion="7" minRefreshableVersion="3" recordCount="5" xr:uid="{EE07C17A-83F8-4219-BB1F-65A175733A98}">
  <cacheSource type="worksheet">
    <worksheetSource ref="A1:J1048576" sheet="Documents des ventes prep livra"/>
  </cacheSource>
  <cacheFields count="10">
    <cacheField name="Type" numFmtId="0">
      <sharedItems containsBlank="1"/>
    </cacheField>
    <cacheField name="Etat" numFmtId="0">
      <sharedItems containsNonDate="0" containsString="0" containsBlank="1"/>
    </cacheField>
    <cacheField name="Statut" numFmtId="0">
      <sharedItems containsBlank="1" count="2">
        <s v="Saisi"/>
        <m/>
      </sharedItems>
    </cacheField>
    <cacheField name="N° pièce" numFmtId="0">
      <sharedItems containsBlank="1"/>
    </cacheField>
    <cacheField name="Référence" numFmtId="0">
      <sharedItems containsBlank="1"/>
    </cacheField>
    <cacheField name="Date" numFmtId="0">
      <sharedItems containsNonDate="0" containsDate="1" containsString="0" containsBlank="1" minDate="2026-05-06T00:00:00" maxDate="2026-05-24T00:00:00" count="5">
        <d v="2026-05-06T00:00:00"/>
        <d v="2026-05-07T00:00:00"/>
        <d v="2026-05-13T00:00:00"/>
        <d v="2026-05-23T00:00:00"/>
        <m/>
      </sharedItems>
    </cacheField>
    <cacheField name="N° client" numFmtId="0">
      <sharedItems containsBlank="1"/>
    </cacheField>
    <cacheField name="Intitulé client" numFmtId="0">
      <sharedItems containsBlank="1"/>
    </cacheField>
    <cacheField name="Souche" numFmtId="0">
      <sharedItems containsBlank="1"/>
    </cacheField>
    <cacheField name="Hors taxe" numFmtId="0">
      <sharedItems containsString="0" containsBlank="1" containsNumber="1" minValue="21.27" maxValue="2555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THMANE" refreshedDate="46193.489521875003" createdVersion="7" refreshedVersion="7" minRefreshableVersion="3" recordCount="21" xr:uid="{723E1261-08C6-455C-9D1E-F06BF8C45F75}">
  <cacheSource type="worksheet">
    <worksheetSource ref="A1:J22" sheet="Documents des ventes Bondelivra"/>
  </cacheSource>
  <cacheFields count="10">
    <cacheField name="Type" numFmtId="0">
      <sharedItems/>
    </cacheField>
    <cacheField name="Etat" numFmtId="0">
      <sharedItems containsNonDate="0" containsString="0" containsBlank="1" count="1">
        <m/>
      </sharedItems>
    </cacheField>
    <cacheField name="Statut" numFmtId="0">
      <sharedItems/>
    </cacheField>
    <cacheField name="N° pièce" numFmtId="0">
      <sharedItems count="21">
        <s v="BL260402"/>
        <s v="BL260399"/>
        <s v="BL260395"/>
        <s v="BL260398"/>
        <s v="BL260409"/>
        <s v="BL260401"/>
        <s v="BL260393"/>
        <s v="BL260396"/>
        <s v="BL260412"/>
        <s v="BL260400"/>
        <s v="BL260394"/>
        <s v="BL260397"/>
        <s v="BL260411"/>
        <s v="BL260410"/>
        <s v="BL260407"/>
        <s v="BL260403"/>
        <s v="BL260404"/>
        <s v="BL260408"/>
        <s v="BL260405"/>
        <s v="BL260406"/>
        <s v="BL260425"/>
      </sharedItems>
    </cacheField>
    <cacheField name="Référence" numFmtId="0">
      <sharedItems/>
    </cacheField>
    <cacheField name="Date" numFmtId="14">
      <sharedItems containsSemiMixedTypes="0" containsNonDate="0" containsDate="1" containsString="0" minDate="2026-05-22T00:00:00" maxDate="2026-06-09T00:00:00"/>
    </cacheField>
    <cacheField name="N° client" numFmtId="0">
      <sharedItems/>
    </cacheField>
    <cacheField name="Intitulé client" numFmtId="0">
      <sharedItems/>
    </cacheField>
    <cacheField name="Souche" numFmtId="0">
      <sharedItems/>
    </cacheField>
    <cacheField name="Hors taxe" numFmtId="0">
      <sharedItems containsSemiMixedTypes="0" containsString="0" containsNumber="1" minValue="0" maxValue="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THMANE" refreshedDate="46193.489730092595" createdVersion="7" refreshedVersion="7" minRefreshableVersion="3" recordCount="224" xr:uid="{0ED0816A-15DF-4AA6-B691-C309D057711A}">
  <cacheSource type="worksheet">
    <worksheetSource ref="A1:J1048576" sheet="Documents de ventes Facture"/>
  </cacheSource>
  <cacheFields count="10">
    <cacheField name="Type" numFmtId="0">
      <sharedItems containsBlank="1"/>
    </cacheField>
    <cacheField name="Etat" numFmtId="0">
      <sharedItems containsNonDate="0" containsString="0" containsBlank="1" count="1">
        <m/>
      </sharedItems>
    </cacheField>
    <cacheField name="Statut" numFmtId="0">
      <sharedItems containsBlank="1" count="3">
        <s v="A comptabiliser"/>
        <s v="Saisi"/>
        <m/>
      </sharedItems>
    </cacheField>
    <cacheField name="N° pièce" numFmtId="0">
      <sharedItems containsBlank="1"/>
    </cacheField>
    <cacheField name="Référence" numFmtId="0">
      <sharedItems containsBlank="1"/>
    </cacheField>
    <cacheField name="Date" numFmtId="0">
      <sharedItems containsNonDate="0" containsDate="1" containsString="0" containsBlank="1" minDate="2015-11-10T00:00:00" maxDate="2026-06-06T00:00:00"/>
    </cacheField>
    <cacheField name="N° client" numFmtId="0">
      <sharedItems containsBlank="1"/>
    </cacheField>
    <cacheField name="Intitulé client" numFmtId="0">
      <sharedItems containsBlank="1"/>
    </cacheField>
    <cacheField name="Souche" numFmtId="0">
      <sharedItems containsBlank="1"/>
    </cacheField>
    <cacheField name="Hors taxe" numFmtId="0">
      <sharedItems containsString="0" containsBlank="1" containsNumber="1" minValue="0" maxValue="1447682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THMANE" refreshedDate="46193.489904745373" createdVersion="7" refreshedVersion="7" minRefreshableVersion="3" recordCount="224" xr:uid="{590C081F-92AE-44DB-8D2A-69AB130E3DE3}">
  <cacheSource type="worksheet">
    <worksheetSource ref="A1:J1048576" sheet="Documents de ventes Facture com"/>
  </cacheSource>
  <cacheFields count="10">
    <cacheField name="Type" numFmtId="0">
      <sharedItems containsBlank="1"/>
    </cacheField>
    <cacheField name="Etat" numFmtId="0">
      <sharedItems containsNonDate="0" containsString="0" containsBlank="1" count="1">
        <m/>
      </sharedItems>
    </cacheField>
    <cacheField name="Statut" numFmtId="0">
      <sharedItems containsBlank="1"/>
    </cacheField>
    <cacheField name="N° pièce" numFmtId="0">
      <sharedItems containsBlank="1"/>
    </cacheField>
    <cacheField name="Référence" numFmtId="0">
      <sharedItems containsBlank="1" count="34">
        <s v="RAN"/>
        <s v="RO85 NEUTRE"/>
        <s v="REG OK"/>
        <s v="ECHANTILLON GRT "/>
        <s v="RO80"/>
        <s v="TO63 BLANC "/>
        <s v="22L"/>
        <s v="RO85 NEUTRE "/>
        <s v="TO58 OR"/>
        <s v="CH "/>
        <s v="COMMANDE 22"/>
        <s v="RO85 GOLDY "/>
        <s v="GOLDY HV"/>
        <s v="58 TO OR "/>
        <s v="RO85 GOLDY"/>
        <s v="82TO OR "/>
        <s v="TO63 OR"/>
        <s v="1/4 CLUB ALU 125"/>
        <s v="C/CH"/>
        <s v="TO63 OR "/>
        <s v="ECHANTILLON GRT"/>
        <s v="VIR"/>
        <s v="VERRE"/>
        <s v="REMISE"/>
        <s v="D65"/>
        <s v="370 ML"/>
        <s v="5/1 NEUTRE"/>
        <s v="CHQ"/>
        <s v="CQ"/>
        <s v="300ML"/>
        <s v="5/1 SAUCE"/>
        <s v="5/1 SAUCE PIZZA"/>
        <s v="RO85 GOLDY HV"/>
        <m/>
      </sharedItems>
    </cacheField>
    <cacheField name="Date" numFmtId="0">
      <sharedItems containsNonDate="0" containsDate="1" containsString="0" containsBlank="1" minDate="2015-11-10T00:00:00" maxDate="2026-06-06T00:00:00"/>
    </cacheField>
    <cacheField name="N° client" numFmtId="0">
      <sharedItems containsBlank="1"/>
    </cacheField>
    <cacheField name="Intitulé client" numFmtId="0">
      <sharedItems containsBlank="1"/>
    </cacheField>
    <cacheField name="Souche" numFmtId="0">
      <sharedItems containsBlank="1"/>
    </cacheField>
    <cacheField name="Hors taxe" numFmtId="0">
      <sharedItems containsString="0" containsBlank="1" containsNumber="1" minValue="0" maxValue="1447682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THMANE" refreshedDate="46193.490056249997" createdVersion="7" refreshedVersion="7" minRefreshableVersion="3" recordCount="335" xr:uid="{95D2970E-F4E3-40DC-B4FF-273B7CC815D1}">
  <cacheSource type="worksheet">
    <worksheetSource ref="A1:I1048576" sheet="Documents Achats cours"/>
  </cacheSource>
  <cacheFields count="9">
    <cacheField name="Type" numFmtId="0">
      <sharedItems containsBlank="1"/>
    </cacheField>
    <cacheField name="Etat" numFmtId="0">
      <sharedItems containsNonDate="0" containsString="0" containsBlank="1"/>
    </cacheField>
    <cacheField name="Statut" numFmtId="0">
      <sharedItems containsBlank="1" count="5">
        <s v="Envoyé"/>
        <s v="Accepté"/>
        <s v="A comptabiliser"/>
        <s v="Réceptionné"/>
        <m/>
      </sharedItems>
    </cacheField>
    <cacheField name="N° pièce" numFmtId="0">
      <sharedItems containsBlank="1"/>
    </cacheField>
    <cacheField name="Référence" numFmtId="0">
      <sharedItems containsDate="1" containsBlank="1" containsMixedTypes="1" minDate="2026-01-05T00:00:00" maxDate="2026-04-05T00:00:00" count="182">
        <s v="PILJAR 100ML"/>
        <s v="SILVER FOOD"/>
        <s v="4L OLINIA"/>
        <s v="YAHYA 800G"/>
        <s v="TAMIMA 400G"/>
        <s v="LES BIDONS"/>
        <s v="RO400 TAMIMA"/>
        <m/>
        <s v="5/1 ABR ET 5/1 FR"/>
        <s v="MFI"/>
        <d v="2026-01-05T00:00:00"/>
        <s v="MOLETTES"/>
        <s v="JIL PACK A"/>
        <s v="JIL PACK"/>
        <s v="4/4 ZEMZAMI"/>
        <s v="RO80PETIT PECH"/>
        <s v="10L RECT"/>
        <s v="TO 58"/>
        <s v="QUALIAGRO"/>
        <s v="QUALIAGRO*2*"/>
        <s v="PAPIER CRAFT"/>
        <s v="MFI BPANI"/>
        <s v="YAHYA AL FIR"/>
        <s v="PILJAR"/>
        <s v="4/4 OF EPOXY"/>
        <s v="VMM "/>
        <s v="VMM 2"/>
        <s v="YAHYA AL FIRD 1"/>
        <s v="YAHYA AL FIR 2"/>
        <s v="YAHYA AL FIR 3"/>
        <s v="LES DEUX DOMAINES"/>
        <s v="1/4 CLUB GINNY"/>
        <s v="1/2 H OF BPANI"/>
        <s v="1/4 CLUB BPANI"/>
        <s v="5/1 G4"/>
        <s v="5L NOIR"/>
        <s v="NOTAM"/>
        <s v="LOGI FOOD*2*"/>
        <s v="RO 400"/>
        <s v="FOODIS"/>
        <s v="COPAG"/>
        <s v="LOGI FOOD"/>
        <s v="RO160"/>
        <s v="RO400"/>
        <s v="A10"/>
        <s v="CONSTANCE"/>
        <s v="EUROMAR"/>
        <s v="1/2 HAUTE"/>
        <s v="VMM"/>
        <s v="RO85 NEUTRE"/>
        <s v="PAPIER "/>
        <s v="TAMIMA 400"/>
        <s v="1/4H ET 4/4"/>
        <s v="ALVEOL 30x50 NOIR"/>
        <s v="100ML PILLJAR"/>
        <s v="1/2 H OF"/>
        <s v="YAHYA AL FIRDAOUS"/>
        <s v="silver"/>
        <s v="TAMIMA"/>
        <s v="BOITES A10"/>
        <s v="ATLANTA"/>
        <s v="NEW PEPPE*OUALILI"/>
        <s v="5/1 PIZZA"/>
        <s v="ICC"/>
        <s v="TO"/>
        <s v="5/1 NEUTRE"/>
        <s v="4/4 EPOXY"/>
        <s v="RO85"/>
        <s v="1/4 CLUB"/>
        <s v="VMM PESCADA"/>
        <s v="1/4 CLUB CONIQUE"/>
        <s v="OLINIA"/>
        <s v="3L RECT"/>
        <s v="RO400 RET"/>
        <s v="ALVEOLES"/>
        <s v="1/4 CLUB NEUTRE"/>
        <s v="NEW PEPPERS"/>
        <s v="JIL PACK A "/>
        <s v="CPT"/>
        <s v="1/4 CLUB ALUM"/>
        <s v="BTE ALU 90 ET 125"/>
        <s v="1/4 CLUB  ALUM 90"/>
        <s v="22L"/>
        <s v="105 ATLAS"/>
        <s v="1/4 CLUB ALU22"/>
        <s v="1/4 CLUB ALU29"/>
        <s v="MIXTE"/>
        <s v="5/1 SAUCE PIZZA"/>
        <s v="1/4 CLUB ALU125"/>
        <s v="1/4 CLUB 125 DROI"/>
        <s v="1/4 CLUB 90ML"/>
        <s v="105 ATLAS 1"/>
        <s v="105 ATLAS 2"/>
        <s v="105 ATLAS 3"/>
        <s v="105 ATLAS 4"/>
        <s v="1L OLINIA"/>
        <s v="UNIVERS DELI"/>
        <s v="JIL PACK  A *2*"/>
        <s v="1/2 H"/>
        <s v="JANAH"/>
        <s v="RO85 LOGI FOOD"/>
        <s v="1/4 CLUB ALU"/>
        <s v="fbn"/>
        <s v="1/4 CLUB DR"/>
        <s v="1/2 H PET"/>
        <s v="5L "/>
        <s v="ALICOMAR"/>
        <s v="JP A"/>
        <s v="22L+1KG+5KG"/>
        <s v="JP A   2"/>
        <s v="QUATY 100ML"/>
        <s v="1KG"/>
        <s v="1/4 CLUB  ALU CON"/>
        <s v="LGMC+JP A"/>
        <s v="JP A 2"/>
        <s v="CVC 1/4 CLUB ALU"/>
        <s v="1/4 CLUB FB CON"/>
        <s v="1/4 CLUB ALU DR"/>
        <s v="LES DEUX DOM*2*"/>
        <s v="1/4 CLUB FB BPANI"/>
        <s v="MIROU HV GOLY ST"/>
        <s v="OCEAMIC"/>
        <s v="1/4 CLUB ALU 27"/>
        <s v="1/4 CLUB ALU CO29"/>
        <s v="1/4 CLUB 90"/>
        <s v="TUNAMAX"/>
        <s v="RO85  OS CVC OF"/>
        <s v="1/2 H TISSA"/>
        <s v="RO85 MIRO"/>
        <s v="3.8  TRANS CVC JA"/>
        <s v="U.D"/>
        <s v="VIR"/>
        <s v="*****A REMLIR****"/>
        <s v="18/2026 ASNI"/>
        <s v="JP CASA"/>
        <s v="4600ML"/>
        <s v="C/CH"/>
        <s v="JP"/>
        <s v="2300AM"/>
        <s v="1/4 CLUB 29"/>
        <s v="1/4 CLUB 125"/>
        <s v="CVC 1/4 CLUB FB"/>
        <s v="47/2026 ASNI"/>
        <s v="46/2026 ASNI"/>
        <s v="02/2026 ASFOEX"/>
        <s v="COMPLIMENT"/>
        <s v="2300"/>
        <s v="10L AM"/>
        <s v="RO85 NEUTRE CS"/>
        <s v="06/2026 JTTL"/>
        <s v="2K500"/>
        <s v="1/4CLUB ALU 22"/>
        <s v="4/4 CHERIF"/>
        <s v=" 5/1 CHERIF"/>
        <s v="4000L"/>
        <s v="870 ML"/>
        <s v="2KG5 "/>
        <s v="CHRONO FISH"/>
        <s v="2300ML"/>
        <s v="07/2026 JTTL"/>
        <s v="20L"/>
        <s v="IDNA FOOD"/>
        <s v="5500AP"/>
        <s v="3800 AM"/>
        <s v="08/2026 JTTL"/>
        <s v="18L"/>
        <s v="09/2026 JTTL"/>
        <d v="2026-04-04T00:00:00"/>
        <s v="RO85 GOLDY HV"/>
        <s v="2300 NOIR"/>
        <s v="1/4 CLUB FB"/>
        <s v="PRES SERVICE"/>
        <s v="COMPL 07/26 JTTL"/>
        <s v="3800 AM "/>
        <s v="ATUNEROS DEL SUR"/>
        <s v="1700 NEIMA"/>
        <s v="SMARCOS"/>
        <s v="212 ATLAS"/>
        <s v="JP A 5/1 NEUTRE"/>
        <s v="JP A "/>
        <s v="5L NEUTRE"/>
        <s v="1200ML"/>
      </sharedItems>
    </cacheField>
    <cacheField name="Date" numFmtId="0">
      <sharedItems containsNonDate="0" containsDate="1" containsString="0" containsBlank="1" minDate="2020-01-21T00:00:00" maxDate="2026-06-05T00:00:00"/>
    </cacheField>
    <cacheField name="N° fournisseur" numFmtId="0">
      <sharedItems containsBlank="1"/>
    </cacheField>
    <cacheField name="Intitulé fournisseur" numFmtId="0">
      <sharedItems containsBlank="1"/>
    </cacheField>
    <cacheField name="Hors taxe" numFmtId="0">
      <sharedItems containsString="0" containsBlank="1" containsNumber="1" minValue="0" maxValue="9588563.247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THMANE" refreshedDate="46193.490207986113" createdVersion="7" refreshedVersion="7" minRefreshableVersion="3" recordCount="5" xr:uid="{BF180F03-297C-46C8-99B7-3910041D8CAE}">
  <cacheSource type="worksheet">
    <worksheetSource ref="A1:I1048576" sheet="Documents Achats Prépa commande"/>
  </cacheSource>
  <cacheFields count="9">
    <cacheField name="Type" numFmtId="0">
      <sharedItems containsBlank="1"/>
    </cacheField>
    <cacheField name="Etat" numFmtId="0">
      <sharedItems containsNonDate="0" containsString="0" containsBlank="1" count="1">
        <m/>
      </sharedItems>
    </cacheField>
    <cacheField name="Statut" numFmtId="0">
      <sharedItems containsBlank="1"/>
    </cacheField>
    <cacheField name="N° pièce" numFmtId="0">
      <sharedItems containsBlank="1" count="5">
        <s v="OPC240002"/>
        <s v="OPC240003"/>
        <s v="OPC240004"/>
        <s v="OPC240005"/>
        <m/>
      </sharedItems>
    </cacheField>
    <cacheField name="Référence" numFmtId="0">
      <sharedItems containsBlank="1"/>
    </cacheField>
    <cacheField name="Date" numFmtId="0">
      <sharedItems containsNonDate="0" containsDate="1" containsString="0" containsBlank="1" minDate="2025-11-07T00:00:00" maxDate="2026-03-18T00:00:00"/>
    </cacheField>
    <cacheField name="N° fournisseur" numFmtId="0">
      <sharedItems containsBlank="1"/>
    </cacheField>
    <cacheField name="Intitulé fournisseur" numFmtId="0">
      <sharedItems containsBlank="1"/>
    </cacheField>
    <cacheField name="Hors taxe" numFmtId="0">
      <sharedItems containsString="0" containsBlank="1" containsNumber="1" minValue="39.9" maxValue="60491.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THMANE" refreshedDate="46193.490340509263" createdVersion="7" refreshedVersion="7" minRefreshableVersion="3" recordCount="250" xr:uid="{FBCB6645-4E74-4755-989F-EE7D5D7DBBE2}">
  <cacheSource type="worksheet">
    <worksheetSource ref="A1:I1048576" sheet="Documents Achats Bon decommande"/>
  </cacheSource>
  <cacheFields count="9">
    <cacheField name="Type" numFmtId="0">
      <sharedItems containsBlank="1"/>
    </cacheField>
    <cacheField name="Etat" numFmtId="0">
      <sharedItems containsNonDate="0" containsString="0" containsBlank="1"/>
    </cacheField>
    <cacheField name="Statut" numFmtId="0">
      <sharedItems containsBlank="1"/>
    </cacheField>
    <cacheField name="N° pièce" numFmtId="0">
      <sharedItems containsBlank="1" count="250">
        <s v="BCA200019"/>
        <s v="BCA200062"/>
        <s v="BCA200063"/>
        <s v="BCA200069"/>
        <s v="BCA200072"/>
        <s v="BCA200074"/>
        <s v="BCA200077"/>
        <s v="BCA200078"/>
        <s v="BCA200080"/>
        <s v="BCA200082"/>
        <s v="BCA200095"/>
        <s v="BCA200099"/>
        <s v="BCA200105"/>
        <s v="BCA200108"/>
        <s v="BCA200113"/>
        <s v="BCA200125"/>
        <s v="BCA200126"/>
        <s v="BCA200136"/>
        <s v="BCA200140"/>
        <s v="BCA200148"/>
        <s v="BCA200162"/>
        <s v="BCA200164"/>
        <s v="BCA200165"/>
        <s v="BCA200167"/>
        <s v="BCA200171"/>
        <s v="BCA200179"/>
        <s v="BCA200181"/>
        <s v="BCA200184"/>
        <s v="BCA200185"/>
        <s v="BCA200188"/>
        <s v="BCA200190"/>
        <s v="BCA200191"/>
        <s v="BCA200194"/>
        <s v="BCA200198"/>
        <s v="BCA200205"/>
        <s v="BCA200206"/>
        <s v="BCA200207"/>
        <s v="BCA200208"/>
        <s v="BCA200209"/>
        <s v="BCA200210"/>
        <s v="BCA210001"/>
        <s v="BCA210003"/>
        <s v="BCA210007"/>
        <s v="BCA210008"/>
        <s v="BCA210009"/>
        <s v="BCA210011"/>
        <s v="BCA210019"/>
        <s v="BCA210021"/>
        <s v="BCA210022"/>
        <s v="BCA210024"/>
        <s v="BCA210025"/>
        <s v="BCA210029"/>
        <s v="BCA210034"/>
        <s v="BCA210035"/>
        <s v="BCA210037"/>
        <s v="BCA210039"/>
        <s v="BCA210043"/>
        <s v="BCA210045"/>
        <s v="BCA210051"/>
        <s v="BCA210053"/>
        <s v="BCA210063"/>
        <s v="BCA210066"/>
        <s v="BCA210067"/>
        <s v="BCA210069"/>
        <s v="BCA210070"/>
        <s v="BCA210071"/>
        <s v="BCA210077"/>
        <s v="BCA210080"/>
        <s v="BCA210082"/>
        <s v="BCA210083"/>
        <s v="BCA210090"/>
        <s v="BCA210096"/>
        <s v="BCA210099"/>
        <s v="BCA210101"/>
        <s v="BCA210103"/>
        <s v="BCA210105"/>
        <s v="BCA210108"/>
        <s v="BCA210113"/>
        <s v="BCA210116"/>
        <s v="BCA210117"/>
        <s v="BCA210118"/>
        <s v="BCA210124"/>
        <s v="BCA210125"/>
        <s v="BCA210126"/>
        <s v="BCA210128"/>
        <s v="BCA210132"/>
        <s v="BCA210133"/>
        <s v="BCA210135"/>
        <s v="BCA220011"/>
        <s v="BCA220013"/>
        <s v="BCA220019"/>
        <s v="BCA220021"/>
        <s v="BCA220022"/>
        <s v="BCA220025"/>
        <s v="BCA220029"/>
        <s v="BCA220032"/>
        <s v="BCA220033"/>
        <s v="BCA220034"/>
        <s v="BCA220038"/>
        <s v="BCA220039"/>
        <s v="BCA220044"/>
        <s v="BCA220045"/>
        <s v="BCA220046"/>
        <s v="BCA220048"/>
        <s v="BCA220049"/>
        <s v="BCA220053"/>
        <s v="BCA220055"/>
        <s v="BCA220057"/>
        <s v="BCA220058"/>
        <s v="BCA220061"/>
        <s v="BCA220062"/>
        <s v="BCA220063"/>
        <s v="BCA220064"/>
        <s v="BCA220065"/>
        <s v="BCA230001"/>
        <s v="BCA230004"/>
        <s v="BCA230007"/>
        <s v="BCA230009"/>
        <s v="BCA230010"/>
        <s v="BCA230011"/>
        <s v="BCA230016"/>
        <s v="BCA230021"/>
        <s v="BCA230025"/>
        <s v="BCA230028"/>
        <s v="BCA230031"/>
        <s v="BCA230033"/>
        <s v="BCA230034"/>
        <s v="BCA230036"/>
        <s v="BCA230038"/>
        <s v="BCA230045"/>
        <s v="BCA230049"/>
        <s v="BCA230051"/>
        <s v="BCA230052"/>
        <s v="BCA230056"/>
        <s v="BCA230060"/>
        <s v="BCA230063"/>
        <s v="BCA240002"/>
        <s v="BCA240005"/>
        <s v="BCA240006"/>
        <s v="BCA240008"/>
        <s v="BCA240009"/>
        <s v="BCA240011"/>
        <s v="BCA240015"/>
        <s v="BCA240020"/>
        <s v="BCA240026"/>
        <s v="BCA240027"/>
        <s v="BCA240028"/>
        <s v="BCA240029"/>
        <s v="BCA240031"/>
        <s v="BCA240035"/>
        <s v="BCA240037"/>
        <s v="BCA240038"/>
        <s v="BCA240041"/>
        <s v="BCA240042"/>
        <s v="BCA240043"/>
        <s v="BCA240044"/>
        <s v="BCA240045"/>
        <s v="BCA240046"/>
        <s v="BCA240047"/>
        <s v="BCA240048"/>
        <s v="BCA240049"/>
        <s v="BCA240055"/>
        <s v="BCA240054"/>
        <s v="BCA240056"/>
        <s v="BCA240061"/>
        <s v="BCA240062"/>
        <s v="BCA240066"/>
        <s v="BCA240067"/>
        <s v="BCA240068"/>
        <s v="BCA240071"/>
        <s v="BCA240080"/>
        <s v="BCA240084"/>
        <s v="BCA240085"/>
        <s v="BCA240089"/>
        <s v="BCA240091"/>
        <s v="BCA240096"/>
        <s v="BCA240098"/>
        <s v="BCA240099"/>
        <s v="BCA240100"/>
        <s v="BCA240102"/>
        <s v="BCA240107"/>
        <s v="BCA240108"/>
        <s v="BCA250001"/>
        <s v="BCA250003"/>
        <s v="BCA250007"/>
        <s v="BCA250008"/>
        <s v="BCA250011"/>
        <s v="BCA250013"/>
        <s v="BCA250015"/>
        <s v="BCA250016"/>
        <s v="BCA250018"/>
        <s v="BCA250019"/>
        <s v="BCA250020"/>
        <s v="BCA250021"/>
        <s v="BCA250024"/>
        <s v="BCA250026"/>
        <s v="BCA250027"/>
        <s v="BCA250025"/>
        <s v="BCA250028"/>
        <s v="BCA250030"/>
        <s v="BCA250033"/>
        <s v="BCA250034"/>
        <s v="BCA250036"/>
        <s v="BCA250038"/>
        <s v="BCA250039"/>
        <s v="BCA250045"/>
        <s v="BCA250046"/>
        <s v="BCA250048"/>
        <s v="BCA250049"/>
        <s v="BCA250053"/>
        <s v="BCA250052"/>
        <s v="BCA250054"/>
        <s v="BCA250055"/>
        <s v="BCA250056"/>
        <s v="BCA250057"/>
        <s v="BCA250058"/>
        <s v="BCA250060"/>
        <s v="BCA250061"/>
        <s v="BCA250062"/>
        <s v="BCA250064"/>
        <s v="BCA250067"/>
        <s v="BCA250071"/>
        <s v="BCA250074"/>
        <s v="BCA250073"/>
        <s v="BCA260001"/>
        <s v="BCA260009"/>
        <s v="BCA260013"/>
        <s v="BCA260015"/>
        <s v="BCA260016"/>
        <s v="BCA260017"/>
        <s v="BCA260021"/>
        <s v="BCA260023"/>
        <s v="BCA260024"/>
        <s v="BCA260022"/>
        <s v="BCA260028"/>
        <s v="BCA260025"/>
        <s v="BCA260029"/>
        <s v="BCA260031"/>
        <s v="BCA260027"/>
        <s v="BCA260032"/>
        <s v="BCA260034"/>
        <s v="BCA260035"/>
        <s v="BCA260033"/>
        <s v="BCA260036"/>
        <s v="BCA260037"/>
        <s v="BCA260038"/>
        <s v="BCA260039"/>
        <s v="BCA260041"/>
        <s v="BCA260040"/>
        <m/>
      </sharedItems>
    </cacheField>
    <cacheField name="Référence" numFmtId="0">
      <sharedItems containsDate="1" containsBlank="1" containsMixedTypes="1" minDate="2026-01-05T00:00:00" maxDate="2026-04-05T00:00:00" count="148">
        <s v="PILJAR 100ML"/>
        <s v="SILVER FOOD"/>
        <s v="4L OLINIA"/>
        <s v="YAHYA 800G"/>
        <s v="TAMIMA 400G"/>
        <s v="LES BIDONS"/>
        <s v="RO400 TAMIMA"/>
        <m/>
        <s v="5/1 ABR ET 5/1 FR"/>
        <s v="MFI"/>
        <d v="2026-01-05T00:00:00"/>
        <s v="MOLETTES"/>
        <s v="JIL PACK A"/>
        <s v="JIL PACK"/>
        <s v="4/4 ZEMZAMI"/>
        <s v="RO80PETIT PECH"/>
        <s v="10L RECT"/>
        <s v="TO 58"/>
        <s v="QUALIAGRO"/>
        <s v="QUALIAGRO*2*"/>
        <s v="PAPIER CRAFT"/>
        <s v="MFI BPANI"/>
        <s v="YAHYA AL FIR"/>
        <s v="PILJAR"/>
        <s v="4/4 OF EPOXY"/>
        <s v="VMM "/>
        <s v="VMM 2"/>
        <s v="YAHYA AL FIRD 1"/>
        <s v="YAHYA AL FIR 2"/>
        <s v="YAHYA AL FIR 3"/>
        <s v="LES DEUX DOMAINES"/>
        <s v="1/4 CLUB GINNY"/>
        <s v="1/2 H OF BPANI"/>
        <s v="1/4 CLUB BPANI"/>
        <s v="5/1 G4"/>
        <s v="5L NOIR"/>
        <s v="NOTAM"/>
        <s v="LOGI FOOD*2*"/>
        <s v="RO 400"/>
        <s v="FOODIS"/>
        <s v="COPAG"/>
        <s v="LOGI FOOD"/>
        <s v="RO160"/>
        <s v="RO400"/>
        <s v="A10"/>
        <s v="CONSTANCE"/>
        <s v="EUROMAR"/>
        <s v="1/2 HAUTE"/>
        <s v="VMM"/>
        <s v="RO85 NEUTRE"/>
        <s v="PAPIER "/>
        <s v="TAMIMA 400"/>
        <s v="1/4H ET 4/4"/>
        <s v="ALVEOL 30x50 NOIR"/>
        <s v="100ML PILLJAR"/>
        <s v="1/2 H OF"/>
        <s v="YAHYA AL FIRDAOUS"/>
        <s v="silver"/>
        <s v="TAMIMA"/>
        <s v="BOITES A10"/>
        <s v="ATLANTA"/>
        <s v="NEW PEPPE*OUALILI"/>
        <s v="5/1 PIZZA"/>
        <s v="ICC"/>
        <s v="TO"/>
        <s v="5/1 NEUTRE"/>
        <s v="4/4 EPOXY"/>
        <s v="RO85"/>
        <s v="1/4 CLUB"/>
        <s v="VMM PESCADA"/>
        <s v="1/4 CLUB CONIQUE"/>
        <s v="OLINIA"/>
        <s v="3L RECT"/>
        <s v="RO400 RET"/>
        <s v="ALVEOLES"/>
        <s v="1/4 CLUB NEUTRE"/>
        <s v="NEW PEPPERS"/>
        <s v="JIL PACK A "/>
        <s v="CPT"/>
        <s v="1/4 CLUB ALUM"/>
        <s v="BTE ALU 90 ET 125"/>
        <s v="1/4 CLUB  ALUM 90"/>
        <s v="22L"/>
        <s v="105 ATLAS"/>
        <s v="1/4 CLUB ALU22"/>
        <s v="1/4 CLUB ALU29"/>
        <s v="MIXTE"/>
        <s v="5/1 SAUCE PIZZA"/>
        <s v="1/4 CLUB ALU125"/>
        <s v="1/4 CLUB 125 DROI"/>
        <s v="1/4 CLUB 90ML"/>
        <s v="105 ATLAS 1"/>
        <s v="105 ATLAS 2"/>
        <s v="105 ATLAS 3"/>
        <s v="105 ATLAS 4"/>
        <s v="1L OLINIA"/>
        <s v="UNIVERS DELI"/>
        <s v="JIL PACK  A *2*"/>
        <s v="1/2 H"/>
        <s v="JANAH"/>
        <s v="RO85 LOGI FOOD"/>
        <s v="1/4 CLUB ALU"/>
        <s v="fbn"/>
        <s v="1/4 CLUB DR"/>
        <s v="1/2 H PET"/>
        <s v="5L "/>
        <s v="ALICOMAR"/>
        <s v="JP A"/>
        <s v="22L+1KG+5KG"/>
        <s v="JP A   2"/>
        <s v="QUATY 100ML"/>
        <s v="1KG"/>
        <s v="1/4 CLUB  ALU CON"/>
        <s v="LGMC+JP A"/>
        <s v="JP A 2"/>
        <s v="CVC 1/4 CLUB ALU"/>
        <s v="1/4 CLUB FB CON"/>
        <s v="1/4 CLUB ALU DR"/>
        <s v="LES DEUX DOM*2*"/>
        <s v="1/4 CLUB FB BPANI"/>
        <s v="MIROU HV GOLY ST"/>
        <s v="OCEAMIC"/>
        <s v="1/4 CLUB ALU 27"/>
        <s v="1/4 CLUB ALU CO29"/>
        <s v="1/4 CLUB 90"/>
        <s v="TUNAMAX"/>
        <s v="RO85  OS CVC OF"/>
        <s v="1/2 H TISSA"/>
        <s v="RO85 MIRO"/>
        <s v="U.D"/>
        <s v="JP CASA"/>
        <s v="4600ML"/>
        <s v="2300AM"/>
        <s v="1/4 CLUB 29"/>
        <s v="1/4 CLUB 125"/>
        <s v="CVC 1/4 CLUB FB"/>
        <s v="2K500"/>
        <s v="1/4CLUB ALU 22"/>
        <s v="2KG5 "/>
        <d v="2026-04-04T00:00:00"/>
        <s v="RO85 GOLDY HV"/>
        <s v="2300 NOIR"/>
        <s v="1/4 CLUB FB"/>
        <s v="2300ML"/>
        <s v="1700 NEIMA"/>
        <s v="212 ATLAS"/>
        <s v="5L NEUTRE"/>
        <s v="1200ML"/>
      </sharedItems>
    </cacheField>
    <cacheField name="Date" numFmtId="0">
      <sharedItems containsNonDate="0" containsDate="1" containsString="0" containsBlank="1" minDate="2020-01-21T00:00:00" maxDate="2026-06-05T00:00:00"/>
    </cacheField>
    <cacheField name="N° fournisseur" numFmtId="0">
      <sharedItems containsBlank="1"/>
    </cacheField>
    <cacheField name="Intitulé fournisseur" numFmtId="0">
      <sharedItems containsBlank="1"/>
    </cacheField>
    <cacheField name="Hors taxe" numFmtId="0">
      <sharedItems containsString="0" containsBlank="1" containsNumber="1" minValue="0" maxValue="9588563.247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THMANE" refreshedDate="46193.490484259259" createdVersion="7" refreshedVersion="7" minRefreshableVersion="3" recordCount="250" xr:uid="{8E09B1B8-2B83-4F97-AEE2-F19C5B52B3B3}">
  <cacheSource type="worksheet">
    <worksheetSource ref="A1:I1048576" sheet="Documents Achats Bon de livrais"/>
  </cacheSource>
  <cacheFields count="9">
    <cacheField name="Type" numFmtId="0">
      <sharedItems containsBlank="1"/>
    </cacheField>
    <cacheField name="Etat" numFmtId="0">
      <sharedItems containsNonDate="0" containsString="0" containsBlank="1" count="1">
        <m/>
      </sharedItems>
    </cacheField>
    <cacheField name="Statut" numFmtId="0">
      <sharedItems containsBlank="1"/>
    </cacheField>
    <cacheField name="N° pièce" numFmtId="0">
      <sharedItems containsBlank="1" count="250">
        <s v="BCA200019"/>
        <s v="BCA200062"/>
        <s v="BCA200063"/>
        <s v="BCA200069"/>
        <s v="BCA200072"/>
        <s v="BCA200074"/>
        <s v="BCA200077"/>
        <s v="BCA200078"/>
        <s v="BCA200080"/>
        <s v="BCA200082"/>
        <s v="BCA200095"/>
        <s v="BCA200099"/>
        <s v="BCA200105"/>
        <s v="BCA200108"/>
        <s v="BCA200113"/>
        <s v="BCA200125"/>
        <s v="BCA200126"/>
        <s v="BCA200136"/>
        <s v="BCA200140"/>
        <s v="BCA200148"/>
        <s v="BCA200162"/>
        <s v="BCA200164"/>
        <s v="BCA200165"/>
        <s v="BCA200167"/>
        <s v="BCA200171"/>
        <s v="BCA200179"/>
        <s v="BCA200181"/>
        <s v="BCA200184"/>
        <s v="BCA200185"/>
        <s v="BCA200188"/>
        <s v="BCA200190"/>
        <s v="BCA200191"/>
        <s v="BCA200194"/>
        <s v="BCA200198"/>
        <s v="BCA200205"/>
        <s v="BCA200206"/>
        <s v="BCA200207"/>
        <s v="BCA200208"/>
        <s v="BCA200209"/>
        <s v="BCA200210"/>
        <s v="BCA210001"/>
        <s v="BCA210003"/>
        <s v="BCA210007"/>
        <s v="BCA210008"/>
        <s v="BCA210009"/>
        <s v="BCA210011"/>
        <s v="BCA210019"/>
        <s v="BCA210021"/>
        <s v="BCA210022"/>
        <s v="BCA210024"/>
        <s v="BCA210025"/>
        <s v="BCA210029"/>
        <s v="BCA210034"/>
        <s v="BCA210035"/>
        <s v="BCA210037"/>
        <s v="BCA210039"/>
        <s v="BCA210043"/>
        <s v="BCA210045"/>
        <s v="BCA210051"/>
        <s v="BCA210053"/>
        <s v="BCA210063"/>
        <s v="BCA210066"/>
        <s v="BCA210067"/>
        <s v="BCA210069"/>
        <s v="BCA210070"/>
        <s v="BCA210071"/>
        <s v="BCA210077"/>
        <s v="BCA210080"/>
        <s v="BCA210082"/>
        <s v="BCA210083"/>
        <s v="BCA210090"/>
        <s v="BCA210096"/>
        <s v="BCA210099"/>
        <s v="BCA210101"/>
        <s v="BCA210103"/>
        <s v="BCA210105"/>
        <s v="BCA210108"/>
        <s v="BCA210113"/>
        <s v="BCA210116"/>
        <s v="BCA210117"/>
        <s v="BCA210118"/>
        <s v="BCA210124"/>
        <s v="BCA210125"/>
        <s v="BCA210126"/>
        <s v="BCA210128"/>
        <s v="BCA210132"/>
        <s v="BCA210133"/>
        <s v="BCA210135"/>
        <s v="BCA220011"/>
        <s v="BCA220013"/>
        <s v="BCA220019"/>
        <s v="BCA220021"/>
        <s v="BCA220022"/>
        <s v="BCA220025"/>
        <s v="BCA220029"/>
        <s v="BCA220032"/>
        <s v="BCA220033"/>
        <s v="BCA220034"/>
        <s v="BCA220038"/>
        <s v="BCA220039"/>
        <s v="BCA220044"/>
        <s v="BCA220045"/>
        <s v="BCA220046"/>
        <s v="BCA220048"/>
        <s v="BCA220049"/>
        <s v="BCA220053"/>
        <s v="BCA220055"/>
        <s v="BCA220057"/>
        <s v="BCA220058"/>
        <s v="BCA220061"/>
        <s v="BCA220062"/>
        <s v="BCA220063"/>
        <s v="BCA220064"/>
        <s v="BCA220065"/>
        <s v="BCA230001"/>
        <s v="BCA230004"/>
        <s v="BCA230007"/>
        <s v="BCA230009"/>
        <s v="BCA230010"/>
        <s v="BCA230011"/>
        <s v="BCA230016"/>
        <s v="BCA230021"/>
        <s v="BCA230025"/>
        <s v="BCA230028"/>
        <s v="BCA230031"/>
        <s v="BCA230033"/>
        <s v="BCA230034"/>
        <s v="BCA230036"/>
        <s v="BCA230038"/>
        <s v="BCA230045"/>
        <s v="BCA230049"/>
        <s v="BCA230051"/>
        <s v="BCA230052"/>
        <s v="BCA230056"/>
        <s v="BCA230060"/>
        <s v="BCA230063"/>
        <s v="BCA240002"/>
        <s v="BCA240005"/>
        <s v="BCA240006"/>
        <s v="BCA240008"/>
        <s v="BCA240009"/>
        <s v="BCA240011"/>
        <s v="BCA240015"/>
        <s v="BCA240020"/>
        <s v="BCA240026"/>
        <s v="BCA240027"/>
        <s v="BCA240028"/>
        <s v="BCA240029"/>
        <s v="BCA240031"/>
        <s v="BCA240035"/>
        <s v="BCA240037"/>
        <s v="BCA240038"/>
        <s v="BCA240041"/>
        <s v="BCA240042"/>
        <s v="BCA240043"/>
        <s v="BCA240044"/>
        <s v="BCA240045"/>
        <s v="BCA240046"/>
        <s v="BCA240047"/>
        <s v="BCA240048"/>
        <s v="BCA240049"/>
        <s v="BCA240055"/>
        <s v="BCA240054"/>
        <s v="BCA240056"/>
        <s v="BCA240061"/>
        <s v="BCA240062"/>
        <s v="BCA240066"/>
        <s v="BCA240067"/>
        <s v="BCA240068"/>
        <s v="BCA240071"/>
        <s v="BCA240080"/>
        <s v="BCA240084"/>
        <s v="BCA240085"/>
        <s v="BCA240089"/>
        <s v="BCA240091"/>
        <s v="BCA240096"/>
        <s v="BCA240098"/>
        <s v="BCA240099"/>
        <s v="BCA240100"/>
        <s v="BCA240102"/>
        <s v="BCA240107"/>
        <s v="BCA240108"/>
        <s v="BCA250001"/>
        <s v="BCA250003"/>
        <s v="BCA250007"/>
        <s v="BCA250008"/>
        <s v="BCA250011"/>
        <s v="BCA250013"/>
        <s v="BCA250015"/>
        <s v="BCA250016"/>
        <s v="BCA250018"/>
        <s v="BCA250019"/>
        <s v="BCA250020"/>
        <s v="BCA250021"/>
        <s v="BCA250024"/>
        <s v="BCA250026"/>
        <s v="BCA250027"/>
        <s v="BCA250025"/>
        <s v="BCA250028"/>
        <s v="BCA250030"/>
        <s v="BCA250033"/>
        <s v="BCA250034"/>
        <s v="BCA250036"/>
        <s v="BCA250038"/>
        <s v="BCA250039"/>
        <s v="BCA250045"/>
        <s v="BCA250046"/>
        <s v="BCA250048"/>
        <s v="BCA250049"/>
        <s v="BCA250053"/>
        <s v="BCA250052"/>
        <s v="BCA250054"/>
        <s v="BCA250055"/>
        <s v="BCA250056"/>
        <s v="BCA250057"/>
        <s v="BCA250058"/>
        <s v="BCA250060"/>
        <s v="BCA250061"/>
        <s v="BCA250062"/>
        <s v="BCA250064"/>
        <s v="BCA250067"/>
        <s v="BCA250071"/>
        <s v="BCA250074"/>
        <s v="BCA250073"/>
        <s v="BCA260001"/>
        <s v="BCA260009"/>
        <s v="BCA260013"/>
        <s v="BCA260015"/>
        <s v="BCA260016"/>
        <s v="BCA260017"/>
        <s v="BCA260021"/>
        <s v="BCA260023"/>
        <s v="BCA260024"/>
        <s v="BCA260022"/>
        <s v="BCA260028"/>
        <s v="BCA260025"/>
        <s v="BCA260029"/>
        <s v="BCA260031"/>
        <s v="BCA260027"/>
        <s v="BCA260032"/>
        <s v="BCA260034"/>
        <s v="BCA260035"/>
        <s v="BCA260033"/>
        <s v="BCA260036"/>
        <s v="BCA260037"/>
        <s v="BCA260038"/>
        <s v="BCA260039"/>
        <s v="BCA260041"/>
        <s v="BCA260040"/>
        <m/>
      </sharedItems>
    </cacheField>
    <cacheField name="Référence" numFmtId="0">
      <sharedItems containsDate="1" containsBlank="1" containsMixedTypes="1" minDate="2026-01-05T00:00:00" maxDate="2026-04-05T00:00:00"/>
    </cacheField>
    <cacheField name="Date" numFmtId="0">
      <sharedItems containsNonDate="0" containsDate="1" containsString="0" containsBlank="1" minDate="2020-01-21T00:00:00" maxDate="2026-06-05T00:00:00"/>
    </cacheField>
    <cacheField name="N° fournisseur" numFmtId="0">
      <sharedItems containsBlank="1"/>
    </cacheField>
    <cacheField name="Intitulé fournisseur" numFmtId="0">
      <sharedItems containsBlank="1"/>
    </cacheField>
    <cacheField name="Hors taxe" numFmtId="0">
      <sharedItems containsString="0" containsBlank="1" containsNumber="1" minValue="0" maxValue="9588563.247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THMANE" refreshedDate="46193.490675694447" createdVersion="7" refreshedVersion="7" minRefreshableVersion="3" recordCount="250" xr:uid="{44011F08-68B9-41EA-9339-36657314E40D}">
  <cacheSource type="worksheet">
    <worksheetSource ref="A1:I1048576" sheet="Documents Achats Facture"/>
  </cacheSource>
  <cacheFields count="9">
    <cacheField name="Type" numFmtId="0">
      <sharedItems containsBlank="1"/>
    </cacheField>
    <cacheField name="Etat" numFmtId="0">
      <sharedItems containsNonDate="0" containsString="0" containsBlank="1"/>
    </cacheField>
    <cacheField name="Statut" numFmtId="0">
      <sharedItems containsBlank="1" count="2">
        <s v="Envoyé"/>
        <m/>
      </sharedItems>
    </cacheField>
    <cacheField name="N° pièce" numFmtId="0">
      <sharedItems containsBlank="1"/>
    </cacheField>
    <cacheField name="Référence" numFmtId="0">
      <sharedItems containsDate="1" containsBlank="1" containsMixedTypes="1" minDate="2026-01-05T00:00:00" maxDate="2026-04-05T00:00:00" count="148">
        <s v="PILJAR 100ML"/>
        <s v="SILVER FOOD"/>
        <s v="4L OLINIA"/>
        <s v="YAHYA 800G"/>
        <s v="TAMIMA 400G"/>
        <s v="LES BIDONS"/>
        <s v="RO400 TAMIMA"/>
        <m/>
        <s v="5/1 ABR ET 5/1 FR"/>
        <s v="MFI"/>
        <d v="2026-01-05T00:00:00"/>
        <s v="MOLETTES"/>
        <s v="JIL PACK A"/>
        <s v="JIL PACK"/>
        <s v="4/4 ZEMZAMI"/>
        <s v="RO80PETIT PECH"/>
        <s v="10L RECT"/>
        <s v="TO 58"/>
        <s v="QUALIAGRO"/>
        <s v="QUALIAGRO*2*"/>
        <s v="PAPIER CRAFT"/>
        <s v="MFI BPANI"/>
        <s v="YAHYA AL FIR"/>
        <s v="PILJAR"/>
        <s v="4/4 OF EPOXY"/>
        <s v="VMM "/>
        <s v="VMM 2"/>
        <s v="YAHYA AL FIRD 1"/>
        <s v="YAHYA AL FIR 2"/>
        <s v="YAHYA AL FIR 3"/>
        <s v="LES DEUX DOMAINES"/>
        <s v="1/4 CLUB GINNY"/>
        <s v="1/2 H OF BPANI"/>
        <s v="1/4 CLUB BPANI"/>
        <s v="5/1 G4"/>
        <s v="5L NOIR"/>
        <s v="NOTAM"/>
        <s v="LOGI FOOD*2*"/>
        <s v="RO 400"/>
        <s v="FOODIS"/>
        <s v="COPAG"/>
        <s v="LOGI FOOD"/>
        <s v="RO160"/>
        <s v="RO400"/>
        <s v="A10"/>
        <s v="CONSTANCE"/>
        <s v="EUROMAR"/>
        <s v="1/2 HAUTE"/>
        <s v="VMM"/>
        <s v="RO85 NEUTRE"/>
        <s v="PAPIER "/>
        <s v="TAMIMA 400"/>
        <s v="1/4H ET 4/4"/>
        <s v="ALVEOL 30x50 NOIR"/>
        <s v="100ML PILLJAR"/>
        <s v="1/2 H OF"/>
        <s v="YAHYA AL FIRDAOUS"/>
        <s v="silver"/>
        <s v="TAMIMA"/>
        <s v="BOITES A10"/>
        <s v="ATLANTA"/>
        <s v="NEW PEPPE*OUALILI"/>
        <s v="5/1 PIZZA"/>
        <s v="ICC"/>
        <s v="TO"/>
        <s v="5/1 NEUTRE"/>
        <s v="4/4 EPOXY"/>
        <s v="RO85"/>
        <s v="1/4 CLUB"/>
        <s v="VMM PESCADA"/>
        <s v="1/4 CLUB CONIQUE"/>
        <s v="OLINIA"/>
        <s v="3L RECT"/>
        <s v="RO400 RET"/>
        <s v="ALVEOLES"/>
        <s v="1/4 CLUB NEUTRE"/>
        <s v="NEW PEPPERS"/>
        <s v="JIL PACK A "/>
        <s v="CPT"/>
        <s v="1/4 CLUB ALUM"/>
        <s v="BTE ALU 90 ET 125"/>
        <s v="1/4 CLUB  ALUM 90"/>
        <s v="22L"/>
        <s v="105 ATLAS"/>
        <s v="1/4 CLUB ALU22"/>
        <s v="1/4 CLUB ALU29"/>
        <s v="MIXTE"/>
        <s v="5/1 SAUCE PIZZA"/>
        <s v="1/4 CLUB ALU125"/>
        <s v="1/4 CLUB 125 DROI"/>
        <s v="1/4 CLUB 90ML"/>
        <s v="105 ATLAS 1"/>
        <s v="105 ATLAS 2"/>
        <s v="105 ATLAS 3"/>
        <s v="105 ATLAS 4"/>
        <s v="1L OLINIA"/>
        <s v="UNIVERS DELI"/>
        <s v="JIL PACK  A *2*"/>
        <s v="1/2 H"/>
        <s v="JANAH"/>
        <s v="RO85 LOGI FOOD"/>
        <s v="1/4 CLUB ALU"/>
        <s v="fbn"/>
        <s v="1/4 CLUB DR"/>
        <s v="1/2 H PET"/>
        <s v="5L "/>
        <s v="ALICOMAR"/>
        <s v="JP A"/>
        <s v="22L+1KG+5KG"/>
        <s v="JP A   2"/>
        <s v="QUATY 100ML"/>
        <s v="1KG"/>
        <s v="1/4 CLUB  ALU CON"/>
        <s v="LGMC+JP A"/>
        <s v="JP A 2"/>
        <s v="CVC 1/4 CLUB ALU"/>
        <s v="1/4 CLUB FB CON"/>
        <s v="1/4 CLUB ALU DR"/>
        <s v="LES DEUX DOM*2*"/>
        <s v="1/4 CLUB FB BPANI"/>
        <s v="MIROU HV GOLY ST"/>
        <s v="OCEAMIC"/>
        <s v="1/4 CLUB ALU 27"/>
        <s v="1/4 CLUB ALU CO29"/>
        <s v="1/4 CLUB 90"/>
        <s v="TUNAMAX"/>
        <s v="RO85  OS CVC OF"/>
        <s v="1/2 H TISSA"/>
        <s v="RO85 MIRO"/>
        <s v="U.D"/>
        <s v="JP CASA"/>
        <s v="4600ML"/>
        <s v="2300AM"/>
        <s v="1/4 CLUB 29"/>
        <s v="1/4 CLUB 125"/>
        <s v="CVC 1/4 CLUB FB"/>
        <s v="2K500"/>
        <s v="1/4CLUB ALU 22"/>
        <s v="2KG5 "/>
        <d v="2026-04-04T00:00:00"/>
        <s v="RO85 GOLDY HV"/>
        <s v="2300 NOIR"/>
        <s v="1/4 CLUB FB"/>
        <s v="2300ML"/>
        <s v="1700 NEIMA"/>
        <s v="212 ATLAS"/>
        <s v="5L NEUTRE"/>
        <s v="1200ML"/>
      </sharedItems>
    </cacheField>
    <cacheField name="Date" numFmtId="0">
      <sharedItems containsNonDate="0" containsDate="1" containsString="0" containsBlank="1" minDate="2020-01-21T00:00:00" maxDate="2026-06-05T00:00:00"/>
    </cacheField>
    <cacheField name="N° fournisseur" numFmtId="0">
      <sharedItems containsBlank="1"/>
    </cacheField>
    <cacheField name="Intitulé fournisseur" numFmtId="0">
      <sharedItems containsBlank="1"/>
    </cacheField>
    <cacheField name="Hors taxe" numFmtId="0">
      <sharedItems containsString="0" containsBlank="1" containsNumber="1" minValue="0" maxValue="9588563.247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THMANE" refreshedDate="46193.490807870374" createdVersion="7" refreshedVersion="7" minRefreshableVersion="3" recordCount="5989" xr:uid="{E66BCCBA-88D6-416D-9BDD-7E49C52043E6}">
  <cacheSource type="worksheet">
    <worksheetSource ref="A1:I1048576" sheet="Documents Achats Facture Compta"/>
  </cacheSource>
  <cacheFields count="9">
    <cacheField name="Type" numFmtId="0">
      <sharedItems containsBlank="1"/>
    </cacheField>
    <cacheField name="Etat" numFmtId="0">
      <sharedItems containsNonDate="0" containsString="0" containsBlank="1"/>
    </cacheField>
    <cacheField name="Statut" numFmtId="0">
      <sharedItems containsBlank="1" count="2">
        <s v="Comptabilisé"/>
        <m/>
      </sharedItems>
    </cacheField>
    <cacheField name="N° pièce" numFmtId="0">
      <sharedItems containsBlank="1" count="5989">
        <s v="19906179"/>
        <s v="19906180"/>
        <s v="19906181"/>
        <s v="19906272"/>
        <s v="120310002"/>
        <s v="002820"/>
        <s v="120310009"/>
        <s v="10119255"/>
        <s v="19908448"/>
        <s v="19908450"/>
        <s v="19908451"/>
        <s v="027820"/>
        <s v="FA1609285"/>
        <s v="FAC200030"/>
        <s v="10119407"/>
        <s v="10119408"/>
        <s v="1992541"/>
        <s v="19925466"/>
        <s v="63950"/>
        <s v="120310029"/>
        <s v="120310030"/>
        <s v="053020"/>
        <s v="10119523"/>
        <s v="10119526"/>
        <s v="19927066"/>
        <s v="19927067"/>
        <s v="053120"/>
        <s v="053220"/>
        <s v="10119584"/>
        <s v="361604"/>
        <s v="FA1609350"/>
        <s v="10119651"/>
        <s v="052920"/>
        <s v="10119680"/>
        <s v="10119681"/>
        <s v="10119712"/>
        <s v="120310067"/>
        <s v="120310068"/>
        <s v="052720"/>
        <s v="053320"/>
        <s v="10119713"/>
        <s v="10119775"/>
        <s v="2000443"/>
        <s v="20011624"/>
        <s v="200116223"/>
        <s v="052420"/>
        <s v="10119783"/>
        <s v="20012014"/>
        <s v="052520"/>
        <s v="053420"/>
        <s v="054920"/>
        <s v="20011772"/>
        <s v="FA1609415"/>
        <s v="2000991"/>
        <s v="120310078"/>
        <s v="20012925"/>
        <s v="20012928"/>
        <s v="052620"/>
        <s v="2542020E"/>
        <s v="FA1609428"/>
        <s v="FA1609429"/>
        <s v="10030418"/>
        <s v="10119940"/>
        <s v="10119944"/>
        <s v="053520"/>
        <s v="FA1609466"/>
        <s v="20014460"/>
        <s v="20014461"/>
        <s v="20014462"/>
        <s v="20014463"/>
        <s v="082320"/>
        <s v="10120024"/>
        <s v="082220"/>
        <s v="FAC200102"/>
        <s v="057220"/>
        <s v="10120096"/>
        <s v="10120097"/>
        <s v="10120098"/>
        <s v="20015909"/>
        <s v="082720"/>
        <s v="10120099"/>
        <s v="10120101"/>
        <s v="132052"/>
        <s v="20025430"/>
        <s v="20025431"/>
        <s v="062220"/>
        <s v="082420"/>
        <s v="20027001"/>
        <s v="20027002"/>
        <s v="20027003"/>
        <s v="120310127"/>
        <s v="10120222"/>
        <s v="10120223"/>
        <s v="20290038"/>
        <s v="20027821"/>
        <s v="20027822"/>
        <s v="20027823"/>
        <s v="64235"/>
        <s v="082820"/>
        <s v="082920"/>
        <s v="FA1609538"/>
        <s v="FA1609539"/>
        <s v="FA1609540"/>
        <s v="FA1609549"/>
        <s v="120310135"/>
        <s v="FAC200120"/>
        <s v="082520"/>
        <s v="082620"/>
        <s v="292042"/>
        <s v="093320"/>
        <s v="20029467"/>
        <s v="10120331"/>
        <s v="20029959"/>
        <s v="093420"/>
        <s v="10120375"/>
        <s v="200230290"/>
        <s v="20030939"/>
        <s v="095520"/>
        <s v="10120446"/>
        <s v="10120477"/>
        <s v="10120478"/>
        <s v="FAC200147"/>
        <s v="095620"/>
        <s v="10120482"/>
        <s v="363323"/>
        <s v="20031606"/>
        <s v="20031607"/>
        <s v="108620"/>
        <s v="108720"/>
        <s v="GF200302"/>
        <s v="FA1609665"/>
        <s v="10120567"/>
        <s v="108820"/>
        <s v="10120582"/>
        <s v="10120606"/>
        <s v="10120607"/>
        <s v="20035954"/>
        <s v="20036716"/>
        <s v="20036717"/>
        <s v="20036718"/>
        <s v="20039992"/>
        <s v="108920"/>
        <s v="128620"/>
        <s v="10120616"/>
        <s v="10120617"/>
        <s v="44313"/>
        <s v="20037204"/>
        <s v="20037205"/>
        <s v="200507"/>
        <s v="200508"/>
        <s v="20037668"/>
        <s v="120310196"/>
        <s v="128420"/>
        <s v="128520"/>
        <s v="128720"/>
        <s v="10120671"/>
        <s v="20038189"/>
        <s v="20039336"/>
        <s v="10120718"/>
        <s v="200527"/>
        <s v="109320"/>
        <s v="127920"/>
        <s v="150020"/>
        <s v="10120797"/>
        <s v="10120798"/>
        <s v="10120799"/>
        <s v="20039991"/>
        <s v="10120834"/>
        <s v="10120870"/>
        <s v="13113"/>
        <s v="14172"/>
        <s v="149820"/>
        <s v="150120"/>
        <s v="FA1609776"/>
        <s v="20045201"/>
        <s v="FAC200217"/>
        <s v="128320"/>
        <s v="150420"/>
        <s v="10120876"/>
        <s v="20045674"/>
        <s v="150220"/>
        <s v="20046140"/>
        <s v="10120997"/>
        <s v="10120999"/>
        <s v="14634"/>
        <s v="149920"/>
        <s v="FA1609819"/>
        <s v="30519"/>
        <s v="20047120"/>
        <s v="20047121"/>
        <s v="10121066"/>
        <s v="10121071"/>
        <s v="10121072"/>
        <s v="20047762"/>
        <s v="150320"/>
        <s v="20150194"/>
        <s v="64593"/>
        <s v="64594"/>
        <s v="10121108"/>
        <s v="200704"/>
        <s v="10121178"/>
        <s v="164020"/>
        <s v="164220"/>
        <s v="164320"/>
        <s v="164420"/>
        <s v="10121180"/>
        <s v="10121181"/>
        <s v="20048733"/>
        <s v="20048734"/>
        <s v="120310266"/>
        <s v="164120"/>
        <s v="10121182"/>
        <s v="148120"/>
        <s v="148220"/>
        <s v="164720"/>
        <s v="168620"/>
        <s v="10121336"/>
        <s v="20054510"/>
        <s v="20054511"/>
        <s v="20054512"/>
        <s v="168720"/>
        <s v="10121337"/>
        <s v="17645"/>
        <s v="20054732"/>
        <s v="20054733"/>
        <s v="20054734"/>
        <s v="168220"/>
        <s v="10121407"/>
        <s v="168520"/>
        <s v="120310293"/>
        <s v="20049793"/>
        <s v="20049794"/>
        <s v="20049795"/>
        <s v="166920"/>
        <s v="167020"/>
        <s v="184420"/>
        <s v="10121501"/>
        <s v="10121503"/>
        <s v="10121504"/>
        <s v="2002043"/>
        <s v="44559"/>
        <s v="184620"/>
        <s v="20052217"/>
        <s v="20052218"/>
        <s v="184520"/>
        <s v="200854"/>
        <s v="FAC200272"/>
        <s v="179820"/>
        <s v="200897"/>
        <s v="10121610"/>
        <s v="20011889"/>
        <s v="10121633"/>
        <s v="10121634"/>
        <s v="10121693"/>
        <s v="10121699"/>
        <s v="10121705"/>
        <s v="200520"/>
        <s v="200720"/>
        <s v="200820"/>
        <s v="200920"/>
        <s v="199720"/>
        <s v="200620"/>
        <s v="10121792"/>
        <s v="10121814"/>
        <s v="10121815"/>
        <s v="10121816"/>
        <s v="10121817"/>
        <s v="20053134"/>
        <s v="20053135"/>
        <s v="2000424"/>
        <s v="2000425"/>
        <s v="FAC02153"/>
        <s v="10121843"/>
        <s v="19590"/>
        <s v="19889"/>
        <s v="200120"/>
        <s v="10121869"/>
        <s v="FA1609980"/>
        <s v="3634"/>
        <s v="20015"/>
        <s v="20089"/>
        <s v="20097"/>
        <s v="20053307"/>
        <s v="20053308"/>
        <s v="199920"/>
        <s v="200220"/>
        <s v="200320"/>
        <s v="200420"/>
        <s v="10121897"/>
        <s v="201079"/>
        <s v="201080"/>
        <s v="20404"/>
        <s v="20461"/>
        <s v="20070393"/>
        <s v="20070394"/>
        <s v="2002237"/>
        <s v="2002238"/>
        <s v="199820"/>
        <s v="200020"/>
        <s v="32052"/>
        <s v="10122026"/>
        <s v="10122027"/>
        <s v="10122028"/>
        <s v="21082"/>
        <s v="21101"/>
        <s v="219820"/>
        <s v="220020"/>
        <s v="10122065"/>
        <s v="FA1610027"/>
        <s v="0462020"/>
        <s v="10122128"/>
        <s v="84971"/>
        <s v="20071311"/>
        <s v="20071312"/>
        <s v="120310383"/>
        <s v="22342020"/>
        <s v="10122162"/>
        <s v="10122163"/>
        <s v="10122167"/>
        <s v="FA1610033"/>
        <s v="2002441"/>
        <s v="10122194"/>
        <s v="10122195"/>
        <s v="505322"/>
        <s v="20071632"/>
        <s v="20071633"/>
        <s v="224020"/>
        <s v="45518"/>
        <s v="FAC200290"/>
        <s v="223320"/>
        <s v="FA1610150"/>
        <s v="22235"/>
        <s v="227220"/>
        <s v="193892"/>
        <s v="2000512"/>
        <s v="64935"/>
        <s v="64936"/>
        <s v="223120"/>
        <s v="223220"/>
        <s v="227020"/>
        <s v="10122345"/>
        <s v="0572020"/>
        <s v="10122352"/>
        <s v="FA1610146"/>
        <s v="22744"/>
        <s v="FAC200296"/>
        <s v="227120"/>
        <s v="230020"/>
        <s v="22992"/>
        <s v="23020"/>
        <s v="230120"/>
        <s v="234520"/>
        <s v="10122489"/>
        <s v="10122491"/>
        <s v="229520"/>
        <s v="10122523"/>
        <s v="10122530"/>
        <s v="23440"/>
        <s v="23441"/>
        <s v="58817"/>
        <s v="240520"/>
        <s v="240620"/>
        <s v="10122566"/>
        <s v="10122569"/>
        <s v="FA1610215"/>
        <s v="FA1610216"/>
        <s v="23552"/>
        <s v="240820"/>
        <s v="10122662"/>
        <s v="10122665"/>
        <s v="10122666"/>
        <s v="23553"/>
        <s v="23816"/>
        <s v="240720"/>
        <s v="241020"/>
        <s v="23815"/>
        <s v="241120"/>
        <s v="4714"/>
        <s v="2002940"/>
        <s v="2002941"/>
        <s v="2002942"/>
        <s v="2002943"/>
        <s v="120310453"/>
        <s v="249420"/>
        <s v="24530"/>
        <s v="FAC200323"/>
        <s v="249820"/>
        <s v="62154"/>
        <s v="10122878"/>
        <s v="10122879"/>
        <s v="5758"/>
        <s v="245820"/>
        <s v="265020"/>
        <s v="10122908"/>
        <s v="FA1610262"/>
        <s v="FA1610263"/>
        <s v="FTRJ20139"/>
        <s v="24954"/>
        <s v="249920"/>
        <s v="250020"/>
        <s v="265220"/>
        <s v="10122949"/>
        <s v="25359"/>
        <s v="25495"/>
        <s v="265420"/>
        <s v="2003225"/>
        <s v="2003226"/>
        <s v="10123031"/>
        <s v="2003267"/>
        <s v="2003268"/>
        <s v="120310496"/>
        <s v="FA1610356"/>
        <s v="FA1610357"/>
        <s v="201443"/>
        <s v="201454"/>
        <s v="FTRJ20146"/>
        <s v="FAC200361"/>
        <s v="26305"/>
        <s v="FAC200365"/>
        <s v="265720"/>
        <s v="10123199"/>
        <s v="265520"/>
        <s v="10123198"/>
        <s v="10123224"/>
        <s v="220310120"/>
        <s v="10123242"/>
        <s v="10123245"/>
        <s v="FA1610425"/>
        <s v="27043"/>
        <s v="282920"/>
        <s v="10123297"/>
        <s v="10123298"/>
        <s v="27229"/>
        <s v="27230"/>
        <s v="283220"/>
        <s v="283320"/>
        <s v="10123350"/>
        <s v="10123351"/>
        <s v="2003624"/>
        <s v="120310542"/>
        <s v="27518"/>
        <s v="FAC200413"/>
        <s v="283120"/>
        <s v="FA1610460"/>
        <s v="27527"/>
        <s v="27831"/>
        <s v="283020"/>
        <s v="286020"/>
        <s v="10123439"/>
        <s v="10123440"/>
        <s v="10123441"/>
        <s v="FA1610502"/>
        <s v="27987"/>
        <s v="FAC200426"/>
        <s v="285820"/>
        <s v="12031058"/>
        <s v="120310580"/>
        <s v="10123518"/>
        <s v="28516"/>
        <s v="28525"/>
        <s v="304520"/>
        <s v="305120"/>
        <s v="10123519"/>
        <s v="27708"/>
        <s v="303320"/>
        <s v="10123619"/>
        <s v="FA1610583"/>
        <s v="FA1610584"/>
        <s v="28890"/>
        <s v="2003924"/>
        <s v="FAC200467"/>
        <s v="305020"/>
        <s v="10123637"/>
        <s v="28933"/>
        <s v="304920"/>
        <s v="10123675"/>
        <s v="10123676"/>
        <s v="10123704"/>
        <s v="FA1610631"/>
        <s v="FA1610632"/>
        <s v="FA1610633"/>
        <s v="29492"/>
        <s v="29493"/>
        <s v="312120"/>
        <s v="312220"/>
        <s v="FA1610643"/>
        <s v="FA1610649"/>
        <s v="FA1610659"/>
        <s v="201756"/>
        <s v="2004070"/>
        <s v="2004071"/>
        <s v="10123803"/>
        <s v="10123811"/>
        <s v="FA1610677"/>
        <s v="FA1610678"/>
        <s v="20241976"/>
        <s v="312920"/>
        <s v="2004165"/>
        <s v="120310625"/>
        <s v="10123876"/>
        <s v="10123877"/>
        <s v="FA1610735"/>
        <s v="20241978"/>
        <s v="20251636"/>
        <s v="313020"/>
        <s v="322320"/>
        <s v="FA1610767"/>
        <s v="20251638"/>
        <s v="20251640"/>
        <s v="20251642"/>
        <s v="316520"/>
        <s v="322020"/>
        <s v="322220"/>
        <s v="326820"/>
        <s v="2004302"/>
        <s v="10124000"/>
        <s v="30716"/>
        <s v="2000899"/>
        <s v="2000900"/>
        <s v="FAC200541"/>
        <s v="321920"/>
        <s v="2004365"/>
        <s v="10124052"/>
        <s v="10124053"/>
        <s v="FA1610821"/>
        <s v="FA1610822"/>
        <s v="FAC200554"/>
        <s v="20251829"/>
        <s v="326720"/>
        <s v="20251827"/>
        <s v="20251828"/>
        <s v="2000928"/>
        <s v="2004497"/>
        <s v="327820"/>
        <s v="328120"/>
        <s v="341420"/>
        <s v="10124303"/>
        <s v="10124338"/>
        <s v="10124339"/>
        <s v="10124345"/>
        <s v="10124350"/>
        <s v="10124351"/>
        <s v="10124386"/>
        <s v="10124426"/>
        <s v="20243688"/>
        <s v="20243690"/>
        <s v="FAC200592"/>
        <s v="351020"/>
        <s v="351120"/>
        <s v="10124452"/>
        <s v="20243907"/>
        <s v="20243909"/>
        <s v="351520"/>
        <s v="353320"/>
        <s v="20242138"/>
        <s v="351220"/>
        <s v="AVO20009"/>
        <s v="AVO20010"/>
        <s v="AVO20011"/>
        <s v="2004671"/>
        <s v="FAC200610"/>
        <s v="FAC200614"/>
        <s v="20242140"/>
        <s v="356220"/>
        <s v="20242348"/>
        <s v="FAC200632"/>
        <s v="361020"/>
        <s v="FA1610947"/>
        <s v="20242347"/>
        <s v="365620"/>
        <s v="10124817"/>
        <s v="10124818"/>
        <s v="10124841"/>
        <s v="FA1611043"/>
        <s v="93953"/>
        <s v="38692020"/>
        <s v="10124915"/>
        <s v="FA1611085"/>
        <s v="35871"/>
        <s v="2004999"/>
        <s v="120310726"/>
        <s v="387020"/>
        <s v="10124952"/>
        <s v="10124985"/>
        <s v="10124986"/>
        <s v="FA1611089"/>
        <s v="FAC200674"/>
        <s v="20242544"/>
        <s v="120310731"/>
        <s v="FAC200679"/>
        <s v="386820"/>
        <s v="20242546"/>
        <s v="387120"/>
        <s v="FA1611127"/>
        <s v="61966"/>
        <s v="2005129"/>
        <s v="394420"/>
        <s v="10125082"/>
        <s v="10125126"/>
        <s v="FAC200709"/>
        <s v="10125168"/>
        <s v="94197"/>
        <s v="2005234"/>
        <s v="394320"/>
        <s v="10125210"/>
        <s v="10125212"/>
        <s v="08110"/>
        <s v="37503"/>
        <s v="FAC200719"/>
        <s v="394720"/>
        <s v="396520"/>
        <s v="10125238"/>
        <s v="10125240"/>
        <s v="2005306"/>
        <s v="10125270"/>
        <s v="20012173"/>
        <s v="37758"/>
        <s v="37763"/>
        <s v="37770"/>
        <s v="37773"/>
        <s v="394520"/>
        <s v="394620"/>
        <s v="394920"/>
        <s v="395120"/>
        <s v="10125306"/>
        <s v="10125308"/>
        <s v="10125309"/>
        <s v="FA1611202"/>
        <s v="37984"/>
        <s v="394820"/>
        <s v="10125362"/>
        <s v="FA1611238"/>
        <s v="38416"/>
        <s v="65975"/>
        <s v="396920"/>
        <s v="10125397"/>
        <s v="10125399"/>
        <s v="38415"/>
        <s v="120310779"/>
        <s v="395020"/>
        <s v="38414"/>
        <s v="2001150"/>
        <s v="120310786"/>
        <s v="120310787"/>
        <s v="400120"/>
        <s v="38769"/>
        <s v="38776"/>
        <s v="39033"/>
        <s v="400020"/>
        <s v="412320"/>
        <s v="412420"/>
        <s v="2005550"/>
        <s v="2005551"/>
        <s v="FA1611322"/>
        <s v="10125595"/>
        <s v="FA1611331"/>
        <s v="2005668"/>
        <s v="10125690"/>
        <s v="44333"/>
        <s v="009175"/>
        <s v="441120"/>
        <s v="10125735"/>
        <s v="FA1611382"/>
        <s v="FAC200791"/>
        <s v="441520"/>
        <s v="38692021"/>
        <s v="35721"/>
        <s v="40766"/>
        <s v="441020"/>
        <s v="10125819"/>
        <s v="10125820"/>
        <s v="2005863"/>
        <s v="2005864"/>
        <s v="220310188"/>
        <s v="FAC200803"/>
        <s v="2005908"/>
        <s v="10125900"/>
        <s v="FA1611468"/>
        <s v="FA1611471"/>
        <s v="9199"/>
        <s v="2005949"/>
        <s v="220310189"/>
        <s v="441720"/>
        <s v="10126019"/>
        <s v="FA1611507"/>
        <s v="10126018"/>
        <s v="10126022"/>
        <s v="108421"/>
        <s v="2006036"/>
        <s v="FAC200847"/>
        <s v="440820"/>
        <s v="FA1611545"/>
        <s v="FA1611554"/>
        <s v="20247144"/>
        <s v="20247145"/>
        <s v="20247147"/>
        <s v="458220"/>
        <s v="458320"/>
        <s v="458420"/>
        <s v="20247176"/>
        <s v="446820"/>
        <s v="458120"/>
        <s v="FA1611612"/>
        <s v="2006199"/>
        <s v="2006247"/>
        <s v="2006248"/>
        <s v="FAC200884"/>
        <s v="457620"/>
        <s v="10126380"/>
        <s v="10126382"/>
        <s v="10126383"/>
        <s v="2006294"/>
        <s v="120310886"/>
        <s v="10126384"/>
        <s v="10126385"/>
        <s v="20247796"/>
        <s v="476820"/>
        <s v="20247795"/>
        <s v="476920"/>
        <s v="10126463"/>
        <s v="10126466"/>
        <s v="10126467"/>
        <s v="FA1611671"/>
        <s v="45296"/>
        <s v="477020"/>
        <s v="20247901"/>
        <s v="477120"/>
        <s v="10126584"/>
        <s v="10126586"/>
        <s v="FA1611693"/>
        <s v="FA1611694"/>
        <s v="FTRJ20252"/>
        <s v="10126588"/>
        <s v="45800"/>
        <s v="496020"/>
        <s v="10126590"/>
        <s v="20247902"/>
        <s v="495920"/>
        <s v="20246847"/>
        <s v="20247903"/>
        <s v="20248249"/>
        <s v="20248250"/>
        <s v="494320"/>
        <s v="495720"/>
        <s v="496120"/>
        <s v="10126743"/>
        <s v="2006564"/>
        <s v="2006565"/>
        <s v="10126781"/>
        <s v="10126785"/>
        <s v="AVO20021"/>
        <s v="FA1611769"/>
        <s v="10126853"/>
        <s v="10126854"/>
        <s v="20248520"/>
        <s v="20248521"/>
        <s v="20248522"/>
        <s v="495820"/>
        <s v="496220"/>
        <s v="516320"/>
        <s v="10126884"/>
        <s v="10126892"/>
        <s v="10126964"/>
        <s v="10126967"/>
        <s v="10126994"/>
        <s v="20249488"/>
        <s v="20249490"/>
        <s v="2006715"/>
        <s v="516720"/>
        <s v="10126996"/>
        <s v="10126998"/>
        <s v="10126999"/>
        <s v="48926"/>
        <s v="49011"/>
        <s v="20249489"/>
        <s v="517720"/>
        <s v="517820"/>
        <s v="10127105"/>
        <s v="48692"/>
        <s v="497720"/>
        <s v="517620"/>
        <s v="10127106"/>
        <s v="49526"/>
        <s v="FAC200979"/>
        <s v="516520"/>
        <s v="20249761"/>
        <s v="20249762"/>
        <s v="516820"/>
        <s v="517120"/>
        <s v="49802"/>
        <s v="20249763"/>
        <s v="505420"/>
        <s v="516920"/>
        <s v="517520"/>
        <s v="10127206"/>
        <s v="10127207"/>
        <s v="20085179"/>
        <s v="2006929"/>
        <s v="10127273"/>
        <s v="202008034"/>
        <s v="202008035"/>
        <s v="10127315"/>
        <s v="10127316"/>
        <s v="FA1611942"/>
        <s v="FA1611944"/>
        <s v="FA1611945"/>
        <s v="50995"/>
        <s v="2001411"/>
        <s v="FAC201005"/>
        <s v="10127353"/>
        <s v="10127393"/>
        <s v="51328"/>
        <s v="20085181"/>
        <s v="527320"/>
        <s v="FA1611996"/>
        <s v="FA1611997"/>
        <s v="10127476"/>
        <s v="10127477"/>
        <s v="202008285"/>
        <s v="25537"/>
        <s v="52283"/>
        <s v="2001440"/>
        <s v="571420"/>
        <s v="571520"/>
        <s v="10127504"/>
        <s v="10127505"/>
        <s v="10127509"/>
        <s v="52849"/>
        <s v="120311036"/>
        <s v="571720"/>
        <s v="FA1612048"/>
        <s v="202008367"/>
        <s v="202008369"/>
        <s v="11681"/>
        <s v="FAC201026"/>
        <s v="571620"/>
        <s v="10127584"/>
        <s v="016020"/>
        <s v="016120"/>
        <s v="016220"/>
        <s v="016320"/>
        <s v="016420"/>
        <s v="53213"/>
        <s v="53302"/>
        <s v="571820"/>
        <s v="10127622"/>
        <s v="FA1612098"/>
        <s v="53219"/>
        <s v="2001454"/>
        <s v="2007443"/>
        <s v="2007444"/>
        <s v="571220"/>
        <s v="10127692"/>
        <s v="10127694"/>
        <s v="54165"/>
        <s v="572020"/>
        <s v="FAC201052"/>
        <s v="54596"/>
        <s v="54708"/>
        <s v="571120"/>
        <s v="571920"/>
        <s v="10127728"/>
        <s v="10127730"/>
        <s v="561320"/>
        <s v="10127766"/>
        <s v="10127768"/>
        <s v="10127770"/>
        <s v="55106"/>
        <s v="2007648"/>
        <s v="FAC201067"/>
        <s v="571020"/>
        <s v="10127805"/>
        <s v="10127807"/>
        <s v="200949"/>
        <s v="589920"/>
        <s v="55537"/>
        <s v="55681"/>
        <s v="589820"/>
        <s v="FA1612181"/>
        <s v="202008848"/>
        <s v="55678"/>
        <s v="55695"/>
        <s v="2007758"/>
        <s v="2007759"/>
        <s v="593620"/>
        <s v="56617"/>
        <s v="588020"/>
        <s v="10127943"/>
        <s v="10127944"/>
        <s v="10127953"/>
        <s v="10127956"/>
        <s v="202008977"/>
        <s v="56742"/>
        <s v="2001583"/>
        <s v="2007883"/>
        <s v="10127989"/>
        <s v="57066"/>
        <s v="57128"/>
        <s v="592120"/>
        <s v="57247"/>
        <s v="57248"/>
        <s v="591920"/>
        <s v="592020"/>
        <s v="10128069"/>
        <s v="58183"/>
        <s v="596220"/>
        <s v="202009274"/>
        <s v="10128101"/>
        <s v="202009328"/>
        <s v="59077"/>
        <s v="601020"/>
        <s v="607620"/>
        <s v="10128105"/>
        <s v="019120"/>
        <s v="019220"/>
        <s v="019320"/>
        <s v="00146"/>
        <s v="0621"/>
        <s v="10128131"/>
        <s v="FA1612490"/>
        <s v="FA1612492"/>
        <s v="FA1612493"/>
        <s v="00611"/>
        <s v="10128132"/>
        <s v="00994"/>
        <s v="FA1612538"/>
        <s v="10128223"/>
        <s v="10128224"/>
        <s v="210038"/>
        <s v="10128250"/>
        <s v="10128251"/>
        <s v="01846"/>
        <s v="01867"/>
        <s v="121310029"/>
        <s v="FAC210046"/>
        <s v="10128282"/>
        <s v="100036762"/>
        <s v="FA1612654"/>
        <s v="FA1612655"/>
        <s v="202100228"/>
        <s v="202100230"/>
        <s v="02432"/>
        <s v="18535"/>
        <s v="17121"/>
        <s v="23721"/>
        <s v="202100278"/>
        <s v="202100279"/>
        <s v="FA1612709"/>
        <s v="FA1612710"/>
        <s v="20012416"/>
        <s v="2100387"/>
        <s v="2100388"/>
        <s v="67163"/>
        <s v="2100482"/>
        <s v="221310020"/>
        <s v="FAC210110"/>
        <s v="10128545"/>
        <s v="10128592"/>
        <s v="FA1612782"/>
        <s v="210117"/>
        <s v="FA1612793"/>
        <s v="005517"/>
        <s v="AVO21001"/>
        <s v="10128663"/>
        <s v="10128697"/>
        <s v="10128698"/>
        <s v="10128699"/>
        <s v="10128700"/>
        <s v="10128701"/>
        <s v="10128705"/>
        <s v="10128706"/>
        <s v="10128733"/>
        <s v="000821"/>
        <s v="000921"/>
        <s v="001021"/>
        <s v="001121"/>
        <s v="001221"/>
        <s v="06156"/>
        <s v="006280"/>
        <s v="006283"/>
        <s v="2100728"/>
        <s v="73621"/>
        <s v="06504"/>
        <s v="06505"/>
        <s v="14894"/>
        <s v="006534"/>
        <s v="73421"/>
        <s v="74121"/>
        <s v="10128763"/>
        <s v="06689"/>
        <s v="567920"/>
        <s v="73921"/>
        <s v="74221"/>
        <s v="10128812"/>
        <s v="202100837"/>
        <s v="06692"/>
        <s v="006533"/>
        <s v="006842"/>
        <s v="73321"/>
        <s v="10128810"/>
        <s v="7982021"/>
        <s v="007364"/>
        <s v="001331"/>
        <s v="10128875"/>
        <s v="10128876"/>
        <s v="FA1612983"/>
        <s v="42825"/>
        <s v="74021"/>
        <s v="FA1612987"/>
        <s v="67369"/>
        <s v="10128900"/>
        <s v="10128901"/>
        <s v="202101023"/>
        <s v="202101024"/>
        <s v="202101025"/>
        <s v="202101034"/>
        <s v="202101035"/>
        <s v="202101037"/>
        <s v="20673"/>
        <s v="008455"/>
        <s v="008579"/>
        <s v="10128959"/>
        <s v="FAC210193"/>
        <s v="FAC210196"/>
        <s v="10129001"/>
        <s v="09171"/>
        <s v="73221"/>
        <s v="10129040"/>
        <s v="10129041"/>
        <s v="290338"/>
        <s v="73521"/>
        <s v="10129074"/>
        <s v="202101181"/>
        <s v="202101182"/>
        <s v="09793"/>
        <s v="09795"/>
        <s v="09916"/>
        <s v="73721"/>
        <s v="73821"/>
        <s v="74421"/>
        <s v="10129135"/>
        <s v="10129136"/>
        <s v="10129140"/>
        <s v="10129141"/>
        <s v="10129144"/>
        <s v="FA1613070"/>
        <s v="10530"/>
        <s v="10531"/>
        <s v="010540"/>
        <s v="76521"/>
        <s v="10129169"/>
        <s v="10129171"/>
        <s v="10129191"/>
        <s v="1613105"/>
        <s v="10968"/>
        <s v="11014"/>
        <s v="11021"/>
        <s v="11038"/>
        <s v="109821"/>
        <s v="109921"/>
        <s v="110021"/>
        <s v="FAC210239"/>
        <s v="10129223"/>
        <s v="10129244"/>
        <s v="10129286"/>
        <s v="210284"/>
        <s v="210286"/>
        <s v="005822"/>
        <s v="202101479"/>
        <s v="202101484"/>
        <s v="FA1613210"/>
        <s v="11759"/>
        <s v="2101442"/>
        <s v="110221"/>
        <s v="12021"/>
        <s v="12078"/>
        <s v="12275"/>
        <s v="108921"/>
        <s v="109021"/>
        <s v="110321"/>
        <s v="30008"/>
        <s v="10129380"/>
        <s v="005021"/>
        <s v="005121"/>
        <s v="005221"/>
        <s v="005321"/>
        <s v="005421"/>
        <s v="005521"/>
        <s v="005621"/>
        <s v="005721"/>
        <s v="005821"/>
        <s v="005921"/>
        <s v="12910"/>
        <s v="10129382"/>
        <s v="10129384"/>
        <s v="10129390"/>
        <s v="202101898"/>
        <s v="13227"/>
        <s v="13349"/>
        <s v="10129455"/>
        <s v="10129456"/>
        <s v="13625"/>
        <s v="13626"/>
        <s v="13953"/>
        <s v="109521"/>
        <s v="10129520"/>
        <s v="10129526"/>
        <s v="502021"/>
        <s v="14293"/>
        <s v="109221"/>
        <s v="10129550"/>
        <s v="10129553"/>
        <s v="202101778"/>
        <s v="202101784"/>
        <s v="202101787"/>
        <s v="8552021"/>
        <s v="14455"/>
        <s v="10129556"/>
        <s v="10129608"/>
        <s v="8582021"/>
        <s v="14706"/>
        <s v="10129616"/>
        <s v="10129617"/>
        <s v="14587"/>
        <s v="15203"/>
        <s v="121310215"/>
        <s v="110721"/>
        <s v="10129646"/>
        <s v="202101899"/>
        <s v="202101900"/>
        <s v="15556"/>
        <s v="151621"/>
        <s v="10129671"/>
        <s v="15598"/>
        <s v="15640"/>
        <s v="15737"/>
        <s v="FAC210319"/>
        <s v="150121"/>
        <s v="150221"/>
        <s v="151521"/>
        <s v="FA1613432"/>
        <s v="16016"/>
        <s v="612021"/>
        <s v="10129780"/>
        <s v="10129779"/>
        <s v="10129782"/>
        <s v="10129811"/>
        <s v="202102071"/>
        <s v="202102072"/>
        <s v="202102074"/>
        <s v="10129815"/>
        <s v="10129819"/>
        <s v="10129830"/>
        <s v="17365"/>
        <s v="17378"/>
        <s v="121310235"/>
        <s v="FAC210235"/>
        <s v="10129860"/>
        <s v="10129861"/>
        <s v="17746"/>
        <s v="2101975"/>
        <s v="150321"/>
        <s v="10129915"/>
        <s v="712021"/>
        <s v="17784"/>
        <s v="150521"/>
        <s v="10129917"/>
        <s v="10129919"/>
        <s v="17759"/>
        <s v="17785"/>
        <s v="17831"/>
        <s v="18162"/>
        <s v="150421"/>
        <s v="150921"/>
        <s v="151221"/>
        <s v="10129918"/>
        <s v="10129921"/>
        <s v="10129922"/>
        <s v="10129923"/>
        <s v="FA1613583"/>
        <s v="FA1613584"/>
        <s v="18305"/>
        <s v="150821"/>
        <s v="10129955"/>
        <s v="10129956"/>
        <s v="202102283"/>
        <s v="18468"/>
        <s v="18690"/>
        <s v="18707"/>
        <s v="18724"/>
        <s v="150621"/>
        <s v="150721"/>
        <s v="151421"/>
        <s v="153121"/>
        <s v="202102301"/>
        <s v="7021"/>
        <s v="7121"/>
        <s v="7221"/>
        <s v="7321"/>
        <s v="7421"/>
        <s v="7521"/>
        <s v="7621"/>
        <s v="7721"/>
        <s v="18851"/>
        <s v="18883"/>
        <s v="18998"/>
        <s v="151021"/>
        <s v="151121"/>
        <s v="FA1613624"/>
        <s v="FA1613625"/>
        <s v="FAV160109"/>
        <s v="202102554"/>
        <s v="FAC210379"/>
        <s v="10130020"/>
        <s v="10130021"/>
        <s v="20066"/>
        <s v="20290960"/>
        <s v="168521"/>
        <s v="168621"/>
        <s v="202102551"/>
        <s v="20351"/>
        <s v="168421"/>
        <s v="10130121"/>
        <s v="121310303"/>
        <s v="20744"/>
        <s v="10130187"/>
        <s v="FA1613799"/>
        <s v="FA1613800"/>
        <s v="21444"/>
        <s v="10130259"/>
        <s v="FA1613801"/>
        <s v="FA1613802"/>
        <s v="210636"/>
        <s v="FA1613808"/>
        <s v="202102798"/>
        <s v="21950"/>
        <s v="2102306"/>
        <s v="67935"/>
        <s v="169921"/>
        <s v="10130357"/>
        <s v="10130358"/>
        <s v="952021"/>
        <s v="10130356"/>
        <s v="22760"/>
        <s v="23005"/>
        <s v="2102380"/>
        <s v="211621"/>
        <s v="10130433"/>
        <s v="202102980"/>
        <s v="632021"/>
        <s v="FA1613877"/>
        <s v="202102989"/>
        <s v="23572"/>
        <s v="2102418"/>
        <s v="4883"/>
        <s v="10130466"/>
        <s v="10130467"/>
        <s v="10130468"/>
        <s v="24041"/>
        <s v="56628"/>
        <s v="FAV21414"/>
        <s v="10130591"/>
        <s v="202103116"/>
        <s v="20292284"/>
        <s v="20292285"/>
        <s v="211721"/>
        <s v="212021"/>
        <s v="FAC210490"/>
        <s v="10130639"/>
        <s v="FA1613960"/>
        <s v="25132"/>
        <s v="121310354"/>
        <s v="10130711"/>
        <s v="10130712"/>
        <s v="202103301"/>
        <s v="202103304"/>
        <s v="20292406"/>
        <s v="211921"/>
        <s v="FA1613987"/>
        <s v="10130752"/>
        <s v="FA1614001"/>
        <s v="722021"/>
        <s v="26144"/>
        <s v="26266"/>
        <s v="2102627"/>
        <s v="227821"/>
        <s v="10130787"/>
        <s v="202103348"/>
        <s v="10821"/>
        <s v="10921"/>
        <s v="11121"/>
        <s v="11221"/>
        <s v="26839"/>
        <s v="26545"/>
        <s v="227721"/>
        <s v="10130814"/>
        <s v="10130819"/>
        <s v="10130820"/>
        <s v="26838"/>
        <s v="10130849"/>
        <s v="10130871"/>
        <s v="27329"/>
        <s v="227421"/>
        <s v="10130890"/>
        <s v="10130892"/>
        <s v="202103473"/>
        <s v="FTRJ21077"/>
        <s v="772021"/>
        <s v="27612"/>
        <s v="27630"/>
        <s v="27637"/>
        <s v="231321"/>
        <s v="10130929"/>
        <s v="10130930"/>
        <s v="782021"/>
        <s v="27906"/>
        <s v="202103573"/>
        <s v="10131069"/>
        <s v="10131070"/>
        <s v="28688"/>
        <s v="10131108"/>
        <s v="FA1614135"/>
        <s v="210797"/>
        <s v="29199"/>
        <s v="121310391"/>
        <s v="FAC210547"/>
        <s v="FAC210551"/>
        <s v="233321"/>
        <s v="235321"/>
        <s v="FA1614136"/>
        <s v="29451"/>
        <s v="271221"/>
        <s v="10131141"/>
        <s v="202103702"/>
        <s v="202103704"/>
        <s v="202103705"/>
        <s v="832021"/>
        <s v="29672"/>
        <s v="FA1614180"/>
        <s v="202103778"/>
        <s v="10131258"/>
        <s v="10131259"/>
        <s v="2102939"/>
        <s v="10131279"/>
        <s v="10131281"/>
        <s v="20012613"/>
        <s v="FA1614227"/>
        <s v="30612"/>
        <s v="30647"/>
        <s v="30675"/>
        <s v="271121"/>
        <s v="10131323"/>
        <s v="10131324"/>
        <s v="10131325"/>
        <s v="892021"/>
        <s v="31051"/>
        <s v="FAC210593"/>
        <s v="10131357"/>
        <s v="10131358"/>
        <s v="FA1614278"/>
        <s v="902021"/>
        <s v="31180"/>
        <s v="31282"/>
        <s v="31292"/>
        <s v="271021"/>
        <s v="FA1614292"/>
        <s v="31736"/>
        <s v="FAC210609"/>
        <s v="270921"/>
        <s v="202104012"/>
        <s v="202104131"/>
        <s v="202104132"/>
        <s v="202104133"/>
        <s v="202104134"/>
        <s v="202104135"/>
        <s v="10131455"/>
        <s v="10131493"/>
        <s v="13821"/>
        <s v="013721"/>
        <s v="013921"/>
        <s v="014021"/>
        <s v="014121"/>
        <s v="014221"/>
        <s v="32292"/>
        <s v="10131497"/>
        <s v="10131498"/>
        <s v="32621"/>
        <s v="32743"/>
        <s v="271321"/>
        <s v="10131527"/>
        <s v="10131530"/>
        <s v="10131535"/>
        <s v="962021"/>
        <s v="9552021"/>
        <s v="33069"/>
        <s v="33101"/>
        <s v="33203"/>
        <s v="271421"/>
        <s v="FAC210667"/>
        <s v="2103385"/>
        <s v="FA1614482"/>
        <s v="202104408"/>
        <s v="202104409"/>
        <s v="202104411"/>
        <s v="10131755"/>
        <s v="10131759"/>
        <s v="202104496"/>
        <s v="1042021"/>
        <s v="35195"/>
        <s v="10131798"/>
        <s v="10131833"/>
        <s v="10131836"/>
        <s v="10131837"/>
        <s v="FA1614565"/>
        <s v="35285"/>
        <s v="35975"/>
        <s v="36078"/>
        <s v="331421"/>
        <s v="331621"/>
        <s v="FA1614572"/>
        <s v="36560"/>
        <s v="2100625"/>
        <s v="331321"/>
        <s v="202104712"/>
        <s v="2103658"/>
        <s v="2103659"/>
        <s v="68560"/>
        <s v="10131952"/>
        <s v="100039726"/>
        <s v="10132016"/>
        <s v="10132017"/>
        <s v="1092021"/>
        <s v="37575"/>
        <s v="331521"/>
        <s v="10132043"/>
        <s v="1102021"/>
        <s v="37895"/>
        <s v="37906"/>
        <s v="2103752"/>
        <s v="FA1614675"/>
        <s v="2103792"/>
        <s v="FAC210780"/>
        <s v="10132114"/>
        <s v="10132118"/>
        <s v="202104924"/>
        <s v="38557"/>
        <s v="10132152"/>
        <s v="10132155"/>
        <s v="38970"/>
        <s v="2100706"/>
        <s v="331221"/>
        <s v="10132190"/>
        <s v="10132191"/>
        <s v="202105061"/>
        <s v="202105064"/>
        <s v="016121"/>
        <s v="016221"/>
        <s v="016321"/>
        <s v="016421"/>
        <s v="FA1614721"/>
        <s v="10132283"/>
        <s v="10132284"/>
        <s v="39763"/>
        <s v="332021"/>
        <s v="10132285"/>
        <s v="10132286"/>
        <s v="202105182"/>
        <s v="1172021"/>
        <s v="40283"/>
        <s v="5321"/>
        <s v="331921"/>
        <s v="40339"/>
        <s v="40562"/>
        <s v="40601"/>
        <s v="362821"/>
        <s v="364421"/>
        <s v="90553"/>
        <s v="FAC210864"/>
        <s v="202105359"/>
        <s v="10132523"/>
        <s v="10132560"/>
        <s v="42297"/>
        <s v="42523"/>
        <s v="94300"/>
        <s v="221310156"/>
        <s v="202105552"/>
        <s v="202105554"/>
        <s v="2100778"/>
        <s v="10132836"/>
        <s v="211398"/>
        <s v="44697"/>
        <s v="368421"/>
        <s v="10132906"/>
        <s v="10132908"/>
        <s v="10132910"/>
        <s v="FA1614984"/>
        <s v="10133024"/>
        <s v="45273"/>
        <s v="45390"/>
        <s v="45421"/>
        <s v="45680"/>
        <s v="368621"/>
        <s v="368721"/>
        <s v="370221"/>
        <s v="369421"/>
        <s v="369521"/>
        <s v="018221"/>
        <s v="018321"/>
        <s v="018421"/>
        <s v="370321"/>
        <s v="370421"/>
        <s v="211445"/>
        <s v="10133195"/>
        <s v="10133197"/>
        <s v="10133198"/>
        <s v="10133202"/>
        <s v="AVO210015"/>
        <s v="379421"/>
        <s v="379521"/>
        <s v="47413"/>
        <s v="47503"/>
        <s v="47504"/>
        <s v="47528"/>
        <s v="FAC210959"/>
        <s v="387721"/>
        <s v="387821"/>
        <s v="387921"/>
        <s v="388021"/>
        <s v="1013394"/>
        <s v="10133293"/>
        <s v="202106082"/>
        <s v="2104481"/>
        <s v="48171"/>
        <s v="406021"/>
        <s v="10133357"/>
        <s v="2104535"/>
        <s v="2104536"/>
        <s v="FAC210974"/>
        <s v="FAC210975"/>
        <s v="10133476"/>
        <s v="48852"/>
        <s v="49267"/>
        <s v="454121"/>
        <s v="10133514"/>
        <s v="FAC210988"/>
        <s v="FA1615233"/>
        <s v="FA1615238"/>
        <s v="49708"/>
        <s v="454521"/>
        <s v="10133575"/>
        <s v="10133607"/>
        <s v="202106507"/>
        <s v="50676"/>
        <s v="454821"/>
        <s v="10133688"/>
        <s v="10133689"/>
        <s v="50768"/>
        <s v="455021"/>
        <s v="10133728"/>
        <s v="51121"/>
        <s v="51140"/>
        <s v="006021"/>
        <s v="454621"/>
        <s v="454721"/>
        <s v="01962021"/>
        <s v="51329"/>
        <s v="454921"/>
        <s v="10133813"/>
        <s v="10133893"/>
        <s v="51864"/>
        <s v="455121"/>
        <s v="10133906"/>
        <s v="10133953"/>
        <s v="52342"/>
        <s v="52346"/>
        <s v="454221"/>
        <s v="454321"/>
        <s v="10133983"/>
        <s v="52474"/>
        <s v="FAC211047"/>
        <s v="454421"/>
        <s v="52822"/>
        <s v="FAC211050"/>
        <s v="454021"/>
        <s v="10134066"/>
        <s v="10134122"/>
        <s v="10134166"/>
        <s v="53110"/>
        <s v="2105188"/>
        <s v="2105189"/>
        <s v="453921"/>
        <s v="2105215"/>
        <s v="121310783"/>
        <s v="10134211"/>
        <s v="53969"/>
        <s v="53971"/>
        <s v="484321"/>
        <s v="484721"/>
        <s v="10134256"/>
        <s v="10134257"/>
        <s v="2105281"/>
        <s v="2105282"/>
        <s v="FA1615547"/>
        <s v="54236"/>
        <s v="54554"/>
        <s v="FAC211075"/>
        <s v="484421"/>
        <s v="10134380"/>
        <s v="10134381"/>
        <s v="10134382"/>
        <s v="10134383"/>
        <s v="FA1615568"/>
        <s v="484221"/>
        <s v="55052"/>
        <s v="55062"/>
        <s v="55067"/>
        <s v="55072"/>
        <s v="484521"/>
        <s v="484621"/>
        <s v="484821"/>
        <s v="484921"/>
        <s v="FA1615618"/>
        <s v="469921"/>
        <s v="10134589"/>
        <s v="FA1615678"/>
        <s v="2101033"/>
        <s v="2105561"/>
        <s v="10134592"/>
        <s v="56463"/>
        <s v="10134723"/>
        <s v="2101109"/>
        <s v="AVO210023"/>
        <s v="10134765"/>
        <s v="2105842"/>
        <s v="57021"/>
        <s v="57033"/>
        <s v="2105685"/>
        <s v="484121"/>
        <s v="10134850"/>
        <s v="FA1615775"/>
        <s v="10134896"/>
        <s v="57474"/>
        <s v="021321"/>
        <s v="021421"/>
        <s v="021521"/>
        <s v="57882"/>
        <s v="57936"/>
        <s v="510221"/>
        <s v="2105865"/>
        <s v="2105866"/>
        <s v="202107852"/>
        <s v="202107854"/>
        <s v="10135108"/>
        <s v="10135109"/>
        <s v="202108047"/>
        <s v="202108056"/>
        <s v="59631"/>
        <s v="80373"/>
        <s v="510121"/>
        <s v="10135217"/>
        <s v="202108072"/>
        <s v="59968"/>
        <s v="510021"/>
        <s v="10135268"/>
        <s v="FA1615987"/>
        <s v="FA1615988"/>
        <s v="FA1615989"/>
        <s v="60435"/>
        <s v="541121"/>
        <s v="10135272"/>
        <s v="10135273"/>
        <s v="10135315"/>
        <s v="10135316"/>
        <s v="10135369"/>
        <s v="10135374"/>
        <s v="FA1616026"/>
        <s v="FA1616027"/>
        <s v="FA1616028"/>
        <s v="61038"/>
        <s v="2106209"/>
        <s v="2106210"/>
        <s v="541021"/>
        <s v="10135373"/>
        <s v="10135375"/>
        <s v="10135376"/>
        <s v="10135455"/>
        <s v="60853"/>
        <s v="61269"/>
        <s v="61385"/>
        <s v="61391"/>
        <s v="541221"/>
        <s v="541321"/>
        <s v="10135464"/>
        <s v="10135512"/>
        <s v="61721"/>
        <s v="61742"/>
        <s v="61747"/>
        <s v="61751"/>
        <s v="540621"/>
        <s v="540721"/>
        <s v="540821"/>
        <s v="540921"/>
        <s v="541521"/>
        <s v="10135568"/>
        <s v="61897"/>
        <s v="61904"/>
        <s v="2106368"/>
        <s v="62420"/>
        <s v="62484"/>
        <s v="540321"/>
        <s v="540421"/>
        <s v="540521"/>
        <s v="202108384"/>
        <s v="202108385"/>
        <s v="202108390"/>
        <s v="62452"/>
        <s v="2106490"/>
        <s v="10135660"/>
        <s v="023021"/>
        <s v="023121"/>
        <s v="023221"/>
        <s v="023321"/>
        <s v="63794"/>
        <s v="576921"/>
        <s v="10135756"/>
        <s v="10135798"/>
        <s v="64099"/>
        <s v="541921"/>
        <s v="10135799"/>
        <s v="10135805"/>
        <s v="FA1616232"/>
        <s v="012021"/>
        <s v="10135845"/>
        <s v="64744"/>
        <s v="FA1616266"/>
        <s v="FA1616267"/>
        <s v="64642"/>
        <s v="65234"/>
        <s v="576821"/>
        <s v="577021"/>
        <s v="10135931"/>
        <s v="64645"/>
        <s v="576721"/>
        <s v="65871"/>
        <s v="577121"/>
        <s v="202108858"/>
        <s v="121310989"/>
        <s v="10136106"/>
        <s v="022021"/>
        <s v="66830"/>
        <s v="10136146"/>
        <s v="10136147"/>
        <s v="032021"/>
        <s v="67628"/>
        <s v="67703"/>
        <s v="FAC211240"/>
        <s v="576621"/>
        <s v="10136284"/>
        <s v="10136285"/>
        <s v="042021"/>
        <s v="052021"/>
        <s v="68362"/>
        <s v="68377"/>
        <s v="10136385"/>
        <s v="202109097"/>
        <s v="062021"/>
        <s v="69038"/>
        <s v="10136422"/>
        <s v="10136425"/>
        <s v="10136461"/>
        <s v="072021"/>
        <s v="082021"/>
        <s v="092021"/>
        <s v="69370"/>
        <s v="10136466"/>
        <s v="69539"/>
        <s v="69550"/>
        <s v="10136577"/>
        <s v="10136578"/>
        <s v="FA1616572"/>
        <s v="FA1616573"/>
        <s v="202109280"/>
        <s v="202109299"/>
        <s v="202109300"/>
        <s v="70339"/>
        <s v="633621"/>
        <s v="10136620"/>
        <s v="71238"/>
        <s v="71253"/>
        <s v="71321"/>
        <s v="634021"/>
        <s v="634121"/>
        <s v="634221"/>
        <s v="10136777"/>
        <s v="202109560"/>
        <s v="202109562"/>
        <s v="202109568"/>
        <s v="202109571"/>
        <s v="202109572"/>
        <s v="396929"/>
        <s v="112021"/>
        <s v="72094"/>
        <s v="634321"/>
        <s v="FA1616719"/>
        <s v="FA1616720"/>
        <s v="72575"/>
        <s v="FA1616744"/>
        <s v="FA1616745"/>
        <s v="10136882"/>
        <s v="10136883"/>
        <s v="10136885"/>
        <s v="122021"/>
        <s v="132021"/>
        <s v="73325"/>
        <s v="73535"/>
        <s v="73556"/>
        <s v="633921"/>
        <s v="FA1616776"/>
        <s v="10137020"/>
        <s v="202109874"/>
        <s v="10137022"/>
        <s v="10137067"/>
        <s v="142021"/>
        <s v="152021"/>
        <s v="74660"/>
        <s v="633821"/>
        <s v="10137117"/>
        <s v="162021"/>
        <s v="74917"/>
        <s v="75142"/>
        <s v="75473"/>
        <s v="10137196"/>
        <s v="202110092"/>
        <s v="202110094"/>
        <s v="397929"/>
        <s v="172021"/>
        <s v="10137224"/>
        <s v="20013009"/>
        <s v="76454"/>
        <s v="76682"/>
        <s v="FAC211324"/>
        <s v="634421"/>
        <s v="634521"/>
        <s v="FA1616966"/>
        <s v="76841"/>
        <s v="202110323"/>
        <s v="202110325"/>
        <s v="202110328"/>
        <s v="202110428"/>
        <s v="20013048"/>
        <s v="FAC220004"/>
        <s v="10137293"/>
        <s v="FI22001"/>
        <s v="662"/>
        <s v="10137327"/>
        <s v="10137332"/>
        <s v="FI22002"/>
        <s v="1814"/>
        <s v="2022000155"/>
        <s v="FAC220022"/>
        <s v="10137436"/>
        <s v="FI22003"/>
        <s v="3180"/>
        <s v="041122"/>
        <s v="3494"/>
        <s v="100043629"/>
        <s v="2022000330"/>
        <s v="2022000332"/>
        <s v="122310022"/>
        <s v="122310026"/>
        <s v="10137662"/>
        <s v="10137684"/>
        <s v="FI22005"/>
        <s v="8591"/>
        <s v="041222"/>
        <s v="6105"/>
        <s v="10137712"/>
        <s v="FA1617343"/>
        <s v="FA1617344"/>
        <s v="FI22006"/>
        <s v="10137759"/>
        <s v="10137766"/>
        <s v="2022000690"/>
        <s v="399504"/>
        <s v="FI22007"/>
        <s v="FI22008"/>
        <s v="7067"/>
        <s v="7233"/>
        <s v="7463"/>
        <s v="056722"/>
        <s v="10137882"/>
        <s v="FA1617396"/>
        <s v="400016"/>
        <s v="FI22009"/>
        <s v="8029"/>
        <s v="20499096"/>
        <s v="10137952"/>
        <s v="10137957"/>
        <s v="10137961"/>
        <s v="2022000863"/>
        <s v="2022000879"/>
        <s v="FI22010"/>
        <s v="FI22011"/>
        <s v="8452"/>
        <s v="8920"/>
        <s v="9031"/>
        <s v="20499901"/>
        <s v="122310062"/>
        <s v="058222"/>
        <s v="10138032"/>
        <s v="9173"/>
        <s v="9325"/>
        <s v="067322"/>
        <s v="10138066"/>
        <s v="FI22012"/>
        <s v="9922"/>
        <s v="10005"/>
        <s v="067422"/>
        <s v="10138117"/>
        <s v="20220001024"/>
        <s v="20220001025"/>
        <s v="20220001035"/>
        <s v="FI22013"/>
        <s v="10138157"/>
        <s v="10138158"/>
        <s v="FI22014"/>
        <s v="10959"/>
        <s v="20500137"/>
        <s v="11167"/>
        <s v="10138195"/>
        <s v="FI22015"/>
        <s v="11540"/>
        <s v="11542"/>
        <s v="19487"/>
        <s v="20500689"/>
        <s v="077622"/>
        <s v="10138229"/>
        <s v="FI22016"/>
        <s v="11834"/>
        <s v="FA1617629"/>
        <s v="FA1617630"/>
        <s v="FA1617635"/>
        <s v="20013104"/>
        <s v="20220001268"/>
        <s v="20220001269"/>
        <s v="20220001279"/>
        <s v="20220001281"/>
        <s v="10138337"/>
        <s v="10138338"/>
        <s v="FA1617676"/>
        <s v="20220001325"/>
        <s v="FI22017"/>
        <s v="12978"/>
        <s v="10138373"/>
        <s v="FI22018"/>
        <s v="13720"/>
        <s v="13816"/>
        <s v="20501043"/>
        <s v="121422"/>
        <s v="10138480"/>
        <s v="FI22019"/>
        <s v="10138481"/>
        <s v="10138483"/>
        <s v="20220001505"/>
        <s v="20220001506"/>
        <s v="220263"/>
        <s v="FI22020"/>
        <s v="FI22021"/>
        <s v="14663"/>
        <s v="14676"/>
        <s v="14767"/>
        <s v="20501177"/>
        <s v="10138511"/>
        <s v="171509"/>
        <s v="10138557"/>
        <s v="10138592"/>
        <s v="FI22022"/>
        <s v="15392"/>
        <s v="121122"/>
        <s v="10138587"/>
        <s v="10138597"/>
        <s v="10138599"/>
        <s v="FI22023"/>
        <s v="FI22024"/>
        <s v="15770"/>
        <s v="15855"/>
        <s v="15858"/>
        <s v="20501993"/>
        <s v="10138651"/>
        <s v="20220001617"/>
        <s v="20220001618"/>
        <s v="20220001625"/>
        <s v="20220001626"/>
        <s v="100044680"/>
        <s v="FI22025"/>
        <s v="16477"/>
        <s v="121522"/>
        <s v="10138673"/>
        <s v="10138674"/>
        <s v="FA1617868"/>
        <s v="FA1617876"/>
        <s v="FI22026"/>
        <s v="FI22027"/>
        <s v="17082"/>
        <s v="17163"/>
        <s v="17173"/>
        <s v="20501695"/>
        <s v="20909019"/>
        <s v="20220001688"/>
        <s v="20220001695"/>
        <s v="20220001696"/>
        <s v="10138741"/>
        <s v="10138742"/>
        <s v="FA1617903"/>
        <s v="FI22028"/>
        <s v="FI22029"/>
        <s v="548526"/>
        <s v="17728"/>
        <s v="17741"/>
        <s v="10138805"/>
        <s v="FA1617922"/>
        <s v="548529"/>
        <s v="20220001794"/>
        <s v="20220001796"/>
        <s v="20220001813"/>
        <s v="10138830"/>
        <s v="FI22030"/>
        <s v="18966"/>
        <s v="19398"/>
        <s v="20909209"/>
        <s v="20220001940"/>
        <s v="20220001941"/>
        <s v="FA1617992"/>
        <s v="10138849"/>
        <s v="10138901"/>
        <s v="FI22031"/>
        <s v="FI22032"/>
        <s v="20644"/>
        <s v="20828"/>
        <s v="20220002127"/>
        <s v="20220002128"/>
        <s v="142422"/>
        <s v="10138980"/>
        <s v="10139018"/>
        <s v="10139019"/>
        <s v="10139020"/>
        <s v="10139021"/>
        <s v="FA20848"/>
        <s v="FI22035"/>
        <s v="FI22036"/>
        <s v="22625"/>
        <s v="22641"/>
        <s v="22711"/>
        <s v="20909980"/>
        <s v="160422"/>
        <s v="10139068"/>
        <s v="10139071"/>
        <s v="FA1618154"/>
        <s v="FI22037"/>
        <s v="FI22038"/>
        <s v="23052"/>
        <s v="23104"/>
        <s v="23185"/>
        <s v="20910325"/>
        <s v="160522"/>
        <s v="10139123"/>
        <s v="10139127"/>
        <s v="FA1618167"/>
        <s v="FA1618168"/>
        <s v="2022002374"/>
        <s v="20220002330"/>
        <s v="20220002376"/>
        <s v="FI22039"/>
        <s v="23475"/>
        <s v="160222189"/>
        <s v="23797"/>
        <s v="166022"/>
        <s v="10139256"/>
        <s v="FI22040"/>
        <s v="10139313"/>
        <s v="FA1618282"/>
        <s v="FA1618289"/>
        <s v="25266"/>
        <s v="10139400"/>
        <s v="10139438"/>
        <s v="FA1618323"/>
        <s v="FI22042"/>
        <s v="FI22043"/>
        <s v="25520"/>
        <s v="183922"/>
        <s v="10139440"/>
        <s v="10139441"/>
        <s v="10139465"/>
        <s v="2022002628"/>
        <s v="2022002631"/>
        <s v="2022002639"/>
        <s v="FI22044"/>
        <s v="FI22045"/>
        <s v="160222604"/>
        <s v="25918"/>
        <s v="26053"/>
        <s v="26075"/>
        <s v="20910969"/>
        <s v="FI22046"/>
        <s v="26448"/>
        <s v="20912094"/>
        <s v="160222717"/>
        <s v="26785"/>
        <s v="2022002823"/>
        <s v="2022002825"/>
        <s v="2022002838"/>
        <s v="2022002840"/>
        <s v="2022002841"/>
        <s v="10139532"/>
        <s v="10139559"/>
        <s v="2022002892"/>
        <s v="FI22047"/>
        <s v="FI22048"/>
        <s v="28008"/>
        <s v="46190"/>
        <s v="10139564"/>
        <s v="FI22049"/>
        <s v="10139602"/>
        <s v="FI22051"/>
        <s v="28240"/>
        <s v="28540"/>
        <s v="20912995"/>
        <s v="10139626"/>
        <s v="2022003005"/>
        <s v="28936"/>
        <s v="29188"/>
        <s v="35519"/>
        <s v="256822"/>
        <s v="2022003056"/>
        <s v="2022003068"/>
        <s v="2022003069"/>
        <s v="36128"/>
        <s v="2022003087"/>
        <s v="37298"/>
        <s v="10139753"/>
        <s v="2022003145"/>
        <s v="AVC2200413"/>
        <s v="2022003173"/>
        <s v="10139866"/>
        <s v="32023"/>
        <s v="20913534"/>
        <s v="257322"/>
        <s v="32772"/>
        <s v="256922"/>
        <s v="10140013"/>
        <s v="FI22055"/>
        <s v="33568"/>
        <s v="FA1618685"/>
        <s v="AVC2200444"/>
        <s v="2022003580"/>
        <s v="10140277"/>
        <s v="FI22058"/>
        <s v="10140283"/>
        <s v="10140285"/>
        <s v="FI22059"/>
        <s v="36312"/>
        <s v="36438"/>
        <s v="20915009"/>
        <s v="10140286"/>
        <s v="36897"/>
        <s v="36905"/>
        <s v="281022"/>
        <s v="281322"/>
        <s v="10140349"/>
        <s v="2022003842"/>
        <s v="10140410"/>
        <s v="FI22060"/>
        <s v="37757"/>
        <s v="71239"/>
        <s v="281222"/>
        <s v="2022003904"/>
        <s v="38092"/>
        <s v="20915295"/>
        <s v="10140468"/>
        <s v="FA1618984"/>
        <s v="FTRJ220906"/>
        <s v="FI22061"/>
        <s v="AVC2200498"/>
        <s v="FA1619011"/>
        <s v="FA1619012"/>
        <s v="FA2022004070"/>
        <s v="39089"/>
        <s v="10140617"/>
        <s v="10140618"/>
        <s v="2022004158"/>
        <s v="10140624"/>
        <s v="10140625"/>
        <s v="10140626"/>
        <s v="10140667"/>
        <s v="FA1619071"/>
        <s v="FA1619072"/>
        <s v="FA1619073"/>
        <s v="FI22062"/>
        <s v="FI22063"/>
        <s v="FI22064"/>
        <s v="FI22065"/>
        <s v="40192"/>
        <s v="40201"/>
        <s v="40236"/>
        <s v="40545"/>
        <s v="40579"/>
        <s v="20916403"/>
        <s v="290522"/>
        <s v="2022004351"/>
        <s v="2022004354"/>
        <s v="2022004355"/>
        <s v="2022004356"/>
        <s v="FA1619202"/>
        <s v="10140939"/>
        <s v="10140940"/>
        <s v="71363"/>
        <s v="10140930"/>
        <s v="10140931"/>
        <s v="10140936"/>
        <s v="10140970"/>
        <s v="10140973"/>
        <s v="FA1619261"/>
        <s v="FI22068"/>
        <s v="FI22069"/>
        <s v="FI22070"/>
        <s v="43634"/>
        <s v="43776"/>
        <s v="43815"/>
        <s v="FA1619272"/>
        <s v="FA1619274"/>
        <s v="FA1619275"/>
        <s v="FA1619277"/>
        <s v="44063"/>
        <s v="325422"/>
        <s v="10141012"/>
        <s v="10141047"/>
        <s v="FA2022004568"/>
        <s v="FI22072"/>
        <s v="44274"/>
        <s v="44326"/>
        <s v="325122"/>
        <s v="325222"/>
        <s v="10141098"/>
        <s v="10141099"/>
        <s v="44619"/>
        <s v="45080"/>
        <s v="330122"/>
        <s v="FA2022004628"/>
        <s v="FA2022004641"/>
        <s v="10141149"/>
        <s v="45625"/>
        <s v="330022"/>
        <s v="10141198"/>
        <s v="10141206"/>
        <s v="FA1619379"/>
        <s v="FA1619380"/>
        <s v="FA2022004741"/>
        <s v="FI22074"/>
        <s v="FI22075"/>
        <s v="46013"/>
        <s v="46014"/>
        <s v="75716"/>
        <s v="330322"/>
        <s v="330422"/>
        <s v="10141250"/>
        <s v="10141253"/>
        <s v="10141254"/>
        <s v="10141255"/>
        <s v="FA1619399"/>
        <s v="46240"/>
        <s v="46305"/>
        <s v="10141267"/>
        <s v="399718"/>
        <s v="CAFS174488"/>
        <s v="46896"/>
        <s v="46901"/>
        <s v="46907"/>
        <s v="46912"/>
        <s v="332122"/>
        <s v="332222"/>
        <s v="332322"/>
        <s v="334822"/>
        <s v="FA1619440"/>
        <s v="47444"/>
        <s v="331922"/>
        <s v="10141329"/>
        <s v="FA2022004875"/>
        <s v="FA2022004882"/>
        <s v="FI22077"/>
        <s v="47828"/>
        <s v="FA1619485"/>
        <s v="FA2022005030"/>
        <s v="10141474"/>
        <s v="FI22078"/>
        <s v="48671"/>
        <s v="79267"/>
        <s v="10141532"/>
        <s v="FI22079"/>
        <s v="2022005124"/>
        <s v="221154"/>
        <s v="50235"/>
        <s v="2022005361"/>
        <s v="2022FA0710"/>
        <s v="10142059"/>
        <s v="FA1619770"/>
        <s v="FA1619771"/>
        <s v="FA1619772"/>
        <s v="20919615"/>
        <s v="10142101"/>
        <s v="10142135"/>
        <s v="10142211"/>
        <s v="54075"/>
        <s v="54082"/>
        <s v="20519727"/>
        <s v="408522"/>
        <s v="408922"/>
        <s v="54090"/>
        <s v="408622"/>
        <s v="10142248"/>
        <s v="10142249"/>
        <s v="54761"/>
        <s v="408322"/>
        <s v="55032"/>
        <s v="408422"/>
        <s v="10142344"/>
        <s v="55252"/>
        <s v="55623"/>
        <s v="20519802"/>
        <s v="20519853"/>
        <s v="408122"/>
        <s v="408222"/>
        <s v="56008"/>
        <s v="10142486"/>
        <s v="410622"/>
        <s v="410722"/>
        <s v="410822"/>
        <s v="10142380"/>
        <s v="56565"/>
        <s v="419522"/>
        <s v="10142562"/>
        <s v="10142563"/>
        <s v="10142592"/>
        <s v="10142593"/>
        <s v="57244"/>
        <s v="425822"/>
        <s v="10142598"/>
        <s v="10142599"/>
        <s v="10142629"/>
        <s v="57432"/>
        <s v="430922"/>
        <s v="10142634"/>
        <s v="FA1620195"/>
        <s v="FA1620196"/>
        <s v="FA1620197"/>
        <s v="57768"/>
        <s v="57773"/>
        <s v="57774"/>
        <s v="20770777"/>
        <s v="432822"/>
        <s v="432922"/>
        <s v="439322"/>
        <s v="57977"/>
        <s v="58124"/>
        <s v="58130"/>
        <s v="436522"/>
        <s v="436622"/>
        <s v="439422"/>
        <s v="10142726"/>
        <s v="10142731"/>
        <s v="10142768"/>
        <s v="58925"/>
        <s v="456122"/>
        <s v="465122"/>
        <s v="10142861"/>
        <s v="59261"/>
        <s v="59322"/>
        <s v="456022"/>
        <s v="10142905"/>
        <s v="10142906"/>
        <s v="10142907"/>
        <s v="70008"/>
        <s v="70021"/>
        <s v="70029"/>
        <s v="10142910"/>
        <s v="10142947"/>
        <s v="59770"/>
        <s v="59922"/>
        <s v="464822"/>
        <s v="465222"/>
        <s v="2022006577"/>
        <s v="2022006578"/>
        <s v="2022006587"/>
        <s v="59972"/>
        <s v="60027"/>
        <s v="464922"/>
        <s v="10142995"/>
        <s v="10142998"/>
        <s v="FI22080"/>
        <s v="FI22081"/>
        <s v="60321"/>
        <s v="122310586"/>
        <s v="465322"/>
        <s v="10143112"/>
        <s v="10143113"/>
        <s v="FA1620671"/>
        <s v="FA1620686"/>
        <s v="FA1620687"/>
        <s v="FI22082"/>
        <s v="FI22083"/>
        <s v="60433"/>
        <s v="60794"/>
        <s v="465022"/>
        <s v="10143118"/>
        <s v="FI22084"/>
        <s v="61026"/>
        <s v="61044"/>
        <s v="61050"/>
        <s v="10143192"/>
        <s v="FI22085"/>
        <s v="2022006817"/>
        <s v="2022006831"/>
        <s v="61523"/>
        <s v="FA1620850"/>
        <s v="122310619"/>
        <s v="2022006893"/>
        <s v="2022006904"/>
        <s v="2022006905"/>
        <s v="10143354"/>
        <s v="FI22086"/>
        <s v="10143355"/>
        <s v="10143360"/>
        <s v="10143361"/>
        <s v="FA1620954"/>
        <s v="FI22087"/>
        <s v="62573"/>
        <s v="62584"/>
        <s v="122310638"/>
        <s v="FA1620986"/>
        <s v="FA1620987"/>
        <s v="62880"/>
        <s v="62884"/>
        <s v="490122"/>
        <s v="490322"/>
        <s v="10143509"/>
        <s v="10143510"/>
        <s v="72039"/>
        <s v="10143562"/>
        <s v="2022007123"/>
        <s v="2022007135"/>
        <s v="2022007140"/>
        <s v="FA1621164"/>
        <s v="10143608"/>
        <s v="10143609"/>
        <s v="20013468"/>
        <s v="64283"/>
        <s v="64320"/>
        <s v="122310670"/>
        <s v="202522"/>
        <s v="504622"/>
        <s v="10143686"/>
        <s v="10143689"/>
        <s v="10143734"/>
        <s v="10143736"/>
        <s v="FI22088"/>
        <s v="64872"/>
        <s v="64874"/>
        <s v="508722"/>
        <s v="508822"/>
        <s v="10143772"/>
        <s v="65132"/>
        <s v="65303"/>
        <s v="65340"/>
        <s v="509922"/>
        <s v="510222"/>
        <s v="10143816"/>
        <s v="20013476"/>
        <s v="10143911"/>
        <s v="2022007540"/>
        <s v="FI22089"/>
        <s v="65962"/>
        <s v="66208"/>
        <s v="552122"/>
        <s v="552922"/>
        <s v="10143921"/>
        <s v="10143922"/>
        <s v="10143956"/>
        <s v="10143959"/>
        <s v="10143960"/>
        <s v="FI22090"/>
        <s v="FI22091"/>
        <s v="66443"/>
        <s v="10143963"/>
        <s v="21258"/>
        <s v="66114"/>
        <s v="66704"/>
        <s v="66769"/>
        <s v="66787"/>
        <s v="66812"/>
        <s v="66821"/>
        <s v="550622"/>
        <s v="552822"/>
        <s v="553022"/>
        <s v="553122"/>
        <s v="10143998"/>
        <s v="10144000"/>
        <s v="10144043"/>
        <s v="FI22092"/>
        <s v="FI22093"/>
        <s v="66970"/>
        <s v="2022007647"/>
        <s v="2022007650"/>
        <s v="2022007658"/>
        <s v="21462"/>
        <s v="67261"/>
        <s v="67336"/>
        <s v="553222"/>
        <s v="10144134"/>
        <s v="10144135"/>
        <s v="10144186"/>
        <s v="2022007788"/>
        <s v="2022007805"/>
        <s v="67773"/>
        <s v="68281"/>
        <s v="552322"/>
        <s v="552722"/>
        <s v="10144297"/>
        <s v="10144299"/>
        <s v="10144301"/>
        <s v="FI22094"/>
        <s v="FA1621713"/>
        <s v="10144352"/>
        <s v="10144354"/>
        <s v="10144355"/>
        <s v="10144356"/>
        <s v="10144357"/>
        <s v="10144392"/>
        <s v="FI22095"/>
        <s v="FI22096"/>
        <s v="22055"/>
        <s v="69242"/>
        <s v="69289"/>
        <s v="552422"/>
        <s v="10144399"/>
        <s v="10144400"/>
        <s v="FI22097"/>
        <s v="69660"/>
        <s v="69662"/>
        <s v="69696"/>
        <s v="69701"/>
        <s v="552522"/>
        <s v="553322"/>
        <s v="553422"/>
        <s v="10144441"/>
        <s v="10144442"/>
        <s v="10144443"/>
        <s v="FI22098"/>
        <s v="FI22099"/>
        <s v="69691"/>
        <s v="69700"/>
        <s v="69842"/>
        <s v="69928"/>
        <s v="70073"/>
        <s v="552222"/>
        <s v="552622"/>
        <s v="10144484"/>
        <s v="10144486"/>
        <s v="10144520"/>
        <s v="2022008017"/>
        <s v="22410"/>
        <s v="10144522"/>
        <s v="10144523"/>
        <s v="10144564"/>
        <s v="10144565"/>
        <s v="10144568"/>
        <s v="FI22100"/>
        <s v="22487"/>
        <s v="70724"/>
        <s v="70767"/>
        <s v="553522"/>
        <s v="553622"/>
        <s v="10144570"/>
        <s v="10144573"/>
        <s v="70071"/>
        <s v="70936"/>
        <s v="70955"/>
        <s v="71089"/>
        <s v="71118"/>
        <s v="71120"/>
        <s v="553722"/>
        <s v="553822"/>
        <s v="554122"/>
        <s v="554322"/>
        <s v="554422"/>
        <s v="10144621"/>
        <s v="10144622"/>
        <s v="10144671"/>
        <s v="10144672"/>
        <s v="10144674"/>
        <s v="2022008139"/>
        <s v="2022008143"/>
        <s v="2022008164"/>
        <s v="2022008166"/>
        <s v="FI22101"/>
        <s v="71154"/>
        <s v="554222"/>
        <s v="10144673"/>
        <s v="10144676"/>
        <s v="10144721"/>
        <s v="FI22102"/>
        <s v="71418"/>
        <s v="71478"/>
        <s v="71487"/>
        <s v="71489"/>
        <s v="71554"/>
        <s v="71667"/>
        <s v="580922"/>
        <s v="581022"/>
        <s v="581222"/>
        <s v="581322"/>
        <s v="581622"/>
        <s v="10144728"/>
        <s v="2022008253"/>
        <s v="FI22103"/>
        <s v="71748"/>
        <s v="71906"/>
        <s v="71912"/>
        <s v="581122"/>
        <s v="581922"/>
        <s v="10144763"/>
        <s v="558622"/>
        <s v="2022008395"/>
        <s v="23007"/>
        <s v="72096"/>
        <s v="72406"/>
        <s v="72456"/>
        <s v="581822"/>
        <s v="FA1622079"/>
        <s v="FA1622080"/>
        <s v="2022008396"/>
        <s v="2022008419"/>
        <s v="72649"/>
        <s v="122310800"/>
        <s v="581522"/>
        <s v="72743"/>
        <s v="580822"/>
        <s v="10144838"/>
        <s v="2022008457"/>
        <s v="FI22107"/>
        <s v="73138"/>
        <s v="10144873"/>
        <s v="10144874"/>
        <s v="10144875"/>
        <s v="10144881"/>
        <s v="FI22108"/>
        <s v="FI22109"/>
        <s v="FI22110"/>
        <s v="179"/>
        <s v="73367"/>
        <s v="73439"/>
        <s v="10144917"/>
        <s v="FI22111"/>
        <s v="23497"/>
        <s v="73784"/>
        <s v="73972"/>
        <s v="10144952"/>
        <s v="10144989"/>
        <s v="10144991"/>
        <s v="2022008555"/>
        <s v="2022008556"/>
        <s v="2022008560"/>
        <s v="FI22112"/>
        <s v="FI22113"/>
        <s v="74182"/>
        <s v="582022"/>
        <s v="10144993"/>
        <s v="10144994"/>
        <s v="74540"/>
        <s v="74568"/>
        <s v="10145025"/>
        <s v="10145026"/>
        <s v="FI22114"/>
        <s v="FI22115"/>
        <s v="23837"/>
        <s v="74870"/>
        <s v="74994"/>
        <s v="75017"/>
        <s v="612522"/>
        <s v="10145074"/>
        <s v="2022008659"/>
        <s v="2022008675"/>
        <s v="FI22116"/>
        <s v="10145108"/>
        <s v="10145109"/>
        <s v="10145110"/>
        <s v="10145152"/>
        <s v="2022008709"/>
        <s v="2022008717"/>
        <s v="FI22118"/>
        <s v="FI22119"/>
        <s v="FI22120"/>
        <s v="24077"/>
        <s v="75338"/>
        <s v="75502"/>
        <s v="75512"/>
        <s v="75719"/>
        <s v="583722"/>
        <s v="612322"/>
        <s v="10145159"/>
        <s v="FA1622368"/>
        <s v="2022008775"/>
        <s v="2022008779"/>
        <s v="FI22121"/>
        <s v="76045"/>
        <s v="76077"/>
        <s v="10145226"/>
        <s v="10145227"/>
        <s v="FI22122"/>
        <s v="10145255"/>
        <s v="2022008856"/>
        <s v="2022008860"/>
        <s v="2022008861"/>
        <s v="76577"/>
        <s v="FA1622482"/>
        <s v="10145271"/>
        <s v="10145294"/>
        <s v="10145295"/>
        <s v="10145296"/>
        <s v="10145327"/>
        <s v="10145328"/>
        <s v="FI22124"/>
        <s v="FI22125"/>
        <s v="FA1622492"/>
        <s v="FA1622493"/>
        <s v="2022008974"/>
        <s v="2022008976"/>
        <s v="2022008977"/>
        <s v="77375"/>
        <s v="77502"/>
        <s v="774441"/>
        <s v="612122"/>
        <s v="612622"/>
        <s v="24771"/>
        <s v="77674"/>
        <s v="612022"/>
        <s v="77093"/>
        <s v="78010"/>
        <s v="78173"/>
        <s v="611822"/>
        <s v="612222"/>
        <s v="122310890"/>
        <s v="2022009147"/>
        <s v="100005879"/>
        <s v="10145572"/>
        <s v="10145574"/>
        <s v="10145579"/>
        <s v="2022009228"/>
        <s v="FI22126"/>
        <s v="FI22127"/>
        <s v="FI22128"/>
        <s v="79642"/>
        <s v="10145619"/>
        <s v="10145620"/>
        <s v="2022009358"/>
        <s v="2022009364"/>
        <s v="2022009366"/>
        <s v="FI22129"/>
        <s v="FI22130"/>
        <s v="220010299"/>
        <s v="79625"/>
        <s v="79638"/>
        <s v="79830"/>
        <s v="79848"/>
        <s v="25641"/>
        <s v="10145758"/>
        <s v="2022009414"/>
        <s v="2022009417"/>
        <s v="10145761"/>
        <s v="10145763"/>
        <s v="10145764"/>
        <s v="FI22131"/>
        <s v="FI22132"/>
        <s v="81362"/>
        <s v="81500"/>
        <s v="122310948"/>
        <s v="649522"/>
        <s v="81668"/>
        <s v="81672"/>
        <s v="649122"/>
        <s v="143269"/>
        <s v="10145900"/>
        <s v="10145907"/>
        <s v="10145910"/>
        <s v="2022009680"/>
        <s v="2022009692"/>
        <s v="FI22133"/>
        <s v="10145940"/>
        <s v="10145943"/>
        <s v="10145944"/>
        <s v="10145945"/>
        <s v="FI22134"/>
        <s v="FI22135"/>
        <s v="FI22136"/>
        <s v="82963"/>
        <s v="82967"/>
        <s v="83022"/>
        <s v="83062"/>
        <s v="10145999"/>
        <s v="2022009766"/>
        <s v="FI22137"/>
        <s v="83480"/>
        <s v="662722"/>
        <s v="10146001"/>
        <s v="82651"/>
        <s v="10146072"/>
        <s v="FA1623180"/>
        <s v="2022009826"/>
        <s v="2022009827"/>
        <s v="2022009835"/>
        <s v="2022009837"/>
        <s v="2022009838"/>
        <s v="FI22138"/>
        <s v="83765"/>
        <s v="83822"/>
        <s v="662422"/>
        <s v="662822"/>
        <s v="10146075"/>
        <s v="FI22139"/>
        <s v="84218"/>
        <s v="27265"/>
        <s v="84381"/>
        <s v="84396"/>
        <s v="662222"/>
        <s v="2022010026"/>
        <s v="2022010034"/>
        <s v="10146145"/>
        <s v="FI22140"/>
        <s v="85568"/>
        <s v="10146157"/>
        <s v="10146158"/>
        <s v="FI22141"/>
        <s v="FI22142"/>
        <s v="85684"/>
        <s v="10146159"/>
        <s v="FI22143"/>
        <s v="85979"/>
        <s v="2022010244"/>
        <s v="2022010268"/>
        <s v="20013667"/>
        <s v="85689"/>
        <s v="202300033"/>
        <s v="202300035"/>
        <s v="200006"/>
        <s v="3292"/>
        <s v="2609"/>
        <s v="202300289"/>
        <s v="123310021"/>
        <s v="10146491"/>
        <s v="10146494"/>
        <s v="10146498"/>
        <s v="202300341"/>
        <s v="FI23001"/>
        <s v="FI23002"/>
        <s v="3907"/>
        <s v="123310024"/>
        <s v="10146525"/>
        <s v="FI23004"/>
        <s v="3869"/>
        <s v="4268"/>
        <s v="10146583"/>
        <s v="202300413"/>
        <s v="FI23005"/>
        <s v="4767"/>
        <s v="067023"/>
        <s v="10146590"/>
        <s v="10146591"/>
        <s v="FI23006"/>
        <s v="FI23007"/>
        <s v="4973"/>
        <s v="5013"/>
        <s v="5075"/>
        <s v="202300475"/>
        <s v="202300482"/>
        <s v="10146650"/>
        <s v="FI23008"/>
        <s v="5728"/>
        <s v="202300586"/>
        <s v="202300589"/>
        <s v="202300590"/>
        <s v="10146834"/>
        <s v="FI23009"/>
        <s v="10146836"/>
        <s v="10146837"/>
        <s v="10146838"/>
        <s v="FA1624129"/>
        <s v="FI23010"/>
        <s v="FI23011"/>
        <s v="230003116"/>
        <s v="7284"/>
        <s v="7359"/>
        <s v="7374"/>
        <s v="FA1624149"/>
        <s v="202300725"/>
        <s v="10146927"/>
        <s v="10146928"/>
        <s v="FI23012"/>
        <s v="202300804"/>
        <s v="202300811"/>
        <s v="202300812"/>
        <s v="230003479"/>
        <s v="8275"/>
        <s v="8675"/>
        <s v="070923"/>
        <s v="10147094"/>
        <s v="FA1624546"/>
        <s v="FA1624547"/>
        <s v="FI23014"/>
        <s v="10147127"/>
        <s v="10147131"/>
        <s v="FI23015"/>
        <s v="FI23016"/>
        <s v="10521"/>
        <s v="123310080"/>
        <s v="10147161"/>
        <s v="10147162"/>
        <s v="10147169"/>
        <s v="202301160"/>
        <s v="FI23017"/>
        <s v="FI23018"/>
        <s v="11008"/>
        <s v="11026"/>
        <s v="10995"/>
        <s v="11054"/>
        <s v="202301227"/>
        <s v="10147260"/>
        <s v="202301274"/>
        <s v="202301279"/>
        <s v="202301283"/>
        <s v="FI23019"/>
        <s v="12132"/>
        <s v="10147278"/>
        <s v="202301302"/>
        <s v="FI23020"/>
        <s v="12388"/>
        <s v="10147307"/>
        <s v="10147310"/>
        <s v="FI23021"/>
        <s v="FI23022"/>
        <s v="12932"/>
        <s v="202301396"/>
        <s v="202301405"/>
        <s v="12920"/>
        <s v="10147411"/>
        <s v="202301505"/>
        <s v="202301521"/>
        <s v="10147438"/>
        <s v="10147439"/>
        <s v="417803"/>
        <s v="FI23023"/>
        <s v="10147466"/>
        <s v="FI23024"/>
        <s v="14435"/>
        <s v="14868"/>
        <s v="14869"/>
        <s v="168623"/>
        <s v="15037"/>
        <s v="137123"/>
        <s v="10147537"/>
        <s v="202301673"/>
        <s v="202301674"/>
        <s v="10147583"/>
        <s v="20013746"/>
        <s v="FI23025"/>
        <s v="123310131"/>
        <s v="16319"/>
        <s v="16347"/>
        <s v="138423"/>
        <s v="10147645"/>
        <s v="100008333"/>
        <s v="FI23026"/>
        <s v="17258"/>
        <s v="FA1625382"/>
        <s v="FA1625388"/>
        <s v="10147700"/>
        <s v="10147701"/>
        <s v="10147732"/>
        <s v="FA1625401"/>
        <s v="202301974"/>
        <s v="FI23027"/>
        <s v="FI23028"/>
        <s v="18059"/>
        <s v="18231"/>
        <s v="10147734"/>
        <s v="10147761"/>
        <s v="10147764"/>
        <s v="FI23030"/>
        <s v="FI23031"/>
        <s v="FI23039"/>
        <s v="18487"/>
        <s v="202302106"/>
        <s v="202302109"/>
        <s v="202302110"/>
        <s v="19279"/>
        <s v="25017"/>
        <s v="202302122"/>
        <s v="19673"/>
        <s v="10147868"/>
        <s v="202302190"/>
        <s v="10147898"/>
        <s v="AGFI009244"/>
        <s v="202302258"/>
        <s v="20436"/>
        <s v="182123"/>
        <s v="202302272"/>
        <s v="10147965"/>
        <s v="10147966"/>
        <s v="20822"/>
        <s v="181923"/>
        <s v="10147999"/>
        <s v="1436"/>
        <s v="21932"/>
        <s v="22188"/>
        <s v="181823"/>
        <s v="182023"/>
        <s v="202302573"/>
        <s v="419277"/>
        <s v="39758"/>
        <s v="FA1626103"/>
        <s v="FA1626104"/>
        <s v="230264"/>
        <s v="202302743"/>
        <s v="FA1626264"/>
        <s v="FA1626265"/>
        <s v="230003480"/>
        <s v="10148327"/>
        <s v="FI23032"/>
        <s v="25574"/>
        <s v="202302856"/>
        <s v="6966"/>
        <s v="202302916"/>
        <s v="2301200129"/>
        <s v="20235854"/>
        <s v="10148479"/>
        <s v="10148505"/>
        <s v="10148529"/>
        <s v="27558"/>
        <s v="27579"/>
        <s v="240123"/>
        <s v="240223"/>
        <s v="7531"/>
        <s v="28689"/>
        <s v="240023"/>
        <s v="AGFI009333"/>
        <s v="202303267"/>
        <s v="8130"/>
        <s v="10148711"/>
        <s v="10148712"/>
        <s v="FI23033"/>
        <s v="FI23034"/>
        <s v="29975"/>
        <s v="29987"/>
        <s v="10148758"/>
        <s v="100009738"/>
        <s v="FI23037"/>
        <s v="10148762"/>
        <s v="FI23035"/>
        <s v="2038"/>
        <s v="20230808"/>
        <s v="30643"/>
        <s v="30732"/>
        <s v="20013826"/>
        <s v="FA1627009"/>
        <s v="202303439"/>
        <s v="202303463"/>
        <s v="10148858"/>
        <s v="FI23036"/>
        <s v="31550"/>
        <s v="FA1627102"/>
        <s v="202303549"/>
        <s v="202303557"/>
        <s v="230011953"/>
        <s v="10148934"/>
        <s v="202303636"/>
        <s v="32736"/>
        <s v="250823"/>
        <s v="251523"/>
        <s v="10149136"/>
        <s v="FI23038"/>
        <s v="10149171"/>
        <s v="FI23029"/>
        <s v="9337"/>
        <s v="34523"/>
        <s v="10149241"/>
        <s v="202303999"/>
        <s v="FI23040"/>
        <s v="230000473"/>
        <s v="421201"/>
        <s v="421207"/>
        <s v="27292"/>
        <s v="35091"/>
        <s v="35937"/>
        <s v="10149279"/>
        <s v="202304096"/>
        <s v="421276"/>
        <s v="FI23041"/>
        <s v="9698"/>
        <s v="36338"/>
        <s v="FA1627572"/>
        <s v="FA1627603"/>
        <s v="202304168"/>
        <s v="202304183"/>
        <s v="123310337"/>
        <s v="202304259"/>
        <s v="421496"/>
        <s v="10149495"/>
        <s v="38094"/>
        <s v="FI23042"/>
        <s v="66510"/>
        <s v="202304392"/>
        <s v="50105"/>
        <s v="50574"/>
        <s v="202304443"/>
        <s v="0354"/>
        <s v="FA1628069"/>
        <s v="202304467"/>
        <s v="FA1628077"/>
        <s v="202304492"/>
        <s v="48749"/>
        <s v="0672"/>
        <s v="10149853"/>
        <s v="202304687"/>
        <s v="FI23043"/>
        <s v="42104"/>
        <s v="72318"/>
        <s v="10149885"/>
        <s v="10149886"/>
        <s v="10149887"/>
        <s v="10149888"/>
        <s v="10149891"/>
        <s v="10149919"/>
        <s v="10149921"/>
        <s v="10149922"/>
        <s v="FI23044"/>
        <s v="FI23045"/>
        <s v="FI23046"/>
        <s v="FI23047"/>
        <s v="FI23048"/>
        <s v="42339"/>
        <s v="73866"/>
        <s v="10149923"/>
        <s v="FA1628474"/>
        <s v="42745"/>
        <s v="42990"/>
        <s v="43040"/>
        <s v="43050"/>
        <s v="328323"/>
        <s v="328423"/>
        <s v="10149960"/>
        <s v="10149961"/>
        <s v="10149989"/>
        <s v="202304838"/>
        <s v="FI23049"/>
        <s v="18143"/>
        <s v="43420"/>
        <s v="43772"/>
        <s v="102023"/>
        <s v="328923"/>
        <s v="10149990"/>
        <s v="10149992"/>
        <s v="10149993"/>
        <s v="10149994"/>
        <s v="10149995"/>
        <s v="10149996"/>
        <s v="FI23050"/>
        <s v="FI23051"/>
        <s v="43478"/>
        <s v="43934"/>
        <s v="44159"/>
        <s v="44163"/>
        <s v="44167"/>
        <s v="328723"/>
        <s v="328823"/>
        <s v="10150019"/>
        <s v="10150058"/>
        <s v="FA1628593"/>
        <s v="202304884"/>
        <s v="202304885"/>
        <s v="202304887"/>
        <s v="202304889"/>
        <s v="202304890"/>
        <s v="FI23052"/>
        <s v="AGFI009507"/>
        <s v="AGFI009508"/>
        <s v="43794"/>
        <s v="44336"/>
        <s v="44575"/>
        <s v="44634"/>
        <s v="328623"/>
        <s v="330323"/>
        <s v="FA1628606"/>
        <s v="4345"/>
        <s v="45045"/>
        <s v="45054"/>
        <s v="350823"/>
        <s v="351223"/>
        <s v="202304986"/>
        <s v="202304988"/>
        <s v="202304994"/>
        <s v="330623"/>
        <s v="4343"/>
        <s v="4467"/>
        <s v="45223"/>
        <s v="350923"/>
        <s v="202305032"/>
        <s v="202305033"/>
        <s v="3266"/>
        <s v="3267"/>
        <s v="78743"/>
        <s v="24055"/>
        <s v="338523"/>
        <s v="10150360"/>
        <s v="202305223"/>
        <s v="FI23053"/>
        <s v="47067"/>
        <s v="47010"/>
        <s v="47219"/>
        <s v="350623"/>
        <s v="361123"/>
        <s v="10150411"/>
        <s v="FI23054"/>
        <s v="10150507"/>
        <s v="202305330"/>
        <s v="FI23055"/>
        <s v="57297"/>
        <s v="10150508"/>
        <s v="FI23056"/>
        <s v="47784"/>
        <s v="48102"/>
        <s v="48123"/>
        <s v="10150537"/>
        <s v="10150542"/>
        <s v="FI23057"/>
        <s v="FI23058"/>
        <s v="100011374"/>
        <s v="48593"/>
        <s v="48634"/>
        <s v="202305507"/>
        <s v="202305513"/>
        <s v="8000423569"/>
        <s v="202305563"/>
        <s v="202305606"/>
        <s v="202305607"/>
        <s v="202305608"/>
        <s v="10150697"/>
        <s v="10150698"/>
        <s v="202305626"/>
        <s v="202305627"/>
        <s v="10150739"/>
        <s v="10150779"/>
        <s v="532"/>
        <s v="50114"/>
        <s v="50245"/>
        <s v="377823"/>
        <s v="737923"/>
        <s v="50093"/>
        <s v="378023"/>
        <s v="10150858"/>
        <s v="10150860"/>
        <s v="10150898"/>
        <s v="10150901"/>
        <s v="20013918"/>
        <s v="048"/>
        <s v="10150943"/>
        <s v="51437"/>
        <s v="395623"/>
        <s v="MAIM0877470"/>
        <s v="50945"/>
        <s v="396123"/>
        <s v="10151024"/>
        <s v="10151053"/>
        <s v="51052"/>
        <s v="91820"/>
        <s v="FAC2302504"/>
        <s v="FAC2302505"/>
        <s v="FAC2302506"/>
        <s v="FAC2302507"/>
        <s v="395723"/>
        <s v="10151054"/>
        <s v="10151055"/>
        <s v="51987"/>
        <s v="52372"/>
        <s v="395823"/>
        <s v="396023"/>
        <s v="4676"/>
        <s v="52368"/>
        <s v="AVC2300581"/>
        <s v="FAC2302540"/>
        <s v="395923"/>
        <s v="10151097"/>
        <s v="10151098"/>
        <s v="202306094"/>
        <s v="FI23059"/>
        <s v="52976"/>
        <s v="53005"/>
        <s v="53019"/>
        <s v="53024"/>
        <s v="411823"/>
        <s v="412323"/>
        <s v="412723"/>
        <s v="412823"/>
        <s v="10151178"/>
        <s v="10151180"/>
        <s v="10151186"/>
        <s v="FI23060"/>
        <s v="53264"/>
        <s v="10151182"/>
        <s v="10151222"/>
        <s v="10151224"/>
        <s v="53350"/>
        <s v="53676"/>
        <s v="53683"/>
        <s v="412023"/>
        <s v="412623"/>
        <s v="10151225"/>
        <s v="10151226"/>
        <s v="53829"/>
        <s v="53861"/>
        <s v="411923"/>
        <s v="412223"/>
        <s v="10151257"/>
        <s v="10151299"/>
        <s v="10151301"/>
        <s v="AGFI009638"/>
        <s v="54210"/>
        <s v="54274"/>
        <s v="54280"/>
        <s v="54286"/>
        <s v="412423"/>
        <s v="412523"/>
        <s v="412923"/>
        <s v="413023"/>
        <s v="10151300"/>
        <s v="10151303"/>
        <s v="10151304"/>
        <s v="10151340"/>
        <s v="202306264"/>
        <s v="FI23061"/>
        <s v="FI23062"/>
        <s v="54586"/>
        <s v="54644"/>
        <s v="54713"/>
        <s v="413123"/>
        <s v="415323"/>
        <s v="416923"/>
        <s v="230020076"/>
        <s v="54768"/>
        <s v="54771"/>
        <s v="544735"/>
        <s v="412123"/>
        <s v="10151407"/>
        <s v="202306370"/>
        <s v="8000424211"/>
        <s v="8000424216"/>
        <s v="55087"/>
        <s v="415423"/>
        <s v="10151410"/>
        <s v="10151449"/>
        <s v="444"/>
        <s v="10151451"/>
        <s v="10151452"/>
        <s v="202306463"/>
        <s v="56288"/>
        <s v="422423"/>
        <s v="10151520"/>
        <s v="10151523"/>
        <s v="10151559"/>
        <s v="10151560"/>
        <s v="FI23063"/>
        <s v="FI23064"/>
        <s v="0522"/>
        <s v="56425"/>
        <s v="56544"/>
        <s v="56583"/>
        <s v="422823"/>
        <s v="10151562"/>
        <s v="4237"/>
        <s v="56754"/>
        <s v="56757"/>
        <s v="56759"/>
        <s v="422123"/>
        <s v="422223"/>
        <s v="422323"/>
        <s v="10151589"/>
        <s v="10151590"/>
        <s v="10151592"/>
        <s v="10151594"/>
        <s v="FI23065"/>
        <s v="56856"/>
        <s v="10151635"/>
        <s v="FI23066"/>
        <s v="FI23067"/>
        <s v="57130"/>
        <s v="57284"/>
        <s v="425323"/>
        <s v="10151671"/>
        <s v="10151673"/>
        <s v="4988"/>
        <s v="57306"/>
        <s v="57442"/>
        <s v="428023"/>
        <s v="10151745"/>
        <s v="202306741"/>
        <s v="202306750"/>
        <s v="FI23068"/>
        <s v="57617"/>
        <s v="57622"/>
        <s v="426323"/>
        <s v="430623"/>
        <s v="441123"/>
        <s v="57930"/>
        <s v="57934"/>
        <s v="4411223"/>
        <s v="10151773"/>
        <s v="10151810"/>
        <s v="FA1630547"/>
        <s v="FA1630554"/>
        <s v="202306805"/>
        <s v="202306806"/>
        <s v="202306821"/>
        <s v="202306836"/>
        <s v="FI23069"/>
        <s v="202306850"/>
        <s v="433123"/>
        <s v="10151813"/>
        <s v="58066"/>
        <s v="58580"/>
        <s v="230639"/>
        <s v="454523"/>
        <s v="10151845"/>
        <s v="10151847"/>
        <s v="10151849"/>
        <s v="10151907"/>
        <s v="FI23070"/>
        <s v="58705"/>
        <s v="58757"/>
        <s v="454423"/>
        <s v="10151947"/>
        <s v="8000425230"/>
        <s v="AGFI009721"/>
        <s v="74245"/>
        <s v="10151952"/>
        <s v="20013963"/>
        <s v="202307065"/>
        <s v="202307066"/>
        <s v="FI23071"/>
        <s v="59226"/>
        <s v="59228"/>
        <s v="467123"/>
        <s v="467323"/>
        <s v="59316"/>
        <s v="5116"/>
        <s v="10152031"/>
        <s v="24488"/>
        <s v="4534"/>
        <s v="60043"/>
        <s v="60046"/>
        <s v="467023"/>
        <s v="467923"/>
        <s v="202307179"/>
        <s v="60081"/>
        <s v="60164"/>
        <s v="467623"/>
        <s v="467823"/>
        <s v="10152175"/>
        <s v="FI23072"/>
        <s v="10152211"/>
        <s v="FI23073"/>
        <s v="60835"/>
        <s v="61291"/>
        <s v="10152248"/>
        <s v="10152275"/>
        <s v="FA1631156"/>
        <s v="FA1631158"/>
        <s v="FA1631163"/>
        <s v="FA1631192"/>
        <s v="202307358"/>
        <s v="202307363"/>
        <s v="202307379"/>
        <s v="202307381"/>
        <s v="61638"/>
        <s v="82927"/>
        <s v="467223"/>
        <s v="10152372"/>
        <s v="62150"/>
        <s v="466923"/>
        <s v="10152374"/>
        <s v="100013009"/>
        <s v="FI23074"/>
        <s v="62516"/>
        <s v="62591"/>
        <s v="483823"/>
        <s v="10152376"/>
        <s v="10152377"/>
        <s v="10152496"/>
        <s v="202307566"/>
        <s v="5220"/>
        <s v="63454"/>
        <s v="483923"/>
        <s v="AGFI009796"/>
        <s v="63722"/>
        <s v="116378"/>
        <s v="484023"/>
        <s v="4892"/>
        <s v="20014003"/>
        <s v="10152846"/>
        <s v="FI23075"/>
        <s v="202307790"/>
        <s v="14972"/>
        <s v="10152848"/>
        <s v="FI23076"/>
        <s v="17441"/>
        <s v="10152893"/>
        <s v="65753"/>
        <s v="65829"/>
        <s v="21542"/>
        <s v="202307956"/>
        <s v="202307967"/>
        <s v="202307968"/>
        <s v="202307974"/>
        <s v="AVC2300797"/>
        <s v="FAC2303590"/>
        <s v="66665"/>
        <s v="516223"/>
        <s v="AVC2300840"/>
        <s v="24800"/>
        <s v="FA1632539"/>
        <s v="69491"/>
        <s v="530923"/>
        <s v="10153257"/>
        <s v="18560"/>
        <s v="10153298"/>
        <s v="FA202308408"/>
        <s v="427984"/>
        <s v="10153378"/>
        <s v="230027438"/>
        <s v="70634"/>
        <s v="531523"/>
        <s v="10153410"/>
        <s v="FI23077"/>
        <s v="18969"/>
        <s v="71234"/>
        <s v="71281"/>
        <s v="538623"/>
        <s v="10153448"/>
        <s v="10153482"/>
        <s v="FA1632805"/>
        <s v="FAC1632806"/>
        <s v="FAC1632807"/>
        <s v="FI23078"/>
        <s v="071912"/>
        <s v="538423"/>
        <s v="10153561"/>
        <s v="FI23079"/>
        <s v="72001"/>
        <s v="72367"/>
        <s v="FA202308683"/>
        <s v="FA202308684"/>
        <s v="72875"/>
        <s v="FA202308768"/>
        <s v="AIH202367"/>
        <s v="10153631"/>
        <s v="FA1633098"/>
        <s v="FA1633099"/>
        <s v="FAC1633097"/>
        <s v="428775"/>
        <s v="FI23080"/>
        <s v="10153665"/>
        <s v="73945"/>
        <s v="FA1633242"/>
        <s v="10153702"/>
        <s v="19732"/>
        <s v="74493"/>
        <s v="FAC2304113"/>
        <s v="74838"/>
        <s v="FA202308943"/>
        <s v="10153813"/>
        <s v="FI23081"/>
        <s v="232200514"/>
        <s v="75722"/>
        <s v="100646"/>
        <s v="FAC2304178"/>
        <s v="10153821"/>
        <s v="10153896"/>
        <s v="FI23082"/>
        <s v="FI23083"/>
        <s v="AGFI009945"/>
        <s v="20069"/>
        <s v="76300"/>
        <s v="202309064"/>
        <s v="76618"/>
        <s v="10153925"/>
        <s v="FI23084"/>
        <s v="76886"/>
        <s v="202309174"/>
        <s v="563023"/>
        <s v="563123"/>
        <s v="563223"/>
        <s v="10153976"/>
        <s v="10153977"/>
        <s v="202309190"/>
        <s v="202309197"/>
        <s v="202309207"/>
        <s v="FI23085"/>
        <s v="FI23086"/>
        <s v="1597"/>
        <s v="IHR00001017"/>
        <s v="77651"/>
        <s v="77664"/>
        <s v="10154007"/>
        <s v="10154008"/>
        <s v="F00121"/>
        <s v="200549"/>
        <s v="10154053"/>
        <s v="202309303"/>
        <s v="202309346"/>
        <s v="202309351"/>
        <s v="FI23087"/>
        <s v="78908"/>
        <s v="10154090"/>
        <s v="FI23089"/>
        <s v="IHR00001018"/>
        <s v="79252"/>
        <s v="79258"/>
        <s v="143419"/>
        <s v="10154150"/>
        <s v="FA1633908"/>
        <s v="FA1633909"/>
        <s v="FA1633910"/>
        <s v="FI23088"/>
        <s v="79626"/>
        <s v="202309485"/>
        <s v="5959"/>
        <s v="202309496"/>
        <s v="202309505"/>
        <s v="AGFI009981"/>
        <s v="20937"/>
        <s v="10154256"/>
        <s v="10154259"/>
        <s v="202309551"/>
        <s v="FI23090"/>
        <s v="FI23091"/>
        <s v="0709"/>
        <s v="10154292"/>
        <s v="10154293"/>
        <s v="FI23092"/>
        <s v="FI23093"/>
        <s v="21204"/>
        <s v="80992"/>
        <s v="81134"/>
        <s v="202306796"/>
        <s v="81359"/>
        <s v="FAC2304580"/>
        <s v="FAC2304581"/>
        <s v="10154344"/>
        <s v="10154345"/>
        <s v="FA1634239"/>
        <s v="FA1634240"/>
        <s v="202309696"/>
        <s v="202309697"/>
        <s v="202309700"/>
        <s v="202309763"/>
        <s v="FI23094"/>
        <s v="FI23095"/>
        <s v="6079"/>
        <s v="21380"/>
        <s v="81702"/>
        <s v="81724"/>
        <s v="593123"/>
        <s v="10154499"/>
        <s v="202309801"/>
        <s v="202309804"/>
        <s v="FI23096"/>
        <s v="21586"/>
        <s v="82641"/>
        <s v="EXI23290823"/>
        <s v="FA1634520"/>
        <s v="FA1634521"/>
        <s v="FA1634522"/>
        <s v="FA1634523"/>
        <s v="10154584"/>
        <s v="FA1634699"/>
        <s v="FI23097"/>
        <s v="84526"/>
        <s v="10154685"/>
        <s v="CI2357212437"/>
        <s v="202310115"/>
        <s v="FI23098"/>
        <s v="22323"/>
        <s v="10154709"/>
        <s v="FI23099"/>
        <s v="23672723885"/>
        <s v="202310210"/>
        <s v="202310221"/>
        <s v="85880"/>
        <s v="85887"/>
        <s v="156627"/>
        <s v="10154822"/>
        <s v="202310296"/>
        <s v="202310301"/>
        <s v="FI23100"/>
        <s v="10154858"/>
        <s v="FI23101"/>
        <s v="87166"/>
        <s v="87499"/>
        <s v="159018"/>
        <s v="202310407"/>
        <s v="202310411"/>
        <s v="22938"/>
        <s v="202310437"/>
        <s v="202310498"/>
        <s v="23205"/>
        <s v="202310585"/>
        <s v="118956"/>
        <s v="20231080"/>
        <s v="202310795"/>
        <s v="20014242"/>
        <s v="202400008"/>
        <s v="FA1635479"/>
        <s v="FA1635482"/>
        <s v="FA1635487"/>
        <s v="FA1635488"/>
        <s v="EXI24290009"/>
        <s v="FA1635619"/>
        <s v="FA1635730"/>
        <s v="8000431646"/>
        <s v="FA1635956"/>
        <s v="0669"/>
        <s v="10155712"/>
        <s v="10155742"/>
        <s v="10155743"/>
        <s v="8000432055"/>
        <s v="8000432056"/>
        <s v="0926"/>
        <s v="4803"/>
        <s v="10155773"/>
        <s v="10155801"/>
        <s v="4889"/>
        <s v="4922"/>
        <s v="10155803"/>
        <s v="10155804"/>
        <s v="20014258"/>
        <s v="5431"/>
        <s v="5740"/>
        <s v="5763"/>
        <s v="202400009"/>
        <s v="202400480"/>
        <s v="202400483"/>
        <s v="FI24001"/>
        <s v="FI24002"/>
        <s v="FI24003"/>
        <s v="6097"/>
        <s v="FI24004"/>
        <s v="2401970124"/>
        <s v="FA2400683"/>
        <s v="11852"/>
        <s v="PADNUC2400026"/>
        <s v="AVC2400078"/>
        <s v="AVC2400081"/>
        <s v="20200600"/>
        <s v="202400601"/>
        <s v="202400634"/>
        <s v="FI24005"/>
        <s v="1606"/>
        <s v="039924"/>
        <s v="040124"/>
        <s v="BCI202439"/>
        <s v="AVC2400091"/>
        <s v="EXI24290073"/>
        <s v="AIH202411"/>
        <s v="AIH2024112"/>
        <s v="240003434"/>
        <s v="AGFI010222"/>
        <s v="17941"/>
        <s v="FA1637540"/>
        <s v="FA1637581"/>
        <s v="14359"/>
        <s v="13382"/>
        <s v="202401017"/>
        <s v="AVC2400114"/>
        <s v="10156404"/>
        <s v="10156405"/>
        <s v="202401084"/>
        <s v="202401085"/>
        <s v="BCI202465"/>
        <s v="0820"/>
        <s v="2410"/>
        <s v="10156500"/>
        <s v="10156507"/>
        <s v="FA1638153"/>
        <s v="FA1638180"/>
        <s v="800433700"/>
        <s v="10156534"/>
        <s v="14340"/>
        <s v="13830"/>
        <s v="14606"/>
        <s v="202401372"/>
        <s v="F00019"/>
        <s v="F00020"/>
        <s v="2807"/>
        <s v="15144"/>
        <s v="24801"/>
        <s v="FI24006"/>
        <s v="FI214007"/>
        <s v="242200092"/>
        <s v="242200093"/>
        <s v="26320"/>
        <s v="202401462"/>
        <s v="202401479"/>
        <s v="202401544"/>
        <s v="EXI24290144"/>
        <s v="10156687"/>
        <s v="10156688"/>
        <s v="BCI202482"/>
        <s v="FAC2400814"/>
        <s v="10156714"/>
        <s v="202401548"/>
        <s v="80178080"/>
        <s v="17424"/>
        <s v="17579"/>
        <s v="27676"/>
        <s v="27693"/>
        <s v="80177914"/>
        <s v="FAC2400854"/>
        <s v="202401608"/>
        <s v="202401617"/>
        <s v="FI24008"/>
        <s v="80177982"/>
        <s v="FA1638840"/>
        <s v="FA1638841"/>
        <s v="202401647"/>
        <s v="FI24009"/>
        <s v="21610"/>
        <s v="202401675"/>
        <s v="202401713"/>
        <s v="BCI202495"/>
        <s v="18776"/>
        <s v="18829"/>
        <s v="FAC2400909"/>
        <s v="110624"/>
        <s v="110724"/>
        <s v="202401773"/>
        <s v="202401777"/>
        <s v="3645"/>
        <s v="18353"/>
        <s v="10156935"/>
        <s v="20014340"/>
        <s v="20014341"/>
        <s v="20501"/>
        <s v="10157012"/>
        <s v="10157013"/>
        <s v="202401902"/>
        <s v="FI24010"/>
        <s v="CI2457218039"/>
        <s v="FI24011"/>
        <s v="FI24012"/>
        <s v="240000748240"/>
        <s v="20983"/>
        <s v="EX03804"/>
        <s v="21453"/>
        <s v="202401980"/>
        <s v="202401981"/>
        <s v="10157081"/>
        <s v="FA1639553"/>
        <s v="FA1639554"/>
        <s v="FI24013"/>
        <s v="FI24014"/>
        <s v="4102"/>
        <s v="35684"/>
        <s v="10157108"/>
        <s v="10157109"/>
        <s v="FI24015"/>
        <s v="BCI2024118"/>
        <s v="5675700819"/>
        <s v="22429"/>
        <s v="22447"/>
        <s v="22451"/>
        <s v="202402119"/>
        <s v="202402131"/>
        <s v="202402132"/>
        <s v="202402136"/>
        <s v="FI24016"/>
        <s v="FI24017"/>
        <s v="FI24018"/>
        <s v="4488"/>
        <s v="FAC2401194"/>
        <s v="202402207"/>
        <s v="BCI2024126"/>
        <s v="39736"/>
        <s v="80179146"/>
        <s v="CI2457218862"/>
        <s v="F00029"/>
        <s v="154324"/>
        <s v="10157297"/>
        <s v="10157298"/>
        <s v="10157306"/>
        <s v="FAC2401369"/>
        <s v="5045"/>
        <s v="26331"/>
        <s v="26390"/>
        <s v="26395"/>
        <s v="26418"/>
        <s v="MAIM0930955"/>
        <s v="FI24019"/>
        <s v="FI24020"/>
        <s v="42439"/>
        <s v="159924"/>
        <s v="FA1640283"/>
        <s v="FA1640284"/>
        <s v="FA1640285"/>
        <s v="FA1640286"/>
        <s v="202402607"/>
        <s v="202402611"/>
        <s v="202402613"/>
        <s v="FTA26034"/>
        <s v="BCI2024145"/>
        <s v="FAC1640328"/>
        <s v="202402637"/>
        <s v="80179303"/>
        <s v="80179304"/>
        <s v="161924"/>
        <s v="10157576"/>
        <s v="240002149"/>
        <s v="2405040424"/>
        <s v="5458"/>
        <s v="28845"/>
        <s v="10157579"/>
        <s v="29037"/>
        <s v="29272"/>
        <s v="47397"/>
        <s v="4539024"/>
        <s v="29357"/>
        <s v="29562"/>
        <s v="202402799"/>
        <s v="5707"/>
        <s v="35766"/>
        <s v="47188"/>
        <s v="FAC2401492"/>
        <s v="202402831"/>
        <s v="FI24021"/>
        <s v="202402933"/>
        <s v="35747"/>
        <s v="179224"/>
        <s v="179324"/>
        <s v="2401400048"/>
        <s v="2039"/>
        <s v="202403014"/>
        <s v="202403023"/>
        <s v="202403029"/>
        <s v="202403057"/>
        <s v="202403060"/>
        <s v="6130"/>
        <s v="52647"/>
        <s v="53054"/>
        <s v="10157799"/>
        <s v="202403081"/>
        <s v="322423"/>
        <s v="10157822"/>
        <s v="33190"/>
        <s v="202403187"/>
        <s v="202403231"/>
        <s v="FI24022"/>
        <s v="FI24023"/>
        <s v="FI24024"/>
        <s v="FI24025"/>
        <s v="FI24026"/>
        <s v="FI24027"/>
        <s v="80180239"/>
        <s v="80180492"/>
        <s v="32463"/>
        <s v="FAC2401676"/>
        <s v="202403284"/>
        <s v="202403298"/>
        <s v="202403336"/>
        <s v="FI24028"/>
        <s v="FI24029"/>
        <s v="6498"/>
        <s v="FA1640682"/>
        <s v="FA1640683"/>
        <s v="34118"/>
        <s v="FAC2401720"/>
        <s v="34165"/>
        <s v="8000437234"/>
        <s v="59308"/>
        <s v="20014430"/>
        <s v="202403503"/>
        <s v="FA1640854"/>
        <s v="AVC2400358"/>
        <s v="FAC1640874"/>
        <s v="FA2403526"/>
        <s v="202403645"/>
        <s v="202403658"/>
        <s v="FI24030"/>
        <s v="80180802"/>
        <s v="FA1640989"/>
        <s v="PADNUCX244464"/>
        <s v="38328"/>
        <s v="8000437549"/>
        <s v="8000437575"/>
        <s v="7594"/>
        <s v="64513"/>
        <s v="10158244"/>
        <s v="10158308"/>
        <s v="10158316"/>
        <s v="202403909"/>
        <s v="202403925"/>
        <s v="40311"/>
        <s v="40387"/>
        <s v="230624"/>
        <s v="202403989"/>
        <s v="10158385"/>
        <s v="10158387"/>
        <s v="FA1641149"/>
        <s v="FI24031"/>
        <s v="202404087"/>
        <s v="202404091"/>
        <s v="41494"/>
        <s v="41536"/>
        <s v="FAC2402079"/>
        <s v="MAIM0941954"/>
        <s v="FI24032"/>
        <s v="10158523"/>
        <s v="10158563"/>
        <s v="10158564"/>
        <s v="FA1641282"/>
        <s v="FA1641283"/>
        <s v="FA1641284"/>
        <s v="FA1641285"/>
        <s v="202404193"/>
        <s v="202404198"/>
        <s v="8000208535"/>
        <s v="FI24033"/>
        <s v="FI24034"/>
        <s v="80181819"/>
        <s v="8368"/>
        <s v="42683"/>
        <s v="242200272"/>
        <s v="42828"/>
        <s v="42968"/>
        <s v="43061"/>
        <s v="FA1641357"/>
        <s v="8000438283"/>
        <s v="242200280"/>
        <s v="80181986"/>
        <s v="8548"/>
        <s v="43244"/>
        <s v="FI24035"/>
        <s v="FI24036"/>
        <s v="FI24037"/>
        <s v="FI24038"/>
        <s v="2852"/>
        <s v="256324"/>
        <s v="202404347"/>
        <s v="202404351"/>
        <s v="202404357"/>
        <s v="202404435"/>
        <s v="BCI2024246"/>
        <s v="9550001257"/>
        <s v="FA1641458"/>
        <s v="FA1641459"/>
        <s v="FA1641491"/>
        <s v="FI24039"/>
        <s v="6321900461"/>
        <s v="9004"/>
        <s v="8000438683"/>
        <s v="FI24040"/>
        <s v="80182505"/>
        <s v="FTA000026497"/>
        <s v="46295"/>
        <s v="FA1641657"/>
        <s v="FA1641658"/>
        <s v="FI24041"/>
        <s v="FI24042"/>
        <s v="80182472"/>
        <s v="80182711"/>
        <s v="10158959"/>
        <s v="202404676"/>
        <s v="48041"/>
        <s v="9460"/>
        <s v="48026"/>
        <s v="56182"/>
        <s v="8000439046"/>
        <s v="48635"/>
        <s v="48815"/>
        <s v="FA1641780"/>
        <s v="FA1641781"/>
        <s v="FIM2024076"/>
        <s v="FI24043"/>
        <s v="10159204"/>
        <s v="202404907"/>
        <s v="202404908"/>
        <s v="202404926"/>
        <s v="AGFI01028"/>
        <s v="3369"/>
        <s v="49853"/>
        <s v="10159248"/>
        <s v="10159263"/>
        <s v="FA2404707"/>
        <s v="295424"/>
        <s v="CI2457224155"/>
        <s v="202405067"/>
        <s v="EX04111"/>
        <s v="10054"/>
        <s v="50557"/>
        <s v="299224"/>
        <s v="GT109381"/>
        <s v="51387"/>
        <s v="85422"/>
        <s v="10159432"/>
        <s v="202405162"/>
        <s v="MAIM0949956"/>
        <s v="3543"/>
        <s v="51867"/>
        <s v="FAC2402752"/>
        <s v="202405280"/>
        <s v="242200313"/>
        <s v="10424"/>
        <s v="306924"/>
        <s v="FIM2024083"/>
        <s v="3580"/>
        <s v="50935"/>
        <s v="89089"/>
        <s v="308824"/>
        <s v="89201"/>
        <s v="311024"/>
        <s v="311224"/>
        <s v="10159567"/>
        <s v="311524"/>
        <s v="311624"/>
        <s v="10159625"/>
        <s v="53833"/>
        <s v="90830"/>
        <s v="202405427"/>
        <s v="10159657"/>
        <s v="10159658"/>
        <s v="10159703"/>
        <s v="10159735"/>
        <s v="54886"/>
        <s v="321024"/>
        <s v="10159757"/>
        <s v="06498"/>
        <s v="54950"/>
        <s v="54996"/>
        <s v="55043"/>
        <s v="55123"/>
        <s v="8000440480"/>
        <s v="8000440481"/>
        <s v="325524"/>
        <s v="325624"/>
        <s v="FI24044"/>
        <s v="FI24045"/>
        <s v="6801"/>
        <s v="55720"/>
        <s v="FAC2402964"/>
        <s v="FAC2402965"/>
        <s v="FAC2402966"/>
        <s v="326724"/>
        <s v="327024"/>
        <s v="202405690"/>
        <s v="202405693"/>
        <s v="202405698"/>
        <s v="PADNUCXXI8371"/>
        <s v="GT109792"/>
        <s v="GT109971"/>
        <s v="2408740724"/>
        <s v="10159940"/>
        <s v="10159985"/>
        <s v="10159986"/>
        <s v="202405768"/>
        <s v="202405771"/>
        <s v="202405773"/>
        <s v="AGFI010935"/>
        <s v="AGFI010936"/>
        <s v="10159993"/>
        <s v="FA1642284"/>
        <s v="57178"/>
        <s v="333624"/>
        <s v="3953"/>
        <s v="00669"/>
        <s v="10160070"/>
        <s v="10160072"/>
        <s v="FI24046"/>
        <s v="80184339"/>
        <s v="3994"/>
        <s v="337524"/>
        <s v="10160144"/>
        <s v="58360"/>
        <s v="58395"/>
        <s v="FAC2403121"/>
        <s v="20014633"/>
        <s v="6321900536"/>
        <s v="58599"/>
        <s v="202406098"/>
        <s v="59123"/>
        <s v="343324"/>
        <s v="10160233"/>
        <s v="345024"/>
        <s v="7173"/>
        <s v="345025"/>
        <s v="202406258"/>
        <s v="202406266"/>
        <s v="801810045013"/>
        <s v="60251"/>
        <s v="60308"/>
        <s v="60413"/>
        <s v="10160392"/>
        <s v="10160398"/>
        <s v="AVC2400620"/>
        <s v="352724"/>
        <s v="352824"/>
        <s v="352924"/>
        <s v="10160479"/>
        <s v="104158"/>
        <s v="80185415"/>
        <s v="80185548"/>
        <s v="61696"/>
        <s v="62378"/>
        <s v="73523"/>
        <s v="062420"/>
        <s v="FA1642751"/>
        <s v="FA1642752"/>
        <s v="FA1642753"/>
        <s v="8000441286"/>
        <s v="8000441288"/>
        <s v="7519"/>
        <s v="FIM2024108"/>
        <s v="FAC2403471"/>
        <s v="FAC2403472"/>
        <s v="364424"/>
        <s v="364524"/>
        <s v="202406641"/>
        <s v="FIM2024110"/>
        <s v="0722"/>
        <s v="202406673"/>
        <s v="4407"/>
        <s v="AVC2400670"/>
        <s v="FA1642897"/>
        <s v="FIM2024115"/>
        <s v="7893"/>
        <s v="10160789"/>
        <s v="10160790"/>
        <s v="FA1642918"/>
        <s v="FA1642919"/>
        <s v="FA1642920"/>
        <s v="FA1642921"/>
        <s v="8000441746"/>
        <s v="9550002851"/>
        <s v="10160823"/>
        <s v="371324"/>
        <s v="65362"/>
        <s v="65374"/>
        <s v="65400"/>
        <s v="7964"/>
        <s v="04556"/>
        <s v="378224"/>
        <s v="378324"/>
        <s v="378424"/>
        <s v="10160861"/>
        <s v="80185969"/>
        <s v="80185968"/>
        <s v="1306"/>
        <s v="4556"/>
        <s v="67137"/>
        <s v="FAC2403739"/>
        <s v="GT110594"/>
        <s v="4690"/>
        <s v="4701"/>
        <s v="7070"/>
        <s v="FAC2403760"/>
        <s v="385024"/>
        <s v="FA1643142"/>
        <s v="0796"/>
        <s v="10161161"/>
        <s v="10161162"/>
        <s v="FI24047"/>
        <s v="80186565"/>
        <s v="FIM2024118"/>
        <s v="68091"/>
        <s v="FA1643189"/>
        <s v="FAC2403925"/>
        <s v="FIM2024119"/>
        <s v="202407262"/>
        <s v="4807"/>
        <s v="68677"/>
        <s v="68690"/>
        <s v="FAC2403953"/>
        <s v="PADNUC2459246"/>
        <s v="FAC2403970"/>
        <s v="395724"/>
        <s v="395824"/>
        <s v="10161307"/>
        <s v="2238"/>
        <s v="004899"/>
        <s v="FI24048"/>
        <s v="80187260"/>
        <s v="9889"/>
        <s v="FA1643388"/>
        <s v="1375"/>
        <s v="04892"/>
        <s v="70322"/>
        <s v="FAC2404049"/>
        <s v="FAC2404050"/>
        <s v="400724"/>
        <s v="401224"/>
        <s v="10161475"/>
        <s v="10161515"/>
        <s v="FAC2404069"/>
        <s v="10161516"/>
        <s v="202407499"/>
        <s v="70940"/>
        <s v="10161559"/>
        <s v="10161561"/>
        <s v="FIM2024121"/>
        <s v="8945"/>
        <s v="202407623"/>
        <s v="202407627"/>
        <s v="202407647"/>
        <s v="202407648"/>
        <s v="2137"/>
        <s v="2156"/>
        <s v="2193"/>
        <s v="6364"/>
        <s v="FAC2404163"/>
        <s v="410324"/>
        <s v="20014717"/>
        <s v="7892"/>
        <s v="412124"/>
        <s v="412224"/>
        <s v="412324"/>
        <s v="10161876"/>
        <s v="202407840"/>
        <s v="GT111234"/>
        <s v="AVC2400781"/>
        <s v="202407919"/>
        <s v="202407958"/>
        <s v="202407964"/>
        <s v="33951"/>
        <s v="0855"/>
        <s v="10161972"/>
        <s v="74827"/>
        <s v="FAC2404382"/>
        <s v="420624"/>
        <s v="10162132"/>
        <s v="10162145"/>
        <s v="10162192"/>
        <s v="FAC1643925"/>
        <s v="0878"/>
        <s v="76589"/>
        <s v="10162201"/>
        <s v="EXI24290691"/>
        <s v="FA1643985"/>
        <s v="FAC2404496"/>
        <s v="FA2406473"/>
        <s v="95535"/>
        <s v="428924"/>
        <s v="10162349"/>
        <s v="10162351"/>
        <s v="80188862"/>
        <s v="78385"/>
        <s v="78389"/>
        <s v="78394"/>
        <s v="202408440"/>
        <s v="9758"/>
        <s v="78664"/>
        <s v="AVC2400869"/>
        <s v="FAC2404574"/>
        <s v="10162397"/>
        <s v="10162398"/>
        <s v="EXI24290715"/>
        <s v="79022"/>
        <s v="433624"/>
        <s v="433724"/>
        <s v="433824"/>
        <s v="10162445"/>
        <s v="10162481"/>
        <s v="79396"/>
        <s v="79401"/>
        <s v="GT111687"/>
        <s v="79943"/>
        <s v="80102"/>
        <s v="80189395"/>
        <s v="FAC2404668"/>
        <s v="FI24049"/>
        <s v="80189391"/>
        <s v="437024"/>
        <s v="437124"/>
        <s v="437224"/>
        <s v="437324"/>
        <s v="437424"/>
        <s v="10162601"/>
        <s v="202408654"/>
        <s v="FI24050"/>
        <s v="80189612"/>
        <s v="0330"/>
        <s v="81239"/>
        <s v="81288"/>
        <s v="FA1644269"/>
        <s v="8000445388"/>
        <s v="81387"/>
        <s v="81491"/>
        <s v="FA1644315"/>
        <s v="80189734"/>
        <s v="FI24051"/>
        <s v="202408800"/>
        <s v="202408801"/>
        <s v="202408803"/>
        <s v="FI24052"/>
        <s v="80189862"/>
        <s v="1900000228"/>
        <s v="80189369"/>
        <s v="80189785"/>
        <s v="80189931"/>
        <s v="9550004358"/>
        <s v="144436"/>
        <s v="442224"/>
        <s v="83305"/>
        <s v="83370"/>
        <s v="83459"/>
        <s v="443824"/>
        <s v="202408929"/>
        <s v="FTA000027517"/>
        <s v="80190061"/>
        <s v="80190089"/>
        <s v="0574"/>
        <s v="202408942"/>
        <s v="FI24053"/>
        <s v="FI24054"/>
        <s v="FI24055"/>
        <s v="84521"/>
        <s v="202408995"/>
        <s v="202409000"/>
        <s v="80190235"/>
        <s v="FIM2024138"/>
        <s v="FIM2024139"/>
        <s v="84304"/>
        <s v="84524"/>
        <s v="FI24056"/>
        <s v="PADNUC24921"/>
        <s v="5840"/>
        <s v="85323"/>
        <s v="AVC2400921"/>
        <s v="451524"/>
        <s v="202409096"/>
        <s v="202409098"/>
        <s v="FI24057"/>
        <s v="FI24058"/>
        <s v="80190409"/>
        <s v="5868"/>
        <s v="149593"/>
        <s v="AVC2400934"/>
        <s v="202409140"/>
        <s v="202409165"/>
        <s v="EXI242907841"/>
        <s v="EXI242907842"/>
        <s v="80190388"/>
        <s v="0954"/>
        <s v="86038"/>
        <s v="FI24059"/>
        <s v="80190434"/>
        <s v="FIM2024142"/>
        <s v="86829"/>
        <s v="202409261"/>
        <s v="202409262"/>
        <s v="80190560"/>
        <s v="80190508"/>
        <s v="6008"/>
        <s v="17092"/>
        <s v="87236"/>
        <s v="459624"/>
        <s v="10163218"/>
        <s v="FA1644711"/>
        <s v="FA1644712"/>
        <s v="FI24060"/>
        <s v="80190706"/>
        <s v="801907919"/>
        <s v="87678"/>
        <s v="88012"/>
        <s v="FAC2405040"/>
        <s v="FAC2405041"/>
        <s v="202409332"/>
        <s v="FI24061"/>
        <s v="FI24062"/>
        <s v="FI24063"/>
        <s v="FA1644774"/>
        <s v="FA1644775"/>
        <s v="88389"/>
        <s v="88478"/>
        <s v="88808"/>
        <s v="10163285"/>
        <s v="10163286"/>
        <s v="20014820"/>
        <s v="80190871"/>
        <s v="17356"/>
        <s v="89254"/>
        <s v="FI24064"/>
        <s v="FI24065"/>
        <s v="80190903"/>
        <s v="6120"/>
        <s v="89250"/>
        <s v="89312"/>
        <s v="FA1644846"/>
        <s v="202409466"/>
        <s v="FI24066"/>
        <s v="AG2196"/>
        <s v="AG2197"/>
        <s v="AG2198"/>
        <s v="AG2199"/>
        <s v="17475"/>
        <s v="202409479"/>
        <s v="202409481"/>
        <s v="FI24067"/>
        <s v="FI24068"/>
        <s v="FI24069"/>
        <s v="FIM2024144"/>
        <s v="89976"/>
        <s v="FA1644887"/>
        <s v="FA1644888"/>
        <s v="FI24070"/>
        <s v="2400020650"/>
        <s v="10163512"/>
        <s v="FAC2405187"/>
        <s v="FAC2405188"/>
        <s v="202409614"/>
        <s v="AG2242"/>
        <s v="AG2243"/>
        <s v="202409668"/>
        <s v="202409670"/>
        <s v="202409676"/>
        <s v="202409677"/>
        <s v="202409686"/>
        <s v="80191334"/>
        <s v="80191369"/>
        <s v="TFCBFA242440"/>
        <s v="92444"/>
        <s v="160657"/>
        <s v="6353"/>
        <s v="92758"/>
        <s v="AV400724"/>
        <s v="80191492"/>
        <s v="80191529"/>
        <s v="FI24071"/>
        <s v="18052"/>
        <s v="93833"/>
        <s v="477224"/>
        <s v="AG2309"/>
        <s v="94512"/>
        <s v="10163785"/>
        <s v="10163786"/>
        <s v="80191808"/>
        <s v="4879"/>
        <s v="94437"/>
        <s v="80191864"/>
        <s v="AG2331"/>
        <s v="AG2333"/>
        <s v="94961"/>
        <s v="202409999"/>
        <s v="202410010"/>
        <s v="202410035"/>
        <s v="FI24073"/>
        <s v="FI24074"/>
        <s v="FI24075"/>
        <s v="FI24076"/>
        <s v="GT113048"/>
        <s v="AG2364"/>
        <s v="95170"/>
        <s v="95205"/>
        <s v="164145"/>
        <s v="10163895"/>
        <s v="10163896"/>
        <s v="FI24077"/>
        <s v="FI24078"/>
        <s v="80191907"/>
        <s v="18377"/>
        <s v="114777"/>
        <s v="FI24079"/>
        <s v="AV80191529"/>
        <s v="96162"/>
        <s v="20014865"/>
        <s v="202410086"/>
        <s v="80192070"/>
        <s v="80192111"/>
        <s v="96643"/>
        <s v="FI24080"/>
        <s v="FA2405503"/>
        <s v="FAC2405504"/>
        <s v="FA1645350"/>
        <s v="FI24081"/>
        <s v="18662"/>
        <s v="97436"/>
        <s v="97438"/>
        <s v="FI24082"/>
        <s v="80192198"/>
        <s v="80192264"/>
        <s v="80192285"/>
        <s v="202410237"/>
        <s v="202410257"/>
        <s v="202410261"/>
        <s v="FI24083"/>
        <s v="80191906"/>
        <s v="80192069"/>
        <s v="80192169"/>
        <s v="80192286"/>
        <s v="AG2414"/>
        <s v="AG2415"/>
        <s v="18875"/>
        <s v="98279"/>
        <s v="98280"/>
        <s v="98281"/>
        <s v="10164151"/>
        <s v="10164152"/>
        <s v="FA1645434"/>
        <s v="98663"/>
        <s v="98666"/>
        <s v="98668"/>
        <s v="98726"/>
        <s v="98748"/>
        <s v="10164199"/>
        <s v="FI24084"/>
        <s v="FI24085"/>
        <s v="FI24086"/>
        <s v="99128"/>
        <s v="FA1645474"/>
        <s v="FI24087"/>
        <s v="FI24088"/>
        <s v="FI24089"/>
        <s v="FI24090"/>
        <s v="80191861"/>
        <s v="80192520"/>
        <s v="80192601"/>
        <s v="FI24091"/>
        <s v="FI24092"/>
        <s v="19050"/>
        <s v="99618"/>
        <s v="99652"/>
        <s v="99672"/>
        <s v="99673"/>
        <s v="20014877"/>
        <s v="80192466"/>
        <s v="AG2470"/>
        <s v="AG2471"/>
        <s v="AG2472"/>
        <s v="AG2473"/>
        <s v="AG2474"/>
        <s v="FI24093"/>
        <s v="FI24094"/>
        <s v="FI24095"/>
        <s v="FI24096"/>
        <s v="80192465"/>
        <s v="100860"/>
        <s v="EXI24290921"/>
        <s v="101415"/>
        <s v="AVC2401079"/>
        <s v="FI24097"/>
        <s v="FI24098"/>
        <s v="AG2503"/>
        <s v="AG2504"/>
        <s v="AG2505"/>
        <s v="AG2506"/>
        <s v="AG2507"/>
        <s v="AG2508"/>
        <s v="AG2509"/>
        <s v="AG2510"/>
        <s v="AG2511"/>
        <s v="AG2512"/>
        <s v="FA202410655"/>
        <s v="FA202410662"/>
        <s v="AG2573"/>
        <s v="AG2574"/>
        <s v="128038"/>
        <s v="10164443"/>
        <s v="10164444"/>
        <s v="20014945"/>
        <s v="20014948"/>
        <s v="FA202410881"/>
        <s v="8000448557"/>
        <s v="210"/>
        <s v="10164485"/>
        <s v="FI25001"/>
        <s v="80192521"/>
        <s v="80192883"/>
        <s v="80193147"/>
        <s v="1395"/>
        <s v="1525"/>
        <s v="FA202500109"/>
        <s v="01814"/>
        <s v="01815"/>
        <s v="10164617"/>
        <s v="FI25002"/>
        <s v="FA2501000387"/>
        <s v="499"/>
        <s v="02410"/>
        <s v="FI25003"/>
        <s v="FI25004"/>
        <s v="3051"/>
        <s v="008125"/>
        <s v="FA1646089"/>
        <s v="8000449218"/>
        <s v="AG0035"/>
        <s v="AG0036"/>
        <s v="AG0037"/>
        <s v="1900000096"/>
        <s v="8911"/>
        <s v="FA1646214"/>
        <s v="787"/>
        <s v="818"/>
        <s v="011225"/>
        <s v="FA1646279"/>
        <s v="FA1646280"/>
        <s v="FA1646281"/>
        <s v="FA1646282"/>
        <s v="8000449526"/>
        <s v="80193825"/>
        <s v="80193979"/>
        <s v="801939792"/>
        <s v="432025"/>
        <s v="10164930"/>
        <s v="9550005815"/>
        <s v="AG0102"/>
        <s v="6614"/>
        <s v="6629"/>
        <s v="FA1646377"/>
        <s v="80193837"/>
        <s v="481"/>
        <s v="EXI25290062"/>
        <s v="80194171"/>
        <s v="7593"/>
        <s v="7800"/>
        <s v="10165021"/>
        <s v="FI25005"/>
        <s v="FI25006"/>
        <s v="FI25007"/>
        <s v="AG0114"/>
        <s v="AG0133"/>
        <s v="AG0134"/>
        <s v="8412"/>
        <s v="80193928"/>
        <s v="80194402"/>
        <s v="AG0160"/>
        <s v="AG0168"/>
        <s v="FI25008"/>
        <s v="9137"/>
        <s v="FA1646544"/>
        <s v="250002328"/>
        <s v="9616"/>
        <s v="9617"/>
        <s v="022625"/>
        <s v="024425"/>
        <s v="FI25009"/>
        <s v="FI25010"/>
        <s v="1472"/>
        <s v="FTA000028176"/>
        <s v="8000450247"/>
        <s v="80194881"/>
        <s v="80194882"/>
        <s v="761"/>
        <s v="EXI25290104"/>
        <s v="AG0212"/>
        <s v="13321"/>
        <s v="AG0229"/>
        <s v="13624"/>
        <s v="FA1646897"/>
        <s v="14062"/>
        <s v="FI25011"/>
        <s v="80195052"/>
        <s v="FI25012"/>
        <s v="80195240"/>
        <s v="AG0245"/>
        <s v="895"/>
        <s v="15292"/>
        <s v="035725"/>
        <s v="10165539"/>
        <s v="8000450641"/>
        <s v="8000450642"/>
        <s v="1956"/>
        <s v="15721"/>
        <s v="17906"/>
        <s v="FI25013"/>
        <s v="FI25014"/>
        <s v="16304"/>
        <s v="10165591"/>
        <s v="FA202501274"/>
        <s v="80195363"/>
        <s v="80195455"/>
        <s v="801953631"/>
        <s v="AG0276"/>
        <s v="AG0287"/>
        <s v="AG0288"/>
        <s v="AG0289"/>
        <s v="17128"/>
        <s v="17231"/>
        <s v="17263"/>
        <s v="250091"/>
        <s v="FA202501332"/>
        <s v="EXI25290147"/>
        <s v="FI25015"/>
        <s v="80195309"/>
        <s v="FI25016"/>
        <s v="80194999"/>
        <s v="2295"/>
        <s v="17879"/>
        <s v="18463"/>
        <s v="FA1647260"/>
        <s v="FA1647261"/>
        <s v="FA202501428"/>
        <s v="FI25017"/>
        <s v="AG0317"/>
        <s v="AG0318"/>
        <s v="18249"/>
        <s v="FI25018"/>
        <s v="FI25019"/>
        <s v="FIM2025013"/>
        <s v="FA1647370"/>
        <s v="FA202501521"/>
        <s v="FI25020"/>
        <s v="AG0360"/>
        <s v="AG0361"/>
        <s v="AG0362"/>
        <s v="AG0363"/>
        <s v="451449633099"/>
        <s v="80195694"/>
        <s v="2616"/>
        <s v="29729"/>
        <s v="20706"/>
        <s v="EXI252901751"/>
        <s v="EXI252901752"/>
        <s v="1205"/>
        <s v="8000451408"/>
        <s v="FI25021"/>
        <s v="80196046"/>
        <s v="1900000095"/>
        <s v="AG0407"/>
        <s v="32381"/>
        <s v="AG0408"/>
        <s v="22191"/>
        <s v="22432"/>
        <s v="250005170"/>
        <s v="250005170V2"/>
        <s v="FA202501939"/>
        <s v="FI25022"/>
        <s v="FI25023"/>
        <s v="FI25024"/>
        <s v="80196287"/>
        <s v="AG0452"/>
        <s v="AG0453"/>
        <s v="3107"/>
        <s v="23748"/>
        <s v="EXI25290214"/>
        <s v="FI25025"/>
        <s v="FI25026"/>
        <s v="80196527"/>
        <s v="80196577"/>
        <s v="1500003438"/>
        <s v="MAIM1019218"/>
        <s v="24999"/>
        <s v="25005"/>
        <s v="FI25027"/>
        <s v="80196354"/>
        <s v="80196663"/>
        <s v="AG0487"/>
        <s v="AG0488"/>
        <s v="26421"/>
        <s v="26422"/>
        <s v="8000452282"/>
        <s v="BCI202596"/>
        <s v="3452"/>
        <s v="FI25029"/>
        <s v="FI25030"/>
        <s v="FI25031"/>
        <s v="FI25032"/>
        <s v="80196671"/>
        <s v="80196988"/>
        <s v="AG0515"/>
        <s v="AG0516"/>
        <s v="FI25033"/>
        <s v="FI25034"/>
        <s v="80196674"/>
        <s v="80196987"/>
        <s v="3586"/>
        <s v="27946"/>
        <s v="FA1648003"/>
        <s v="FA1648004"/>
        <s v="FI25035"/>
        <s v="80197032"/>
        <s v="1589"/>
        <s v="28328"/>
        <s v="28344"/>
        <s v="28388"/>
        <s v="28410"/>
        <s v="38924"/>
        <s v="AG0553"/>
        <s v="AG0554"/>
        <s v="AG0557"/>
        <s v="AG0573"/>
        <s v="AG0574"/>
        <s v="AG0575"/>
        <s v="AG0576"/>
        <s v="AG0581"/>
        <s v="10166468"/>
        <s v="28995"/>
        <s v="FA1648083"/>
        <s v="8000452914"/>
        <s v="8000452915"/>
        <s v="MAIM1037753"/>
        <s v="FA202502664"/>
        <s v="FI25037"/>
        <s v="2572757855"/>
        <s v="MAIM1040203"/>
        <s v="80197280"/>
        <s v="80197618"/>
        <s v="80197217"/>
        <s v="AG0620"/>
        <s v="3103"/>
        <s v="30829"/>
        <s v="80197766"/>
        <s v="32082"/>
        <s v="32089"/>
        <s v="32162"/>
        <s v="FIM2025013A"/>
        <s v="32444"/>
        <s v="80197727"/>
        <s v="FA202502909"/>
        <s v="FI25038"/>
        <s v="4464"/>
        <s v="49771"/>
        <s v="20256493"/>
        <s v="80198060"/>
        <s v="32965"/>
        <s v="FA1648314"/>
        <s v="FA1648315"/>
        <s v="80198092"/>
        <s v="AG0668"/>
        <s v="AG0669"/>
        <s v="AG0670"/>
        <s v="AG0671"/>
        <s v="34195"/>
        <s v="51589"/>
        <s v="80198032"/>
        <s v="80198175"/>
        <s v="4638"/>
        <s v="344554"/>
        <s v="FI25041"/>
        <s v="FI25042"/>
        <s v="FI25043"/>
        <s v="FI25044"/>
        <s v="FTA000028726"/>
        <s v="FI25045"/>
        <s v="GT115739"/>
        <s v="AG0709"/>
        <s v="AG0710"/>
        <s v="35472"/>
        <s v="35473"/>
        <s v="083225"/>
        <s v="FA202503182"/>
        <s v="80198091"/>
        <s v="80198199"/>
        <s v="80198228"/>
        <s v="36063"/>
        <s v="FA202503208"/>
        <s v="FI25046"/>
        <s v="80198270"/>
        <s v="36349"/>
        <s v="36723"/>
        <s v="36724"/>
        <s v="36725"/>
        <s v="8000453708"/>
        <s v="AG0744"/>
        <s v="AG0745"/>
        <s v="AG0746"/>
        <s v="5164"/>
        <s v="25001415"/>
        <s v="EXI25290348"/>
        <s v="FI25047"/>
        <s v="FI25048"/>
        <s v="FI25049"/>
        <s v="FI25050"/>
        <s v="80198475"/>
        <s v="FI25051"/>
        <s v="252200176"/>
        <s v="252200177"/>
        <s v="80198273"/>
        <s v="80198573"/>
        <s v="38500"/>
        <s v="FA202503470"/>
        <s v="250008705"/>
        <s v="80198574"/>
        <s v="AG0793"/>
        <s v="AG0794"/>
        <s v="AG0796"/>
        <s v="AG0797"/>
        <s v="48743"/>
        <s v="FA202503489"/>
        <s v="FI25052"/>
        <s v="80198741"/>
        <s v="39097"/>
        <s v="39099"/>
        <s v="39100"/>
        <s v="FI25053"/>
        <s v="FI25054"/>
        <s v="FI25055"/>
        <s v="FI25056"/>
        <s v="39862"/>
        <s v="10167183"/>
        <s v="5591"/>
        <s v="46527"/>
        <s v="L134725"/>
        <s v="10167239"/>
        <s v="DK00000021"/>
        <s v="80198989"/>
        <s v="80198990"/>
        <s v="45048"/>
        <s v="FA202503744"/>
        <s v="EXI25290380"/>
        <s v="80199073"/>
        <s v="AG0862"/>
        <s v="AG0863"/>
        <s v="AG0864"/>
        <s v="AG0865"/>
        <s v="42500"/>
        <s v="42502"/>
        <s v="42581"/>
        <s v="42715"/>
        <s v="42794"/>
        <s v="45676"/>
        <s v="FA1648992"/>
        <s v="5836"/>
        <s v="42691"/>
        <s v="L141025"/>
        <s v="L141125"/>
        <s v="FA1649008"/>
        <s v="FI25057"/>
        <s v="FI25058"/>
        <s v="FI25059"/>
        <s v="FA2025033950"/>
        <s v="FI25060"/>
        <s v="5975"/>
        <s v="AG0925"/>
        <s v="AG0926"/>
        <s v="AG0927"/>
        <s v="AG0928"/>
        <s v="47465"/>
        <s v="68232"/>
        <s v="2734"/>
        <s v="70593"/>
        <s v="VTVR000278"/>
        <s v="FA202504236"/>
        <s v="FA202504238"/>
        <s v="FA202504240"/>
        <s v="AG0952"/>
        <s v="AG0989"/>
        <s v="FA1649329"/>
        <s v="FA1649330"/>
        <s v="FA202504391"/>
        <s v="80199973"/>
        <s v="80200053"/>
        <s v="80200054"/>
        <s v="FA2505001687"/>
        <s v="6519"/>
        <s v="49248"/>
        <s v="49311"/>
        <s v="10167783"/>
        <s v="FA1649451"/>
        <s v="EXI252904451"/>
        <s v="EXI252904452"/>
        <s v="49745"/>
        <s v="FI25061"/>
        <s v="FI25062"/>
        <s v="FI25063"/>
        <s v="80200287"/>
        <s v="AG1073"/>
        <s v="AG1074"/>
        <s v="AG1075"/>
        <s v="6731"/>
        <s v="50558"/>
        <s v="50854"/>
        <s v="FA202504794"/>
        <s v="3008"/>
        <s v="250011372"/>
        <s v="78861"/>
        <s v="FI25064"/>
        <s v="FI25065"/>
        <s v="80200503"/>
        <s v="10167976"/>
        <s v="10167982"/>
        <s v="10167984"/>
        <s v="10168010"/>
        <s v="FA202504890"/>
        <s v="AG1098"/>
        <s v="10168080"/>
        <s v="10168084"/>
        <s v="80200640"/>
        <s v="80200655"/>
        <s v="52718"/>
        <s v="10168086"/>
        <s v="10168087"/>
        <s v="10168127"/>
        <s v="7025"/>
        <s v="53653"/>
        <s v="53657"/>
        <s v="FI25066"/>
        <s v="53732"/>
        <s v="53734"/>
        <s v="53995"/>
        <s v="54007"/>
        <s v="54025"/>
        <s v="54036"/>
        <s v="54061"/>
        <s v="054075"/>
        <s v="MAIM1067650"/>
        <s v="80200594"/>
        <s v="80200812"/>
        <s v="AG1133"/>
        <s v="54269"/>
        <s v="FA1649705"/>
        <s v="FA1649706"/>
        <s v="FA1649707"/>
        <s v="80200933"/>
        <s v="54697"/>
        <s v="55056"/>
        <s v="L192225"/>
        <s v="L192325"/>
        <s v="L192425"/>
        <s v="10168219"/>
        <s v="FA202505141"/>
        <s v="80200813"/>
        <s v="7319"/>
        <s v="55268"/>
        <s v="FI25067"/>
        <s v="FI25068"/>
        <s v="FI25069"/>
        <s v="FI25070"/>
        <s v="FI25071"/>
        <s v="55726"/>
        <s v="55889"/>
        <s v="86021"/>
        <s v="FI25072"/>
        <s v="AG1171"/>
        <s v="AG1172"/>
        <s v="AG1175"/>
        <s v="FA202505298"/>
        <s v="DK00002109"/>
        <s v="DK00002127"/>
        <s v="DK00002134"/>
        <s v="FI25073"/>
        <s v="FA202505335"/>
        <s v="FI25074"/>
        <s v="80200791"/>
        <s v="80201209"/>
        <s v="AG1214"/>
        <s v="AG1215"/>
        <s v="AG1216"/>
        <s v="AG1221"/>
        <s v="57180"/>
        <s v="57390"/>
        <s v="L201325"/>
        <s v="L201425"/>
        <s v="L201525"/>
        <s v="L201625"/>
        <s v="L201725"/>
        <s v="FA1649871"/>
        <s v="80201328"/>
        <s v="80201329"/>
        <s v="57988"/>
        <s v="FI25075"/>
        <s v="FI25076"/>
        <s v="80201355"/>
        <s v="80201356"/>
        <s v="80201377"/>
        <s v="FA2506001806"/>
        <s v="7905"/>
        <s v="58556"/>
        <s v="58558"/>
        <s v="58594"/>
        <s v="FI25077"/>
        <s v="80201448"/>
        <s v="AG1259"/>
        <s v="AG1260"/>
        <s v="FI25078"/>
        <s v="80201449"/>
        <s v="FI25079"/>
        <s v="FI25080"/>
        <s v="59385"/>
        <s v="DK00002631"/>
        <s v="DK00002646"/>
        <s v="80201631"/>
        <s v="80201632"/>
        <s v="1900000171"/>
        <s v="AG1297"/>
        <s v="AG1298"/>
        <s v="AG1299"/>
        <s v="AG1300"/>
        <s v="AG1312"/>
        <s v="9996"/>
        <s v="FI25081"/>
        <s v="FI25082"/>
        <s v="80201782"/>
        <s v="8105"/>
        <s v="80201774"/>
        <s v="4771"/>
        <s v="DK00003033"/>
        <s v="1275"/>
        <s v="66373"/>
        <s v="DK00002999"/>
        <s v="EXI25290562"/>
        <s v="FI25083"/>
        <s v="1869"/>
        <s v="FAC2502441"/>
        <s v="FAC2502442"/>
        <s v="FAC2502443"/>
        <s v="FA202505897"/>
        <s v="80201986"/>
        <s v="80201987"/>
        <s v="2706"/>
        <s v="10168858"/>
        <s v="FAC1650234"/>
        <s v="FI25084"/>
        <s v="8455"/>
        <s v="10168897"/>
        <s v="FA202505981"/>
        <s v="DK00003272"/>
        <s v="10168930"/>
        <s v="FI25085"/>
        <s v="80202091"/>
        <s v="AG1372"/>
        <s v="AG1373"/>
        <s v="AG1374"/>
        <s v="9647"/>
        <s v="10168965"/>
        <s v="10168966"/>
        <s v="EXI25290589"/>
        <s v="80202092"/>
        <s v="4109"/>
        <s v="4389"/>
        <s v="4429"/>
        <s v="4543"/>
        <s v="4666"/>
        <s v="8691"/>
        <s v="FA202506152"/>
        <s v="80202210"/>
        <s v="10169043"/>
        <s v="10169046"/>
        <s v="FI25086"/>
        <s v="AG1408"/>
        <s v="5156"/>
        <s v="FI25087"/>
        <s v="4048"/>
        <s v="5925"/>
        <s v="5926"/>
        <s v="FI25088"/>
        <s v="FTA000029469"/>
        <s v="MAIMI1081126"/>
        <s v="FA1650530"/>
        <s v="80202274"/>
        <s v="80202597"/>
        <s v="FIM2025051"/>
        <s v="FIM2025052"/>
        <s v="FIM2025051B"/>
        <s v="FIM2025052B"/>
        <s v="6602"/>
        <s v="9034"/>
        <s v="66614"/>
        <s v="250373"/>
        <s v="80202528"/>
        <s v="80202540"/>
        <s v="AG1450"/>
        <s v="AG1451"/>
        <s v="AG1452"/>
        <s v="3558090"/>
        <s v="7417"/>
        <s v="FI25089"/>
        <s v="FI25090"/>
        <s v="80202724"/>
        <s v="80202756"/>
        <s v="AG1463"/>
        <s v="L243225"/>
        <s v="L243325"/>
        <s v="L243425"/>
        <s v="L243525"/>
        <s v="L243825"/>
        <s v="7784"/>
        <s v="7890"/>
        <s v="7895"/>
        <s v="L245625"/>
        <s v="80202866"/>
        <s v="4276"/>
        <s v="4278"/>
        <s v="4279"/>
        <s v="9320"/>
        <s v="FI25091"/>
        <s v="FI25092"/>
        <s v="8861"/>
        <s v="09337"/>
        <s v="7912"/>
        <s v="FI25093"/>
        <s v="AG1501"/>
        <s v="AG1502"/>
        <s v="10169497"/>
        <s v="DK00003875"/>
        <s v="DK00003876"/>
        <s v="FA1650876"/>
        <s v="FA202506739"/>
        <s v="AG1519"/>
        <s v="AG1520"/>
        <s v="AG1521"/>
        <s v="AG1522"/>
        <s v="AG1552"/>
        <s v="AG1577"/>
        <s v="MAIM1086224"/>
        <s v="80202924"/>
        <s v="80203339"/>
        <s v="FIM2025060"/>
        <s v="0823"/>
        <s v="1113"/>
        <s v="10169579"/>
        <s v="10169581"/>
        <s v="DK00004101"/>
        <s v="FI25094"/>
        <s v="1389"/>
        <s v="9685"/>
        <s v="10169638"/>
        <s v="EXI25290658"/>
        <s v="10169676"/>
        <s v="DK00004261"/>
        <s v="FI25095"/>
        <s v="80203617"/>
        <s v="1906"/>
        <s v="4624"/>
        <s v="10169705"/>
        <s v="10169707"/>
        <s v="4651"/>
        <s v="5339"/>
        <s v="9965"/>
        <s v="L263725"/>
        <s v="L263825"/>
        <s v="80203739"/>
        <s v="AG1609"/>
        <s v="AG1610"/>
        <s v="2901"/>
        <s v="2908"/>
        <s v="3284"/>
        <s v="3126"/>
        <s v="L269425"/>
        <s v="L269525"/>
        <s v="L269625"/>
        <s v="80203779"/>
        <s v="80203780"/>
        <s v="AG1629"/>
        <s v="AG1630"/>
        <s v="0229"/>
        <s v="3906"/>
        <s v="FA202507108"/>
        <s v="10169884"/>
        <s v="4220"/>
        <s v="4358"/>
        <s v="4424"/>
        <s v="FI25096"/>
        <s v="FI25097"/>
        <s v="FI25098"/>
        <s v="FI25099"/>
        <s v="FI25100"/>
        <s v="FIM2025064"/>
        <s v="4642"/>
        <s v="10169920"/>
        <s v="DK00004795"/>
        <s v="DK00004823"/>
        <s v="80204067"/>
        <s v="80204092"/>
        <s v="0458"/>
        <s v="5600"/>
        <s v="80204146"/>
        <s v="80204152"/>
        <s v="AG1695"/>
        <s v="AG1696"/>
        <s v="AG1697"/>
        <s v="DK00005034"/>
        <s v="4876"/>
        <s v="5700"/>
        <s v="5878"/>
        <s v="5931"/>
        <s v="10170036"/>
        <s v="10170037"/>
        <s v="FA1651396"/>
        <s v="FA1651398"/>
        <s v="AG1709"/>
        <s v="6512"/>
        <s v="6521"/>
        <s v="DK00005179"/>
        <s v="EXI252906851"/>
        <s v="EXI252906852"/>
        <s v="EXI252906853"/>
        <s v="FI25101"/>
        <s v="80204412"/>
        <s v="0724"/>
        <s v="6917"/>
        <s v="6919"/>
        <s v="7229"/>
        <s v="DK00005370"/>
        <s v="FI25102"/>
        <s v="FI25103"/>
        <s v="FI25105"/>
        <s v="80204303"/>
        <s v="80204438"/>
        <s v="80204441"/>
        <s v="AG1759"/>
        <s v="AG1760"/>
        <s v="AG1761"/>
        <s v="AG1762"/>
        <s v="7260"/>
        <s v="7311"/>
        <s v="L277925"/>
        <s v="FI25106"/>
        <s v="FI25107"/>
        <s v="80204522"/>
        <s v="7599"/>
        <s v="7604"/>
        <s v="7869"/>
        <s v="80204286"/>
        <s v="0942"/>
        <s v="7973"/>
        <s v="7986"/>
        <s v="77893"/>
        <s v="FAC2503259"/>
        <s v="FAC2503260"/>
        <s v="FI25108"/>
        <s v="MAIM1095374"/>
        <s v="MAIM1095375"/>
        <s v="FI25109"/>
        <s v="FI25110"/>
        <s v="FI25111"/>
        <s v="FI25112"/>
        <s v="FI25113"/>
        <s v="AG1808"/>
        <s v="AG1809"/>
        <s v="AG1810"/>
        <s v="AG1811"/>
        <s v="AG1812"/>
        <s v="AG1813"/>
        <s v="AG1814"/>
        <s v="AG1815"/>
        <s v="AG1816"/>
        <s v="AG1817"/>
        <s v="AG1818"/>
        <s v="0981"/>
        <s v="8329"/>
        <s v="8460"/>
        <s v="10170333"/>
        <s v="FI25114"/>
        <s v="1059"/>
        <s v="7348"/>
        <s v="10170375"/>
        <s v="10170430"/>
        <s v="FI25115"/>
        <s v="FI25116"/>
        <s v="9109"/>
        <s v="9240"/>
        <s v="80204211"/>
        <s v="80204217"/>
        <s v="80204856"/>
        <s v="80204857"/>
        <s v="80204966"/>
        <s v="5166"/>
        <s v="0016"/>
        <s v="0057"/>
        <s v="9805"/>
        <s v="9807"/>
        <s v="9815"/>
        <s v="FAC2503366"/>
        <s v="FAC2503367"/>
        <s v="L297625"/>
        <s v="L297725"/>
        <s v="L297825"/>
        <s v="L297925"/>
        <s v="L298025"/>
        <s v="L298125"/>
        <s v="L298225"/>
        <s v="5221"/>
        <s v="FI25117"/>
        <s v="FI25118"/>
        <s v="FI25119"/>
        <s v="80205270"/>
        <s v="80205305"/>
        <s v="FA1651833"/>
        <s v="FA1651834"/>
        <s v="AG1875"/>
        <s v="AG1876"/>
        <s v="1009"/>
        <s v="1020"/>
        <s v="1322"/>
        <s v="1563"/>
        <s v="FA202507916"/>
        <s v="FI25120"/>
        <s v="FI25121"/>
        <s v="AG1913"/>
        <s v="AG1914"/>
        <s v="AG1915"/>
        <s v="AG1916"/>
        <s v="AG1917"/>
        <s v="3569"/>
        <s v="FI25122"/>
        <s v="80205329"/>
        <s v="1264819563"/>
        <s v="80205642"/>
        <s v="L308525"/>
        <s v="L308625"/>
        <s v="10170835"/>
        <s v="FAC2503575"/>
        <s v="FA202508034"/>
        <s v="80205643"/>
        <s v="AG1953"/>
        <s v="AG1954"/>
        <s v="AG1955"/>
        <s v="2929"/>
        <s v="10170915"/>
        <s v="3326"/>
        <s v="3361"/>
        <s v="10170966"/>
        <s v="FI25123"/>
        <s v="FI25124"/>
        <s v="2040"/>
        <s v="3871"/>
        <s v="4143"/>
        <s v="AG1999"/>
        <s v="AG2000"/>
        <s v="80206163"/>
        <s v="5471"/>
        <s v="L326025"/>
        <s v="L326125"/>
        <s v="L326225"/>
        <s v="FI25125"/>
        <s v="2335"/>
        <s v="FAC2503804"/>
        <s v="FA1652354"/>
        <s v="FA202508667"/>
        <s v="AG2058"/>
        <s v="10171303"/>
        <s v="80206168"/>
        <s v="FIM2025079"/>
        <s v="87519"/>
        <s v="87916"/>
        <s v="10171405"/>
        <s v="EXI25290810"/>
        <s v="FI25126"/>
        <s v="FAC2503908"/>
        <s v="10171440"/>
        <s v="80206820"/>
        <s v="2691"/>
        <s v="5786"/>
        <s v="80206932"/>
        <s v="89273"/>
        <s v="89388"/>
        <s v="89428"/>
        <s v="10171544"/>
        <s v="FA1652527"/>
        <s v="DK00008332"/>
        <s v="80206904"/>
        <s v="AG2095"/>
        <s v="89680"/>
        <s v="10171578"/>
        <s v="FA1652536"/>
        <s v="DK00008412"/>
        <s v="FI25127"/>
        <s v="89846"/>
        <s v="L342425"/>
        <s v="FI25128"/>
        <s v="AG2118"/>
        <s v="FI25129"/>
        <s v="90385"/>
        <s v="90517"/>
        <s v="10171657"/>
        <s v="DK00008565"/>
        <s v="FI25130"/>
        <s v="AG2173"/>
        <s v="AG2174"/>
        <s v="AG2175"/>
        <s v="13129"/>
        <s v="DK00008741"/>
        <s v="1500003585"/>
        <s v="91314"/>
        <s v="EXI252908481"/>
        <s v="EXI252908482"/>
        <s v="92973"/>
        <s v="80207582"/>
        <s v="13450"/>
        <s v="BCI20253211"/>
        <s v="AVC2500661"/>
        <s v="L355925"/>
        <s v="L356025"/>
        <s v="L356125"/>
        <s v="AG2221"/>
        <s v="93779"/>
        <s v="80207587"/>
        <s v="FI25131"/>
        <s v="80206667"/>
        <s v="80207573"/>
        <s v="94555"/>
        <s v="FA202509549"/>
        <s v="EXI25290881"/>
        <s v="157491"/>
        <s v="FI25132"/>
        <s v="95129"/>
        <s v="95132"/>
        <s v="250023780"/>
        <s v="80207734"/>
        <s v="AG2249"/>
        <s v="DK00009430"/>
        <s v="FI25133"/>
        <s v="FI25134"/>
        <s v="96148"/>
        <s v="FA202509550"/>
        <s v="10172163"/>
        <s v="FI25135"/>
        <s v="10172278"/>
        <s v="FA202509861"/>
        <s v="AG2281"/>
        <s v="AG2282"/>
        <s v="AG2283"/>
        <s v="AG2284"/>
        <s v="97923"/>
        <s v="10172260"/>
        <s v="14255"/>
        <s v="FTA000030374"/>
        <s v="98562"/>
        <s v="551"/>
        <s v="10172415"/>
        <s v="10172418"/>
        <s v="DK00010006"/>
        <s v="FI25136"/>
        <s v="FAC2504529"/>
        <s v="FAC1653232"/>
        <s v="FAC1653233"/>
        <s v="99662"/>
        <s v="100096"/>
        <s v="100331"/>
        <s v="14481"/>
        <s v="165963"/>
        <s v="L385625"/>
        <s v="L385725"/>
        <s v="FTA000030430"/>
        <s v="BCI20253209"/>
        <s v="BCI20253210"/>
        <s v="AG2340"/>
        <s v="114341"/>
        <s v="L387225"/>
        <s v="80208797"/>
        <s v="101407"/>
        <s v="101456"/>
        <s v="L389225"/>
        <s v="FA202510122"/>
        <s v="FA202510151"/>
        <s v="EXI252909381"/>
        <s v="EXI252909382"/>
        <s v="101841"/>
        <s v="L391725"/>
        <s v="L392325"/>
        <s v="FI25137"/>
        <s v="FI25138"/>
        <s v="102672"/>
        <s v="80209102"/>
        <s v="14762"/>
        <s v="103726"/>
        <s v="104090"/>
        <s v="FA1653486"/>
        <s v="FA1653487"/>
        <s v="DK00010690"/>
        <s v="AG2410"/>
        <s v="AG2411"/>
        <s v="FAC2504737"/>
        <s v="L399925"/>
        <s v="L400025"/>
        <s v="FI25139"/>
        <s v="172742"/>
        <s v="6645"/>
        <s v="15122"/>
        <s v="FA1653580"/>
        <s v="FA202510460"/>
        <s v="105415"/>
        <s v="1727422"/>
        <s v="80209583"/>
        <s v="AG2448"/>
        <s v="6706"/>
        <s v="FAC2504835"/>
        <s v="FA1653637"/>
        <s v="FA202510536"/>
        <s v="AG24700"/>
        <s v="106804"/>
        <s v="FI25140"/>
        <s v="FI25141"/>
        <s v="AG2481"/>
        <s v="AG25008"/>
        <s v="AG25009"/>
        <s v="L407825"/>
        <s v="15612"/>
        <s v="FAC2504953"/>
        <s v="80209484"/>
        <s v="80209972"/>
        <s v="FAC2504978"/>
        <s v="FI25142"/>
        <s v="109412"/>
        <s v="175044"/>
        <s v="EXI252901012"/>
        <s v="109747"/>
        <s v="FI25143"/>
        <s v="15889"/>
        <s v="L418525"/>
        <s v="FA202510986"/>
        <s v="80210316"/>
        <s v="183177"/>
        <s v="16195"/>
        <s v="111945"/>
        <s v="184079"/>
        <s v="184083"/>
        <s v="FI25144"/>
        <s v="10173405"/>
        <s v="FA202511211"/>
        <s v="FA202511213"/>
        <s v="FA202511214"/>
        <s v="FA202511216"/>
        <s v="80210423"/>
        <s v="AG2620"/>
        <s v="AG2621"/>
        <s v="16472"/>
        <s v="80210659"/>
        <s v="AG2641"/>
        <s v="80210719"/>
        <s v="80210720"/>
        <s v="80210773"/>
        <s v="16673"/>
        <s v="115318"/>
        <s v="115940"/>
        <s v="AG2731"/>
        <s v="16835"/>
        <s v="117061"/>
        <s v="FA1654390"/>
        <s v="AG2759"/>
        <s v="117776"/>
        <s v="117830"/>
        <s v="17158"/>
        <s v="118378"/>
        <s v="55802"/>
        <s v="L453225"/>
        <s v="EXI252901076"/>
        <s v="1900000069"/>
        <s v="AG2806"/>
        <s v="AG2807"/>
        <s v="AG2817"/>
        <s v="1048"/>
        <s v="FA202600104"/>
        <s v="DK00012689"/>
        <s v="FI26001"/>
        <s v="FI26002"/>
        <s v="FA24280"/>
        <s v="80211184"/>
        <s v="80211213"/>
        <s v="80211222"/>
        <s v="2472"/>
        <s v="2591"/>
        <s v="2618"/>
        <s v="55487"/>
        <s v="FA1654608"/>
        <s v="FA1654609"/>
        <s v="FI26003"/>
        <s v="80211185"/>
        <s v="80211347"/>
        <s v="FA1654648"/>
        <s v="80211375"/>
        <s v="FI26004"/>
        <s v="FI26005"/>
        <s v="FI26006"/>
        <s v="FI26007"/>
        <s v="FI26008"/>
        <s v="80211331"/>
        <s v="3507"/>
        <s v="3703"/>
        <s v="FA1654653"/>
        <s v="80211459"/>
        <s v="3911"/>
        <s v="FA1654736"/>
        <s v="FI26009"/>
        <s v="4563"/>
        <s v="4573"/>
        <s v="80211525"/>
        <s v="FA1654803"/>
        <s v="AG0092"/>
        <s v="AG0093"/>
        <s v="AG0094"/>
        <s v="AG0096"/>
        <s v="AG0097"/>
        <s v="FI26010"/>
        <s v="AG0095"/>
        <s v="5938"/>
        <s v="10173955"/>
        <s v="10173956"/>
        <s v="260001800"/>
        <s v="FI26011"/>
        <s v="14495"/>
        <s v="80211738"/>
        <s v="80211937"/>
        <s v="AG0140"/>
        <s v="AG0145"/>
        <s v="11968"/>
        <s v="FA1654971"/>
        <s v="FI26012"/>
        <s v="FI26013"/>
        <s v="FI26014"/>
        <s v="AG0181"/>
        <s v="FA202600778"/>
        <s v="8350"/>
        <s v="8381"/>
        <s v="12539"/>
        <s v="FI26015"/>
        <s v="FI26016"/>
        <s v="80212111"/>
        <s v="160305085"/>
        <s v="FA202600917"/>
        <s v="80211528"/>
        <s v="80211739"/>
        <s v="80211740"/>
        <s v="8853"/>
        <s v="80212448"/>
        <s v="80212521"/>
        <s v="564"/>
        <s v="9926"/>
        <s v="FI26017"/>
        <s v="FI26018"/>
        <s v="9920"/>
        <s v="10332"/>
        <s v="10478"/>
        <s v="10558"/>
        <s v="821"/>
        <s v="11007"/>
        <s v="FA202601073"/>
        <s v="FI26019"/>
        <s v="FI26020"/>
        <s v="FI26021"/>
        <s v="10174477"/>
        <s v="AG0253"/>
        <s v="AG0254"/>
        <s v="AG0255"/>
        <s v="AG0256"/>
        <s v="L035126"/>
        <s v="FA1655453"/>
        <s v="BC12026518"/>
        <s v="775"/>
        <s v="1108"/>
        <s v="FA1655482"/>
        <s v="80211988"/>
        <s v="80213042"/>
        <s v="80213043"/>
        <s v="80213075"/>
        <s v="AG0301"/>
        <s v="AG0302"/>
        <s v="AG0303"/>
        <s v="AG0311"/>
        <s v="14226"/>
        <s v="14238"/>
        <s v="14251"/>
        <s v="14256"/>
        <s v="80213155"/>
        <s v="80213156"/>
        <s v="FI26022"/>
        <s v="AG0344"/>
        <s v="FA1655712"/>
        <s v="FA1655713"/>
        <s v="FA1655714"/>
        <s v="FI26023"/>
        <s v="FI26024"/>
        <s v="FI26025"/>
        <s v="15348"/>
        <s v="15405"/>
        <s v="EXI262901281"/>
        <s v="EXI262901282"/>
        <s v="EXI262901283"/>
        <s v="80212870"/>
        <s v="FI26026"/>
        <s v="FI26027"/>
        <s v="AG0381"/>
        <s v="AG0382"/>
        <s v="AG0383"/>
        <s v="AG0384"/>
        <s v="16989"/>
        <s v="80213503"/>
        <s v="8860"/>
        <s v="AG0419"/>
        <s v="AG0420"/>
        <s v="AG0437"/>
        <s v="18106"/>
        <s v="80213397"/>
        <s v="80213539"/>
        <s v="18137"/>
        <s v="FI26028"/>
        <s v="80213341"/>
        <s v="80213786"/>
        <s v="80213787"/>
        <s v="19302"/>
        <s v="19359"/>
        <s v="FI26029"/>
        <s v="FI26030"/>
        <s v="FI26031"/>
        <s v="80213863"/>
        <s v="80213885"/>
        <s v="80213912"/>
        <s v="2579"/>
        <s v="20165"/>
        <s v="20166"/>
        <s v="20239"/>
        <s v="80214011"/>
        <s v="FI26032"/>
        <s v="FI26033"/>
        <s v="FI26034"/>
        <s v="AG0481"/>
        <s v="AG0482"/>
        <s v="AG0483"/>
        <s v="FI26035"/>
        <s v="FI26036"/>
        <s v="17137"/>
        <s v="20965"/>
        <s v="20974"/>
        <s v="21017"/>
        <s v="21032"/>
        <s v="FI26037"/>
        <s v="FI26038"/>
        <s v="BC12026773"/>
        <s v="80213920"/>
        <s v="80214050"/>
        <s v="123"/>
        <s v="23006"/>
        <s v="23014"/>
        <s v="FA1656151"/>
        <s v="80211575"/>
        <s v="80214051"/>
        <s v="80214181"/>
        <s v="AG0517"/>
        <s v="AG0518"/>
        <s v="AG0519"/>
        <s v="AG0520"/>
        <s v="AG0521"/>
        <s v="AG0522"/>
        <s v="AG00515"/>
        <s v="FI26039"/>
        <s v="23954"/>
        <s v="24045"/>
        <s v="10175191"/>
        <s v="0010175162"/>
        <s v="80213921"/>
        <s v="23986"/>
        <s v="3574"/>
        <s v="24956"/>
        <s v="FI26040"/>
        <s v="80214377"/>
        <s v="80214388"/>
        <s v="3898"/>
        <s v="FI26041"/>
        <s v="FI26042"/>
        <s v="FI26043"/>
        <s v="EXI26290214"/>
        <s v="26258"/>
        <s v="26307"/>
        <s v="26080"/>
        <s v="38095"/>
        <s v="FA1656368"/>
        <s v="AG0577"/>
        <s v="AG0578"/>
        <s v="AG0579"/>
        <s v="AG0580"/>
        <s v="AG00575"/>
        <s v="AG00576"/>
        <s v="27515"/>
        <s v="FA1656415"/>
        <s v="FI26044"/>
        <s v="FA202602545"/>
        <s v="4813"/>
        <s v="80214475"/>
        <s v="80214819"/>
        <s v="AG0629"/>
        <s v="AG0630"/>
        <s v="FI26045"/>
        <s v="FI26046"/>
        <s v="FI26047"/>
        <s v="FI26048"/>
        <s v="AG00670"/>
        <s v="AG00671"/>
        <m/>
      </sharedItems>
    </cacheField>
    <cacheField name="Référence" numFmtId="0">
      <sharedItems containsDate="1" containsBlank="1" containsMixedTypes="1" minDate="2020-04-01T00:00:00" maxDate="2026-10-02T00:00:00"/>
    </cacheField>
    <cacheField name="Date" numFmtId="0">
      <sharedItems containsNonDate="0" containsDate="1" containsString="0" containsBlank="1" minDate="2020-01-02T00:00:00" maxDate="2026-04-01T00:00:00"/>
    </cacheField>
    <cacheField name="N° fournisseur" numFmtId="0">
      <sharedItems containsBlank="1"/>
    </cacheField>
    <cacheField name="Intitulé fournisseur" numFmtId="0">
      <sharedItems containsBlank="1"/>
    </cacheField>
    <cacheField name="Hors taxe" numFmtId="0">
      <sharedItems containsString="0" containsBlank="1" containsNumber="1" minValue="19.1675" maxValue="1968628.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THMANE" refreshedDate="46193.490934374997" createdVersion="7" refreshedVersion="7" minRefreshableVersion="3" recordCount="445" xr:uid="{2F57C019-D821-4D5C-AC49-9247F45B0616}">
  <cacheSource type="worksheet">
    <worksheetSource ref="A1:F1048576" sheet="Nomenclatures Article lié"/>
  </cacheSource>
  <cacheFields count="6">
    <cacheField name="Type" numFmtId="0">
      <sharedItems containsBlank="1"/>
    </cacheField>
    <cacheField name="Référence article" numFmtId="0">
      <sharedItems containsBlank="1" count="442">
        <s v="0020302NK0906"/>
        <s v="020202IL0404"/>
        <s v="020202IL0502"/>
        <s v="020202IL0503"/>
        <s v="020202NL0301"/>
        <s v="020202NL0401"/>
        <s v="020202NL0402"/>
        <s v="020202NL0501"/>
        <s v="020203IL0501"/>
        <s v="020203NL0501"/>
        <s v="020203NL0502"/>
        <s v="020203NL0503"/>
        <s v="020203NL0504"/>
        <s v="020203NL0505"/>
        <s v="020203NL0506"/>
        <s v="020203NL0507"/>
        <s v="020203NL0508"/>
        <s v="020203NL1101"/>
        <s v="020203NL1102"/>
        <s v="020203NL1511"/>
        <s v="020302AL1002"/>
        <s v="020302AL9101"/>
        <s v="020302IK0301"/>
        <s v="020302IK0302"/>
        <s v="020302IK0401"/>
        <s v="020302IK0402"/>
        <s v="020302IK0403"/>
        <s v="020302IK0404"/>
        <s v="020302IK0405"/>
        <s v="020302IK0406"/>
        <s v="020302IK0407"/>
        <s v="020302IK0408"/>
        <s v="020302IK0409"/>
        <s v="020302IK0410"/>
        <s v="020302IK0411"/>
        <s v="020302IK0413"/>
        <s v="020302IK0414"/>
        <s v="020302IK0416"/>
        <s v="020302IK0417"/>
        <s v="020302IK0501"/>
        <s v="020302IK0502"/>
        <s v="020302IK0503"/>
        <s v="020302IK0506"/>
        <s v="020302IK0507"/>
        <s v="020302IK0508"/>
        <s v="020302IK0510"/>
        <s v="020302IK0511"/>
        <s v="020302IK0512"/>
        <s v="020302IK0513"/>
        <s v="020302IK0514"/>
        <s v="020302IK0515"/>
        <s v="020302IK0516"/>
        <s v="020302IK0517"/>
        <s v="020302IK0518"/>
        <s v="020302IK0519"/>
        <s v="020302IK0520"/>
        <s v="020302IK0521"/>
        <s v="020302IK0522"/>
        <s v="020302IK0523"/>
        <s v="020302IK0527"/>
        <s v="020302IK0528"/>
        <s v="020302IK0529"/>
        <s v="020302IK0530"/>
        <s v="020302IK0531"/>
        <s v="020302IK0532"/>
        <s v="020302IK0533"/>
        <s v="020302IK0534"/>
        <s v="020302IK0535"/>
        <s v="020302IK0537"/>
        <s v="020302IK0538"/>
        <s v="020302IK0539"/>
        <s v="020302IK0541"/>
        <s v="020302IK0542"/>
        <s v="020302IK0543"/>
        <s v="020302IK0544"/>
        <s v="020302IK0545"/>
        <s v="020302IK0546"/>
        <s v="020302IK0547"/>
        <s v="020302IK0548"/>
        <s v="020302IK0549"/>
        <s v="020302IK0550"/>
        <s v="020302IK0551"/>
        <s v="020302IK0552"/>
        <s v="020302IK0553"/>
        <s v="020302IK0554"/>
        <s v="020302IK0555"/>
        <s v="020302IK0556"/>
        <s v="020302IK0557"/>
        <s v="020302IK0558"/>
        <s v="020302IK0801"/>
        <s v="020302IK0802"/>
        <s v="020302IK0803"/>
        <s v="020302IK0804"/>
        <s v="020302IK0805"/>
        <s v="020302IK0807"/>
        <s v="020302IK0808"/>
        <s v="020302IK0809"/>
        <s v="020302IK0810"/>
        <s v="020302IK0811"/>
        <s v="020302IK0816"/>
        <s v="020302IK0817"/>
        <s v="020302IK0901"/>
        <s v="020302IK0902"/>
        <s v="020302IK0903"/>
        <s v="020302IK0904"/>
        <s v="020302IK0905"/>
        <s v="020302IK0906"/>
        <s v="020302IK0907"/>
        <s v="020302IK0908"/>
        <s v="020302IK0990"/>
        <s v="020302IK1001"/>
        <s v="020302IK1002"/>
        <s v="020302IK1004"/>
        <s v="020302IK1005"/>
        <s v="020302IK1006"/>
        <s v="020302IK1007"/>
        <s v="020302IK1008"/>
        <s v="020302IK1009"/>
        <s v="020302IK1010"/>
        <s v="020302IK1011"/>
        <s v="020302IK1105"/>
        <s v="020302IK1106"/>
        <s v="020302IK1107"/>
        <s v="020302IK1108"/>
        <s v="020302IK1109"/>
        <s v="020302IK1110"/>
        <s v="020302IK1111"/>
        <s v="020302IK1112"/>
        <s v="020302IK1113"/>
        <s v="020302IK1114"/>
        <s v="020302IK1115"/>
        <s v="020302IK1116"/>
        <s v="020302IK1117"/>
        <s v="020302IK1118"/>
        <s v="020302IK1198"/>
        <s v="020302IK1199"/>
        <s v="020302IM0101"/>
        <s v="020302IM0102"/>
        <s v="020302IM0103"/>
        <s v="020302IM0201"/>
        <s v="020302IM0203"/>
        <s v="020302IM0301"/>
        <s v="020302IM0401"/>
        <s v="020302IM0402"/>
        <s v="020302LK0702"/>
        <s v="020302LK0703"/>
        <s v="020302LK0704"/>
        <s v="020302LK0705"/>
        <s v="020302LK0706"/>
        <s v="020302LK0707"/>
        <s v="020302LK0708"/>
        <s v="020302LK0709"/>
        <s v="020302LK0710"/>
        <s v="020302LK0711"/>
        <s v="020302LK0712"/>
        <s v="020302LK0713"/>
        <s v="020302LK0714"/>
        <s v="020302LK0715"/>
        <s v="020302LK0716"/>
        <s v="020302LK0717"/>
        <s v="020302LK0718"/>
        <s v="020302LK0719"/>
        <s v="020302LK0720"/>
        <s v="020302LK0721"/>
        <s v="020302LK0722"/>
        <s v="020302LK0723"/>
        <s v="020302LK0724"/>
        <s v="020302LK0725"/>
        <s v="020302LK0726"/>
        <s v="020302LK0727"/>
        <s v="020302LK0728"/>
        <s v="020302LK0730"/>
        <s v="020302LK0731"/>
        <s v="020302LK0732"/>
        <s v="020302LK0733"/>
        <s v="020302LK0734"/>
        <s v="020302LK0735"/>
        <s v="020302LK0736"/>
        <s v="020302LK0737"/>
        <s v="020302LK0738"/>
        <s v="020302LK0739"/>
        <s v="020302LK0740"/>
        <s v="020302LK0741"/>
        <s v="020302LK0801"/>
        <s v="020302MK0801"/>
        <s v="020302MK0802"/>
        <s v="020302MK0803"/>
        <s v="020302MK1110"/>
        <s v="020302MK1111"/>
        <s v="020302MK1112"/>
        <s v="020302MK1113"/>
        <s v="020302MK1114"/>
        <s v="020302MK1115"/>
        <s v="020302MK1118"/>
        <s v="020302MK1120"/>
        <s v="020302MK2101"/>
        <s v="020302NG0601"/>
        <s v="020302NI0109"/>
        <s v="020302NI0110"/>
        <s v="020302NI0111"/>
        <s v="020302NI0112"/>
        <s v="020302NK0101"/>
        <s v="020302NK0103"/>
        <s v="020302NK0113"/>
        <s v="020302NK0201"/>
        <s v="020302NK0301"/>
        <s v="020302NK0401"/>
        <s v="020302NK0402"/>
        <s v="020302NK0403"/>
        <s v="020302NK0404"/>
        <s v="020302NK0405"/>
        <s v="020302NK0406"/>
        <s v="020302NK0407"/>
        <s v="020302NK0409"/>
        <s v="020302NK0410"/>
        <s v="020302NK0411"/>
        <s v="020302NK0412"/>
        <s v="020302NK0501"/>
        <s v="020302NK0502"/>
        <s v="020302NK0503"/>
        <s v="020302NK0504"/>
        <s v="020302NK0505"/>
        <s v="020302NK0506"/>
        <s v="020302NK0510"/>
        <s v="020302NK0511"/>
        <s v="020302NK0512"/>
        <s v="020302NK0513"/>
        <s v="020302NK0514"/>
        <s v="020302NK0521"/>
        <s v="020302NK0522"/>
        <s v="020302NK0602"/>
        <s v="020302NK0612"/>
        <s v="020302NK0701"/>
        <s v="020302NK0702"/>
        <s v="020302NK0712"/>
        <s v="020302NK0801"/>
        <s v="020302NK0802"/>
        <s v="020302NK0803"/>
        <s v="020302NK0813"/>
        <s v="020302NK0901"/>
        <s v="020302NK0902"/>
        <s v="020302NK0903"/>
        <s v="020302NK0904"/>
        <s v="020302NK0905"/>
        <s v="020302NK0906"/>
        <s v="020302NK0907"/>
        <s v="020302NK0908"/>
        <s v="020302NK0909"/>
        <s v="020302NK0910"/>
        <s v="020302NK0911"/>
        <s v="020302NK0912"/>
        <s v="020302NK0913"/>
        <s v="020302NK1001"/>
        <s v="020302NK1002"/>
        <s v="020302NK1101"/>
        <s v="020302NK1102"/>
        <s v="020302NK1103"/>
        <s v="020302NK1104"/>
        <s v="020302NK1105"/>
        <s v="020302NK1201"/>
        <s v="020302NK2103"/>
        <s v="020302NK3101"/>
        <s v="020302NK4101"/>
        <s v="020302NK5101"/>
        <s v="020302NK6101"/>
        <s v="020302TFS0612"/>
        <s v="020303NK0101"/>
        <s v="020303NK0102"/>
        <s v="020303NK0103"/>
        <s v="020303NK0512"/>
        <s v="020303NK0513"/>
        <s v="020307OV0102"/>
        <s v="020399NK0113"/>
        <s v="0203EPG0505"/>
        <s v="0203GOG41103"/>
        <s v="0203SIG3021M"/>
        <s v="0203SIG30701"/>
        <s v="0203SIG40505"/>
        <s v="0203SRT0102"/>
        <s v="020401NK0411"/>
        <s v="020502NL1501"/>
        <s v="020800IL1656"/>
        <s v="020801IL1601"/>
        <s v="020801IL1602"/>
        <s v="020801IL1609"/>
        <s v="020801IL1616"/>
        <s v="020801IL1618"/>
        <s v="020801IL1619"/>
        <s v="020801IL1620"/>
        <s v="020801IL1623"/>
        <s v="020801IL1624"/>
        <s v="020801IL1625"/>
        <s v="020801IL1626"/>
        <s v="020801IL1627"/>
        <s v="020801IL1628"/>
        <s v="020801IL1630"/>
        <s v="020801IL1631"/>
        <s v="020801IL1632"/>
        <s v="020801IL1633"/>
        <s v="020801IL1634"/>
        <s v="020801IL1638"/>
        <s v="020801IL1653"/>
        <s v="020801IL1654"/>
        <s v="020801IL1655"/>
        <s v="020801IL1657"/>
        <s v="020801NL1601"/>
        <s v="020801NL1602"/>
        <s v="020801NL1603"/>
        <s v="020801NL1604"/>
        <s v="020801NL1701"/>
        <s v="0208071IL653"/>
        <s v="020807IL1635"/>
        <s v="020807IL1636"/>
        <s v="020807IL1637"/>
        <s v="020807IL1638"/>
        <s v="020807IL1639"/>
        <s v="020807IL1640"/>
        <s v="020807IL1641"/>
        <s v="020807IL1642"/>
        <s v="020807IL1643"/>
        <s v="020807IL1644"/>
        <s v="020807IL1645"/>
        <s v="020807IL1646"/>
        <s v="020807IL1647"/>
        <s v="020807IL1648"/>
        <s v="020807IL1649"/>
        <s v="020807IL1650"/>
        <s v="020807IL1651"/>
        <m/>
        <s v="Article lié"/>
        <s v="020807IL1652"/>
        <s v="020807IL1653"/>
        <s v="020807IL1654"/>
        <s v="020807IL1656"/>
        <s v="020807IL1657"/>
        <s v="020807IL1658"/>
        <s v="020807IL1659"/>
        <s v="020807IL1660"/>
        <s v="020807IL1661"/>
        <s v="020807IL1662"/>
        <s v="020807IL1663"/>
        <s v="020807IL1664"/>
        <s v="020807IL1665"/>
        <s v="020807IL1666"/>
        <s v="020807IL1667"/>
        <s v="020807IL1668"/>
        <s v="020807IL1669"/>
        <s v="020807IL1670"/>
        <s v="020807IL1671"/>
        <s v="020807IL1672"/>
        <s v="020807IL1673"/>
        <s v="020807IL1674"/>
        <s v="020807IL1675"/>
        <s v="020807IL1676"/>
        <s v="020807IL1677"/>
        <s v="020807IL1678"/>
        <s v="020807IL1679"/>
        <s v="020807IL1680"/>
        <s v="020807IL1681"/>
        <s v="020807IL1682"/>
        <s v="020807IL1683"/>
        <s v="020807IL1684"/>
        <s v="020807IL1685"/>
        <s v="020807IL1686"/>
        <s v="020807IL1687"/>
        <s v="020807IL1688"/>
        <s v="020807IL1689"/>
        <s v="020807IL1690"/>
        <s v="020807IL1691"/>
        <s v="020807IL1692"/>
        <s v="020807IL1693"/>
        <s v="020807IL1694"/>
        <s v="020807IL1695"/>
        <s v="020807IL1701"/>
        <s v="020807IL1702"/>
        <s v="020807IL1703"/>
        <s v="020807IL1704"/>
        <s v="021312JK0101"/>
        <s v="040701JK0502"/>
        <s v="040701JK0503"/>
        <s v="040701NL0201"/>
        <s v="040701NL0202"/>
        <s v="040701NL0301"/>
        <s v="040701NL0302"/>
        <s v="040701NL0402"/>
        <s v="040701NL0403"/>
        <s v="040701NL0501"/>
        <s v="040701NL0502"/>
        <s v="040701NL0503"/>
        <s v="040701NL0504"/>
        <s v="040801JK0702"/>
        <s v="040801JK1302"/>
        <s v="040801NL0602"/>
        <s v="040801NL0603"/>
        <s v="040801NL0701"/>
        <s v="040801NL0702"/>
        <s v="040801NL0901"/>
        <s v="040801NL09012"/>
        <s v="040801NL0902"/>
        <s v="040801NL0903"/>
        <s v="040801NL0904"/>
        <s v="040801NL0905"/>
        <s v="040801NL0913"/>
        <s v="040801NL0914"/>
        <s v="040801NL1001"/>
        <s v="040801NL1002"/>
        <s v="040801NL1003"/>
        <s v="040801NL1101"/>
        <s v="040801NL1102"/>
        <s v="040801NL1103"/>
        <s v="040801NL1201"/>
        <s v="040801NL1302"/>
        <s v="040801NL1303"/>
        <s v="040801NL1503"/>
        <s v="040801NL1505"/>
        <s v="040801NL1506"/>
        <s v="040801NL1507"/>
        <s v="040801NL1508"/>
        <s v="040801NL1513"/>
        <s v="040801NR0602"/>
        <s v="040801RC0904"/>
        <s v="040801RC0904N"/>
        <s v="040801RC1102"/>
        <s v="040802NL1201"/>
        <s v="043001GA0301"/>
        <s v="050101NV0101"/>
        <s v="090302NK0501"/>
        <s v="090302NK0503"/>
        <s v="090302NK1101"/>
        <s v="090302NK1103"/>
        <s v="1203HO100101"/>
        <s v="1203HO100102"/>
        <s v="1203HO100103"/>
        <s v="1203HO100104"/>
        <s v="1203HO100105"/>
        <s v="1203HO100110"/>
        <s v="1203HO100111"/>
        <s v="1203HO100112"/>
        <s v="1203HO100113"/>
        <s v="1203HO100114"/>
        <s v="1203HO100115"/>
        <s v="1203HO100116"/>
      </sharedItems>
    </cacheField>
    <cacheField name="Désignation" numFmtId="0">
      <sharedItems containsBlank="1"/>
    </cacheField>
    <cacheField name="Nomenclature" numFmtId="0">
      <sharedItems containsBlank="1" containsMixedTypes="1" containsNumber="1" containsInteger="1" minValue="0" maxValue="0" count="3">
        <s v="Article lié"/>
        <m/>
        <n v="0"/>
      </sharedItems>
    </cacheField>
    <cacheField name="Famille" numFmtId="0">
      <sharedItems containsBlank="1"/>
    </cacheField>
    <cacheField name="Saisie variable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THMANE" refreshedDate="46193.491052546298" createdVersion="7" refreshedVersion="7" minRefreshableVersion="3" recordCount="5" xr:uid="{F25717F7-C42D-4C37-B819-329A70844B3C}">
  <cacheSource type="worksheet">
    <worksheetSource ref="A1:B1048576" sheet="Transports"/>
  </cacheSource>
  <cacheFields count="2">
    <cacheField name="Companie" numFmtId="0">
      <sharedItems containsBlank="1" count="5">
        <s v="FCA(Free Carrier)"/>
        <s v="CPT(Carriage Paid To)"/>
        <s v="EXW(Ex Works)"/>
        <s v="CFR(Cost &amp; Freight)"/>
        <m/>
      </sharedItems>
    </cacheField>
    <cacheField name="Type" numFmtId="0">
      <sharedItems containsBlank="1" count="4">
        <s v="Inconterm"/>
        <s v="Routier"/>
        <s v="Routier étrange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68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5"/>
  </r>
  <r>
    <x v="76"/>
  </r>
  <r>
    <x v="77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  <r>
    <x v="93"/>
  </r>
  <r>
    <x v="94"/>
  </r>
  <r>
    <x v="95"/>
  </r>
  <r>
    <x v="96"/>
  </r>
  <r>
    <x v="97"/>
  </r>
  <r>
    <x v="98"/>
  </r>
  <r>
    <x v="99"/>
  </r>
  <r>
    <x v="100"/>
  </r>
  <r>
    <x v="101"/>
  </r>
  <r>
    <x v="102"/>
  </r>
  <r>
    <x v="103"/>
  </r>
  <r>
    <x v="104"/>
  </r>
  <r>
    <x v="105"/>
  </r>
  <r>
    <x v="106"/>
  </r>
  <r>
    <x v="107"/>
  </r>
  <r>
    <x v="108"/>
  </r>
  <r>
    <x v="109"/>
  </r>
  <r>
    <x v="110"/>
  </r>
  <r>
    <x v="111"/>
  </r>
  <r>
    <x v="112"/>
  </r>
  <r>
    <x v="113"/>
  </r>
  <r>
    <x v="114"/>
  </r>
  <r>
    <x v="115"/>
  </r>
  <r>
    <x v="116"/>
  </r>
  <r>
    <x v="117"/>
  </r>
  <r>
    <x v="118"/>
  </r>
  <r>
    <x v="119"/>
  </r>
  <r>
    <x v="120"/>
  </r>
  <r>
    <x v="121"/>
  </r>
  <r>
    <x v="122"/>
  </r>
  <r>
    <x v="123"/>
  </r>
  <r>
    <x v="124"/>
  </r>
  <r>
    <x v="125"/>
  </r>
  <r>
    <x v="126"/>
  </r>
  <r>
    <x v="127"/>
  </r>
  <r>
    <x v="128"/>
  </r>
  <r>
    <x v="129"/>
  </r>
  <r>
    <x v="130"/>
  </r>
  <r>
    <x v="131"/>
  </r>
  <r>
    <x v="132"/>
  </r>
  <r>
    <x v="133"/>
  </r>
  <r>
    <x v="134"/>
  </r>
  <r>
    <x v="135"/>
  </r>
  <r>
    <x v="136"/>
  </r>
  <r>
    <x v="137"/>
  </r>
  <r>
    <x v="138"/>
  </r>
  <r>
    <x v="139"/>
  </r>
  <r>
    <x v="140"/>
  </r>
  <r>
    <x v="141"/>
  </r>
  <r>
    <x v="142"/>
  </r>
  <r>
    <x v="143"/>
  </r>
  <r>
    <x v="144"/>
  </r>
  <r>
    <x v="145"/>
  </r>
  <r>
    <x v="146"/>
  </r>
  <r>
    <x v="147"/>
  </r>
  <r>
    <x v="148"/>
  </r>
  <r>
    <x v="149"/>
  </r>
  <r>
    <x v="150"/>
  </r>
  <r>
    <x v="151"/>
  </r>
  <r>
    <x v="152"/>
  </r>
  <r>
    <x v="153"/>
  </r>
  <r>
    <x v="154"/>
  </r>
  <r>
    <x v="155"/>
  </r>
  <r>
    <x v="156"/>
  </r>
  <r>
    <x v="157"/>
  </r>
  <r>
    <x v="158"/>
  </r>
  <r>
    <x v="148"/>
  </r>
  <r>
    <x v="159"/>
  </r>
  <r>
    <x v="160"/>
  </r>
  <r>
    <x v="161"/>
  </r>
  <r>
    <x v="162"/>
  </r>
  <r>
    <x v="163"/>
  </r>
  <r>
    <x v="164"/>
  </r>
  <r>
    <x v="165"/>
  </r>
  <r>
    <x v="166"/>
  </r>
  <r>
    <x v="167"/>
  </r>
  <r>
    <x v="168"/>
  </r>
  <r>
    <x v="169"/>
  </r>
  <r>
    <x v="170"/>
  </r>
  <r>
    <x v="171"/>
  </r>
  <r>
    <x v="172"/>
  </r>
  <r>
    <x v="173"/>
  </r>
  <r>
    <x v="174"/>
  </r>
  <r>
    <x v="175"/>
  </r>
  <r>
    <x v="176"/>
  </r>
  <r>
    <x v="177"/>
  </r>
  <r>
    <x v="17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6"/>
  </r>
  <r>
    <x v="197"/>
  </r>
  <r>
    <x v="198"/>
  </r>
  <r>
    <x v="199"/>
  </r>
  <r>
    <x v="200"/>
  </r>
  <r>
    <x v="201"/>
  </r>
  <r>
    <x v="202"/>
  </r>
  <r>
    <x v="203"/>
  </r>
  <r>
    <x v="204"/>
  </r>
  <r>
    <x v="205"/>
  </r>
  <r>
    <x v="206"/>
  </r>
  <r>
    <x v="207"/>
  </r>
  <r>
    <x v="208"/>
  </r>
  <r>
    <x v="209"/>
  </r>
  <r>
    <x v="210"/>
  </r>
  <r>
    <x v="211"/>
  </r>
  <r>
    <x v="212"/>
  </r>
  <r>
    <x v="213"/>
  </r>
  <r>
    <x v="214"/>
  </r>
  <r>
    <x v="215"/>
  </r>
  <r>
    <x v="216"/>
  </r>
  <r>
    <x v="217"/>
  </r>
  <r>
    <x v="218"/>
  </r>
  <r>
    <x v="219"/>
  </r>
  <r>
    <x v="220"/>
  </r>
  <r>
    <x v="221"/>
  </r>
  <r>
    <x v="222"/>
  </r>
  <r>
    <x v="223"/>
  </r>
  <r>
    <x v="224"/>
  </r>
  <r>
    <x v="225"/>
  </r>
  <r>
    <x v="226"/>
  </r>
  <r>
    <x v="227"/>
  </r>
  <r>
    <x v="228"/>
  </r>
  <r>
    <x v="229"/>
  </r>
  <r>
    <x v="230"/>
  </r>
  <r>
    <x v="231"/>
  </r>
  <r>
    <x v="232"/>
  </r>
  <r>
    <x v="233"/>
  </r>
  <r>
    <x v="234"/>
  </r>
  <r>
    <x v="235"/>
  </r>
  <r>
    <x v="236"/>
  </r>
  <r>
    <x v="237"/>
  </r>
  <r>
    <x v="238"/>
  </r>
  <r>
    <x v="239"/>
  </r>
  <r>
    <x v="240"/>
  </r>
  <r>
    <x v="241"/>
  </r>
  <r>
    <x v="242"/>
  </r>
  <r>
    <x v="243"/>
  </r>
  <r>
    <x v="244"/>
  </r>
  <r>
    <x v="245"/>
  </r>
  <r>
    <x v="246"/>
  </r>
  <r>
    <x v="247"/>
  </r>
  <r>
    <x v="248"/>
  </r>
  <r>
    <x v="249"/>
  </r>
  <r>
    <x v="250"/>
  </r>
  <r>
    <x v="251"/>
  </r>
  <r>
    <x v="252"/>
  </r>
  <r>
    <x v="253"/>
  </r>
  <r>
    <x v="254"/>
  </r>
  <r>
    <x v="255"/>
  </r>
  <r>
    <x v="256"/>
  </r>
  <r>
    <x v="257"/>
  </r>
  <r>
    <x v="258"/>
  </r>
  <r>
    <x v="259"/>
  </r>
  <r>
    <x v="260"/>
  </r>
  <r>
    <x v="261"/>
  </r>
  <r>
    <x v="262"/>
  </r>
  <r>
    <x v="263"/>
  </r>
  <r>
    <x v="264"/>
  </r>
  <r>
    <x v="265"/>
  </r>
  <r>
    <x v="266"/>
  </r>
  <r>
    <x v="267"/>
  </r>
  <r>
    <x v="268"/>
  </r>
  <r>
    <x v="269"/>
  </r>
  <r>
    <x v="270"/>
  </r>
  <r>
    <x v="271"/>
  </r>
  <r>
    <x v="272"/>
  </r>
  <r>
    <x v="273"/>
  </r>
  <r>
    <x v="274"/>
  </r>
  <r>
    <x v="275"/>
  </r>
  <r>
    <x v="276"/>
  </r>
  <r>
    <x v="277"/>
  </r>
  <r>
    <x v="278"/>
  </r>
  <r>
    <x v="279"/>
  </r>
  <r>
    <x v="280"/>
  </r>
  <r>
    <x v="281"/>
  </r>
  <r>
    <x v="282"/>
  </r>
  <r>
    <x v="283"/>
  </r>
  <r>
    <x v="284"/>
  </r>
  <r>
    <x v="285"/>
  </r>
  <r>
    <x v="286"/>
  </r>
  <r>
    <x v="287"/>
  </r>
  <r>
    <x v="288"/>
  </r>
  <r>
    <x v="289"/>
  </r>
  <r>
    <x v="290"/>
  </r>
  <r>
    <x v="291"/>
  </r>
  <r>
    <x v="292"/>
  </r>
  <r>
    <x v="293"/>
  </r>
  <r>
    <x v="294"/>
  </r>
  <r>
    <x v="295"/>
  </r>
  <r>
    <x v="296"/>
  </r>
  <r>
    <x v="297"/>
  </r>
  <r>
    <x v="298"/>
  </r>
  <r>
    <x v="299"/>
  </r>
  <r>
    <x v="300"/>
  </r>
  <r>
    <x v="301"/>
  </r>
  <r>
    <x v="302"/>
  </r>
  <r>
    <x v="303"/>
  </r>
  <r>
    <x v="304"/>
  </r>
  <r>
    <x v="305"/>
  </r>
  <r>
    <x v="306"/>
  </r>
  <r>
    <x v="307"/>
  </r>
  <r>
    <x v="308"/>
  </r>
  <r>
    <x v="309"/>
  </r>
  <r>
    <x v="310"/>
  </r>
  <r>
    <x v="311"/>
  </r>
  <r>
    <x v="312"/>
  </r>
  <r>
    <x v="313"/>
  </r>
  <r>
    <x v="314"/>
  </r>
  <r>
    <x v="315"/>
  </r>
  <r>
    <x v="316"/>
  </r>
  <r>
    <x v="317"/>
  </r>
  <r>
    <x v="318"/>
  </r>
  <r>
    <x v="319"/>
  </r>
  <r>
    <x v="320"/>
  </r>
  <r>
    <x v="321"/>
  </r>
  <r>
    <x v="322"/>
  </r>
  <r>
    <x v="323"/>
  </r>
  <r>
    <x v="324"/>
  </r>
  <r>
    <x v="325"/>
  </r>
  <r>
    <x v="326"/>
  </r>
  <r>
    <x v="327"/>
  </r>
  <r>
    <x v="328"/>
  </r>
  <r>
    <x v="329"/>
  </r>
  <r>
    <x v="330"/>
  </r>
  <r>
    <x v="331"/>
  </r>
  <r>
    <x v="332"/>
  </r>
  <r>
    <x v="333"/>
  </r>
  <r>
    <x v="334"/>
  </r>
  <r>
    <x v="335"/>
  </r>
  <r>
    <x v="148"/>
  </r>
  <r>
    <x v="336"/>
  </r>
  <r>
    <x v="337"/>
  </r>
  <r>
    <x v="338"/>
  </r>
  <r>
    <x v="339"/>
  </r>
  <r>
    <x v="340"/>
  </r>
  <r>
    <x v="341"/>
  </r>
  <r>
    <x v="342"/>
  </r>
  <r>
    <x v="343"/>
  </r>
  <r>
    <x v="344"/>
  </r>
  <r>
    <x v="345"/>
  </r>
  <r>
    <x v="148"/>
  </r>
  <r>
    <x v="346"/>
  </r>
  <r>
    <x v="347"/>
  </r>
  <r>
    <x v="148"/>
  </r>
  <r>
    <x v="348"/>
  </r>
  <r>
    <x v="148"/>
  </r>
  <r>
    <x v="349"/>
  </r>
  <r>
    <x v="350"/>
  </r>
  <r>
    <x v="148"/>
  </r>
  <r>
    <x v="351"/>
  </r>
  <r>
    <x v="148"/>
  </r>
  <r>
    <x v="352"/>
  </r>
  <r>
    <x v="148"/>
  </r>
  <r>
    <x v="353"/>
  </r>
  <r>
    <x v="354"/>
  </r>
  <r>
    <x v="355"/>
  </r>
  <r>
    <x v="356"/>
  </r>
  <r>
    <x v="357"/>
  </r>
  <r>
    <x v="358"/>
  </r>
  <r>
    <x v="359"/>
  </r>
  <r>
    <x v="360"/>
  </r>
  <r>
    <x v="361"/>
  </r>
  <r>
    <x v="362"/>
  </r>
  <r>
    <x v="363"/>
  </r>
  <r>
    <x v="364"/>
  </r>
  <r>
    <x v="365"/>
  </r>
  <r>
    <x v="366"/>
  </r>
  <r>
    <x v="367"/>
  </r>
  <r>
    <x v="148"/>
  </r>
  <r>
    <x v="368"/>
  </r>
  <r>
    <x v="148"/>
  </r>
  <r>
    <x v="369"/>
  </r>
  <r>
    <x v="148"/>
  </r>
  <r>
    <x v="370"/>
  </r>
  <r>
    <x v="371"/>
  </r>
  <r>
    <x v="372"/>
  </r>
  <r>
    <x v="373"/>
  </r>
  <r>
    <x v="374"/>
  </r>
  <r>
    <x v="375"/>
  </r>
  <r>
    <x v="148"/>
  </r>
  <r>
    <x v="376"/>
  </r>
  <r>
    <x v="148"/>
  </r>
  <r>
    <x v="377"/>
  </r>
  <r>
    <x v="148"/>
  </r>
  <r>
    <x v="378"/>
  </r>
  <r>
    <x v="379"/>
  </r>
  <r>
    <x v="148"/>
  </r>
  <r>
    <x v="380"/>
  </r>
  <r>
    <x v="381"/>
  </r>
  <r>
    <x v="382"/>
  </r>
  <r>
    <x v="383"/>
  </r>
  <r>
    <x v="384"/>
  </r>
  <r>
    <x v="385"/>
  </r>
  <r>
    <x v="386"/>
  </r>
  <r>
    <x v="387"/>
  </r>
  <r>
    <x v="388"/>
  </r>
  <r>
    <x v="389"/>
  </r>
  <r>
    <x v="390"/>
  </r>
  <r>
    <x v="391"/>
  </r>
  <r>
    <x v="392"/>
  </r>
  <r>
    <x v="393"/>
  </r>
  <r>
    <x v="394"/>
  </r>
  <r>
    <x v="395"/>
  </r>
  <r>
    <x v="396"/>
  </r>
  <r>
    <x v="397"/>
  </r>
  <r>
    <x v="398"/>
  </r>
  <r>
    <x v="399"/>
  </r>
  <r>
    <x v="400"/>
  </r>
  <r>
    <x v="401"/>
  </r>
  <r>
    <x v="402"/>
  </r>
  <r>
    <x v="403"/>
  </r>
  <r>
    <x v="404"/>
  </r>
  <r>
    <x v="148"/>
  </r>
  <r>
    <x v="405"/>
  </r>
  <r>
    <x v="148"/>
  </r>
  <r>
    <x v="406"/>
  </r>
  <r>
    <x v="407"/>
  </r>
  <r>
    <x v="408"/>
  </r>
  <r>
    <x v="409"/>
  </r>
  <r>
    <x v="410"/>
  </r>
  <r>
    <x v="411"/>
  </r>
  <r>
    <x v="148"/>
  </r>
  <r>
    <x v="412"/>
  </r>
  <r>
    <x v="413"/>
  </r>
  <r>
    <x v="414"/>
  </r>
  <r>
    <x v="415"/>
  </r>
  <r>
    <x v="416"/>
  </r>
  <r>
    <x v="148"/>
  </r>
  <r>
    <x v="417"/>
  </r>
  <r>
    <x v="418"/>
  </r>
  <r>
    <x v="419"/>
  </r>
  <r>
    <x v="420"/>
  </r>
  <r>
    <x v="421"/>
  </r>
  <r>
    <x v="422"/>
  </r>
  <r>
    <x v="423"/>
  </r>
  <r>
    <x v="148"/>
  </r>
  <r>
    <x v="424"/>
  </r>
  <r>
    <x v="148"/>
  </r>
  <r>
    <x v="425"/>
  </r>
  <r>
    <x v="148"/>
  </r>
  <r>
    <x v="426"/>
  </r>
  <r>
    <x v="148"/>
  </r>
  <r>
    <x v="427"/>
  </r>
  <r>
    <x v="148"/>
  </r>
  <r>
    <x v="428"/>
  </r>
  <r>
    <x v="148"/>
  </r>
  <r>
    <x v="429"/>
  </r>
  <r>
    <x v="148"/>
  </r>
  <r>
    <x v="430"/>
  </r>
  <r>
    <x v="148"/>
  </r>
  <r>
    <x v="431"/>
  </r>
  <r>
    <x v="432"/>
  </r>
  <r>
    <x v="433"/>
  </r>
  <r>
    <x v="434"/>
  </r>
  <r>
    <x v="435"/>
  </r>
  <r>
    <x v="436"/>
  </r>
  <r>
    <x v="148"/>
  </r>
  <r>
    <x v="437"/>
  </r>
  <r>
    <x v="148"/>
  </r>
  <r>
    <x v="438"/>
  </r>
  <r>
    <x v="439"/>
  </r>
  <r>
    <x v="440"/>
  </r>
  <r>
    <x v="441"/>
  </r>
  <r>
    <x v="442"/>
  </r>
  <r>
    <x v="443"/>
  </r>
  <r>
    <x v="444"/>
  </r>
  <r>
    <x v="445"/>
  </r>
  <r>
    <x v="446"/>
  </r>
  <r>
    <x v="148"/>
  </r>
  <r>
    <x v="447"/>
  </r>
  <r>
    <x v="448"/>
  </r>
  <r>
    <x v="449"/>
  </r>
  <r>
    <x v="450"/>
  </r>
  <r>
    <x v="451"/>
  </r>
  <r>
    <x v="452"/>
  </r>
  <r>
    <x v="453"/>
  </r>
  <r>
    <x v="454"/>
  </r>
  <r>
    <x v="455"/>
  </r>
  <r>
    <x v="456"/>
  </r>
  <r>
    <x v="457"/>
  </r>
  <r>
    <x v="458"/>
  </r>
  <r>
    <x v="459"/>
  </r>
  <r>
    <x v="460"/>
  </r>
  <r>
    <x v="461"/>
  </r>
  <r>
    <x v="462"/>
  </r>
  <r>
    <x v="463"/>
  </r>
  <r>
    <x v="464"/>
  </r>
  <r>
    <x v="465"/>
  </r>
  <r>
    <x v="466"/>
  </r>
  <r>
    <x v="467"/>
  </r>
  <r>
    <x v="468"/>
  </r>
  <r>
    <x v="469"/>
  </r>
  <r>
    <x v="470"/>
  </r>
  <r>
    <x v="471"/>
  </r>
  <r>
    <x v="472"/>
  </r>
  <r>
    <x v="473"/>
  </r>
  <r>
    <x v="474"/>
  </r>
  <r>
    <x v="475"/>
  </r>
  <r>
    <x v="476"/>
  </r>
  <r>
    <x v="477"/>
  </r>
  <r>
    <x v="478"/>
  </r>
  <r>
    <x v="479"/>
  </r>
  <r>
    <x v="480"/>
  </r>
  <r>
    <x v="481"/>
  </r>
  <r>
    <x v="482"/>
  </r>
  <r>
    <x v="483"/>
  </r>
  <r>
    <x v="484"/>
  </r>
  <r>
    <x v="485"/>
  </r>
  <r>
    <x v="486"/>
  </r>
  <r>
    <x v="487"/>
  </r>
  <r>
    <x v="488"/>
  </r>
  <r>
    <x v="489"/>
  </r>
  <r>
    <x v="490"/>
  </r>
  <r>
    <x v="491"/>
  </r>
  <r>
    <x v="492"/>
  </r>
  <r>
    <x v="493"/>
  </r>
  <r>
    <x v="494"/>
  </r>
  <r>
    <x v="495"/>
  </r>
  <r>
    <x v="496"/>
  </r>
  <r>
    <x v="497"/>
  </r>
  <r>
    <x v="498"/>
  </r>
  <r>
    <x v="499"/>
  </r>
  <r>
    <x v="500"/>
  </r>
  <r>
    <x v="501"/>
  </r>
  <r>
    <x v="502"/>
  </r>
  <r>
    <x v="503"/>
  </r>
  <r>
    <x v="504"/>
  </r>
  <r>
    <x v="505"/>
  </r>
  <r>
    <x v="506"/>
  </r>
  <r>
    <x v="507"/>
  </r>
  <r>
    <x v="508"/>
  </r>
  <r>
    <x v="509"/>
  </r>
  <r>
    <x v="510"/>
  </r>
  <r>
    <x v="511"/>
  </r>
  <r>
    <x v="512"/>
  </r>
  <r>
    <x v="513"/>
  </r>
  <r>
    <x v="514"/>
  </r>
  <r>
    <x v="515"/>
  </r>
  <r>
    <x v="516"/>
  </r>
  <r>
    <x v="517"/>
  </r>
  <r>
    <x v="518"/>
  </r>
  <r>
    <x v="519"/>
  </r>
  <r>
    <x v="520"/>
  </r>
  <r>
    <x v="521"/>
  </r>
  <r>
    <x v="522"/>
  </r>
  <r>
    <x v="523"/>
  </r>
  <r>
    <x v="524"/>
  </r>
  <r>
    <x v="525"/>
  </r>
  <r>
    <x v="526"/>
  </r>
  <r>
    <x v="527"/>
  </r>
  <r>
    <x v="528"/>
  </r>
  <r>
    <x v="529"/>
  </r>
  <r>
    <x v="530"/>
  </r>
  <r>
    <x v="531"/>
  </r>
  <r>
    <x v="532"/>
  </r>
  <r>
    <x v="533"/>
  </r>
  <r>
    <x v="534"/>
  </r>
  <r>
    <x v="535"/>
  </r>
  <r>
    <x v="536"/>
  </r>
  <r>
    <x v="537"/>
  </r>
  <r>
    <x v="538"/>
  </r>
  <r>
    <x v="539"/>
  </r>
  <r>
    <x v="540"/>
  </r>
  <r>
    <x v="541"/>
  </r>
  <r>
    <x v="542"/>
  </r>
  <r>
    <x v="543"/>
  </r>
  <r>
    <x v="544"/>
  </r>
  <r>
    <x v="545"/>
  </r>
  <r>
    <x v="546"/>
  </r>
  <r>
    <x v="547"/>
  </r>
  <r>
    <x v="548"/>
  </r>
  <r>
    <x v="549"/>
  </r>
  <r>
    <x v="550"/>
  </r>
  <r>
    <x v="551"/>
  </r>
  <r>
    <x v="552"/>
  </r>
  <r>
    <x v="553"/>
  </r>
  <r>
    <x v="554"/>
  </r>
  <r>
    <x v="555"/>
  </r>
  <r>
    <x v="556"/>
  </r>
  <r>
    <x v="557"/>
  </r>
  <r>
    <x v="558"/>
  </r>
  <r>
    <x v="559"/>
  </r>
  <r>
    <x v="560"/>
  </r>
  <r>
    <x v="561"/>
  </r>
  <r>
    <x v="562"/>
  </r>
  <r>
    <x v="563"/>
  </r>
  <r>
    <x v="564"/>
  </r>
  <r>
    <x v="565"/>
  </r>
  <r>
    <x v="566"/>
  </r>
  <r>
    <x v="567"/>
  </r>
  <r>
    <x v="568"/>
  </r>
  <r>
    <x v="569"/>
  </r>
  <r>
    <x v="570"/>
  </r>
  <r>
    <x v="571"/>
  </r>
  <r>
    <x v="572"/>
  </r>
  <r>
    <x v="573"/>
  </r>
  <r>
    <x v="574"/>
  </r>
  <r>
    <x v="575"/>
  </r>
  <r>
    <x v="576"/>
  </r>
  <r>
    <x v="577"/>
  </r>
  <r>
    <x v="578"/>
  </r>
  <r>
    <x v="579"/>
  </r>
  <r>
    <x v="580"/>
  </r>
  <r>
    <x v="581"/>
  </r>
  <r>
    <x v="582"/>
  </r>
  <r>
    <x v="583"/>
  </r>
  <r>
    <x v="584"/>
  </r>
  <r>
    <x v="585"/>
  </r>
  <r>
    <x v="586"/>
  </r>
  <r>
    <x v="587"/>
  </r>
  <r>
    <x v="588"/>
  </r>
  <r>
    <x v="589"/>
  </r>
  <r>
    <x v="590"/>
  </r>
  <r>
    <x v="591"/>
  </r>
  <r>
    <x v="592"/>
  </r>
  <r>
    <x v="593"/>
  </r>
  <r>
    <x v="594"/>
  </r>
  <r>
    <x v="595"/>
  </r>
  <r>
    <x v="596"/>
  </r>
  <r>
    <x v="597"/>
  </r>
  <r>
    <x v="598"/>
  </r>
  <r>
    <x v="599"/>
  </r>
  <r>
    <x v="600"/>
  </r>
  <r>
    <x v="601"/>
  </r>
  <r>
    <x v="602"/>
  </r>
  <r>
    <x v="603"/>
  </r>
  <r>
    <x v="604"/>
  </r>
  <r>
    <x v="605"/>
  </r>
  <r>
    <x v="606"/>
  </r>
  <r>
    <x v="607"/>
  </r>
  <r>
    <x v="608"/>
  </r>
  <r>
    <x v="609"/>
  </r>
  <r>
    <x v="610"/>
  </r>
  <r>
    <x v="611"/>
  </r>
  <r>
    <x v="612"/>
  </r>
  <r>
    <x v="613"/>
  </r>
  <r>
    <x v="614"/>
  </r>
  <r>
    <x v="615"/>
  </r>
  <r>
    <x v="616"/>
  </r>
  <r>
    <x v="617"/>
  </r>
  <r>
    <x v="618"/>
  </r>
  <r>
    <x v="619"/>
  </r>
  <r>
    <x v="620"/>
  </r>
  <r>
    <x v="621"/>
  </r>
  <r>
    <x v="622"/>
  </r>
  <r>
    <x v="623"/>
  </r>
  <r>
    <x v="624"/>
  </r>
  <r>
    <x v="625"/>
  </r>
  <r>
    <x v="626"/>
  </r>
  <r>
    <x v="627"/>
  </r>
  <r>
    <x v="628"/>
  </r>
  <r>
    <x v="629"/>
  </r>
  <r>
    <x v="630"/>
  </r>
  <r>
    <x v="631"/>
  </r>
  <r>
    <x v="632"/>
  </r>
  <r>
    <x v="633"/>
  </r>
  <r>
    <x v="634"/>
  </r>
  <r>
    <x v="635"/>
  </r>
  <r>
    <x v="636"/>
  </r>
  <r>
    <x v="637"/>
  </r>
  <r>
    <x v="638"/>
  </r>
  <r>
    <x v="639"/>
  </r>
  <r>
    <x v="640"/>
  </r>
  <r>
    <x v="641"/>
  </r>
  <r>
    <x v="642"/>
  </r>
  <r>
    <x v="643"/>
  </r>
  <r>
    <x v="644"/>
  </r>
  <r>
    <x v="645"/>
  </r>
  <r>
    <x v="646"/>
  </r>
  <r>
    <x v="647"/>
  </r>
  <r>
    <x v="648"/>
  </r>
  <r>
    <x v="649"/>
  </r>
  <r>
    <x v="650"/>
  </r>
  <r>
    <x v="651"/>
  </r>
  <r>
    <x v="652"/>
  </r>
  <r>
    <x v="653"/>
  </r>
  <r>
    <x v="654"/>
  </r>
  <r>
    <x v="655"/>
  </r>
  <r>
    <x v="656"/>
  </r>
  <r>
    <x v="657"/>
  </r>
  <r>
    <x v="658"/>
  </r>
  <r>
    <x v="659"/>
  </r>
  <r>
    <x v="660"/>
  </r>
  <r>
    <x v="661"/>
  </r>
  <r>
    <x v="662"/>
  </r>
  <r>
    <x v="663"/>
  </r>
  <r>
    <x v="664"/>
  </r>
  <r>
    <x v="665"/>
  </r>
  <r>
    <x v="666"/>
  </r>
  <r>
    <x v="667"/>
  </r>
  <r>
    <x v="668"/>
  </r>
  <r>
    <x v="669"/>
  </r>
  <r>
    <x v="670"/>
  </r>
  <r>
    <x v="671"/>
  </r>
  <r>
    <x v="672"/>
  </r>
  <r>
    <x v="673"/>
  </r>
  <r>
    <x v="674"/>
  </r>
  <r>
    <x v="675"/>
  </r>
  <r>
    <x v="676"/>
  </r>
  <r>
    <x v="677"/>
  </r>
  <r>
    <x v="678"/>
  </r>
  <r>
    <x v="679"/>
  </r>
  <r>
    <x v="680"/>
  </r>
  <r>
    <x v="681"/>
  </r>
  <r>
    <x v="682"/>
  </r>
  <r>
    <x v="683"/>
  </r>
  <r>
    <x v="684"/>
  </r>
  <r>
    <x v="685"/>
  </r>
  <r>
    <x v="686"/>
  </r>
  <r>
    <x v="687"/>
  </r>
  <r>
    <x v="688"/>
  </r>
  <r>
    <x v="689"/>
  </r>
  <r>
    <x v="690"/>
  </r>
  <r>
    <x v="691"/>
  </r>
  <r>
    <x v="692"/>
  </r>
  <r>
    <x v="693"/>
  </r>
  <r>
    <x v="694"/>
  </r>
  <r>
    <x v="695"/>
  </r>
  <r>
    <x v="696"/>
  </r>
  <r>
    <x v="697"/>
  </r>
  <r>
    <x v="698"/>
  </r>
  <r>
    <x v="699"/>
  </r>
  <r>
    <x v="700"/>
  </r>
  <r>
    <x v="701"/>
  </r>
  <r>
    <x v="702"/>
  </r>
  <r>
    <x v="703"/>
  </r>
  <r>
    <x v="704"/>
  </r>
  <r>
    <x v="705"/>
  </r>
  <r>
    <x v="706"/>
  </r>
  <r>
    <x v="707"/>
  </r>
  <r>
    <x v="708"/>
  </r>
  <r>
    <x v="709"/>
  </r>
  <r>
    <x v="710"/>
  </r>
  <r>
    <x v="711"/>
  </r>
  <r>
    <x v="712"/>
  </r>
  <r>
    <x v="713"/>
  </r>
  <r>
    <x v="714"/>
  </r>
  <r>
    <x v="715"/>
  </r>
  <r>
    <x v="716"/>
  </r>
  <r>
    <x v="717"/>
  </r>
  <r>
    <x v="718"/>
  </r>
  <r>
    <x v="719"/>
  </r>
  <r>
    <x v="720"/>
  </r>
  <r>
    <x v="721"/>
  </r>
  <r>
    <x v="722"/>
  </r>
  <r>
    <x v="723"/>
  </r>
  <r>
    <x v="724"/>
  </r>
  <r>
    <x v="725"/>
  </r>
  <r>
    <x v="726"/>
  </r>
  <r>
    <x v="727"/>
  </r>
  <r>
    <x v="728"/>
  </r>
  <r>
    <x v="729"/>
  </r>
  <r>
    <x v="730"/>
  </r>
  <r>
    <x v="731"/>
  </r>
  <r>
    <x v="732"/>
  </r>
  <r>
    <x v="733"/>
  </r>
  <r>
    <x v="734"/>
  </r>
  <r>
    <x v="735"/>
  </r>
  <r>
    <x v="736"/>
  </r>
  <r>
    <x v="737"/>
  </r>
  <r>
    <x v="738"/>
  </r>
  <r>
    <x v="739"/>
  </r>
  <r>
    <x v="740"/>
  </r>
  <r>
    <x v="741"/>
  </r>
  <r>
    <x v="742"/>
  </r>
  <r>
    <x v="743"/>
  </r>
  <r>
    <x v="744"/>
  </r>
  <r>
    <x v="745"/>
  </r>
  <r>
    <x v="746"/>
  </r>
  <r>
    <x v="747"/>
  </r>
  <r>
    <x v="748"/>
  </r>
  <r>
    <x v="749"/>
  </r>
  <r>
    <x v="750"/>
  </r>
  <r>
    <x v="751"/>
  </r>
  <r>
    <x v="752"/>
  </r>
  <r>
    <x v="753"/>
  </r>
  <r>
    <x v="754"/>
  </r>
  <r>
    <x v="755"/>
  </r>
  <r>
    <x v="756"/>
  </r>
  <r>
    <x v="757"/>
  </r>
  <r>
    <x v="758"/>
  </r>
  <r>
    <x v="759"/>
  </r>
  <r>
    <x v="760"/>
  </r>
  <r>
    <x v="761"/>
  </r>
  <r>
    <x v="762"/>
  </r>
  <r>
    <x v="763"/>
  </r>
  <r>
    <x v="764"/>
  </r>
  <r>
    <x v="765"/>
  </r>
  <r>
    <x v="766"/>
  </r>
  <r>
    <x v="767"/>
  </r>
  <r>
    <x v="768"/>
  </r>
  <r>
    <x v="769"/>
  </r>
  <r>
    <x v="770"/>
  </r>
  <r>
    <x v="771"/>
  </r>
  <r>
    <x v="772"/>
  </r>
  <r>
    <x v="773"/>
  </r>
  <r>
    <x v="774"/>
  </r>
  <r>
    <x v="775"/>
  </r>
  <r>
    <x v="776"/>
  </r>
  <r>
    <x v="777"/>
  </r>
  <r>
    <x v="778"/>
  </r>
  <r>
    <x v="779"/>
  </r>
  <r>
    <x v="780"/>
  </r>
  <r>
    <x v="781"/>
  </r>
  <r>
    <x v="782"/>
  </r>
  <r>
    <x v="783"/>
  </r>
  <r>
    <x v="784"/>
  </r>
  <r>
    <x v="785"/>
  </r>
  <r>
    <x v="786"/>
  </r>
  <r>
    <x v="787"/>
  </r>
  <r>
    <x v="788"/>
  </r>
  <r>
    <x v="789"/>
  </r>
  <r>
    <x v="790"/>
  </r>
  <r>
    <x v="791"/>
  </r>
  <r>
    <x v="792"/>
  </r>
  <r>
    <x v="793"/>
  </r>
  <r>
    <x v="794"/>
  </r>
  <r>
    <x v="795"/>
  </r>
  <r>
    <x v="796"/>
  </r>
  <r>
    <x v="797"/>
  </r>
  <r>
    <x v="798"/>
  </r>
  <r>
    <x v="799"/>
  </r>
  <r>
    <x v="800"/>
  </r>
  <r>
    <x v="801"/>
  </r>
  <r>
    <x v="802"/>
  </r>
  <r>
    <x v="803"/>
  </r>
  <r>
    <x v="804"/>
  </r>
  <r>
    <x v="805"/>
  </r>
  <r>
    <x v="806"/>
  </r>
  <r>
    <x v="807"/>
  </r>
  <r>
    <x v="808"/>
  </r>
  <r>
    <x v="809"/>
  </r>
  <r>
    <x v="810"/>
  </r>
  <r>
    <x v="811"/>
  </r>
  <r>
    <x v="812"/>
  </r>
  <r>
    <x v="813"/>
  </r>
  <r>
    <x v="814"/>
  </r>
  <r>
    <x v="815"/>
  </r>
  <r>
    <x v="816"/>
  </r>
  <r>
    <x v="817"/>
  </r>
  <r>
    <x v="818"/>
  </r>
  <r>
    <x v="819"/>
  </r>
  <r>
    <x v="820"/>
  </r>
  <r>
    <x v="821"/>
  </r>
  <r>
    <x v="822"/>
  </r>
  <r>
    <x v="823"/>
  </r>
  <r>
    <x v="824"/>
  </r>
  <r>
    <x v="825"/>
  </r>
  <r>
    <x v="826"/>
  </r>
  <r>
    <x v="827"/>
  </r>
  <r>
    <x v="828"/>
  </r>
  <r>
    <x v="829"/>
  </r>
  <r>
    <x v="830"/>
  </r>
  <r>
    <x v="831"/>
  </r>
  <r>
    <x v="832"/>
  </r>
  <r>
    <x v="833"/>
  </r>
  <r>
    <x v="834"/>
  </r>
  <r>
    <x v="835"/>
  </r>
  <r>
    <x v="836"/>
  </r>
  <r>
    <x v="837"/>
  </r>
  <r>
    <x v="838"/>
  </r>
  <r>
    <x v="839"/>
  </r>
  <r>
    <x v="840"/>
  </r>
  <r>
    <x v="841"/>
  </r>
  <r>
    <x v="842"/>
  </r>
  <r>
    <x v="843"/>
  </r>
  <r>
    <x v="844"/>
  </r>
  <r>
    <x v="845"/>
  </r>
  <r>
    <x v="846"/>
  </r>
  <r>
    <x v="847"/>
  </r>
  <r>
    <x v="848"/>
  </r>
  <r>
    <x v="849"/>
  </r>
  <r>
    <x v="850"/>
  </r>
  <r>
    <x v="851"/>
  </r>
  <r>
    <x v="852"/>
  </r>
  <r>
    <x v="853"/>
  </r>
  <r>
    <x v="854"/>
  </r>
  <r>
    <x v="855"/>
  </r>
  <r>
    <x v="856"/>
  </r>
  <r>
    <x v="857"/>
  </r>
  <r>
    <x v="858"/>
  </r>
  <r>
    <x v="859"/>
  </r>
  <r>
    <x v="860"/>
  </r>
  <r>
    <x v="861"/>
  </r>
  <r>
    <x v="862"/>
  </r>
  <r>
    <x v="863"/>
  </r>
  <r>
    <x v="864"/>
  </r>
  <r>
    <x v="865"/>
  </r>
  <r>
    <x v="866"/>
  </r>
  <r>
    <x v="867"/>
  </r>
  <r>
    <x v="868"/>
  </r>
  <r>
    <x v="869"/>
  </r>
  <r>
    <x v="870"/>
  </r>
  <r>
    <x v="871"/>
  </r>
  <r>
    <x v="872"/>
  </r>
  <r>
    <x v="873"/>
  </r>
  <r>
    <x v="874"/>
  </r>
  <r>
    <x v="875"/>
  </r>
  <r>
    <x v="876"/>
  </r>
  <r>
    <x v="877"/>
  </r>
  <r>
    <x v="878"/>
  </r>
  <r>
    <x v="879"/>
  </r>
  <r>
    <x v="880"/>
  </r>
  <r>
    <x v="881"/>
  </r>
  <r>
    <x v="882"/>
  </r>
  <r>
    <x v="883"/>
  </r>
  <r>
    <x v="884"/>
  </r>
  <r>
    <x v="885"/>
  </r>
  <r>
    <x v="886"/>
  </r>
  <r>
    <x v="887"/>
  </r>
  <r>
    <x v="888"/>
  </r>
  <r>
    <x v="889"/>
  </r>
  <r>
    <x v="890"/>
  </r>
  <r>
    <x v="891"/>
  </r>
  <r>
    <x v="892"/>
  </r>
  <r>
    <x v="893"/>
  </r>
  <r>
    <x v="894"/>
  </r>
  <r>
    <x v="895"/>
  </r>
  <r>
    <x v="896"/>
  </r>
  <r>
    <x v="897"/>
  </r>
  <r>
    <x v="898"/>
  </r>
  <r>
    <x v="899"/>
  </r>
  <r>
    <x v="900"/>
  </r>
  <r>
    <x v="901"/>
  </r>
  <r>
    <x v="902"/>
  </r>
  <r>
    <x v="903"/>
  </r>
  <r>
    <x v="904"/>
  </r>
  <r>
    <x v="905"/>
  </r>
  <r>
    <x v="906"/>
  </r>
  <r>
    <x v="907"/>
  </r>
  <r>
    <x v="908"/>
  </r>
  <r>
    <x v="909"/>
  </r>
  <r>
    <x v="910"/>
  </r>
  <r>
    <x v="911"/>
  </r>
  <r>
    <x v="912"/>
  </r>
  <r>
    <x v="913"/>
  </r>
  <r>
    <x v="914"/>
  </r>
  <r>
    <x v="915"/>
  </r>
  <r>
    <x v="916"/>
  </r>
  <r>
    <x v="917"/>
  </r>
  <r>
    <x v="918"/>
  </r>
  <r>
    <x v="919"/>
  </r>
  <r>
    <x v="920"/>
  </r>
  <r>
    <x v="921"/>
  </r>
  <r>
    <x v="922"/>
  </r>
  <r>
    <x v="923"/>
  </r>
  <r>
    <x v="924"/>
  </r>
  <r>
    <x v="925"/>
  </r>
  <r>
    <x v="926"/>
  </r>
  <r>
    <x v="927"/>
  </r>
  <r>
    <x v="928"/>
  </r>
  <r>
    <x v="929"/>
  </r>
  <r>
    <x v="930"/>
  </r>
  <r>
    <x v="931"/>
  </r>
  <r>
    <x v="932"/>
  </r>
  <r>
    <x v="933"/>
  </r>
  <r>
    <x v="934"/>
  </r>
  <r>
    <x v="935"/>
  </r>
  <r>
    <x v="936"/>
  </r>
  <r>
    <x v="937"/>
  </r>
  <r>
    <x v="938"/>
  </r>
  <r>
    <x v="939"/>
  </r>
  <r>
    <x v="940"/>
  </r>
  <r>
    <x v="941"/>
  </r>
  <r>
    <x v="942"/>
  </r>
  <r>
    <x v="943"/>
  </r>
  <r>
    <x v="944"/>
  </r>
  <r>
    <x v="945"/>
  </r>
  <r>
    <x v="946"/>
  </r>
  <r>
    <x v="947"/>
  </r>
  <r>
    <x v="948"/>
  </r>
  <r>
    <x v="949"/>
  </r>
  <r>
    <x v="950"/>
  </r>
  <r>
    <x v="951"/>
  </r>
  <r>
    <x v="952"/>
  </r>
  <r>
    <x v="953"/>
  </r>
  <r>
    <x v="954"/>
  </r>
  <r>
    <x v="955"/>
  </r>
  <r>
    <x v="956"/>
  </r>
  <r>
    <x v="957"/>
  </r>
  <r>
    <x v="958"/>
  </r>
  <r>
    <x v="959"/>
  </r>
  <r>
    <x v="960"/>
  </r>
  <r>
    <x v="961"/>
  </r>
  <r>
    <x v="962"/>
  </r>
  <r>
    <x v="963"/>
  </r>
  <r>
    <x v="964"/>
  </r>
  <r>
    <x v="965"/>
  </r>
  <r>
    <x v="966"/>
  </r>
  <r>
    <x v="967"/>
  </r>
  <r>
    <x v="968"/>
  </r>
  <r>
    <x v="969"/>
  </r>
  <r>
    <x v="970"/>
  </r>
  <r>
    <x v="971"/>
  </r>
  <r>
    <x v="972"/>
  </r>
  <r>
    <x v="973"/>
  </r>
  <r>
    <x v="974"/>
  </r>
  <r>
    <x v="975"/>
  </r>
  <r>
    <x v="976"/>
  </r>
  <r>
    <x v="977"/>
  </r>
  <r>
    <x v="978"/>
  </r>
  <r>
    <x v="979"/>
  </r>
  <r>
    <x v="980"/>
  </r>
  <r>
    <x v="981"/>
  </r>
  <r>
    <x v="982"/>
  </r>
  <r>
    <x v="983"/>
  </r>
  <r>
    <x v="984"/>
  </r>
  <r>
    <x v="985"/>
  </r>
  <r>
    <x v="986"/>
  </r>
  <r>
    <x v="987"/>
  </r>
  <r>
    <x v="988"/>
  </r>
  <r>
    <x v="989"/>
  </r>
  <r>
    <x v="990"/>
  </r>
  <r>
    <x v="991"/>
  </r>
  <r>
    <x v="992"/>
  </r>
  <r>
    <x v="993"/>
  </r>
  <r>
    <x v="994"/>
  </r>
  <r>
    <x v="995"/>
  </r>
  <r>
    <x v="996"/>
  </r>
  <r>
    <x v="997"/>
  </r>
  <r>
    <x v="998"/>
  </r>
  <r>
    <x v="999"/>
  </r>
  <r>
    <x v="1000"/>
  </r>
  <r>
    <x v="1001"/>
  </r>
  <r>
    <x v="1002"/>
  </r>
  <r>
    <x v="1003"/>
  </r>
  <r>
    <x v="1004"/>
  </r>
  <r>
    <x v="1005"/>
  </r>
  <r>
    <x v="1006"/>
  </r>
  <r>
    <x v="1007"/>
  </r>
  <r>
    <x v="1008"/>
  </r>
  <r>
    <x v="1009"/>
  </r>
  <r>
    <x v="1010"/>
  </r>
  <r>
    <x v="1011"/>
  </r>
  <r>
    <x v="1012"/>
  </r>
  <r>
    <x v="1013"/>
  </r>
  <r>
    <x v="1014"/>
  </r>
  <r>
    <x v="1015"/>
  </r>
  <r>
    <x v="1016"/>
  </r>
  <r>
    <x v="1017"/>
  </r>
  <r>
    <x v="1018"/>
  </r>
  <r>
    <x v="1019"/>
  </r>
  <r>
    <x v="1020"/>
  </r>
  <r>
    <x v="1021"/>
  </r>
  <r>
    <x v="1022"/>
  </r>
  <r>
    <x v="1023"/>
  </r>
  <r>
    <x v="1024"/>
  </r>
  <r>
    <x v="1025"/>
  </r>
  <r>
    <x v="1026"/>
  </r>
  <r>
    <x v="1027"/>
  </r>
  <r>
    <x v="1028"/>
  </r>
  <r>
    <x v="1029"/>
  </r>
  <r>
    <x v="1030"/>
  </r>
  <r>
    <x v="1031"/>
  </r>
  <r>
    <x v="1032"/>
  </r>
  <r>
    <x v="1033"/>
  </r>
  <r>
    <x v="1034"/>
  </r>
  <r>
    <x v="1035"/>
  </r>
  <r>
    <x v="1036"/>
  </r>
  <r>
    <x v="1037"/>
  </r>
  <r>
    <x v="1038"/>
  </r>
  <r>
    <x v="1039"/>
  </r>
  <r>
    <x v="1040"/>
  </r>
  <r>
    <x v="1041"/>
  </r>
  <r>
    <x v="1042"/>
  </r>
  <r>
    <x v="1043"/>
  </r>
  <r>
    <x v="1044"/>
  </r>
  <r>
    <x v="1045"/>
  </r>
  <r>
    <x v="1046"/>
  </r>
  <r>
    <x v="1047"/>
  </r>
  <r>
    <x v="1048"/>
  </r>
  <r>
    <x v="1049"/>
  </r>
  <r>
    <x v="1050"/>
  </r>
  <r>
    <x v="1051"/>
  </r>
  <r>
    <x v="1052"/>
  </r>
  <r>
    <x v="1053"/>
  </r>
  <r>
    <x v="1054"/>
  </r>
  <r>
    <x v="1055"/>
  </r>
  <r>
    <x v="1056"/>
  </r>
  <r>
    <x v="1057"/>
  </r>
  <r>
    <x v="1058"/>
  </r>
  <r>
    <x v="1059"/>
  </r>
  <r>
    <x v="1060"/>
  </r>
  <r>
    <x v="1061"/>
  </r>
  <r>
    <x v="1062"/>
  </r>
  <r>
    <x v="1063"/>
  </r>
  <r>
    <x v="1064"/>
  </r>
  <r>
    <x v="1065"/>
  </r>
  <r>
    <x v="1066"/>
  </r>
  <r>
    <x v="1067"/>
  </r>
  <r>
    <x v="1068"/>
  </r>
  <r>
    <x v="1069"/>
  </r>
  <r>
    <x v="1070"/>
  </r>
  <r>
    <x v="1071"/>
  </r>
  <r>
    <x v="1072"/>
  </r>
  <r>
    <x v="1073"/>
  </r>
  <r>
    <x v="1074"/>
  </r>
  <r>
    <x v="1075"/>
  </r>
  <r>
    <x v="1076"/>
  </r>
  <r>
    <x v="1077"/>
  </r>
  <r>
    <x v="1078"/>
  </r>
  <r>
    <x v="1079"/>
  </r>
  <r>
    <x v="1080"/>
  </r>
  <r>
    <x v="1081"/>
  </r>
  <r>
    <x v="1082"/>
  </r>
  <r>
    <x v="1083"/>
  </r>
  <r>
    <x v="1084"/>
  </r>
  <r>
    <x v="1085"/>
  </r>
  <r>
    <x v="1086"/>
  </r>
  <r>
    <x v="1087"/>
  </r>
  <r>
    <x v="1088"/>
  </r>
  <r>
    <x v="1089"/>
  </r>
  <r>
    <x v="1090"/>
  </r>
  <r>
    <x v="1091"/>
  </r>
  <r>
    <x v="1092"/>
  </r>
  <r>
    <x v="1093"/>
  </r>
  <r>
    <x v="1094"/>
  </r>
  <r>
    <x v="1095"/>
  </r>
  <r>
    <x v="1096"/>
  </r>
  <r>
    <x v="1097"/>
  </r>
  <r>
    <x v="1098"/>
  </r>
  <r>
    <x v="1099"/>
  </r>
  <r>
    <x v="1100"/>
  </r>
  <r>
    <x v="1101"/>
  </r>
  <r>
    <x v="1102"/>
  </r>
  <r>
    <x v="1103"/>
  </r>
  <r>
    <x v="1104"/>
  </r>
  <r>
    <x v="1105"/>
  </r>
  <r>
    <x v="1106"/>
  </r>
  <r>
    <x v="1107"/>
  </r>
  <r>
    <x v="1108"/>
  </r>
  <r>
    <x v="1109"/>
  </r>
  <r>
    <x v="1110"/>
  </r>
  <r>
    <x v="1111"/>
  </r>
  <r>
    <x v="1112"/>
  </r>
  <r>
    <x v="1113"/>
  </r>
  <r>
    <x v="1114"/>
  </r>
  <r>
    <x v="1115"/>
  </r>
  <r>
    <x v="1116"/>
  </r>
  <r>
    <x v="1117"/>
  </r>
  <r>
    <x v="1118"/>
  </r>
  <r>
    <x v="1119"/>
  </r>
  <r>
    <x v="1120"/>
  </r>
  <r>
    <x v="1121"/>
  </r>
  <r>
    <x v="1122"/>
  </r>
  <r>
    <x v="1123"/>
  </r>
  <r>
    <x v="1124"/>
  </r>
  <r>
    <x v="1125"/>
  </r>
  <r>
    <x v="1126"/>
  </r>
  <r>
    <x v="1127"/>
  </r>
  <r>
    <x v="1128"/>
  </r>
  <r>
    <x v="1129"/>
  </r>
  <r>
    <x v="1130"/>
  </r>
  <r>
    <x v="1131"/>
  </r>
  <r>
    <x v="1132"/>
  </r>
  <r>
    <x v="1133"/>
  </r>
  <r>
    <x v="1134"/>
  </r>
  <r>
    <x v="1135"/>
  </r>
  <r>
    <x v="1136"/>
  </r>
  <r>
    <x v="1137"/>
  </r>
  <r>
    <x v="1138"/>
  </r>
  <r>
    <x v="1139"/>
  </r>
  <r>
    <x v="1140"/>
  </r>
  <r>
    <x v="1141"/>
  </r>
  <r>
    <x v="1142"/>
  </r>
  <r>
    <x v="1143"/>
  </r>
  <r>
    <x v="1144"/>
  </r>
  <r>
    <x v="1145"/>
  </r>
  <r>
    <x v="1146"/>
  </r>
  <r>
    <x v="1147"/>
  </r>
  <r>
    <x v="1148"/>
  </r>
  <r>
    <x v="1149"/>
  </r>
  <r>
    <x v="1150"/>
  </r>
  <r>
    <x v="1151"/>
  </r>
  <r>
    <x v="1152"/>
  </r>
  <r>
    <x v="1153"/>
  </r>
  <r>
    <x v="1154"/>
  </r>
  <r>
    <x v="1155"/>
  </r>
  <r>
    <x v="1156"/>
  </r>
  <r>
    <x v="1157"/>
  </r>
  <r>
    <x v="1158"/>
  </r>
  <r>
    <x v="1159"/>
  </r>
  <r>
    <x v="1160"/>
  </r>
  <r>
    <x v="1161"/>
  </r>
  <r>
    <x v="1162"/>
  </r>
  <r>
    <x v="1163"/>
  </r>
  <r>
    <x v="1164"/>
  </r>
  <r>
    <x v="1165"/>
  </r>
  <r>
    <x v="1166"/>
  </r>
  <r>
    <x v="1167"/>
  </r>
  <r>
    <x v="1168"/>
  </r>
  <r>
    <x v="1169"/>
  </r>
  <r>
    <x v="1170"/>
  </r>
  <r>
    <x v="1171"/>
  </r>
  <r>
    <x v="1172"/>
  </r>
  <r>
    <x v="1173"/>
  </r>
  <r>
    <x v="1174"/>
  </r>
  <r>
    <x v="1175"/>
  </r>
  <r>
    <x v="1176"/>
  </r>
  <r>
    <x v="1177"/>
  </r>
  <r>
    <x v="1178"/>
  </r>
  <r>
    <x v="1179"/>
  </r>
  <r>
    <x v="1180"/>
  </r>
  <r>
    <x v="1181"/>
  </r>
  <r>
    <x v="1182"/>
  </r>
  <r>
    <x v="1183"/>
  </r>
  <r>
    <x v="1184"/>
  </r>
  <r>
    <x v="1185"/>
  </r>
  <r>
    <x v="1186"/>
  </r>
  <r>
    <x v="1187"/>
  </r>
  <r>
    <x v="1188"/>
  </r>
  <r>
    <x v="1189"/>
  </r>
  <r>
    <x v="1190"/>
  </r>
  <r>
    <x v="1191"/>
  </r>
  <r>
    <x v="1192"/>
  </r>
  <r>
    <x v="1193"/>
  </r>
  <r>
    <x v="1194"/>
  </r>
  <r>
    <x v="1195"/>
  </r>
  <r>
    <x v="1196"/>
  </r>
  <r>
    <x v="1197"/>
  </r>
  <r>
    <x v="1198"/>
  </r>
  <r>
    <x v="1199"/>
  </r>
  <r>
    <x v="1200"/>
  </r>
  <r>
    <x v="1201"/>
  </r>
  <r>
    <x v="1202"/>
  </r>
  <r>
    <x v="1203"/>
  </r>
  <r>
    <x v="1204"/>
  </r>
  <r>
    <x v="1205"/>
  </r>
  <r>
    <x v="1206"/>
  </r>
  <r>
    <x v="1207"/>
  </r>
  <r>
    <x v="1208"/>
  </r>
  <r>
    <x v="1209"/>
  </r>
  <r>
    <x v="1210"/>
  </r>
  <r>
    <x v="1211"/>
  </r>
  <r>
    <x v="1212"/>
  </r>
  <r>
    <x v="1213"/>
  </r>
  <r>
    <x v="1214"/>
  </r>
  <r>
    <x v="1215"/>
  </r>
  <r>
    <x v="1216"/>
  </r>
  <r>
    <x v="1217"/>
  </r>
  <r>
    <x v="1218"/>
  </r>
  <r>
    <x v="1219"/>
  </r>
  <r>
    <x v="1220"/>
  </r>
  <r>
    <x v="1221"/>
  </r>
  <r>
    <x v="1222"/>
  </r>
  <r>
    <x v="1223"/>
  </r>
  <r>
    <x v="1224"/>
  </r>
  <r>
    <x v="1225"/>
  </r>
  <r>
    <x v="1226"/>
  </r>
  <r>
    <x v="1227"/>
  </r>
  <r>
    <x v="1228"/>
  </r>
  <r>
    <x v="1229"/>
  </r>
  <r>
    <x v="1230"/>
  </r>
  <r>
    <x v="1231"/>
  </r>
  <r>
    <x v="1232"/>
  </r>
  <r>
    <x v="1233"/>
  </r>
  <r>
    <x v="1234"/>
  </r>
  <r>
    <x v="1235"/>
  </r>
  <r>
    <x v="1236"/>
  </r>
  <r>
    <x v="1237"/>
  </r>
  <r>
    <x v="1238"/>
  </r>
  <r>
    <x v="1239"/>
  </r>
  <r>
    <x v="1240"/>
  </r>
  <r>
    <x v="1241"/>
  </r>
  <r>
    <x v="1242"/>
  </r>
  <r>
    <x v="1243"/>
  </r>
  <r>
    <x v="1244"/>
  </r>
  <r>
    <x v="1245"/>
  </r>
  <r>
    <x v="1246"/>
  </r>
  <r>
    <x v="1247"/>
  </r>
  <r>
    <x v="1248"/>
  </r>
  <r>
    <x v="1249"/>
  </r>
  <r>
    <x v="1250"/>
  </r>
  <r>
    <x v="1251"/>
  </r>
  <r>
    <x v="1252"/>
  </r>
  <r>
    <x v="1253"/>
  </r>
  <r>
    <x v="1254"/>
  </r>
  <r>
    <x v="1255"/>
  </r>
  <r>
    <x v="1256"/>
  </r>
  <r>
    <x v="1257"/>
  </r>
  <r>
    <x v="1258"/>
  </r>
  <r>
    <x v="1259"/>
  </r>
  <r>
    <x v="1260"/>
  </r>
  <r>
    <x v="1261"/>
  </r>
  <r>
    <x v="1262"/>
  </r>
  <r>
    <x v="1263"/>
  </r>
  <r>
    <x v="1264"/>
  </r>
  <r>
    <x v="1265"/>
  </r>
  <r>
    <x v="1266"/>
  </r>
  <r>
    <x v="1267"/>
  </r>
  <r>
    <x v="1268"/>
  </r>
  <r>
    <x v="1269"/>
  </r>
  <r>
    <x v="1270"/>
  </r>
  <r>
    <x v="1271"/>
  </r>
  <r>
    <x v="1272"/>
  </r>
  <r>
    <x v="1273"/>
  </r>
  <r>
    <x v="1274"/>
  </r>
  <r>
    <x v="1275"/>
  </r>
  <r>
    <x v="1276"/>
  </r>
  <r>
    <x v="1277"/>
  </r>
  <r>
    <x v="1278"/>
  </r>
  <r>
    <x v="1279"/>
  </r>
  <r>
    <x v="1280"/>
  </r>
  <r>
    <x v="1281"/>
  </r>
  <r>
    <x v="1282"/>
  </r>
  <r>
    <x v="1283"/>
  </r>
  <r>
    <x v="1284"/>
  </r>
  <r>
    <x v="1285"/>
  </r>
  <r>
    <x v="1286"/>
  </r>
  <r>
    <x v="1287"/>
  </r>
  <r>
    <x v="1288"/>
  </r>
  <r>
    <x v="1289"/>
  </r>
  <r>
    <x v="1290"/>
  </r>
  <r>
    <x v="1291"/>
  </r>
  <r>
    <x v="1292"/>
  </r>
  <r>
    <x v="1293"/>
  </r>
  <r>
    <x v="1294"/>
  </r>
  <r>
    <x v="1295"/>
  </r>
  <r>
    <x v="1296"/>
  </r>
  <r>
    <x v="1297"/>
  </r>
  <r>
    <x v="1298"/>
  </r>
  <r>
    <x v="1299"/>
  </r>
  <r>
    <x v="1300"/>
  </r>
  <r>
    <x v="1301"/>
  </r>
  <r>
    <x v="1302"/>
  </r>
  <r>
    <x v="1303"/>
  </r>
  <r>
    <x v="1304"/>
  </r>
  <r>
    <x v="1305"/>
  </r>
  <r>
    <x v="1306"/>
  </r>
  <r>
    <x v="1307"/>
  </r>
  <r>
    <x v="1308"/>
  </r>
  <r>
    <x v="1309"/>
  </r>
  <r>
    <x v="1310"/>
  </r>
  <r>
    <x v="1311"/>
  </r>
  <r>
    <x v="1312"/>
  </r>
  <r>
    <x v="1313"/>
  </r>
  <r>
    <x v="1314"/>
  </r>
  <r>
    <x v="1315"/>
  </r>
  <r>
    <x v="1316"/>
  </r>
  <r>
    <x v="1317"/>
  </r>
  <r>
    <x v="1318"/>
  </r>
  <r>
    <x v="1319"/>
  </r>
  <r>
    <x v="1320"/>
  </r>
  <r>
    <x v="1321"/>
  </r>
  <r>
    <x v="1322"/>
  </r>
  <r>
    <x v="1323"/>
  </r>
  <r>
    <x v="1324"/>
  </r>
  <r>
    <x v="1325"/>
  </r>
  <r>
    <x v="1326"/>
  </r>
  <r>
    <x v="1327"/>
  </r>
  <r>
    <x v="1328"/>
  </r>
  <r>
    <x v="1329"/>
  </r>
  <r>
    <x v="1330"/>
  </r>
  <r>
    <x v="1331"/>
  </r>
  <r>
    <x v="1332"/>
  </r>
  <r>
    <x v="1333"/>
  </r>
  <r>
    <x v="1334"/>
  </r>
  <r>
    <x v="1335"/>
  </r>
  <r>
    <x v="1336"/>
  </r>
  <r>
    <x v="1337"/>
  </r>
  <r>
    <x v="1338"/>
  </r>
  <r>
    <x v="1339"/>
  </r>
  <r>
    <x v="1340"/>
  </r>
  <r>
    <x v="1341"/>
  </r>
  <r>
    <x v="1342"/>
  </r>
  <r>
    <x v="1343"/>
  </r>
  <r>
    <x v="1344"/>
  </r>
  <r>
    <x v="1345"/>
  </r>
  <r>
    <x v="1346"/>
  </r>
  <r>
    <x v="1347"/>
  </r>
  <r>
    <x v="1348"/>
  </r>
  <r>
    <x v="1349"/>
  </r>
  <r>
    <x v="1350"/>
  </r>
  <r>
    <x v="1351"/>
  </r>
  <r>
    <x v="1352"/>
  </r>
  <r>
    <x v="1353"/>
  </r>
  <r>
    <x v="1354"/>
  </r>
  <r>
    <x v="1355"/>
  </r>
  <r>
    <x v="1356"/>
  </r>
  <r>
    <x v="1357"/>
  </r>
  <r>
    <x v="1358"/>
  </r>
  <r>
    <x v="1359"/>
  </r>
  <r>
    <x v="1360"/>
  </r>
  <r>
    <x v="1361"/>
  </r>
  <r>
    <x v="1362"/>
  </r>
  <r>
    <x v="1363"/>
  </r>
  <r>
    <x v="1364"/>
  </r>
  <r>
    <x v="1365"/>
  </r>
  <r>
    <x v="1366"/>
  </r>
  <r>
    <x v="1367"/>
  </r>
  <r>
    <x v="1368"/>
  </r>
  <r>
    <x v="1369"/>
  </r>
  <r>
    <x v="1370"/>
  </r>
  <r>
    <x v="1371"/>
  </r>
  <r>
    <x v="1372"/>
  </r>
  <r>
    <x v="1373"/>
  </r>
  <r>
    <x v="1374"/>
  </r>
  <r>
    <x v="1375"/>
  </r>
  <r>
    <x v="1376"/>
  </r>
  <r>
    <x v="1377"/>
  </r>
  <r>
    <x v="1378"/>
  </r>
  <r>
    <x v="1379"/>
  </r>
  <r>
    <x v="1380"/>
  </r>
  <r>
    <x v="1381"/>
  </r>
  <r>
    <x v="1382"/>
  </r>
  <r>
    <x v="1383"/>
  </r>
  <r>
    <x v="1384"/>
  </r>
  <r>
    <x v="1385"/>
  </r>
  <r>
    <x v="1386"/>
  </r>
  <r>
    <x v="1387"/>
  </r>
  <r>
    <x v="1388"/>
  </r>
  <r>
    <x v="1389"/>
  </r>
  <r>
    <x v="1390"/>
  </r>
  <r>
    <x v="1391"/>
  </r>
  <r>
    <x v="1392"/>
  </r>
  <r>
    <x v="1393"/>
  </r>
  <r>
    <x v="1394"/>
  </r>
  <r>
    <x v="1395"/>
  </r>
  <r>
    <x v="1396"/>
  </r>
  <r>
    <x v="1397"/>
  </r>
  <r>
    <x v="1398"/>
  </r>
  <r>
    <x v="1399"/>
  </r>
  <r>
    <x v="1400"/>
  </r>
  <r>
    <x v="1401"/>
  </r>
  <r>
    <x v="1402"/>
  </r>
  <r>
    <x v="1403"/>
  </r>
  <r>
    <x v="1404"/>
  </r>
  <r>
    <x v="1405"/>
  </r>
  <r>
    <x v="1406"/>
  </r>
  <r>
    <x v="1407"/>
  </r>
  <r>
    <x v="1408"/>
  </r>
  <r>
    <x v="1409"/>
  </r>
  <r>
    <x v="1410"/>
  </r>
  <r>
    <x v="1411"/>
  </r>
  <r>
    <x v="1412"/>
  </r>
  <r>
    <x v="1413"/>
  </r>
  <r>
    <x v="1414"/>
  </r>
  <r>
    <x v="1415"/>
  </r>
  <r>
    <x v="1416"/>
  </r>
  <r>
    <x v="1417"/>
  </r>
  <r>
    <x v="1418"/>
  </r>
  <r>
    <x v="1419"/>
  </r>
  <r>
    <x v="1420"/>
  </r>
  <r>
    <x v="1421"/>
  </r>
  <r>
    <x v="1422"/>
  </r>
  <r>
    <x v="1423"/>
  </r>
  <r>
    <x v="1424"/>
  </r>
  <r>
    <x v="1425"/>
  </r>
  <r>
    <x v="1426"/>
  </r>
  <r>
    <x v="1427"/>
  </r>
  <r>
    <x v="1428"/>
  </r>
  <r>
    <x v="1429"/>
  </r>
  <r>
    <x v="1430"/>
  </r>
  <r>
    <x v="1431"/>
  </r>
  <r>
    <x v="1432"/>
  </r>
  <r>
    <x v="1433"/>
  </r>
  <r>
    <x v="1434"/>
  </r>
  <r>
    <x v="1435"/>
  </r>
  <r>
    <x v="1436"/>
  </r>
  <r>
    <x v="1437"/>
  </r>
  <r>
    <x v="1438"/>
  </r>
  <r>
    <x v="1439"/>
  </r>
  <r>
    <x v="1440"/>
  </r>
  <r>
    <x v="1441"/>
  </r>
  <r>
    <x v="1442"/>
  </r>
  <r>
    <x v="1443"/>
  </r>
  <r>
    <x v="1444"/>
  </r>
  <r>
    <x v="1445"/>
  </r>
  <r>
    <x v="1446"/>
  </r>
  <r>
    <x v="1447"/>
  </r>
  <r>
    <x v="1448"/>
  </r>
  <r>
    <x v="1449"/>
  </r>
  <r>
    <x v="1450"/>
  </r>
  <r>
    <x v="1451"/>
  </r>
  <r>
    <x v="1452"/>
  </r>
  <r>
    <x v="1453"/>
  </r>
  <r>
    <x v="1454"/>
  </r>
  <r>
    <x v="1455"/>
  </r>
  <r>
    <x v="1456"/>
  </r>
  <r>
    <x v="1457"/>
  </r>
  <r>
    <x v="1458"/>
  </r>
  <r>
    <x v="1459"/>
  </r>
  <r>
    <x v="1460"/>
  </r>
  <r>
    <x v="1461"/>
  </r>
  <r>
    <x v="1462"/>
  </r>
  <r>
    <x v="1463"/>
  </r>
  <r>
    <x v="1464"/>
  </r>
  <r>
    <x v="1465"/>
  </r>
  <r>
    <x v="1466"/>
  </r>
  <r>
    <x v="1467"/>
  </r>
  <r>
    <x v="1468"/>
  </r>
  <r>
    <x v="1469"/>
  </r>
  <r>
    <x v="1470"/>
  </r>
  <r>
    <x v="1471"/>
  </r>
  <r>
    <x v="1472"/>
  </r>
  <r>
    <x v="1473"/>
  </r>
  <r>
    <x v="1474"/>
  </r>
  <r>
    <x v="1475"/>
  </r>
  <r>
    <x v="1476"/>
  </r>
  <r>
    <x v="1477"/>
  </r>
  <r>
    <x v="1478"/>
  </r>
  <r>
    <x v="1479"/>
  </r>
  <r>
    <x v="1480"/>
  </r>
  <r>
    <x v="1481"/>
  </r>
  <r>
    <x v="1482"/>
  </r>
  <r>
    <x v="1483"/>
  </r>
  <r>
    <x v="1484"/>
  </r>
  <r>
    <x v="1485"/>
  </r>
  <r>
    <x v="1486"/>
  </r>
  <r>
    <x v="1487"/>
  </r>
  <r>
    <x v="1488"/>
  </r>
  <r>
    <x v="1489"/>
  </r>
  <r>
    <x v="1490"/>
  </r>
  <r>
    <x v="1491"/>
  </r>
  <r>
    <x v="1492"/>
  </r>
  <r>
    <x v="1493"/>
  </r>
  <r>
    <x v="1494"/>
  </r>
  <r>
    <x v="1495"/>
  </r>
  <r>
    <x v="1496"/>
  </r>
  <r>
    <x v="1497"/>
  </r>
  <r>
    <x v="1498"/>
  </r>
  <r>
    <x v="1499"/>
  </r>
  <r>
    <x v="1500"/>
  </r>
  <r>
    <x v="1501"/>
  </r>
  <r>
    <x v="1502"/>
  </r>
  <r>
    <x v="1503"/>
  </r>
  <r>
    <x v="1504"/>
  </r>
  <r>
    <x v="1505"/>
  </r>
  <r>
    <x v="1506"/>
  </r>
  <r>
    <x v="1507"/>
  </r>
  <r>
    <x v="1508"/>
  </r>
  <r>
    <x v="1509"/>
  </r>
  <r>
    <x v="1510"/>
  </r>
  <r>
    <x v="1511"/>
  </r>
  <r>
    <x v="1512"/>
  </r>
  <r>
    <x v="1513"/>
  </r>
  <r>
    <x v="1514"/>
  </r>
  <r>
    <x v="1515"/>
  </r>
  <r>
    <x v="1516"/>
  </r>
  <r>
    <x v="1517"/>
  </r>
  <r>
    <x v="1518"/>
  </r>
  <r>
    <x v="1519"/>
  </r>
  <r>
    <x v="1520"/>
  </r>
  <r>
    <x v="1521"/>
  </r>
  <r>
    <x v="1522"/>
  </r>
  <r>
    <x v="1523"/>
  </r>
  <r>
    <x v="1524"/>
  </r>
  <r>
    <x v="1525"/>
  </r>
  <r>
    <x v="1526"/>
  </r>
  <r>
    <x v="1527"/>
  </r>
  <r>
    <x v="1528"/>
  </r>
  <r>
    <x v="1529"/>
  </r>
  <r>
    <x v="1530"/>
  </r>
  <r>
    <x v="1531"/>
  </r>
  <r>
    <x v="1532"/>
  </r>
  <r>
    <x v="1533"/>
  </r>
  <r>
    <x v="1534"/>
  </r>
  <r>
    <x v="1535"/>
  </r>
  <r>
    <x v="1536"/>
  </r>
  <r>
    <x v="1537"/>
  </r>
  <r>
    <x v="1538"/>
  </r>
  <r>
    <x v="1539"/>
  </r>
  <r>
    <x v="1540"/>
  </r>
  <r>
    <x v="1541"/>
  </r>
  <r>
    <x v="1542"/>
  </r>
  <r>
    <x v="1543"/>
  </r>
  <r>
    <x v="1544"/>
  </r>
  <r>
    <x v="728"/>
  </r>
  <r>
    <x v="1545"/>
  </r>
  <r>
    <x v="1546"/>
  </r>
  <r>
    <x v="1547"/>
  </r>
  <r>
    <x v="1548"/>
  </r>
  <r>
    <x v="1549"/>
  </r>
  <r>
    <x v="1550"/>
  </r>
  <r>
    <x v="1551"/>
  </r>
  <r>
    <x v="1552"/>
  </r>
  <r>
    <x v="1553"/>
  </r>
  <r>
    <x v="1554"/>
  </r>
  <r>
    <x v="1555"/>
  </r>
  <r>
    <x v="1556"/>
  </r>
  <r>
    <x v="1557"/>
  </r>
  <r>
    <x v="1558"/>
  </r>
  <r>
    <x v="1559"/>
  </r>
  <r>
    <x v="1560"/>
  </r>
  <r>
    <x v="1561"/>
  </r>
  <r>
    <x v="1562"/>
  </r>
  <r>
    <x v="1563"/>
  </r>
  <r>
    <x v="1564"/>
  </r>
  <r>
    <x v="1565"/>
  </r>
  <r>
    <x v="1566"/>
  </r>
  <r>
    <x v="1567"/>
  </r>
  <r>
    <x v="1568"/>
  </r>
  <r>
    <x v="1569"/>
  </r>
  <r>
    <x v="1570"/>
  </r>
  <r>
    <x v="1571"/>
  </r>
  <r>
    <x v="1572"/>
  </r>
  <r>
    <x v="1573"/>
  </r>
  <r>
    <x v="1574"/>
  </r>
  <r>
    <x v="1575"/>
  </r>
  <r>
    <x v="1576"/>
  </r>
  <r>
    <x v="1577"/>
  </r>
  <r>
    <x v="1578"/>
  </r>
  <r>
    <x v="1579"/>
  </r>
  <r>
    <x v="1580"/>
  </r>
  <r>
    <x v="1581"/>
  </r>
  <r>
    <x v="1582"/>
  </r>
  <r>
    <x v="1583"/>
  </r>
  <r>
    <x v="1584"/>
  </r>
  <r>
    <x v="1585"/>
  </r>
  <r>
    <x v="1586"/>
  </r>
  <r>
    <x v="1587"/>
  </r>
  <r>
    <x v="1588"/>
  </r>
  <r>
    <x v="1589"/>
  </r>
  <r>
    <x v="1590"/>
  </r>
  <r>
    <x v="1591"/>
  </r>
  <r>
    <x v="1592"/>
  </r>
  <r>
    <x v="1593"/>
  </r>
  <r>
    <x v="1594"/>
  </r>
  <r>
    <x v="1595"/>
  </r>
  <r>
    <x v="1596"/>
  </r>
  <r>
    <x v="1597"/>
  </r>
  <r>
    <x v="1598"/>
  </r>
  <r>
    <x v="1599"/>
  </r>
  <r>
    <x v="1600"/>
  </r>
  <r>
    <x v="1601"/>
  </r>
  <r>
    <x v="1602"/>
  </r>
  <r>
    <x v="1603"/>
  </r>
  <r>
    <x v="1604"/>
  </r>
  <r>
    <x v="1605"/>
  </r>
  <r>
    <x v="1606"/>
  </r>
  <r>
    <x v="1607"/>
  </r>
  <r>
    <x v="1608"/>
  </r>
  <r>
    <x v="1609"/>
  </r>
  <r>
    <x v="1610"/>
  </r>
  <r>
    <x v="1611"/>
  </r>
  <r>
    <x v="1612"/>
  </r>
  <r>
    <x v="1613"/>
  </r>
  <r>
    <x v="1614"/>
  </r>
  <r>
    <x v="1615"/>
  </r>
  <r>
    <x v="1616"/>
  </r>
  <r>
    <x v="1617"/>
  </r>
  <r>
    <x v="1618"/>
  </r>
  <r>
    <x v="1619"/>
  </r>
  <r>
    <x v="1620"/>
  </r>
  <r>
    <x v="1621"/>
  </r>
  <r>
    <x v="1622"/>
  </r>
  <r>
    <x v="1623"/>
  </r>
  <r>
    <x v="1624"/>
  </r>
  <r>
    <x v="1625"/>
  </r>
  <r>
    <x v="1626"/>
  </r>
  <r>
    <x v="1627"/>
  </r>
  <r>
    <x v="1628"/>
  </r>
  <r>
    <x v="1629"/>
  </r>
  <r>
    <x v="1630"/>
  </r>
  <r>
    <x v="1631"/>
  </r>
  <r>
    <x v="1632"/>
  </r>
  <r>
    <x v="1633"/>
  </r>
  <r>
    <x v="1634"/>
  </r>
  <r>
    <x v="1635"/>
  </r>
  <r>
    <x v="1636"/>
  </r>
  <r>
    <x v="1637"/>
  </r>
  <r>
    <x v="1638"/>
  </r>
  <r>
    <x v="1639"/>
  </r>
  <r>
    <x v="1640"/>
  </r>
  <r>
    <x v="1641"/>
  </r>
  <r>
    <x v="1642"/>
  </r>
  <r>
    <x v="1643"/>
  </r>
  <r>
    <x v="1644"/>
  </r>
  <r>
    <x v="1645"/>
  </r>
  <r>
    <x v="1646"/>
  </r>
  <r>
    <x v="1647"/>
  </r>
  <r>
    <x v="1648"/>
  </r>
  <r>
    <x v="1649"/>
  </r>
  <r>
    <x v="1650"/>
  </r>
  <r>
    <x v="1651"/>
  </r>
  <r>
    <x v="1652"/>
  </r>
  <r>
    <x v="1653"/>
  </r>
  <r>
    <x v="1654"/>
  </r>
  <r>
    <x v="1655"/>
  </r>
  <r>
    <x v="1656"/>
  </r>
  <r>
    <x v="1657"/>
  </r>
  <r>
    <x v="1658"/>
  </r>
  <r>
    <x v="1659"/>
  </r>
  <r>
    <x v="1660"/>
  </r>
  <r>
    <x v="1661"/>
  </r>
  <r>
    <x v="1662"/>
  </r>
  <r>
    <x v="1663"/>
  </r>
  <r>
    <x v="1664"/>
  </r>
  <r>
    <x v="1665"/>
  </r>
  <r>
    <x v="1666"/>
  </r>
  <r>
    <x v="1667"/>
  </r>
  <r>
    <x v="1668"/>
  </r>
  <r>
    <x v="1669"/>
  </r>
  <r>
    <x v="1670"/>
  </r>
  <r>
    <x v="1671"/>
  </r>
  <r>
    <x v="1672"/>
  </r>
  <r>
    <x v="1673"/>
  </r>
  <r>
    <x v="1674"/>
  </r>
  <r>
    <x v="1675"/>
  </r>
  <r>
    <x v="1676"/>
  </r>
  <r>
    <x v="1677"/>
  </r>
  <r>
    <x v="1678"/>
  </r>
  <r>
    <x v="1679"/>
  </r>
  <r>
    <x v="1680"/>
  </r>
  <r>
    <x v="1681"/>
  </r>
  <r>
    <x v="1682"/>
  </r>
  <r>
    <x v="1683"/>
  </r>
  <r>
    <x v="1684"/>
  </r>
  <r>
    <x v="1685"/>
  </r>
  <r>
    <x v="1686"/>
  </r>
  <r>
    <x v="1687"/>
  </r>
  <r>
    <x v="1688"/>
  </r>
  <r>
    <x v="1689"/>
  </r>
  <r>
    <x v="1690"/>
  </r>
  <r>
    <x v="1691"/>
  </r>
  <r>
    <x v="1692"/>
  </r>
  <r>
    <x v="1693"/>
  </r>
  <r>
    <x v="1694"/>
  </r>
  <r>
    <x v="1695"/>
  </r>
  <r>
    <x v="1696"/>
  </r>
  <r>
    <x v="1697"/>
  </r>
  <r>
    <x v="1698"/>
  </r>
  <r>
    <x v="1699"/>
  </r>
  <r>
    <x v="1700"/>
  </r>
  <r>
    <x v="1701"/>
  </r>
  <r>
    <x v="1702"/>
  </r>
  <r>
    <x v="1703"/>
  </r>
  <r>
    <x v="1704"/>
  </r>
  <r>
    <x v="1705"/>
  </r>
  <r>
    <x v="1706"/>
  </r>
  <r>
    <x v="1707"/>
  </r>
  <r>
    <x v="1708"/>
  </r>
  <r>
    <x v="1709"/>
  </r>
  <r>
    <x v="1710"/>
  </r>
  <r>
    <x v="1711"/>
  </r>
  <r>
    <x v="1712"/>
  </r>
  <r>
    <x v="1713"/>
  </r>
  <r>
    <x v="1714"/>
  </r>
  <r>
    <x v="1715"/>
  </r>
  <r>
    <x v="1716"/>
  </r>
  <r>
    <x v="1717"/>
  </r>
  <r>
    <x v="1718"/>
  </r>
  <r>
    <x v="1719"/>
  </r>
  <r>
    <x v="1720"/>
  </r>
  <r>
    <x v="1721"/>
  </r>
  <r>
    <x v="1722"/>
  </r>
  <r>
    <x v="1723"/>
  </r>
  <r>
    <x v="1724"/>
  </r>
  <r>
    <x v="1725"/>
  </r>
  <r>
    <x v="1726"/>
  </r>
  <r>
    <x v="1727"/>
  </r>
  <r>
    <x v="1728"/>
  </r>
  <r>
    <x v="1729"/>
  </r>
  <r>
    <x v="1730"/>
  </r>
  <r>
    <x v="1731"/>
  </r>
  <r>
    <x v="1732"/>
  </r>
  <r>
    <x v="1733"/>
  </r>
  <r>
    <x v="1734"/>
  </r>
  <r>
    <x v="1735"/>
  </r>
  <r>
    <x v="1736"/>
  </r>
  <r>
    <x v="1737"/>
  </r>
  <r>
    <x v="1738"/>
  </r>
  <r>
    <x v="1739"/>
  </r>
  <r>
    <x v="1740"/>
  </r>
  <r>
    <x v="1741"/>
  </r>
  <r>
    <x v="1742"/>
  </r>
  <r>
    <x v="1743"/>
  </r>
  <r>
    <x v="1744"/>
  </r>
  <r>
    <x v="1745"/>
  </r>
  <r>
    <x v="1746"/>
  </r>
  <r>
    <x v="1747"/>
  </r>
  <r>
    <x v="1748"/>
  </r>
  <r>
    <x v="1749"/>
  </r>
  <r>
    <x v="1750"/>
  </r>
  <r>
    <x v="1751"/>
  </r>
  <r>
    <x v="1752"/>
  </r>
  <r>
    <x v="1753"/>
  </r>
  <r>
    <x v="1754"/>
  </r>
  <r>
    <x v="1755"/>
  </r>
  <r>
    <x v="1756"/>
  </r>
  <r>
    <x v="1757"/>
  </r>
  <r>
    <x v="1758"/>
  </r>
  <r>
    <x v="1759"/>
  </r>
  <r>
    <x v="1760"/>
  </r>
  <r>
    <x v="1761"/>
  </r>
  <r>
    <x v="1762"/>
  </r>
  <r>
    <x v="1763"/>
  </r>
  <r>
    <x v="1764"/>
  </r>
  <r>
    <x v="1765"/>
  </r>
  <r>
    <x v="1766"/>
  </r>
  <r>
    <x v="1767"/>
  </r>
  <r>
    <x v="1768"/>
  </r>
  <r>
    <x v="1769"/>
  </r>
  <r>
    <x v="1770"/>
  </r>
  <r>
    <x v="1771"/>
  </r>
  <r>
    <x v="1772"/>
  </r>
  <r>
    <x v="1773"/>
  </r>
  <r>
    <x v="1774"/>
  </r>
  <r>
    <x v="1775"/>
  </r>
  <r>
    <x v="1776"/>
  </r>
  <r>
    <x v="1777"/>
  </r>
  <r>
    <x v="1778"/>
  </r>
  <r>
    <x v="1779"/>
  </r>
  <r>
    <x v="1780"/>
  </r>
  <r>
    <x v="1781"/>
  </r>
  <r>
    <x v="1782"/>
  </r>
  <r>
    <x v="1783"/>
  </r>
  <r>
    <x v="1784"/>
  </r>
  <r>
    <x v="1785"/>
  </r>
  <r>
    <x v="1786"/>
  </r>
  <r>
    <x v="1787"/>
  </r>
  <r>
    <x v="1788"/>
  </r>
  <r>
    <x v="1789"/>
  </r>
  <r>
    <x v="1790"/>
  </r>
  <r>
    <x v="1791"/>
  </r>
  <r>
    <x v="1792"/>
  </r>
  <r>
    <x v="1793"/>
  </r>
  <r>
    <x v="1794"/>
  </r>
  <r>
    <x v="1795"/>
  </r>
  <r>
    <x v="1796"/>
  </r>
  <r>
    <x v="1797"/>
  </r>
  <r>
    <x v="1798"/>
  </r>
  <r>
    <x v="1799"/>
  </r>
  <r>
    <x v="1800"/>
  </r>
  <r>
    <x v="1801"/>
  </r>
  <r>
    <x v="1802"/>
  </r>
  <r>
    <x v="1803"/>
  </r>
  <r>
    <x v="1804"/>
  </r>
  <r>
    <x v="1805"/>
  </r>
  <r>
    <x v="1806"/>
  </r>
  <r>
    <x v="1807"/>
  </r>
  <r>
    <x v="1808"/>
  </r>
  <r>
    <x v="1809"/>
  </r>
  <r>
    <x v="1810"/>
  </r>
  <r>
    <x v="1811"/>
  </r>
  <r>
    <x v="1812"/>
  </r>
  <r>
    <x v="1813"/>
  </r>
  <r>
    <x v="1814"/>
  </r>
  <r>
    <x v="1815"/>
  </r>
  <r>
    <x v="1816"/>
  </r>
  <r>
    <x v="1817"/>
  </r>
  <r>
    <x v="1818"/>
  </r>
  <r>
    <x v="1819"/>
  </r>
  <r>
    <x v="1820"/>
  </r>
  <r>
    <x v="1821"/>
  </r>
  <r>
    <x v="1822"/>
  </r>
  <r>
    <x v="1823"/>
  </r>
  <r>
    <x v="1824"/>
  </r>
  <r>
    <x v="1825"/>
  </r>
  <r>
    <x v="1826"/>
  </r>
  <r>
    <x v="1827"/>
  </r>
  <r>
    <x v="1828"/>
  </r>
  <r>
    <x v="1829"/>
  </r>
  <r>
    <x v="1830"/>
  </r>
  <r>
    <x v="1831"/>
  </r>
  <r>
    <x v="1832"/>
  </r>
  <r>
    <x v="1833"/>
  </r>
  <r>
    <x v="1834"/>
  </r>
  <r>
    <x v="1835"/>
  </r>
  <r>
    <x v="1836"/>
  </r>
  <r>
    <x v="1837"/>
  </r>
  <r>
    <x v="1838"/>
  </r>
  <r>
    <x v="1839"/>
  </r>
  <r>
    <x v="1840"/>
  </r>
  <r>
    <x v="1841"/>
  </r>
  <r>
    <x v="1842"/>
  </r>
  <r>
    <x v="1843"/>
  </r>
  <r>
    <x v="1844"/>
  </r>
  <r>
    <x v="1845"/>
  </r>
  <r>
    <x v="1846"/>
  </r>
  <r>
    <x v="1847"/>
  </r>
  <r>
    <x v="1848"/>
  </r>
  <r>
    <x v="1849"/>
  </r>
  <r>
    <x v="1850"/>
  </r>
  <r>
    <x v="1851"/>
  </r>
  <r>
    <x v="1852"/>
  </r>
  <r>
    <x v="1853"/>
  </r>
  <r>
    <x v="1854"/>
  </r>
  <r>
    <x v="1855"/>
  </r>
  <r>
    <x v="1856"/>
  </r>
  <r>
    <x v="1857"/>
  </r>
  <r>
    <x v="1858"/>
  </r>
  <r>
    <x v="1859"/>
  </r>
  <r>
    <x v="1860"/>
  </r>
  <r>
    <x v="1861"/>
  </r>
  <r>
    <x v="1862"/>
  </r>
  <r>
    <x v="1863"/>
  </r>
  <r>
    <x v="1864"/>
  </r>
  <r>
    <x v="1865"/>
  </r>
  <r>
    <x v="1866"/>
  </r>
  <r>
    <x v="1867"/>
  </r>
  <r>
    <x v="1868"/>
  </r>
  <r>
    <x v="1869"/>
  </r>
  <r>
    <x v="1870"/>
  </r>
  <r>
    <x v="1871"/>
  </r>
  <r>
    <x v="1872"/>
  </r>
  <r>
    <x v="1873"/>
  </r>
  <r>
    <x v="1874"/>
  </r>
  <r>
    <x v="1875"/>
  </r>
  <r>
    <x v="1876"/>
  </r>
  <r>
    <x v="1877"/>
  </r>
  <r>
    <x v="1878"/>
  </r>
  <r>
    <x v="1879"/>
  </r>
  <r>
    <x v="1880"/>
  </r>
  <r>
    <x v="1881"/>
  </r>
  <r>
    <x v="1882"/>
  </r>
  <r>
    <x v="1883"/>
  </r>
  <r>
    <x v="1884"/>
  </r>
  <r>
    <x v="1885"/>
  </r>
  <r>
    <x v="1886"/>
  </r>
  <r>
    <x v="1887"/>
  </r>
  <r>
    <x v="1888"/>
  </r>
  <r>
    <x v="1889"/>
  </r>
  <r>
    <x v="1890"/>
  </r>
  <r>
    <x v="1891"/>
  </r>
  <r>
    <x v="1892"/>
  </r>
  <r>
    <x v="1893"/>
  </r>
  <r>
    <x v="1894"/>
  </r>
  <r>
    <x v="1895"/>
  </r>
  <r>
    <x v="1896"/>
  </r>
  <r>
    <x v="1897"/>
  </r>
  <r>
    <x v="1898"/>
  </r>
  <r>
    <x v="1899"/>
  </r>
  <r>
    <x v="1900"/>
  </r>
  <r>
    <x v="1901"/>
  </r>
  <r>
    <x v="1902"/>
  </r>
  <r>
    <x v="1903"/>
  </r>
  <r>
    <x v="1904"/>
  </r>
  <r>
    <x v="1905"/>
  </r>
  <r>
    <x v="1906"/>
  </r>
  <r>
    <x v="1907"/>
  </r>
  <r>
    <x v="1908"/>
  </r>
  <r>
    <x v="1909"/>
  </r>
  <r>
    <x v="1910"/>
  </r>
  <r>
    <x v="1911"/>
  </r>
  <r>
    <x v="1912"/>
  </r>
  <r>
    <x v="1913"/>
  </r>
  <r>
    <x v="1914"/>
  </r>
  <r>
    <x v="1915"/>
  </r>
  <r>
    <x v="1916"/>
  </r>
  <r>
    <x v="1917"/>
  </r>
  <r>
    <x v="1918"/>
  </r>
  <r>
    <x v="1919"/>
  </r>
  <r>
    <x v="1920"/>
  </r>
  <r>
    <x v="1921"/>
  </r>
  <r>
    <x v="1922"/>
  </r>
  <r>
    <x v="1923"/>
  </r>
  <r>
    <x v="1924"/>
  </r>
  <r>
    <x v="1925"/>
  </r>
  <r>
    <x v="1926"/>
  </r>
  <r>
    <x v="1927"/>
  </r>
  <r>
    <x v="1928"/>
  </r>
  <r>
    <x v="1929"/>
  </r>
  <r>
    <x v="1930"/>
  </r>
  <r>
    <x v="1931"/>
  </r>
  <r>
    <x v="1932"/>
  </r>
  <r>
    <x v="1933"/>
  </r>
  <r>
    <x v="1934"/>
  </r>
  <r>
    <x v="1935"/>
  </r>
  <r>
    <x v="1936"/>
  </r>
  <r>
    <x v="1937"/>
  </r>
  <r>
    <x v="1938"/>
  </r>
  <r>
    <x v="1939"/>
  </r>
  <r>
    <x v="1940"/>
  </r>
  <r>
    <x v="1941"/>
  </r>
  <r>
    <x v="1942"/>
  </r>
  <r>
    <x v="1943"/>
  </r>
  <r>
    <x v="1944"/>
  </r>
  <r>
    <x v="1945"/>
  </r>
  <r>
    <x v="1946"/>
  </r>
  <r>
    <x v="1947"/>
  </r>
  <r>
    <x v="1948"/>
  </r>
  <r>
    <x v="1949"/>
  </r>
  <r>
    <x v="1950"/>
  </r>
  <r>
    <x v="1951"/>
  </r>
  <r>
    <x v="1952"/>
  </r>
  <r>
    <x v="1953"/>
  </r>
  <r>
    <x v="1954"/>
  </r>
  <r>
    <x v="1955"/>
  </r>
  <r>
    <x v="1956"/>
  </r>
  <r>
    <x v="1957"/>
  </r>
  <r>
    <x v="1958"/>
  </r>
  <r>
    <x v="1959"/>
  </r>
  <r>
    <x v="1960"/>
  </r>
  <r>
    <x v="1961"/>
  </r>
  <r>
    <x v="1962"/>
  </r>
  <r>
    <x v="1963"/>
  </r>
  <r>
    <x v="1964"/>
  </r>
  <r>
    <x v="1965"/>
  </r>
  <r>
    <x v="1966"/>
  </r>
  <r>
    <x v="1967"/>
  </r>
  <r>
    <x v="1968"/>
  </r>
  <r>
    <x v="1969"/>
  </r>
  <r>
    <x v="1970"/>
  </r>
  <r>
    <x v="1971"/>
  </r>
  <r>
    <x v="1972"/>
  </r>
  <r>
    <x v="1973"/>
  </r>
  <r>
    <x v="1974"/>
  </r>
  <r>
    <x v="1975"/>
  </r>
  <r>
    <x v="1976"/>
  </r>
  <r>
    <x v="1977"/>
  </r>
  <r>
    <x v="1978"/>
  </r>
  <r>
    <x v="1979"/>
  </r>
  <r>
    <x v="1980"/>
  </r>
  <r>
    <x v="1981"/>
  </r>
  <r>
    <x v="1982"/>
  </r>
  <r>
    <x v="1983"/>
  </r>
  <r>
    <x v="1984"/>
  </r>
  <r>
    <x v="1985"/>
  </r>
  <r>
    <x v="1986"/>
  </r>
  <r>
    <x v="1987"/>
  </r>
  <r>
    <x v="1988"/>
  </r>
  <r>
    <x v="1989"/>
  </r>
  <r>
    <x v="1990"/>
  </r>
  <r>
    <x v="1991"/>
  </r>
  <r>
    <x v="1992"/>
  </r>
  <r>
    <x v="1993"/>
  </r>
  <r>
    <x v="1994"/>
  </r>
  <r>
    <x v="1995"/>
  </r>
  <r>
    <x v="1996"/>
  </r>
  <r>
    <x v="1997"/>
  </r>
  <r>
    <x v="1998"/>
  </r>
  <r>
    <x v="1999"/>
  </r>
  <r>
    <x v="2000"/>
  </r>
  <r>
    <x v="2001"/>
  </r>
  <r>
    <x v="2002"/>
  </r>
  <r>
    <x v="2003"/>
  </r>
  <r>
    <x v="2004"/>
  </r>
  <r>
    <x v="2005"/>
  </r>
  <r>
    <x v="2006"/>
  </r>
  <r>
    <x v="2007"/>
  </r>
  <r>
    <x v="2008"/>
  </r>
  <r>
    <x v="2009"/>
  </r>
  <r>
    <x v="2010"/>
  </r>
  <r>
    <x v="2011"/>
  </r>
  <r>
    <x v="2012"/>
  </r>
  <r>
    <x v="2013"/>
  </r>
  <r>
    <x v="2014"/>
  </r>
  <r>
    <x v="2015"/>
  </r>
  <r>
    <x v="2016"/>
  </r>
  <r>
    <x v="2017"/>
  </r>
  <r>
    <x v="2018"/>
  </r>
  <r>
    <x v="2019"/>
  </r>
  <r>
    <x v="2020"/>
  </r>
  <r>
    <x v="2021"/>
  </r>
  <r>
    <x v="2022"/>
  </r>
  <r>
    <x v="2023"/>
  </r>
  <r>
    <x v="2024"/>
  </r>
  <r>
    <x v="2025"/>
  </r>
  <r>
    <x v="2026"/>
  </r>
  <r>
    <x v="2027"/>
  </r>
  <r>
    <x v="2028"/>
  </r>
  <r>
    <x v="2029"/>
  </r>
  <r>
    <x v="2030"/>
  </r>
  <r>
    <x v="2031"/>
  </r>
  <r>
    <x v="2032"/>
  </r>
  <r>
    <x v="51"/>
  </r>
  <r>
    <x v="2033"/>
  </r>
  <r>
    <x v="2034"/>
  </r>
  <r>
    <x v="2035"/>
  </r>
  <r>
    <x v="2036"/>
  </r>
  <r>
    <x v="2037"/>
  </r>
  <r>
    <x v="2038"/>
  </r>
  <r>
    <x v="2039"/>
  </r>
  <r>
    <x v="2040"/>
  </r>
  <r>
    <x v="2041"/>
  </r>
  <r>
    <x v="2042"/>
  </r>
  <r>
    <x v="2043"/>
  </r>
  <r>
    <x v="2044"/>
  </r>
  <r>
    <x v="2045"/>
  </r>
  <r>
    <x v="2046"/>
  </r>
  <r>
    <x v="2047"/>
  </r>
  <r>
    <x v="2048"/>
  </r>
  <r>
    <x v="2049"/>
  </r>
  <r>
    <x v="2050"/>
  </r>
  <r>
    <x v="2051"/>
  </r>
  <r>
    <x v="2052"/>
  </r>
  <r>
    <x v="2053"/>
  </r>
  <r>
    <x v="2054"/>
  </r>
  <r>
    <x v="2055"/>
  </r>
  <r>
    <x v="2056"/>
  </r>
  <r>
    <x v="2057"/>
  </r>
  <r>
    <x v="2058"/>
  </r>
  <r>
    <x v="2059"/>
  </r>
  <r>
    <x v="2060"/>
  </r>
  <r>
    <x v="2061"/>
  </r>
  <r>
    <x v="2062"/>
  </r>
  <r>
    <x v="2063"/>
  </r>
  <r>
    <x v="2064"/>
  </r>
  <r>
    <x v="2065"/>
  </r>
  <r>
    <x v="2066"/>
  </r>
  <r>
    <x v="2067"/>
  </r>
  <r>
    <x v="2068"/>
  </r>
  <r>
    <x v="2069"/>
  </r>
  <r>
    <x v="2070"/>
  </r>
  <r>
    <x v="2071"/>
  </r>
  <r>
    <x v="2072"/>
  </r>
  <r>
    <x v="2073"/>
  </r>
  <r>
    <x v="2074"/>
  </r>
  <r>
    <x v="2075"/>
  </r>
  <r>
    <x v="2076"/>
  </r>
  <r>
    <x v="2077"/>
  </r>
  <r>
    <x v="2078"/>
  </r>
  <r>
    <x v="2079"/>
  </r>
  <r>
    <x v="2080"/>
  </r>
  <r>
    <x v="2081"/>
  </r>
  <r>
    <x v="2082"/>
  </r>
  <r>
    <x v="2083"/>
  </r>
  <r>
    <x v="2084"/>
  </r>
  <r>
    <x v="2085"/>
  </r>
  <r>
    <x v="2086"/>
  </r>
  <r>
    <x v="2087"/>
  </r>
  <r>
    <x v="2088"/>
  </r>
  <r>
    <x v="2089"/>
  </r>
  <r>
    <x v="2090"/>
  </r>
  <r>
    <x v="2091"/>
  </r>
  <r>
    <x v="2092"/>
  </r>
  <r>
    <x v="2093"/>
  </r>
  <r>
    <x v="2094"/>
  </r>
  <r>
    <x v="2095"/>
  </r>
  <r>
    <x v="2096"/>
  </r>
  <r>
    <x v="2097"/>
  </r>
  <r>
    <x v="2098"/>
  </r>
  <r>
    <x v="2099"/>
  </r>
  <r>
    <x v="2100"/>
  </r>
  <r>
    <x v="2101"/>
  </r>
  <r>
    <x v="2102"/>
  </r>
  <r>
    <x v="2103"/>
  </r>
  <r>
    <x v="2104"/>
  </r>
  <r>
    <x v="2105"/>
  </r>
  <r>
    <x v="2106"/>
  </r>
  <r>
    <x v="2107"/>
  </r>
  <r>
    <x v="2108"/>
  </r>
  <r>
    <x v="2109"/>
  </r>
  <r>
    <x v="2110"/>
  </r>
  <r>
    <x v="2111"/>
  </r>
  <r>
    <x v="2112"/>
  </r>
  <r>
    <x v="2113"/>
  </r>
  <r>
    <x v="2114"/>
  </r>
  <r>
    <x v="2115"/>
  </r>
  <r>
    <x v="2116"/>
  </r>
  <r>
    <x v="2117"/>
  </r>
  <r>
    <x v="2118"/>
  </r>
  <r>
    <x v="2119"/>
  </r>
  <r>
    <x v="2120"/>
  </r>
  <r>
    <x v="2121"/>
  </r>
  <r>
    <x v="2122"/>
  </r>
  <r>
    <x v="2123"/>
  </r>
  <r>
    <x v="2124"/>
  </r>
  <r>
    <x v="2125"/>
  </r>
  <r>
    <x v="2126"/>
  </r>
  <r>
    <x v="2127"/>
  </r>
  <r>
    <x v="2128"/>
  </r>
  <r>
    <x v="2129"/>
  </r>
  <r>
    <x v="2130"/>
  </r>
  <r>
    <x v="2131"/>
  </r>
  <r>
    <x v="2132"/>
  </r>
  <r>
    <x v="2133"/>
  </r>
  <r>
    <x v="2134"/>
  </r>
  <r>
    <x v="2135"/>
  </r>
  <r>
    <x v="2136"/>
  </r>
  <r>
    <x v="2137"/>
  </r>
  <r>
    <x v="2138"/>
  </r>
  <r>
    <x v="2139"/>
  </r>
  <r>
    <x v="2140"/>
  </r>
  <r>
    <x v="2141"/>
  </r>
  <r>
    <x v="2142"/>
  </r>
  <r>
    <x v="2143"/>
  </r>
  <r>
    <x v="2144"/>
  </r>
  <r>
    <x v="2145"/>
  </r>
  <r>
    <x v="2146"/>
  </r>
  <r>
    <x v="2147"/>
  </r>
  <r>
    <x v="2148"/>
  </r>
  <r>
    <x v="2149"/>
  </r>
  <r>
    <x v="2150"/>
  </r>
  <r>
    <x v="2151"/>
  </r>
  <r>
    <x v="2152"/>
  </r>
  <r>
    <x v="2153"/>
  </r>
  <r>
    <x v="2154"/>
  </r>
  <r>
    <x v="2155"/>
  </r>
  <r>
    <x v="2156"/>
  </r>
  <r>
    <x v="2157"/>
  </r>
  <r>
    <x v="2158"/>
  </r>
  <r>
    <x v="2159"/>
  </r>
  <r>
    <x v="2160"/>
  </r>
  <r>
    <x v="2161"/>
  </r>
  <r>
    <x v="2162"/>
  </r>
  <r>
    <x v="2163"/>
  </r>
  <r>
    <x v="2164"/>
  </r>
  <r>
    <x v="2165"/>
  </r>
  <r>
    <x v="2166"/>
  </r>
  <r>
    <x v="2167"/>
  </r>
  <r>
    <x v="2168"/>
  </r>
  <r>
    <x v="2169"/>
  </r>
  <r>
    <x v="2170"/>
  </r>
  <r>
    <x v="2171"/>
  </r>
  <r>
    <x v="2172"/>
  </r>
  <r>
    <x v="2173"/>
  </r>
  <r>
    <x v="2174"/>
  </r>
  <r>
    <x v="2175"/>
  </r>
  <r>
    <x v="2176"/>
  </r>
  <r>
    <x v="2177"/>
  </r>
  <r>
    <x v="2178"/>
  </r>
  <r>
    <x v="2179"/>
  </r>
  <r>
    <x v="2180"/>
  </r>
  <r>
    <x v="2181"/>
  </r>
  <r>
    <x v="2182"/>
  </r>
  <r>
    <x v="2183"/>
  </r>
  <r>
    <x v="2184"/>
  </r>
  <r>
    <x v="2185"/>
  </r>
  <r>
    <x v="2186"/>
  </r>
  <r>
    <x v="2187"/>
  </r>
  <r>
    <x v="2188"/>
  </r>
  <r>
    <x v="2189"/>
  </r>
  <r>
    <x v="2190"/>
  </r>
  <r>
    <x v="2191"/>
  </r>
  <r>
    <x v="2192"/>
  </r>
  <r>
    <x v="2193"/>
  </r>
  <r>
    <x v="2194"/>
  </r>
  <r>
    <x v="2195"/>
  </r>
  <r>
    <x v="2196"/>
  </r>
  <r>
    <x v="2197"/>
  </r>
  <r>
    <x v="2198"/>
  </r>
  <r>
    <x v="2199"/>
  </r>
  <r>
    <x v="2200"/>
  </r>
  <r>
    <x v="2201"/>
  </r>
  <r>
    <x v="2202"/>
  </r>
  <r>
    <x v="2203"/>
  </r>
  <r>
    <x v="2204"/>
  </r>
  <r>
    <x v="2205"/>
  </r>
  <r>
    <x v="2206"/>
  </r>
  <r>
    <x v="2207"/>
  </r>
  <r>
    <x v="2208"/>
  </r>
  <r>
    <x v="2209"/>
  </r>
  <r>
    <x v="2210"/>
  </r>
  <r>
    <x v="2211"/>
  </r>
  <r>
    <x v="2212"/>
  </r>
  <r>
    <x v="2213"/>
  </r>
  <r>
    <x v="2214"/>
  </r>
  <r>
    <x v="2215"/>
  </r>
  <r>
    <x v="2216"/>
  </r>
  <r>
    <x v="2217"/>
  </r>
  <r>
    <x v="2218"/>
  </r>
  <r>
    <x v="2219"/>
  </r>
  <r>
    <x v="2220"/>
  </r>
  <r>
    <x v="2221"/>
  </r>
  <r>
    <x v="2222"/>
  </r>
  <r>
    <x v="2223"/>
  </r>
  <r>
    <x v="2224"/>
  </r>
  <r>
    <x v="2225"/>
  </r>
  <r>
    <x v="2226"/>
  </r>
  <r>
    <x v="2227"/>
  </r>
  <r>
    <x v="2228"/>
  </r>
  <r>
    <x v="2229"/>
  </r>
  <r>
    <x v="2230"/>
  </r>
  <r>
    <x v="2231"/>
  </r>
  <r>
    <x v="2232"/>
  </r>
  <r>
    <x v="2233"/>
  </r>
  <r>
    <x v="2234"/>
  </r>
  <r>
    <x v="2235"/>
  </r>
  <r>
    <x v="2236"/>
  </r>
  <r>
    <x v="2237"/>
  </r>
  <r>
    <x v="2238"/>
  </r>
  <r>
    <x v="2239"/>
  </r>
  <r>
    <x v="2240"/>
  </r>
  <r>
    <x v="2241"/>
  </r>
  <r>
    <x v="2242"/>
  </r>
  <r>
    <x v="2243"/>
  </r>
  <r>
    <x v="2244"/>
  </r>
  <r>
    <x v="2245"/>
  </r>
  <r>
    <x v="2246"/>
  </r>
  <r>
    <x v="2247"/>
  </r>
  <r>
    <x v="2248"/>
  </r>
  <r>
    <x v="2249"/>
  </r>
  <r>
    <x v="2250"/>
  </r>
  <r>
    <x v="2251"/>
  </r>
  <r>
    <x v="2252"/>
  </r>
  <r>
    <x v="2253"/>
  </r>
  <r>
    <x v="2254"/>
  </r>
  <r>
    <x v="2255"/>
  </r>
  <r>
    <x v="2256"/>
  </r>
  <r>
    <x v="2257"/>
  </r>
  <r>
    <x v="2258"/>
  </r>
  <r>
    <x v="2259"/>
  </r>
  <r>
    <x v="2260"/>
  </r>
  <r>
    <x v="2261"/>
  </r>
  <r>
    <x v="2262"/>
  </r>
  <r>
    <x v="2263"/>
  </r>
  <r>
    <x v="2264"/>
  </r>
  <r>
    <x v="2265"/>
  </r>
  <r>
    <x v="2266"/>
  </r>
  <r>
    <x v="2267"/>
  </r>
  <r>
    <x v="2268"/>
  </r>
  <r>
    <x v="2269"/>
  </r>
  <r>
    <x v="2270"/>
  </r>
  <r>
    <x v="2271"/>
  </r>
  <r>
    <x v="2272"/>
  </r>
  <r>
    <x v="2273"/>
  </r>
  <r>
    <x v="2274"/>
  </r>
  <r>
    <x v="2275"/>
  </r>
  <r>
    <x v="2276"/>
  </r>
  <r>
    <x v="2277"/>
  </r>
  <r>
    <x v="2278"/>
  </r>
  <r>
    <x v="2279"/>
  </r>
  <r>
    <x v="2280"/>
  </r>
  <r>
    <x v="2281"/>
  </r>
  <r>
    <x v="2282"/>
  </r>
  <r>
    <x v="2283"/>
  </r>
  <r>
    <x v="2284"/>
  </r>
  <r>
    <x v="148"/>
  </r>
  <r>
    <x v="2285"/>
  </r>
  <r>
    <x v="2286"/>
  </r>
  <r>
    <x v="2287"/>
  </r>
  <r>
    <x v="2288"/>
  </r>
  <r>
    <x v="2289"/>
  </r>
  <r>
    <x v="2290"/>
  </r>
  <r>
    <x v="2291"/>
  </r>
  <r>
    <x v="2292"/>
  </r>
  <r>
    <x v="2293"/>
  </r>
  <r>
    <x v="2294"/>
  </r>
  <r>
    <x v="2295"/>
  </r>
  <r>
    <x v="2296"/>
  </r>
  <r>
    <x v="2297"/>
  </r>
  <r>
    <x v="2298"/>
  </r>
  <r>
    <x v="2299"/>
  </r>
  <r>
    <x v="2300"/>
  </r>
  <r>
    <x v="2301"/>
  </r>
  <r>
    <x v="2302"/>
  </r>
  <r>
    <x v="2303"/>
  </r>
  <r>
    <x v="2304"/>
  </r>
  <r>
    <x v="2305"/>
  </r>
  <r>
    <x v="2306"/>
  </r>
  <r>
    <x v="2307"/>
  </r>
  <r>
    <x v="2308"/>
  </r>
  <r>
    <x v="2309"/>
  </r>
  <r>
    <x v="2310"/>
  </r>
  <r>
    <x v="2311"/>
  </r>
  <r>
    <x v="2312"/>
  </r>
  <r>
    <x v="2313"/>
  </r>
  <r>
    <x v="2314"/>
  </r>
  <r>
    <x v="2315"/>
  </r>
  <r>
    <x v="2316"/>
  </r>
  <r>
    <x v="2317"/>
  </r>
  <r>
    <x v="2318"/>
  </r>
  <r>
    <x v="2319"/>
  </r>
  <r>
    <x v="2320"/>
  </r>
  <r>
    <x v="2321"/>
  </r>
  <r>
    <x v="2322"/>
  </r>
  <r>
    <x v="2323"/>
  </r>
  <r>
    <x v="2324"/>
  </r>
  <r>
    <x v="2325"/>
  </r>
  <r>
    <x v="2326"/>
  </r>
  <r>
    <x v="2327"/>
  </r>
  <r>
    <x v="2328"/>
  </r>
  <r>
    <x v="2329"/>
  </r>
  <r>
    <x v="2330"/>
  </r>
  <r>
    <x v="2331"/>
  </r>
  <r>
    <x v="2332"/>
  </r>
  <r>
    <x v="2333"/>
  </r>
  <r>
    <x v="2334"/>
  </r>
  <r>
    <x v="2335"/>
  </r>
  <r>
    <x v="2336"/>
  </r>
  <r>
    <x v="2337"/>
  </r>
  <r>
    <x v="2338"/>
  </r>
  <r>
    <x v="2339"/>
  </r>
  <r>
    <x v="2340"/>
  </r>
  <r>
    <x v="2341"/>
  </r>
  <r>
    <x v="2342"/>
  </r>
  <r>
    <x v="2343"/>
  </r>
  <r>
    <x v="2344"/>
  </r>
  <r>
    <x v="2345"/>
  </r>
  <r>
    <x v="2346"/>
  </r>
  <r>
    <x v="2347"/>
  </r>
  <r>
    <x v="2348"/>
  </r>
  <r>
    <x v="2349"/>
  </r>
  <r>
    <x v="2350"/>
  </r>
  <r>
    <x v="2351"/>
  </r>
  <r>
    <x v="2352"/>
  </r>
  <r>
    <x v="2353"/>
  </r>
  <r>
    <x v="2354"/>
  </r>
  <r>
    <x v="2355"/>
  </r>
  <r>
    <x v="2356"/>
  </r>
  <r>
    <x v="2357"/>
  </r>
  <r>
    <x v="2358"/>
  </r>
  <r>
    <x v="2359"/>
  </r>
  <r>
    <x v="2360"/>
  </r>
  <r>
    <x v="2361"/>
  </r>
  <r>
    <x v="2362"/>
  </r>
  <r>
    <x v="2363"/>
  </r>
  <r>
    <x v="2364"/>
  </r>
  <r>
    <x v="2365"/>
  </r>
  <r>
    <x v="2366"/>
  </r>
  <r>
    <x v="2367"/>
  </r>
  <r>
    <x v="2368"/>
  </r>
  <r>
    <x v="2369"/>
  </r>
  <r>
    <x v="2370"/>
  </r>
  <r>
    <x v="2371"/>
  </r>
  <r>
    <x v="2372"/>
  </r>
  <r>
    <x v="2373"/>
  </r>
  <r>
    <x v="2374"/>
  </r>
  <r>
    <x v="2375"/>
  </r>
  <r>
    <x v="2376"/>
  </r>
  <r>
    <x v="2377"/>
  </r>
  <r>
    <x v="2378"/>
  </r>
  <r>
    <x v="2379"/>
  </r>
  <r>
    <x v="2380"/>
  </r>
  <r>
    <x v="2381"/>
  </r>
  <r>
    <x v="2382"/>
  </r>
  <r>
    <x v="2383"/>
  </r>
  <r>
    <x v="2384"/>
  </r>
  <r>
    <x v="2385"/>
  </r>
  <r>
    <x v="2386"/>
  </r>
  <r>
    <x v="2387"/>
  </r>
  <r>
    <x v="2388"/>
  </r>
  <r>
    <x v="2389"/>
  </r>
  <r>
    <x v="2390"/>
  </r>
  <r>
    <x v="2391"/>
  </r>
  <r>
    <x v="2392"/>
  </r>
  <r>
    <x v="2393"/>
  </r>
  <r>
    <x v="2394"/>
  </r>
  <r>
    <x v="2395"/>
  </r>
  <r>
    <x v="2396"/>
  </r>
  <r>
    <x v="2397"/>
  </r>
  <r>
    <x v="2398"/>
  </r>
  <r>
    <x v="2399"/>
  </r>
  <r>
    <x v="2400"/>
  </r>
  <r>
    <x v="2401"/>
  </r>
  <r>
    <x v="2402"/>
  </r>
  <r>
    <x v="2403"/>
  </r>
  <r>
    <x v="2404"/>
  </r>
  <r>
    <x v="2405"/>
  </r>
  <r>
    <x v="2406"/>
  </r>
  <r>
    <x v="2407"/>
  </r>
  <r>
    <x v="2408"/>
  </r>
  <r>
    <x v="2409"/>
  </r>
  <r>
    <x v="2410"/>
  </r>
  <r>
    <x v="2411"/>
  </r>
  <r>
    <x v="2412"/>
  </r>
  <r>
    <x v="2413"/>
  </r>
  <r>
    <x v="2414"/>
  </r>
  <r>
    <x v="2415"/>
  </r>
  <r>
    <x v="2416"/>
  </r>
  <r>
    <x v="2417"/>
  </r>
  <r>
    <x v="2418"/>
  </r>
  <r>
    <x v="2419"/>
  </r>
  <r>
    <x v="2420"/>
  </r>
  <r>
    <x v="2421"/>
  </r>
  <r>
    <x v="2422"/>
  </r>
  <r>
    <x v="2423"/>
  </r>
  <r>
    <x v="2424"/>
  </r>
  <r>
    <x v="2425"/>
  </r>
  <r>
    <x v="2426"/>
  </r>
  <r>
    <x v="2427"/>
  </r>
  <r>
    <x v="2428"/>
  </r>
  <r>
    <x v="2429"/>
  </r>
  <r>
    <x v="2430"/>
  </r>
  <r>
    <x v="2431"/>
  </r>
  <r>
    <x v="2432"/>
  </r>
  <r>
    <x v="2433"/>
  </r>
  <r>
    <x v="2434"/>
  </r>
  <r>
    <x v="2435"/>
  </r>
  <r>
    <x v="2436"/>
  </r>
  <r>
    <x v="2437"/>
  </r>
  <r>
    <x v="2438"/>
  </r>
  <r>
    <x v="2439"/>
  </r>
  <r>
    <x v="2440"/>
  </r>
  <r>
    <x v="2441"/>
  </r>
  <r>
    <x v="2442"/>
  </r>
  <r>
    <x v="2443"/>
  </r>
  <r>
    <x v="2444"/>
  </r>
  <r>
    <x v="2445"/>
  </r>
  <r>
    <x v="2446"/>
  </r>
  <r>
    <x v="2447"/>
  </r>
  <r>
    <x v="2448"/>
  </r>
  <r>
    <x v="2449"/>
  </r>
  <r>
    <x v="2450"/>
  </r>
  <r>
    <x v="2451"/>
  </r>
  <r>
    <x v="2452"/>
  </r>
  <r>
    <x v="2453"/>
  </r>
  <r>
    <x v="2454"/>
  </r>
  <r>
    <x v="2455"/>
  </r>
  <r>
    <x v="2456"/>
  </r>
  <r>
    <x v="2457"/>
  </r>
  <r>
    <x v="2458"/>
  </r>
  <r>
    <x v="2459"/>
  </r>
  <r>
    <x v="2460"/>
  </r>
  <r>
    <x v="2461"/>
  </r>
  <r>
    <x v="2462"/>
  </r>
  <r>
    <x v="2463"/>
  </r>
  <r>
    <x v="2464"/>
  </r>
  <r>
    <x v="2465"/>
  </r>
  <r>
    <x v="2466"/>
  </r>
  <r>
    <x v="2467"/>
  </r>
  <r>
    <x v="2468"/>
  </r>
  <r>
    <x v="2469"/>
  </r>
  <r>
    <x v="2470"/>
  </r>
  <r>
    <x v="2471"/>
  </r>
  <r>
    <x v="2472"/>
  </r>
  <r>
    <x v="2473"/>
  </r>
  <r>
    <x v="2474"/>
  </r>
  <r>
    <x v="2475"/>
  </r>
  <r>
    <x v="2476"/>
  </r>
  <r>
    <x v="2477"/>
  </r>
  <r>
    <x v="2478"/>
  </r>
  <r>
    <x v="2479"/>
  </r>
  <r>
    <x v="2480"/>
  </r>
  <r>
    <x v="2481"/>
  </r>
  <r>
    <x v="2482"/>
  </r>
  <r>
    <x v="2483"/>
  </r>
  <r>
    <x v="2484"/>
  </r>
  <r>
    <x v="2485"/>
  </r>
  <r>
    <x v="2486"/>
  </r>
  <r>
    <x v="2487"/>
  </r>
  <r>
    <x v="2488"/>
  </r>
  <r>
    <x v="2489"/>
  </r>
  <r>
    <x v="2490"/>
  </r>
  <r>
    <x v="2491"/>
  </r>
  <r>
    <x v="2492"/>
  </r>
  <r>
    <x v="2493"/>
  </r>
  <r>
    <x v="2494"/>
  </r>
  <r>
    <x v="2495"/>
  </r>
  <r>
    <x v="2496"/>
  </r>
  <r>
    <x v="2497"/>
  </r>
  <r>
    <x v="2498"/>
  </r>
  <r>
    <x v="2499"/>
  </r>
  <r>
    <x v="2500"/>
  </r>
  <r>
    <x v="2501"/>
  </r>
  <r>
    <x v="2502"/>
  </r>
  <r>
    <x v="2503"/>
  </r>
  <r>
    <x v="2504"/>
  </r>
  <r>
    <x v="2505"/>
  </r>
  <r>
    <x v="2506"/>
  </r>
  <r>
    <x v="2507"/>
  </r>
  <r>
    <x v="2508"/>
  </r>
  <r>
    <x v="2509"/>
  </r>
  <r>
    <x v="2510"/>
  </r>
  <r>
    <x v="2511"/>
  </r>
  <r>
    <x v="2512"/>
  </r>
  <r>
    <x v="2513"/>
  </r>
  <r>
    <x v="2514"/>
  </r>
  <r>
    <x v="2515"/>
  </r>
  <r>
    <x v="2516"/>
  </r>
  <r>
    <x v="2517"/>
  </r>
  <r>
    <x v="2518"/>
  </r>
  <r>
    <x v="2519"/>
  </r>
  <r>
    <x v="2520"/>
  </r>
  <r>
    <x v="2521"/>
  </r>
  <r>
    <x v="2522"/>
  </r>
  <r>
    <x v="2523"/>
  </r>
  <r>
    <x v="2524"/>
  </r>
  <r>
    <x v="2525"/>
  </r>
  <r>
    <x v="2526"/>
  </r>
  <r>
    <x v="2527"/>
  </r>
  <r>
    <x v="2528"/>
  </r>
  <r>
    <x v="2529"/>
  </r>
  <r>
    <x v="2530"/>
  </r>
  <r>
    <x v="2531"/>
  </r>
  <r>
    <x v="2532"/>
  </r>
  <r>
    <x v="2533"/>
  </r>
  <r>
    <x v="2534"/>
  </r>
  <r>
    <x v="2535"/>
  </r>
  <r>
    <x v="2536"/>
  </r>
  <r>
    <x v="2537"/>
  </r>
  <r>
    <x v="2538"/>
  </r>
  <r>
    <x v="2539"/>
  </r>
  <r>
    <x v="2540"/>
  </r>
  <r>
    <x v="2541"/>
  </r>
  <r>
    <x v="2542"/>
  </r>
  <r>
    <x v="2543"/>
  </r>
  <r>
    <x v="2544"/>
  </r>
  <r>
    <x v="2545"/>
  </r>
  <r>
    <x v="2546"/>
  </r>
  <r>
    <x v="2547"/>
  </r>
  <r>
    <x v="2548"/>
  </r>
  <r>
    <x v="2549"/>
  </r>
  <r>
    <x v="2550"/>
  </r>
  <r>
    <x v="2551"/>
  </r>
  <r>
    <x v="2552"/>
  </r>
  <r>
    <x v="2553"/>
  </r>
  <r>
    <x v="2554"/>
  </r>
  <r>
    <x v="2555"/>
  </r>
  <r>
    <x v="2556"/>
  </r>
  <r>
    <x v="2557"/>
  </r>
  <r>
    <x v="2558"/>
  </r>
  <r>
    <x v="2559"/>
  </r>
  <r>
    <x v="2560"/>
  </r>
  <r>
    <x v="2561"/>
  </r>
  <r>
    <x v="2562"/>
  </r>
  <r>
    <x v="2563"/>
  </r>
  <r>
    <x v="2564"/>
  </r>
  <r>
    <x v="2565"/>
  </r>
  <r>
    <x v="2566"/>
  </r>
  <r>
    <x v="2567"/>
  </r>
  <r>
    <x v="2568"/>
  </r>
  <r>
    <x v="2569"/>
  </r>
  <r>
    <x v="2570"/>
  </r>
  <r>
    <x v="2571"/>
  </r>
  <r>
    <x v="2572"/>
  </r>
  <r>
    <x v="2573"/>
  </r>
  <r>
    <x v="2574"/>
  </r>
  <r>
    <x v="2575"/>
  </r>
  <r>
    <x v="2576"/>
  </r>
  <r>
    <x v="2577"/>
  </r>
  <r>
    <x v="2578"/>
  </r>
  <r>
    <x v="2579"/>
  </r>
  <r>
    <x v="2580"/>
  </r>
  <r>
    <x v="2581"/>
  </r>
  <r>
    <x v="2582"/>
  </r>
  <r>
    <x v="2583"/>
  </r>
  <r>
    <x v="2584"/>
  </r>
  <r>
    <x v="2585"/>
  </r>
  <r>
    <x v="2586"/>
  </r>
  <r>
    <x v="2587"/>
  </r>
  <r>
    <x v="2588"/>
  </r>
  <r>
    <x v="2589"/>
  </r>
  <r>
    <x v="2590"/>
  </r>
  <r>
    <x v="2591"/>
  </r>
  <r>
    <x v="2592"/>
  </r>
  <r>
    <x v="2593"/>
  </r>
  <r>
    <x v="2594"/>
  </r>
  <r>
    <x v="2595"/>
  </r>
  <r>
    <x v="2596"/>
  </r>
  <r>
    <x v="2597"/>
  </r>
  <r>
    <x v="2598"/>
  </r>
  <r>
    <x v="2599"/>
  </r>
  <r>
    <x v="2600"/>
  </r>
  <r>
    <x v="2601"/>
  </r>
  <r>
    <x v="2602"/>
  </r>
  <r>
    <x v="2603"/>
  </r>
  <r>
    <x v="2604"/>
  </r>
  <r>
    <x v="2605"/>
  </r>
  <r>
    <x v="2606"/>
  </r>
  <r>
    <x v="2607"/>
  </r>
  <r>
    <x v="2608"/>
  </r>
  <r>
    <x v="2609"/>
  </r>
  <r>
    <x v="2610"/>
  </r>
  <r>
    <x v="2611"/>
  </r>
  <r>
    <x v="2612"/>
  </r>
  <r>
    <x v="2613"/>
  </r>
  <r>
    <x v="2614"/>
  </r>
  <r>
    <x v="2615"/>
  </r>
  <r>
    <x v="2616"/>
  </r>
  <r>
    <x v="2617"/>
  </r>
  <r>
    <x v="2618"/>
  </r>
  <r>
    <x v="2619"/>
  </r>
  <r>
    <x v="2620"/>
  </r>
  <r>
    <x v="2621"/>
  </r>
  <r>
    <x v="2622"/>
  </r>
  <r>
    <x v="2623"/>
  </r>
  <r>
    <x v="2624"/>
  </r>
  <r>
    <x v="2625"/>
  </r>
  <r>
    <x v="2626"/>
  </r>
  <r>
    <x v="2627"/>
  </r>
  <r>
    <x v="2628"/>
  </r>
  <r>
    <x v="2629"/>
  </r>
  <r>
    <x v="2630"/>
  </r>
  <r>
    <x v="2631"/>
  </r>
  <r>
    <x v="2632"/>
  </r>
  <r>
    <x v="2633"/>
  </r>
  <r>
    <x v="2634"/>
  </r>
  <r>
    <x v="2635"/>
  </r>
  <r>
    <x v="2636"/>
  </r>
  <r>
    <x v="2637"/>
  </r>
  <r>
    <x v="2638"/>
  </r>
  <r>
    <x v="2639"/>
  </r>
  <r>
    <x v="2640"/>
  </r>
  <r>
    <x v="2641"/>
  </r>
  <r>
    <x v="2642"/>
  </r>
  <r>
    <x v="2643"/>
  </r>
  <r>
    <x v="2644"/>
  </r>
  <r>
    <x v="2645"/>
  </r>
  <r>
    <x v="2646"/>
  </r>
  <r>
    <x v="2647"/>
  </r>
  <r>
    <x v="2648"/>
  </r>
  <r>
    <x v="2649"/>
  </r>
  <r>
    <x v="2650"/>
  </r>
  <r>
    <x v="2651"/>
  </r>
  <r>
    <x v="2652"/>
  </r>
  <r>
    <x v="2653"/>
  </r>
  <r>
    <x v="2654"/>
  </r>
  <r>
    <x v="2655"/>
  </r>
  <r>
    <x v="2656"/>
  </r>
  <r>
    <x v="2657"/>
  </r>
  <r>
    <x v="2658"/>
  </r>
  <r>
    <x v="2659"/>
  </r>
  <r>
    <x v="2660"/>
  </r>
  <r>
    <x v="2661"/>
  </r>
  <r>
    <x v="2662"/>
  </r>
  <r>
    <x v="2663"/>
  </r>
  <r>
    <x v="2664"/>
  </r>
  <r>
    <x v="2665"/>
  </r>
  <r>
    <x v="2666"/>
  </r>
  <r>
    <x v="2667"/>
  </r>
  <r>
    <x v="2668"/>
  </r>
  <r>
    <x v="2669"/>
  </r>
  <r>
    <x v="2670"/>
  </r>
  <r>
    <x v="2671"/>
  </r>
  <r>
    <x v="2672"/>
  </r>
  <r>
    <x v="2673"/>
  </r>
  <r>
    <x v="2674"/>
  </r>
  <r>
    <x v="2675"/>
  </r>
  <r>
    <x v="2676"/>
  </r>
  <r>
    <x v="2677"/>
  </r>
  <r>
    <x v="2678"/>
  </r>
  <r>
    <x v="2679"/>
  </r>
  <r>
    <x v="2680"/>
  </r>
  <r>
    <x v="2681"/>
  </r>
  <r>
    <x v="2682"/>
  </r>
  <r>
    <x v="2683"/>
  </r>
  <r>
    <x v="2684"/>
  </r>
  <r>
    <x v="2530"/>
  </r>
  <r>
    <x v="2685"/>
  </r>
  <r>
    <x v="2686"/>
  </r>
  <r>
    <x v="2687"/>
  </r>
  <r>
    <x v="2688"/>
  </r>
  <r>
    <x v="2689"/>
  </r>
  <r>
    <x v="2690"/>
  </r>
  <r>
    <x v="2691"/>
  </r>
  <r>
    <x v="2692"/>
  </r>
  <r>
    <x v="2693"/>
  </r>
  <r>
    <x v="2694"/>
  </r>
  <r>
    <x v="2695"/>
  </r>
  <r>
    <x v="2696"/>
  </r>
  <r>
    <x v="2697"/>
  </r>
  <r>
    <x v="2698"/>
  </r>
  <r>
    <x v="2699"/>
  </r>
  <r>
    <x v="2700"/>
  </r>
  <r>
    <x v="2701"/>
  </r>
  <r>
    <x v="2702"/>
  </r>
  <r>
    <x v="2703"/>
  </r>
  <r>
    <x v="2704"/>
  </r>
  <r>
    <x v="2705"/>
  </r>
  <r>
    <x v="2706"/>
  </r>
  <r>
    <x v="2707"/>
  </r>
  <r>
    <x v="2708"/>
  </r>
  <r>
    <x v="2709"/>
  </r>
  <r>
    <x v="2710"/>
  </r>
  <r>
    <x v="2711"/>
  </r>
  <r>
    <x v="2712"/>
  </r>
  <r>
    <x v="2713"/>
  </r>
  <r>
    <x v="2714"/>
  </r>
  <r>
    <x v="2715"/>
  </r>
  <r>
    <x v="2716"/>
  </r>
  <r>
    <x v="2717"/>
  </r>
  <r>
    <x v="2718"/>
  </r>
  <r>
    <x v="2719"/>
  </r>
  <r>
    <x v="2720"/>
  </r>
  <r>
    <x v="2721"/>
  </r>
  <r>
    <x v="2722"/>
  </r>
  <r>
    <x v="2723"/>
  </r>
  <r>
    <x v="2724"/>
  </r>
  <r>
    <x v="2725"/>
  </r>
  <r>
    <x v="2726"/>
  </r>
  <r>
    <x v="2727"/>
  </r>
  <r>
    <x v="2728"/>
  </r>
  <r>
    <x v="2729"/>
  </r>
  <r>
    <x v="2730"/>
  </r>
  <r>
    <x v="2731"/>
  </r>
  <r>
    <x v="2732"/>
  </r>
  <r>
    <x v="2733"/>
  </r>
  <r>
    <x v="2734"/>
  </r>
  <r>
    <x v="2735"/>
  </r>
  <r>
    <x v="2736"/>
  </r>
  <r>
    <x v="2737"/>
  </r>
  <r>
    <x v="2738"/>
  </r>
  <r>
    <x v="2739"/>
  </r>
  <r>
    <x v="2740"/>
  </r>
  <r>
    <x v="2741"/>
  </r>
  <r>
    <x v="2742"/>
  </r>
  <r>
    <x v="2743"/>
  </r>
  <r>
    <x v="2744"/>
  </r>
  <r>
    <x v="2745"/>
  </r>
  <r>
    <x v="2746"/>
  </r>
  <r>
    <x v="2747"/>
  </r>
  <r>
    <x v="2748"/>
  </r>
  <r>
    <x v="2749"/>
  </r>
  <r>
    <x v="2750"/>
  </r>
  <r>
    <x v="2751"/>
  </r>
  <r>
    <x v="2752"/>
  </r>
  <r>
    <x v="2753"/>
  </r>
  <r>
    <x v="2754"/>
  </r>
  <r>
    <x v="2755"/>
  </r>
  <r>
    <x v="2756"/>
  </r>
  <r>
    <x v="2757"/>
  </r>
  <r>
    <x v="2758"/>
  </r>
  <r>
    <x v="2759"/>
  </r>
  <r>
    <x v="2760"/>
  </r>
  <r>
    <x v="2761"/>
  </r>
  <r>
    <x v="2762"/>
  </r>
  <r>
    <x v="2763"/>
  </r>
  <r>
    <x v="2764"/>
  </r>
  <r>
    <x v="2765"/>
  </r>
  <r>
    <x v="2766"/>
  </r>
  <r>
    <x v="2767"/>
  </r>
  <r>
    <x v="2768"/>
  </r>
  <r>
    <x v="2769"/>
  </r>
  <r>
    <x v="2770"/>
  </r>
  <r>
    <x v="2771"/>
  </r>
  <r>
    <x v="2772"/>
  </r>
  <r>
    <x v="2773"/>
  </r>
  <r>
    <x v="2774"/>
  </r>
  <r>
    <x v="2775"/>
  </r>
  <r>
    <x v="2776"/>
  </r>
  <r>
    <x v="2777"/>
  </r>
  <r>
    <x v="2778"/>
  </r>
  <r>
    <x v="2779"/>
  </r>
  <r>
    <x v="2780"/>
  </r>
  <r>
    <x v="2781"/>
  </r>
  <r>
    <x v="2782"/>
  </r>
  <r>
    <x v="2783"/>
  </r>
  <r>
    <x v="2784"/>
  </r>
  <r>
    <x v="2785"/>
  </r>
  <r>
    <x v="2786"/>
  </r>
  <r>
    <x v="2787"/>
  </r>
  <r>
    <x v="2788"/>
  </r>
  <r>
    <x v="2789"/>
  </r>
  <r>
    <x v="2790"/>
  </r>
  <r>
    <x v="2791"/>
  </r>
  <r>
    <x v="2792"/>
  </r>
  <r>
    <x v="2793"/>
  </r>
  <r>
    <x v="2794"/>
  </r>
  <r>
    <x v="2795"/>
  </r>
  <r>
    <x v="2796"/>
  </r>
  <r>
    <x v="2797"/>
  </r>
  <r>
    <x v="2798"/>
  </r>
  <r>
    <x v="2799"/>
  </r>
  <r>
    <x v="2800"/>
  </r>
  <r>
    <x v="2801"/>
  </r>
  <r>
    <x v="2802"/>
  </r>
  <r>
    <x v="2803"/>
  </r>
  <r>
    <x v="2804"/>
  </r>
  <r>
    <x v="2805"/>
  </r>
  <r>
    <x v="2806"/>
  </r>
  <r>
    <x v="2807"/>
  </r>
  <r>
    <x v="2808"/>
  </r>
  <r>
    <x v="2809"/>
  </r>
  <r>
    <x v="2810"/>
  </r>
  <r>
    <x v="2811"/>
  </r>
  <r>
    <x v="2812"/>
  </r>
  <r>
    <x v="2813"/>
  </r>
  <r>
    <x v="2814"/>
  </r>
  <r>
    <x v="2815"/>
  </r>
  <r>
    <x v="2816"/>
  </r>
  <r>
    <x v="2817"/>
  </r>
  <r>
    <x v="2818"/>
  </r>
  <r>
    <x v="2819"/>
  </r>
  <r>
    <x v="2820"/>
  </r>
  <r>
    <x v="2821"/>
  </r>
  <r>
    <x v="2822"/>
  </r>
  <r>
    <x v="2823"/>
  </r>
  <r>
    <x v="2824"/>
  </r>
  <r>
    <x v="2825"/>
  </r>
  <r>
    <x v="2826"/>
  </r>
  <r>
    <x v="2827"/>
  </r>
  <r>
    <x v="2828"/>
  </r>
  <r>
    <x v="2829"/>
  </r>
  <r>
    <x v="2830"/>
  </r>
  <r>
    <x v="2831"/>
  </r>
  <r>
    <x v="2832"/>
  </r>
  <r>
    <x v="14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1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5"/>
  </r>
  <r>
    <x v="76"/>
  </r>
  <r>
    <x v="77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  <r>
    <x v="93"/>
  </r>
  <r>
    <x v="94"/>
  </r>
  <r>
    <x v="95"/>
  </r>
  <r>
    <x v="96"/>
  </r>
  <r>
    <x v="97"/>
  </r>
  <r>
    <x v="98"/>
  </r>
  <r>
    <x v="99"/>
  </r>
  <r>
    <x v="100"/>
  </r>
  <r>
    <x v="101"/>
  </r>
  <r>
    <x v="102"/>
  </r>
  <r>
    <x v="103"/>
  </r>
  <r>
    <x v="104"/>
  </r>
  <r>
    <x v="105"/>
  </r>
  <r>
    <x v="106"/>
  </r>
  <r>
    <x v="107"/>
  </r>
  <r>
    <x v="108"/>
  </r>
  <r>
    <x v="109"/>
  </r>
  <r>
    <x v="110"/>
  </r>
  <r>
    <x v="111"/>
  </r>
  <r>
    <x v="112"/>
  </r>
  <r>
    <x v="113"/>
  </r>
  <r>
    <x v="114"/>
  </r>
  <r>
    <x v="115"/>
  </r>
  <r>
    <x v="116"/>
  </r>
  <r>
    <x v="117"/>
  </r>
  <r>
    <x v="118"/>
  </r>
  <r>
    <x v="119"/>
  </r>
  <r>
    <x v="120"/>
  </r>
  <r>
    <x v="121"/>
  </r>
  <r>
    <x v="122"/>
  </r>
  <r>
    <x v="123"/>
  </r>
  <r>
    <x v="124"/>
  </r>
  <r>
    <x v="125"/>
  </r>
  <r>
    <x v="126"/>
  </r>
  <r>
    <x v="127"/>
  </r>
  <r>
    <x v="128"/>
  </r>
  <r>
    <x v="129"/>
  </r>
  <r>
    <x v="130"/>
  </r>
  <r>
    <x v="131"/>
  </r>
  <r>
    <x v="132"/>
  </r>
  <r>
    <x v="133"/>
  </r>
  <r>
    <x v="134"/>
  </r>
  <r>
    <x v="135"/>
  </r>
  <r>
    <x v="136"/>
  </r>
  <r>
    <x v="137"/>
  </r>
  <r>
    <x v="138"/>
  </r>
  <r>
    <x v="139"/>
  </r>
  <r>
    <x v="140"/>
  </r>
  <r>
    <x v="141"/>
  </r>
  <r>
    <x v="142"/>
  </r>
  <r>
    <x v="143"/>
  </r>
  <r>
    <x v="144"/>
  </r>
  <r>
    <x v="145"/>
  </r>
  <r>
    <x v="146"/>
  </r>
  <r>
    <x v="147"/>
  </r>
  <r>
    <x v="148"/>
  </r>
  <r>
    <x v="149"/>
  </r>
  <r>
    <x v="150"/>
  </r>
  <r>
    <x v="151"/>
  </r>
  <r>
    <x v="152"/>
  </r>
  <r>
    <x v="153"/>
  </r>
  <r>
    <x v="154"/>
  </r>
  <r>
    <x v="155"/>
  </r>
  <r>
    <x v="156"/>
  </r>
  <r>
    <x v="157"/>
  </r>
  <r>
    <x v="158"/>
  </r>
  <r>
    <x v="159"/>
  </r>
  <r>
    <x v="160"/>
  </r>
  <r>
    <x v="161"/>
  </r>
  <r>
    <x v="162"/>
  </r>
  <r>
    <x v="163"/>
  </r>
  <r>
    <x v="164"/>
  </r>
  <r>
    <x v="165"/>
  </r>
  <r>
    <x v="166"/>
  </r>
  <r>
    <x v="167"/>
  </r>
  <r>
    <x v="168"/>
  </r>
  <r>
    <x v="169"/>
  </r>
  <r>
    <x v="170"/>
  </r>
  <r>
    <x v="141"/>
  </r>
  <r>
    <x v="171"/>
  </r>
  <r>
    <x v="172"/>
  </r>
  <r>
    <x v="173"/>
  </r>
  <r>
    <x v="174"/>
  </r>
  <r>
    <x v="175"/>
  </r>
  <r>
    <x v="176"/>
  </r>
  <r>
    <x v="177"/>
  </r>
  <r>
    <x v="17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6"/>
  </r>
  <r>
    <x v="197"/>
  </r>
  <r>
    <x v="198"/>
  </r>
  <r>
    <x v="199"/>
  </r>
  <r>
    <x v="200"/>
  </r>
  <r>
    <x v="201"/>
  </r>
  <r>
    <x v="202"/>
  </r>
  <r>
    <x v="203"/>
  </r>
  <r>
    <x v="204"/>
  </r>
  <r>
    <x v="205"/>
  </r>
  <r>
    <x v="206"/>
  </r>
  <r>
    <x v="207"/>
  </r>
  <r>
    <x v="208"/>
  </r>
  <r>
    <x v="209"/>
  </r>
  <r>
    <x v="210"/>
  </r>
  <r>
    <x v="211"/>
  </r>
  <r>
    <x v="212"/>
  </r>
  <r>
    <x v="213"/>
  </r>
  <r>
    <x v="214"/>
  </r>
  <r>
    <x v="215"/>
  </r>
  <r>
    <x v="216"/>
  </r>
  <r>
    <x v="217"/>
  </r>
  <r>
    <x v="218"/>
  </r>
  <r>
    <x v="219"/>
  </r>
  <r>
    <x v="220"/>
  </r>
  <r>
    <x v="221"/>
  </r>
  <r>
    <x v="222"/>
  </r>
  <r>
    <x v="223"/>
  </r>
  <r>
    <x v="224"/>
  </r>
  <r>
    <x v="225"/>
  </r>
  <r>
    <x v="226"/>
  </r>
  <r>
    <x v="227"/>
  </r>
  <r>
    <x v="228"/>
  </r>
  <r>
    <x v="229"/>
  </r>
  <r>
    <x v="230"/>
  </r>
  <r>
    <x v="231"/>
  </r>
  <r>
    <x v="232"/>
  </r>
  <r>
    <x v="233"/>
  </r>
  <r>
    <x v="234"/>
  </r>
  <r>
    <x v="235"/>
  </r>
  <r>
    <x v="236"/>
  </r>
  <r>
    <x v="237"/>
  </r>
  <r>
    <x v="238"/>
  </r>
  <r>
    <x v="239"/>
  </r>
  <r>
    <x v="240"/>
  </r>
  <r>
    <x v="241"/>
  </r>
  <r>
    <x v="242"/>
  </r>
  <r>
    <x v="243"/>
  </r>
  <r>
    <x v="244"/>
  </r>
  <r>
    <x v="245"/>
  </r>
  <r>
    <x v="246"/>
  </r>
  <r>
    <x v="247"/>
  </r>
  <r>
    <x v="248"/>
  </r>
  <r>
    <x v="249"/>
  </r>
  <r>
    <x v="250"/>
  </r>
  <r>
    <x v="251"/>
  </r>
  <r>
    <x v="252"/>
  </r>
  <r>
    <x v="253"/>
  </r>
  <r>
    <x v="254"/>
  </r>
  <r>
    <x v="255"/>
  </r>
  <r>
    <x v="256"/>
  </r>
  <r>
    <x v="257"/>
  </r>
  <r>
    <x v="258"/>
  </r>
  <r>
    <x v="259"/>
  </r>
  <r>
    <x v="260"/>
  </r>
  <r>
    <x v="261"/>
  </r>
  <r>
    <x v="262"/>
  </r>
  <r>
    <x v="263"/>
  </r>
  <r>
    <x v="264"/>
  </r>
  <r>
    <x v="265"/>
  </r>
  <r>
    <x v="266"/>
  </r>
  <r>
    <x v="267"/>
  </r>
  <r>
    <x v="268"/>
  </r>
  <r>
    <x v="269"/>
  </r>
  <r>
    <x v="270"/>
  </r>
  <r>
    <x v="271"/>
  </r>
  <r>
    <x v="238"/>
  </r>
  <r>
    <x v="272"/>
  </r>
  <r>
    <x v="273"/>
  </r>
  <r>
    <x v="274"/>
  </r>
  <r>
    <x v="275"/>
  </r>
  <r>
    <x v="276"/>
  </r>
  <r>
    <x v="277"/>
  </r>
  <r>
    <x v="278"/>
  </r>
  <r>
    <x v="279"/>
  </r>
  <r>
    <x v="280"/>
  </r>
  <r>
    <x v="281"/>
  </r>
  <r>
    <x v="282"/>
  </r>
  <r>
    <x v="283"/>
  </r>
  <r>
    <x v="284"/>
  </r>
  <r>
    <x v="285"/>
  </r>
  <r>
    <x v="286"/>
  </r>
  <r>
    <x v="287"/>
  </r>
  <r>
    <x v="288"/>
  </r>
  <r>
    <x v="289"/>
  </r>
  <r>
    <x v="290"/>
  </r>
  <r>
    <x v="291"/>
  </r>
  <r>
    <x v="292"/>
  </r>
  <r>
    <x v="293"/>
  </r>
  <r>
    <x v="294"/>
  </r>
  <r>
    <x v="295"/>
  </r>
  <r>
    <x v="296"/>
  </r>
  <r>
    <x v="297"/>
  </r>
  <r>
    <x v="298"/>
  </r>
  <r>
    <x v="299"/>
  </r>
  <r>
    <x v="300"/>
  </r>
  <r>
    <x v="301"/>
  </r>
  <r>
    <x v="302"/>
  </r>
  <r>
    <x v="303"/>
  </r>
  <r>
    <x v="304"/>
  </r>
  <r>
    <x v="305"/>
  </r>
  <r>
    <x v="306"/>
  </r>
  <r>
    <x v="307"/>
  </r>
  <r>
    <x v="308"/>
  </r>
  <r>
    <x v="309"/>
  </r>
  <r>
    <x v="310"/>
  </r>
  <r>
    <x v="311"/>
  </r>
  <r>
    <x v="312"/>
  </r>
  <r>
    <x v="313"/>
  </r>
  <r>
    <x v="314"/>
  </r>
  <r>
    <x v="315"/>
  </r>
  <r>
    <x v="316"/>
  </r>
  <r>
    <x v="317"/>
  </r>
  <r>
    <x v="19"/>
  </r>
  <r>
    <x v="318"/>
  </r>
  <r>
    <x v="319"/>
  </r>
  <r>
    <x v="320"/>
  </r>
  <r>
    <x v="321"/>
  </r>
  <r>
    <x v="322"/>
  </r>
  <r>
    <x v="323"/>
  </r>
  <r>
    <x v="324"/>
  </r>
  <r>
    <x v="325"/>
  </r>
  <r>
    <x v="326"/>
  </r>
  <r>
    <x v="327"/>
  </r>
  <r>
    <x v="328"/>
  </r>
  <r>
    <x v="329"/>
  </r>
  <r>
    <x v="330"/>
  </r>
  <r>
    <x v="331"/>
  </r>
  <r>
    <x v="332"/>
  </r>
  <r>
    <x v="333"/>
  </r>
  <r>
    <x v="334"/>
  </r>
  <r>
    <x v="335"/>
  </r>
  <r>
    <x v="336"/>
  </r>
  <r>
    <x v="337"/>
  </r>
  <r>
    <x v="338"/>
  </r>
  <r>
    <x v="339"/>
  </r>
  <r>
    <x v="340"/>
  </r>
  <r>
    <x v="341"/>
  </r>
  <r>
    <x v="342"/>
  </r>
  <r>
    <x v="343"/>
  </r>
  <r>
    <x v="344"/>
  </r>
  <r>
    <x v="345"/>
  </r>
  <r>
    <x v="346"/>
  </r>
  <r>
    <x v="347"/>
  </r>
  <r>
    <x v="348"/>
  </r>
  <r>
    <x v="349"/>
  </r>
  <r>
    <x v="350"/>
  </r>
  <r>
    <x v="351"/>
  </r>
  <r>
    <x v="352"/>
  </r>
  <r>
    <x v="353"/>
  </r>
  <r>
    <x v="354"/>
  </r>
  <r>
    <x v="355"/>
  </r>
  <r>
    <x v="356"/>
  </r>
  <r>
    <x v="357"/>
  </r>
  <r>
    <x v="358"/>
  </r>
  <r>
    <x v="359"/>
  </r>
  <r>
    <x v="360"/>
  </r>
  <r>
    <x v="361"/>
  </r>
  <r>
    <x v="362"/>
  </r>
  <r>
    <x v="363"/>
  </r>
  <r>
    <x v="364"/>
  </r>
  <r>
    <x v="365"/>
  </r>
  <r>
    <x v="366"/>
  </r>
  <r>
    <x v="367"/>
  </r>
  <r>
    <x v="368"/>
  </r>
  <r>
    <x v="369"/>
  </r>
  <r>
    <x v="370"/>
  </r>
  <r>
    <x v="371"/>
  </r>
  <r>
    <x v="372"/>
  </r>
  <r>
    <x v="373"/>
  </r>
  <r>
    <x v="374"/>
  </r>
  <r>
    <x v="375"/>
  </r>
  <r>
    <x v="376"/>
  </r>
  <r>
    <x v="377"/>
  </r>
  <r>
    <x v="378"/>
  </r>
  <r>
    <x v="379"/>
  </r>
  <r>
    <x v="380"/>
  </r>
  <r>
    <x v="381"/>
  </r>
  <r>
    <x v="382"/>
  </r>
  <r>
    <x v="383"/>
  </r>
  <r>
    <x v="384"/>
  </r>
  <r>
    <x v="385"/>
  </r>
  <r>
    <x v="386"/>
  </r>
  <r>
    <x v="387"/>
  </r>
  <r>
    <x v="388"/>
  </r>
  <r>
    <x v="389"/>
  </r>
  <r>
    <x v="390"/>
  </r>
  <r>
    <x v="391"/>
  </r>
  <r>
    <x v="392"/>
  </r>
  <r>
    <x v="393"/>
  </r>
  <r>
    <x v="394"/>
  </r>
  <r>
    <x v="395"/>
  </r>
  <r>
    <x v="396"/>
  </r>
  <r>
    <x v="397"/>
  </r>
  <r>
    <x v="398"/>
  </r>
  <r>
    <x v="399"/>
  </r>
  <r>
    <x v="400"/>
  </r>
  <r>
    <x v="401"/>
  </r>
  <r>
    <x v="402"/>
  </r>
  <r>
    <x v="403"/>
  </r>
  <r>
    <x v="404"/>
  </r>
  <r>
    <x v="405"/>
  </r>
  <r>
    <x v="406"/>
  </r>
  <r>
    <x v="407"/>
  </r>
  <r>
    <x v="408"/>
  </r>
  <r>
    <x v="409"/>
  </r>
  <r>
    <x v="410"/>
  </r>
  <r>
    <x v="411"/>
  </r>
  <r>
    <x v="412"/>
  </r>
  <r>
    <x v="413"/>
  </r>
  <r>
    <x v="414"/>
  </r>
  <r>
    <x v="415"/>
  </r>
  <r>
    <x v="416"/>
  </r>
  <r>
    <x v="417"/>
  </r>
  <r>
    <x v="418"/>
  </r>
  <r>
    <x v="419"/>
  </r>
  <r>
    <x v="420"/>
  </r>
  <r>
    <x v="421"/>
  </r>
  <r>
    <x v="422"/>
  </r>
  <r>
    <x v="423"/>
  </r>
  <r>
    <x v="424"/>
  </r>
  <r>
    <x v="425"/>
  </r>
  <r>
    <x v="426"/>
  </r>
  <r>
    <x v="427"/>
  </r>
  <r>
    <x v="428"/>
  </r>
  <r>
    <x v="429"/>
  </r>
  <r>
    <x v="430"/>
  </r>
  <r>
    <x v="431"/>
  </r>
  <r>
    <x v="432"/>
  </r>
  <r>
    <x v="433"/>
  </r>
  <r>
    <x v="434"/>
  </r>
  <r>
    <x v="435"/>
  </r>
  <r>
    <x v="436"/>
  </r>
  <r>
    <x v="437"/>
  </r>
  <r>
    <x v="438"/>
  </r>
  <r>
    <x v="439"/>
  </r>
  <r>
    <x v="440"/>
  </r>
  <r>
    <x v="441"/>
  </r>
  <r>
    <x v="442"/>
  </r>
  <r>
    <x v="443"/>
  </r>
  <r>
    <x v="444"/>
  </r>
  <r>
    <x v="445"/>
  </r>
  <r>
    <x v="446"/>
  </r>
  <r>
    <x v="447"/>
  </r>
  <r>
    <x v="448"/>
  </r>
  <r>
    <x v="449"/>
  </r>
  <r>
    <x v="450"/>
  </r>
  <r>
    <x v="451"/>
  </r>
  <r>
    <x v="452"/>
  </r>
  <r>
    <x v="453"/>
  </r>
  <r>
    <x v="454"/>
  </r>
  <r>
    <x v="455"/>
  </r>
  <r>
    <x v="456"/>
  </r>
  <r>
    <x v="457"/>
  </r>
  <r>
    <x v="458"/>
  </r>
  <r>
    <x v="459"/>
  </r>
  <r>
    <x v="460"/>
  </r>
  <r>
    <x v="461"/>
  </r>
  <r>
    <x v="462"/>
  </r>
  <r>
    <x v="463"/>
  </r>
  <r>
    <x v="464"/>
  </r>
  <r>
    <x v="465"/>
  </r>
  <r>
    <x v="466"/>
  </r>
  <r>
    <x v="467"/>
  </r>
  <r>
    <x v="468"/>
  </r>
  <r>
    <x v="469"/>
  </r>
  <r>
    <x v="470"/>
  </r>
  <r>
    <x v="471"/>
  </r>
  <r>
    <x v="472"/>
  </r>
  <r>
    <x v="473"/>
  </r>
  <r>
    <x v="474"/>
  </r>
  <r>
    <x v="475"/>
  </r>
  <r>
    <x v="476"/>
  </r>
  <r>
    <x v="477"/>
  </r>
  <r>
    <x v="478"/>
  </r>
  <r>
    <x v="479"/>
  </r>
  <r>
    <x v="480"/>
  </r>
  <r>
    <x v="481"/>
  </r>
  <r>
    <x v="482"/>
  </r>
  <r>
    <x v="483"/>
  </r>
  <r>
    <x v="484"/>
  </r>
  <r>
    <x v="485"/>
  </r>
  <r>
    <x v="486"/>
  </r>
  <r>
    <x v="487"/>
  </r>
  <r>
    <x v="488"/>
  </r>
  <r>
    <x v="489"/>
  </r>
  <r>
    <x v="490"/>
  </r>
  <r>
    <x v="491"/>
  </r>
  <r>
    <x v="492"/>
  </r>
  <r>
    <x v="493"/>
  </r>
  <r>
    <x v="494"/>
  </r>
  <r>
    <x v="495"/>
  </r>
  <r>
    <x v="496"/>
  </r>
  <r>
    <x v="497"/>
  </r>
  <r>
    <x v="498"/>
  </r>
  <r>
    <x v="499"/>
  </r>
  <r>
    <x v="500"/>
  </r>
  <r>
    <x v="501"/>
  </r>
  <r>
    <x v="502"/>
  </r>
  <r>
    <x v="503"/>
  </r>
  <r>
    <x v="504"/>
  </r>
  <r>
    <x v="505"/>
  </r>
  <r>
    <x v="506"/>
  </r>
  <r>
    <x v="507"/>
  </r>
  <r>
    <x v="508"/>
  </r>
  <r>
    <x v="509"/>
  </r>
  <r>
    <x v="510"/>
  </r>
  <r>
    <x v="511"/>
  </r>
  <r>
    <x v="512"/>
  </r>
  <r>
    <x v="513"/>
  </r>
  <r>
    <x v="514"/>
  </r>
  <r>
    <x v="515"/>
  </r>
  <r>
    <x v="516"/>
  </r>
  <r>
    <x v="20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4">
  <r>
    <x v="0"/>
    <x v="0"/>
    <x v="0"/>
    <x v="0"/>
    <x v="0"/>
  </r>
  <r>
    <x v="0"/>
    <x v="1"/>
    <x v="1"/>
    <x v="0"/>
    <x v="1"/>
  </r>
  <r>
    <x v="0"/>
    <x v="2"/>
    <x v="2"/>
    <x v="0"/>
    <x v="2"/>
  </r>
  <r>
    <x v="0"/>
    <x v="3"/>
    <x v="3"/>
    <x v="0"/>
    <x v="2"/>
  </r>
  <r>
    <x v="0"/>
    <x v="4"/>
    <x v="4"/>
    <x v="0"/>
    <x v="3"/>
  </r>
  <r>
    <x v="0"/>
    <x v="5"/>
    <x v="5"/>
    <x v="0"/>
    <x v="3"/>
  </r>
  <r>
    <x v="0"/>
    <x v="6"/>
    <x v="6"/>
    <x v="0"/>
    <x v="3"/>
  </r>
  <r>
    <x v="0"/>
    <x v="7"/>
    <x v="7"/>
    <x v="0"/>
    <x v="3"/>
  </r>
  <r>
    <x v="0"/>
    <x v="8"/>
    <x v="8"/>
    <x v="0"/>
    <x v="3"/>
  </r>
  <r>
    <x v="0"/>
    <x v="9"/>
    <x v="9"/>
    <x v="0"/>
    <x v="2"/>
  </r>
  <r>
    <x v="0"/>
    <x v="10"/>
    <x v="10"/>
    <x v="0"/>
    <x v="2"/>
  </r>
  <r>
    <x v="0"/>
    <x v="11"/>
    <x v="11"/>
    <x v="0"/>
    <x v="2"/>
  </r>
  <r>
    <x v="0"/>
    <x v="12"/>
    <x v="12"/>
    <x v="0"/>
    <x v="2"/>
  </r>
  <r>
    <x v="0"/>
    <x v="13"/>
    <x v="13"/>
    <x v="0"/>
    <x v="2"/>
  </r>
  <r>
    <x v="0"/>
    <x v="14"/>
    <x v="14"/>
    <x v="0"/>
    <x v="2"/>
  </r>
  <r>
    <x v="0"/>
    <x v="15"/>
    <x v="15"/>
    <x v="0"/>
    <x v="2"/>
  </r>
  <r>
    <x v="0"/>
    <x v="16"/>
    <x v="16"/>
    <x v="0"/>
    <x v="3"/>
  </r>
  <r>
    <x v="0"/>
    <x v="17"/>
    <x v="17"/>
    <x v="0"/>
    <x v="3"/>
  </r>
  <r>
    <x v="0"/>
    <x v="18"/>
    <x v="18"/>
    <x v="0"/>
    <x v="3"/>
  </r>
  <r>
    <x v="0"/>
    <x v="19"/>
    <x v="19"/>
    <x v="0"/>
    <x v="3"/>
  </r>
  <r>
    <x v="0"/>
    <x v="20"/>
    <x v="20"/>
    <x v="0"/>
    <x v="3"/>
  </r>
  <r>
    <x v="0"/>
    <x v="21"/>
    <x v="21"/>
    <x v="0"/>
    <x v="3"/>
  </r>
  <r>
    <x v="0"/>
    <x v="22"/>
    <x v="22"/>
    <x v="0"/>
    <x v="3"/>
  </r>
  <r>
    <x v="0"/>
    <x v="23"/>
    <x v="23"/>
    <x v="0"/>
    <x v="2"/>
  </r>
  <r>
    <x v="0"/>
    <x v="24"/>
    <x v="24"/>
    <x v="0"/>
    <x v="2"/>
  </r>
  <r>
    <x v="0"/>
    <x v="25"/>
    <x v="25"/>
    <x v="0"/>
    <x v="2"/>
  </r>
  <r>
    <x v="0"/>
    <x v="26"/>
    <x v="26"/>
    <x v="0"/>
    <x v="2"/>
  </r>
  <r>
    <x v="0"/>
    <x v="27"/>
    <x v="27"/>
    <x v="0"/>
    <x v="2"/>
  </r>
  <r>
    <x v="0"/>
    <x v="28"/>
    <x v="28"/>
    <x v="0"/>
    <x v="2"/>
  </r>
  <r>
    <x v="0"/>
    <x v="29"/>
    <x v="29"/>
    <x v="0"/>
    <x v="2"/>
  </r>
  <r>
    <x v="0"/>
    <x v="30"/>
    <x v="30"/>
    <x v="0"/>
    <x v="2"/>
  </r>
  <r>
    <x v="0"/>
    <x v="31"/>
    <x v="31"/>
    <x v="0"/>
    <x v="2"/>
  </r>
  <r>
    <x v="0"/>
    <x v="32"/>
    <x v="32"/>
    <x v="0"/>
    <x v="3"/>
  </r>
  <r>
    <x v="0"/>
    <x v="33"/>
    <x v="33"/>
    <x v="0"/>
    <x v="3"/>
  </r>
  <r>
    <x v="0"/>
    <x v="34"/>
    <x v="34"/>
    <x v="0"/>
    <x v="2"/>
  </r>
  <r>
    <x v="0"/>
    <x v="35"/>
    <x v="35"/>
    <x v="0"/>
    <x v="3"/>
  </r>
  <r>
    <x v="0"/>
    <x v="36"/>
    <x v="36"/>
    <x v="0"/>
    <x v="3"/>
  </r>
  <r>
    <x v="0"/>
    <x v="37"/>
    <x v="37"/>
    <x v="0"/>
    <x v="3"/>
  </r>
  <r>
    <x v="0"/>
    <x v="38"/>
    <x v="38"/>
    <x v="0"/>
    <x v="3"/>
  </r>
  <r>
    <x v="0"/>
    <x v="39"/>
    <x v="39"/>
    <x v="0"/>
    <x v="2"/>
  </r>
  <r>
    <x v="0"/>
    <x v="40"/>
    <x v="40"/>
    <x v="0"/>
    <x v="2"/>
  </r>
  <r>
    <x v="0"/>
    <x v="41"/>
    <x v="41"/>
    <x v="0"/>
    <x v="2"/>
  </r>
  <r>
    <x v="0"/>
    <x v="42"/>
    <x v="42"/>
    <x v="0"/>
    <x v="2"/>
  </r>
  <r>
    <x v="0"/>
    <x v="43"/>
    <x v="43"/>
    <x v="0"/>
    <x v="2"/>
  </r>
  <r>
    <x v="0"/>
    <x v="44"/>
    <x v="44"/>
    <x v="0"/>
    <x v="2"/>
  </r>
  <r>
    <x v="0"/>
    <x v="45"/>
    <x v="45"/>
    <x v="0"/>
    <x v="2"/>
  </r>
  <r>
    <x v="0"/>
    <x v="46"/>
    <x v="46"/>
    <x v="0"/>
    <x v="2"/>
  </r>
  <r>
    <x v="0"/>
    <x v="47"/>
    <x v="47"/>
    <x v="0"/>
    <x v="2"/>
  </r>
  <r>
    <x v="0"/>
    <x v="48"/>
    <x v="48"/>
    <x v="0"/>
    <x v="2"/>
  </r>
  <r>
    <x v="0"/>
    <x v="49"/>
    <x v="49"/>
    <x v="0"/>
    <x v="2"/>
  </r>
  <r>
    <x v="0"/>
    <x v="50"/>
    <x v="50"/>
    <x v="0"/>
    <x v="2"/>
  </r>
  <r>
    <x v="0"/>
    <x v="51"/>
    <x v="51"/>
    <x v="0"/>
    <x v="2"/>
  </r>
  <r>
    <x v="0"/>
    <x v="52"/>
    <x v="52"/>
    <x v="0"/>
    <x v="2"/>
  </r>
  <r>
    <x v="0"/>
    <x v="53"/>
    <x v="53"/>
    <x v="0"/>
    <x v="2"/>
  </r>
  <r>
    <x v="0"/>
    <x v="54"/>
    <x v="54"/>
    <x v="0"/>
    <x v="3"/>
  </r>
  <r>
    <x v="0"/>
    <x v="55"/>
    <x v="55"/>
    <x v="0"/>
    <x v="2"/>
  </r>
  <r>
    <x v="0"/>
    <x v="56"/>
    <x v="56"/>
    <x v="0"/>
    <x v="2"/>
  </r>
  <r>
    <x v="0"/>
    <x v="57"/>
    <x v="57"/>
    <x v="0"/>
    <x v="2"/>
  </r>
  <r>
    <x v="0"/>
    <x v="58"/>
    <x v="58"/>
    <x v="0"/>
    <x v="2"/>
  </r>
  <r>
    <x v="0"/>
    <x v="59"/>
    <x v="59"/>
    <x v="0"/>
    <x v="2"/>
  </r>
  <r>
    <x v="0"/>
    <x v="60"/>
    <x v="60"/>
    <x v="0"/>
    <x v="2"/>
  </r>
  <r>
    <x v="0"/>
    <x v="61"/>
    <x v="61"/>
    <x v="0"/>
    <x v="2"/>
  </r>
  <r>
    <x v="0"/>
    <x v="62"/>
    <x v="62"/>
    <x v="0"/>
    <x v="3"/>
  </r>
  <r>
    <x v="0"/>
    <x v="63"/>
    <x v="63"/>
    <x v="0"/>
    <x v="2"/>
  </r>
  <r>
    <x v="0"/>
    <x v="64"/>
    <x v="64"/>
    <x v="0"/>
    <x v="2"/>
  </r>
  <r>
    <x v="0"/>
    <x v="65"/>
    <x v="65"/>
    <x v="0"/>
    <x v="0"/>
  </r>
  <r>
    <x v="0"/>
    <x v="66"/>
    <x v="66"/>
    <x v="0"/>
    <x v="2"/>
  </r>
  <r>
    <x v="0"/>
    <x v="67"/>
    <x v="67"/>
    <x v="0"/>
    <x v="2"/>
  </r>
  <r>
    <x v="0"/>
    <x v="68"/>
    <x v="68"/>
    <x v="0"/>
    <x v="1"/>
  </r>
  <r>
    <x v="0"/>
    <x v="69"/>
    <x v="69"/>
    <x v="0"/>
    <x v="1"/>
  </r>
  <r>
    <x v="0"/>
    <x v="70"/>
    <x v="70"/>
    <x v="0"/>
    <x v="2"/>
  </r>
  <r>
    <x v="0"/>
    <x v="71"/>
    <x v="71"/>
    <x v="0"/>
    <x v="0"/>
  </r>
  <r>
    <x v="0"/>
    <x v="72"/>
    <x v="72"/>
    <x v="0"/>
    <x v="2"/>
  </r>
  <r>
    <x v="0"/>
    <x v="73"/>
    <x v="73"/>
    <x v="0"/>
    <x v="2"/>
  </r>
  <r>
    <x v="0"/>
    <x v="74"/>
    <x v="74"/>
    <x v="0"/>
    <x v="3"/>
  </r>
  <r>
    <x v="0"/>
    <x v="75"/>
    <x v="75"/>
    <x v="0"/>
    <x v="3"/>
  </r>
  <r>
    <x v="0"/>
    <x v="76"/>
    <x v="76"/>
    <x v="0"/>
    <x v="2"/>
  </r>
  <r>
    <x v="0"/>
    <x v="77"/>
    <x v="77"/>
    <x v="0"/>
    <x v="2"/>
  </r>
  <r>
    <x v="0"/>
    <x v="78"/>
    <x v="78"/>
    <x v="0"/>
    <x v="2"/>
  </r>
  <r>
    <x v="0"/>
    <x v="79"/>
    <x v="79"/>
    <x v="0"/>
    <x v="2"/>
  </r>
  <r>
    <x v="0"/>
    <x v="80"/>
    <x v="80"/>
    <x v="0"/>
    <x v="2"/>
  </r>
  <r>
    <x v="0"/>
    <x v="81"/>
    <x v="81"/>
    <x v="0"/>
    <x v="2"/>
  </r>
  <r>
    <x v="0"/>
    <x v="82"/>
    <x v="82"/>
    <x v="0"/>
    <x v="3"/>
  </r>
  <r>
    <x v="0"/>
    <x v="83"/>
    <x v="83"/>
    <x v="0"/>
    <x v="3"/>
  </r>
  <r>
    <x v="0"/>
    <x v="84"/>
    <x v="84"/>
    <x v="0"/>
    <x v="3"/>
  </r>
  <r>
    <x v="0"/>
    <x v="85"/>
    <x v="85"/>
    <x v="0"/>
    <x v="2"/>
  </r>
  <r>
    <x v="0"/>
    <x v="86"/>
    <x v="86"/>
    <x v="0"/>
    <x v="3"/>
  </r>
  <r>
    <x v="0"/>
    <x v="87"/>
    <x v="87"/>
    <x v="0"/>
    <x v="0"/>
  </r>
  <r>
    <x v="0"/>
    <x v="88"/>
    <x v="88"/>
    <x v="0"/>
    <x v="3"/>
  </r>
  <r>
    <x v="0"/>
    <x v="89"/>
    <x v="89"/>
    <x v="0"/>
    <x v="2"/>
  </r>
  <r>
    <x v="0"/>
    <x v="90"/>
    <x v="90"/>
    <x v="0"/>
    <x v="2"/>
  </r>
  <r>
    <x v="0"/>
    <x v="91"/>
    <x v="91"/>
    <x v="0"/>
    <x v="2"/>
  </r>
  <r>
    <x v="0"/>
    <x v="92"/>
    <x v="92"/>
    <x v="0"/>
    <x v="3"/>
  </r>
  <r>
    <x v="0"/>
    <x v="93"/>
    <x v="93"/>
    <x v="0"/>
    <x v="3"/>
  </r>
  <r>
    <x v="0"/>
    <x v="94"/>
    <x v="94"/>
    <x v="0"/>
    <x v="3"/>
  </r>
  <r>
    <x v="0"/>
    <x v="95"/>
    <x v="95"/>
    <x v="0"/>
    <x v="3"/>
  </r>
  <r>
    <x v="0"/>
    <x v="96"/>
    <x v="96"/>
    <x v="0"/>
    <x v="0"/>
  </r>
  <r>
    <x v="0"/>
    <x v="97"/>
    <x v="97"/>
    <x v="0"/>
    <x v="2"/>
  </r>
  <r>
    <x v="0"/>
    <x v="98"/>
    <x v="98"/>
    <x v="0"/>
    <x v="2"/>
  </r>
  <r>
    <x v="0"/>
    <x v="99"/>
    <x v="99"/>
    <x v="0"/>
    <x v="2"/>
  </r>
  <r>
    <x v="0"/>
    <x v="100"/>
    <x v="100"/>
    <x v="0"/>
    <x v="2"/>
  </r>
  <r>
    <x v="0"/>
    <x v="101"/>
    <x v="101"/>
    <x v="0"/>
    <x v="2"/>
  </r>
  <r>
    <x v="0"/>
    <x v="102"/>
    <x v="102"/>
    <x v="0"/>
    <x v="2"/>
  </r>
  <r>
    <x v="0"/>
    <x v="103"/>
    <x v="103"/>
    <x v="0"/>
    <x v="2"/>
  </r>
  <r>
    <x v="0"/>
    <x v="104"/>
    <x v="104"/>
    <x v="0"/>
    <x v="2"/>
  </r>
  <r>
    <x v="0"/>
    <x v="105"/>
    <x v="105"/>
    <x v="0"/>
    <x v="2"/>
  </r>
  <r>
    <x v="0"/>
    <x v="106"/>
    <x v="106"/>
    <x v="0"/>
    <x v="2"/>
  </r>
  <r>
    <x v="0"/>
    <x v="107"/>
    <x v="107"/>
    <x v="0"/>
    <x v="2"/>
  </r>
  <r>
    <x v="0"/>
    <x v="108"/>
    <x v="108"/>
    <x v="0"/>
    <x v="2"/>
  </r>
  <r>
    <x v="0"/>
    <x v="109"/>
    <x v="109"/>
    <x v="0"/>
    <x v="3"/>
  </r>
  <r>
    <x v="0"/>
    <x v="110"/>
    <x v="110"/>
    <x v="0"/>
    <x v="3"/>
  </r>
  <r>
    <x v="0"/>
    <x v="111"/>
    <x v="111"/>
    <x v="0"/>
    <x v="2"/>
  </r>
  <r>
    <x v="0"/>
    <x v="112"/>
    <x v="112"/>
    <x v="0"/>
    <x v="2"/>
  </r>
  <r>
    <x v="0"/>
    <x v="113"/>
    <x v="113"/>
    <x v="0"/>
    <x v="3"/>
  </r>
  <r>
    <x v="0"/>
    <x v="114"/>
    <x v="114"/>
    <x v="0"/>
    <x v="2"/>
  </r>
  <r>
    <x v="0"/>
    <x v="115"/>
    <x v="115"/>
    <x v="0"/>
    <x v="2"/>
  </r>
  <r>
    <x v="0"/>
    <x v="116"/>
    <x v="116"/>
    <x v="0"/>
    <x v="0"/>
  </r>
  <r>
    <x v="0"/>
    <x v="117"/>
    <x v="117"/>
    <x v="0"/>
    <x v="0"/>
  </r>
  <r>
    <x v="0"/>
    <x v="118"/>
    <x v="118"/>
    <x v="0"/>
    <x v="0"/>
  </r>
  <r>
    <x v="0"/>
    <x v="119"/>
    <x v="119"/>
    <x v="0"/>
    <x v="0"/>
  </r>
  <r>
    <x v="0"/>
    <x v="120"/>
    <x v="120"/>
    <x v="0"/>
    <x v="0"/>
  </r>
  <r>
    <x v="0"/>
    <x v="121"/>
    <x v="121"/>
    <x v="0"/>
    <x v="4"/>
  </r>
  <r>
    <x v="0"/>
    <x v="122"/>
    <x v="122"/>
    <x v="0"/>
    <x v="5"/>
  </r>
  <r>
    <x v="0"/>
    <x v="123"/>
    <x v="123"/>
    <x v="0"/>
    <x v="5"/>
  </r>
  <r>
    <x v="0"/>
    <x v="124"/>
    <x v="124"/>
    <x v="0"/>
    <x v="5"/>
  </r>
  <r>
    <x v="0"/>
    <x v="125"/>
    <x v="125"/>
    <x v="0"/>
    <x v="5"/>
  </r>
  <r>
    <x v="0"/>
    <x v="126"/>
    <x v="126"/>
    <x v="0"/>
    <x v="1"/>
  </r>
  <r>
    <x v="0"/>
    <x v="127"/>
    <x v="127"/>
    <x v="0"/>
    <x v="1"/>
  </r>
  <r>
    <x v="0"/>
    <x v="128"/>
    <x v="128"/>
    <x v="0"/>
    <x v="1"/>
  </r>
  <r>
    <x v="0"/>
    <x v="129"/>
    <x v="129"/>
    <x v="0"/>
    <x v="1"/>
  </r>
  <r>
    <x v="0"/>
    <x v="130"/>
    <x v="130"/>
    <x v="0"/>
    <x v="1"/>
  </r>
  <r>
    <x v="0"/>
    <x v="131"/>
    <x v="131"/>
    <x v="0"/>
    <x v="1"/>
  </r>
  <r>
    <x v="0"/>
    <x v="132"/>
    <x v="132"/>
    <x v="0"/>
    <x v="5"/>
  </r>
  <r>
    <x v="0"/>
    <x v="133"/>
    <x v="133"/>
    <x v="0"/>
    <x v="5"/>
  </r>
  <r>
    <x v="0"/>
    <x v="134"/>
    <x v="134"/>
    <x v="0"/>
    <x v="5"/>
  </r>
  <r>
    <x v="0"/>
    <x v="135"/>
    <x v="135"/>
    <x v="0"/>
    <x v="5"/>
  </r>
  <r>
    <x v="0"/>
    <x v="136"/>
    <x v="136"/>
    <x v="0"/>
    <x v="1"/>
  </r>
  <r>
    <x v="0"/>
    <x v="137"/>
    <x v="137"/>
    <x v="0"/>
    <x v="1"/>
  </r>
  <r>
    <x v="0"/>
    <x v="138"/>
    <x v="138"/>
    <x v="0"/>
    <x v="1"/>
  </r>
  <r>
    <x v="0"/>
    <x v="139"/>
    <x v="139"/>
    <x v="0"/>
    <x v="1"/>
  </r>
  <r>
    <x v="0"/>
    <x v="140"/>
    <x v="140"/>
    <x v="0"/>
    <x v="1"/>
  </r>
  <r>
    <x v="0"/>
    <x v="141"/>
    <x v="141"/>
    <x v="0"/>
    <x v="1"/>
  </r>
  <r>
    <x v="0"/>
    <x v="142"/>
    <x v="142"/>
    <x v="0"/>
    <x v="1"/>
  </r>
  <r>
    <x v="0"/>
    <x v="143"/>
    <x v="143"/>
    <x v="0"/>
    <x v="1"/>
  </r>
  <r>
    <x v="0"/>
    <x v="144"/>
    <x v="144"/>
    <x v="0"/>
    <x v="1"/>
  </r>
  <r>
    <x v="0"/>
    <x v="145"/>
    <x v="145"/>
    <x v="0"/>
    <x v="1"/>
  </r>
  <r>
    <x v="0"/>
    <x v="146"/>
    <x v="146"/>
    <x v="0"/>
    <x v="1"/>
  </r>
  <r>
    <x v="0"/>
    <x v="147"/>
    <x v="147"/>
    <x v="0"/>
    <x v="1"/>
  </r>
  <r>
    <x v="0"/>
    <x v="148"/>
    <x v="148"/>
    <x v="0"/>
    <x v="1"/>
  </r>
  <r>
    <x v="0"/>
    <x v="149"/>
    <x v="149"/>
    <x v="0"/>
    <x v="1"/>
  </r>
  <r>
    <x v="0"/>
    <x v="150"/>
    <x v="150"/>
    <x v="0"/>
    <x v="1"/>
  </r>
  <r>
    <x v="0"/>
    <x v="151"/>
    <x v="151"/>
    <x v="0"/>
    <x v="1"/>
  </r>
  <r>
    <x v="0"/>
    <x v="152"/>
    <x v="152"/>
    <x v="0"/>
    <x v="1"/>
  </r>
  <r>
    <x v="0"/>
    <x v="153"/>
    <x v="153"/>
    <x v="0"/>
    <x v="1"/>
  </r>
  <r>
    <x v="0"/>
    <x v="154"/>
    <x v="154"/>
    <x v="0"/>
    <x v="1"/>
  </r>
  <r>
    <x v="0"/>
    <x v="155"/>
    <x v="155"/>
    <x v="0"/>
    <x v="1"/>
  </r>
  <r>
    <x v="0"/>
    <x v="156"/>
    <x v="156"/>
    <x v="0"/>
    <x v="5"/>
  </r>
  <r>
    <x v="0"/>
    <x v="157"/>
    <x v="157"/>
    <x v="0"/>
    <x v="5"/>
  </r>
  <r>
    <x v="0"/>
    <x v="158"/>
    <x v="158"/>
    <x v="0"/>
    <x v="5"/>
  </r>
  <r>
    <x v="0"/>
    <x v="159"/>
    <x v="159"/>
    <x v="0"/>
    <x v="5"/>
  </r>
  <r>
    <x v="0"/>
    <x v="160"/>
    <x v="160"/>
    <x v="0"/>
    <x v="5"/>
  </r>
  <r>
    <x v="0"/>
    <x v="161"/>
    <x v="161"/>
    <x v="0"/>
    <x v="1"/>
  </r>
  <r>
    <x v="0"/>
    <x v="162"/>
    <x v="162"/>
    <x v="0"/>
    <x v="1"/>
  </r>
  <r>
    <x v="0"/>
    <x v="163"/>
    <x v="163"/>
    <x v="0"/>
    <x v="1"/>
  </r>
  <r>
    <x v="0"/>
    <x v="164"/>
    <x v="164"/>
    <x v="0"/>
    <x v="1"/>
  </r>
  <r>
    <x v="0"/>
    <x v="165"/>
    <x v="165"/>
    <x v="0"/>
    <x v="1"/>
  </r>
  <r>
    <x v="0"/>
    <x v="166"/>
    <x v="166"/>
    <x v="0"/>
    <x v="1"/>
  </r>
  <r>
    <x v="0"/>
    <x v="167"/>
    <x v="167"/>
    <x v="0"/>
    <x v="1"/>
  </r>
  <r>
    <x v="0"/>
    <x v="168"/>
    <x v="168"/>
    <x v="0"/>
    <x v="1"/>
  </r>
  <r>
    <x v="0"/>
    <x v="169"/>
    <x v="169"/>
    <x v="0"/>
    <x v="1"/>
  </r>
  <r>
    <x v="0"/>
    <x v="170"/>
    <x v="170"/>
    <x v="0"/>
    <x v="1"/>
  </r>
  <r>
    <x v="0"/>
    <x v="171"/>
    <x v="171"/>
    <x v="0"/>
    <x v="1"/>
  </r>
  <r>
    <x v="0"/>
    <x v="172"/>
    <x v="172"/>
    <x v="0"/>
    <x v="1"/>
  </r>
  <r>
    <x v="0"/>
    <x v="173"/>
    <x v="173"/>
    <x v="0"/>
    <x v="1"/>
  </r>
  <r>
    <x v="0"/>
    <x v="174"/>
    <x v="174"/>
    <x v="0"/>
    <x v="1"/>
  </r>
  <r>
    <x v="0"/>
    <x v="175"/>
    <x v="175"/>
    <x v="0"/>
    <x v="1"/>
  </r>
  <r>
    <x v="0"/>
    <x v="176"/>
    <x v="176"/>
    <x v="0"/>
    <x v="0"/>
  </r>
  <r>
    <x v="0"/>
    <x v="177"/>
    <x v="177"/>
    <x v="0"/>
    <x v="0"/>
  </r>
  <r>
    <x v="0"/>
    <x v="178"/>
    <x v="178"/>
    <x v="0"/>
    <x v="0"/>
  </r>
  <r>
    <x v="0"/>
    <x v="179"/>
    <x v="179"/>
    <x v="0"/>
    <x v="0"/>
  </r>
  <r>
    <x v="0"/>
    <x v="180"/>
    <x v="180"/>
    <x v="0"/>
    <x v="5"/>
  </r>
  <r>
    <x v="0"/>
    <x v="181"/>
    <x v="181"/>
    <x v="0"/>
    <x v="5"/>
  </r>
  <r>
    <x v="0"/>
    <x v="182"/>
    <x v="182"/>
    <x v="0"/>
    <x v="5"/>
  </r>
  <r>
    <x v="0"/>
    <x v="183"/>
    <x v="183"/>
    <x v="0"/>
    <x v="5"/>
  </r>
  <r>
    <x v="0"/>
    <x v="184"/>
    <x v="184"/>
    <x v="0"/>
    <x v="5"/>
  </r>
  <r>
    <x v="0"/>
    <x v="185"/>
    <x v="185"/>
    <x v="0"/>
    <x v="5"/>
  </r>
  <r>
    <x v="0"/>
    <x v="186"/>
    <x v="186"/>
    <x v="0"/>
    <x v="0"/>
  </r>
  <r>
    <x v="0"/>
    <x v="187"/>
    <x v="187"/>
    <x v="0"/>
    <x v="0"/>
  </r>
  <r>
    <x v="0"/>
    <x v="188"/>
    <x v="188"/>
    <x v="0"/>
    <x v="0"/>
  </r>
  <r>
    <x v="0"/>
    <x v="189"/>
    <x v="189"/>
    <x v="0"/>
    <x v="0"/>
  </r>
  <r>
    <x v="0"/>
    <x v="190"/>
    <x v="190"/>
    <x v="0"/>
    <x v="0"/>
  </r>
  <r>
    <x v="0"/>
    <x v="191"/>
    <x v="191"/>
    <x v="0"/>
    <x v="0"/>
  </r>
  <r>
    <x v="0"/>
    <x v="192"/>
    <x v="192"/>
    <x v="0"/>
    <x v="1"/>
  </r>
  <r>
    <x v="0"/>
    <x v="193"/>
    <x v="193"/>
    <x v="0"/>
    <x v="1"/>
  </r>
  <r>
    <x v="0"/>
    <x v="194"/>
    <x v="194"/>
    <x v="0"/>
    <x v="1"/>
  </r>
  <r>
    <x v="0"/>
    <x v="195"/>
    <x v="195"/>
    <x v="0"/>
    <x v="1"/>
  </r>
  <r>
    <x v="0"/>
    <x v="196"/>
    <x v="196"/>
    <x v="0"/>
    <x v="1"/>
  </r>
  <r>
    <x v="0"/>
    <x v="197"/>
    <x v="197"/>
    <x v="0"/>
    <x v="1"/>
  </r>
  <r>
    <x v="0"/>
    <x v="198"/>
    <x v="198"/>
    <x v="0"/>
    <x v="1"/>
  </r>
  <r>
    <x v="0"/>
    <x v="199"/>
    <x v="199"/>
    <x v="0"/>
    <x v="1"/>
  </r>
  <r>
    <x v="0"/>
    <x v="200"/>
    <x v="200"/>
    <x v="0"/>
    <x v="1"/>
  </r>
  <r>
    <x v="0"/>
    <x v="201"/>
    <x v="201"/>
    <x v="0"/>
    <x v="1"/>
  </r>
  <r>
    <x v="0"/>
    <x v="202"/>
    <x v="202"/>
    <x v="0"/>
    <x v="1"/>
  </r>
  <r>
    <x v="0"/>
    <x v="203"/>
    <x v="203"/>
    <x v="0"/>
    <x v="1"/>
  </r>
  <r>
    <x v="0"/>
    <x v="204"/>
    <x v="204"/>
    <x v="0"/>
    <x v="1"/>
  </r>
  <r>
    <x v="0"/>
    <x v="205"/>
    <x v="205"/>
    <x v="0"/>
    <x v="5"/>
  </r>
  <r>
    <x v="0"/>
    <x v="206"/>
    <x v="206"/>
    <x v="0"/>
    <x v="5"/>
  </r>
  <r>
    <x v="0"/>
    <x v="207"/>
    <x v="207"/>
    <x v="0"/>
    <x v="5"/>
  </r>
  <r>
    <x v="0"/>
    <x v="208"/>
    <x v="208"/>
    <x v="0"/>
    <x v="5"/>
  </r>
  <r>
    <x v="0"/>
    <x v="209"/>
    <x v="209"/>
    <x v="0"/>
    <x v="5"/>
  </r>
  <r>
    <x v="0"/>
    <x v="210"/>
    <x v="210"/>
    <x v="0"/>
    <x v="5"/>
  </r>
  <r>
    <x v="0"/>
    <x v="211"/>
    <x v="211"/>
    <x v="0"/>
    <x v="5"/>
  </r>
  <r>
    <x v="0"/>
    <x v="212"/>
    <x v="212"/>
    <x v="0"/>
    <x v="5"/>
  </r>
  <r>
    <x v="0"/>
    <x v="213"/>
    <x v="213"/>
    <x v="0"/>
    <x v="5"/>
  </r>
  <r>
    <x v="0"/>
    <x v="214"/>
    <x v="214"/>
    <x v="0"/>
    <x v="5"/>
  </r>
  <r>
    <x v="0"/>
    <x v="215"/>
    <x v="215"/>
    <x v="0"/>
    <x v="5"/>
  </r>
  <r>
    <x v="0"/>
    <x v="216"/>
    <x v="216"/>
    <x v="0"/>
    <x v="5"/>
  </r>
  <r>
    <x v="0"/>
    <x v="217"/>
    <x v="217"/>
    <x v="0"/>
    <x v="5"/>
  </r>
  <r>
    <x v="0"/>
    <x v="218"/>
    <x v="218"/>
    <x v="0"/>
    <x v="5"/>
  </r>
  <r>
    <x v="0"/>
    <x v="219"/>
    <x v="219"/>
    <x v="0"/>
    <x v="5"/>
  </r>
  <r>
    <x v="0"/>
    <x v="220"/>
    <x v="220"/>
    <x v="0"/>
    <x v="1"/>
  </r>
  <r>
    <x v="0"/>
    <x v="221"/>
    <x v="221"/>
    <x v="0"/>
    <x v="1"/>
  </r>
  <r>
    <x v="0"/>
    <x v="222"/>
    <x v="222"/>
    <x v="0"/>
    <x v="1"/>
  </r>
  <r>
    <x v="0"/>
    <x v="223"/>
    <x v="223"/>
    <x v="0"/>
    <x v="1"/>
  </r>
  <r>
    <x v="0"/>
    <x v="224"/>
    <x v="224"/>
    <x v="0"/>
    <x v="1"/>
  </r>
  <r>
    <x v="0"/>
    <x v="225"/>
    <x v="225"/>
    <x v="0"/>
    <x v="1"/>
  </r>
  <r>
    <x v="0"/>
    <x v="226"/>
    <x v="226"/>
    <x v="0"/>
    <x v="2"/>
  </r>
  <r>
    <x v="0"/>
    <x v="227"/>
    <x v="227"/>
    <x v="0"/>
    <x v="1"/>
  </r>
  <r>
    <x v="0"/>
    <x v="228"/>
    <x v="228"/>
    <x v="0"/>
    <x v="1"/>
  </r>
  <r>
    <x v="0"/>
    <x v="229"/>
    <x v="229"/>
    <x v="0"/>
    <x v="1"/>
  </r>
  <r>
    <x v="0"/>
    <x v="230"/>
    <x v="230"/>
    <x v="0"/>
    <x v="1"/>
  </r>
  <r>
    <x v="0"/>
    <x v="231"/>
    <x v="231"/>
    <x v="0"/>
    <x v="1"/>
  </r>
  <r>
    <x v="0"/>
    <x v="232"/>
    <x v="232"/>
    <x v="0"/>
    <x v="1"/>
  </r>
  <r>
    <x v="0"/>
    <x v="233"/>
    <x v="233"/>
    <x v="0"/>
    <x v="1"/>
  </r>
  <r>
    <x v="0"/>
    <x v="234"/>
    <x v="234"/>
    <x v="0"/>
    <x v="1"/>
  </r>
  <r>
    <x v="0"/>
    <x v="235"/>
    <x v="235"/>
    <x v="0"/>
    <x v="1"/>
  </r>
  <r>
    <x v="0"/>
    <x v="236"/>
    <x v="236"/>
    <x v="0"/>
    <x v="1"/>
  </r>
  <r>
    <x v="0"/>
    <x v="237"/>
    <x v="237"/>
    <x v="0"/>
    <x v="1"/>
  </r>
  <r>
    <x v="0"/>
    <x v="238"/>
    <x v="238"/>
    <x v="0"/>
    <x v="1"/>
  </r>
  <r>
    <x v="0"/>
    <x v="239"/>
    <x v="239"/>
    <x v="0"/>
    <x v="1"/>
  </r>
  <r>
    <x v="0"/>
    <x v="240"/>
    <x v="240"/>
    <x v="0"/>
    <x v="0"/>
  </r>
  <r>
    <x v="0"/>
    <x v="241"/>
    <x v="241"/>
    <x v="0"/>
    <x v="0"/>
  </r>
  <r>
    <x v="0"/>
    <x v="242"/>
    <x v="242"/>
    <x v="0"/>
    <x v="0"/>
  </r>
  <r>
    <x v="0"/>
    <x v="243"/>
    <x v="243"/>
    <x v="0"/>
    <x v="0"/>
  </r>
  <r>
    <x v="0"/>
    <x v="244"/>
    <x v="244"/>
    <x v="0"/>
    <x v="5"/>
  </r>
  <r>
    <x v="0"/>
    <x v="245"/>
    <x v="245"/>
    <x v="0"/>
    <x v="5"/>
  </r>
  <r>
    <x v="0"/>
    <x v="246"/>
    <x v="246"/>
    <x v="0"/>
    <x v="5"/>
  </r>
  <r>
    <x v="0"/>
    <x v="247"/>
    <x v="247"/>
    <x v="0"/>
    <x v="5"/>
  </r>
  <r>
    <x v="0"/>
    <x v="248"/>
    <x v="248"/>
    <x v="0"/>
    <x v="1"/>
  </r>
  <r>
    <x v="0"/>
    <x v="249"/>
    <x v="249"/>
    <x v="0"/>
    <x v="1"/>
  </r>
  <r>
    <x v="0"/>
    <x v="250"/>
    <x v="250"/>
    <x v="0"/>
    <x v="1"/>
  </r>
  <r>
    <x v="0"/>
    <x v="251"/>
    <x v="251"/>
    <x v="0"/>
    <x v="1"/>
  </r>
  <r>
    <x v="0"/>
    <x v="252"/>
    <x v="252"/>
    <x v="0"/>
    <x v="1"/>
  </r>
  <r>
    <x v="0"/>
    <x v="253"/>
    <x v="253"/>
    <x v="0"/>
    <x v="1"/>
  </r>
  <r>
    <x v="0"/>
    <x v="254"/>
    <x v="251"/>
    <x v="0"/>
    <x v="1"/>
  </r>
  <r>
    <x v="0"/>
    <x v="255"/>
    <x v="252"/>
    <x v="0"/>
    <x v="1"/>
  </r>
  <r>
    <x v="0"/>
    <x v="256"/>
    <x v="254"/>
    <x v="0"/>
    <x v="1"/>
  </r>
  <r>
    <x v="0"/>
    <x v="257"/>
    <x v="255"/>
    <x v="0"/>
    <x v="1"/>
  </r>
  <r>
    <x v="0"/>
    <x v="258"/>
    <x v="256"/>
    <x v="0"/>
    <x v="1"/>
  </r>
  <r>
    <x v="0"/>
    <x v="259"/>
    <x v="257"/>
    <x v="0"/>
    <x v="1"/>
  </r>
  <r>
    <x v="0"/>
    <x v="260"/>
    <x v="258"/>
    <x v="0"/>
    <x v="1"/>
  </r>
  <r>
    <x v="0"/>
    <x v="261"/>
    <x v="259"/>
    <x v="0"/>
    <x v="1"/>
  </r>
  <r>
    <x v="0"/>
    <x v="262"/>
    <x v="260"/>
    <x v="0"/>
    <x v="1"/>
  </r>
  <r>
    <x v="0"/>
    <x v="263"/>
    <x v="261"/>
    <x v="0"/>
    <x v="1"/>
  </r>
  <r>
    <x v="0"/>
    <x v="264"/>
    <x v="262"/>
    <x v="0"/>
    <x v="1"/>
  </r>
  <r>
    <x v="0"/>
    <x v="265"/>
    <x v="263"/>
    <x v="0"/>
    <x v="1"/>
  </r>
  <r>
    <x v="0"/>
    <x v="266"/>
    <x v="264"/>
    <x v="0"/>
    <x v="0"/>
  </r>
  <r>
    <x v="0"/>
    <x v="267"/>
    <x v="265"/>
    <x v="0"/>
    <x v="0"/>
  </r>
  <r>
    <x v="0"/>
    <x v="268"/>
    <x v="266"/>
    <x v="0"/>
    <x v="3"/>
  </r>
  <r>
    <x v="0"/>
    <x v="269"/>
    <x v="267"/>
    <x v="0"/>
    <x v="5"/>
  </r>
  <r>
    <x v="0"/>
    <x v="270"/>
    <x v="268"/>
    <x v="0"/>
    <x v="5"/>
  </r>
  <r>
    <x v="0"/>
    <x v="271"/>
    <x v="269"/>
    <x v="0"/>
    <x v="5"/>
  </r>
  <r>
    <x v="0"/>
    <x v="272"/>
    <x v="270"/>
    <x v="0"/>
    <x v="5"/>
  </r>
  <r>
    <x v="0"/>
    <x v="273"/>
    <x v="271"/>
    <x v="0"/>
    <x v="5"/>
  </r>
  <r>
    <x v="0"/>
    <x v="274"/>
    <x v="272"/>
    <x v="0"/>
    <x v="5"/>
  </r>
  <r>
    <x v="0"/>
    <x v="275"/>
    <x v="273"/>
    <x v="0"/>
    <x v="5"/>
  </r>
  <r>
    <x v="0"/>
    <x v="276"/>
    <x v="274"/>
    <x v="0"/>
    <x v="5"/>
  </r>
  <r>
    <x v="0"/>
    <x v="277"/>
    <x v="275"/>
    <x v="0"/>
    <x v="5"/>
  </r>
  <r>
    <x v="0"/>
    <x v="278"/>
    <x v="276"/>
    <x v="0"/>
    <x v="5"/>
  </r>
  <r>
    <x v="0"/>
    <x v="279"/>
    <x v="277"/>
    <x v="0"/>
    <x v="5"/>
  </r>
  <r>
    <x v="0"/>
    <x v="280"/>
    <x v="278"/>
    <x v="0"/>
    <x v="5"/>
  </r>
  <r>
    <x v="0"/>
    <x v="281"/>
    <x v="279"/>
    <x v="0"/>
    <x v="5"/>
  </r>
  <r>
    <x v="0"/>
    <x v="282"/>
    <x v="280"/>
    <x v="0"/>
    <x v="5"/>
  </r>
  <r>
    <x v="0"/>
    <x v="283"/>
    <x v="281"/>
    <x v="0"/>
    <x v="5"/>
  </r>
  <r>
    <x v="0"/>
    <x v="284"/>
    <x v="282"/>
    <x v="0"/>
    <x v="5"/>
  </r>
  <r>
    <x v="0"/>
    <x v="285"/>
    <x v="283"/>
    <x v="0"/>
    <x v="5"/>
  </r>
  <r>
    <x v="0"/>
    <x v="286"/>
    <x v="284"/>
    <x v="0"/>
    <x v="5"/>
  </r>
  <r>
    <x v="0"/>
    <x v="287"/>
    <x v="285"/>
    <x v="0"/>
    <x v="5"/>
  </r>
  <r>
    <x v="0"/>
    <x v="288"/>
    <x v="286"/>
    <x v="0"/>
    <x v="5"/>
  </r>
  <r>
    <x v="0"/>
    <x v="289"/>
    <x v="287"/>
    <x v="0"/>
    <x v="5"/>
  </r>
  <r>
    <x v="0"/>
    <x v="290"/>
    <x v="288"/>
    <x v="0"/>
    <x v="5"/>
  </r>
  <r>
    <x v="0"/>
    <x v="291"/>
    <x v="289"/>
    <x v="0"/>
    <x v="5"/>
  </r>
  <r>
    <x v="0"/>
    <x v="292"/>
    <x v="290"/>
    <x v="0"/>
    <x v="5"/>
  </r>
  <r>
    <x v="0"/>
    <x v="293"/>
    <x v="291"/>
    <x v="0"/>
    <x v="5"/>
  </r>
  <r>
    <x v="0"/>
    <x v="294"/>
    <x v="292"/>
    <x v="0"/>
    <x v="5"/>
  </r>
  <r>
    <x v="0"/>
    <x v="295"/>
    <x v="293"/>
    <x v="0"/>
    <x v="5"/>
  </r>
  <r>
    <x v="0"/>
    <x v="296"/>
    <x v="294"/>
    <x v="0"/>
    <x v="5"/>
  </r>
  <r>
    <x v="0"/>
    <x v="297"/>
    <x v="295"/>
    <x v="0"/>
    <x v="5"/>
  </r>
  <r>
    <x v="0"/>
    <x v="298"/>
    <x v="296"/>
    <x v="0"/>
    <x v="5"/>
  </r>
  <r>
    <x v="0"/>
    <x v="299"/>
    <x v="297"/>
    <x v="0"/>
    <x v="5"/>
  </r>
  <r>
    <x v="0"/>
    <x v="300"/>
    <x v="298"/>
    <x v="0"/>
    <x v="5"/>
  </r>
  <r>
    <x v="0"/>
    <x v="301"/>
    <x v="299"/>
    <x v="0"/>
    <x v="5"/>
  </r>
  <r>
    <x v="0"/>
    <x v="302"/>
    <x v="300"/>
    <x v="0"/>
    <x v="5"/>
  </r>
  <r>
    <x v="0"/>
    <x v="303"/>
    <x v="301"/>
    <x v="0"/>
    <x v="5"/>
  </r>
  <r>
    <x v="0"/>
    <x v="304"/>
    <x v="302"/>
    <x v="0"/>
    <x v="1"/>
  </r>
  <r>
    <x v="0"/>
    <x v="305"/>
    <x v="303"/>
    <x v="0"/>
    <x v="1"/>
  </r>
  <r>
    <x v="0"/>
    <x v="306"/>
    <x v="304"/>
    <x v="0"/>
    <x v="1"/>
  </r>
  <r>
    <x v="0"/>
    <x v="307"/>
    <x v="305"/>
    <x v="0"/>
    <x v="1"/>
  </r>
  <r>
    <x v="0"/>
    <x v="308"/>
    <x v="306"/>
    <x v="0"/>
    <x v="3"/>
  </r>
  <r>
    <x v="0"/>
    <x v="309"/>
    <x v="307"/>
    <x v="0"/>
    <x v="0"/>
  </r>
  <r>
    <x v="0"/>
    <x v="310"/>
    <x v="308"/>
    <x v="0"/>
    <x v="0"/>
  </r>
  <r>
    <x v="0"/>
    <x v="311"/>
    <x v="309"/>
    <x v="0"/>
    <x v="0"/>
  </r>
  <r>
    <x v="0"/>
    <x v="312"/>
    <x v="310"/>
    <x v="0"/>
    <x v="2"/>
  </r>
  <r>
    <x v="0"/>
    <x v="313"/>
    <x v="311"/>
    <x v="0"/>
    <x v="2"/>
  </r>
  <r>
    <x v="0"/>
    <x v="314"/>
    <x v="312"/>
    <x v="0"/>
    <x v="2"/>
  </r>
  <r>
    <x v="0"/>
    <x v="315"/>
    <x v="313"/>
    <x v="0"/>
    <x v="1"/>
  </r>
  <r>
    <x v="0"/>
    <x v="316"/>
    <x v="314"/>
    <x v="0"/>
    <x v="1"/>
  </r>
  <r>
    <x v="0"/>
    <x v="317"/>
    <x v="315"/>
    <x v="0"/>
    <x v="1"/>
  </r>
  <r>
    <x v="0"/>
    <x v="318"/>
    <x v="316"/>
    <x v="0"/>
    <x v="1"/>
  </r>
  <r>
    <x v="0"/>
    <x v="319"/>
    <x v="317"/>
    <x v="0"/>
    <x v="1"/>
  </r>
  <r>
    <x v="0"/>
    <x v="320"/>
    <x v="318"/>
    <x v="0"/>
    <x v="1"/>
  </r>
  <r>
    <x v="0"/>
    <x v="321"/>
    <x v="319"/>
    <x v="0"/>
    <x v="1"/>
  </r>
  <r>
    <x v="0"/>
    <x v="322"/>
    <x v="320"/>
    <x v="0"/>
    <x v="1"/>
  </r>
  <r>
    <x v="0"/>
    <x v="323"/>
    <x v="321"/>
    <x v="0"/>
    <x v="1"/>
  </r>
  <r>
    <x v="0"/>
    <x v="324"/>
    <x v="322"/>
    <x v="0"/>
    <x v="1"/>
  </r>
  <r>
    <x v="0"/>
    <x v="325"/>
    <x v="323"/>
    <x v="0"/>
    <x v="1"/>
  </r>
  <r>
    <x v="0"/>
    <x v="326"/>
    <x v="324"/>
    <x v="0"/>
    <x v="3"/>
  </r>
  <r>
    <x v="0"/>
    <x v="327"/>
    <x v="325"/>
    <x v="0"/>
    <x v="3"/>
  </r>
  <r>
    <x v="0"/>
    <x v="328"/>
    <x v="326"/>
    <x v="0"/>
    <x v="3"/>
  </r>
  <r>
    <x v="0"/>
    <x v="329"/>
    <x v="327"/>
    <x v="0"/>
    <x v="0"/>
  </r>
  <r>
    <x v="0"/>
    <x v="330"/>
    <x v="328"/>
    <x v="0"/>
    <x v="1"/>
  </r>
  <r>
    <x v="0"/>
    <x v="331"/>
    <x v="329"/>
    <x v="0"/>
    <x v="1"/>
  </r>
  <r>
    <x v="0"/>
    <x v="332"/>
    <x v="330"/>
    <x v="0"/>
    <x v="1"/>
  </r>
  <r>
    <x v="0"/>
    <x v="333"/>
    <x v="331"/>
    <x v="0"/>
    <x v="1"/>
  </r>
  <r>
    <x v="0"/>
    <x v="334"/>
    <x v="332"/>
    <x v="0"/>
    <x v="1"/>
  </r>
  <r>
    <x v="0"/>
    <x v="335"/>
    <x v="333"/>
    <x v="0"/>
    <x v="1"/>
  </r>
  <r>
    <x v="0"/>
    <x v="336"/>
    <x v="334"/>
    <x v="0"/>
    <x v="1"/>
  </r>
  <r>
    <x v="0"/>
    <x v="337"/>
    <x v="335"/>
    <x v="0"/>
    <x v="1"/>
  </r>
  <r>
    <x v="0"/>
    <x v="338"/>
    <x v="336"/>
    <x v="0"/>
    <x v="1"/>
  </r>
  <r>
    <x v="0"/>
    <x v="339"/>
    <x v="337"/>
    <x v="0"/>
    <x v="1"/>
  </r>
  <r>
    <x v="0"/>
    <x v="340"/>
    <x v="338"/>
    <x v="0"/>
    <x v="1"/>
  </r>
  <r>
    <x v="0"/>
    <x v="341"/>
    <x v="339"/>
    <x v="0"/>
    <x v="1"/>
  </r>
  <r>
    <x v="0"/>
    <x v="342"/>
    <x v="340"/>
    <x v="0"/>
    <x v="1"/>
  </r>
  <r>
    <x v="0"/>
    <x v="343"/>
    <x v="341"/>
    <x v="0"/>
    <x v="1"/>
  </r>
  <r>
    <x v="0"/>
    <x v="344"/>
    <x v="342"/>
    <x v="0"/>
    <x v="1"/>
  </r>
  <r>
    <x v="0"/>
    <x v="345"/>
    <x v="343"/>
    <x v="0"/>
    <x v="0"/>
  </r>
  <r>
    <x v="0"/>
    <x v="346"/>
    <x v="344"/>
    <x v="0"/>
    <x v="2"/>
  </r>
  <r>
    <x v="0"/>
    <x v="347"/>
    <x v="345"/>
    <x v="0"/>
    <x v="4"/>
  </r>
  <r>
    <x v="0"/>
    <x v="348"/>
    <x v="346"/>
    <x v="0"/>
    <x v="1"/>
  </r>
  <r>
    <x v="0"/>
    <x v="349"/>
    <x v="347"/>
    <x v="0"/>
    <x v="1"/>
  </r>
  <r>
    <x v="0"/>
    <x v="350"/>
    <x v="348"/>
    <x v="0"/>
    <x v="1"/>
  </r>
  <r>
    <x v="0"/>
    <x v="351"/>
    <x v="349"/>
    <x v="0"/>
    <x v="1"/>
  </r>
  <r>
    <x v="0"/>
    <x v="352"/>
    <x v="350"/>
    <x v="0"/>
    <x v="1"/>
  </r>
  <r>
    <x v="0"/>
    <x v="353"/>
    <x v="351"/>
    <x v="0"/>
    <x v="1"/>
  </r>
  <r>
    <x v="0"/>
    <x v="354"/>
    <x v="352"/>
    <x v="0"/>
    <x v="1"/>
  </r>
  <r>
    <x v="0"/>
    <x v="355"/>
    <x v="353"/>
    <x v="0"/>
    <x v="1"/>
  </r>
  <r>
    <x v="0"/>
    <x v="356"/>
    <x v="354"/>
    <x v="0"/>
    <x v="1"/>
  </r>
  <r>
    <x v="0"/>
    <x v="357"/>
    <x v="355"/>
    <x v="0"/>
    <x v="1"/>
  </r>
  <r>
    <x v="0"/>
    <x v="358"/>
    <x v="356"/>
    <x v="0"/>
    <x v="5"/>
  </r>
  <r>
    <x v="0"/>
    <x v="359"/>
    <x v="357"/>
    <x v="0"/>
    <x v="5"/>
  </r>
  <r>
    <x v="0"/>
    <x v="360"/>
    <x v="358"/>
    <x v="0"/>
    <x v="5"/>
  </r>
  <r>
    <x v="0"/>
    <x v="361"/>
    <x v="359"/>
    <x v="0"/>
    <x v="5"/>
  </r>
  <r>
    <x v="0"/>
    <x v="362"/>
    <x v="360"/>
    <x v="0"/>
    <x v="5"/>
  </r>
  <r>
    <x v="0"/>
    <x v="363"/>
    <x v="361"/>
    <x v="0"/>
    <x v="5"/>
  </r>
  <r>
    <x v="0"/>
    <x v="364"/>
    <x v="362"/>
    <x v="0"/>
    <x v="5"/>
  </r>
  <r>
    <x v="0"/>
    <x v="365"/>
    <x v="363"/>
    <x v="0"/>
    <x v="5"/>
  </r>
  <r>
    <x v="0"/>
    <x v="366"/>
    <x v="364"/>
    <x v="0"/>
    <x v="5"/>
  </r>
  <r>
    <x v="0"/>
    <x v="367"/>
    <x v="365"/>
    <x v="0"/>
    <x v="5"/>
  </r>
  <r>
    <x v="0"/>
    <x v="368"/>
    <x v="366"/>
    <x v="0"/>
    <x v="5"/>
  </r>
  <r>
    <x v="0"/>
    <x v="369"/>
    <x v="367"/>
    <x v="0"/>
    <x v="5"/>
  </r>
  <r>
    <x v="0"/>
    <x v="370"/>
    <x v="368"/>
    <x v="0"/>
    <x v="5"/>
  </r>
  <r>
    <x v="0"/>
    <x v="371"/>
    <x v="369"/>
    <x v="0"/>
    <x v="5"/>
  </r>
  <r>
    <x v="0"/>
    <x v="372"/>
    <x v="370"/>
    <x v="0"/>
    <x v="5"/>
  </r>
  <r>
    <x v="0"/>
    <x v="373"/>
    <x v="371"/>
    <x v="0"/>
    <x v="5"/>
  </r>
  <r>
    <x v="0"/>
    <x v="374"/>
    <x v="372"/>
    <x v="0"/>
    <x v="5"/>
  </r>
  <r>
    <x v="0"/>
    <x v="375"/>
    <x v="373"/>
    <x v="0"/>
    <x v="5"/>
  </r>
  <r>
    <x v="0"/>
    <x v="376"/>
    <x v="374"/>
    <x v="0"/>
    <x v="5"/>
  </r>
  <r>
    <x v="0"/>
    <x v="377"/>
    <x v="375"/>
    <x v="0"/>
    <x v="5"/>
  </r>
  <r>
    <x v="0"/>
    <x v="378"/>
    <x v="376"/>
    <x v="0"/>
    <x v="5"/>
  </r>
  <r>
    <x v="0"/>
    <x v="379"/>
    <x v="377"/>
    <x v="0"/>
    <x v="5"/>
  </r>
  <r>
    <x v="0"/>
    <x v="380"/>
    <x v="378"/>
    <x v="0"/>
    <x v="5"/>
  </r>
  <r>
    <x v="0"/>
    <x v="381"/>
    <x v="379"/>
    <x v="0"/>
    <x v="2"/>
  </r>
  <r>
    <x v="0"/>
    <x v="382"/>
    <x v="380"/>
    <x v="0"/>
    <x v="0"/>
  </r>
  <r>
    <x v="0"/>
    <x v="383"/>
    <x v="381"/>
    <x v="0"/>
    <x v="0"/>
  </r>
  <r>
    <x v="0"/>
    <x v="384"/>
    <x v="382"/>
    <x v="0"/>
    <x v="0"/>
  </r>
  <r>
    <x v="0"/>
    <x v="385"/>
    <x v="383"/>
    <x v="0"/>
    <x v="0"/>
  </r>
  <r>
    <x v="0"/>
    <x v="386"/>
    <x v="384"/>
    <x v="0"/>
    <x v="0"/>
  </r>
  <r>
    <x v="0"/>
    <x v="387"/>
    <x v="385"/>
    <x v="0"/>
    <x v="0"/>
  </r>
  <r>
    <x v="0"/>
    <x v="388"/>
    <x v="386"/>
    <x v="0"/>
    <x v="2"/>
  </r>
  <r>
    <x v="0"/>
    <x v="389"/>
    <x v="387"/>
    <x v="0"/>
    <x v="2"/>
  </r>
  <r>
    <x v="0"/>
    <x v="390"/>
    <x v="388"/>
    <x v="0"/>
    <x v="4"/>
  </r>
  <r>
    <x v="0"/>
    <x v="391"/>
    <x v="389"/>
    <x v="0"/>
    <x v="1"/>
  </r>
  <r>
    <x v="0"/>
    <x v="392"/>
    <x v="390"/>
    <x v="0"/>
    <x v="1"/>
  </r>
  <r>
    <x v="0"/>
    <x v="393"/>
    <x v="391"/>
    <x v="0"/>
    <x v="1"/>
  </r>
  <r>
    <x v="0"/>
    <x v="394"/>
    <x v="392"/>
    <x v="0"/>
    <x v="1"/>
  </r>
  <r>
    <x v="0"/>
    <x v="395"/>
    <x v="393"/>
    <x v="0"/>
    <x v="1"/>
  </r>
  <r>
    <x v="0"/>
    <x v="396"/>
    <x v="394"/>
    <x v="0"/>
    <x v="1"/>
  </r>
  <r>
    <x v="0"/>
    <x v="397"/>
    <x v="395"/>
    <x v="0"/>
    <x v="1"/>
  </r>
  <r>
    <x v="0"/>
    <x v="398"/>
    <x v="396"/>
    <x v="0"/>
    <x v="1"/>
  </r>
  <r>
    <x v="0"/>
    <x v="399"/>
    <x v="397"/>
    <x v="0"/>
    <x v="1"/>
  </r>
  <r>
    <x v="0"/>
    <x v="400"/>
    <x v="398"/>
    <x v="0"/>
    <x v="1"/>
  </r>
  <r>
    <x v="0"/>
    <x v="401"/>
    <x v="399"/>
    <x v="0"/>
    <x v="1"/>
  </r>
  <r>
    <x v="0"/>
    <x v="402"/>
    <x v="400"/>
    <x v="0"/>
    <x v="1"/>
  </r>
  <r>
    <x v="0"/>
    <x v="403"/>
    <x v="401"/>
    <x v="0"/>
    <x v="1"/>
  </r>
  <r>
    <x v="0"/>
    <x v="404"/>
    <x v="402"/>
    <x v="0"/>
    <x v="1"/>
  </r>
  <r>
    <x v="0"/>
    <x v="405"/>
    <x v="403"/>
    <x v="0"/>
    <x v="1"/>
  </r>
  <r>
    <x v="0"/>
    <x v="406"/>
    <x v="404"/>
    <x v="0"/>
    <x v="1"/>
  </r>
  <r>
    <x v="0"/>
    <x v="407"/>
    <x v="405"/>
    <x v="0"/>
    <x v="1"/>
  </r>
  <r>
    <x v="0"/>
    <x v="408"/>
    <x v="406"/>
    <x v="0"/>
    <x v="1"/>
  </r>
  <r>
    <x v="0"/>
    <x v="409"/>
    <x v="407"/>
    <x v="0"/>
    <x v="1"/>
  </r>
  <r>
    <x v="0"/>
    <x v="410"/>
    <x v="408"/>
    <x v="0"/>
    <x v="1"/>
  </r>
  <r>
    <x v="0"/>
    <x v="411"/>
    <x v="409"/>
    <x v="0"/>
    <x v="1"/>
  </r>
  <r>
    <x v="0"/>
    <x v="412"/>
    <x v="410"/>
    <x v="0"/>
    <x v="1"/>
  </r>
  <r>
    <x v="0"/>
    <x v="413"/>
    <x v="411"/>
    <x v="0"/>
    <x v="1"/>
  </r>
  <r>
    <x v="0"/>
    <x v="414"/>
    <x v="412"/>
    <x v="0"/>
    <x v="1"/>
  </r>
  <r>
    <x v="0"/>
    <x v="415"/>
    <x v="413"/>
    <x v="0"/>
    <x v="1"/>
  </r>
  <r>
    <x v="0"/>
    <x v="416"/>
    <x v="414"/>
    <x v="0"/>
    <x v="1"/>
  </r>
  <r>
    <x v="0"/>
    <x v="417"/>
    <x v="415"/>
    <x v="0"/>
    <x v="1"/>
  </r>
  <r>
    <x v="0"/>
    <x v="418"/>
    <x v="416"/>
    <x v="0"/>
    <x v="1"/>
  </r>
  <r>
    <x v="0"/>
    <x v="419"/>
    <x v="417"/>
    <x v="0"/>
    <x v="1"/>
  </r>
  <r>
    <x v="0"/>
    <x v="420"/>
    <x v="418"/>
    <x v="0"/>
    <x v="1"/>
  </r>
  <r>
    <x v="0"/>
    <x v="421"/>
    <x v="419"/>
    <x v="0"/>
    <x v="1"/>
  </r>
  <r>
    <x v="0"/>
    <x v="422"/>
    <x v="420"/>
    <x v="0"/>
    <x v="1"/>
  </r>
  <r>
    <x v="0"/>
    <x v="423"/>
    <x v="421"/>
    <x v="0"/>
    <x v="1"/>
  </r>
  <r>
    <x v="0"/>
    <x v="424"/>
    <x v="422"/>
    <x v="0"/>
    <x v="1"/>
  </r>
  <r>
    <x v="0"/>
    <x v="425"/>
    <x v="423"/>
    <x v="0"/>
    <x v="1"/>
  </r>
  <r>
    <x v="0"/>
    <x v="426"/>
    <x v="424"/>
    <x v="0"/>
    <x v="1"/>
  </r>
  <r>
    <x v="0"/>
    <x v="427"/>
    <x v="425"/>
    <x v="0"/>
    <x v="1"/>
  </r>
  <r>
    <x v="0"/>
    <x v="428"/>
    <x v="426"/>
    <x v="0"/>
    <x v="1"/>
  </r>
  <r>
    <x v="0"/>
    <x v="429"/>
    <x v="427"/>
    <x v="0"/>
    <x v="1"/>
  </r>
  <r>
    <x v="0"/>
    <x v="430"/>
    <x v="428"/>
    <x v="0"/>
    <x v="1"/>
  </r>
  <r>
    <x v="0"/>
    <x v="431"/>
    <x v="429"/>
    <x v="0"/>
    <x v="1"/>
  </r>
  <r>
    <x v="0"/>
    <x v="432"/>
    <x v="430"/>
    <x v="0"/>
    <x v="1"/>
  </r>
  <r>
    <x v="0"/>
    <x v="433"/>
    <x v="431"/>
    <x v="0"/>
    <x v="1"/>
  </r>
  <r>
    <x v="0"/>
    <x v="434"/>
    <x v="432"/>
    <x v="0"/>
    <x v="1"/>
  </r>
  <r>
    <x v="0"/>
    <x v="435"/>
    <x v="433"/>
    <x v="0"/>
    <x v="1"/>
  </r>
  <r>
    <x v="0"/>
    <x v="436"/>
    <x v="434"/>
    <x v="0"/>
    <x v="1"/>
  </r>
  <r>
    <x v="0"/>
    <x v="437"/>
    <x v="435"/>
    <x v="0"/>
    <x v="1"/>
  </r>
  <r>
    <x v="0"/>
    <x v="438"/>
    <x v="436"/>
    <x v="0"/>
    <x v="1"/>
  </r>
  <r>
    <x v="0"/>
    <x v="439"/>
    <x v="437"/>
    <x v="0"/>
    <x v="1"/>
  </r>
  <r>
    <x v="0"/>
    <x v="440"/>
    <x v="438"/>
    <x v="0"/>
    <x v="1"/>
  </r>
  <r>
    <x v="0"/>
    <x v="441"/>
    <x v="439"/>
    <x v="0"/>
    <x v="1"/>
  </r>
  <r>
    <x v="0"/>
    <x v="442"/>
    <x v="440"/>
    <x v="0"/>
    <x v="1"/>
  </r>
  <r>
    <x v="0"/>
    <x v="443"/>
    <x v="441"/>
    <x v="0"/>
    <x v="1"/>
  </r>
  <r>
    <x v="0"/>
    <x v="444"/>
    <x v="442"/>
    <x v="0"/>
    <x v="1"/>
  </r>
  <r>
    <x v="0"/>
    <x v="445"/>
    <x v="443"/>
    <x v="0"/>
    <x v="1"/>
  </r>
  <r>
    <x v="0"/>
    <x v="446"/>
    <x v="444"/>
    <x v="0"/>
    <x v="3"/>
  </r>
  <r>
    <x v="0"/>
    <x v="447"/>
    <x v="445"/>
    <x v="0"/>
    <x v="3"/>
  </r>
  <r>
    <x v="0"/>
    <x v="448"/>
    <x v="446"/>
    <x v="0"/>
    <x v="3"/>
  </r>
  <r>
    <x v="0"/>
    <x v="449"/>
    <x v="447"/>
    <x v="0"/>
    <x v="5"/>
  </r>
  <r>
    <x v="0"/>
    <x v="450"/>
    <x v="448"/>
    <x v="0"/>
    <x v="5"/>
  </r>
  <r>
    <x v="0"/>
    <x v="451"/>
    <x v="449"/>
    <x v="0"/>
    <x v="5"/>
  </r>
  <r>
    <x v="0"/>
    <x v="452"/>
    <x v="450"/>
    <x v="0"/>
    <x v="5"/>
  </r>
  <r>
    <x v="0"/>
    <x v="453"/>
    <x v="451"/>
    <x v="0"/>
    <x v="5"/>
  </r>
  <r>
    <x v="0"/>
    <x v="454"/>
    <x v="452"/>
    <x v="0"/>
    <x v="5"/>
  </r>
  <r>
    <x v="0"/>
    <x v="455"/>
    <x v="453"/>
    <x v="0"/>
    <x v="5"/>
  </r>
  <r>
    <x v="0"/>
    <x v="456"/>
    <x v="454"/>
    <x v="0"/>
    <x v="5"/>
  </r>
  <r>
    <x v="0"/>
    <x v="457"/>
    <x v="455"/>
    <x v="0"/>
    <x v="5"/>
  </r>
  <r>
    <x v="0"/>
    <x v="458"/>
    <x v="456"/>
    <x v="0"/>
    <x v="5"/>
  </r>
  <r>
    <x v="0"/>
    <x v="459"/>
    <x v="457"/>
    <x v="0"/>
    <x v="5"/>
  </r>
  <r>
    <x v="0"/>
    <x v="460"/>
    <x v="458"/>
    <x v="0"/>
    <x v="5"/>
  </r>
  <r>
    <x v="0"/>
    <x v="461"/>
    <x v="459"/>
    <x v="0"/>
    <x v="5"/>
  </r>
  <r>
    <x v="0"/>
    <x v="462"/>
    <x v="460"/>
    <x v="0"/>
    <x v="5"/>
  </r>
  <r>
    <x v="0"/>
    <x v="463"/>
    <x v="461"/>
    <x v="0"/>
    <x v="5"/>
  </r>
  <r>
    <x v="0"/>
    <x v="464"/>
    <x v="462"/>
    <x v="0"/>
    <x v="5"/>
  </r>
  <r>
    <x v="0"/>
    <x v="465"/>
    <x v="463"/>
    <x v="0"/>
    <x v="5"/>
  </r>
  <r>
    <x v="0"/>
    <x v="466"/>
    <x v="464"/>
    <x v="0"/>
    <x v="5"/>
  </r>
  <r>
    <x v="0"/>
    <x v="467"/>
    <x v="465"/>
    <x v="0"/>
    <x v="5"/>
  </r>
  <r>
    <x v="0"/>
    <x v="468"/>
    <x v="466"/>
    <x v="0"/>
    <x v="5"/>
  </r>
  <r>
    <x v="0"/>
    <x v="469"/>
    <x v="467"/>
    <x v="0"/>
    <x v="5"/>
  </r>
  <r>
    <x v="0"/>
    <x v="470"/>
    <x v="468"/>
    <x v="0"/>
    <x v="0"/>
  </r>
  <r>
    <x v="0"/>
    <x v="471"/>
    <x v="469"/>
    <x v="0"/>
    <x v="0"/>
  </r>
  <r>
    <x v="0"/>
    <x v="472"/>
    <x v="470"/>
    <x v="0"/>
    <x v="1"/>
  </r>
  <r>
    <x v="0"/>
    <x v="473"/>
    <x v="471"/>
    <x v="0"/>
    <x v="3"/>
  </r>
  <r>
    <x v="0"/>
    <x v="474"/>
    <x v="472"/>
    <x v="0"/>
    <x v="3"/>
  </r>
  <r>
    <x v="0"/>
    <x v="475"/>
    <x v="473"/>
    <x v="0"/>
    <x v="3"/>
  </r>
  <r>
    <x v="0"/>
    <x v="476"/>
    <x v="474"/>
    <x v="0"/>
    <x v="2"/>
  </r>
  <r>
    <x v="0"/>
    <x v="477"/>
    <x v="475"/>
    <x v="0"/>
    <x v="0"/>
  </r>
  <r>
    <x v="0"/>
    <x v="478"/>
    <x v="476"/>
    <x v="0"/>
    <x v="0"/>
  </r>
  <r>
    <x v="0"/>
    <x v="479"/>
    <x v="477"/>
    <x v="0"/>
    <x v="0"/>
  </r>
  <r>
    <x v="0"/>
    <x v="480"/>
    <x v="478"/>
    <x v="0"/>
    <x v="3"/>
  </r>
  <r>
    <x v="0"/>
    <x v="481"/>
    <x v="479"/>
    <x v="0"/>
    <x v="5"/>
  </r>
  <r>
    <x v="0"/>
    <x v="482"/>
    <x v="480"/>
    <x v="0"/>
    <x v="5"/>
  </r>
  <r>
    <x v="0"/>
    <x v="483"/>
    <x v="481"/>
    <x v="0"/>
    <x v="5"/>
  </r>
  <r>
    <x v="0"/>
    <x v="484"/>
    <x v="482"/>
    <x v="0"/>
    <x v="5"/>
  </r>
  <r>
    <x v="0"/>
    <x v="485"/>
    <x v="483"/>
    <x v="0"/>
    <x v="5"/>
  </r>
  <r>
    <x v="0"/>
    <x v="486"/>
    <x v="484"/>
    <x v="0"/>
    <x v="5"/>
  </r>
  <r>
    <x v="0"/>
    <x v="487"/>
    <x v="485"/>
    <x v="0"/>
    <x v="5"/>
  </r>
  <r>
    <x v="0"/>
    <x v="488"/>
    <x v="486"/>
    <x v="0"/>
    <x v="5"/>
  </r>
  <r>
    <x v="0"/>
    <x v="489"/>
    <x v="487"/>
    <x v="0"/>
    <x v="5"/>
  </r>
  <r>
    <x v="0"/>
    <x v="490"/>
    <x v="488"/>
    <x v="0"/>
    <x v="5"/>
  </r>
  <r>
    <x v="0"/>
    <x v="491"/>
    <x v="489"/>
    <x v="0"/>
    <x v="5"/>
  </r>
  <r>
    <x v="0"/>
    <x v="492"/>
    <x v="490"/>
    <x v="0"/>
    <x v="5"/>
  </r>
  <r>
    <x v="0"/>
    <x v="493"/>
    <x v="491"/>
    <x v="0"/>
    <x v="5"/>
  </r>
  <r>
    <x v="0"/>
    <x v="494"/>
    <x v="492"/>
    <x v="0"/>
    <x v="2"/>
  </r>
  <r>
    <x v="0"/>
    <x v="495"/>
    <x v="493"/>
    <x v="0"/>
    <x v="2"/>
  </r>
  <r>
    <x v="0"/>
    <x v="496"/>
    <x v="494"/>
    <x v="0"/>
    <x v="5"/>
  </r>
  <r>
    <x v="0"/>
    <x v="497"/>
    <x v="495"/>
    <x v="0"/>
    <x v="5"/>
  </r>
  <r>
    <x v="0"/>
    <x v="498"/>
    <x v="496"/>
    <x v="0"/>
    <x v="5"/>
  </r>
  <r>
    <x v="0"/>
    <x v="499"/>
    <x v="497"/>
    <x v="0"/>
    <x v="5"/>
  </r>
  <r>
    <x v="0"/>
    <x v="500"/>
    <x v="498"/>
    <x v="0"/>
    <x v="0"/>
  </r>
  <r>
    <x v="0"/>
    <x v="501"/>
    <x v="499"/>
    <x v="0"/>
    <x v="2"/>
  </r>
  <r>
    <x v="0"/>
    <x v="502"/>
    <x v="500"/>
    <x v="0"/>
    <x v="1"/>
  </r>
  <r>
    <x v="0"/>
    <x v="503"/>
    <x v="501"/>
    <x v="0"/>
    <x v="1"/>
  </r>
  <r>
    <x v="0"/>
    <x v="504"/>
    <x v="502"/>
    <x v="0"/>
    <x v="1"/>
  </r>
  <r>
    <x v="0"/>
    <x v="505"/>
    <x v="503"/>
    <x v="0"/>
    <x v="0"/>
  </r>
  <r>
    <x v="0"/>
    <x v="506"/>
    <x v="504"/>
    <x v="0"/>
    <x v="0"/>
  </r>
  <r>
    <x v="0"/>
    <x v="507"/>
    <x v="505"/>
    <x v="0"/>
    <x v="0"/>
  </r>
  <r>
    <x v="0"/>
    <x v="508"/>
    <x v="506"/>
    <x v="0"/>
    <x v="0"/>
  </r>
  <r>
    <x v="0"/>
    <x v="509"/>
    <x v="507"/>
    <x v="0"/>
    <x v="0"/>
  </r>
  <r>
    <x v="0"/>
    <x v="510"/>
    <x v="508"/>
    <x v="0"/>
    <x v="5"/>
  </r>
  <r>
    <x v="0"/>
    <x v="511"/>
    <x v="509"/>
    <x v="0"/>
    <x v="5"/>
  </r>
  <r>
    <x v="0"/>
    <x v="512"/>
    <x v="510"/>
    <x v="0"/>
    <x v="5"/>
  </r>
  <r>
    <x v="0"/>
    <x v="513"/>
    <x v="511"/>
    <x v="0"/>
    <x v="5"/>
  </r>
  <r>
    <x v="0"/>
    <x v="514"/>
    <x v="512"/>
    <x v="0"/>
    <x v="1"/>
  </r>
  <r>
    <x v="0"/>
    <x v="515"/>
    <x v="513"/>
    <x v="0"/>
    <x v="1"/>
  </r>
  <r>
    <x v="0"/>
    <x v="516"/>
    <x v="514"/>
    <x v="0"/>
    <x v="1"/>
  </r>
  <r>
    <x v="0"/>
    <x v="517"/>
    <x v="515"/>
    <x v="0"/>
    <x v="0"/>
  </r>
  <r>
    <x v="0"/>
    <x v="518"/>
    <x v="516"/>
    <x v="0"/>
    <x v="1"/>
  </r>
  <r>
    <x v="0"/>
    <x v="519"/>
    <x v="517"/>
    <x v="0"/>
    <x v="1"/>
  </r>
  <r>
    <x v="0"/>
    <x v="520"/>
    <x v="518"/>
    <x v="0"/>
    <x v="1"/>
  </r>
  <r>
    <x v="0"/>
    <x v="521"/>
    <x v="519"/>
    <x v="0"/>
    <x v="0"/>
  </r>
  <r>
    <x v="0"/>
    <x v="522"/>
    <x v="520"/>
    <x v="0"/>
    <x v="2"/>
  </r>
  <r>
    <x v="0"/>
    <x v="523"/>
    <x v="521"/>
    <x v="0"/>
    <x v="1"/>
  </r>
  <r>
    <x v="0"/>
    <x v="524"/>
    <x v="522"/>
    <x v="0"/>
    <x v="1"/>
  </r>
  <r>
    <x v="0"/>
    <x v="525"/>
    <x v="523"/>
    <x v="0"/>
    <x v="1"/>
  </r>
  <r>
    <x v="0"/>
    <x v="526"/>
    <x v="524"/>
    <x v="0"/>
    <x v="4"/>
  </r>
  <r>
    <x v="0"/>
    <x v="527"/>
    <x v="525"/>
    <x v="0"/>
    <x v="0"/>
  </r>
  <r>
    <x v="0"/>
    <x v="528"/>
    <x v="526"/>
    <x v="0"/>
    <x v="1"/>
  </r>
  <r>
    <x v="0"/>
    <x v="529"/>
    <x v="527"/>
    <x v="0"/>
    <x v="1"/>
  </r>
  <r>
    <x v="0"/>
    <x v="530"/>
    <x v="528"/>
    <x v="0"/>
    <x v="1"/>
  </r>
  <r>
    <x v="0"/>
    <x v="531"/>
    <x v="529"/>
    <x v="0"/>
    <x v="0"/>
  </r>
  <r>
    <x v="0"/>
    <x v="532"/>
    <x v="530"/>
    <x v="0"/>
    <x v="0"/>
  </r>
  <r>
    <x v="0"/>
    <x v="533"/>
    <x v="531"/>
    <x v="0"/>
    <x v="0"/>
  </r>
  <r>
    <x v="0"/>
    <x v="534"/>
    <x v="532"/>
    <x v="0"/>
    <x v="0"/>
  </r>
  <r>
    <x v="0"/>
    <x v="535"/>
    <x v="533"/>
    <x v="0"/>
    <x v="1"/>
  </r>
  <r>
    <x v="0"/>
    <x v="536"/>
    <x v="534"/>
    <x v="0"/>
    <x v="1"/>
  </r>
  <r>
    <x v="0"/>
    <x v="537"/>
    <x v="535"/>
    <x v="0"/>
    <x v="1"/>
  </r>
  <r>
    <x v="0"/>
    <x v="538"/>
    <x v="536"/>
    <x v="0"/>
    <x v="0"/>
  </r>
  <r>
    <x v="0"/>
    <x v="539"/>
    <x v="537"/>
    <x v="0"/>
    <x v="0"/>
  </r>
  <r>
    <x v="0"/>
    <x v="540"/>
    <x v="538"/>
    <x v="0"/>
    <x v="3"/>
  </r>
  <r>
    <x v="0"/>
    <x v="541"/>
    <x v="539"/>
    <x v="0"/>
    <x v="1"/>
  </r>
  <r>
    <x v="0"/>
    <x v="542"/>
    <x v="540"/>
    <x v="0"/>
    <x v="1"/>
  </r>
  <r>
    <x v="0"/>
    <x v="543"/>
    <x v="541"/>
    <x v="0"/>
    <x v="1"/>
  </r>
  <r>
    <x v="0"/>
    <x v="544"/>
    <x v="542"/>
    <x v="0"/>
    <x v="0"/>
  </r>
  <r>
    <x v="0"/>
    <x v="545"/>
    <x v="543"/>
    <x v="0"/>
    <x v="0"/>
  </r>
  <r>
    <x v="0"/>
    <x v="546"/>
    <x v="544"/>
    <x v="0"/>
    <x v="3"/>
  </r>
  <r>
    <x v="0"/>
    <x v="547"/>
    <x v="545"/>
    <x v="0"/>
    <x v="0"/>
  </r>
  <r>
    <x v="0"/>
    <x v="548"/>
    <x v="546"/>
    <x v="0"/>
    <x v="0"/>
  </r>
  <r>
    <x v="0"/>
    <x v="549"/>
    <x v="547"/>
    <x v="0"/>
    <x v="0"/>
  </r>
  <r>
    <x v="0"/>
    <x v="550"/>
    <x v="548"/>
    <x v="0"/>
    <x v="0"/>
  </r>
  <r>
    <x v="0"/>
    <x v="551"/>
    <x v="549"/>
    <x v="0"/>
    <x v="0"/>
  </r>
  <r>
    <x v="0"/>
    <x v="552"/>
    <x v="550"/>
    <x v="0"/>
    <x v="0"/>
  </r>
  <r>
    <x v="0"/>
    <x v="553"/>
    <x v="551"/>
    <x v="0"/>
    <x v="2"/>
  </r>
  <r>
    <x v="0"/>
    <x v="554"/>
    <x v="552"/>
    <x v="0"/>
    <x v="0"/>
  </r>
  <r>
    <x v="0"/>
    <x v="555"/>
    <x v="553"/>
    <x v="0"/>
    <x v="4"/>
  </r>
  <r>
    <x v="0"/>
    <x v="556"/>
    <x v="554"/>
    <x v="0"/>
    <x v="0"/>
  </r>
  <r>
    <x v="0"/>
    <x v="557"/>
    <x v="555"/>
    <x v="0"/>
    <x v="0"/>
  </r>
  <r>
    <x v="0"/>
    <x v="558"/>
    <x v="556"/>
    <x v="0"/>
    <x v="0"/>
  </r>
  <r>
    <x v="0"/>
    <x v="559"/>
    <x v="557"/>
    <x v="0"/>
    <x v="0"/>
  </r>
  <r>
    <x v="0"/>
    <x v="560"/>
    <x v="558"/>
    <x v="0"/>
    <x v="0"/>
  </r>
  <r>
    <x v="0"/>
    <x v="561"/>
    <x v="559"/>
    <x v="0"/>
    <x v="0"/>
  </r>
  <r>
    <x v="0"/>
    <x v="562"/>
    <x v="560"/>
    <x v="0"/>
    <x v="0"/>
  </r>
  <r>
    <x v="0"/>
    <x v="563"/>
    <x v="561"/>
    <x v="0"/>
    <x v="0"/>
  </r>
  <r>
    <x v="0"/>
    <x v="564"/>
    <x v="562"/>
    <x v="0"/>
    <x v="5"/>
  </r>
  <r>
    <x v="0"/>
    <x v="565"/>
    <x v="563"/>
    <x v="0"/>
    <x v="5"/>
  </r>
  <r>
    <x v="0"/>
    <x v="566"/>
    <x v="564"/>
    <x v="0"/>
    <x v="5"/>
  </r>
  <r>
    <x v="0"/>
    <x v="567"/>
    <x v="565"/>
    <x v="0"/>
    <x v="5"/>
  </r>
  <r>
    <x v="0"/>
    <x v="568"/>
    <x v="566"/>
    <x v="0"/>
    <x v="5"/>
  </r>
  <r>
    <x v="0"/>
    <x v="569"/>
    <x v="567"/>
    <x v="0"/>
    <x v="5"/>
  </r>
  <r>
    <x v="0"/>
    <x v="570"/>
    <x v="568"/>
    <x v="0"/>
    <x v="5"/>
  </r>
  <r>
    <x v="0"/>
    <x v="571"/>
    <x v="569"/>
    <x v="0"/>
    <x v="5"/>
  </r>
  <r>
    <x v="0"/>
    <x v="572"/>
    <x v="570"/>
    <x v="0"/>
    <x v="5"/>
  </r>
  <r>
    <x v="0"/>
    <x v="573"/>
    <x v="571"/>
    <x v="0"/>
    <x v="5"/>
  </r>
  <r>
    <x v="0"/>
    <x v="574"/>
    <x v="572"/>
    <x v="0"/>
    <x v="5"/>
  </r>
  <r>
    <x v="0"/>
    <x v="575"/>
    <x v="573"/>
    <x v="0"/>
    <x v="5"/>
  </r>
  <r>
    <x v="0"/>
    <x v="576"/>
    <x v="574"/>
    <x v="0"/>
    <x v="5"/>
  </r>
  <r>
    <x v="0"/>
    <x v="577"/>
    <x v="575"/>
    <x v="0"/>
    <x v="5"/>
  </r>
  <r>
    <x v="0"/>
    <x v="578"/>
    <x v="576"/>
    <x v="0"/>
    <x v="5"/>
  </r>
  <r>
    <x v="0"/>
    <x v="579"/>
    <x v="577"/>
    <x v="0"/>
    <x v="5"/>
  </r>
  <r>
    <x v="0"/>
    <x v="580"/>
    <x v="578"/>
    <x v="0"/>
    <x v="5"/>
  </r>
  <r>
    <x v="0"/>
    <x v="581"/>
    <x v="579"/>
    <x v="0"/>
    <x v="5"/>
  </r>
  <r>
    <x v="0"/>
    <x v="582"/>
    <x v="580"/>
    <x v="0"/>
    <x v="5"/>
  </r>
  <r>
    <x v="0"/>
    <x v="583"/>
    <x v="581"/>
    <x v="0"/>
    <x v="5"/>
  </r>
  <r>
    <x v="0"/>
    <x v="584"/>
    <x v="582"/>
    <x v="0"/>
    <x v="5"/>
  </r>
  <r>
    <x v="0"/>
    <x v="585"/>
    <x v="583"/>
    <x v="0"/>
    <x v="5"/>
  </r>
  <r>
    <x v="0"/>
    <x v="586"/>
    <x v="584"/>
    <x v="0"/>
    <x v="5"/>
  </r>
  <r>
    <x v="0"/>
    <x v="587"/>
    <x v="585"/>
    <x v="0"/>
    <x v="5"/>
  </r>
  <r>
    <x v="0"/>
    <x v="588"/>
    <x v="586"/>
    <x v="0"/>
    <x v="5"/>
  </r>
  <r>
    <x v="0"/>
    <x v="589"/>
    <x v="587"/>
    <x v="0"/>
    <x v="5"/>
  </r>
  <r>
    <x v="0"/>
    <x v="590"/>
    <x v="588"/>
    <x v="0"/>
    <x v="5"/>
  </r>
  <r>
    <x v="0"/>
    <x v="591"/>
    <x v="589"/>
    <x v="0"/>
    <x v="5"/>
  </r>
  <r>
    <x v="0"/>
    <x v="592"/>
    <x v="590"/>
    <x v="0"/>
    <x v="5"/>
  </r>
  <r>
    <x v="0"/>
    <x v="593"/>
    <x v="591"/>
    <x v="0"/>
    <x v="5"/>
  </r>
  <r>
    <x v="0"/>
    <x v="594"/>
    <x v="592"/>
    <x v="0"/>
    <x v="5"/>
  </r>
  <r>
    <x v="0"/>
    <x v="595"/>
    <x v="593"/>
    <x v="0"/>
    <x v="5"/>
  </r>
  <r>
    <x v="0"/>
    <x v="596"/>
    <x v="594"/>
    <x v="0"/>
    <x v="5"/>
  </r>
  <r>
    <x v="0"/>
    <x v="597"/>
    <x v="595"/>
    <x v="0"/>
    <x v="5"/>
  </r>
  <r>
    <x v="0"/>
    <x v="598"/>
    <x v="596"/>
    <x v="0"/>
    <x v="5"/>
  </r>
  <r>
    <x v="0"/>
    <x v="599"/>
    <x v="597"/>
    <x v="0"/>
    <x v="5"/>
  </r>
  <r>
    <x v="0"/>
    <x v="600"/>
    <x v="598"/>
    <x v="0"/>
    <x v="5"/>
  </r>
  <r>
    <x v="0"/>
    <x v="601"/>
    <x v="599"/>
    <x v="0"/>
    <x v="5"/>
  </r>
  <r>
    <x v="0"/>
    <x v="602"/>
    <x v="600"/>
    <x v="0"/>
    <x v="5"/>
  </r>
  <r>
    <x v="0"/>
    <x v="603"/>
    <x v="601"/>
    <x v="0"/>
    <x v="5"/>
  </r>
  <r>
    <x v="0"/>
    <x v="604"/>
    <x v="602"/>
    <x v="0"/>
    <x v="5"/>
  </r>
  <r>
    <x v="0"/>
    <x v="605"/>
    <x v="603"/>
    <x v="0"/>
    <x v="2"/>
  </r>
  <r>
    <x v="0"/>
    <x v="606"/>
    <x v="604"/>
    <x v="0"/>
    <x v="2"/>
  </r>
  <r>
    <x v="0"/>
    <x v="607"/>
    <x v="605"/>
    <x v="0"/>
    <x v="2"/>
  </r>
  <r>
    <x v="0"/>
    <x v="608"/>
    <x v="606"/>
    <x v="0"/>
    <x v="2"/>
  </r>
  <r>
    <x v="0"/>
    <x v="609"/>
    <x v="607"/>
    <x v="0"/>
    <x v="3"/>
  </r>
  <r>
    <x v="0"/>
    <x v="610"/>
    <x v="608"/>
    <x v="0"/>
    <x v="3"/>
  </r>
  <r>
    <x v="0"/>
    <x v="611"/>
    <x v="609"/>
    <x v="0"/>
    <x v="3"/>
  </r>
  <r>
    <x v="0"/>
    <x v="612"/>
    <x v="610"/>
    <x v="0"/>
    <x v="3"/>
  </r>
  <r>
    <x v="0"/>
    <x v="613"/>
    <x v="611"/>
    <x v="0"/>
    <x v="3"/>
  </r>
  <r>
    <x v="0"/>
    <x v="614"/>
    <x v="612"/>
    <x v="0"/>
    <x v="1"/>
  </r>
  <r>
    <x v="0"/>
    <x v="615"/>
    <x v="613"/>
    <x v="0"/>
    <x v="1"/>
  </r>
  <r>
    <x v="0"/>
    <x v="616"/>
    <x v="614"/>
    <x v="0"/>
    <x v="1"/>
  </r>
  <r>
    <x v="0"/>
    <x v="617"/>
    <x v="615"/>
    <x v="0"/>
    <x v="1"/>
  </r>
  <r>
    <x v="0"/>
    <x v="618"/>
    <x v="616"/>
    <x v="0"/>
    <x v="1"/>
  </r>
  <r>
    <x v="0"/>
    <x v="619"/>
    <x v="617"/>
    <x v="0"/>
    <x v="1"/>
  </r>
  <r>
    <x v="0"/>
    <x v="620"/>
    <x v="618"/>
    <x v="0"/>
    <x v="1"/>
  </r>
  <r>
    <x v="0"/>
    <x v="621"/>
    <x v="619"/>
    <x v="0"/>
    <x v="1"/>
  </r>
  <r>
    <x v="0"/>
    <x v="622"/>
    <x v="620"/>
    <x v="0"/>
    <x v="1"/>
  </r>
  <r>
    <x v="0"/>
    <x v="623"/>
    <x v="621"/>
    <x v="0"/>
    <x v="1"/>
  </r>
  <r>
    <x v="0"/>
    <x v="624"/>
    <x v="622"/>
    <x v="0"/>
    <x v="1"/>
  </r>
  <r>
    <x v="0"/>
    <x v="625"/>
    <x v="623"/>
    <x v="0"/>
    <x v="1"/>
  </r>
  <r>
    <x v="0"/>
    <x v="626"/>
    <x v="621"/>
    <x v="0"/>
    <x v="1"/>
  </r>
  <r>
    <x v="0"/>
    <x v="627"/>
    <x v="622"/>
    <x v="0"/>
    <x v="1"/>
  </r>
  <r>
    <x v="0"/>
    <x v="628"/>
    <x v="623"/>
    <x v="0"/>
    <x v="1"/>
  </r>
  <r>
    <x v="0"/>
    <x v="629"/>
    <x v="624"/>
    <x v="0"/>
    <x v="1"/>
  </r>
  <r>
    <x v="0"/>
    <x v="630"/>
    <x v="625"/>
    <x v="0"/>
    <x v="1"/>
  </r>
  <r>
    <x v="0"/>
    <x v="631"/>
    <x v="626"/>
    <x v="0"/>
    <x v="1"/>
  </r>
  <r>
    <x v="0"/>
    <x v="632"/>
    <x v="624"/>
    <x v="0"/>
    <x v="1"/>
  </r>
  <r>
    <x v="0"/>
    <x v="633"/>
    <x v="627"/>
    <x v="0"/>
    <x v="5"/>
  </r>
  <r>
    <x v="0"/>
    <x v="634"/>
    <x v="628"/>
    <x v="0"/>
    <x v="5"/>
  </r>
  <r>
    <x v="0"/>
    <x v="635"/>
    <x v="629"/>
    <x v="0"/>
    <x v="5"/>
  </r>
  <r>
    <x v="0"/>
    <x v="636"/>
    <x v="630"/>
    <x v="0"/>
    <x v="5"/>
  </r>
  <r>
    <x v="0"/>
    <x v="637"/>
    <x v="631"/>
    <x v="0"/>
    <x v="5"/>
  </r>
  <r>
    <x v="0"/>
    <x v="638"/>
    <x v="632"/>
    <x v="0"/>
    <x v="5"/>
  </r>
  <r>
    <x v="0"/>
    <x v="639"/>
    <x v="633"/>
    <x v="0"/>
    <x v="5"/>
  </r>
  <r>
    <x v="0"/>
    <x v="640"/>
    <x v="634"/>
    <x v="0"/>
    <x v="5"/>
  </r>
  <r>
    <x v="0"/>
    <x v="641"/>
    <x v="635"/>
    <x v="0"/>
    <x v="5"/>
  </r>
  <r>
    <x v="0"/>
    <x v="642"/>
    <x v="636"/>
    <x v="0"/>
    <x v="5"/>
  </r>
  <r>
    <x v="0"/>
    <x v="643"/>
    <x v="637"/>
    <x v="0"/>
    <x v="5"/>
  </r>
  <r>
    <x v="0"/>
    <x v="644"/>
    <x v="638"/>
    <x v="0"/>
    <x v="5"/>
  </r>
  <r>
    <x v="0"/>
    <x v="645"/>
    <x v="639"/>
    <x v="0"/>
    <x v="5"/>
  </r>
  <r>
    <x v="0"/>
    <x v="646"/>
    <x v="640"/>
    <x v="0"/>
    <x v="2"/>
  </r>
  <r>
    <x v="0"/>
    <x v="647"/>
    <x v="641"/>
    <x v="0"/>
    <x v="5"/>
  </r>
  <r>
    <x v="0"/>
    <x v="648"/>
    <x v="642"/>
    <x v="0"/>
    <x v="5"/>
  </r>
  <r>
    <x v="0"/>
    <x v="649"/>
    <x v="643"/>
    <x v="0"/>
    <x v="5"/>
  </r>
  <r>
    <x v="0"/>
    <x v="650"/>
    <x v="644"/>
    <x v="0"/>
    <x v="5"/>
  </r>
  <r>
    <x v="0"/>
    <x v="651"/>
    <x v="645"/>
    <x v="0"/>
    <x v="5"/>
  </r>
  <r>
    <x v="0"/>
    <x v="652"/>
    <x v="646"/>
    <x v="0"/>
    <x v="5"/>
  </r>
  <r>
    <x v="0"/>
    <x v="653"/>
    <x v="647"/>
    <x v="0"/>
    <x v="5"/>
  </r>
  <r>
    <x v="0"/>
    <x v="654"/>
    <x v="648"/>
    <x v="0"/>
    <x v="2"/>
  </r>
  <r>
    <x v="0"/>
    <x v="655"/>
    <x v="649"/>
    <x v="0"/>
    <x v="0"/>
  </r>
  <r>
    <x v="0"/>
    <x v="656"/>
    <x v="650"/>
    <x v="0"/>
    <x v="0"/>
  </r>
  <r>
    <x v="0"/>
    <x v="657"/>
    <x v="651"/>
    <x v="0"/>
    <x v="0"/>
  </r>
  <r>
    <x v="0"/>
    <x v="658"/>
    <x v="652"/>
    <x v="0"/>
    <x v="0"/>
  </r>
  <r>
    <x v="0"/>
    <x v="659"/>
    <x v="653"/>
    <x v="0"/>
    <x v="0"/>
  </r>
  <r>
    <x v="0"/>
    <x v="660"/>
    <x v="654"/>
    <x v="0"/>
    <x v="0"/>
  </r>
  <r>
    <x v="0"/>
    <x v="661"/>
    <x v="655"/>
    <x v="0"/>
    <x v="1"/>
  </r>
  <r>
    <x v="0"/>
    <x v="662"/>
    <x v="656"/>
    <x v="0"/>
    <x v="1"/>
  </r>
  <r>
    <x v="0"/>
    <x v="663"/>
    <x v="655"/>
    <x v="0"/>
    <x v="1"/>
  </r>
  <r>
    <x v="0"/>
    <x v="664"/>
    <x v="656"/>
    <x v="0"/>
    <x v="1"/>
  </r>
  <r>
    <x v="0"/>
    <x v="665"/>
    <x v="657"/>
    <x v="0"/>
    <x v="1"/>
  </r>
  <r>
    <x v="0"/>
    <x v="666"/>
    <x v="658"/>
    <x v="0"/>
    <x v="1"/>
  </r>
  <r>
    <x v="0"/>
    <x v="667"/>
    <x v="659"/>
    <x v="0"/>
    <x v="1"/>
  </r>
  <r>
    <x v="0"/>
    <x v="668"/>
    <x v="660"/>
    <x v="0"/>
    <x v="5"/>
  </r>
  <r>
    <x v="0"/>
    <x v="669"/>
    <x v="661"/>
    <x v="0"/>
    <x v="5"/>
  </r>
  <r>
    <x v="0"/>
    <x v="670"/>
    <x v="662"/>
    <x v="0"/>
    <x v="5"/>
  </r>
  <r>
    <x v="0"/>
    <x v="671"/>
    <x v="663"/>
    <x v="0"/>
    <x v="5"/>
  </r>
  <r>
    <x v="0"/>
    <x v="672"/>
    <x v="664"/>
    <x v="0"/>
    <x v="5"/>
  </r>
  <r>
    <x v="0"/>
    <x v="673"/>
    <x v="665"/>
    <x v="0"/>
    <x v="5"/>
  </r>
  <r>
    <x v="0"/>
    <x v="674"/>
    <x v="666"/>
    <x v="0"/>
    <x v="5"/>
  </r>
  <r>
    <x v="0"/>
    <x v="675"/>
    <x v="667"/>
    <x v="0"/>
    <x v="5"/>
  </r>
  <r>
    <x v="0"/>
    <x v="676"/>
    <x v="668"/>
    <x v="0"/>
    <x v="5"/>
  </r>
  <r>
    <x v="0"/>
    <x v="677"/>
    <x v="669"/>
    <x v="0"/>
    <x v="5"/>
  </r>
  <r>
    <x v="0"/>
    <x v="678"/>
    <x v="670"/>
    <x v="0"/>
    <x v="5"/>
  </r>
  <r>
    <x v="0"/>
    <x v="679"/>
    <x v="671"/>
    <x v="0"/>
    <x v="5"/>
  </r>
  <r>
    <x v="0"/>
    <x v="680"/>
    <x v="672"/>
    <x v="0"/>
    <x v="5"/>
  </r>
  <r>
    <x v="0"/>
    <x v="681"/>
    <x v="673"/>
    <x v="0"/>
    <x v="5"/>
  </r>
  <r>
    <x v="0"/>
    <x v="682"/>
    <x v="674"/>
    <x v="0"/>
    <x v="5"/>
  </r>
  <r>
    <x v="0"/>
    <x v="683"/>
    <x v="675"/>
    <x v="0"/>
    <x v="5"/>
  </r>
  <r>
    <x v="0"/>
    <x v="684"/>
    <x v="676"/>
    <x v="0"/>
    <x v="5"/>
  </r>
  <r>
    <x v="0"/>
    <x v="685"/>
    <x v="677"/>
    <x v="0"/>
    <x v="5"/>
  </r>
  <r>
    <x v="0"/>
    <x v="686"/>
    <x v="678"/>
    <x v="0"/>
    <x v="5"/>
  </r>
  <r>
    <x v="0"/>
    <x v="687"/>
    <x v="679"/>
    <x v="0"/>
    <x v="5"/>
  </r>
  <r>
    <x v="0"/>
    <x v="688"/>
    <x v="680"/>
    <x v="0"/>
    <x v="5"/>
  </r>
  <r>
    <x v="0"/>
    <x v="689"/>
    <x v="681"/>
    <x v="0"/>
    <x v="5"/>
  </r>
  <r>
    <x v="0"/>
    <x v="690"/>
    <x v="682"/>
    <x v="0"/>
    <x v="5"/>
  </r>
  <r>
    <x v="0"/>
    <x v="691"/>
    <x v="683"/>
    <x v="0"/>
    <x v="5"/>
  </r>
  <r>
    <x v="0"/>
    <x v="692"/>
    <x v="684"/>
    <x v="0"/>
    <x v="5"/>
  </r>
  <r>
    <x v="0"/>
    <x v="693"/>
    <x v="685"/>
    <x v="0"/>
    <x v="5"/>
  </r>
  <r>
    <x v="0"/>
    <x v="694"/>
    <x v="686"/>
    <x v="0"/>
    <x v="5"/>
  </r>
  <r>
    <x v="0"/>
    <x v="695"/>
    <x v="687"/>
    <x v="0"/>
    <x v="5"/>
  </r>
  <r>
    <x v="0"/>
    <x v="696"/>
    <x v="688"/>
    <x v="0"/>
    <x v="5"/>
  </r>
  <r>
    <x v="0"/>
    <x v="697"/>
    <x v="689"/>
    <x v="0"/>
    <x v="5"/>
  </r>
  <r>
    <x v="0"/>
    <x v="698"/>
    <x v="690"/>
    <x v="0"/>
    <x v="5"/>
  </r>
  <r>
    <x v="0"/>
    <x v="699"/>
    <x v="691"/>
    <x v="0"/>
    <x v="5"/>
  </r>
  <r>
    <x v="0"/>
    <x v="700"/>
    <x v="692"/>
    <x v="0"/>
    <x v="5"/>
  </r>
  <r>
    <x v="0"/>
    <x v="701"/>
    <x v="693"/>
    <x v="0"/>
    <x v="5"/>
  </r>
  <r>
    <x v="0"/>
    <x v="702"/>
    <x v="694"/>
    <x v="0"/>
    <x v="5"/>
  </r>
  <r>
    <x v="0"/>
    <x v="703"/>
    <x v="695"/>
    <x v="0"/>
    <x v="5"/>
  </r>
  <r>
    <x v="0"/>
    <x v="704"/>
    <x v="696"/>
    <x v="0"/>
    <x v="5"/>
  </r>
  <r>
    <x v="0"/>
    <x v="705"/>
    <x v="697"/>
    <x v="0"/>
    <x v="5"/>
  </r>
  <r>
    <x v="0"/>
    <x v="706"/>
    <x v="698"/>
    <x v="0"/>
    <x v="5"/>
  </r>
  <r>
    <x v="0"/>
    <x v="707"/>
    <x v="699"/>
    <x v="0"/>
    <x v="5"/>
  </r>
  <r>
    <x v="0"/>
    <x v="708"/>
    <x v="700"/>
    <x v="0"/>
    <x v="5"/>
  </r>
  <r>
    <x v="0"/>
    <x v="709"/>
    <x v="701"/>
    <x v="0"/>
    <x v="5"/>
  </r>
  <r>
    <x v="0"/>
    <x v="710"/>
    <x v="702"/>
    <x v="0"/>
    <x v="5"/>
  </r>
  <r>
    <x v="0"/>
    <x v="711"/>
    <x v="703"/>
    <x v="0"/>
    <x v="5"/>
  </r>
  <r>
    <x v="0"/>
    <x v="712"/>
    <x v="704"/>
    <x v="0"/>
    <x v="5"/>
  </r>
  <r>
    <x v="0"/>
    <x v="713"/>
    <x v="705"/>
    <x v="0"/>
    <x v="5"/>
  </r>
  <r>
    <x v="0"/>
    <x v="714"/>
    <x v="706"/>
    <x v="0"/>
    <x v="5"/>
  </r>
  <r>
    <x v="0"/>
    <x v="715"/>
    <x v="707"/>
    <x v="0"/>
    <x v="5"/>
  </r>
  <r>
    <x v="0"/>
    <x v="716"/>
    <x v="708"/>
    <x v="0"/>
    <x v="5"/>
  </r>
  <r>
    <x v="0"/>
    <x v="717"/>
    <x v="709"/>
    <x v="0"/>
    <x v="5"/>
  </r>
  <r>
    <x v="0"/>
    <x v="718"/>
    <x v="710"/>
    <x v="0"/>
    <x v="5"/>
  </r>
  <r>
    <x v="0"/>
    <x v="719"/>
    <x v="711"/>
    <x v="0"/>
    <x v="5"/>
  </r>
  <r>
    <x v="0"/>
    <x v="720"/>
    <x v="712"/>
    <x v="0"/>
    <x v="5"/>
  </r>
  <r>
    <x v="0"/>
    <x v="721"/>
    <x v="713"/>
    <x v="0"/>
    <x v="5"/>
  </r>
  <r>
    <x v="0"/>
    <x v="722"/>
    <x v="714"/>
    <x v="0"/>
    <x v="5"/>
  </r>
  <r>
    <x v="0"/>
    <x v="723"/>
    <x v="715"/>
    <x v="0"/>
    <x v="5"/>
  </r>
  <r>
    <x v="0"/>
    <x v="724"/>
    <x v="716"/>
    <x v="0"/>
    <x v="0"/>
  </r>
  <r>
    <x v="0"/>
    <x v="725"/>
    <x v="717"/>
    <x v="0"/>
    <x v="0"/>
  </r>
  <r>
    <x v="0"/>
    <x v="726"/>
    <x v="718"/>
    <x v="0"/>
    <x v="0"/>
  </r>
  <r>
    <x v="0"/>
    <x v="727"/>
    <x v="719"/>
    <x v="0"/>
    <x v="0"/>
  </r>
  <r>
    <x v="0"/>
    <x v="728"/>
    <x v="720"/>
    <x v="0"/>
    <x v="0"/>
  </r>
  <r>
    <x v="0"/>
    <x v="729"/>
    <x v="721"/>
    <x v="0"/>
    <x v="3"/>
  </r>
  <r>
    <x v="0"/>
    <x v="730"/>
    <x v="722"/>
    <x v="0"/>
    <x v="2"/>
  </r>
  <r>
    <x v="0"/>
    <x v="731"/>
    <x v="723"/>
    <x v="0"/>
    <x v="2"/>
  </r>
  <r>
    <x v="0"/>
    <x v="732"/>
    <x v="724"/>
    <x v="0"/>
    <x v="0"/>
  </r>
  <r>
    <x v="0"/>
    <x v="733"/>
    <x v="725"/>
    <x v="0"/>
    <x v="3"/>
  </r>
  <r>
    <x v="0"/>
    <x v="734"/>
    <x v="726"/>
    <x v="0"/>
    <x v="0"/>
  </r>
  <r>
    <x v="0"/>
    <x v="735"/>
    <x v="727"/>
    <x v="0"/>
    <x v="0"/>
  </r>
  <r>
    <x v="0"/>
    <x v="736"/>
    <x v="728"/>
    <x v="0"/>
    <x v="0"/>
  </r>
  <r>
    <x v="0"/>
    <x v="737"/>
    <x v="729"/>
    <x v="0"/>
    <x v="0"/>
  </r>
  <r>
    <x v="0"/>
    <x v="738"/>
    <x v="730"/>
    <x v="0"/>
    <x v="0"/>
  </r>
  <r>
    <x v="0"/>
    <x v="739"/>
    <x v="731"/>
    <x v="0"/>
    <x v="0"/>
  </r>
  <r>
    <x v="0"/>
    <x v="740"/>
    <x v="732"/>
    <x v="0"/>
    <x v="3"/>
  </r>
  <r>
    <x v="0"/>
    <x v="741"/>
    <x v="733"/>
    <x v="0"/>
    <x v="0"/>
  </r>
  <r>
    <x v="0"/>
    <x v="742"/>
    <x v="734"/>
    <x v="0"/>
    <x v="2"/>
  </r>
  <r>
    <x v="0"/>
    <x v="743"/>
    <x v="735"/>
    <x v="0"/>
    <x v="3"/>
  </r>
  <r>
    <x v="0"/>
    <x v="744"/>
    <x v="736"/>
    <x v="0"/>
    <x v="0"/>
  </r>
  <r>
    <x v="0"/>
    <x v="745"/>
    <x v="737"/>
    <x v="0"/>
    <x v="2"/>
  </r>
  <r>
    <x v="0"/>
    <x v="746"/>
    <x v="738"/>
    <x v="0"/>
    <x v="3"/>
  </r>
  <r>
    <x v="0"/>
    <x v="747"/>
    <x v="739"/>
    <x v="0"/>
    <x v="2"/>
  </r>
  <r>
    <x v="0"/>
    <x v="748"/>
    <x v="740"/>
    <x v="0"/>
    <x v="2"/>
  </r>
  <r>
    <x v="0"/>
    <x v="749"/>
    <x v="741"/>
    <x v="0"/>
    <x v="2"/>
  </r>
  <r>
    <x v="0"/>
    <x v="750"/>
    <x v="742"/>
    <x v="0"/>
    <x v="2"/>
  </r>
  <r>
    <x v="0"/>
    <x v="751"/>
    <x v="743"/>
    <x v="0"/>
    <x v="2"/>
  </r>
  <r>
    <x v="0"/>
    <x v="752"/>
    <x v="744"/>
    <x v="0"/>
    <x v="2"/>
  </r>
  <r>
    <x v="0"/>
    <x v="753"/>
    <x v="745"/>
    <x v="0"/>
    <x v="2"/>
  </r>
  <r>
    <x v="0"/>
    <x v="754"/>
    <x v="746"/>
    <x v="0"/>
    <x v="2"/>
  </r>
  <r>
    <x v="0"/>
    <x v="755"/>
    <x v="747"/>
    <x v="0"/>
    <x v="2"/>
  </r>
  <r>
    <x v="0"/>
    <x v="756"/>
    <x v="748"/>
    <x v="0"/>
    <x v="2"/>
  </r>
  <r>
    <x v="0"/>
    <x v="757"/>
    <x v="749"/>
    <x v="0"/>
    <x v="2"/>
  </r>
  <r>
    <x v="0"/>
    <x v="758"/>
    <x v="750"/>
    <x v="0"/>
    <x v="2"/>
  </r>
  <r>
    <x v="0"/>
    <x v="759"/>
    <x v="751"/>
    <x v="0"/>
    <x v="2"/>
  </r>
  <r>
    <x v="0"/>
    <x v="760"/>
    <x v="752"/>
    <x v="0"/>
    <x v="2"/>
  </r>
  <r>
    <x v="0"/>
    <x v="761"/>
    <x v="753"/>
    <x v="0"/>
    <x v="3"/>
  </r>
  <r>
    <x v="0"/>
    <x v="762"/>
    <x v="754"/>
    <x v="0"/>
    <x v="2"/>
  </r>
  <r>
    <x v="0"/>
    <x v="763"/>
    <x v="755"/>
    <x v="0"/>
    <x v="3"/>
  </r>
  <r>
    <x v="0"/>
    <x v="764"/>
    <x v="756"/>
    <x v="0"/>
    <x v="2"/>
  </r>
  <r>
    <x v="0"/>
    <x v="765"/>
    <x v="757"/>
    <x v="0"/>
    <x v="2"/>
  </r>
  <r>
    <x v="0"/>
    <x v="766"/>
    <x v="758"/>
    <x v="0"/>
    <x v="2"/>
  </r>
  <r>
    <x v="0"/>
    <x v="767"/>
    <x v="759"/>
    <x v="0"/>
    <x v="2"/>
  </r>
  <r>
    <x v="0"/>
    <x v="768"/>
    <x v="760"/>
    <x v="0"/>
    <x v="2"/>
  </r>
  <r>
    <x v="0"/>
    <x v="769"/>
    <x v="761"/>
    <x v="0"/>
    <x v="2"/>
  </r>
  <r>
    <x v="0"/>
    <x v="770"/>
    <x v="762"/>
    <x v="0"/>
    <x v="2"/>
  </r>
  <r>
    <x v="0"/>
    <x v="771"/>
    <x v="763"/>
    <x v="0"/>
    <x v="2"/>
  </r>
  <r>
    <x v="0"/>
    <x v="772"/>
    <x v="764"/>
    <x v="0"/>
    <x v="2"/>
  </r>
  <r>
    <x v="0"/>
    <x v="773"/>
    <x v="765"/>
    <x v="0"/>
    <x v="2"/>
  </r>
  <r>
    <x v="0"/>
    <x v="774"/>
    <x v="766"/>
    <x v="0"/>
    <x v="2"/>
  </r>
  <r>
    <x v="0"/>
    <x v="775"/>
    <x v="767"/>
    <x v="0"/>
    <x v="2"/>
  </r>
  <r>
    <x v="0"/>
    <x v="776"/>
    <x v="768"/>
    <x v="0"/>
    <x v="2"/>
  </r>
  <r>
    <x v="0"/>
    <x v="777"/>
    <x v="769"/>
    <x v="0"/>
    <x v="1"/>
  </r>
  <r>
    <x v="0"/>
    <x v="778"/>
    <x v="770"/>
    <x v="0"/>
    <x v="1"/>
  </r>
  <r>
    <x v="0"/>
    <x v="779"/>
    <x v="771"/>
    <x v="0"/>
    <x v="1"/>
  </r>
  <r>
    <x v="0"/>
    <x v="780"/>
    <x v="772"/>
    <x v="0"/>
    <x v="1"/>
  </r>
  <r>
    <x v="0"/>
    <x v="781"/>
    <x v="773"/>
    <x v="0"/>
    <x v="1"/>
  </r>
  <r>
    <x v="0"/>
    <x v="782"/>
    <x v="774"/>
    <x v="0"/>
    <x v="1"/>
  </r>
  <r>
    <x v="0"/>
    <x v="783"/>
    <x v="775"/>
    <x v="0"/>
    <x v="1"/>
  </r>
  <r>
    <x v="0"/>
    <x v="784"/>
    <x v="776"/>
    <x v="0"/>
    <x v="1"/>
  </r>
  <r>
    <x v="0"/>
    <x v="785"/>
    <x v="777"/>
    <x v="0"/>
    <x v="1"/>
  </r>
  <r>
    <x v="0"/>
    <x v="786"/>
    <x v="778"/>
    <x v="0"/>
    <x v="1"/>
  </r>
  <r>
    <x v="0"/>
    <x v="787"/>
    <x v="779"/>
    <x v="0"/>
    <x v="1"/>
  </r>
  <r>
    <x v="0"/>
    <x v="788"/>
    <x v="780"/>
    <x v="0"/>
    <x v="1"/>
  </r>
  <r>
    <x v="0"/>
    <x v="789"/>
    <x v="781"/>
    <x v="0"/>
    <x v="5"/>
  </r>
  <r>
    <x v="0"/>
    <x v="790"/>
    <x v="782"/>
    <x v="0"/>
    <x v="5"/>
  </r>
  <r>
    <x v="0"/>
    <x v="791"/>
    <x v="783"/>
    <x v="0"/>
    <x v="5"/>
  </r>
  <r>
    <x v="0"/>
    <x v="792"/>
    <x v="784"/>
    <x v="0"/>
    <x v="5"/>
  </r>
  <r>
    <x v="0"/>
    <x v="793"/>
    <x v="785"/>
    <x v="0"/>
    <x v="5"/>
  </r>
  <r>
    <x v="0"/>
    <x v="794"/>
    <x v="786"/>
    <x v="0"/>
    <x v="5"/>
  </r>
  <r>
    <x v="0"/>
    <x v="795"/>
    <x v="787"/>
    <x v="0"/>
    <x v="5"/>
  </r>
  <r>
    <x v="0"/>
    <x v="796"/>
    <x v="788"/>
    <x v="0"/>
    <x v="5"/>
  </r>
  <r>
    <x v="0"/>
    <x v="797"/>
    <x v="789"/>
    <x v="0"/>
    <x v="5"/>
  </r>
  <r>
    <x v="0"/>
    <x v="798"/>
    <x v="790"/>
    <x v="0"/>
    <x v="5"/>
  </r>
  <r>
    <x v="0"/>
    <x v="799"/>
    <x v="791"/>
    <x v="0"/>
    <x v="5"/>
  </r>
  <r>
    <x v="0"/>
    <x v="800"/>
    <x v="792"/>
    <x v="0"/>
    <x v="5"/>
  </r>
  <r>
    <x v="0"/>
    <x v="801"/>
    <x v="793"/>
    <x v="0"/>
    <x v="5"/>
  </r>
  <r>
    <x v="0"/>
    <x v="802"/>
    <x v="794"/>
    <x v="0"/>
    <x v="5"/>
  </r>
  <r>
    <x v="0"/>
    <x v="803"/>
    <x v="795"/>
    <x v="0"/>
    <x v="5"/>
  </r>
  <r>
    <x v="0"/>
    <x v="804"/>
    <x v="796"/>
    <x v="0"/>
    <x v="5"/>
  </r>
  <r>
    <x v="0"/>
    <x v="805"/>
    <x v="797"/>
    <x v="0"/>
    <x v="5"/>
  </r>
  <r>
    <x v="0"/>
    <x v="806"/>
    <x v="798"/>
    <x v="0"/>
    <x v="5"/>
  </r>
  <r>
    <x v="0"/>
    <x v="807"/>
    <x v="799"/>
    <x v="0"/>
    <x v="5"/>
  </r>
  <r>
    <x v="0"/>
    <x v="808"/>
    <x v="800"/>
    <x v="0"/>
    <x v="5"/>
  </r>
  <r>
    <x v="0"/>
    <x v="809"/>
    <x v="801"/>
    <x v="0"/>
    <x v="5"/>
  </r>
  <r>
    <x v="0"/>
    <x v="810"/>
    <x v="802"/>
    <x v="0"/>
    <x v="5"/>
  </r>
  <r>
    <x v="0"/>
    <x v="811"/>
    <x v="803"/>
    <x v="0"/>
    <x v="5"/>
  </r>
  <r>
    <x v="0"/>
    <x v="812"/>
    <x v="804"/>
    <x v="0"/>
    <x v="5"/>
  </r>
  <r>
    <x v="0"/>
    <x v="813"/>
    <x v="805"/>
    <x v="0"/>
    <x v="5"/>
  </r>
  <r>
    <x v="0"/>
    <x v="814"/>
    <x v="806"/>
    <x v="0"/>
    <x v="5"/>
  </r>
  <r>
    <x v="0"/>
    <x v="815"/>
    <x v="807"/>
    <x v="0"/>
    <x v="3"/>
  </r>
  <r>
    <x v="0"/>
    <x v="816"/>
    <x v="808"/>
    <x v="0"/>
    <x v="3"/>
  </r>
  <r>
    <x v="0"/>
    <x v="817"/>
    <x v="809"/>
    <x v="0"/>
    <x v="3"/>
  </r>
  <r>
    <x v="0"/>
    <x v="818"/>
    <x v="810"/>
    <x v="0"/>
    <x v="0"/>
  </r>
  <r>
    <x v="0"/>
    <x v="819"/>
    <x v="811"/>
    <x v="0"/>
    <x v="3"/>
  </r>
  <r>
    <x v="0"/>
    <x v="820"/>
    <x v="812"/>
    <x v="0"/>
    <x v="3"/>
  </r>
  <r>
    <x v="0"/>
    <x v="821"/>
    <x v="813"/>
    <x v="0"/>
    <x v="3"/>
  </r>
  <r>
    <x v="0"/>
    <x v="822"/>
    <x v="814"/>
    <x v="0"/>
    <x v="3"/>
  </r>
  <r>
    <x v="0"/>
    <x v="823"/>
    <x v="815"/>
    <x v="0"/>
    <x v="3"/>
  </r>
  <r>
    <x v="0"/>
    <x v="824"/>
    <x v="816"/>
    <x v="0"/>
    <x v="1"/>
  </r>
  <r>
    <x v="0"/>
    <x v="825"/>
    <x v="817"/>
    <x v="0"/>
    <x v="1"/>
  </r>
  <r>
    <x v="0"/>
    <x v="826"/>
    <x v="818"/>
    <x v="0"/>
    <x v="1"/>
  </r>
  <r>
    <x v="0"/>
    <x v="827"/>
    <x v="819"/>
    <x v="0"/>
    <x v="1"/>
  </r>
  <r>
    <x v="0"/>
    <x v="828"/>
    <x v="820"/>
    <x v="0"/>
    <x v="1"/>
  </r>
  <r>
    <x v="0"/>
    <x v="829"/>
    <x v="821"/>
    <x v="0"/>
    <x v="1"/>
  </r>
  <r>
    <x v="0"/>
    <x v="830"/>
    <x v="822"/>
    <x v="0"/>
    <x v="2"/>
  </r>
  <r>
    <x v="0"/>
    <x v="831"/>
    <x v="823"/>
    <x v="0"/>
    <x v="2"/>
  </r>
  <r>
    <x v="0"/>
    <x v="832"/>
    <x v="824"/>
    <x v="0"/>
    <x v="2"/>
  </r>
  <r>
    <x v="0"/>
    <x v="833"/>
    <x v="825"/>
    <x v="0"/>
    <x v="2"/>
  </r>
  <r>
    <x v="0"/>
    <x v="834"/>
    <x v="826"/>
    <x v="0"/>
    <x v="2"/>
  </r>
  <r>
    <x v="0"/>
    <x v="835"/>
    <x v="827"/>
    <x v="0"/>
    <x v="2"/>
  </r>
  <r>
    <x v="0"/>
    <x v="836"/>
    <x v="828"/>
    <x v="0"/>
    <x v="2"/>
  </r>
  <r>
    <x v="0"/>
    <x v="837"/>
    <x v="829"/>
    <x v="0"/>
    <x v="3"/>
  </r>
  <r>
    <x v="0"/>
    <x v="838"/>
    <x v="830"/>
    <x v="0"/>
    <x v="3"/>
  </r>
  <r>
    <x v="0"/>
    <x v="839"/>
    <x v="831"/>
    <x v="0"/>
    <x v="3"/>
  </r>
  <r>
    <x v="0"/>
    <x v="840"/>
    <x v="832"/>
    <x v="0"/>
    <x v="3"/>
  </r>
  <r>
    <x v="0"/>
    <x v="841"/>
    <x v="833"/>
    <x v="0"/>
    <x v="3"/>
  </r>
  <r>
    <x v="0"/>
    <x v="842"/>
    <x v="834"/>
    <x v="0"/>
    <x v="3"/>
  </r>
  <r>
    <x v="0"/>
    <x v="843"/>
    <x v="835"/>
    <x v="0"/>
    <x v="3"/>
  </r>
  <r>
    <x v="0"/>
    <x v="844"/>
    <x v="836"/>
    <x v="0"/>
    <x v="5"/>
  </r>
  <r>
    <x v="0"/>
    <x v="845"/>
    <x v="837"/>
    <x v="0"/>
    <x v="5"/>
  </r>
  <r>
    <x v="0"/>
    <x v="846"/>
    <x v="838"/>
    <x v="0"/>
    <x v="5"/>
  </r>
  <r>
    <x v="0"/>
    <x v="847"/>
    <x v="839"/>
    <x v="0"/>
    <x v="5"/>
  </r>
  <r>
    <x v="0"/>
    <x v="848"/>
    <x v="840"/>
    <x v="0"/>
    <x v="5"/>
  </r>
  <r>
    <x v="0"/>
    <x v="849"/>
    <x v="841"/>
    <x v="0"/>
    <x v="5"/>
  </r>
  <r>
    <x v="0"/>
    <x v="850"/>
    <x v="842"/>
    <x v="0"/>
    <x v="5"/>
  </r>
  <r>
    <x v="0"/>
    <x v="851"/>
    <x v="843"/>
    <x v="0"/>
    <x v="5"/>
  </r>
  <r>
    <x v="0"/>
    <x v="852"/>
    <x v="844"/>
    <x v="0"/>
    <x v="5"/>
  </r>
  <r>
    <x v="0"/>
    <x v="853"/>
    <x v="845"/>
    <x v="0"/>
    <x v="2"/>
  </r>
  <r>
    <x v="0"/>
    <x v="854"/>
    <x v="846"/>
    <x v="0"/>
    <x v="0"/>
  </r>
  <r>
    <x v="0"/>
    <x v="855"/>
    <x v="847"/>
    <x v="0"/>
    <x v="1"/>
  </r>
  <r>
    <x v="0"/>
    <x v="856"/>
    <x v="848"/>
    <x v="0"/>
    <x v="1"/>
  </r>
  <r>
    <x v="0"/>
    <x v="857"/>
    <x v="849"/>
    <x v="0"/>
    <x v="1"/>
  </r>
  <r>
    <x v="0"/>
    <x v="858"/>
    <x v="850"/>
    <x v="0"/>
    <x v="1"/>
  </r>
  <r>
    <x v="0"/>
    <x v="859"/>
    <x v="851"/>
    <x v="0"/>
    <x v="2"/>
  </r>
  <r>
    <x v="0"/>
    <x v="860"/>
    <x v="852"/>
    <x v="0"/>
    <x v="0"/>
  </r>
  <r>
    <x v="0"/>
    <x v="861"/>
    <x v="853"/>
    <x v="0"/>
    <x v="0"/>
  </r>
  <r>
    <x v="0"/>
    <x v="862"/>
    <x v="854"/>
    <x v="0"/>
    <x v="2"/>
  </r>
  <r>
    <x v="0"/>
    <x v="863"/>
    <x v="855"/>
    <x v="0"/>
    <x v="2"/>
  </r>
  <r>
    <x v="0"/>
    <x v="864"/>
    <x v="856"/>
    <x v="0"/>
    <x v="3"/>
  </r>
  <r>
    <x v="0"/>
    <x v="865"/>
    <x v="857"/>
    <x v="0"/>
    <x v="3"/>
  </r>
  <r>
    <x v="0"/>
    <x v="866"/>
    <x v="858"/>
    <x v="0"/>
    <x v="3"/>
  </r>
  <r>
    <x v="0"/>
    <x v="867"/>
    <x v="859"/>
    <x v="0"/>
    <x v="3"/>
  </r>
  <r>
    <x v="0"/>
    <x v="868"/>
    <x v="860"/>
    <x v="0"/>
    <x v="1"/>
  </r>
  <r>
    <x v="0"/>
    <x v="869"/>
    <x v="861"/>
    <x v="0"/>
    <x v="1"/>
  </r>
  <r>
    <x v="0"/>
    <x v="870"/>
    <x v="862"/>
    <x v="0"/>
    <x v="1"/>
  </r>
  <r>
    <x v="0"/>
    <x v="871"/>
    <x v="863"/>
    <x v="0"/>
    <x v="1"/>
  </r>
  <r>
    <x v="0"/>
    <x v="872"/>
    <x v="864"/>
    <x v="0"/>
    <x v="1"/>
  </r>
  <r>
    <x v="0"/>
    <x v="873"/>
    <x v="865"/>
    <x v="0"/>
    <x v="1"/>
  </r>
  <r>
    <x v="0"/>
    <x v="874"/>
    <x v="866"/>
    <x v="0"/>
    <x v="1"/>
  </r>
  <r>
    <x v="0"/>
    <x v="875"/>
    <x v="867"/>
    <x v="0"/>
    <x v="1"/>
  </r>
  <r>
    <x v="0"/>
    <x v="876"/>
    <x v="868"/>
    <x v="0"/>
    <x v="1"/>
  </r>
  <r>
    <x v="0"/>
    <x v="877"/>
    <x v="869"/>
    <x v="0"/>
    <x v="1"/>
  </r>
  <r>
    <x v="0"/>
    <x v="878"/>
    <x v="870"/>
    <x v="0"/>
    <x v="1"/>
  </r>
  <r>
    <x v="0"/>
    <x v="879"/>
    <x v="871"/>
    <x v="0"/>
    <x v="1"/>
  </r>
  <r>
    <x v="0"/>
    <x v="880"/>
    <x v="872"/>
    <x v="0"/>
    <x v="1"/>
  </r>
  <r>
    <x v="0"/>
    <x v="881"/>
    <x v="873"/>
    <x v="0"/>
    <x v="1"/>
  </r>
  <r>
    <x v="0"/>
    <x v="882"/>
    <x v="874"/>
    <x v="0"/>
    <x v="1"/>
  </r>
  <r>
    <x v="0"/>
    <x v="883"/>
    <x v="875"/>
    <x v="0"/>
    <x v="1"/>
  </r>
  <r>
    <x v="0"/>
    <x v="884"/>
    <x v="876"/>
    <x v="0"/>
    <x v="1"/>
  </r>
  <r>
    <x v="0"/>
    <x v="885"/>
    <x v="877"/>
    <x v="0"/>
    <x v="1"/>
  </r>
  <r>
    <x v="0"/>
    <x v="886"/>
    <x v="878"/>
    <x v="0"/>
    <x v="3"/>
  </r>
  <r>
    <x v="0"/>
    <x v="887"/>
    <x v="879"/>
    <x v="0"/>
    <x v="1"/>
  </r>
  <r>
    <x v="0"/>
    <x v="888"/>
    <x v="880"/>
    <x v="0"/>
    <x v="1"/>
  </r>
  <r>
    <x v="0"/>
    <x v="889"/>
    <x v="881"/>
    <x v="0"/>
    <x v="1"/>
  </r>
  <r>
    <x v="0"/>
    <x v="890"/>
    <x v="882"/>
    <x v="0"/>
    <x v="1"/>
  </r>
  <r>
    <x v="0"/>
    <x v="891"/>
    <x v="883"/>
    <x v="0"/>
    <x v="1"/>
  </r>
  <r>
    <x v="0"/>
    <x v="892"/>
    <x v="884"/>
    <x v="0"/>
    <x v="1"/>
  </r>
  <r>
    <x v="0"/>
    <x v="893"/>
    <x v="885"/>
    <x v="0"/>
    <x v="1"/>
  </r>
  <r>
    <x v="0"/>
    <x v="894"/>
    <x v="886"/>
    <x v="0"/>
    <x v="1"/>
  </r>
  <r>
    <x v="0"/>
    <x v="895"/>
    <x v="887"/>
    <x v="0"/>
    <x v="1"/>
  </r>
  <r>
    <x v="0"/>
    <x v="896"/>
    <x v="888"/>
    <x v="0"/>
    <x v="1"/>
  </r>
  <r>
    <x v="0"/>
    <x v="897"/>
    <x v="889"/>
    <x v="0"/>
    <x v="2"/>
  </r>
  <r>
    <x v="0"/>
    <x v="898"/>
    <x v="890"/>
    <x v="0"/>
    <x v="2"/>
  </r>
  <r>
    <x v="0"/>
    <x v="899"/>
    <x v="891"/>
    <x v="0"/>
    <x v="0"/>
  </r>
  <r>
    <x v="0"/>
    <x v="900"/>
    <x v="892"/>
    <x v="0"/>
    <x v="2"/>
  </r>
  <r>
    <x v="0"/>
    <x v="901"/>
    <x v="893"/>
    <x v="0"/>
    <x v="2"/>
  </r>
  <r>
    <x v="0"/>
    <x v="902"/>
    <x v="894"/>
    <x v="0"/>
    <x v="2"/>
  </r>
  <r>
    <x v="0"/>
    <x v="903"/>
    <x v="895"/>
    <x v="0"/>
    <x v="2"/>
  </r>
  <r>
    <x v="0"/>
    <x v="904"/>
    <x v="896"/>
    <x v="0"/>
    <x v="2"/>
  </r>
  <r>
    <x v="0"/>
    <x v="905"/>
    <x v="897"/>
    <x v="0"/>
    <x v="1"/>
  </r>
  <r>
    <x v="0"/>
    <x v="906"/>
    <x v="898"/>
    <x v="0"/>
    <x v="1"/>
  </r>
  <r>
    <x v="0"/>
    <x v="907"/>
    <x v="899"/>
    <x v="0"/>
    <x v="2"/>
  </r>
  <r>
    <x v="0"/>
    <x v="908"/>
    <x v="900"/>
    <x v="0"/>
    <x v="2"/>
  </r>
  <r>
    <x v="0"/>
    <x v="909"/>
    <x v="901"/>
    <x v="0"/>
    <x v="1"/>
  </r>
  <r>
    <x v="0"/>
    <x v="910"/>
    <x v="902"/>
    <x v="0"/>
    <x v="1"/>
  </r>
  <r>
    <x v="0"/>
    <x v="911"/>
    <x v="903"/>
    <x v="0"/>
    <x v="1"/>
  </r>
  <r>
    <x v="0"/>
    <x v="912"/>
    <x v="904"/>
    <x v="0"/>
    <x v="5"/>
  </r>
  <r>
    <x v="0"/>
    <x v="913"/>
    <x v="905"/>
    <x v="0"/>
    <x v="0"/>
  </r>
  <r>
    <x v="0"/>
    <x v="914"/>
    <x v="906"/>
    <x v="0"/>
    <x v="2"/>
  </r>
  <r>
    <x v="0"/>
    <x v="915"/>
    <x v="907"/>
    <x v="0"/>
    <x v="0"/>
  </r>
  <r>
    <x v="0"/>
    <x v="916"/>
    <x v="908"/>
    <x v="0"/>
    <x v="0"/>
  </r>
  <r>
    <x v="0"/>
    <x v="917"/>
    <x v="909"/>
    <x v="0"/>
    <x v="0"/>
  </r>
  <r>
    <x v="0"/>
    <x v="918"/>
    <x v="910"/>
    <x v="0"/>
    <x v="0"/>
  </r>
  <r>
    <x v="0"/>
    <x v="919"/>
    <x v="911"/>
    <x v="0"/>
    <x v="0"/>
  </r>
  <r>
    <x v="0"/>
    <x v="920"/>
    <x v="912"/>
    <x v="0"/>
    <x v="0"/>
  </r>
  <r>
    <x v="0"/>
    <x v="921"/>
    <x v="913"/>
    <x v="0"/>
    <x v="0"/>
  </r>
  <r>
    <x v="0"/>
    <x v="922"/>
    <x v="914"/>
    <x v="0"/>
    <x v="3"/>
  </r>
  <r>
    <x v="0"/>
    <x v="923"/>
    <x v="915"/>
    <x v="0"/>
    <x v="3"/>
  </r>
  <r>
    <x v="0"/>
    <x v="924"/>
    <x v="916"/>
    <x v="0"/>
    <x v="3"/>
  </r>
  <r>
    <x v="0"/>
    <x v="925"/>
    <x v="917"/>
    <x v="0"/>
    <x v="3"/>
  </r>
  <r>
    <x v="0"/>
    <x v="926"/>
    <x v="918"/>
    <x v="0"/>
    <x v="3"/>
  </r>
  <r>
    <x v="0"/>
    <x v="927"/>
    <x v="919"/>
    <x v="0"/>
    <x v="2"/>
  </r>
  <r>
    <x v="0"/>
    <x v="928"/>
    <x v="920"/>
    <x v="0"/>
    <x v="2"/>
  </r>
  <r>
    <x v="0"/>
    <x v="929"/>
    <x v="921"/>
    <x v="0"/>
    <x v="2"/>
  </r>
  <r>
    <x v="0"/>
    <x v="930"/>
    <x v="922"/>
    <x v="0"/>
    <x v="2"/>
  </r>
  <r>
    <x v="0"/>
    <x v="931"/>
    <x v="923"/>
    <x v="0"/>
    <x v="2"/>
  </r>
  <r>
    <x v="0"/>
    <x v="932"/>
    <x v="924"/>
    <x v="0"/>
    <x v="2"/>
  </r>
  <r>
    <x v="0"/>
    <x v="933"/>
    <x v="925"/>
    <x v="0"/>
    <x v="2"/>
  </r>
  <r>
    <x v="0"/>
    <x v="934"/>
    <x v="926"/>
    <x v="0"/>
    <x v="2"/>
  </r>
  <r>
    <x v="0"/>
    <x v="935"/>
    <x v="927"/>
    <x v="0"/>
    <x v="2"/>
  </r>
  <r>
    <x v="0"/>
    <x v="936"/>
    <x v="928"/>
    <x v="0"/>
    <x v="2"/>
  </r>
  <r>
    <x v="0"/>
    <x v="937"/>
    <x v="929"/>
    <x v="0"/>
    <x v="2"/>
  </r>
  <r>
    <x v="0"/>
    <x v="938"/>
    <x v="930"/>
    <x v="0"/>
    <x v="2"/>
  </r>
  <r>
    <x v="0"/>
    <x v="939"/>
    <x v="931"/>
    <x v="0"/>
    <x v="2"/>
  </r>
  <r>
    <x v="0"/>
    <x v="940"/>
    <x v="932"/>
    <x v="0"/>
    <x v="2"/>
  </r>
  <r>
    <x v="0"/>
    <x v="941"/>
    <x v="933"/>
    <x v="0"/>
    <x v="2"/>
  </r>
  <r>
    <x v="0"/>
    <x v="942"/>
    <x v="934"/>
    <x v="0"/>
    <x v="2"/>
  </r>
  <r>
    <x v="0"/>
    <x v="943"/>
    <x v="935"/>
    <x v="0"/>
    <x v="2"/>
  </r>
  <r>
    <x v="0"/>
    <x v="944"/>
    <x v="936"/>
    <x v="0"/>
    <x v="2"/>
  </r>
  <r>
    <x v="0"/>
    <x v="945"/>
    <x v="937"/>
    <x v="0"/>
    <x v="2"/>
  </r>
  <r>
    <x v="0"/>
    <x v="946"/>
    <x v="938"/>
    <x v="0"/>
    <x v="2"/>
  </r>
  <r>
    <x v="0"/>
    <x v="947"/>
    <x v="939"/>
    <x v="0"/>
    <x v="2"/>
  </r>
  <r>
    <x v="0"/>
    <x v="948"/>
    <x v="940"/>
    <x v="0"/>
    <x v="2"/>
  </r>
  <r>
    <x v="0"/>
    <x v="949"/>
    <x v="941"/>
    <x v="0"/>
    <x v="2"/>
  </r>
  <r>
    <x v="0"/>
    <x v="950"/>
    <x v="942"/>
    <x v="0"/>
    <x v="2"/>
  </r>
  <r>
    <x v="0"/>
    <x v="951"/>
    <x v="943"/>
    <x v="0"/>
    <x v="0"/>
  </r>
  <r>
    <x v="0"/>
    <x v="952"/>
    <x v="944"/>
    <x v="0"/>
    <x v="0"/>
  </r>
  <r>
    <x v="0"/>
    <x v="953"/>
    <x v="945"/>
    <x v="0"/>
    <x v="0"/>
  </r>
  <r>
    <x v="0"/>
    <x v="954"/>
    <x v="946"/>
    <x v="0"/>
    <x v="0"/>
  </r>
  <r>
    <x v="0"/>
    <x v="955"/>
    <x v="947"/>
    <x v="0"/>
    <x v="0"/>
  </r>
  <r>
    <x v="0"/>
    <x v="956"/>
    <x v="948"/>
    <x v="0"/>
    <x v="0"/>
  </r>
  <r>
    <x v="0"/>
    <x v="957"/>
    <x v="949"/>
    <x v="0"/>
    <x v="0"/>
  </r>
  <r>
    <x v="0"/>
    <x v="958"/>
    <x v="950"/>
    <x v="0"/>
    <x v="0"/>
  </r>
  <r>
    <x v="0"/>
    <x v="959"/>
    <x v="951"/>
    <x v="0"/>
    <x v="0"/>
  </r>
  <r>
    <x v="0"/>
    <x v="960"/>
    <x v="952"/>
    <x v="0"/>
    <x v="3"/>
  </r>
  <r>
    <x v="0"/>
    <x v="961"/>
    <x v="953"/>
    <x v="0"/>
    <x v="3"/>
  </r>
  <r>
    <x v="0"/>
    <x v="962"/>
    <x v="954"/>
    <x v="0"/>
    <x v="2"/>
  </r>
  <r>
    <x v="0"/>
    <x v="963"/>
    <x v="955"/>
    <x v="0"/>
    <x v="2"/>
  </r>
  <r>
    <x v="0"/>
    <x v="964"/>
    <x v="956"/>
    <x v="0"/>
    <x v="2"/>
  </r>
  <r>
    <x v="0"/>
    <x v="965"/>
    <x v="957"/>
    <x v="0"/>
    <x v="2"/>
  </r>
  <r>
    <x v="0"/>
    <x v="966"/>
    <x v="958"/>
    <x v="0"/>
    <x v="2"/>
  </r>
  <r>
    <x v="0"/>
    <x v="967"/>
    <x v="959"/>
    <x v="0"/>
    <x v="2"/>
  </r>
  <r>
    <x v="0"/>
    <x v="968"/>
    <x v="960"/>
    <x v="0"/>
    <x v="2"/>
  </r>
  <r>
    <x v="0"/>
    <x v="969"/>
    <x v="961"/>
    <x v="0"/>
    <x v="3"/>
  </r>
  <r>
    <x v="0"/>
    <x v="970"/>
    <x v="962"/>
    <x v="0"/>
    <x v="2"/>
  </r>
  <r>
    <x v="0"/>
    <x v="971"/>
    <x v="963"/>
    <x v="0"/>
    <x v="0"/>
  </r>
  <r>
    <x v="0"/>
    <x v="972"/>
    <x v="964"/>
    <x v="0"/>
    <x v="2"/>
  </r>
  <r>
    <x v="0"/>
    <x v="973"/>
    <x v="965"/>
    <x v="0"/>
    <x v="2"/>
  </r>
  <r>
    <x v="0"/>
    <x v="974"/>
    <x v="966"/>
    <x v="0"/>
    <x v="3"/>
  </r>
  <r>
    <x v="0"/>
    <x v="975"/>
    <x v="967"/>
    <x v="0"/>
    <x v="3"/>
  </r>
  <r>
    <x v="0"/>
    <x v="976"/>
    <x v="968"/>
    <x v="0"/>
    <x v="3"/>
  </r>
  <r>
    <x v="0"/>
    <x v="977"/>
    <x v="969"/>
    <x v="0"/>
    <x v="3"/>
  </r>
  <r>
    <x v="0"/>
    <x v="978"/>
    <x v="970"/>
    <x v="0"/>
    <x v="0"/>
  </r>
  <r>
    <x v="0"/>
    <x v="979"/>
    <x v="971"/>
    <x v="0"/>
    <x v="3"/>
  </r>
  <r>
    <x v="0"/>
    <x v="980"/>
    <x v="972"/>
    <x v="0"/>
    <x v="3"/>
  </r>
  <r>
    <x v="0"/>
    <x v="981"/>
    <x v="973"/>
    <x v="0"/>
    <x v="2"/>
  </r>
  <r>
    <x v="0"/>
    <x v="982"/>
    <x v="974"/>
    <x v="0"/>
    <x v="0"/>
  </r>
  <r>
    <x v="0"/>
    <x v="983"/>
    <x v="975"/>
    <x v="0"/>
    <x v="0"/>
  </r>
  <r>
    <x v="0"/>
    <x v="984"/>
    <x v="976"/>
    <x v="0"/>
    <x v="0"/>
  </r>
  <r>
    <x v="0"/>
    <x v="985"/>
    <x v="977"/>
    <x v="0"/>
    <x v="1"/>
  </r>
  <r>
    <x v="0"/>
    <x v="986"/>
    <x v="978"/>
    <x v="0"/>
    <x v="2"/>
  </r>
  <r>
    <x v="0"/>
    <x v="987"/>
    <x v="979"/>
    <x v="0"/>
    <x v="2"/>
  </r>
  <r>
    <x v="0"/>
    <x v="988"/>
    <x v="980"/>
    <x v="0"/>
    <x v="2"/>
  </r>
  <r>
    <x v="0"/>
    <x v="989"/>
    <x v="981"/>
    <x v="0"/>
    <x v="2"/>
  </r>
  <r>
    <x v="0"/>
    <x v="990"/>
    <x v="982"/>
    <x v="0"/>
    <x v="2"/>
  </r>
  <r>
    <x v="0"/>
    <x v="991"/>
    <x v="983"/>
    <x v="0"/>
    <x v="2"/>
  </r>
  <r>
    <x v="0"/>
    <x v="992"/>
    <x v="984"/>
    <x v="0"/>
    <x v="2"/>
  </r>
  <r>
    <x v="0"/>
    <x v="993"/>
    <x v="985"/>
    <x v="0"/>
    <x v="2"/>
  </r>
  <r>
    <x v="0"/>
    <x v="994"/>
    <x v="986"/>
    <x v="0"/>
    <x v="2"/>
  </r>
  <r>
    <x v="0"/>
    <x v="995"/>
    <x v="987"/>
    <x v="0"/>
    <x v="2"/>
  </r>
  <r>
    <x v="0"/>
    <x v="996"/>
    <x v="988"/>
    <x v="0"/>
    <x v="2"/>
  </r>
  <r>
    <x v="0"/>
    <x v="997"/>
    <x v="989"/>
    <x v="0"/>
    <x v="2"/>
  </r>
  <r>
    <x v="0"/>
    <x v="998"/>
    <x v="990"/>
    <x v="0"/>
    <x v="1"/>
  </r>
  <r>
    <x v="0"/>
    <x v="999"/>
    <x v="991"/>
    <x v="0"/>
    <x v="1"/>
  </r>
  <r>
    <x v="0"/>
    <x v="1000"/>
    <x v="992"/>
    <x v="0"/>
    <x v="1"/>
  </r>
  <r>
    <x v="0"/>
    <x v="1001"/>
    <x v="993"/>
    <x v="0"/>
    <x v="1"/>
  </r>
  <r>
    <x v="0"/>
    <x v="1002"/>
    <x v="994"/>
    <x v="0"/>
    <x v="1"/>
  </r>
  <r>
    <x v="0"/>
    <x v="1003"/>
    <x v="995"/>
    <x v="0"/>
    <x v="1"/>
  </r>
  <r>
    <x v="0"/>
    <x v="1004"/>
    <x v="996"/>
    <x v="0"/>
    <x v="1"/>
  </r>
  <r>
    <x v="0"/>
    <x v="1005"/>
    <x v="997"/>
    <x v="0"/>
    <x v="1"/>
  </r>
  <r>
    <x v="0"/>
    <x v="1006"/>
    <x v="998"/>
    <x v="0"/>
    <x v="1"/>
  </r>
  <r>
    <x v="0"/>
    <x v="1007"/>
    <x v="999"/>
    <x v="0"/>
    <x v="1"/>
  </r>
  <r>
    <x v="0"/>
    <x v="1008"/>
    <x v="1000"/>
    <x v="0"/>
    <x v="1"/>
  </r>
  <r>
    <x v="0"/>
    <x v="1009"/>
    <x v="1001"/>
    <x v="0"/>
    <x v="1"/>
  </r>
  <r>
    <x v="0"/>
    <x v="1010"/>
    <x v="1002"/>
    <x v="0"/>
    <x v="1"/>
  </r>
  <r>
    <x v="0"/>
    <x v="1011"/>
    <x v="1003"/>
    <x v="0"/>
    <x v="1"/>
  </r>
  <r>
    <x v="0"/>
    <x v="1012"/>
    <x v="1004"/>
    <x v="0"/>
    <x v="1"/>
  </r>
  <r>
    <x v="0"/>
    <x v="1013"/>
    <x v="1005"/>
    <x v="0"/>
    <x v="1"/>
  </r>
  <r>
    <x v="0"/>
    <x v="1014"/>
    <x v="1006"/>
    <x v="0"/>
    <x v="1"/>
  </r>
  <r>
    <x v="0"/>
    <x v="1015"/>
    <x v="1007"/>
    <x v="0"/>
    <x v="1"/>
  </r>
  <r>
    <x v="0"/>
    <x v="1016"/>
    <x v="1008"/>
    <x v="0"/>
    <x v="1"/>
  </r>
  <r>
    <x v="0"/>
    <x v="1017"/>
    <x v="1009"/>
    <x v="0"/>
    <x v="1"/>
  </r>
  <r>
    <x v="0"/>
    <x v="1018"/>
    <x v="1010"/>
    <x v="0"/>
    <x v="1"/>
  </r>
  <r>
    <x v="0"/>
    <x v="1019"/>
    <x v="1011"/>
    <x v="0"/>
    <x v="1"/>
  </r>
  <r>
    <x v="0"/>
    <x v="1020"/>
    <x v="1012"/>
    <x v="0"/>
    <x v="1"/>
  </r>
  <r>
    <x v="0"/>
    <x v="1021"/>
    <x v="1013"/>
    <x v="0"/>
    <x v="1"/>
  </r>
  <r>
    <x v="0"/>
    <x v="1022"/>
    <x v="1014"/>
    <x v="0"/>
    <x v="1"/>
  </r>
  <r>
    <x v="0"/>
    <x v="1023"/>
    <x v="1015"/>
    <x v="0"/>
    <x v="3"/>
  </r>
  <r>
    <x v="0"/>
    <x v="1024"/>
    <x v="1016"/>
    <x v="0"/>
    <x v="3"/>
  </r>
  <r>
    <x v="0"/>
    <x v="1025"/>
    <x v="1017"/>
    <x v="0"/>
    <x v="3"/>
  </r>
  <r>
    <x v="0"/>
    <x v="1026"/>
    <x v="1018"/>
    <x v="0"/>
    <x v="3"/>
  </r>
  <r>
    <x v="0"/>
    <x v="1027"/>
    <x v="1019"/>
    <x v="0"/>
    <x v="2"/>
  </r>
  <r>
    <x v="0"/>
    <x v="1028"/>
    <x v="1020"/>
    <x v="0"/>
    <x v="2"/>
  </r>
  <r>
    <x v="0"/>
    <x v="1029"/>
    <x v="1021"/>
    <x v="0"/>
    <x v="1"/>
  </r>
  <r>
    <x v="0"/>
    <x v="1030"/>
    <x v="1022"/>
    <x v="0"/>
    <x v="1"/>
  </r>
  <r>
    <x v="0"/>
    <x v="1031"/>
    <x v="1023"/>
    <x v="0"/>
    <x v="1"/>
  </r>
  <r>
    <x v="0"/>
    <x v="1032"/>
    <x v="1024"/>
    <x v="0"/>
    <x v="1"/>
  </r>
  <r>
    <x v="0"/>
    <x v="1033"/>
    <x v="1025"/>
    <x v="0"/>
    <x v="1"/>
  </r>
  <r>
    <x v="0"/>
    <x v="1034"/>
    <x v="1026"/>
    <x v="0"/>
    <x v="1"/>
  </r>
  <r>
    <x v="0"/>
    <x v="1035"/>
    <x v="1027"/>
    <x v="0"/>
    <x v="1"/>
  </r>
  <r>
    <x v="0"/>
    <x v="1036"/>
    <x v="1028"/>
    <x v="0"/>
    <x v="1"/>
  </r>
  <r>
    <x v="0"/>
    <x v="1037"/>
    <x v="1029"/>
    <x v="0"/>
    <x v="1"/>
  </r>
  <r>
    <x v="0"/>
    <x v="1038"/>
    <x v="1030"/>
    <x v="0"/>
    <x v="1"/>
  </r>
  <r>
    <x v="0"/>
    <x v="1039"/>
    <x v="1031"/>
    <x v="0"/>
    <x v="1"/>
  </r>
  <r>
    <x v="0"/>
    <x v="1040"/>
    <x v="1032"/>
    <x v="0"/>
    <x v="1"/>
  </r>
  <r>
    <x v="0"/>
    <x v="1041"/>
    <x v="1033"/>
    <x v="0"/>
    <x v="1"/>
  </r>
  <r>
    <x v="0"/>
    <x v="1042"/>
    <x v="1034"/>
    <x v="0"/>
    <x v="1"/>
  </r>
  <r>
    <x v="0"/>
    <x v="1043"/>
    <x v="1035"/>
    <x v="0"/>
    <x v="1"/>
  </r>
  <r>
    <x v="0"/>
    <x v="1044"/>
    <x v="1036"/>
    <x v="0"/>
    <x v="1"/>
  </r>
  <r>
    <x v="0"/>
    <x v="1045"/>
    <x v="1037"/>
    <x v="0"/>
    <x v="1"/>
  </r>
  <r>
    <x v="0"/>
    <x v="1046"/>
    <x v="1038"/>
    <x v="0"/>
    <x v="1"/>
  </r>
  <r>
    <x v="0"/>
    <x v="1047"/>
    <x v="1039"/>
    <x v="0"/>
    <x v="2"/>
  </r>
  <r>
    <x v="0"/>
    <x v="1048"/>
    <x v="1040"/>
    <x v="0"/>
    <x v="2"/>
  </r>
  <r>
    <x v="0"/>
    <x v="1049"/>
    <x v="1041"/>
    <x v="0"/>
    <x v="2"/>
  </r>
  <r>
    <x v="0"/>
    <x v="1050"/>
    <x v="1042"/>
    <x v="0"/>
    <x v="2"/>
  </r>
  <r>
    <x v="0"/>
    <x v="1051"/>
    <x v="1043"/>
    <x v="0"/>
    <x v="2"/>
  </r>
  <r>
    <x v="0"/>
    <x v="1052"/>
    <x v="1044"/>
    <x v="0"/>
    <x v="2"/>
  </r>
  <r>
    <x v="0"/>
    <x v="1053"/>
    <x v="1045"/>
    <x v="0"/>
    <x v="2"/>
  </r>
  <r>
    <x v="0"/>
    <x v="1054"/>
    <x v="1046"/>
    <x v="0"/>
    <x v="0"/>
  </r>
  <r>
    <x v="0"/>
    <x v="1055"/>
    <x v="1047"/>
    <x v="0"/>
    <x v="1"/>
  </r>
  <r>
    <x v="0"/>
    <x v="1056"/>
    <x v="1048"/>
    <x v="0"/>
    <x v="1"/>
  </r>
  <r>
    <x v="0"/>
    <x v="1057"/>
    <x v="1049"/>
    <x v="0"/>
    <x v="1"/>
  </r>
  <r>
    <x v="0"/>
    <x v="1058"/>
    <x v="1050"/>
    <x v="0"/>
    <x v="1"/>
  </r>
  <r>
    <x v="0"/>
    <x v="1059"/>
    <x v="1051"/>
    <x v="0"/>
    <x v="1"/>
  </r>
  <r>
    <x v="0"/>
    <x v="1060"/>
    <x v="1052"/>
    <x v="0"/>
    <x v="1"/>
  </r>
  <r>
    <x v="0"/>
    <x v="1061"/>
    <x v="1053"/>
    <x v="0"/>
    <x v="1"/>
  </r>
  <r>
    <x v="0"/>
    <x v="1062"/>
    <x v="1054"/>
    <x v="0"/>
    <x v="1"/>
  </r>
  <r>
    <x v="0"/>
    <x v="1063"/>
    <x v="1055"/>
    <x v="0"/>
    <x v="1"/>
  </r>
  <r>
    <x v="0"/>
    <x v="1064"/>
    <x v="1056"/>
    <x v="0"/>
    <x v="1"/>
  </r>
  <r>
    <x v="0"/>
    <x v="1065"/>
    <x v="1057"/>
    <x v="0"/>
    <x v="1"/>
  </r>
  <r>
    <x v="0"/>
    <x v="1066"/>
    <x v="1058"/>
    <x v="0"/>
    <x v="1"/>
  </r>
  <r>
    <x v="0"/>
    <x v="1067"/>
    <x v="1059"/>
    <x v="0"/>
    <x v="1"/>
  </r>
  <r>
    <x v="0"/>
    <x v="1068"/>
    <x v="1060"/>
    <x v="0"/>
    <x v="1"/>
  </r>
  <r>
    <x v="0"/>
    <x v="1069"/>
    <x v="1061"/>
    <x v="0"/>
    <x v="1"/>
  </r>
  <r>
    <x v="0"/>
    <x v="1070"/>
    <x v="1062"/>
    <x v="0"/>
    <x v="1"/>
  </r>
  <r>
    <x v="0"/>
    <x v="1071"/>
    <x v="1063"/>
    <x v="0"/>
    <x v="1"/>
  </r>
  <r>
    <x v="0"/>
    <x v="1072"/>
    <x v="1064"/>
    <x v="0"/>
    <x v="1"/>
  </r>
  <r>
    <x v="0"/>
    <x v="1073"/>
    <x v="1065"/>
    <x v="0"/>
    <x v="1"/>
  </r>
  <r>
    <x v="0"/>
    <x v="1074"/>
    <x v="1066"/>
    <x v="0"/>
    <x v="1"/>
  </r>
  <r>
    <x v="0"/>
    <x v="1075"/>
    <x v="1067"/>
    <x v="0"/>
    <x v="2"/>
  </r>
  <r>
    <x v="0"/>
    <x v="1076"/>
    <x v="1068"/>
    <x v="0"/>
    <x v="2"/>
  </r>
  <r>
    <x v="0"/>
    <x v="1077"/>
    <x v="1069"/>
    <x v="0"/>
    <x v="2"/>
  </r>
  <r>
    <x v="0"/>
    <x v="1078"/>
    <x v="1070"/>
    <x v="0"/>
    <x v="2"/>
  </r>
  <r>
    <x v="0"/>
    <x v="1079"/>
    <x v="1071"/>
    <x v="0"/>
    <x v="2"/>
  </r>
  <r>
    <x v="0"/>
    <x v="1080"/>
    <x v="1072"/>
    <x v="0"/>
    <x v="2"/>
  </r>
  <r>
    <x v="0"/>
    <x v="1081"/>
    <x v="1073"/>
    <x v="0"/>
    <x v="3"/>
  </r>
  <r>
    <x v="0"/>
    <x v="1082"/>
    <x v="1074"/>
    <x v="0"/>
    <x v="3"/>
  </r>
  <r>
    <x v="0"/>
    <x v="1083"/>
    <x v="1075"/>
    <x v="0"/>
    <x v="2"/>
  </r>
  <r>
    <x v="0"/>
    <x v="1084"/>
    <x v="1076"/>
    <x v="0"/>
    <x v="2"/>
  </r>
  <r>
    <x v="0"/>
    <x v="1085"/>
    <x v="1077"/>
    <x v="0"/>
    <x v="2"/>
  </r>
  <r>
    <x v="0"/>
    <x v="1086"/>
    <x v="1078"/>
    <x v="0"/>
    <x v="2"/>
  </r>
  <r>
    <x v="0"/>
    <x v="1087"/>
    <x v="1079"/>
    <x v="0"/>
    <x v="2"/>
  </r>
  <r>
    <x v="0"/>
    <x v="1088"/>
    <x v="1080"/>
    <x v="0"/>
    <x v="2"/>
  </r>
  <r>
    <x v="0"/>
    <x v="1089"/>
    <x v="1081"/>
    <x v="0"/>
    <x v="2"/>
  </r>
  <r>
    <x v="0"/>
    <x v="1090"/>
    <x v="1082"/>
    <x v="0"/>
    <x v="2"/>
  </r>
  <r>
    <x v="0"/>
    <x v="1091"/>
    <x v="1083"/>
    <x v="0"/>
    <x v="3"/>
  </r>
  <r>
    <x v="0"/>
    <x v="1092"/>
    <x v="1084"/>
    <x v="0"/>
    <x v="3"/>
  </r>
  <r>
    <x v="0"/>
    <x v="1093"/>
    <x v="1085"/>
    <x v="0"/>
    <x v="3"/>
  </r>
  <r>
    <x v="0"/>
    <x v="1094"/>
    <x v="1086"/>
    <x v="0"/>
    <x v="3"/>
  </r>
  <r>
    <x v="0"/>
    <x v="1095"/>
    <x v="1087"/>
    <x v="0"/>
    <x v="3"/>
  </r>
  <r>
    <x v="0"/>
    <x v="1096"/>
    <x v="1088"/>
    <x v="0"/>
    <x v="2"/>
  </r>
  <r>
    <x v="0"/>
    <x v="1097"/>
    <x v="1089"/>
    <x v="0"/>
    <x v="2"/>
  </r>
  <r>
    <x v="0"/>
    <x v="1098"/>
    <x v="1090"/>
    <x v="0"/>
    <x v="2"/>
  </r>
  <r>
    <x v="0"/>
    <x v="1099"/>
    <x v="1091"/>
    <x v="0"/>
    <x v="2"/>
  </r>
  <r>
    <x v="0"/>
    <x v="1100"/>
    <x v="1092"/>
    <x v="0"/>
    <x v="2"/>
  </r>
  <r>
    <x v="0"/>
    <x v="1101"/>
    <x v="1093"/>
    <x v="0"/>
    <x v="2"/>
  </r>
  <r>
    <x v="0"/>
    <x v="1102"/>
    <x v="1094"/>
    <x v="0"/>
    <x v="2"/>
  </r>
  <r>
    <x v="0"/>
    <x v="1103"/>
    <x v="1095"/>
    <x v="0"/>
    <x v="2"/>
  </r>
  <r>
    <x v="0"/>
    <x v="1104"/>
    <x v="1096"/>
    <x v="0"/>
    <x v="2"/>
  </r>
  <r>
    <x v="0"/>
    <x v="1105"/>
    <x v="1097"/>
    <x v="0"/>
    <x v="2"/>
  </r>
  <r>
    <x v="0"/>
    <x v="1106"/>
    <x v="1098"/>
    <x v="0"/>
    <x v="2"/>
  </r>
  <r>
    <x v="0"/>
    <x v="1107"/>
    <x v="1099"/>
    <x v="0"/>
    <x v="2"/>
  </r>
  <r>
    <x v="0"/>
    <x v="1108"/>
    <x v="1100"/>
    <x v="0"/>
    <x v="2"/>
  </r>
  <r>
    <x v="0"/>
    <x v="1109"/>
    <x v="1101"/>
    <x v="0"/>
    <x v="2"/>
  </r>
  <r>
    <x v="0"/>
    <x v="1110"/>
    <x v="1102"/>
    <x v="0"/>
    <x v="2"/>
  </r>
  <r>
    <x v="0"/>
    <x v="1111"/>
    <x v="1103"/>
    <x v="0"/>
    <x v="2"/>
  </r>
  <r>
    <x v="0"/>
    <x v="1112"/>
    <x v="1104"/>
    <x v="0"/>
    <x v="2"/>
  </r>
  <r>
    <x v="0"/>
    <x v="1113"/>
    <x v="1105"/>
    <x v="0"/>
    <x v="2"/>
  </r>
  <r>
    <x v="0"/>
    <x v="1114"/>
    <x v="1106"/>
    <x v="0"/>
    <x v="2"/>
  </r>
  <r>
    <x v="0"/>
    <x v="1115"/>
    <x v="1107"/>
    <x v="0"/>
    <x v="2"/>
  </r>
  <r>
    <x v="0"/>
    <x v="1116"/>
    <x v="1108"/>
    <x v="0"/>
    <x v="2"/>
  </r>
  <r>
    <x v="0"/>
    <x v="1117"/>
    <x v="1109"/>
    <x v="0"/>
    <x v="2"/>
  </r>
  <r>
    <x v="0"/>
    <x v="1118"/>
    <x v="1110"/>
    <x v="0"/>
    <x v="0"/>
  </r>
  <r>
    <x v="0"/>
    <x v="1119"/>
    <x v="1111"/>
    <x v="0"/>
    <x v="1"/>
  </r>
  <r>
    <x v="0"/>
    <x v="1120"/>
    <x v="1112"/>
    <x v="0"/>
    <x v="1"/>
  </r>
  <r>
    <x v="0"/>
    <x v="1121"/>
    <x v="1113"/>
    <x v="0"/>
    <x v="1"/>
  </r>
  <r>
    <x v="0"/>
    <x v="1122"/>
    <x v="1114"/>
    <x v="0"/>
    <x v="1"/>
  </r>
  <r>
    <x v="0"/>
    <x v="1123"/>
    <x v="1115"/>
    <x v="0"/>
    <x v="1"/>
  </r>
  <r>
    <x v="0"/>
    <x v="1124"/>
    <x v="1116"/>
    <x v="0"/>
    <x v="1"/>
  </r>
  <r>
    <x v="0"/>
    <x v="1125"/>
    <x v="1117"/>
    <x v="0"/>
    <x v="1"/>
  </r>
  <r>
    <x v="0"/>
    <x v="1126"/>
    <x v="1118"/>
    <x v="0"/>
    <x v="1"/>
  </r>
  <r>
    <x v="0"/>
    <x v="1127"/>
    <x v="1119"/>
    <x v="0"/>
    <x v="1"/>
  </r>
  <r>
    <x v="0"/>
    <x v="1128"/>
    <x v="1120"/>
    <x v="0"/>
    <x v="1"/>
  </r>
  <r>
    <x v="0"/>
    <x v="1129"/>
    <x v="1121"/>
    <x v="0"/>
    <x v="1"/>
  </r>
  <r>
    <x v="0"/>
    <x v="1130"/>
    <x v="1122"/>
    <x v="0"/>
    <x v="1"/>
  </r>
  <r>
    <x v="0"/>
    <x v="1131"/>
    <x v="1123"/>
    <x v="0"/>
    <x v="1"/>
  </r>
  <r>
    <x v="0"/>
    <x v="1132"/>
    <x v="1124"/>
    <x v="0"/>
    <x v="1"/>
  </r>
  <r>
    <x v="0"/>
    <x v="1133"/>
    <x v="1125"/>
    <x v="0"/>
    <x v="1"/>
  </r>
  <r>
    <x v="0"/>
    <x v="1134"/>
    <x v="1126"/>
    <x v="0"/>
    <x v="1"/>
  </r>
  <r>
    <x v="0"/>
    <x v="1135"/>
    <x v="1127"/>
    <x v="0"/>
    <x v="1"/>
  </r>
  <r>
    <x v="0"/>
    <x v="1136"/>
    <x v="1128"/>
    <x v="0"/>
    <x v="1"/>
  </r>
  <r>
    <x v="0"/>
    <x v="1137"/>
    <x v="1129"/>
    <x v="0"/>
    <x v="1"/>
  </r>
  <r>
    <x v="0"/>
    <x v="1138"/>
    <x v="1130"/>
    <x v="0"/>
    <x v="1"/>
  </r>
  <r>
    <x v="0"/>
    <x v="1139"/>
    <x v="1131"/>
    <x v="0"/>
    <x v="1"/>
  </r>
  <r>
    <x v="0"/>
    <x v="1140"/>
    <x v="1132"/>
    <x v="0"/>
    <x v="1"/>
  </r>
  <r>
    <x v="0"/>
    <x v="1141"/>
    <x v="1133"/>
    <x v="0"/>
    <x v="1"/>
  </r>
  <r>
    <x v="0"/>
    <x v="1142"/>
    <x v="1134"/>
    <x v="0"/>
    <x v="1"/>
  </r>
  <r>
    <x v="0"/>
    <x v="1143"/>
    <x v="1135"/>
    <x v="0"/>
    <x v="1"/>
  </r>
  <r>
    <x v="0"/>
    <x v="1144"/>
    <x v="1136"/>
    <x v="0"/>
    <x v="1"/>
  </r>
  <r>
    <x v="0"/>
    <x v="1145"/>
    <x v="1137"/>
    <x v="0"/>
    <x v="1"/>
  </r>
  <r>
    <x v="0"/>
    <x v="1146"/>
    <x v="1138"/>
    <x v="0"/>
    <x v="1"/>
  </r>
  <r>
    <x v="0"/>
    <x v="1147"/>
    <x v="1139"/>
    <x v="0"/>
    <x v="1"/>
  </r>
  <r>
    <x v="0"/>
    <x v="1148"/>
    <x v="1140"/>
    <x v="0"/>
    <x v="1"/>
  </r>
  <r>
    <x v="0"/>
    <x v="1149"/>
    <x v="1141"/>
    <x v="0"/>
    <x v="1"/>
  </r>
  <r>
    <x v="0"/>
    <x v="1150"/>
    <x v="1142"/>
    <x v="0"/>
    <x v="1"/>
  </r>
  <r>
    <x v="0"/>
    <x v="1151"/>
    <x v="1143"/>
    <x v="0"/>
    <x v="1"/>
  </r>
  <r>
    <x v="0"/>
    <x v="1152"/>
    <x v="1144"/>
    <x v="0"/>
    <x v="1"/>
  </r>
  <r>
    <x v="0"/>
    <x v="1153"/>
    <x v="1145"/>
    <x v="0"/>
    <x v="1"/>
  </r>
  <r>
    <x v="0"/>
    <x v="1154"/>
    <x v="1146"/>
    <x v="0"/>
    <x v="1"/>
  </r>
  <r>
    <x v="0"/>
    <x v="1155"/>
    <x v="1147"/>
    <x v="0"/>
    <x v="1"/>
  </r>
  <r>
    <x v="0"/>
    <x v="1156"/>
    <x v="1148"/>
    <x v="0"/>
    <x v="1"/>
  </r>
  <r>
    <x v="0"/>
    <x v="1157"/>
    <x v="1149"/>
    <x v="0"/>
    <x v="1"/>
  </r>
  <r>
    <x v="0"/>
    <x v="1158"/>
    <x v="1150"/>
    <x v="0"/>
    <x v="1"/>
  </r>
  <r>
    <x v="0"/>
    <x v="1159"/>
    <x v="1151"/>
    <x v="0"/>
    <x v="1"/>
  </r>
  <r>
    <x v="0"/>
    <x v="1160"/>
    <x v="1152"/>
    <x v="0"/>
    <x v="0"/>
  </r>
  <r>
    <x v="0"/>
    <x v="1161"/>
    <x v="1153"/>
    <x v="0"/>
    <x v="0"/>
  </r>
  <r>
    <x v="0"/>
    <x v="1162"/>
    <x v="1154"/>
    <x v="0"/>
    <x v="0"/>
  </r>
  <r>
    <x v="0"/>
    <x v="1163"/>
    <x v="1155"/>
    <x v="0"/>
    <x v="1"/>
  </r>
  <r>
    <x v="0"/>
    <x v="1164"/>
    <x v="1156"/>
    <x v="0"/>
    <x v="1"/>
  </r>
  <r>
    <x v="0"/>
    <x v="1165"/>
    <x v="1157"/>
    <x v="0"/>
    <x v="1"/>
  </r>
  <r>
    <x v="0"/>
    <x v="1166"/>
    <x v="1158"/>
    <x v="0"/>
    <x v="1"/>
  </r>
  <r>
    <x v="0"/>
    <x v="1167"/>
    <x v="1159"/>
    <x v="0"/>
    <x v="2"/>
  </r>
  <r>
    <x v="0"/>
    <x v="1168"/>
    <x v="1160"/>
    <x v="0"/>
    <x v="2"/>
  </r>
  <r>
    <x v="0"/>
    <x v="1169"/>
    <x v="1161"/>
    <x v="0"/>
    <x v="1"/>
  </r>
  <r>
    <x v="0"/>
    <x v="1170"/>
    <x v="1162"/>
    <x v="0"/>
    <x v="1"/>
  </r>
  <r>
    <x v="0"/>
    <x v="1171"/>
    <x v="1163"/>
    <x v="0"/>
    <x v="1"/>
  </r>
  <r>
    <x v="0"/>
    <x v="1172"/>
    <x v="1164"/>
    <x v="0"/>
    <x v="1"/>
  </r>
  <r>
    <x v="0"/>
    <x v="1173"/>
    <x v="1165"/>
    <x v="0"/>
    <x v="3"/>
  </r>
  <r>
    <x v="0"/>
    <x v="1174"/>
    <x v="1166"/>
    <x v="0"/>
    <x v="3"/>
  </r>
  <r>
    <x v="0"/>
    <x v="1175"/>
    <x v="1167"/>
    <x v="0"/>
    <x v="2"/>
  </r>
  <r>
    <x v="0"/>
    <x v="1176"/>
    <x v="1168"/>
    <x v="0"/>
    <x v="2"/>
  </r>
  <r>
    <x v="0"/>
    <x v="1177"/>
    <x v="1169"/>
    <x v="0"/>
    <x v="2"/>
  </r>
  <r>
    <x v="0"/>
    <x v="1178"/>
    <x v="1170"/>
    <x v="0"/>
    <x v="2"/>
  </r>
  <r>
    <x v="0"/>
    <x v="1179"/>
    <x v="1171"/>
    <x v="0"/>
    <x v="2"/>
  </r>
  <r>
    <x v="0"/>
    <x v="1180"/>
    <x v="1172"/>
    <x v="0"/>
    <x v="2"/>
  </r>
  <r>
    <x v="0"/>
    <x v="1181"/>
    <x v="1173"/>
    <x v="0"/>
    <x v="2"/>
  </r>
  <r>
    <x v="0"/>
    <x v="1182"/>
    <x v="1174"/>
    <x v="0"/>
    <x v="2"/>
  </r>
  <r>
    <x v="0"/>
    <x v="1183"/>
    <x v="1175"/>
    <x v="0"/>
    <x v="2"/>
  </r>
  <r>
    <x v="0"/>
    <x v="1184"/>
    <x v="1176"/>
    <x v="0"/>
    <x v="2"/>
  </r>
  <r>
    <x v="0"/>
    <x v="1185"/>
    <x v="1177"/>
    <x v="0"/>
    <x v="2"/>
  </r>
  <r>
    <x v="0"/>
    <x v="1186"/>
    <x v="1178"/>
    <x v="0"/>
    <x v="2"/>
  </r>
  <r>
    <x v="0"/>
    <x v="1187"/>
    <x v="1179"/>
    <x v="0"/>
    <x v="2"/>
  </r>
  <r>
    <x v="0"/>
    <x v="1188"/>
    <x v="1180"/>
    <x v="0"/>
    <x v="2"/>
  </r>
  <r>
    <x v="0"/>
    <x v="1189"/>
    <x v="1181"/>
    <x v="0"/>
    <x v="2"/>
  </r>
  <r>
    <x v="0"/>
    <x v="1190"/>
    <x v="1182"/>
    <x v="0"/>
    <x v="2"/>
  </r>
  <r>
    <x v="0"/>
    <x v="1191"/>
    <x v="1183"/>
    <x v="0"/>
    <x v="1"/>
  </r>
  <r>
    <x v="0"/>
    <x v="1192"/>
    <x v="1184"/>
    <x v="0"/>
    <x v="1"/>
  </r>
  <r>
    <x v="0"/>
    <x v="1193"/>
    <x v="1185"/>
    <x v="0"/>
    <x v="1"/>
  </r>
  <r>
    <x v="0"/>
    <x v="1194"/>
    <x v="1186"/>
    <x v="0"/>
    <x v="1"/>
  </r>
  <r>
    <x v="0"/>
    <x v="1195"/>
    <x v="1187"/>
    <x v="0"/>
    <x v="1"/>
  </r>
  <r>
    <x v="0"/>
    <x v="1196"/>
    <x v="1188"/>
    <x v="0"/>
    <x v="1"/>
  </r>
  <r>
    <x v="0"/>
    <x v="1197"/>
    <x v="1189"/>
    <x v="0"/>
    <x v="1"/>
  </r>
  <r>
    <x v="0"/>
    <x v="1198"/>
    <x v="1190"/>
    <x v="0"/>
    <x v="1"/>
  </r>
  <r>
    <x v="0"/>
    <x v="1199"/>
    <x v="1191"/>
    <x v="0"/>
    <x v="1"/>
  </r>
  <r>
    <x v="0"/>
    <x v="1200"/>
    <x v="1192"/>
    <x v="0"/>
    <x v="1"/>
  </r>
  <r>
    <x v="0"/>
    <x v="1201"/>
    <x v="1193"/>
    <x v="0"/>
    <x v="1"/>
  </r>
  <r>
    <x v="0"/>
    <x v="1202"/>
    <x v="1194"/>
    <x v="0"/>
    <x v="1"/>
  </r>
  <r>
    <x v="0"/>
    <x v="1203"/>
    <x v="1195"/>
    <x v="0"/>
    <x v="1"/>
  </r>
  <r>
    <x v="0"/>
    <x v="1204"/>
    <x v="1196"/>
    <x v="0"/>
    <x v="1"/>
  </r>
  <r>
    <x v="0"/>
    <x v="1205"/>
    <x v="1197"/>
    <x v="0"/>
    <x v="1"/>
  </r>
  <r>
    <x v="0"/>
    <x v="1206"/>
    <x v="1198"/>
    <x v="0"/>
    <x v="1"/>
  </r>
  <r>
    <x v="0"/>
    <x v="1207"/>
    <x v="1199"/>
    <x v="0"/>
    <x v="1"/>
  </r>
  <r>
    <x v="0"/>
    <x v="1208"/>
    <x v="1200"/>
    <x v="0"/>
    <x v="1"/>
  </r>
  <r>
    <x v="0"/>
    <x v="1209"/>
    <x v="1201"/>
    <x v="0"/>
    <x v="1"/>
  </r>
  <r>
    <x v="0"/>
    <x v="1210"/>
    <x v="1202"/>
    <x v="0"/>
    <x v="1"/>
  </r>
  <r>
    <x v="0"/>
    <x v="1211"/>
    <x v="1203"/>
    <x v="0"/>
    <x v="0"/>
  </r>
  <r>
    <x v="0"/>
    <x v="1212"/>
    <x v="1204"/>
    <x v="0"/>
    <x v="0"/>
  </r>
  <r>
    <x v="0"/>
    <x v="1213"/>
    <x v="1205"/>
    <x v="0"/>
    <x v="0"/>
  </r>
  <r>
    <x v="0"/>
    <x v="1214"/>
    <x v="1206"/>
    <x v="0"/>
    <x v="0"/>
  </r>
  <r>
    <x v="0"/>
    <x v="1215"/>
    <x v="1207"/>
    <x v="0"/>
    <x v="0"/>
  </r>
  <r>
    <x v="0"/>
    <x v="1216"/>
    <x v="1208"/>
    <x v="0"/>
    <x v="0"/>
  </r>
  <r>
    <x v="0"/>
    <x v="1217"/>
    <x v="1209"/>
    <x v="0"/>
    <x v="0"/>
  </r>
  <r>
    <x v="0"/>
    <x v="1218"/>
    <x v="1210"/>
    <x v="0"/>
    <x v="4"/>
  </r>
  <r>
    <x v="0"/>
    <x v="1219"/>
    <x v="1211"/>
    <x v="0"/>
    <x v="4"/>
  </r>
  <r>
    <x v="0"/>
    <x v="1220"/>
    <x v="1212"/>
    <x v="0"/>
    <x v="2"/>
  </r>
  <r>
    <x v="0"/>
    <x v="1221"/>
    <x v="1213"/>
    <x v="0"/>
    <x v="0"/>
  </r>
  <r>
    <x v="0"/>
    <x v="1222"/>
    <x v="1214"/>
    <x v="0"/>
    <x v="1"/>
  </r>
  <r>
    <x v="0"/>
    <x v="1223"/>
    <x v="1215"/>
    <x v="0"/>
    <x v="1"/>
  </r>
  <r>
    <x v="0"/>
    <x v="1224"/>
    <x v="1216"/>
    <x v="0"/>
    <x v="1"/>
  </r>
  <r>
    <x v="0"/>
    <x v="1225"/>
    <x v="1217"/>
    <x v="0"/>
    <x v="1"/>
  </r>
  <r>
    <x v="0"/>
    <x v="1226"/>
    <x v="1218"/>
    <x v="0"/>
    <x v="1"/>
  </r>
  <r>
    <x v="0"/>
    <x v="1227"/>
    <x v="1219"/>
    <x v="0"/>
    <x v="1"/>
  </r>
  <r>
    <x v="0"/>
    <x v="1228"/>
    <x v="1220"/>
    <x v="0"/>
    <x v="1"/>
  </r>
  <r>
    <x v="0"/>
    <x v="1229"/>
    <x v="1221"/>
    <x v="0"/>
    <x v="0"/>
  </r>
  <r>
    <x v="0"/>
    <x v="1230"/>
    <x v="1222"/>
    <x v="0"/>
    <x v="0"/>
  </r>
  <r>
    <x v="0"/>
    <x v="1231"/>
    <x v="1221"/>
    <x v="0"/>
    <x v="0"/>
  </r>
  <r>
    <x v="0"/>
    <x v="1232"/>
    <x v="1223"/>
    <x v="0"/>
    <x v="0"/>
  </r>
  <r>
    <x v="0"/>
    <x v="1233"/>
    <x v="1224"/>
    <x v="0"/>
    <x v="1"/>
  </r>
  <r>
    <x v="0"/>
    <x v="1234"/>
    <x v="1225"/>
    <x v="0"/>
    <x v="1"/>
  </r>
  <r>
    <x v="0"/>
    <x v="1235"/>
    <x v="1226"/>
    <x v="0"/>
    <x v="1"/>
  </r>
  <r>
    <x v="0"/>
    <x v="1236"/>
    <x v="1227"/>
    <x v="0"/>
    <x v="1"/>
  </r>
  <r>
    <x v="0"/>
    <x v="1237"/>
    <x v="1228"/>
    <x v="0"/>
    <x v="1"/>
  </r>
  <r>
    <x v="0"/>
    <x v="1238"/>
    <x v="1229"/>
    <x v="0"/>
    <x v="1"/>
  </r>
  <r>
    <x v="0"/>
    <x v="1239"/>
    <x v="1230"/>
    <x v="0"/>
    <x v="1"/>
  </r>
  <r>
    <x v="0"/>
    <x v="1240"/>
    <x v="1231"/>
    <x v="0"/>
    <x v="1"/>
  </r>
  <r>
    <x v="0"/>
    <x v="1241"/>
    <x v="1232"/>
    <x v="0"/>
    <x v="1"/>
  </r>
  <r>
    <x v="0"/>
    <x v="1242"/>
    <x v="1233"/>
    <x v="0"/>
    <x v="1"/>
  </r>
  <r>
    <x v="0"/>
    <x v="1243"/>
    <x v="1234"/>
    <x v="0"/>
    <x v="1"/>
  </r>
  <r>
    <x v="0"/>
    <x v="1244"/>
    <x v="1235"/>
    <x v="0"/>
    <x v="1"/>
  </r>
  <r>
    <x v="0"/>
    <x v="1245"/>
    <x v="1236"/>
    <x v="0"/>
    <x v="1"/>
  </r>
  <r>
    <x v="0"/>
    <x v="1246"/>
    <x v="1237"/>
    <x v="0"/>
    <x v="1"/>
  </r>
  <r>
    <x v="0"/>
    <x v="1247"/>
    <x v="1238"/>
    <x v="0"/>
    <x v="1"/>
  </r>
  <r>
    <x v="0"/>
    <x v="1248"/>
    <x v="1239"/>
    <x v="0"/>
    <x v="1"/>
  </r>
  <r>
    <x v="0"/>
    <x v="1249"/>
    <x v="1240"/>
    <x v="0"/>
    <x v="1"/>
  </r>
  <r>
    <x v="0"/>
    <x v="1250"/>
    <x v="1241"/>
    <x v="0"/>
    <x v="1"/>
  </r>
  <r>
    <x v="0"/>
    <x v="1251"/>
    <x v="1242"/>
    <x v="0"/>
    <x v="1"/>
  </r>
  <r>
    <x v="0"/>
    <x v="1252"/>
    <x v="1243"/>
    <x v="0"/>
    <x v="1"/>
  </r>
  <r>
    <x v="0"/>
    <x v="1253"/>
    <x v="1244"/>
    <x v="0"/>
    <x v="1"/>
  </r>
  <r>
    <x v="0"/>
    <x v="1254"/>
    <x v="1245"/>
    <x v="0"/>
    <x v="1"/>
  </r>
  <r>
    <x v="0"/>
    <x v="1255"/>
    <x v="1246"/>
    <x v="0"/>
    <x v="1"/>
  </r>
  <r>
    <x v="0"/>
    <x v="1256"/>
    <x v="1247"/>
    <x v="0"/>
    <x v="1"/>
  </r>
  <r>
    <x v="0"/>
    <x v="1257"/>
    <x v="1248"/>
    <x v="0"/>
    <x v="1"/>
  </r>
  <r>
    <x v="0"/>
    <x v="1258"/>
    <x v="1249"/>
    <x v="0"/>
    <x v="1"/>
  </r>
  <r>
    <x v="0"/>
    <x v="1259"/>
    <x v="1250"/>
    <x v="0"/>
    <x v="1"/>
  </r>
  <r>
    <x v="0"/>
    <x v="1260"/>
    <x v="1251"/>
    <x v="0"/>
    <x v="1"/>
  </r>
  <r>
    <x v="0"/>
    <x v="1261"/>
    <x v="1252"/>
    <x v="0"/>
    <x v="1"/>
  </r>
  <r>
    <x v="0"/>
    <x v="1262"/>
    <x v="1253"/>
    <x v="0"/>
    <x v="1"/>
  </r>
  <r>
    <x v="0"/>
    <x v="1263"/>
    <x v="1254"/>
    <x v="0"/>
    <x v="1"/>
  </r>
  <r>
    <x v="0"/>
    <x v="1264"/>
    <x v="1255"/>
    <x v="0"/>
    <x v="1"/>
  </r>
  <r>
    <x v="0"/>
    <x v="1265"/>
    <x v="1256"/>
    <x v="0"/>
    <x v="1"/>
  </r>
  <r>
    <x v="0"/>
    <x v="1266"/>
    <x v="1257"/>
    <x v="0"/>
    <x v="1"/>
  </r>
  <r>
    <x v="0"/>
    <x v="1267"/>
    <x v="1258"/>
    <x v="0"/>
    <x v="1"/>
  </r>
  <r>
    <x v="0"/>
    <x v="1268"/>
    <x v="1259"/>
    <x v="0"/>
    <x v="1"/>
  </r>
  <r>
    <x v="0"/>
    <x v="1269"/>
    <x v="1260"/>
    <x v="0"/>
    <x v="1"/>
  </r>
  <r>
    <x v="0"/>
    <x v="1270"/>
    <x v="1261"/>
    <x v="0"/>
    <x v="3"/>
  </r>
  <r>
    <x v="0"/>
    <x v="1271"/>
    <x v="1262"/>
    <x v="0"/>
    <x v="1"/>
  </r>
  <r>
    <x v="0"/>
    <x v="1272"/>
    <x v="1263"/>
    <x v="0"/>
    <x v="1"/>
  </r>
  <r>
    <x v="0"/>
    <x v="1273"/>
    <x v="1264"/>
    <x v="0"/>
    <x v="1"/>
  </r>
  <r>
    <x v="0"/>
    <x v="1274"/>
    <x v="1265"/>
    <x v="0"/>
    <x v="1"/>
  </r>
  <r>
    <x v="0"/>
    <x v="1275"/>
    <x v="1266"/>
    <x v="0"/>
    <x v="1"/>
  </r>
  <r>
    <x v="0"/>
    <x v="1276"/>
    <x v="1267"/>
    <x v="0"/>
    <x v="1"/>
  </r>
  <r>
    <x v="0"/>
    <x v="1277"/>
    <x v="1268"/>
    <x v="0"/>
    <x v="1"/>
  </r>
  <r>
    <x v="0"/>
    <x v="1278"/>
    <x v="1269"/>
    <x v="0"/>
    <x v="1"/>
  </r>
  <r>
    <x v="0"/>
    <x v="1279"/>
    <x v="1270"/>
    <x v="0"/>
    <x v="1"/>
  </r>
  <r>
    <x v="0"/>
    <x v="1280"/>
    <x v="1271"/>
    <x v="0"/>
    <x v="1"/>
  </r>
  <r>
    <x v="0"/>
    <x v="1281"/>
    <x v="1272"/>
    <x v="0"/>
    <x v="1"/>
  </r>
  <r>
    <x v="0"/>
    <x v="1282"/>
    <x v="1273"/>
    <x v="0"/>
    <x v="1"/>
  </r>
  <r>
    <x v="0"/>
    <x v="1283"/>
    <x v="1274"/>
    <x v="0"/>
    <x v="1"/>
  </r>
  <r>
    <x v="0"/>
    <x v="1284"/>
    <x v="1275"/>
    <x v="0"/>
    <x v="1"/>
  </r>
  <r>
    <x v="0"/>
    <x v="1285"/>
    <x v="1276"/>
    <x v="0"/>
    <x v="1"/>
  </r>
  <r>
    <x v="0"/>
    <x v="1286"/>
    <x v="1277"/>
    <x v="0"/>
    <x v="1"/>
  </r>
  <r>
    <x v="0"/>
    <x v="1287"/>
    <x v="1278"/>
    <x v="0"/>
    <x v="1"/>
  </r>
  <r>
    <x v="0"/>
    <x v="1288"/>
    <x v="1279"/>
    <x v="0"/>
    <x v="1"/>
  </r>
  <r>
    <x v="0"/>
    <x v="1289"/>
    <x v="1280"/>
    <x v="0"/>
    <x v="1"/>
  </r>
  <r>
    <x v="0"/>
    <x v="1290"/>
    <x v="1281"/>
    <x v="0"/>
    <x v="1"/>
  </r>
  <r>
    <x v="0"/>
    <x v="1291"/>
    <x v="1282"/>
    <x v="0"/>
    <x v="1"/>
  </r>
  <r>
    <x v="0"/>
    <x v="1292"/>
    <x v="1283"/>
    <x v="0"/>
    <x v="1"/>
  </r>
  <r>
    <x v="0"/>
    <x v="1293"/>
    <x v="1284"/>
    <x v="0"/>
    <x v="1"/>
  </r>
  <r>
    <x v="0"/>
    <x v="1294"/>
    <x v="1285"/>
    <x v="0"/>
    <x v="1"/>
  </r>
  <r>
    <x v="0"/>
    <x v="1295"/>
    <x v="1286"/>
    <x v="0"/>
    <x v="1"/>
  </r>
  <r>
    <x v="0"/>
    <x v="1296"/>
    <x v="1287"/>
    <x v="0"/>
    <x v="1"/>
  </r>
  <r>
    <x v="0"/>
    <x v="1297"/>
    <x v="1288"/>
    <x v="0"/>
    <x v="1"/>
  </r>
  <r>
    <x v="0"/>
    <x v="1298"/>
    <x v="1289"/>
    <x v="0"/>
    <x v="1"/>
  </r>
  <r>
    <x v="0"/>
    <x v="1299"/>
    <x v="1290"/>
    <x v="0"/>
    <x v="0"/>
  </r>
  <r>
    <x v="0"/>
    <x v="1300"/>
    <x v="1291"/>
    <x v="0"/>
    <x v="0"/>
  </r>
  <r>
    <x v="0"/>
    <x v="1301"/>
    <x v="1292"/>
    <x v="0"/>
    <x v="2"/>
  </r>
  <r>
    <x v="0"/>
    <x v="1302"/>
    <x v="1293"/>
    <x v="0"/>
    <x v="2"/>
  </r>
  <r>
    <x v="0"/>
    <x v="1303"/>
    <x v="1294"/>
    <x v="0"/>
    <x v="1"/>
  </r>
  <r>
    <x v="0"/>
    <x v="1304"/>
    <x v="1295"/>
    <x v="0"/>
    <x v="1"/>
  </r>
  <r>
    <x v="0"/>
    <x v="1305"/>
    <x v="1296"/>
    <x v="0"/>
    <x v="1"/>
  </r>
  <r>
    <x v="0"/>
    <x v="1306"/>
    <x v="1297"/>
    <x v="0"/>
    <x v="1"/>
  </r>
  <r>
    <x v="0"/>
    <x v="1307"/>
    <x v="1298"/>
    <x v="0"/>
    <x v="1"/>
  </r>
  <r>
    <x v="0"/>
    <x v="1308"/>
    <x v="1299"/>
    <x v="0"/>
    <x v="1"/>
  </r>
  <r>
    <x v="0"/>
    <x v="1309"/>
    <x v="1300"/>
    <x v="0"/>
    <x v="1"/>
  </r>
  <r>
    <x v="0"/>
    <x v="1310"/>
    <x v="1301"/>
    <x v="0"/>
    <x v="1"/>
  </r>
  <r>
    <x v="0"/>
    <x v="1311"/>
    <x v="1302"/>
    <x v="0"/>
    <x v="1"/>
  </r>
  <r>
    <x v="0"/>
    <x v="1312"/>
    <x v="1300"/>
    <x v="0"/>
    <x v="1"/>
  </r>
  <r>
    <x v="0"/>
    <x v="1313"/>
    <x v="1303"/>
    <x v="0"/>
    <x v="1"/>
  </r>
  <r>
    <x v="0"/>
    <x v="1314"/>
    <x v="1304"/>
    <x v="0"/>
    <x v="1"/>
  </r>
  <r>
    <x v="0"/>
    <x v="1315"/>
    <x v="1305"/>
    <x v="0"/>
    <x v="1"/>
  </r>
  <r>
    <x v="0"/>
    <x v="1316"/>
    <x v="1306"/>
    <x v="0"/>
    <x v="1"/>
  </r>
  <r>
    <x v="0"/>
    <x v="1317"/>
    <x v="1307"/>
    <x v="0"/>
    <x v="1"/>
  </r>
  <r>
    <x v="0"/>
    <x v="1318"/>
    <x v="1308"/>
    <x v="0"/>
    <x v="1"/>
  </r>
  <r>
    <x v="0"/>
    <x v="1319"/>
    <x v="1309"/>
    <x v="0"/>
    <x v="2"/>
  </r>
  <r>
    <x v="0"/>
    <x v="1320"/>
    <x v="1310"/>
    <x v="0"/>
    <x v="2"/>
  </r>
  <r>
    <x v="0"/>
    <x v="1321"/>
    <x v="1311"/>
    <x v="0"/>
    <x v="2"/>
  </r>
  <r>
    <x v="0"/>
    <x v="1322"/>
    <x v="1312"/>
    <x v="0"/>
    <x v="2"/>
  </r>
  <r>
    <x v="0"/>
    <x v="1323"/>
    <x v="1313"/>
    <x v="0"/>
    <x v="2"/>
  </r>
  <r>
    <x v="0"/>
    <x v="1324"/>
    <x v="1314"/>
    <x v="0"/>
    <x v="1"/>
  </r>
  <r>
    <x v="0"/>
    <x v="1325"/>
    <x v="1315"/>
    <x v="0"/>
    <x v="1"/>
  </r>
  <r>
    <x v="0"/>
    <x v="1326"/>
    <x v="1316"/>
    <x v="0"/>
    <x v="1"/>
  </r>
  <r>
    <x v="0"/>
    <x v="1327"/>
    <x v="1317"/>
    <x v="0"/>
    <x v="1"/>
  </r>
  <r>
    <x v="0"/>
    <x v="1328"/>
    <x v="1318"/>
    <x v="0"/>
    <x v="3"/>
  </r>
  <r>
    <x v="0"/>
    <x v="1329"/>
    <x v="1319"/>
    <x v="0"/>
    <x v="2"/>
  </r>
  <r>
    <x v="0"/>
    <x v="1330"/>
    <x v="1320"/>
    <x v="0"/>
    <x v="2"/>
  </r>
  <r>
    <x v="0"/>
    <x v="1331"/>
    <x v="1321"/>
    <x v="0"/>
    <x v="2"/>
  </r>
  <r>
    <x v="0"/>
    <x v="1332"/>
    <x v="1322"/>
    <x v="0"/>
    <x v="2"/>
  </r>
  <r>
    <x v="0"/>
    <x v="1333"/>
    <x v="1323"/>
    <x v="0"/>
    <x v="0"/>
  </r>
  <r>
    <x v="0"/>
    <x v="1334"/>
    <x v="1324"/>
    <x v="0"/>
    <x v="2"/>
  </r>
  <r>
    <x v="0"/>
    <x v="1335"/>
    <x v="1325"/>
    <x v="0"/>
    <x v="2"/>
  </r>
  <r>
    <x v="0"/>
    <x v="1336"/>
    <x v="1326"/>
    <x v="0"/>
    <x v="4"/>
  </r>
  <r>
    <x v="0"/>
    <x v="1337"/>
    <x v="1327"/>
    <x v="0"/>
    <x v="0"/>
  </r>
  <r>
    <x v="0"/>
    <x v="1338"/>
    <x v="1328"/>
    <x v="0"/>
    <x v="2"/>
  </r>
  <r>
    <x v="0"/>
    <x v="1339"/>
    <x v="1329"/>
    <x v="0"/>
    <x v="0"/>
  </r>
  <r>
    <x v="0"/>
    <x v="1340"/>
    <x v="1330"/>
    <x v="0"/>
    <x v="0"/>
  </r>
  <r>
    <x v="0"/>
    <x v="1341"/>
    <x v="1331"/>
    <x v="0"/>
    <x v="2"/>
  </r>
  <r>
    <x v="0"/>
    <x v="1342"/>
    <x v="1332"/>
    <x v="0"/>
    <x v="0"/>
  </r>
  <r>
    <x v="0"/>
    <x v="1343"/>
    <x v="1333"/>
    <x v="0"/>
    <x v="0"/>
  </r>
  <r>
    <x v="0"/>
    <x v="1344"/>
    <x v="1334"/>
    <x v="0"/>
    <x v="0"/>
  </r>
  <r>
    <x v="0"/>
    <x v="1345"/>
    <x v="1335"/>
    <x v="0"/>
    <x v="1"/>
  </r>
  <r>
    <x v="0"/>
    <x v="1346"/>
    <x v="1336"/>
    <x v="0"/>
    <x v="1"/>
  </r>
  <r>
    <x v="0"/>
    <x v="1347"/>
    <x v="1337"/>
    <x v="0"/>
    <x v="1"/>
  </r>
  <r>
    <x v="0"/>
    <x v="1348"/>
    <x v="1338"/>
    <x v="0"/>
    <x v="0"/>
  </r>
  <r>
    <x v="0"/>
    <x v="1349"/>
    <x v="1339"/>
    <x v="0"/>
    <x v="0"/>
  </r>
  <r>
    <x v="0"/>
    <x v="1350"/>
    <x v="1340"/>
    <x v="0"/>
    <x v="1"/>
  </r>
  <r>
    <x v="0"/>
    <x v="1351"/>
    <x v="1341"/>
    <x v="0"/>
    <x v="1"/>
  </r>
  <r>
    <x v="0"/>
    <x v="1352"/>
    <x v="1342"/>
    <x v="0"/>
    <x v="1"/>
  </r>
  <r>
    <x v="0"/>
    <x v="1353"/>
    <x v="1343"/>
    <x v="0"/>
    <x v="1"/>
  </r>
  <r>
    <x v="0"/>
    <x v="1354"/>
    <x v="1344"/>
    <x v="0"/>
    <x v="1"/>
  </r>
  <r>
    <x v="0"/>
    <x v="1355"/>
    <x v="1345"/>
    <x v="0"/>
    <x v="1"/>
  </r>
  <r>
    <x v="0"/>
    <x v="1356"/>
    <x v="1346"/>
    <x v="0"/>
    <x v="1"/>
  </r>
  <r>
    <x v="0"/>
    <x v="1357"/>
    <x v="1347"/>
    <x v="0"/>
    <x v="1"/>
  </r>
  <r>
    <x v="0"/>
    <x v="1358"/>
    <x v="1344"/>
    <x v="0"/>
    <x v="1"/>
  </r>
  <r>
    <x v="0"/>
    <x v="1359"/>
    <x v="1348"/>
    <x v="0"/>
    <x v="1"/>
  </r>
  <r>
    <x v="0"/>
    <x v="1360"/>
    <x v="1349"/>
    <x v="0"/>
    <x v="1"/>
  </r>
  <r>
    <x v="0"/>
    <x v="1361"/>
    <x v="1350"/>
    <x v="0"/>
    <x v="1"/>
  </r>
  <r>
    <x v="0"/>
    <x v="1362"/>
    <x v="1351"/>
    <x v="0"/>
    <x v="1"/>
  </r>
  <r>
    <x v="0"/>
    <x v="1363"/>
    <x v="1352"/>
    <x v="0"/>
    <x v="4"/>
  </r>
  <r>
    <x v="0"/>
    <x v="1364"/>
    <x v="1353"/>
    <x v="0"/>
    <x v="4"/>
  </r>
  <r>
    <x v="0"/>
    <x v="1365"/>
    <x v="1354"/>
    <x v="0"/>
    <x v="3"/>
  </r>
  <r>
    <x v="0"/>
    <x v="1366"/>
    <x v="1355"/>
    <x v="0"/>
    <x v="3"/>
  </r>
  <r>
    <x v="0"/>
    <x v="1367"/>
    <x v="1356"/>
    <x v="0"/>
    <x v="3"/>
  </r>
  <r>
    <x v="0"/>
    <x v="1368"/>
    <x v="1357"/>
    <x v="0"/>
    <x v="3"/>
  </r>
  <r>
    <x v="0"/>
    <x v="1369"/>
    <x v="1358"/>
    <x v="0"/>
    <x v="3"/>
  </r>
  <r>
    <x v="0"/>
    <x v="1370"/>
    <x v="1359"/>
    <x v="0"/>
    <x v="0"/>
  </r>
  <r>
    <x v="0"/>
    <x v="1371"/>
    <x v="1360"/>
    <x v="0"/>
    <x v="0"/>
  </r>
  <r>
    <x v="0"/>
    <x v="1372"/>
    <x v="1361"/>
    <x v="0"/>
    <x v="0"/>
  </r>
  <r>
    <x v="0"/>
    <x v="1373"/>
    <x v="1362"/>
    <x v="0"/>
    <x v="0"/>
  </r>
  <r>
    <x v="0"/>
    <x v="1374"/>
    <x v="1363"/>
    <x v="0"/>
    <x v="0"/>
  </r>
  <r>
    <x v="0"/>
    <x v="1375"/>
    <x v="1364"/>
    <x v="0"/>
    <x v="2"/>
  </r>
  <r>
    <x v="0"/>
    <x v="1376"/>
    <x v="1365"/>
    <x v="0"/>
    <x v="2"/>
  </r>
  <r>
    <x v="0"/>
    <x v="1377"/>
    <x v="1366"/>
    <x v="0"/>
    <x v="2"/>
  </r>
  <r>
    <x v="0"/>
    <x v="1378"/>
    <x v="1367"/>
    <x v="0"/>
    <x v="2"/>
  </r>
  <r>
    <x v="0"/>
    <x v="1379"/>
    <x v="1368"/>
    <x v="0"/>
    <x v="2"/>
  </r>
  <r>
    <x v="0"/>
    <x v="1380"/>
    <x v="1369"/>
    <x v="0"/>
    <x v="2"/>
  </r>
  <r>
    <x v="0"/>
    <x v="1381"/>
    <x v="1370"/>
    <x v="0"/>
    <x v="0"/>
  </r>
  <r>
    <x v="0"/>
    <x v="1382"/>
    <x v="1371"/>
    <x v="0"/>
    <x v="0"/>
  </r>
  <r>
    <x v="0"/>
    <x v="1383"/>
    <x v="1372"/>
    <x v="0"/>
    <x v="0"/>
  </r>
  <r>
    <x v="0"/>
    <x v="1384"/>
    <x v="1373"/>
    <x v="0"/>
    <x v="0"/>
  </r>
  <r>
    <x v="0"/>
    <x v="1385"/>
    <x v="1374"/>
    <x v="0"/>
    <x v="0"/>
  </r>
  <r>
    <x v="0"/>
    <x v="1386"/>
    <x v="1375"/>
    <x v="0"/>
    <x v="0"/>
  </r>
  <r>
    <x v="0"/>
    <x v="1387"/>
    <x v="1376"/>
    <x v="0"/>
    <x v="0"/>
  </r>
  <r>
    <x v="0"/>
    <x v="1388"/>
    <x v="1377"/>
    <x v="0"/>
    <x v="0"/>
  </r>
  <r>
    <x v="0"/>
    <x v="1389"/>
    <x v="1378"/>
    <x v="0"/>
    <x v="0"/>
  </r>
  <r>
    <x v="0"/>
    <x v="1390"/>
    <x v="1379"/>
    <x v="0"/>
    <x v="0"/>
  </r>
  <r>
    <x v="0"/>
    <x v="1391"/>
    <x v="1380"/>
    <x v="0"/>
    <x v="0"/>
  </r>
  <r>
    <x v="0"/>
    <x v="1392"/>
    <x v="1381"/>
    <x v="0"/>
    <x v="0"/>
  </r>
  <r>
    <x v="0"/>
    <x v="1393"/>
    <x v="1381"/>
    <x v="0"/>
    <x v="0"/>
  </r>
  <r>
    <x v="0"/>
    <x v="1394"/>
    <x v="1382"/>
    <x v="0"/>
    <x v="0"/>
  </r>
  <r>
    <x v="0"/>
    <x v="1395"/>
    <x v="1383"/>
    <x v="0"/>
    <x v="0"/>
  </r>
  <r>
    <x v="0"/>
    <x v="1396"/>
    <x v="1384"/>
    <x v="0"/>
    <x v="0"/>
  </r>
  <r>
    <x v="0"/>
    <x v="1397"/>
    <x v="1385"/>
    <x v="0"/>
    <x v="0"/>
  </r>
  <r>
    <x v="0"/>
    <x v="1398"/>
    <x v="1386"/>
    <x v="0"/>
    <x v="3"/>
  </r>
  <r>
    <x v="0"/>
    <x v="1399"/>
    <x v="1387"/>
    <x v="0"/>
    <x v="3"/>
  </r>
  <r>
    <x v="0"/>
    <x v="1400"/>
    <x v="1388"/>
    <x v="0"/>
    <x v="0"/>
  </r>
  <r>
    <x v="0"/>
    <x v="1401"/>
    <x v="1389"/>
    <x v="0"/>
    <x v="2"/>
  </r>
  <r>
    <x v="0"/>
    <x v="1402"/>
    <x v="1390"/>
    <x v="0"/>
    <x v="2"/>
  </r>
  <r>
    <x v="0"/>
    <x v="1403"/>
    <x v="1391"/>
    <x v="0"/>
    <x v="0"/>
  </r>
  <r>
    <x v="0"/>
    <x v="1404"/>
    <x v="1392"/>
    <x v="0"/>
    <x v="0"/>
  </r>
  <r>
    <x v="0"/>
    <x v="1405"/>
    <x v="1393"/>
    <x v="0"/>
    <x v="0"/>
  </r>
  <r>
    <x v="0"/>
    <x v="1406"/>
    <x v="1394"/>
    <x v="0"/>
    <x v="0"/>
  </r>
  <r>
    <x v="0"/>
    <x v="1407"/>
    <x v="1395"/>
    <x v="0"/>
    <x v="0"/>
  </r>
  <r>
    <x v="0"/>
    <x v="1408"/>
    <x v="1396"/>
    <x v="0"/>
    <x v="0"/>
  </r>
  <r>
    <x v="0"/>
    <x v="1409"/>
    <x v="1397"/>
    <x v="0"/>
    <x v="0"/>
  </r>
  <r>
    <x v="0"/>
    <x v="1410"/>
    <x v="1398"/>
    <x v="0"/>
    <x v="0"/>
  </r>
  <r>
    <x v="0"/>
    <x v="1411"/>
    <x v="1399"/>
    <x v="0"/>
    <x v="3"/>
  </r>
  <r>
    <x v="0"/>
    <x v="1412"/>
    <x v="1400"/>
    <x v="0"/>
    <x v="1"/>
  </r>
  <r>
    <x v="0"/>
    <x v="1413"/>
    <x v="1401"/>
    <x v="0"/>
    <x v="1"/>
  </r>
  <r>
    <x v="0"/>
    <x v="1414"/>
    <x v="1402"/>
    <x v="0"/>
    <x v="1"/>
  </r>
  <r>
    <x v="0"/>
    <x v="1415"/>
    <x v="1403"/>
    <x v="0"/>
    <x v="2"/>
  </r>
  <r>
    <x v="0"/>
    <x v="1416"/>
    <x v="1404"/>
    <x v="0"/>
    <x v="0"/>
  </r>
  <r>
    <x v="0"/>
    <x v="1417"/>
    <x v="1405"/>
    <x v="0"/>
    <x v="0"/>
  </r>
  <r>
    <x v="0"/>
    <x v="1418"/>
    <x v="1406"/>
    <x v="0"/>
    <x v="5"/>
  </r>
  <r>
    <x v="0"/>
    <x v="1419"/>
    <x v="1407"/>
    <x v="0"/>
    <x v="5"/>
  </r>
  <r>
    <x v="0"/>
    <x v="1420"/>
    <x v="1408"/>
    <x v="0"/>
    <x v="5"/>
  </r>
  <r>
    <x v="0"/>
    <x v="1421"/>
    <x v="1409"/>
    <x v="0"/>
    <x v="5"/>
  </r>
  <r>
    <x v="0"/>
    <x v="1422"/>
    <x v="1410"/>
    <x v="0"/>
    <x v="5"/>
  </r>
  <r>
    <x v="0"/>
    <x v="1423"/>
    <x v="1411"/>
    <x v="0"/>
    <x v="1"/>
  </r>
  <r>
    <x v="0"/>
    <x v="1424"/>
    <x v="1412"/>
    <x v="0"/>
    <x v="1"/>
  </r>
  <r>
    <x v="0"/>
    <x v="1425"/>
    <x v="1413"/>
    <x v="0"/>
    <x v="1"/>
  </r>
  <r>
    <x v="0"/>
    <x v="1426"/>
    <x v="1414"/>
    <x v="0"/>
    <x v="1"/>
  </r>
  <r>
    <x v="0"/>
    <x v="1427"/>
    <x v="1415"/>
    <x v="0"/>
    <x v="1"/>
  </r>
  <r>
    <x v="0"/>
    <x v="1428"/>
    <x v="1416"/>
    <x v="0"/>
    <x v="1"/>
  </r>
  <r>
    <x v="0"/>
    <x v="1429"/>
    <x v="1417"/>
    <x v="0"/>
    <x v="5"/>
  </r>
  <r>
    <x v="0"/>
    <x v="1430"/>
    <x v="1418"/>
    <x v="0"/>
    <x v="5"/>
  </r>
  <r>
    <x v="0"/>
    <x v="1431"/>
    <x v="1419"/>
    <x v="0"/>
    <x v="5"/>
  </r>
  <r>
    <x v="0"/>
    <x v="1432"/>
    <x v="1420"/>
    <x v="0"/>
    <x v="5"/>
  </r>
  <r>
    <x v="0"/>
    <x v="1433"/>
    <x v="1421"/>
    <x v="0"/>
    <x v="5"/>
  </r>
  <r>
    <x v="0"/>
    <x v="1434"/>
    <x v="1422"/>
    <x v="0"/>
    <x v="2"/>
  </r>
  <r>
    <x v="0"/>
    <x v="1435"/>
    <x v="1423"/>
    <x v="0"/>
    <x v="3"/>
  </r>
  <r>
    <x v="0"/>
    <x v="1436"/>
    <x v="1424"/>
    <x v="0"/>
    <x v="2"/>
  </r>
  <r>
    <x v="0"/>
    <x v="1437"/>
    <x v="1425"/>
    <x v="0"/>
    <x v="1"/>
  </r>
  <r>
    <x v="0"/>
    <x v="1438"/>
    <x v="1426"/>
    <x v="0"/>
    <x v="1"/>
  </r>
  <r>
    <x v="0"/>
    <x v="1439"/>
    <x v="1427"/>
    <x v="0"/>
    <x v="1"/>
  </r>
  <r>
    <x v="0"/>
    <x v="1440"/>
    <x v="1428"/>
    <x v="0"/>
    <x v="1"/>
  </r>
  <r>
    <x v="0"/>
    <x v="1441"/>
    <x v="1429"/>
    <x v="0"/>
    <x v="5"/>
  </r>
  <r>
    <x v="0"/>
    <x v="1442"/>
    <x v="1430"/>
    <x v="0"/>
    <x v="5"/>
  </r>
  <r>
    <x v="0"/>
    <x v="1443"/>
    <x v="1431"/>
    <x v="0"/>
    <x v="5"/>
  </r>
  <r>
    <x v="0"/>
    <x v="1444"/>
    <x v="1432"/>
    <x v="0"/>
    <x v="5"/>
  </r>
  <r>
    <x v="0"/>
    <x v="1445"/>
    <x v="1433"/>
    <x v="0"/>
    <x v="5"/>
  </r>
  <r>
    <x v="0"/>
    <x v="1446"/>
    <x v="1434"/>
    <x v="0"/>
    <x v="5"/>
  </r>
  <r>
    <x v="0"/>
    <x v="1447"/>
    <x v="1435"/>
    <x v="0"/>
    <x v="5"/>
  </r>
  <r>
    <x v="0"/>
    <x v="1448"/>
    <x v="1436"/>
    <x v="0"/>
    <x v="5"/>
  </r>
  <r>
    <x v="0"/>
    <x v="1449"/>
    <x v="1437"/>
    <x v="0"/>
    <x v="5"/>
  </r>
  <r>
    <x v="0"/>
    <x v="1450"/>
    <x v="1438"/>
    <x v="0"/>
    <x v="5"/>
  </r>
  <r>
    <x v="0"/>
    <x v="1451"/>
    <x v="1439"/>
    <x v="0"/>
    <x v="5"/>
  </r>
  <r>
    <x v="0"/>
    <x v="1452"/>
    <x v="1440"/>
    <x v="0"/>
    <x v="5"/>
  </r>
  <r>
    <x v="0"/>
    <x v="1453"/>
    <x v="1441"/>
    <x v="0"/>
    <x v="5"/>
  </r>
  <r>
    <x v="0"/>
    <x v="1454"/>
    <x v="1442"/>
    <x v="0"/>
    <x v="5"/>
  </r>
  <r>
    <x v="0"/>
    <x v="1455"/>
    <x v="1443"/>
    <x v="0"/>
    <x v="5"/>
  </r>
  <r>
    <x v="0"/>
    <x v="1456"/>
    <x v="1444"/>
    <x v="0"/>
    <x v="5"/>
  </r>
  <r>
    <x v="0"/>
    <x v="1457"/>
    <x v="1445"/>
    <x v="0"/>
    <x v="5"/>
  </r>
  <r>
    <x v="0"/>
    <x v="1458"/>
    <x v="1446"/>
    <x v="0"/>
    <x v="5"/>
  </r>
  <r>
    <x v="0"/>
    <x v="1459"/>
    <x v="1447"/>
    <x v="0"/>
    <x v="5"/>
  </r>
  <r>
    <x v="0"/>
    <x v="1460"/>
    <x v="1448"/>
    <x v="0"/>
    <x v="5"/>
  </r>
  <r>
    <x v="0"/>
    <x v="1461"/>
    <x v="1449"/>
    <x v="0"/>
    <x v="0"/>
  </r>
  <r>
    <x v="0"/>
    <x v="1462"/>
    <x v="1450"/>
    <x v="0"/>
    <x v="0"/>
  </r>
  <r>
    <x v="0"/>
    <x v="1463"/>
    <x v="1451"/>
    <x v="0"/>
    <x v="0"/>
  </r>
  <r>
    <x v="0"/>
    <x v="1464"/>
    <x v="1452"/>
    <x v="0"/>
    <x v="0"/>
  </r>
  <r>
    <x v="0"/>
    <x v="1465"/>
    <x v="1453"/>
    <x v="0"/>
    <x v="0"/>
  </r>
  <r>
    <x v="0"/>
    <x v="1466"/>
    <x v="1454"/>
    <x v="0"/>
    <x v="0"/>
  </r>
  <r>
    <x v="0"/>
    <x v="1467"/>
    <x v="1455"/>
    <x v="0"/>
    <x v="0"/>
  </r>
  <r>
    <x v="0"/>
    <x v="1468"/>
    <x v="1456"/>
    <x v="0"/>
    <x v="3"/>
  </r>
  <r>
    <x v="0"/>
    <x v="1469"/>
    <x v="1457"/>
    <x v="0"/>
    <x v="1"/>
  </r>
  <r>
    <x v="0"/>
    <x v="1470"/>
    <x v="1458"/>
    <x v="0"/>
    <x v="1"/>
  </r>
  <r>
    <x v="0"/>
    <x v="1471"/>
    <x v="1459"/>
    <x v="0"/>
    <x v="1"/>
  </r>
  <r>
    <x v="0"/>
    <x v="1472"/>
    <x v="1460"/>
    <x v="0"/>
    <x v="1"/>
  </r>
  <r>
    <x v="0"/>
    <x v="1473"/>
    <x v="1461"/>
    <x v="0"/>
    <x v="1"/>
  </r>
  <r>
    <x v="0"/>
    <x v="1474"/>
    <x v="1462"/>
    <x v="0"/>
    <x v="1"/>
  </r>
  <r>
    <x v="0"/>
    <x v="1475"/>
    <x v="1463"/>
    <x v="0"/>
    <x v="1"/>
  </r>
  <r>
    <x v="0"/>
    <x v="1476"/>
    <x v="1464"/>
    <x v="0"/>
    <x v="1"/>
  </r>
  <r>
    <x v="0"/>
    <x v="1477"/>
    <x v="1411"/>
    <x v="0"/>
    <x v="1"/>
  </r>
  <r>
    <x v="0"/>
    <x v="1478"/>
    <x v="1465"/>
    <x v="0"/>
    <x v="1"/>
  </r>
  <r>
    <x v="0"/>
    <x v="1479"/>
    <x v="1466"/>
    <x v="0"/>
    <x v="1"/>
  </r>
  <r>
    <x v="0"/>
    <x v="1480"/>
    <x v="1414"/>
    <x v="0"/>
    <x v="1"/>
  </r>
  <r>
    <x v="0"/>
    <x v="1481"/>
    <x v="1467"/>
    <x v="0"/>
    <x v="1"/>
  </r>
  <r>
    <x v="0"/>
    <x v="1482"/>
    <x v="1468"/>
    <x v="0"/>
    <x v="1"/>
  </r>
  <r>
    <x v="0"/>
    <x v="1483"/>
    <x v="1469"/>
    <x v="0"/>
    <x v="1"/>
  </r>
  <r>
    <x v="0"/>
    <x v="1484"/>
    <x v="1470"/>
    <x v="0"/>
    <x v="1"/>
  </r>
  <r>
    <x v="0"/>
    <x v="1485"/>
    <x v="1471"/>
    <x v="0"/>
    <x v="1"/>
  </r>
  <r>
    <x v="0"/>
    <x v="1486"/>
    <x v="1472"/>
    <x v="0"/>
    <x v="1"/>
  </r>
  <r>
    <x v="0"/>
    <x v="1487"/>
    <x v="1473"/>
    <x v="0"/>
    <x v="1"/>
  </r>
  <r>
    <x v="0"/>
    <x v="1488"/>
    <x v="1470"/>
    <x v="0"/>
    <x v="1"/>
  </r>
  <r>
    <x v="0"/>
    <x v="1489"/>
    <x v="1472"/>
    <x v="0"/>
    <x v="1"/>
  </r>
  <r>
    <x v="0"/>
    <x v="1490"/>
    <x v="1473"/>
    <x v="0"/>
    <x v="1"/>
  </r>
  <r>
    <x v="0"/>
    <x v="1491"/>
    <x v="1474"/>
    <x v="0"/>
    <x v="2"/>
  </r>
  <r>
    <x v="0"/>
    <x v="1492"/>
    <x v="1475"/>
    <x v="0"/>
    <x v="1"/>
  </r>
  <r>
    <x v="0"/>
    <x v="1493"/>
    <x v="1476"/>
    <x v="0"/>
    <x v="1"/>
  </r>
  <r>
    <x v="0"/>
    <x v="1494"/>
    <x v="1477"/>
    <x v="0"/>
    <x v="1"/>
  </r>
  <r>
    <x v="0"/>
    <x v="1495"/>
    <x v="1478"/>
    <x v="0"/>
    <x v="1"/>
  </r>
  <r>
    <x v="0"/>
    <x v="1496"/>
    <x v="1479"/>
    <x v="0"/>
    <x v="1"/>
  </r>
  <r>
    <x v="0"/>
    <x v="1497"/>
    <x v="1480"/>
    <x v="0"/>
    <x v="1"/>
  </r>
  <r>
    <x v="0"/>
    <x v="1498"/>
    <x v="1481"/>
    <x v="0"/>
    <x v="3"/>
  </r>
  <r>
    <x v="0"/>
    <x v="1499"/>
    <x v="1482"/>
    <x v="0"/>
    <x v="1"/>
  </r>
  <r>
    <x v="0"/>
    <x v="1500"/>
    <x v="1483"/>
    <x v="0"/>
    <x v="1"/>
  </r>
  <r>
    <x v="0"/>
    <x v="1501"/>
    <x v="1484"/>
    <x v="0"/>
    <x v="1"/>
  </r>
  <r>
    <x v="0"/>
    <x v="1502"/>
    <x v="1485"/>
    <x v="0"/>
    <x v="1"/>
  </r>
  <r>
    <x v="0"/>
    <x v="1503"/>
    <x v="1486"/>
    <x v="0"/>
    <x v="1"/>
  </r>
  <r>
    <x v="0"/>
    <x v="1504"/>
    <x v="1487"/>
    <x v="0"/>
    <x v="2"/>
  </r>
  <r>
    <x v="0"/>
    <x v="1505"/>
    <x v="1488"/>
    <x v="0"/>
    <x v="2"/>
  </r>
  <r>
    <x v="0"/>
    <x v="1506"/>
    <x v="1489"/>
    <x v="0"/>
    <x v="2"/>
  </r>
  <r>
    <x v="0"/>
    <x v="1507"/>
    <x v="1490"/>
    <x v="0"/>
    <x v="5"/>
  </r>
  <r>
    <x v="0"/>
    <x v="1508"/>
    <x v="1491"/>
    <x v="0"/>
    <x v="5"/>
  </r>
  <r>
    <x v="0"/>
    <x v="1509"/>
    <x v="1492"/>
    <x v="0"/>
    <x v="5"/>
  </r>
  <r>
    <x v="0"/>
    <x v="1510"/>
    <x v="1493"/>
    <x v="0"/>
    <x v="5"/>
  </r>
  <r>
    <x v="0"/>
    <x v="1511"/>
    <x v="1494"/>
    <x v="0"/>
    <x v="5"/>
  </r>
  <r>
    <x v="0"/>
    <x v="1512"/>
    <x v="1495"/>
    <x v="0"/>
    <x v="5"/>
  </r>
  <r>
    <x v="0"/>
    <x v="1513"/>
    <x v="1496"/>
    <x v="0"/>
    <x v="5"/>
  </r>
  <r>
    <x v="0"/>
    <x v="1514"/>
    <x v="1497"/>
    <x v="0"/>
    <x v="5"/>
  </r>
  <r>
    <x v="0"/>
    <x v="1515"/>
    <x v="1498"/>
    <x v="0"/>
    <x v="5"/>
  </r>
  <r>
    <x v="0"/>
    <x v="1516"/>
    <x v="1499"/>
    <x v="0"/>
    <x v="5"/>
  </r>
  <r>
    <x v="0"/>
    <x v="1517"/>
    <x v="1500"/>
    <x v="0"/>
    <x v="5"/>
  </r>
  <r>
    <x v="0"/>
    <x v="1518"/>
    <x v="1501"/>
    <x v="0"/>
    <x v="5"/>
  </r>
  <r>
    <x v="0"/>
    <x v="1519"/>
    <x v="1502"/>
    <x v="0"/>
    <x v="3"/>
  </r>
  <r>
    <x v="0"/>
    <x v="1520"/>
    <x v="1503"/>
    <x v="0"/>
    <x v="3"/>
  </r>
  <r>
    <x v="0"/>
    <x v="1521"/>
    <x v="1504"/>
    <x v="0"/>
    <x v="1"/>
  </r>
  <r>
    <x v="0"/>
    <x v="1522"/>
    <x v="1505"/>
    <x v="0"/>
    <x v="1"/>
  </r>
  <r>
    <x v="0"/>
    <x v="1523"/>
    <x v="1506"/>
    <x v="0"/>
    <x v="1"/>
  </r>
  <r>
    <x v="0"/>
    <x v="1524"/>
    <x v="1507"/>
    <x v="0"/>
    <x v="1"/>
  </r>
  <r>
    <x v="0"/>
    <x v="1525"/>
    <x v="1508"/>
    <x v="0"/>
    <x v="2"/>
  </r>
  <r>
    <x v="0"/>
    <x v="1526"/>
    <x v="1509"/>
    <x v="0"/>
    <x v="2"/>
  </r>
  <r>
    <x v="0"/>
    <x v="1527"/>
    <x v="1510"/>
    <x v="0"/>
    <x v="3"/>
  </r>
  <r>
    <x v="0"/>
    <x v="1528"/>
    <x v="1511"/>
    <x v="0"/>
    <x v="3"/>
  </r>
  <r>
    <x v="0"/>
    <x v="1529"/>
    <x v="1512"/>
    <x v="0"/>
    <x v="3"/>
  </r>
  <r>
    <x v="0"/>
    <x v="1530"/>
    <x v="1513"/>
    <x v="0"/>
    <x v="3"/>
  </r>
  <r>
    <x v="0"/>
    <x v="1531"/>
    <x v="1514"/>
    <x v="0"/>
    <x v="5"/>
  </r>
  <r>
    <x v="0"/>
    <x v="1532"/>
    <x v="1514"/>
    <x v="0"/>
    <x v="5"/>
  </r>
  <r>
    <x v="0"/>
    <x v="1533"/>
    <x v="1514"/>
    <x v="0"/>
    <x v="5"/>
  </r>
  <r>
    <x v="0"/>
    <x v="1534"/>
    <x v="1514"/>
    <x v="0"/>
    <x v="5"/>
  </r>
  <r>
    <x v="0"/>
    <x v="1535"/>
    <x v="1515"/>
    <x v="0"/>
    <x v="5"/>
  </r>
  <r>
    <x v="0"/>
    <x v="1536"/>
    <x v="1515"/>
    <x v="0"/>
    <x v="5"/>
  </r>
  <r>
    <x v="0"/>
    <x v="1537"/>
    <x v="1515"/>
    <x v="0"/>
    <x v="5"/>
  </r>
  <r>
    <x v="0"/>
    <x v="1538"/>
    <x v="1515"/>
    <x v="0"/>
    <x v="5"/>
  </r>
  <r>
    <x v="0"/>
    <x v="1539"/>
    <x v="1516"/>
    <x v="0"/>
    <x v="5"/>
  </r>
  <r>
    <x v="0"/>
    <x v="1540"/>
    <x v="1517"/>
    <x v="0"/>
    <x v="5"/>
  </r>
  <r>
    <x v="0"/>
    <x v="1541"/>
    <x v="1518"/>
    <x v="0"/>
    <x v="5"/>
  </r>
  <r>
    <x v="0"/>
    <x v="1542"/>
    <x v="1519"/>
    <x v="0"/>
    <x v="5"/>
  </r>
  <r>
    <x v="0"/>
    <x v="1543"/>
    <x v="1520"/>
    <x v="0"/>
    <x v="5"/>
  </r>
  <r>
    <x v="0"/>
    <x v="1544"/>
    <x v="1521"/>
    <x v="0"/>
    <x v="5"/>
  </r>
  <r>
    <x v="0"/>
    <x v="1545"/>
    <x v="1522"/>
    <x v="0"/>
    <x v="5"/>
  </r>
  <r>
    <x v="0"/>
    <x v="1546"/>
    <x v="1523"/>
    <x v="0"/>
    <x v="5"/>
  </r>
  <r>
    <x v="0"/>
    <x v="1547"/>
    <x v="1524"/>
    <x v="0"/>
    <x v="5"/>
  </r>
  <r>
    <x v="0"/>
    <x v="1548"/>
    <x v="1524"/>
    <x v="0"/>
    <x v="5"/>
  </r>
  <r>
    <x v="0"/>
    <x v="1549"/>
    <x v="1524"/>
    <x v="0"/>
    <x v="5"/>
  </r>
  <r>
    <x v="0"/>
    <x v="1550"/>
    <x v="1525"/>
    <x v="0"/>
    <x v="5"/>
  </r>
  <r>
    <x v="0"/>
    <x v="1551"/>
    <x v="1526"/>
    <x v="0"/>
    <x v="5"/>
  </r>
  <r>
    <x v="0"/>
    <x v="1552"/>
    <x v="1527"/>
    <x v="0"/>
    <x v="5"/>
  </r>
  <r>
    <x v="0"/>
    <x v="1553"/>
    <x v="1528"/>
    <x v="0"/>
    <x v="1"/>
  </r>
  <r>
    <x v="0"/>
    <x v="1554"/>
    <x v="1529"/>
    <x v="0"/>
    <x v="1"/>
  </r>
  <r>
    <x v="0"/>
    <x v="1555"/>
    <x v="1530"/>
    <x v="0"/>
    <x v="1"/>
  </r>
  <r>
    <x v="0"/>
    <x v="1556"/>
    <x v="1531"/>
    <x v="0"/>
    <x v="1"/>
  </r>
  <r>
    <x v="0"/>
    <x v="1557"/>
    <x v="1532"/>
    <x v="0"/>
    <x v="1"/>
  </r>
  <r>
    <x v="0"/>
    <x v="1558"/>
    <x v="1533"/>
    <x v="0"/>
    <x v="1"/>
  </r>
  <r>
    <x v="0"/>
    <x v="1559"/>
    <x v="1534"/>
    <x v="0"/>
    <x v="1"/>
  </r>
  <r>
    <x v="0"/>
    <x v="1560"/>
    <x v="1535"/>
    <x v="0"/>
    <x v="1"/>
  </r>
  <r>
    <x v="0"/>
    <x v="1561"/>
    <x v="1536"/>
    <x v="0"/>
    <x v="1"/>
  </r>
  <r>
    <x v="0"/>
    <x v="1562"/>
    <x v="1537"/>
    <x v="0"/>
    <x v="1"/>
  </r>
  <r>
    <x v="0"/>
    <x v="1563"/>
    <x v="1538"/>
    <x v="0"/>
    <x v="1"/>
  </r>
  <r>
    <x v="0"/>
    <x v="1564"/>
    <x v="1539"/>
    <x v="0"/>
    <x v="1"/>
  </r>
  <r>
    <x v="0"/>
    <x v="1565"/>
    <x v="1540"/>
    <x v="0"/>
    <x v="1"/>
  </r>
  <r>
    <x v="0"/>
    <x v="1566"/>
    <x v="1541"/>
    <x v="0"/>
    <x v="1"/>
  </r>
  <r>
    <x v="0"/>
    <x v="1567"/>
    <x v="1542"/>
    <x v="0"/>
    <x v="1"/>
  </r>
  <r>
    <x v="0"/>
    <x v="1568"/>
    <x v="1543"/>
    <x v="0"/>
    <x v="1"/>
  </r>
  <r>
    <x v="0"/>
    <x v="1569"/>
    <x v="1544"/>
    <x v="0"/>
    <x v="1"/>
  </r>
  <r>
    <x v="0"/>
    <x v="1570"/>
    <x v="1545"/>
    <x v="0"/>
    <x v="1"/>
  </r>
  <r>
    <x v="0"/>
    <x v="1571"/>
    <x v="1546"/>
    <x v="0"/>
    <x v="1"/>
  </r>
  <r>
    <x v="0"/>
    <x v="1572"/>
    <x v="1547"/>
    <x v="0"/>
    <x v="1"/>
  </r>
  <r>
    <x v="0"/>
    <x v="1573"/>
    <x v="1548"/>
    <x v="0"/>
    <x v="1"/>
  </r>
  <r>
    <x v="0"/>
    <x v="1574"/>
    <x v="1549"/>
    <x v="0"/>
    <x v="1"/>
  </r>
  <r>
    <x v="0"/>
    <x v="1575"/>
    <x v="1550"/>
    <x v="0"/>
    <x v="1"/>
  </r>
  <r>
    <x v="0"/>
    <x v="1576"/>
    <x v="1551"/>
    <x v="0"/>
    <x v="1"/>
  </r>
  <r>
    <x v="0"/>
    <x v="1577"/>
    <x v="1552"/>
    <x v="0"/>
    <x v="1"/>
  </r>
  <r>
    <x v="0"/>
    <x v="1578"/>
    <x v="1553"/>
    <x v="0"/>
    <x v="1"/>
  </r>
  <r>
    <x v="0"/>
    <x v="1579"/>
    <x v="1554"/>
    <x v="0"/>
    <x v="1"/>
  </r>
  <r>
    <x v="0"/>
    <x v="1580"/>
    <x v="1555"/>
    <x v="0"/>
    <x v="1"/>
  </r>
  <r>
    <x v="0"/>
    <x v="1581"/>
    <x v="1556"/>
    <x v="0"/>
    <x v="1"/>
  </r>
  <r>
    <x v="0"/>
    <x v="1582"/>
    <x v="1557"/>
    <x v="0"/>
    <x v="1"/>
  </r>
  <r>
    <x v="0"/>
    <x v="1583"/>
    <x v="1558"/>
    <x v="0"/>
    <x v="1"/>
  </r>
  <r>
    <x v="0"/>
    <x v="1584"/>
    <x v="1559"/>
    <x v="0"/>
    <x v="1"/>
  </r>
  <r>
    <x v="0"/>
    <x v="1585"/>
    <x v="1560"/>
    <x v="0"/>
    <x v="1"/>
  </r>
  <r>
    <x v="0"/>
    <x v="1586"/>
    <x v="1561"/>
    <x v="0"/>
    <x v="1"/>
  </r>
  <r>
    <x v="0"/>
    <x v="1587"/>
    <x v="1562"/>
    <x v="0"/>
    <x v="1"/>
  </r>
  <r>
    <x v="0"/>
    <x v="1588"/>
    <x v="1563"/>
    <x v="0"/>
    <x v="1"/>
  </r>
  <r>
    <x v="0"/>
    <x v="1589"/>
    <x v="1564"/>
    <x v="0"/>
    <x v="1"/>
  </r>
  <r>
    <x v="0"/>
    <x v="1590"/>
    <x v="1565"/>
    <x v="0"/>
    <x v="1"/>
  </r>
  <r>
    <x v="0"/>
    <x v="1591"/>
    <x v="1566"/>
    <x v="0"/>
    <x v="1"/>
  </r>
  <r>
    <x v="0"/>
    <x v="1592"/>
    <x v="1567"/>
    <x v="0"/>
    <x v="1"/>
  </r>
  <r>
    <x v="0"/>
    <x v="1593"/>
    <x v="1568"/>
    <x v="0"/>
    <x v="1"/>
  </r>
  <r>
    <x v="0"/>
    <x v="1594"/>
    <x v="1569"/>
    <x v="0"/>
    <x v="1"/>
  </r>
  <r>
    <x v="0"/>
    <x v="1595"/>
    <x v="1570"/>
    <x v="0"/>
    <x v="1"/>
  </r>
  <r>
    <x v="0"/>
    <x v="1596"/>
    <x v="1571"/>
    <x v="0"/>
    <x v="1"/>
  </r>
  <r>
    <x v="0"/>
    <x v="1597"/>
    <x v="1572"/>
    <x v="0"/>
    <x v="1"/>
  </r>
  <r>
    <x v="0"/>
    <x v="1598"/>
    <x v="1573"/>
    <x v="0"/>
    <x v="1"/>
  </r>
  <r>
    <x v="0"/>
    <x v="1599"/>
    <x v="1574"/>
    <x v="0"/>
    <x v="1"/>
  </r>
  <r>
    <x v="0"/>
    <x v="1600"/>
    <x v="1575"/>
    <x v="0"/>
    <x v="1"/>
  </r>
  <r>
    <x v="0"/>
    <x v="1601"/>
    <x v="1576"/>
    <x v="0"/>
    <x v="1"/>
  </r>
  <r>
    <x v="0"/>
    <x v="1602"/>
    <x v="1577"/>
    <x v="0"/>
    <x v="1"/>
  </r>
  <r>
    <x v="0"/>
    <x v="1603"/>
    <x v="1578"/>
    <x v="0"/>
    <x v="0"/>
  </r>
  <r>
    <x v="0"/>
    <x v="1604"/>
    <x v="1579"/>
    <x v="0"/>
    <x v="5"/>
  </r>
  <r>
    <x v="0"/>
    <x v="1605"/>
    <x v="1580"/>
    <x v="0"/>
    <x v="0"/>
  </r>
  <r>
    <x v="0"/>
    <x v="1606"/>
    <x v="1581"/>
    <x v="0"/>
    <x v="0"/>
  </r>
  <r>
    <x v="0"/>
    <x v="1607"/>
    <x v="1582"/>
    <x v="0"/>
    <x v="0"/>
  </r>
  <r>
    <x v="0"/>
    <x v="1608"/>
    <x v="1583"/>
    <x v="0"/>
    <x v="1"/>
  </r>
  <r>
    <x v="0"/>
    <x v="1609"/>
    <x v="1584"/>
    <x v="0"/>
    <x v="1"/>
  </r>
  <r>
    <x v="0"/>
    <x v="1610"/>
    <x v="1585"/>
    <x v="0"/>
    <x v="1"/>
  </r>
  <r>
    <x v="0"/>
    <x v="1611"/>
    <x v="1586"/>
    <x v="0"/>
    <x v="1"/>
  </r>
  <r>
    <x v="0"/>
    <x v="1612"/>
    <x v="1587"/>
    <x v="0"/>
    <x v="1"/>
  </r>
  <r>
    <x v="0"/>
    <x v="1613"/>
    <x v="1588"/>
    <x v="0"/>
    <x v="1"/>
  </r>
  <r>
    <x v="0"/>
    <x v="1614"/>
    <x v="1589"/>
    <x v="0"/>
    <x v="1"/>
  </r>
  <r>
    <x v="0"/>
    <x v="1615"/>
    <x v="1590"/>
    <x v="0"/>
    <x v="1"/>
  </r>
  <r>
    <x v="0"/>
    <x v="1616"/>
    <x v="1591"/>
    <x v="0"/>
    <x v="3"/>
  </r>
  <r>
    <x v="0"/>
    <x v="1617"/>
    <x v="1592"/>
    <x v="0"/>
    <x v="0"/>
  </r>
  <r>
    <x v="0"/>
    <x v="1618"/>
    <x v="1593"/>
    <x v="0"/>
    <x v="2"/>
  </r>
  <r>
    <x v="0"/>
    <x v="1619"/>
    <x v="1594"/>
    <x v="0"/>
    <x v="2"/>
  </r>
  <r>
    <x v="0"/>
    <x v="1620"/>
    <x v="1595"/>
    <x v="0"/>
    <x v="2"/>
  </r>
  <r>
    <x v="0"/>
    <x v="1621"/>
    <x v="1596"/>
    <x v="0"/>
    <x v="2"/>
  </r>
  <r>
    <x v="0"/>
    <x v="1622"/>
    <x v="1597"/>
    <x v="0"/>
    <x v="3"/>
  </r>
  <r>
    <x v="0"/>
    <x v="1623"/>
    <x v="1598"/>
    <x v="0"/>
    <x v="3"/>
  </r>
  <r>
    <x v="0"/>
    <x v="1624"/>
    <x v="1599"/>
    <x v="0"/>
    <x v="2"/>
  </r>
  <r>
    <x v="0"/>
    <x v="1625"/>
    <x v="1600"/>
    <x v="0"/>
    <x v="5"/>
  </r>
  <r>
    <x v="0"/>
    <x v="1626"/>
    <x v="1601"/>
    <x v="0"/>
    <x v="5"/>
  </r>
  <r>
    <x v="0"/>
    <x v="1627"/>
    <x v="1602"/>
    <x v="0"/>
    <x v="5"/>
  </r>
  <r>
    <x v="0"/>
    <x v="1628"/>
    <x v="1603"/>
    <x v="0"/>
    <x v="5"/>
  </r>
  <r>
    <x v="0"/>
    <x v="1629"/>
    <x v="1604"/>
    <x v="0"/>
    <x v="5"/>
  </r>
  <r>
    <x v="0"/>
    <x v="1630"/>
    <x v="1605"/>
    <x v="0"/>
    <x v="5"/>
  </r>
  <r>
    <x v="0"/>
    <x v="1631"/>
    <x v="1606"/>
    <x v="0"/>
    <x v="1"/>
  </r>
  <r>
    <x v="0"/>
    <x v="1632"/>
    <x v="1607"/>
    <x v="0"/>
    <x v="1"/>
  </r>
  <r>
    <x v="0"/>
    <x v="1633"/>
    <x v="1608"/>
    <x v="0"/>
    <x v="1"/>
  </r>
  <r>
    <x v="0"/>
    <x v="1634"/>
    <x v="1609"/>
    <x v="0"/>
    <x v="1"/>
  </r>
  <r>
    <x v="0"/>
    <x v="1635"/>
    <x v="1610"/>
    <x v="0"/>
    <x v="1"/>
  </r>
  <r>
    <x v="0"/>
    <x v="1636"/>
    <x v="1611"/>
    <x v="0"/>
    <x v="1"/>
  </r>
  <r>
    <x v="0"/>
    <x v="1637"/>
    <x v="1612"/>
    <x v="0"/>
    <x v="1"/>
  </r>
  <r>
    <x v="0"/>
    <x v="1638"/>
    <x v="1613"/>
    <x v="0"/>
    <x v="1"/>
  </r>
  <r>
    <x v="0"/>
    <x v="1639"/>
    <x v="1614"/>
    <x v="0"/>
    <x v="0"/>
  </r>
  <r>
    <x v="0"/>
    <x v="1640"/>
    <x v="1615"/>
    <x v="0"/>
    <x v="0"/>
  </r>
  <r>
    <x v="0"/>
    <x v="1641"/>
    <x v="1616"/>
    <x v="0"/>
    <x v="1"/>
  </r>
  <r>
    <x v="0"/>
    <x v="1642"/>
    <x v="1617"/>
    <x v="0"/>
    <x v="1"/>
  </r>
  <r>
    <x v="0"/>
    <x v="1643"/>
    <x v="1618"/>
    <x v="0"/>
    <x v="1"/>
  </r>
  <r>
    <x v="0"/>
    <x v="1644"/>
    <x v="1619"/>
    <x v="0"/>
    <x v="0"/>
  </r>
  <r>
    <x v="0"/>
    <x v="1645"/>
    <x v="1620"/>
    <x v="0"/>
    <x v="5"/>
  </r>
  <r>
    <x v="0"/>
    <x v="1646"/>
    <x v="1621"/>
    <x v="0"/>
    <x v="5"/>
  </r>
  <r>
    <x v="0"/>
    <x v="1647"/>
    <x v="1622"/>
    <x v="0"/>
    <x v="5"/>
  </r>
  <r>
    <x v="0"/>
    <x v="1648"/>
    <x v="1623"/>
    <x v="0"/>
    <x v="5"/>
  </r>
  <r>
    <x v="0"/>
    <x v="1649"/>
    <x v="1624"/>
    <x v="0"/>
    <x v="5"/>
  </r>
  <r>
    <x v="0"/>
    <x v="1650"/>
    <x v="1625"/>
    <x v="0"/>
    <x v="5"/>
  </r>
  <r>
    <x v="0"/>
    <x v="1651"/>
    <x v="1626"/>
    <x v="0"/>
    <x v="5"/>
  </r>
  <r>
    <x v="0"/>
    <x v="1652"/>
    <x v="1627"/>
    <x v="0"/>
    <x v="5"/>
  </r>
  <r>
    <x v="0"/>
    <x v="1653"/>
    <x v="1628"/>
    <x v="0"/>
    <x v="5"/>
  </r>
  <r>
    <x v="0"/>
    <x v="1654"/>
    <x v="1629"/>
    <x v="0"/>
    <x v="5"/>
  </r>
  <r>
    <x v="0"/>
    <x v="1655"/>
    <x v="1630"/>
    <x v="0"/>
    <x v="5"/>
  </r>
  <r>
    <x v="0"/>
    <x v="1656"/>
    <x v="1631"/>
    <x v="0"/>
    <x v="5"/>
  </r>
  <r>
    <x v="0"/>
    <x v="1657"/>
    <x v="1632"/>
    <x v="0"/>
    <x v="5"/>
  </r>
  <r>
    <x v="0"/>
    <x v="1658"/>
    <x v="1633"/>
    <x v="0"/>
    <x v="5"/>
  </r>
  <r>
    <x v="0"/>
    <x v="1659"/>
    <x v="1634"/>
    <x v="0"/>
    <x v="5"/>
  </r>
  <r>
    <x v="0"/>
    <x v="1660"/>
    <x v="1635"/>
    <x v="0"/>
    <x v="1"/>
  </r>
  <r>
    <x v="0"/>
    <x v="1661"/>
    <x v="1636"/>
    <x v="0"/>
    <x v="1"/>
  </r>
  <r>
    <x v="0"/>
    <x v="1662"/>
    <x v="1637"/>
    <x v="0"/>
    <x v="1"/>
  </r>
  <r>
    <x v="0"/>
    <x v="1663"/>
    <x v="1638"/>
    <x v="0"/>
    <x v="1"/>
  </r>
  <r>
    <x v="0"/>
    <x v="1664"/>
    <x v="1639"/>
    <x v="0"/>
    <x v="5"/>
  </r>
  <r>
    <x v="0"/>
    <x v="1665"/>
    <x v="1640"/>
    <x v="0"/>
    <x v="5"/>
  </r>
  <r>
    <x v="0"/>
    <x v="1666"/>
    <x v="1641"/>
    <x v="0"/>
    <x v="5"/>
  </r>
  <r>
    <x v="0"/>
    <x v="1667"/>
    <x v="1642"/>
    <x v="0"/>
    <x v="5"/>
  </r>
  <r>
    <x v="0"/>
    <x v="1668"/>
    <x v="1643"/>
    <x v="0"/>
    <x v="5"/>
  </r>
  <r>
    <x v="0"/>
    <x v="1669"/>
    <x v="1644"/>
    <x v="0"/>
    <x v="5"/>
  </r>
  <r>
    <x v="0"/>
    <x v="1670"/>
    <x v="1645"/>
    <x v="0"/>
    <x v="5"/>
  </r>
  <r>
    <x v="0"/>
    <x v="1671"/>
    <x v="1646"/>
    <x v="0"/>
    <x v="5"/>
  </r>
  <r>
    <x v="0"/>
    <x v="1672"/>
    <x v="1647"/>
    <x v="0"/>
    <x v="5"/>
  </r>
  <r>
    <x v="0"/>
    <x v="1673"/>
    <x v="1648"/>
    <x v="0"/>
    <x v="5"/>
  </r>
  <r>
    <x v="0"/>
    <x v="1674"/>
    <x v="1649"/>
    <x v="0"/>
    <x v="5"/>
  </r>
  <r>
    <x v="0"/>
    <x v="1675"/>
    <x v="1650"/>
    <x v="0"/>
    <x v="5"/>
  </r>
  <r>
    <x v="0"/>
    <x v="1676"/>
    <x v="1651"/>
    <x v="0"/>
    <x v="1"/>
  </r>
  <r>
    <x v="0"/>
    <x v="1677"/>
    <x v="1652"/>
    <x v="0"/>
    <x v="1"/>
  </r>
  <r>
    <x v="0"/>
    <x v="1678"/>
    <x v="1653"/>
    <x v="0"/>
    <x v="1"/>
  </r>
  <r>
    <x v="0"/>
    <x v="1679"/>
    <x v="1654"/>
    <x v="0"/>
    <x v="1"/>
  </r>
  <r>
    <x v="0"/>
    <x v="1680"/>
    <x v="1655"/>
    <x v="0"/>
    <x v="1"/>
  </r>
  <r>
    <x v="0"/>
    <x v="1681"/>
    <x v="1656"/>
    <x v="0"/>
    <x v="1"/>
  </r>
  <r>
    <x v="0"/>
    <x v="1682"/>
    <x v="1657"/>
    <x v="0"/>
    <x v="1"/>
  </r>
  <r>
    <x v="0"/>
    <x v="1683"/>
    <x v="1658"/>
    <x v="0"/>
    <x v="1"/>
  </r>
  <r>
    <x v="0"/>
    <x v="1684"/>
    <x v="1659"/>
    <x v="0"/>
    <x v="1"/>
  </r>
  <r>
    <x v="0"/>
    <x v="1685"/>
    <x v="1660"/>
    <x v="0"/>
    <x v="1"/>
  </r>
  <r>
    <x v="0"/>
    <x v="1686"/>
    <x v="1661"/>
    <x v="0"/>
    <x v="1"/>
  </r>
  <r>
    <x v="0"/>
    <x v="1687"/>
    <x v="1662"/>
    <x v="0"/>
    <x v="1"/>
  </r>
  <r>
    <x v="0"/>
    <x v="1688"/>
    <x v="1663"/>
    <x v="0"/>
    <x v="1"/>
  </r>
  <r>
    <x v="0"/>
    <x v="1689"/>
    <x v="1664"/>
    <x v="0"/>
    <x v="1"/>
  </r>
  <r>
    <x v="0"/>
    <x v="1690"/>
    <x v="1665"/>
    <x v="0"/>
    <x v="0"/>
  </r>
  <r>
    <x v="0"/>
    <x v="1691"/>
    <x v="1666"/>
    <x v="0"/>
    <x v="0"/>
  </r>
  <r>
    <x v="0"/>
    <x v="1692"/>
    <x v="1667"/>
    <x v="0"/>
    <x v="1"/>
  </r>
  <r>
    <x v="0"/>
    <x v="1693"/>
    <x v="1668"/>
    <x v="0"/>
    <x v="1"/>
  </r>
  <r>
    <x v="0"/>
    <x v="1694"/>
    <x v="1669"/>
    <x v="0"/>
    <x v="1"/>
  </r>
  <r>
    <x v="0"/>
    <x v="1695"/>
    <x v="1670"/>
    <x v="0"/>
    <x v="1"/>
  </r>
  <r>
    <x v="0"/>
    <x v="1696"/>
    <x v="1671"/>
    <x v="0"/>
    <x v="1"/>
  </r>
  <r>
    <x v="0"/>
    <x v="1697"/>
    <x v="1672"/>
    <x v="0"/>
    <x v="1"/>
  </r>
  <r>
    <x v="0"/>
    <x v="1698"/>
    <x v="1673"/>
    <x v="0"/>
    <x v="1"/>
  </r>
  <r>
    <x v="0"/>
    <x v="1699"/>
    <x v="1674"/>
    <x v="0"/>
    <x v="1"/>
  </r>
  <r>
    <x v="0"/>
    <x v="1700"/>
    <x v="1675"/>
    <x v="0"/>
    <x v="1"/>
  </r>
  <r>
    <x v="0"/>
    <x v="1701"/>
    <x v="1676"/>
    <x v="0"/>
    <x v="1"/>
  </r>
  <r>
    <x v="0"/>
    <x v="1702"/>
    <x v="1677"/>
    <x v="0"/>
    <x v="1"/>
  </r>
  <r>
    <x v="0"/>
    <x v="1703"/>
    <x v="1678"/>
    <x v="0"/>
    <x v="1"/>
  </r>
  <r>
    <x v="0"/>
    <x v="1704"/>
    <x v="1679"/>
    <x v="0"/>
    <x v="1"/>
  </r>
  <r>
    <x v="0"/>
    <x v="1705"/>
    <x v="1680"/>
    <x v="0"/>
    <x v="1"/>
  </r>
  <r>
    <x v="0"/>
    <x v="1706"/>
    <x v="1681"/>
    <x v="0"/>
    <x v="1"/>
  </r>
  <r>
    <x v="0"/>
    <x v="1707"/>
    <x v="1682"/>
    <x v="0"/>
    <x v="1"/>
  </r>
  <r>
    <x v="0"/>
    <x v="1708"/>
    <x v="1683"/>
    <x v="0"/>
    <x v="1"/>
  </r>
  <r>
    <x v="0"/>
    <x v="1709"/>
    <x v="1684"/>
    <x v="0"/>
    <x v="1"/>
  </r>
  <r>
    <x v="0"/>
    <x v="1710"/>
    <x v="1685"/>
    <x v="0"/>
    <x v="5"/>
  </r>
  <r>
    <x v="0"/>
    <x v="1711"/>
    <x v="1686"/>
    <x v="0"/>
    <x v="5"/>
  </r>
  <r>
    <x v="0"/>
    <x v="1712"/>
    <x v="1687"/>
    <x v="0"/>
    <x v="5"/>
  </r>
  <r>
    <x v="0"/>
    <x v="1713"/>
    <x v="1688"/>
    <x v="0"/>
    <x v="5"/>
  </r>
  <r>
    <x v="0"/>
    <x v="1714"/>
    <x v="1689"/>
    <x v="0"/>
    <x v="5"/>
  </r>
  <r>
    <x v="0"/>
    <x v="1715"/>
    <x v="1690"/>
    <x v="0"/>
    <x v="5"/>
  </r>
  <r>
    <x v="0"/>
    <x v="1716"/>
    <x v="1691"/>
    <x v="0"/>
    <x v="5"/>
  </r>
  <r>
    <x v="0"/>
    <x v="1717"/>
    <x v="1692"/>
    <x v="0"/>
    <x v="5"/>
  </r>
  <r>
    <x v="0"/>
    <x v="1718"/>
    <x v="1693"/>
    <x v="0"/>
    <x v="5"/>
  </r>
  <r>
    <x v="0"/>
    <x v="1719"/>
    <x v="1694"/>
    <x v="0"/>
    <x v="5"/>
  </r>
  <r>
    <x v="0"/>
    <x v="1720"/>
    <x v="1695"/>
    <x v="0"/>
    <x v="5"/>
  </r>
  <r>
    <x v="0"/>
    <x v="1721"/>
    <x v="1696"/>
    <x v="0"/>
    <x v="5"/>
  </r>
  <r>
    <x v="0"/>
    <x v="1722"/>
    <x v="1697"/>
    <x v="0"/>
    <x v="5"/>
  </r>
  <r>
    <x v="0"/>
    <x v="1723"/>
    <x v="1698"/>
    <x v="0"/>
    <x v="5"/>
  </r>
  <r>
    <x v="0"/>
    <x v="1724"/>
    <x v="1699"/>
    <x v="0"/>
    <x v="5"/>
  </r>
  <r>
    <x v="0"/>
    <x v="1725"/>
    <x v="1700"/>
    <x v="0"/>
    <x v="5"/>
  </r>
  <r>
    <x v="0"/>
    <x v="1726"/>
    <x v="1701"/>
    <x v="0"/>
    <x v="5"/>
  </r>
  <r>
    <x v="0"/>
    <x v="1727"/>
    <x v="1702"/>
    <x v="0"/>
    <x v="5"/>
  </r>
  <r>
    <x v="0"/>
    <x v="1728"/>
    <x v="1703"/>
    <x v="0"/>
    <x v="5"/>
  </r>
  <r>
    <x v="0"/>
    <x v="1729"/>
    <x v="1704"/>
    <x v="0"/>
    <x v="5"/>
  </r>
  <r>
    <x v="0"/>
    <x v="1730"/>
    <x v="1705"/>
    <x v="0"/>
    <x v="5"/>
  </r>
  <r>
    <x v="0"/>
    <x v="1731"/>
    <x v="1706"/>
    <x v="0"/>
    <x v="5"/>
  </r>
  <r>
    <x v="0"/>
    <x v="1732"/>
    <x v="1707"/>
    <x v="0"/>
    <x v="5"/>
  </r>
  <r>
    <x v="0"/>
    <x v="1733"/>
    <x v="1708"/>
    <x v="0"/>
    <x v="5"/>
  </r>
  <r>
    <x v="0"/>
    <x v="1734"/>
    <x v="1709"/>
    <x v="0"/>
    <x v="5"/>
  </r>
  <r>
    <x v="0"/>
    <x v="1735"/>
    <x v="1710"/>
    <x v="0"/>
    <x v="5"/>
  </r>
  <r>
    <x v="0"/>
    <x v="1736"/>
    <x v="1711"/>
    <x v="0"/>
    <x v="5"/>
  </r>
  <r>
    <x v="0"/>
    <x v="1737"/>
    <x v="1712"/>
    <x v="0"/>
    <x v="5"/>
  </r>
  <r>
    <x v="0"/>
    <x v="1738"/>
    <x v="1713"/>
    <x v="0"/>
    <x v="5"/>
  </r>
  <r>
    <x v="0"/>
    <x v="1739"/>
    <x v="1714"/>
    <x v="0"/>
    <x v="5"/>
  </r>
  <r>
    <x v="0"/>
    <x v="1740"/>
    <x v="1715"/>
    <x v="0"/>
    <x v="5"/>
  </r>
  <r>
    <x v="0"/>
    <x v="1741"/>
    <x v="1716"/>
    <x v="0"/>
    <x v="5"/>
  </r>
  <r>
    <x v="0"/>
    <x v="1742"/>
    <x v="1717"/>
    <x v="0"/>
    <x v="5"/>
  </r>
  <r>
    <x v="0"/>
    <x v="1743"/>
    <x v="1718"/>
    <x v="0"/>
    <x v="5"/>
  </r>
  <r>
    <x v="0"/>
    <x v="1744"/>
    <x v="1719"/>
    <x v="0"/>
    <x v="5"/>
  </r>
  <r>
    <x v="0"/>
    <x v="1745"/>
    <x v="1720"/>
    <x v="0"/>
    <x v="5"/>
  </r>
  <r>
    <x v="0"/>
    <x v="1746"/>
    <x v="1721"/>
    <x v="0"/>
    <x v="5"/>
  </r>
  <r>
    <x v="0"/>
    <x v="1747"/>
    <x v="1722"/>
    <x v="0"/>
    <x v="5"/>
  </r>
  <r>
    <x v="0"/>
    <x v="1748"/>
    <x v="1723"/>
    <x v="0"/>
    <x v="5"/>
  </r>
  <r>
    <x v="0"/>
    <x v="1749"/>
    <x v="1724"/>
    <x v="0"/>
    <x v="5"/>
  </r>
  <r>
    <x v="0"/>
    <x v="1750"/>
    <x v="1725"/>
    <x v="0"/>
    <x v="5"/>
  </r>
  <r>
    <x v="0"/>
    <x v="1751"/>
    <x v="1726"/>
    <x v="0"/>
    <x v="5"/>
  </r>
  <r>
    <x v="0"/>
    <x v="1752"/>
    <x v="1727"/>
    <x v="0"/>
    <x v="5"/>
  </r>
  <r>
    <x v="0"/>
    <x v="1753"/>
    <x v="1728"/>
    <x v="0"/>
    <x v="5"/>
  </r>
  <r>
    <x v="0"/>
    <x v="1754"/>
    <x v="1729"/>
    <x v="0"/>
    <x v="5"/>
  </r>
  <r>
    <x v="0"/>
    <x v="1755"/>
    <x v="1730"/>
    <x v="0"/>
    <x v="5"/>
  </r>
  <r>
    <x v="0"/>
    <x v="1756"/>
    <x v="1731"/>
    <x v="0"/>
    <x v="5"/>
  </r>
  <r>
    <x v="0"/>
    <x v="1757"/>
    <x v="1732"/>
    <x v="0"/>
    <x v="5"/>
  </r>
  <r>
    <x v="0"/>
    <x v="1758"/>
    <x v="1733"/>
    <x v="0"/>
    <x v="5"/>
  </r>
  <r>
    <x v="0"/>
    <x v="1759"/>
    <x v="1734"/>
    <x v="0"/>
    <x v="5"/>
  </r>
  <r>
    <x v="0"/>
    <x v="1760"/>
    <x v="1735"/>
    <x v="0"/>
    <x v="5"/>
  </r>
  <r>
    <x v="0"/>
    <x v="1761"/>
    <x v="1736"/>
    <x v="0"/>
    <x v="5"/>
  </r>
  <r>
    <x v="0"/>
    <x v="1762"/>
    <x v="1737"/>
    <x v="0"/>
    <x v="5"/>
  </r>
  <r>
    <x v="0"/>
    <x v="1763"/>
    <x v="1738"/>
    <x v="0"/>
    <x v="5"/>
  </r>
  <r>
    <x v="0"/>
    <x v="1764"/>
    <x v="1739"/>
    <x v="0"/>
    <x v="5"/>
  </r>
  <r>
    <x v="0"/>
    <x v="1765"/>
    <x v="1740"/>
    <x v="0"/>
    <x v="5"/>
  </r>
  <r>
    <x v="0"/>
    <x v="1766"/>
    <x v="1741"/>
    <x v="0"/>
    <x v="5"/>
  </r>
  <r>
    <x v="0"/>
    <x v="1767"/>
    <x v="1742"/>
    <x v="0"/>
    <x v="5"/>
  </r>
  <r>
    <x v="0"/>
    <x v="1768"/>
    <x v="1743"/>
    <x v="0"/>
    <x v="5"/>
  </r>
  <r>
    <x v="0"/>
    <x v="1769"/>
    <x v="1744"/>
    <x v="0"/>
    <x v="5"/>
  </r>
  <r>
    <x v="0"/>
    <x v="1770"/>
    <x v="1745"/>
    <x v="0"/>
    <x v="5"/>
  </r>
  <r>
    <x v="0"/>
    <x v="1771"/>
    <x v="1746"/>
    <x v="0"/>
    <x v="5"/>
  </r>
  <r>
    <x v="0"/>
    <x v="1772"/>
    <x v="1747"/>
    <x v="0"/>
    <x v="5"/>
  </r>
  <r>
    <x v="0"/>
    <x v="1773"/>
    <x v="1748"/>
    <x v="0"/>
    <x v="5"/>
  </r>
  <r>
    <x v="0"/>
    <x v="1774"/>
    <x v="1749"/>
    <x v="0"/>
    <x v="5"/>
  </r>
  <r>
    <x v="0"/>
    <x v="1775"/>
    <x v="1750"/>
    <x v="0"/>
    <x v="5"/>
  </r>
  <r>
    <x v="0"/>
    <x v="1776"/>
    <x v="1751"/>
    <x v="0"/>
    <x v="5"/>
  </r>
  <r>
    <x v="0"/>
    <x v="1777"/>
    <x v="1752"/>
    <x v="0"/>
    <x v="5"/>
  </r>
  <r>
    <x v="0"/>
    <x v="1778"/>
    <x v="1753"/>
    <x v="0"/>
    <x v="2"/>
  </r>
  <r>
    <x v="0"/>
    <x v="1779"/>
    <x v="1754"/>
    <x v="0"/>
    <x v="2"/>
  </r>
  <r>
    <x v="0"/>
    <x v="1780"/>
    <x v="1755"/>
    <x v="0"/>
    <x v="5"/>
  </r>
  <r>
    <x v="0"/>
    <x v="1781"/>
    <x v="1756"/>
    <x v="0"/>
    <x v="5"/>
  </r>
  <r>
    <x v="0"/>
    <x v="1782"/>
    <x v="1757"/>
    <x v="0"/>
    <x v="5"/>
  </r>
  <r>
    <x v="0"/>
    <x v="1783"/>
    <x v="1758"/>
    <x v="0"/>
    <x v="5"/>
  </r>
  <r>
    <x v="0"/>
    <x v="1784"/>
    <x v="1759"/>
    <x v="0"/>
    <x v="5"/>
  </r>
  <r>
    <x v="0"/>
    <x v="1785"/>
    <x v="1760"/>
    <x v="0"/>
    <x v="5"/>
  </r>
  <r>
    <x v="0"/>
    <x v="1786"/>
    <x v="1761"/>
    <x v="0"/>
    <x v="5"/>
  </r>
  <r>
    <x v="0"/>
    <x v="1787"/>
    <x v="1762"/>
    <x v="0"/>
    <x v="5"/>
  </r>
  <r>
    <x v="0"/>
    <x v="1788"/>
    <x v="1763"/>
    <x v="0"/>
    <x v="5"/>
  </r>
  <r>
    <x v="0"/>
    <x v="1789"/>
    <x v="1764"/>
    <x v="0"/>
    <x v="5"/>
  </r>
  <r>
    <x v="0"/>
    <x v="1790"/>
    <x v="1765"/>
    <x v="0"/>
    <x v="5"/>
  </r>
  <r>
    <x v="0"/>
    <x v="1791"/>
    <x v="1766"/>
    <x v="0"/>
    <x v="5"/>
  </r>
  <r>
    <x v="0"/>
    <x v="1792"/>
    <x v="1767"/>
    <x v="0"/>
    <x v="5"/>
  </r>
  <r>
    <x v="0"/>
    <x v="1793"/>
    <x v="1768"/>
    <x v="0"/>
    <x v="5"/>
  </r>
  <r>
    <x v="0"/>
    <x v="1794"/>
    <x v="1769"/>
    <x v="0"/>
    <x v="5"/>
  </r>
  <r>
    <x v="0"/>
    <x v="1795"/>
    <x v="1770"/>
    <x v="0"/>
    <x v="5"/>
  </r>
  <r>
    <x v="0"/>
    <x v="1796"/>
    <x v="1771"/>
    <x v="0"/>
    <x v="5"/>
  </r>
  <r>
    <x v="0"/>
    <x v="1797"/>
    <x v="1772"/>
    <x v="0"/>
    <x v="5"/>
  </r>
  <r>
    <x v="0"/>
    <x v="1798"/>
    <x v="1773"/>
    <x v="0"/>
    <x v="5"/>
  </r>
  <r>
    <x v="0"/>
    <x v="1799"/>
    <x v="1774"/>
    <x v="0"/>
    <x v="5"/>
  </r>
  <r>
    <x v="0"/>
    <x v="1800"/>
    <x v="1775"/>
    <x v="0"/>
    <x v="5"/>
  </r>
  <r>
    <x v="0"/>
    <x v="1801"/>
    <x v="1776"/>
    <x v="0"/>
    <x v="5"/>
  </r>
  <r>
    <x v="0"/>
    <x v="1802"/>
    <x v="1777"/>
    <x v="0"/>
    <x v="5"/>
  </r>
  <r>
    <x v="0"/>
    <x v="1803"/>
    <x v="1778"/>
    <x v="0"/>
    <x v="5"/>
  </r>
  <r>
    <x v="0"/>
    <x v="1804"/>
    <x v="1779"/>
    <x v="0"/>
    <x v="5"/>
  </r>
  <r>
    <x v="0"/>
    <x v="1805"/>
    <x v="1780"/>
    <x v="0"/>
    <x v="5"/>
  </r>
  <r>
    <x v="0"/>
    <x v="1806"/>
    <x v="1781"/>
    <x v="0"/>
    <x v="5"/>
  </r>
  <r>
    <x v="0"/>
    <x v="1807"/>
    <x v="1782"/>
    <x v="0"/>
    <x v="5"/>
  </r>
  <r>
    <x v="0"/>
    <x v="1808"/>
    <x v="1783"/>
    <x v="0"/>
    <x v="5"/>
  </r>
  <r>
    <x v="0"/>
    <x v="1809"/>
    <x v="1784"/>
    <x v="0"/>
    <x v="5"/>
  </r>
  <r>
    <x v="0"/>
    <x v="1810"/>
    <x v="1785"/>
    <x v="0"/>
    <x v="5"/>
  </r>
  <r>
    <x v="0"/>
    <x v="1811"/>
    <x v="1786"/>
    <x v="0"/>
    <x v="5"/>
  </r>
  <r>
    <x v="0"/>
    <x v="1812"/>
    <x v="1787"/>
    <x v="0"/>
    <x v="5"/>
  </r>
  <r>
    <x v="0"/>
    <x v="1813"/>
    <x v="1788"/>
    <x v="0"/>
    <x v="5"/>
  </r>
  <r>
    <x v="0"/>
    <x v="1814"/>
    <x v="1789"/>
    <x v="0"/>
    <x v="5"/>
  </r>
  <r>
    <x v="0"/>
    <x v="1815"/>
    <x v="1790"/>
    <x v="0"/>
    <x v="5"/>
  </r>
  <r>
    <x v="0"/>
    <x v="1816"/>
    <x v="1791"/>
    <x v="0"/>
    <x v="5"/>
  </r>
  <r>
    <x v="0"/>
    <x v="1817"/>
    <x v="1792"/>
    <x v="0"/>
    <x v="5"/>
  </r>
  <r>
    <x v="0"/>
    <x v="1818"/>
    <x v="1793"/>
    <x v="0"/>
    <x v="5"/>
  </r>
  <r>
    <x v="0"/>
    <x v="1819"/>
    <x v="1794"/>
    <x v="0"/>
    <x v="5"/>
  </r>
  <r>
    <x v="0"/>
    <x v="1820"/>
    <x v="1795"/>
    <x v="0"/>
    <x v="5"/>
  </r>
  <r>
    <x v="0"/>
    <x v="1821"/>
    <x v="1796"/>
    <x v="0"/>
    <x v="5"/>
  </r>
  <r>
    <x v="0"/>
    <x v="1822"/>
    <x v="1797"/>
    <x v="0"/>
    <x v="5"/>
  </r>
  <r>
    <x v="0"/>
    <x v="1823"/>
    <x v="1798"/>
    <x v="0"/>
    <x v="5"/>
  </r>
  <r>
    <x v="0"/>
    <x v="1824"/>
    <x v="1799"/>
    <x v="0"/>
    <x v="5"/>
  </r>
  <r>
    <x v="0"/>
    <x v="1825"/>
    <x v="1800"/>
    <x v="0"/>
    <x v="5"/>
  </r>
  <r>
    <x v="0"/>
    <x v="1826"/>
    <x v="1801"/>
    <x v="0"/>
    <x v="5"/>
  </r>
  <r>
    <x v="0"/>
    <x v="1827"/>
    <x v="1802"/>
    <x v="0"/>
    <x v="5"/>
  </r>
  <r>
    <x v="0"/>
    <x v="1828"/>
    <x v="1803"/>
    <x v="0"/>
    <x v="5"/>
  </r>
  <r>
    <x v="0"/>
    <x v="1829"/>
    <x v="1804"/>
    <x v="0"/>
    <x v="5"/>
  </r>
  <r>
    <x v="0"/>
    <x v="1830"/>
    <x v="1805"/>
    <x v="0"/>
    <x v="5"/>
  </r>
  <r>
    <x v="0"/>
    <x v="1831"/>
    <x v="1806"/>
    <x v="0"/>
    <x v="5"/>
  </r>
  <r>
    <x v="0"/>
    <x v="1832"/>
    <x v="1807"/>
    <x v="0"/>
    <x v="5"/>
  </r>
  <r>
    <x v="0"/>
    <x v="1833"/>
    <x v="1808"/>
    <x v="0"/>
    <x v="5"/>
  </r>
  <r>
    <x v="0"/>
    <x v="1834"/>
    <x v="1809"/>
    <x v="0"/>
    <x v="5"/>
  </r>
  <r>
    <x v="0"/>
    <x v="1835"/>
    <x v="1810"/>
    <x v="0"/>
    <x v="5"/>
  </r>
  <r>
    <x v="0"/>
    <x v="1836"/>
    <x v="1811"/>
    <x v="0"/>
    <x v="5"/>
  </r>
  <r>
    <x v="0"/>
    <x v="1837"/>
    <x v="1812"/>
    <x v="0"/>
    <x v="5"/>
  </r>
  <r>
    <x v="0"/>
    <x v="1838"/>
    <x v="1813"/>
    <x v="0"/>
    <x v="5"/>
  </r>
  <r>
    <x v="0"/>
    <x v="1839"/>
    <x v="1814"/>
    <x v="0"/>
    <x v="5"/>
  </r>
  <r>
    <x v="0"/>
    <x v="1840"/>
    <x v="1815"/>
    <x v="0"/>
    <x v="5"/>
  </r>
  <r>
    <x v="0"/>
    <x v="1841"/>
    <x v="1816"/>
    <x v="0"/>
    <x v="5"/>
  </r>
  <r>
    <x v="0"/>
    <x v="1842"/>
    <x v="1817"/>
    <x v="0"/>
    <x v="5"/>
  </r>
  <r>
    <x v="0"/>
    <x v="1843"/>
    <x v="1818"/>
    <x v="0"/>
    <x v="5"/>
  </r>
  <r>
    <x v="0"/>
    <x v="1844"/>
    <x v="1819"/>
    <x v="0"/>
    <x v="5"/>
  </r>
  <r>
    <x v="0"/>
    <x v="1845"/>
    <x v="1820"/>
    <x v="0"/>
    <x v="5"/>
  </r>
  <r>
    <x v="0"/>
    <x v="1846"/>
    <x v="1821"/>
    <x v="0"/>
    <x v="5"/>
  </r>
  <r>
    <x v="0"/>
    <x v="1847"/>
    <x v="1822"/>
    <x v="0"/>
    <x v="5"/>
  </r>
  <r>
    <x v="0"/>
    <x v="1848"/>
    <x v="1823"/>
    <x v="0"/>
    <x v="5"/>
  </r>
  <r>
    <x v="0"/>
    <x v="1849"/>
    <x v="1824"/>
    <x v="0"/>
    <x v="5"/>
  </r>
  <r>
    <x v="0"/>
    <x v="1850"/>
    <x v="1825"/>
    <x v="0"/>
    <x v="5"/>
  </r>
  <r>
    <x v="0"/>
    <x v="1851"/>
    <x v="1826"/>
    <x v="0"/>
    <x v="5"/>
  </r>
  <r>
    <x v="0"/>
    <x v="1852"/>
    <x v="1827"/>
    <x v="0"/>
    <x v="5"/>
  </r>
  <r>
    <x v="0"/>
    <x v="1853"/>
    <x v="1828"/>
    <x v="0"/>
    <x v="5"/>
  </r>
  <r>
    <x v="0"/>
    <x v="1854"/>
    <x v="1829"/>
    <x v="0"/>
    <x v="5"/>
  </r>
  <r>
    <x v="0"/>
    <x v="1855"/>
    <x v="1830"/>
    <x v="0"/>
    <x v="5"/>
  </r>
  <r>
    <x v="0"/>
    <x v="1856"/>
    <x v="1831"/>
    <x v="0"/>
    <x v="5"/>
  </r>
  <r>
    <x v="0"/>
    <x v="1857"/>
    <x v="1832"/>
    <x v="0"/>
    <x v="5"/>
  </r>
  <r>
    <x v="0"/>
    <x v="1858"/>
    <x v="1833"/>
    <x v="0"/>
    <x v="5"/>
  </r>
  <r>
    <x v="0"/>
    <x v="1859"/>
    <x v="1834"/>
    <x v="0"/>
    <x v="5"/>
  </r>
  <r>
    <x v="0"/>
    <x v="1860"/>
    <x v="1835"/>
    <x v="0"/>
    <x v="5"/>
  </r>
  <r>
    <x v="0"/>
    <x v="1861"/>
    <x v="1836"/>
    <x v="0"/>
    <x v="5"/>
  </r>
  <r>
    <x v="0"/>
    <x v="1862"/>
    <x v="1837"/>
    <x v="0"/>
    <x v="5"/>
  </r>
  <r>
    <x v="0"/>
    <x v="1863"/>
    <x v="1838"/>
    <x v="0"/>
    <x v="5"/>
  </r>
  <r>
    <x v="0"/>
    <x v="1864"/>
    <x v="1839"/>
    <x v="0"/>
    <x v="5"/>
  </r>
  <r>
    <x v="0"/>
    <x v="1865"/>
    <x v="1840"/>
    <x v="0"/>
    <x v="5"/>
  </r>
  <r>
    <x v="0"/>
    <x v="1866"/>
    <x v="1841"/>
    <x v="0"/>
    <x v="5"/>
  </r>
  <r>
    <x v="0"/>
    <x v="1867"/>
    <x v="1842"/>
    <x v="0"/>
    <x v="5"/>
  </r>
  <r>
    <x v="0"/>
    <x v="1868"/>
    <x v="1843"/>
    <x v="0"/>
    <x v="5"/>
  </r>
  <r>
    <x v="0"/>
    <x v="1869"/>
    <x v="1844"/>
    <x v="0"/>
    <x v="5"/>
  </r>
  <r>
    <x v="0"/>
    <x v="1870"/>
    <x v="1845"/>
    <x v="0"/>
    <x v="5"/>
  </r>
  <r>
    <x v="0"/>
    <x v="1871"/>
    <x v="1846"/>
    <x v="0"/>
    <x v="5"/>
  </r>
  <r>
    <x v="0"/>
    <x v="1872"/>
    <x v="1847"/>
    <x v="0"/>
    <x v="5"/>
  </r>
  <r>
    <x v="0"/>
    <x v="1873"/>
    <x v="1848"/>
    <x v="0"/>
    <x v="5"/>
  </r>
  <r>
    <x v="0"/>
    <x v="1874"/>
    <x v="1849"/>
    <x v="0"/>
    <x v="5"/>
  </r>
  <r>
    <x v="0"/>
    <x v="1875"/>
    <x v="1850"/>
    <x v="0"/>
    <x v="5"/>
  </r>
  <r>
    <x v="0"/>
    <x v="1876"/>
    <x v="1851"/>
    <x v="0"/>
    <x v="5"/>
  </r>
  <r>
    <x v="0"/>
    <x v="1877"/>
    <x v="1852"/>
    <x v="0"/>
    <x v="5"/>
  </r>
  <r>
    <x v="0"/>
    <x v="1878"/>
    <x v="1853"/>
    <x v="0"/>
    <x v="5"/>
  </r>
  <r>
    <x v="0"/>
    <x v="1879"/>
    <x v="1854"/>
    <x v="0"/>
    <x v="5"/>
  </r>
  <r>
    <x v="0"/>
    <x v="1880"/>
    <x v="1855"/>
    <x v="0"/>
    <x v="5"/>
  </r>
  <r>
    <x v="0"/>
    <x v="1881"/>
    <x v="1856"/>
    <x v="0"/>
    <x v="5"/>
  </r>
  <r>
    <x v="0"/>
    <x v="1882"/>
    <x v="1857"/>
    <x v="0"/>
    <x v="5"/>
  </r>
  <r>
    <x v="0"/>
    <x v="1883"/>
    <x v="1858"/>
    <x v="0"/>
    <x v="5"/>
  </r>
  <r>
    <x v="0"/>
    <x v="1884"/>
    <x v="1859"/>
    <x v="0"/>
    <x v="5"/>
  </r>
  <r>
    <x v="0"/>
    <x v="1885"/>
    <x v="1860"/>
    <x v="0"/>
    <x v="5"/>
  </r>
  <r>
    <x v="0"/>
    <x v="1886"/>
    <x v="1861"/>
    <x v="0"/>
    <x v="5"/>
  </r>
  <r>
    <x v="0"/>
    <x v="1887"/>
    <x v="1862"/>
    <x v="0"/>
    <x v="5"/>
  </r>
  <r>
    <x v="0"/>
    <x v="1888"/>
    <x v="1863"/>
    <x v="0"/>
    <x v="5"/>
  </r>
  <r>
    <x v="0"/>
    <x v="1889"/>
    <x v="1864"/>
    <x v="0"/>
    <x v="5"/>
  </r>
  <r>
    <x v="0"/>
    <x v="1890"/>
    <x v="1865"/>
    <x v="0"/>
    <x v="5"/>
  </r>
  <r>
    <x v="0"/>
    <x v="1891"/>
    <x v="1866"/>
    <x v="0"/>
    <x v="5"/>
  </r>
  <r>
    <x v="0"/>
    <x v="1892"/>
    <x v="1867"/>
    <x v="0"/>
    <x v="5"/>
  </r>
  <r>
    <x v="0"/>
    <x v="1893"/>
    <x v="1868"/>
    <x v="0"/>
    <x v="5"/>
  </r>
  <r>
    <x v="0"/>
    <x v="1894"/>
    <x v="1869"/>
    <x v="0"/>
    <x v="5"/>
  </r>
  <r>
    <x v="0"/>
    <x v="1895"/>
    <x v="1870"/>
    <x v="0"/>
    <x v="5"/>
  </r>
  <r>
    <x v="0"/>
    <x v="1896"/>
    <x v="1871"/>
    <x v="0"/>
    <x v="5"/>
  </r>
  <r>
    <x v="0"/>
    <x v="1897"/>
    <x v="1872"/>
    <x v="0"/>
    <x v="5"/>
  </r>
  <r>
    <x v="0"/>
    <x v="1898"/>
    <x v="1873"/>
    <x v="0"/>
    <x v="5"/>
  </r>
  <r>
    <x v="0"/>
    <x v="1899"/>
    <x v="1874"/>
    <x v="0"/>
    <x v="5"/>
  </r>
  <r>
    <x v="0"/>
    <x v="1900"/>
    <x v="1875"/>
    <x v="0"/>
    <x v="5"/>
  </r>
  <r>
    <x v="0"/>
    <x v="1901"/>
    <x v="1876"/>
    <x v="0"/>
    <x v="5"/>
  </r>
  <r>
    <x v="0"/>
    <x v="1902"/>
    <x v="1877"/>
    <x v="0"/>
    <x v="5"/>
  </r>
  <r>
    <x v="0"/>
    <x v="1903"/>
    <x v="1878"/>
    <x v="0"/>
    <x v="5"/>
  </r>
  <r>
    <x v="0"/>
    <x v="1904"/>
    <x v="1879"/>
    <x v="0"/>
    <x v="5"/>
  </r>
  <r>
    <x v="0"/>
    <x v="1905"/>
    <x v="1880"/>
    <x v="0"/>
    <x v="5"/>
  </r>
  <r>
    <x v="0"/>
    <x v="1906"/>
    <x v="1881"/>
    <x v="0"/>
    <x v="5"/>
  </r>
  <r>
    <x v="0"/>
    <x v="1907"/>
    <x v="1882"/>
    <x v="0"/>
    <x v="5"/>
  </r>
  <r>
    <x v="0"/>
    <x v="1908"/>
    <x v="1883"/>
    <x v="0"/>
    <x v="5"/>
  </r>
  <r>
    <x v="0"/>
    <x v="1909"/>
    <x v="1884"/>
    <x v="0"/>
    <x v="5"/>
  </r>
  <r>
    <x v="0"/>
    <x v="1910"/>
    <x v="1885"/>
    <x v="0"/>
    <x v="5"/>
  </r>
  <r>
    <x v="0"/>
    <x v="1911"/>
    <x v="1886"/>
    <x v="0"/>
    <x v="5"/>
  </r>
  <r>
    <x v="0"/>
    <x v="1912"/>
    <x v="1887"/>
    <x v="0"/>
    <x v="5"/>
  </r>
  <r>
    <x v="0"/>
    <x v="1913"/>
    <x v="1888"/>
    <x v="0"/>
    <x v="5"/>
  </r>
  <r>
    <x v="0"/>
    <x v="1914"/>
    <x v="1889"/>
    <x v="0"/>
    <x v="5"/>
  </r>
  <r>
    <x v="0"/>
    <x v="1915"/>
    <x v="1890"/>
    <x v="0"/>
    <x v="5"/>
  </r>
  <r>
    <x v="0"/>
    <x v="1916"/>
    <x v="1891"/>
    <x v="0"/>
    <x v="1"/>
  </r>
  <r>
    <x v="0"/>
    <x v="1917"/>
    <x v="1892"/>
    <x v="0"/>
    <x v="1"/>
  </r>
  <r>
    <x v="0"/>
    <x v="1918"/>
    <x v="1893"/>
    <x v="0"/>
    <x v="1"/>
  </r>
  <r>
    <x v="0"/>
    <x v="1919"/>
    <x v="1894"/>
    <x v="0"/>
    <x v="1"/>
  </r>
  <r>
    <x v="0"/>
    <x v="1920"/>
    <x v="1895"/>
    <x v="0"/>
    <x v="1"/>
  </r>
  <r>
    <x v="0"/>
    <x v="1921"/>
    <x v="1896"/>
    <x v="0"/>
    <x v="1"/>
  </r>
  <r>
    <x v="0"/>
    <x v="1922"/>
    <x v="1897"/>
    <x v="0"/>
    <x v="1"/>
  </r>
  <r>
    <x v="0"/>
    <x v="1923"/>
    <x v="1898"/>
    <x v="0"/>
    <x v="1"/>
  </r>
  <r>
    <x v="0"/>
    <x v="1924"/>
    <x v="1899"/>
    <x v="0"/>
    <x v="1"/>
  </r>
  <r>
    <x v="0"/>
    <x v="1925"/>
    <x v="1900"/>
    <x v="0"/>
    <x v="5"/>
  </r>
  <r>
    <x v="0"/>
    <x v="1926"/>
    <x v="1901"/>
    <x v="0"/>
    <x v="5"/>
  </r>
  <r>
    <x v="0"/>
    <x v="1927"/>
    <x v="1902"/>
    <x v="0"/>
    <x v="5"/>
  </r>
  <r>
    <x v="0"/>
    <x v="1928"/>
    <x v="1903"/>
    <x v="0"/>
    <x v="5"/>
  </r>
  <r>
    <x v="0"/>
    <x v="1929"/>
    <x v="1904"/>
    <x v="0"/>
    <x v="5"/>
  </r>
  <r>
    <x v="0"/>
    <x v="1930"/>
    <x v="1905"/>
    <x v="0"/>
    <x v="5"/>
  </r>
  <r>
    <x v="0"/>
    <x v="1931"/>
    <x v="1906"/>
    <x v="0"/>
    <x v="5"/>
  </r>
  <r>
    <x v="0"/>
    <x v="1932"/>
    <x v="1907"/>
    <x v="0"/>
    <x v="5"/>
  </r>
  <r>
    <x v="0"/>
    <x v="1933"/>
    <x v="1908"/>
    <x v="0"/>
    <x v="5"/>
  </r>
  <r>
    <x v="0"/>
    <x v="1934"/>
    <x v="1909"/>
    <x v="0"/>
    <x v="5"/>
  </r>
  <r>
    <x v="0"/>
    <x v="1935"/>
    <x v="1910"/>
    <x v="0"/>
    <x v="5"/>
  </r>
  <r>
    <x v="0"/>
    <x v="1936"/>
    <x v="1911"/>
    <x v="0"/>
    <x v="5"/>
  </r>
  <r>
    <x v="0"/>
    <x v="1937"/>
    <x v="1912"/>
    <x v="0"/>
    <x v="5"/>
  </r>
  <r>
    <x v="0"/>
    <x v="1938"/>
    <x v="1913"/>
    <x v="0"/>
    <x v="5"/>
  </r>
  <r>
    <x v="0"/>
    <x v="1939"/>
    <x v="1914"/>
    <x v="0"/>
    <x v="5"/>
  </r>
  <r>
    <x v="0"/>
    <x v="1940"/>
    <x v="1915"/>
    <x v="0"/>
    <x v="5"/>
  </r>
  <r>
    <x v="0"/>
    <x v="1941"/>
    <x v="1916"/>
    <x v="0"/>
    <x v="5"/>
  </r>
  <r>
    <x v="0"/>
    <x v="1942"/>
    <x v="1917"/>
    <x v="0"/>
    <x v="5"/>
  </r>
  <r>
    <x v="0"/>
    <x v="1943"/>
    <x v="1918"/>
    <x v="0"/>
    <x v="5"/>
  </r>
  <r>
    <x v="0"/>
    <x v="1944"/>
    <x v="1919"/>
    <x v="0"/>
    <x v="5"/>
  </r>
  <r>
    <x v="0"/>
    <x v="1945"/>
    <x v="1920"/>
    <x v="0"/>
    <x v="5"/>
  </r>
  <r>
    <x v="0"/>
    <x v="1946"/>
    <x v="1921"/>
    <x v="0"/>
    <x v="5"/>
  </r>
  <r>
    <x v="0"/>
    <x v="1947"/>
    <x v="1922"/>
    <x v="0"/>
    <x v="5"/>
  </r>
  <r>
    <x v="0"/>
    <x v="1948"/>
    <x v="1923"/>
    <x v="0"/>
    <x v="5"/>
  </r>
  <r>
    <x v="0"/>
    <x v="1949"/>
    <x v="1924"/>
    <x v="0"/>
    <x v="5"/>
  </r>
  <r>
    <x v="0"/>
    <x v="1950"/>
    <x v="1925"/>
    <x v="0"/>
    <x v="5"/>
  </r>
  <r>
    <x v="0"/>
    <x v="1951"/>
    <x v="1926"/>
    <x v="0"/>
    <x v="5"/>
  </r>
  <r>
    <x v="0"/>
    <x v="1952"/>
    <x v="1927"/>
    <x v="0"/>
    <x v="5"/>
  </r>
  <r>
    <x v="0"/>
    <x v="1953"/>
    <x v="1928"/>
    <x v="0"/>
    <x v="5"/>
  </r>
  <r>
    <x v="0"/>
    <x v="1954"/>
    <x v="1929"/>
    <x v="0"/>
    <x v="5"/>
  </r>
  <r>
    <x v="0"/>
    <x v="1955"/>
    <x v="1930"/>
    <x v="0"/>
    <x v="5"/>
  </r>
  <r>
    <x v="0"/>
    <x v="1956"/>
    <x v="1931"/>
    <x v="0"/>
    <x v="5"/>
  </r>
  <r>
    <x v="0"/>
    <x v="1957"/>
    <x v="1930"/>
    <x v="0"/>
    <x v="5"/>
  </r>
  <r>
    <x v="0"/>
    <x v="1958"/>
    <x v="1930"/>
    <x v="0"/>
    <x v="5"/>
  </r>
  <r>
    <x v="0"/>
    <x v="1959"/>
    <x v="1932"/>
    <x v="0"/>
    <x v="5"/>
  </r>
  <r>
    <x v="0"/>
    <x v="1960"/>
    <x v="1930"/>
    <x v="0"/>
    <x v="5"/>
  </r>
  <r>
    <x v="0"/>
    <x v="1961"/>
    <x v="1930"/>
    <x v="0"/>
    <x v="5"/>
  </r>
  <r>
    <x v="0"/>
    <x v="1962"/>
    <x v="1930"/>
    <x v="0"/>
    <x v="5"/>
  </r>
  <r>
    <x v="0"/>
    <x v="1963"/>
    <x v="1933"/>
    <x v="0"/>
    <x v="5"/>
  </r>
  <r>
    <x v="0"/>
    <x v="1964"/>
    <x v="1934"/>
    <x v="0"/>
    <x v="5"/>
  </r>
  <r>
    <x v="0"/>
    <x v="1965"/>
    <x v="1935"/>
    <x v="0"/>
    <x v="5"/>
  </r>
  <r>
    <x v="0"/>
    <x v="1966"/>
    <x v="1935"/>
    <x v="0"/>
    <x v="5"/>
  </r>
  <r>
    <x v="0"/>
    <x v="1967"/>
    <x v="1935"/>
    <x v="0"/>
    <x v="5"/>
  </r>
  <r>
    <x v="0"/>
    <x v="1968"/>
    <x v="1935"/>
    <x v="0"/>
    <x v="5"/>
  </r>
  <r>
    <x v="0"/>
    <x v="1969"/>
    <x v="1936"/>
    <x v="0"/>
    <x v="5"/>
  </r>
  <r>
    <x v="0"/>
    <x v="1970"/>
    <x v="1937"/>
    <x v="0"/>
    <x v="5"/>
  </r>
  <r>
    <x v="0"/>
    <x v="1971"/>
    <x v="1938"/>
    <x v="0"/>
    <x v="5"/>
  </r>
  <r>
    <x v="0"/>
    <x v="1972"/>
    <x v="1939"/>
    <x v="0"/>
    <x v="5"/>
  </r>
  <r>
    <x v="0"/>
    <x v="1973"/>
    <x v="1940"/>
    <x v="0"/>
    <x v="5"/>
  </r>
  <r>
    <x v="0"/>
    <x v="1974"/>
    <x v="1941"/>
    <x v="0"/>
    <x v="5"/>
  </r>
  <r>
    <x v="0"/>
    <x v="1975"/>
    <x v="1942"/>
    <x v="0"/>
    <x v="5"/>
  </r>
  <r>
    <x v="0"/>
    <x v="1976"/>
    <x v="1943"/>
    <x v="0"/>
    <x v="5"/>
  </r>
  <r>
    <x v="0"/>
    <x v="1977"/>
    <x v="1944"/>
    <x v="0"/>
    <x v="5"/>
  </r>
  <r>
    <x v="0"/>
    <x v="1978"/>
    <x v="1945"/>
    <x v="0"/>
    <x v="5"/>
  </r>
  <r>
    <x v="0"/>
    <x v="1979"/>
    <x v="1946"/>
    <x v="0"/>
    <x v="5"/>
  </r>
  <r>
    <x v="0"/>
    <x v="1980"/>
    <x v="1947"/>
    <x v="0"/>
    <x v="5"/>
  </r>
  <r>
    <x v="0"/>
    <x v="1981"/>
    <x v="1948"/>
    <x v="0"/>
    <x v="5"/>
  </r>
  <r>
    <x v="0"/>
    <x v="1982"/>
    <x v="1949"/>
    <x v="0"/>
    <x v="5"/>
  </r>
  <r>
    <x v="0"/>
    <x v="1983"/>
    <x v="1950"/>
    <x v="0"/>
    <x v="5"/>
  </r>
  <r>
    <x v="0"/>
    <x v="1984"/>
    <x v="1951"/>
    <x v="0"/>
    <x v="5"/>
  </r>
  <r>
    <x v="0"/>
    <x v="1985"/>
    <x v="1952"/>
    <x v="0"/>
    <x v="5"/>
  </r>
  <r>
    <x v="0"/>
    <x v="1986"/>
    <x v="1953"/>
    <x v="0"/>
    <x v="5"/>
  </r>
  <r>
    <x v="0"/>
    <x v="1987"/>
    <x v="1954"/>
    <x v="0"/>
    <x v="5"/>
  </r>
  <r>
    <x v="0"/>
    <x v="1988"/>
    <x v="1955"/>
    <x v="0"/>
    <x v="5"/>
  </r>
  <r>
    <x v="0"/>
    <x v="1989"/>
    <x v="1956"/>
    <x v="0"/>
    <x v="5"/>
  </r>
  <r>
    <x v="0"/>
    <x v="1990"/>
    <x v="1957"/>
    <x v="0"/>
    <x v="5"/>
  </r>
  <r>
    <x v="0"/>
    <x v="1991"/>
    <x v="1958"/>
    <x v="0"/>
    <x v="5"/>
  </r>
  <r>
    <x v="0"/>
    <x v="1992"/>
    <x v="1959"/>
    <x v="0"/>
    <x v="5"/>
  </r>
  <r>
    <x v="0"/>
    <x v="1993"/>
    <x v="1960"/>
    <x v="0"/>
    <x v="5"/>
  </r>
  <r>
    <x v="0"/>
    <x v="1994"/>
    <x v="1961"/>
    <x v="0"/>
    <x v="5"/>
  </r>
  <r>
    <x v="0"/>
    <x v="1995"/>
    <x v="1962"/>
    <x v="0"/>
    <x v="5"/>
  </r>
  <r>
    <x v="0"/>
    <x v="1996"/>
    <x v="1963"/>
    <x v="0"/>
    <x v="5"/>
  </r>
  <r>
    <x v="0"/>
    <x v="1997"/>
    <x v="1964"/>
    <x v="0"/>
    <x v="5"/>
  </r>
  <r>
    <x v="0"/>
    <x v="1998"/>
    <x v="1965"/>
    <x v="0"/>
    <x v="5"/>
  </r>
  <r>
    <x v="0"/>
    <x v="1999"/>
    <x v="1966"/>
    <x v="0"/>
    <x v="5"/>
  </r>
  <r>
    <x v="0"/>
    <x v="2000"/>
    <x v="1967"/>
    <x v="0"/>
    <x v="5"/>
  </r>
  <r>
    <x v="0"/>
    <x v="2001"/>
    <x v="1968"/>
    <x v="0"/>
    <x v="5"/>
  </r>
  <r>
    <x v="0"/>
    <x v="2002"/>
    <x v="1969"/>
    <x v="0"/>
    <x v="5"/>
  </r>
  <r>
    <x v="0"/>
    <x v="2003"/>
    <x v="1970"/>
    <x v="0"/>
    <x v="5"/>
  </r>
  <r>
    <x v="0"/>
    <x v="2004"/>
    <x v="1971"/>
    <x v="0"/>
    <x v="5"/>
  </r>
  <r>
    <x v="0"/>
    <x v="2005"/>
    <x v="1972"/>
    <x v="0"/>
    <x v="5"/>
  </r>
  <r>
    <x v="0"/>
    <x v="2006"/>
    <x v="1973"/>
    <x v="0"/>
    <x v="5"/>
  </r>
  <r>
    <x v="0"/>
    <x v="2007"/>
    <x v="1974"/>
    <x v="0"/>
    <x v="5"/>
  </r>
  <r>
    <x v="0"/>
    <x v="2008"/>
    <x v="1975"/>
    <x v="0"/>
    <x v="5"/>
  </r>
  <r>
    <x v="0"/>
    <x v="2009"/>
    <x v="1976"/>
    <x v="0"/>
    <x v="5"/>
  </r>
  <r>
    <x v="0"/>
    <x v="2010"/>
    <x v="1977"/>
    <x v="0"/>
    <x v="5"/>
  </r>
  <r>
    <x v="0"/>
    <x v="2011"/>
    <x v="1978"/>
    <x v="0"/>
    <x v="5"/>
  </r>
  <r>
    <x v="0"/>
    <x v="2012"/>
    <x v="1979"/>
    <x v="0"/>
    <x v="1"/>
  </r>
  <r>
    <x v="0"/>
    <x v="2013"/>
    <x v="1980"/>
    <x v="0"/>
    <x v="1"/>
  </r>
  <r>
    <x v="0"/>
    <x v="2014"/>
    <x v="1981"/>
    <x v="0"/>
    <x v="1"/>
  </r>
  <r>
    <x v="0"/>
    <x v="2015"/>
    <x v="1982"/>
    <x v="0"/>
    <x v="1"/>
  </r>
  <r>
    <x v="0"/>
    <x v="2016"/>
    <x v="1983"/>
    <x v="0"/>
    <x v="1"/>
  </r>
  <r>
    <x v="0"/>
    <x v="2017"/>
    <x v="1984"/>
    <x v="0"/>
    <x v="1"/>
  </r>
  <r>
    <x v="0"/>
    <x v="2018"/>
    <x v="1985"/>
    <x v="0"/>
    <x v="1"/>
  </r>
  <r>
    <x v="0"/>
    <x v="2019"/>
    <x v="1986"/>
    <x v="0"/>
    <x v="1"/>
  </r>
  <r>
    <x v="0"/>
    <x v="2020"/>
    <x v="1987"/>
    <x v="0"/>
    <x v="1"/>
  </r>
  <r>
    <x v="0"/>
    <x v="2021"/>
    <x v="1988"/>
    <x v="0"/>
    <x v="1"/>
  </r>
  <r>
    <x v="0"/>
    <x v="2022"/>
    <x v="1989"/>
    <x v="0"/>
    <x v="1"/>
  </r>
  <r>
    <x v="0"/>
    <x v="2023"/>
    <x v="1990"/>
    <x v="0"/>
    <x v="1"/>
  </r>
  <r>
    <x v="0"/>
    <x v="2024"/>
    <x v="1991"/>
    <x v="0"/>
    <x v="1"/>
  </r>
  <r>
    <x v="0"/>
    <x v="2025"/>
    <x v="1992"/>
    <x v="0"/>
    <x v="5"/>
  </r>
  <r>
    <x v="0"/>
    <x v="2026"/>
    <x v="1993"/>
    <x v="0"/>
    <x v="5"/>
  </r>
  <r>
    <x v="0"/>
    <x v="2027"/>
    <x v="1994"/>
    <x v="0"/>
    <x v="5"/>
  </r>
  <r>
    <x v="0"/>
    <x v="2028"/>
    <x v="1995"/>
    <x v="0"/>
    <x v="5"/>
  </r>
  <r>
    <x v="0"/>
    <x v="2029"/>
    <x v="1996"/>
    <x v="0"/>
    <x v="5"/>
  </r>
  <r>
    <x v="0"/>
    <x v="2030"/>
    <x v="1997"/>
    <x v="0"/>
    <x v="1"/>
  </r>
  <r>
    <x v="0"/>
    <x v="2031"/>
    <x v="1998"/>
    <x v="0"/>
    <x v="1"/>
  </r>
  <r>
    <x v="0"/>
    <x v="2032"/>
    <x v="1999"/>
    <x v="0"/>
    <x v="1"/>
  </r>
  <r>
    <x v="0"/>
    <x v="2033"/>
    <x v="2000"/>
    <x v="0"/>
    <x v="1"/>
  </r>
  <r>
    <x v="0"/>
    <x v="2034"/>
    <x v="2001"/>
    <x v="0"/>
    <x v="1"/>
  </r>
  <r>
    <x v="0"/>
    <x v="2035"/>
    <x v="2002"/>
    <x v="0"/>
    <x v="1"/>
  </r>
  <r>
    <x v="0"/>
    <x v="2036"/>
    <x v="1997"/>
    <x v="0"/>
    <x v="1"/>
  </r>
  <r>
    <x v="0"/>
    <x v="2037"/>
    <x v="2003"/>
    <x v="0"/>
    <x v="1"/>
  </r>
  <r>
    <x v="0"/>
    <x v="2038"/>
    <x v="1998"/>
    <x v="0"/>
    <x v="1"/>
  </r>
  <r>
    <x v="0"/>
    <x v="2039"/>
    <x v="2004"/>
    <x v="0"/>
    <x v="1"/>
  </r>
  <r>
    <x v="0"/>
    <x v="2040"/>
    <x v="2005"/>
    <x v="0"/>
    <x v="1"/>
  </r>
  <r>
    <x v="0"/>
    <x v="2041"/>
    <x v="2006"/>
    <x v="0"/>
    <x v="1"/>
  </r>
  <r>
    <x v="0"/>
    <x v="2042"/>
    <x v="2007"/>
    <x v="0"/>
    <x v="1"/>
  </r>
  <r>
    <x v="0"/>
    <x v="2043"/>
    <x v="2008"/>
    <x v="0"/>
    <x v="1"/>
  </r>
  <r>
    <x v="0"/>
    <x v="2044"/>
    <x v="2009"/>
    <x v="0"/>
    <x v="1"/>
  </r>
  <r>
    <x v="0"/>
    <x v="2045"/>
    <x v="2010"/>
    <x v="0"/>
    <x v="1"/>
  </r>
  <r>
    <x v="0"/>
    <x v="2046"/>
    <x v="2011"/>
    <x v="0"/>
    <x v="1"/>
  </r>
  <r>
    <x v="0"/>
    <x v="2047"/>
    <x v="2012"/>
    <x v="0"/>
    <x v="1"/>
  </r>
  <r>
    <x v="0"/>
    <x v="2048"/>
    <x v="2013"/>
    <x v="0"/>
    <x v="1"/>
  </r>
  <r>
    <x v="0"/>
    <x v="2049"/>
    <x v="2014"/>
    <x v="0"/>
    <x v="1"/>
  </r>
  <r>
    <x v="0"/>
    <x v="2050"/>
    <x v="2015"/>
    <x v="0"/>
    <x v="1"/>
  </r>
  <r>
    <x v="0"/>
    <x v="2051"/>
    <x v="2016"/>
    <x v="0"/>
    <x v="1"/>
  </r>
  <r>
    <x v="0"/>
    <x v="2052"/>
    <x v="2017"/>
    <x v="0"/>
    <x v="1"/>
  </r>
  <r>
    <x v="0"/>
    <x v="2053"/>
    <x v="2018"/>
    <x v="0"/>
    <x v="1"/>
  </r>
  <r>
    <x v="0"/>
    <x v="2054"/>
    <x v="2009"/>
    <x v="0"/>
    <x v="1"/>
  </r>
  <r>
    <x v="0"/>
    <x v="2055"/>
    <x v="2010"/>
    <x v="0"/>
    <x v="1"/>
  </r>
  <r>
    <x v="0"/>
    <x v="2056"/>
    <x v="2019"/>
    <x v="0"/>
    <x v="1"/>
  </r>
  <r>
    <x v="0"/>
    <x v="2057"/>
    <x v="2012"/>
    <x v="0"/>
    <x v="1"/>
  </r>
  <r>
    <x v="0"/>
    <x v="2058"/>
    <x v="2014"/>
    <x v="0"/>
    <x v="1"/>
  </r>
  <r>
    <x v="0"/>
    <x v="2059"/>
    <x v="2013"/>
    <x v="0"/>
    <x v="1"/>
  </r>
  <r>
    <x v="0"/>
    <x v="2060"/>
    <x v="2020"/>
    <x v="0"/>
    <x v="1"/>
  </r>
  <r>
    <x v="0"/>
    <x v="2061"/>
    <x v="2021"/>
    <x v="0"/>
    <x v="1"/>
  </r>
  <r>
    <x v="0"/>
    <x v="2062"/>
    <x v="2022"/>
    <x v="0"/>
    <x v="1"/>
  </r>
  <r>
    <x v="0"/>
    <x v="2063"/>
    <x v="2023"/>
    <x v="0"/>
    <x v="1"/>
  </r>
  <r>
    <x v="0"/>
    <x v="2064"/>
    <x v="2024"/>
    <x v="0"/>
    <x v="5"/>
  </r>
  <r>
    <x v="0"/>
    <x v="2065"/>
    <x v="2025"/>
    <x v="0"/>
    <x v="5"/>
  </r>
  <r>
    <x v="0"/>
    <x v="2066"/>
    <x v="2025"/>
    <x v="0"/>
    <x v="5"/>
  </r>
  <r>
    <x v="0"/>
    <x v="2067"/>
    <x v="2025"/>
    <x v="0"/>
    <x v="5"/>
  </r>
  <r>
    <x v="0"/>
    <x v="2068"/>
    <x v="2025"/>
    <x v="0"/>
    <x v="5"/>
  </r>
  <r>
    <x v="0"/>
    <x v="2069"/>
    <x v="2026"/>
    <x v="0"/>
    <x v="5"/>
  </r>
  <r>
    <x v="0"/>
    <x v="2070"/>
    <x v="2027"/>
    <x v="0"/>
    <x v="5"/>
  </r>
  <r>
    <x v="0"/>
    <x v="2071"/>
    <x v="2028"/>
    <x v="0"/>
    <x v="5"/>
  </r>
  <r>
    <x v="0"/>
    <x v="2072"/>
    <x v="2029"/>
    <x v="0"/>
    <x v="5"/>
  </r>
  <r>
    <x v="0"/>
    <x v="2073"/>
    <x v="2030"/>
    <x v="0"/>
    <x v="5"/>
  </r>
  <r>
    <x v="0"/>
    <x v="2074"/>
    <x v="2031"/>
    <x v="0"/>
    <x v="5"/>
  </r>
  <r>
    <x v="0"/>
    <x v="2075"/>
    <x v="2032"/>
    <x v="0"/>
    <x v="5"/>
  </r>
  <r>
    <x v="0"/>
    <x v="2076"/>
    <x v="2033"/>
    <x v="0"/>
    <x v="5"/>
  </r>
  <r>
    <x v="0"/>
    <x v="2077"/>
    <x v="2034"/>
    <x v="0"/>
    <x v="5"/>
  </r>
  <r>
    <x v="0"/>
    <x v="2078"/>
    <x v="2035"/>
    <x v="0"/>
    <x v="5"/>
  </r>
  <r>
    <x v="0"/>
    <x v="2079"/>
    <x v="2036"/>
    <x v="0"/>
    <x v="5"/>
  </r>
  <r>
    <x v="0"/>
    <x v="2080"/>
    <x v="2037"/>
    <x v="0"/>
    <x v="5"/>
  </r>
  <r>
    <x v="0"/>
    <x v="2081"/>
    <x v="2038"/>
    <x v="0"/>
    <x v="5"/>
  </r>
  <r>
    <x v="0"/>
    <x v="2082"/>
    <x v="2039"/>
    <x v="0"/>
    <x v="5"/>
  </r>
  <r>
    <x v="0"/>
    <x v="2083"/>
    <x v="2040"/>
    <x v="0"/>
    <x v="5"/>
  </r>
  <r>
    <x v="0"/>
    <x v="2084"/>
    <x v="2041"/>
    <x v="0"/>
    <x v="5"/>
  </r>
  <r>
    <x v="0"/>
    <x v="2085"/>
    <x v="2042"/>
    <x v="0"/>
    <x v="5"/>
  </r>
  <r>
    <x v="0"/>
    <x v="2086"/>
    <x v="2043"/>
    <x v="0"/>
    <x v="5"/>
  </r>
  <r>
    <x v="0"/>
    <x v="2087"/>
    <x v="2044"/>
    <x v="0"/>
    <x v="5"/>
  </r>
  <r>
    <x v="0"/>
    <x v="2088"/>
    <x v="2045"/>
    <x v="0"/>
    <x v="5"/>
  </r>
  <r>
    <x v="0"/>
    <x v="2089"/>
    <x v="2046"/>
    <x v="0"/>
    <x v="5"/>
  </r>
  <r>
    <x v="0"/>
    <x v="2090"/>
    <x v="2047"/>
    <x v="0"/>
    <x v="5"/>
  </r>
  <r>
    <x v="0"/>
    <x v="2091"/>
    <x v="2048"/>
    <x v="0"/>
    <x v="5"/>
  </r>
  <r>
    <x v="0"/>
    <x v="2092"/>
    <x v="2049"/>
    <x v="0"/>
    <x v="5"/>
  </r>
  <r>
    <x v="0"/>
    <x v="2093"/>
    <x v="2050"/>
    <x v="0"/>
    <x v="5"/>
  </r>
  <r>
    <x v="0"/>
    <x v="2094"/>
    <x v="2051"/>
    <x v="0"/>
    <x v="5"/>
  </r>
  <r>
    <x v="0"/>
    <x v="2095"/>
    <x v="2052"/>
    <x v="0"/>
    <x v="5"/>
  </r>
  <r>
    <x v="0"/>
    <x v="2096"/>
    <x v="2053"/>
    <x v="0"/>
    <x v="5"/>
  </r>
  <r>
    <x v="0"/>
    <x v="2097"/>
    <x v="2054"/>
    <x v="0"/>
    <x v="5"/>
  </r>
  <r>
    <x v="0"/>
    <x v="2098"/>
    <x v="2055"/>
    <x v="0"/>
    <x v="5"/>
  </r>
  <r>
    <x v="0"/>
    <x v="2099"/>
    <x v="2056"/>
    <x v="0"/>
    <x v="5"/>
  </r>
  <r>
    <x v="0"/>
    <x v="2100"/>
    <x v="2057"/>
    <x v="0"/>
    <x v="5"/>
  </r>
  <r>
    <x v="0"/>
    <x v="2101"/>
    <x v="2058"/>
    <x v="0"/>
    <x v="5"/>
  </r>
  <r>
    <x v="0"/>
    <x v="2102"/>
    <x v="2059"/>
    <x v="0"/>
    <x v="5"/>
  </r>
  <r>
    <x v="0"/>
    <x v="2103"/>
    <x v="2060"/>
    <x v="0"/>
    <x v="5"/>
  </r>
  <r>
    <x v="0"/>
    <x v="2104"/>
    <x v="2061"/>
    <x v="0"/>
    <x v="5"/>
  </r>
  <r>
    <x v="0"/>
    <x v="2105"/>
    <x v="2062"/>
    <x v="0"/>
    <x v="5"/>
  </r>
  <r>
    <x v="0"/>
    <x v="2106"/>
    <x v="2063"/>
    <x v="0"/>
    <x v="5"/>
  </r>
  <r>
    <x v="0"/>
    <x v="2107"/>
    <x v="2064"/>
    <x v="0"/>
    <x v="5"/>
  </r>
  <r>
    <x v="0"/>
    <x v="2108"/>
    <x v="2065"/>
    <x v="0"/>
    <x v="5"/>
  </r>
  <r>
    <x v="0"/>
    <x v="2109"/>
    <x v="2066"/>
    <x v="0"/>
    <x v="5"/>
  </r>
  <r>
    <x v="0"/>
    <x v="2110"/>
    <x v="2067"/>
    <x v="0"/>
    <x v="5"/>
  </r>
  <r>
    <x v="0"/>
    <x v="2111"/>
    <x v="2068"/>
    <x v="0"/>
    <x v="5"/>
  </r>
  <r>
    <x v="0"/>
    <x v="2112"/>
    <x v="2069"/>
    <x v="0"/>
    <x v="5"/>
  </r>
  <r>
    <x v="0"/>
    <x v="2113"/>
    <x v="2070"/>
    <x v="0"/>
    <x v="5"/>
  </r>
  <r>
    <x v="0"/>
    <x v="2114"/>
    <x v="2071"/>
    <x v="0"/>
    <x v="5"/>
  </r>
  <r>
    <x v="0"/>
    <x v="2115"/>
    <x v="2072"/>
    <x v="0"/>
    <x v="5"/>
  </r>
  <r>
    <x v="0"/>
    <x v="2116"/>
    <x v="2072"/>
    <x v="0"/>
    <x v="5"/>
  </r>
  <r>
    <x v="0"/>
    <x v="2117"/>
    <x v="2072"/>
    <x v="0"/>
    <x v="5"/>
  </r>
  <r>
    <x v="0"/>
    <x v="2118"/>
    <x v="2072"/>
    <x v="0"/>
    <x v="5"/>
  </r>
  <r>
    <x v="0"/>
    <x v="2119"/>
    <x v="2073"/>
    <x v="0"/>
    <x v="5"/>
  </r>
  <r>
    <x v="0"/>
    <x v="2120"/>
    <x v="2073"/>
    <x v="0"/>
    <x v="5"/>
  </r>
  <r>
    <x v="0"/>
    <x v="2121"/>
    <x v="2073"/>
    <x v="0"/>
    <x v="5"/>
  </r>
  <r>
    <x v="0"/>
    <x v="2122"/>
    <x v="2074"/>
    <x v="0"/>
    <x v="5"/>
  </r>
  <r>
    <x v="0"/>
    <x v="2123"/>
    <x v="2074"/>
    <x v="0"/>
    <x v="5"/>
  </r>
  <r>
    <x v="0"/>
    <x v="2124"/>
    <x v="2074"/>
    <x v="0"/>
    <x v="5"/>
  </r>
  <r>
    <x v="0"/>
    <x v="2125"/>
    <x v="2074"/>
    <x v="0"/>
    <x v="5"/>
  </r>
  <r>
    <x v="0"/>
    <x v="2126"/>
    <x v="2075"/>
    <x v="0"/>
    <x v="5"/>
  </r>
  <r>
    <x v="0"/>
    <x v="2127"/>
    <x v="2074"/>
    <x v="0"/>
    <x v="5"/>
  </r>
  <r>
    <x v="0"/>
    <x v="2128"/>
    <x v="2076"/>
    <x v="0"/>
    <x v="5"/>
  </r>
  <r>
    <x v="0"/>
    <x v="2129"/>
    <x v="2077"/>
    <x v="0"/>
    <x v="5"/>
  </r>
  <r>
    <x v="0"/>
    <x v="2130"/>
    <x v="2078"/>
    <x v="0"/>
    <x v="5"/>
  </r>
  <r>
    <x v="0"/>
    <x v="2131"/>
    <x v="2079"/>
    <x v="0"/>
    <x v="5"/>
  </r>
  <r>
    <x v="0"/>
    <x v="2132"/>
    <x v="2080"/>
    <x v="0"/>
    <x v="5"/>
  </r>
  <r>
    <x v="0"/>
    <x v="2133"/>
    <x v="2081"/>
    <x v="0"/>
    <x v="5"/>
  </r>
  <r>
    <x v="0"/>
    <x v="2134"/>
    <x v="2082"/>
    <x v="0"/>
    <x v="5"/>
  </r>
  <r>
    <x v="0"/>
    <x v="2135"/>
    <x v="2083"/>
    <x v="0"/>
    <x v="5"/>
  </r>
  <r>
    <x v="0"/>
    <x v="2136"/>
    <x v="2084"/>
    <x v="0"/>
    <x v="0"/>
  </r>
  <r>
    <x v="0"/>
    <x v="2137"/>
    <x v="2085"/>
    <x v="0"/>
    <x v="1"/>
  </r>
  <r>
    <x v="0"/>
    <x v="2138"/>
    <x v="2086"/>
    <x v="0"/>
    <x v="1"/>
  </r>
  <r>
    <x v="0"/>
    <x v="2139"/>
    <x v="2087"/>
    <x v="0"/>
    <x v="1"/>
  </r>
  <r>
    <x v="0"/>
    <x v="2140"/>
    <x v="2088"/>
    <x v="0"/>
    <x v="1"/>
  </r>
  <r>
    <x v="0"/>
    <x v="2141"/>
    <x v="2088"/>
    <x v="0"/>
    <x v="1"/>
  </r>
  <r>
    <x v="0"/>
    <x v="2142"/>
    <x v="2089"/>
    <x v="0"/>
    <x v="5"/>
  </r>
  <r>
    <x v="0"/>
    <x v="2143"/>
    <x v="2090"/>
    <x v="0"/>
    <x v="5"/>
  </r>
  <r>
    <x v="0"/>
    <x v="2144"/>
    <x v="2091"/>
    <x v="0"/>
    <x v="1"/>
  </r>
  <r>
    <x v="0"/>
    <x v="2145"/>
    <x v="2092"/>
    <x v="0"/>
    <x v="1"/>
  </r>
  <r>
    <x v="0"/>
    <x v="2146"/>
    <x v="2093"/>
    <x v="0"/>
    <x v="1"/>
  </r>
  <r>
    <x v="0"/>
    <x v="2147"/>
    <x v="2094"/>
    <x v="0"/>
    <x v="1"/>
  </r>
  <r>
    <x v="0"/>
    <x v="2148"/>
    <x v="2095"/>
    <x v="0"/>
    <x v="1"/>
  </r>
  <r>
    <x v="0"/>
    <x v="2149"/>
    <x v="2096"/>
    <x v="0"/>
    <x v="1"/>
  </r>
  <r>
    <x v="0"/>
    <x v="2150"/>
    <x v="2097"/>
    <x v="0"/>
    <x v="1"/>
  </r>
  <r>
    <x v="0"/>
    <x v="2151"/>
    <x v="2098"/>
    <x v="0"/>
    <x v="1"/>
  </r>
  <r>
    <x v="0"/>
    <x v="2152"/>
    <x v="2099"/>
    <x v="0"/>
    <x v="1"/>
  </r>
  <r>
    <x v="0"/>
    <x v="2153"/>
    <x v="2100"/>
    <x v="0"/>
    <x v="1"/>
  </r>
  <r>
    <x v="0"/>
    <x v="2154"/>
    <x v="2101"/>
    <x v="0"/>
    <x v="1"/>
  </r>
  <r>
    <x v="0"/>
    <x v="2155"/>
    <x v="2102"/>
    <x v="0"/>
    <x v="1"/>
  </r>
  <r>
    <x v="0"/>
    <x v="2156"/>
    <x v="2103"/>
    <x v="0"/>
    <x v="5"/>
  </r>
  <r>
    <x v="0"/>
    <x v="2157"/>
    <x v="2104"/>
    <x v="0"/>
    <x v="5"/>
  </r>
  <r>
    <x v="0"/>
    <x v="2158"/>
    <x v="2105"/>
    <x v="0"/>
    <x v="5"/>
  </r>
  <r>
    <x v="0"/>
    <x v="2159"/>
    <x v="2106"/>
    <x v="0"/>
    <x v="5"/>
  </r>
  <r>
    <x v="0"/>
    <x v="2160"/>
    <x v="2107"/>
    <x v="0"/>
    <x v="5"/>
  </r>
  <r>
    <x v="0"/>
    <x v="2161"/>
    <x v="2108"/>
    <x v="0"/>
    <x v="5"/>
  </r>
  <r>
    <x v="0"/>
    <x v="2162"/>
    <x v="2109"/>
    <x v="0"/>
    <x v="5"/>
  </r>
  <r>
    <x v="0"/>
    <x v="2163"/>
    <x v="2110"/>
    <x v="0"/>
    <x v="5"/>
  </r>
  <r>
    <x v="0"/>
    <x v="2164"/>
    <x v="2111"/>
    <x v="0"/>
    <x v="3"/>
  </r>
  <r>
    <x v="0"/>
    <x v="2165"/>
    <x v="2112"/>
    <x v="0"/>
    <x v="0"/>
  </r>
  <r>
    <x v="0"/>
    <x v="2166"/>
    <x v="2113"/>
    <x v="0"/>
    <x v="4"/>
  </r>
  <r>
    <x v="0"/>
    <x v="2167"/>
    <x v="2114"/>
    <x v="0"/>
    <x v="0"/>
  </r>
  <r>
    <x v="0"/>
    <x v="2168"/>
    <x v="2115"/>
    <x v="0"/>
    <x v="4"/>
  </r>
  <r>
    <x v="0"/>
    <x v="2169"/>
    <x v="2116"/>
    <x v="0"/>
    <x v="3"/>
  </r>
  <r>
    <x v="0"/>
    <x v="2170"/>
    <x v="2117"/>
    <x v="0"/>
    <x v="2"/>
  </r>
  <r>
    <x v="0"/>
    <x v="2171"/>
    <x v="2118"/>
    <x v="0"/>
    <x v="2"/>
  </r>
  <r>
    <x v="0"/>
    <x v="2172"/>
    <x v="2119"/>
    <x v="0"/>
    <x v="2"/>
  </r>
  <r>
    <x v="0"/>
    <x v="2173"/>
    <x v="2120"/>
    <x v="0"/>
    <x v="2"/>
  </r>
  <r>
    <x v="0"/>
    <x v="2174"/>
    <x v="2121"/>
    <x v="0"/>
    <x v="3"/>
  </r>
  <r>
    <x v="0"/>
    <x v="2175"/>
    <x v="2122"/>
    <x v="0"/>
    <x v="2"/>
  </r>
  <r>
    <x v="0"/>
    <x v="2176"/>
    <x v="2123"/>
    <x v="0"/>
    <x v="2"/>
  </r>
  <r>
    <x v="0"/>
    <x v="2177"/>
    <x v="2124"/>
    <x v="0"/>
    <x v="1"/>
  </r>
  <r>
    <x v="0"/>
    <x v="2178"/>
    <x v="2125"/>
    <x v="0"/>
    <x v="1"/>
  </r>
  <r>
    <x v="0"/>
    <x v="2179"/>
    <x v="2126"/>
    <x v="0"/>
    <x v="1"/>
  </r>
  <r>
    <x v="0"/>
    <x v="2180"/>
    <x v="2127"/>
    <x v="0"/>
    <x v="1"/>
  </r>
  <r>
    <x v="0"/>
    <x v="2181"/>
    <x v="2128"/>
    <x v="0"/>
    <x v="1"/>
  </r>
  <r>
    <x v="0"/>
    <x v="2182"/>
    <x v="2129"/>
    <x v="0"/>
    <x v="1"/>
  </r>
  <r>
    <x v="0"/>
    <x v="2183"/>
    <x v="2130"/>
    <x v="0"/>
    <x v="1"/>
  </r>
  <r>
    <x v="0"/>
    <x v="2184"/>
    <x v="2131"/>
    <x v="0"/>
    <x v="1"/>
  </r>
  <r>
    <x v="0"/>
    <x v="2185"/>
    <x v="2132"/>
    <x v="0"/>
    <x v="5"/>
  </r>
  <r>
    <x v="0"/>
    <x v="2186"/>
    <x v="2132"/>
    <x v="0"/>
    <x v="5"/>
  </r>
  <r>
    <x v="0"/>
    <x v="2187"/>
    <x v="2132"/>
    <x v="0"/>
    <x v="5"/>
  </r>
  <r>
    <x v="0"/>
    <x v="2188"/>
    <x v="2132"/>
    <x v="0"/>
    <x v="5"/>
  </r>
  <r>
    <x v="0"/>
    <x v="2189"/>
    <x v="2133"/>
    <x v="0"/>
    <x v="5"/>
  </r>
  <r>
    <x v="0"/>
    <x v="2190"/>
    <x v="2134"/>
    <x v="0"/>
    <x v="5"/>
  </r>
  <r>
    <x v="0"/>
    <x v="2191"/>
    <x v="2135"/>
    <x v="0"/>
    <x v="5"/>
  </r>
  <r>
    <x v="0"/>
    <x v="2192"/>
    <x v="2136"/>
    <x v="0"/>
    <x v="5"/>
  </r>
  <r>
    <x v="0"/>
    <x v="2193"/>
    <x v="2137"/>
    <x v="0"/>
    <x v="5"/>
  </r>
  <r>
    <x v="0"/>
    <x v="2194"/>
    <x v="2138"/>
    <x v="0"/>
    <x v="5"/>
  </r>
  <r>
    <x v="0"/>
    <x v="2195"/>
    <x v="2139"/>
    <x v="0"/>
    <x v="5"/>
  </r>
  <r>
    <x v="0"/>
    <x v="2196"/>
    <x v="2140"/>
    <x v="0"/>
    <x v="5"/>
  </r>
  <r>
    <x v="0"/>
    <x v="2197"/>
    <x v="2141"/>
    <x v="0"/>
    <x v="1"/>
  </r>
  <r>
    <x v="0"/>
    <x v="2198"/>
    <x v="2142"/>
    <x v="0"/>
    <x v="1"/>
  </r>
  <r>
    <x v="0"/>
    <x v="2199"/>
    <x v="2143"/>
    <x v="0"/>
    <x v="1"/>
  </r>
  <r>
    <x v="0"/>
    <x v="2200"/>
    <x v="2144"/>
    <x v="0"/>
    <x v="1"/>
  </r>
  <r>
    <x v="0"/>
    <x v="2201"/>
    <x v="2145"/>
    <x v="0"/>
    <x v="1"/>
  </r>
  <r>
    <x v="0"/>
    <x v="2202"/>
    <x v="2146"/>
    <x v="0"/>
    <x v="1"/>
  </r>
  <r>
    <x v="0"/>
    <x v="2203"/>
    <x v="2147"/>
    <x v="0"/>
    <x v="0"/>
  </r>
  <r>
    <x v="0"/>
    <x v="2204"/>
    <x v="2148"/>
    <x v="0"/>
    <x v="0"/>
  </r>
  <r>
    <x v="0"/>
    <x v="2205"/>
    <x v="2149"/>
    <x v="0"/>
    <x v="0"/>
  </r>
  <r>
    <x v="0"/>
    <x v="2206"/>
    <x v="2150"/>
    <x v="0"/>
    <x v="0"/>
  </r>
  <r>
    <x v="0"/>
    <x v="2207"/>
    <x v="2151"/>
    <x v="0"/>
    <x v="0"/>
  </r>
  <r>
    <x v="0"/>
    <x v="2208"/>
    <x v="2152"/>
    <x v="0"/>
    <x v="0"/>
  </r>
  <r>
    <x v="0"/>
    <x v="2209"/>
    <x v="2153"/>
    <x v="0"/>
    <x v="0"/>
  </r>
  <r>
    <x v="0"/>
    <x v="2210"/>
    <x v="2154"/>
    <x v="0"/>
    <x v="0"/>
  </r>
  <r>
    <x v="0"/>
    <x v="2211"/>
    <x v="2155"/>
    <x v="0"/>
    <x v="0"/>
  </r>
  <r>
    <x v="0"/>
    <x v="2212"/>
    <x v="2156"/>
    <x v="0"/>
    <x v="0"/>
  </r>
  <r>
    <x v="0"/>
    <x v="2213"/>
    <x v="2157"/>
    <x v="0"/>
    <x v="0"/>
  </r>
  <r>
    <x v="0"/>
    <x v="2214"/>
    <x v="2158"/>
    <x v="0"/>
    <x v="0"/>
  </r>
  <r>
    <x v="0"/>
    <x v="2215"/>
    <x v="2159"/>
    <x v="0"/>
    <x v="0"/>
  </r>
  <r>
    <x v="0"/>
    <x v="2216"/>
    <x v="2160"/>
    <x v="0"/>
    <x v="0"/>
  </r>
  <r>
    <x v="0"/>
    <x v="2217"/>
    <x v="2161"/>
    <x v="0"/>
    <x v="0"/>
  </r>
  <r>
    <x v="0"/>
    <x v="2218"/>
    <x v="2162"/>
    <x v="0"/>
    <x v="0"/>
  </r>
  <r>
    <x v="0"/>
    <x v="2219"/>
    <x v="2163"/>
    <x v="0"/>
    <x v="0"/>
  </r>
  <r>
    <x v="0"/>
    <x v="2220"/>
    <x v="2164"/>
    <x v="0"/>
    <x v="0"/>
  </r>
  <r>
    <x v="0"/>
    <x v="2221"/>
    <x v="2165"/>
    <x v="0"/>
    <x v="0"/>
  </r>
  <r>
    <x v="0"/>
    <x v="2222"/>
    <x v="2166"/>
    <x v="0"/>
    <x v="0"/>
  </r>
  <r>
    <x v="0"/>
    <x v="2223"/>
    <x v="2167"/>
    <x v="0"/>
    <x v="0"/>
  </r>
  <r>
    <x v="0"/>
    <x v="2224"/>
    <x v="2168"/>
    <x v="0"/>
    <x v="1"/>
  </r>
  <r>
    <x v="0"/>
    <x v="2225"/>
    <x v="2169"/>
    <x v="0"/>
    <x v="1"/>
  </r>
  <r>
    <x v="0"/>
    <x v="2226"/>
    <x v="2170"/>
    <x v="0"/>
    <x v="1"/>
  </r>
  <r>
    <x v="0"/>
    <x v="2227"/>
    <x v="2171"/>
    <x v="0"/>
    <x v="1"/>
  </r>
  <r>
    <x v="0"/>
    <x v="2228"/>
    <x v="2172"/>
    <x v="0"/>
    <x v="1"/>
  </r>
  <r>
    <x v="0"/>
    <x v="2229"/>
    <x v="2173"/>
    <x v="0"/>
    <x v="1"/>
  </r>
  <r>
    <x v="0"/>
    <x v="2230"/>
    <x v="2174"/>
    <x v="0"/>
    <x v="1"/>
  </r>
  <r>
    <x v="0"/>
    <x v="2231"/>
    <x v="2175"/>
    <x v="0"/>
    <x v="1"/>
  </r>
  <r>
    <x v="0"/>
    <x v="2232"/>
    <x v="2176"/>
    <x v="0"/>
    <x v="1"/>
  </r>
  <r>
    <x v="0"/>
    <x v="2233"/>
    <x v="2177"/>
    <x v="0"/>
    <x v="1"/>
  </r>
  <r>
    <x v="0"/>
    <x v="2234"/>
    <x v="2178"/>
    <x v="0"/>
    <x v="1"/>
  </r>
  <r>
    <x v="0"/>
    <x v="2235"/>
    <x v="2179"/>
    <x v="0"/>
    <x v="1"/>
  </r>
  <r>
    <x v="0"/>
    <x v="2236"/>
    <x v="2180"/>
    <x v="0"/>
    <x v="1"/>
  </r>
  <r>
    <x v="0"/>
    <x v="2237"/>
    <x v="2181"/>
    <x v="0"/>
    <x v="1"/>
  </r>
  <r>
    <x v="0"/>
    <x v="2238"/>
    <x v="2182"/>
    <x v="0"/>
    <x v="5"/>
  </r>
  <r>
    <x v="0"/>
    <x v="2239"/>
    <x v="2182"/>
    <x v="0"/>
    <x v="5"/>
  </r>
  <r>
    <x v="0"/>
    <x v="2240"/>
    <x v="2182"/>
    <x v="0"/>
    <x v="5"/>
  </r>
  <r>
    <x v="0"/>
    <x v="2241"/>
    <x v="2182"/>
    <x v="0"/>
    <x v="5"/>
  </r>
  <r>
    <x v="0"/>
    <x v="2242"/>
    <x v="2183"/>
    <x v="0"/>
    <x v="0"/>
  </r>
  <r>
    <x v="0"/>
    <x v="2243"/>
    <x v="2184"/>
    <x v="0"/>
    <x v="1"/>
  </r>
  <r>
    <x v="0"/>
    <x v="2244"/>
    <x v="2185"/>
    <x v="0"/>
    <x v="0"/>
  </r>
  <r>
    <x v="0"/>
    <x v="2245"/>
    <x v="2186"/>
    <x v="0"/>
    <x v="0"/>
  </r>
  <r>
    <x v="0"/>
    <x v="2246"/>
    <x v="2187"/>
    <x v="0"/>
    <x v="0"/>
  </r>
  <r>
    <x v="0"/>
    <x v="2247"/>
    <x v="2188"/>
    <x v="0"/>
    <x v="0"/>
  </r>
  <r>
    <x v="0"/>
    <x v="2248"/>
    <x v="2189"/>
    <x v="0"/>
    <x v="0"/>
  </r>
  <r>
    <x v="0"/>
    <x v="2249"/>
    <x v="2190"/>
    <x v="0"/>
    <x v="4"/>
  </r>
  <r>
    <x v="0"/>
    <x v="2250"/>
    <x v="2191"/>
    <x v="0"/>
    <x v="0"/>
  </r>
  <r>
    <x v="0"/>
    <x v="2251"/>
    <x v="2192"/>
    <x v="0"/>
    <x v="4"/>
  </r>
  <r>
    <x v="0"/>
    <x v="2252"/>
    <x v="2193"/>
    <x v="0"/>
    <x v="4"/>
  </r>
  <r>
    <x v="0"/>
    <x v="2253"/>
    <x v="2194"/>
    <x v="0"/>
    <x v="4"/>
  </r>
  <r>
    <x v="0"/>
    <x v="2254"/>
    <x v="2195"/>
    <x v="0"/>
    <x v="3"/>
  </r>
  <r>
    <x v="0"/>
    <x v="2255"/>
    <x v="2196"/>
    <x v="0"/>
    <x v="4"/>
  </r>
  <r>
    <x v="0"/>
    <x v="2256"/>
    <x v="2197"/>
    <x v="0"/>
    <x v="4"/>
  </r>
  <r>
    <x v="0"/>
    <x v="2257"/>
    <x v="2198"/>
    <x v="0"/>
    <x v="4"/>
  </r>
  <r>
    <x v="0"/>
    <x v="2258"/>
    <x v="2199"/>
    <x v="0"/>
    <x v="4"/>
  </r>
  <r>
    <x v="0"/>
    <x v="2259"/>
    <x v="2200"/>
    <x v="0"/>
    <x v="4"/>
  </r>
  <r>
    <x v="0"/>
    <x v="2260"/>
    <x v="2201"/>
    <x v="0"/>
    <x v="0"/>
  </r>
  <r>
    <x v="0"/>
    <x v="2261"/>
    <x v="2202"/>
    <x v="0"/>
    <x v="0"/>
  </r>
  <r>
    <x v="0"/>
    <x v="2262"/>
    <x v="2203"/>
    <x v="0"/>
    <x v="3"/>
  </r>
  <r>
    <x v="0"/>
    <x v="2263"/>
    <x v="2204"/>
    <x v="0"/>
    <x v="3"/>
  </r>
  <r>
    <x v="0"/>
    <x v="2264"/>
    <x v="2205"/>
    <x v="0"/>
    <x v="5"/>
  </r>
  <r>
    <x v="0"/>
    <x v="2265"/>
    <x v="2206"/>
    <x v="0"/>
    <x v="5"/>
  </r>
  <r>
    <x v="0"/>
    <x v="2266"/>
    <x v="2207"/>
    <x v="0"/>
    <x v="5"/>
  </r>
  <r>
    <x v="0"/>
    <x v="2267"/>
    <x v="2208"/>
    <x v="0"/>
    <x v="5"/>
  </r>
  <r>
    <x v="0"/>
    <x v="2268"/>
    <x v="2209"/>
    <x v="0"/>
    <x v="5"/>
  </r>
  <r>
    <x v="0"/>
    <x v="2269"/>
    <x v="2210"/>
    <x v="0"/>
    <x v="5"/>
  </r>
  <r>
    <x v="0"/>
    <x v="2270"/>
    <x v="2211"/>
    <x v="0"/>
    <x v="5"/>
  </r>
  <r>
    <x v="0"/>
    <x v="2271"/>
    <x v="2212"/>
    <x v="0"/>
    <x v="5"/>
  </r>
  <r>
    <x v="0"/>
    <x v="2272"/>
    <x v="2213"/>
    <x v="0"/>
    <x v="5"/>
  </r>
  <r>
    <x v="0"/>
    <x v="2273"/>
    <x v="2214"/>
    <x v="0"/>
    <x v="5"/>
  </r>
  <r>
    <x v="0"/>
    <x v="2274"/>
    <x v="2215"/>
    <x v="0"/>
    <x v="5"/>
  </r>
  <r>
    <x v="0"/>
    <x v="2275"/>
    <x v="2216"/>
    <x v="0"/>
    <x v="3"/>
  </r>
  <r>
    <x v="0"/>
    <x v="2276"/>
    <x v="2217"/>
    <x v="0"/>
    <x v="5"/>
  </r>
  <r>
    <x v="0"/>
    <x v="2277"/>
    <x v="2218"/>
    <x v="0"/>
    <x v="5"/>
  </r>
  <r>
    <x v="0"/>
    <x v="2278"/>
    <x v="2219"/>
    <x v="0"/>
    <x v="5"/>
  </r>
  <r>
    <x v="0"/>
    <x v="2279"/>
    <x v="2220"/>
    <x v="0"/>
    <x v="5"/>
  </r>
  <r>
    <x v="0"/>
    <x v="2280"/>
    <x v="2221"/>
    <x v="0"/>
    <x v="5"/>
  </r>
  <r>
    <x v="0"/>
    <x v="2281"/>
    <x v="2222"/>
    <x v="0"/>
    <x v="0"/>
  </r>
  <r>
    <x v="0"/>
    <x v="2282"/>
    <x v="2223"/>
    <x v="0"/>
    <x v="2"/>
  </r>
  <r>
    <x v="0"/>
    <x v="2283"/>
    <x v="2224"/>
    <x v="0"/>
    <x v="2"/>
  </r>
  <r>
    <x v="0"/>
    <x v="2284"/>
    <x v="2225"/>
    <x v="0"/>
    <x v="2"/>
  </r>
  <r>
    <x v="0"/>
    <x v="2285"/>
    <x v="2226"/>
    <x v="0"/>
    <x v="2"/>
  </r>
  <r>
    <x v="0"/>
    <x v="2286"/>
    <x v="2227"/>
    <x v="0"/>
    <x v="0"/>
  </r>
  <r>
    <x v="0"/>
    <x v="2287"/>
    <x v="2228"/>
    <x v="0"/>
    <x v="3"/>
  </r>
  <r>
    <x v="0"/>
    <x v="2288"/>
    <x v="2229"/>
    <x v="0"/>
    <x v="3"/>
  </r>
  <r>
    <x v="0"/>
    <x v="2289"/>
    <x v="2230"/>
    <x v="0"/>
    <x v="1"/>
  </r>
  <r>
    <x v="0"/>
    <x v="2290"/>
    <x v="2231"/>
    <x v="0"/>
    <x v="1"/>
  </r>
  <r>
    <x v="0"/>
    <x v="2291"/>
    <x v="2232"/>
    <x v="0"/>
    <x v="1"/>
  </r>
  <r>
    <x v="0"/>
    <x v="2292"/>
    <x v="2233"/>
    <x v="0"/>
    <x v="1"/>
  </r>
  <r>
    <x v="0"/>
    <x v="2293"/>
    <x v="2234"/>
    <x v="0"/>
    <x v="2"/>
  </r>
  <r>
    <x v="0"/>
    <x v="2294"/>
    <x v="2235"/>
    <x v="0"/>
    <x v="0"/>
  </r>
  <r>
    <x v="0"/>
    <x v="2295"/>
    <x v="2236"/>
    <x v="0"/>
    <x v="3"/>
  </r>
  <r>
    <x v="0"/>
    <x v="2296"/>
    <x v="2237"/>
    <x v="0"/>
    <x v="3"/>
  </r>
  <r>
    <x v="0"/>
    <x v="2297"/>
    <x v="2238"/>
    <x v="0"/>
    <x v="3"/>
  </r>
  <r>
    <x v="0"/>
    <x v="2298"/>
    <x v="2239"/>
    <x v="0"/>
    <x v="2"/>
  </r>
  <r>
    <x v="0"/>
    <x v="2299"/>
    <x v="2240"/>
    <x v="0"/>
    <x v="2"/>
  </r>
  <r>
    <x v="0"/>
    <x v="2300"/>
    <x v="2241"/>
    <x v="0"/>
    <x v="2"/>
  </r>
  <r>
    <x v="0"/>
    <x v="2301"/>
    <x v="2242"/>
    <x v="0"/>
    <x v="2"/>
  </r>
  <r>
    <x v="0"/>
    <x v="2302"/>
    <x v="2243"/>
    <x v="0"/>
    <x v="2"/>
  </r>
  <r>
    <x v="0"/>
    <x v="2303"/>
    <x v="2244"/>
    <x v="0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Standard"/>
    <s v="020104NS0102"/>
    <x v="0"/>
    <x v="0"/>
    <s v="BCN"/>
  </r>
  <r>
    <s v="Standard"/>
    <s v="020104NS0101"/>
    <x v="1"/>
    <x v="0"/>
    <s v="BCN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Standard"/>
    <x v="0"/>
    <x v="0"/>
    <x v="0"/>
    <s v="CONS2"/>
  </r>
  <r>
    <s v="Standard"/>
    <x v="1"/>
    <x v="1"/>
    <x v="0"/>
    <s v="CONS2"/>
  </r>
  <r>
    <s v="Standard"/>
    <x v="2"/>
    <x v="2"/>
    <x v="0"/>
    <s v="CONS2"/>
  </r>
  <r>
    <s v="Standard"/>
    <x v="3"/>
    <x v="3"/>
    <x v="0"/>
    <s v="CONS"/>
  </r>
  <r>
    <s v="Standard"/>
    <x v="4"/>
    <x v="4"/>
    <x v="0"/>
    <s v="CONS"/>
  </r>
  <r>
    <s v="Standard"/>
    <x v="5"/>
    <x v="5"/>
    <x v="0"/>
    <s v="CONS2"/>
  </r>
  <r>
    <s v="Standard"/>
    <x v="6"/>
    <x v="6"/>
    <x v="0"/>
    <s v="CONS2"/>
  </r>
  <r>
    <s v="Standard"/>
    <x v="7"/>
    <x v="7"/>
    <x v="0"/>
    <s v="CONS2"/>
  </r>
  <r>
    <s v="Standard"/>
    <x v="8"/>
    <x v="8"/>
    <x v="0"/>
    <s v="CONS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Standard"/>
    <x v="0"/>
    <x v="0"/>
    <x v="0"/>
    <s v="FTRP"/>
  </r>
  <r>
    <s v="Standard"/>
    <x v="1"/>
    <x v="1"/>
    <x v="0"/>
    <s v="FRCP"/>
  </r>
  <r>
    <s v="Standard"/>
    <x v="2"/>
    <x v="2"/>
    <x v="0"/>
    <s v="FRCP"/>
  </r>
  <r>
    <s v="Standard"/>
    <x v="3"/>
    <x v="3"/>
    <x v="0"/>
    <s v="FRCP"/>
  </r>
  <r>
    <s v="Standard"/>
    <x v="4"/>
    <x v="4"/>
    <x v="0"/>
    <s v="SEMB"/>
  </r>
  <r>
    <s v="Standard"/>
    <x v="5"/>
    <x v="5"/>
    <x v="0"/>
    <s v="SEMB"/>
  </r>
  <r>
    <s v="Standard"/>
    <x v="6"/>
    <x v="6"/>
    <x v="0"/>
    <s v="SEMB"/>
  </r>
  <r>
    <s v="Standard"/>
    <x v="7"/>
    <x v="7"/>
    <x v="0"/>
    <s v="SEMB"/>
  </r>
  <r>
    <s v="Standard"/>
    <x v="8"/>
    <x v="8"/>
    <x v="0"/>
    <s v="SEMB"/>
  </r>
  <r>
    <s v="Standard"/>
    <x v="9"/>
    <x v="9"/>
    <x v="0"/>
    <s v="FRAP"/>
  </r>
  <r>
    <s v="Standard"/>
    <x v="10"/>
    <x v="10"/>
    <x v="0"/>
    <s v="FRAP"/>
  </r>
  <r>
    <s v="Standard"/>
    <x v="11"/>
    <x v="11"/>
    <x v="0"/>
    <s v="FRAP"/>
  </r>
  <r>
    <s v="Standard"/>
    <x v="12"/>
    <x v="12"/>
    <x v="0"/>
    <s v="FRAP"/>
  </r>
  <r>
    <s v="Standard"/>
    <x v="13"/>
    <x v="13"/>
    <x v="0"/>
    <s v="FRAP"/>
  </r>
  <r>
    <s v="Standard"/>
    <x v="14"/>
    <x v="14"/>
    <x v="0"/>
    <s v="FRAP"/>
  </r>
  <r>
    <s v="Standard"/>
    <x v="15"/>
    <x v="15"/>
    <x v="0"/>
    <s v="FRAP"/>
  </r>
  <r>
    <s v="Standard"/>
    <x v="16"/>
    <x v="16"/>
    <x v="0"/>
    <s v="FRAP"/>
  </r>
  <r>
    <s v="Standard"/>
    <x v="17"/>
    <x v="17"/>
    <x v="0"/>
    <s v="FRAP"/>
  </r>
  <r>
    <s v="Standard"/>
    <x v="18"/>
    <x v="18"/>
    <x v="0"/>
    <s v="FRAP"/>
  </r>
  <r>
    <s v="Standard"/>
    <x v="19"/>
    <x v="19"/>
    <x v="0"/>
    <s v="FRAP"/>
  </r>
  <r>
    <s v="Standard"/>
    <x v="20"/>
    <x v="20"/>
    <x v="0"/>
    <s v="FRAP"/>
  </r>
  <r>
    <s v="Standard"/>
    <x v="21"/>
    <x v="21"/>
    <x v="0"/>
    <s v="FRAP"/>
  </r>
  <r>
    <s v="Standard"/>
    <x v="22"/>
    <x v="22"/>
    <x v="0"/>
    <s v="FRAP"/>
  </r>
  <r>
    <s v="Standard"/>
    <x v="23"/>
    <x v="23"/>
    <x v="0"/>
    <s v="FRAP"/>
  </r>
  <r>
    <s v="Standard"/>
    <x v="24"/>
    <x v="24"/>
    <x v="0"/>
    <s v="FRAP"/>
  </r>
  <r>
    <s v="Standard"/>
    <x v="25"/>
    <x v="25"/>
    <x v="0"/>
    <s v="FRAP"/>
  </r>
  <r>
    <s v="Standard"/>
    <x v="26"/>
    <x v="26"/>
    <x v="0"/>
    <s v="FRAP"/>
  </r>
  <r>
    <s v="Standard"/>
    <x v="27"/>
    <x v="27"/>
    <x v="0"/>
    <s v="FRAP"/>
  </r>
  <r>
    <s v="Standard"/>
    <x v="28"/>
    <x v="28"/>
    <x v="0"/>
    <s v="FRAP"/>
  </r>
  <r>
    <s v="Standard"/>
    <x v="29"/>
    <x v="29"/>
    <x v="0"/>
    <s v="FRAP"/>
  </r>
  <r>
    <s v="Standard"/>
    <x v="30"/>
    <x v="30"/>
    <x v="0"/>
    <s v="FRAP"/>
  </r>
  <r>
    <s v="Standard"/>
    <x v="31"/>
    <x v="31"/>
    <x v="0"/>
    <s v="FRAP"/>
  </r>
  <r>
    <s v="Standard"/>
    <x v="32"/>
    <x v="32"/>
    <x v="0"/>
    <s v="FRAP"/>
  </r>
  <r>
    <s v="Standard"/>
    <x v="33"/>
    <x v="33"/>
    <x v="0"/>
    <s v="ECA"/>
  </r>
  <r>
    <s v="Standard"/>
    <x v="34"/>
    <x v="34"/>
    <x v="0"/>
    <s v="POLCOM"/>
  </r>
  <r>
    <s v="Standard"/>
    <x v="35"/>
    <x v="35"/>
    <x v="0"/>
    <s v="POLCOM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5">
  <r>
    <s v="Standard"/>
    <x v="0"/>
    <x v="0"/>
    <x v="0"/>
    <x v="0"/>
  </r>
  <r>
    <s v="Standard"/>
    <x v="1"/>
    <x v="1"/>
    <x v="0"/>
    <x v="0"/>
  </r>
  <r>
    <s v="Standard"/>
    <x v="2"/>
    <x v="2"/>
    <x v="0"/>
    <x v="0"/>
  </r>
  <r>
    <s v="Standard"/>
    <x v="3"/>
    <x v="3"/>
    <x v="0"/>
    <x v="0"/>
  </r>
  <r>
    <s v="Standard"/>
    <x v="4"/>
    <x v="4"/>
    <x v="0"/>
    <x v="0"/>
  </r>
  <r>
    <s v="Standard"/>
    <x v="5"/>
    <x v="5"/>
    <x v="0"/>
    <x v="0"/>
  </r>
  <r>
    <s v="Standard"/>
    <x v="6"/>
    <x v="6"/>
    <x v="0"/>
    <x v="0"/>
  </r>
  <r>
    <s v="Standard"/>
    <x v="7"/>
    <x v="7"/>
    <x v="0"/>
    <x v="1"/>
  </r>
  <r>
    <s v="Standard"/>
    <x v="8"/>
    <x v="8"/>
    <x v="0"/>
    <x v="1"/>
  </r>
  <r>
    <s v="Standard"/>
    <x v="9"/>
    <x v="9"/>
    <x v="0"/>
    <x v="1"/>
  </r>
  <r>
    <s v="Standard"/>
    <x v="10"/>
    <x v="10"/>
    <x v="0"/>
    <x v="1"/>
  </r>
  <r>
    <s v="Standard"/>
    <x v="11"/>
    <x v="11"/>
    <x v="0"/>
    <x v="1"/>
  </r>
  <r>
    <s v="Standard"/>
    <x v="12"/>
    <x v="12"/>
    <x v="1"/>
    <x v="2"/>
  </r>
  <r>
    <s v="Standard"/>
    <x v="13"/>
    <x v="13"/>
    <x v="1"/>
    <x v="2"/>
  </r>
  <r>
    <s v="Standard"/>
    <x v="14"/>
    <x v="14"/>
    <x v="0"/>
    <x v="3"/>
  </r>
  <r>
    <s v="Standard"/>
    <x v="15"/>
    <x v="15"/>
    <x v="0"/>
    <x v="3"/>
  </r>
  <r>
    <s v="Standard"/>
    <x v="16"/>
    <x v="16"/>
    <x v="0"/>
    <x v="3"/>
  </r>
  <r>
    <s v="Standard"/>
    <x v="17"/>
    <x v="17"/>
    <x v="0"/>
    <x v="3"/>
  </r>
  <r>
    <s v="Standard"/>
    <x v="18"/>
    <x v="18"/>
    <x v="1"/>
    <x v="4"/>
  </r>
  <r>
    <s v="Standard"/>
    <x v="19"/>
    <x v="19"/>
    <x v="1"/>
    <x v="4"/>
  </r>
  <r>
    <s v="Standard"/>
    <x v="20"/>
    <x v="20"/>
    <x v="1"/>
    <x v="4"/>
  </r>
  <r>
    <s v="Standard"/>
    <x v="21"/>
    <x v="21"/>
    <x v="1"/>
    <x v="4"/>
  </r>
  <r>
    <s v="Standard"/>
    <x v="22"/>
    <x v="22"/>
    <x v="1"/>
    <x v="4"/>
  </r>
  <r>
    <s v="Standard"/>
    <x v="23"/>
    <x v="23"/>
    <x v="1"/>
    <x v="4"/>
  </r>
  <r>
    <s v="Standard"/>
    <x v="24"/>
    <x v="24"/>
    <x v="1"/>
    <x v="4"/>
  </r>
  <r>
    <s v="Standard"/>
    <x v="25"/>
    <x v="25"/>
    <x v="1"/>
    <x v="4"/>
  </r>
  <r>
    <s v="Standard"/>
    <x v="26"/>
    <x v="26"/>
    <x v="1"/>
    <x v="4"/>
  </r>
  <r>
    <s v="Standard"/>
    <x v="27"/>
    <x v="27"/>
    <x v="1"/>
    <x v="2"/>
  </r>
  <r>
    <s v="Standard"/>
    <x v="28"/>
    <x v="28"/>
    <x v="1"/>
    <x v="2"/>
  </r>
  <r>
    <s v="Standard"/>
    <x v="29"/>
    <x v="29"/>
    <x v="0"/>
    <x v="5"/>
  </r>
  <r>
    <s v="Standard"/>
    <x v="30"/>
    <x v="30"/>
    <x v="1"/>
    <x v="2"/>
  </r>
  <r>
    <s v="Standard"/>
    <x v="31"/>
    <x v="31"/>
    <x v="0"/>
    <x v="6"/>
  </r>
  <r>
    <s v="Standard"/>
    <x v="32"/>
    <x v="32"/>
    <x v="0"/>
    <x v="6"/>
  </r>
  <r>
    <s v="Standard"/>
    <x v="33"/>
    <x v="33"/>
    <x v="0"/>
    <x v="6"/>
  </r>
  <r>
    <s v="Standard"/>
    <x v="34"/>
    <x v="34"/>
    <x v="0"/>
    <x v="6"/>
  </r>
  <r>
    <s v="Standard"/>
    <x v="35"/>
    <x v="35"/>
    <x v="0"/>
    <x v="6"/>
  </r>
  <r>
    <s v="Standard"/>
    <x v="36"/>
    <x v="36"/>
    <x v="0"/>
    <x v="6"/>
  </r>
  <r>
    <s v="Standard"/>
    <x v="37"/>
    <x v="37"/>
    <x v="0"/>
    <x v="6"/>
  </r>
  <r>
    <s v="Standard"/>
    <x v="38"/>
    <x v="38"/>
    <x v="0"/>
    <x v="6"/>
  </r>
  <r>
    <s v="Standard"/>
    <x v="39"/>
    <x v="39"/>
    <x v="0"/>
    <x v="6"/>
  </r>
  <r>
    <s v="Standard"/>
    <x v="40"/>
    <x v="40"/>
    <x v="0"/>
    <x v="6"/>
  </r>
  <r>
    <s v="Standard"/>
    <x v="41"/>
    <x v="41"/>
    <x v="0"/>
    <x v="6"/>
  </r>
  <r>
    <s v="Standard"/>
    <x v="42"/>
    <x v="42"/>
    <x v="0"/>
    <x v="6"/>
  </r>
  <r>
    <s v="Standard"/>
    <x v="43"/>
    <x v="43"/>
    <x v="0"/>
    <x v="6"/>
  </r>
  <r>
    <s v="Standard"/>
    <x v="44"/>
    <x v="44"/>
    <x v="0"/>
    <x v="6"/>
  </r>
  <r>
    <s v="Standard"/>
    <x v="45"/>
    <x v="45"/>
    <x v="0"/>
    <x v="6"/>
  </r>
  <r>
    <s v="Standard"/>
    <x v="46"/>
    <x v="46"/>
    <x v="0"/>
    <x v="6"/>
  </r>
  <r>
    <s v="Standard"/>
    <x v="47"/>
    <x v="47"/>
    <x v="0"/>
    <x v="6"/>
  </r>
  <r>
    <s v="Standard"/>
    <x v="48"/>
    <x v="48"/>
    <x v="0"/>
    <x v="6"/>
  </r>
  <r>
    <s v="Standard"/>
    <x v="49"/>
    <x v="49"/>
    <x v="0"/>
    <x v="6"/>
  </r>
  <r>
    <s v="Standard"/>
    <x v="50"/>
    <x v="50"/>
    <x v="0"/>
    <x v="6"/>
  </r>
  <r>
    <s v="Standard"/>
    <x v="51"/>
    <x v="51"/>
    <x v="0"/>
    <x v="6"/>
  </r>
  <r>
    <s v="Standard"/>
    <x v="52"/>
    <x v="52"/>
    <x v="0"/>
    <x v="6"/>
  </r>
  <r>
    <s v="Standard"/>
    <x v="53"/>
    <x v="53"/>
    <x v="0"/>
    <x v="6"/>
  </r>
  <r>
    <s v="Standard"/>
    <x v="54"/>
    <x v="54"/>
    <x v="0"/>
    <x v="6"/>
  </r>
  <r>
    <s v="Standard"/>
    <x v="55"/>
    <x v="55"/>
    <x v="0"/>
    <x v="6"/>
  </r>
  <r>
    <s v="Standard"/>
    <x v="56"/>
    <x v="56"/>
    <x v="0"/>
    <x v="6"/>
  </r>
  <r>
    <s v="Standard"/>
    <x v="57"/>
    <x v="57"/>
    <x v="0"/>
    <x v="6"/>
  </r>
  <r>
    <s v="Standard"/>
    <x v="58"/>
    <x v="58"/>
    <x v="0"/>
    <x v="6"/>
  </r>
  <r>
    <s v="Standard"/>
    <x v="59"/>
    <x v="59"/>
    <x v="0"/>
    <x v="6"/>
  </r>
  <r>
    <s v="Standard"/>
    <x v="60"/>
    <x v="60"/>
    <x v="0"/>
    <x v="6"/>
  </r>
  <r>
    <s v="Standard"/>
    <x v="61"/>
    <x v="61"/>
    <x v="0"/>
    <x v="6"/>
  </r>
  <r>
    <s v="Standard"/>
    <x v="62"/>
    <x v="62"/>
    <x v="0"/>
    <x v="6"/>
  </r>
  <r>
    <s v="Standard"/>
    <x v="63"/>
    <x v="63"/>
    <x v="0"/>
    <x v="6"/>
  </r>
  <r>
    <s v="Standard"/>
    <x v="64"/>
    <x v="64"/>
    <x v="0"/>
    <x v="6"/>
  </r>
  <r>
    <s v="Standard"/>
    <x v="65"/>
    <x v="65"/>
    <x v="0"/>
    <x v="6"/>
  </r>
  <r>
    <s v="Standard"/>
    <x v="66"/>
    <x v="66"/>
    <x v="0"/>
    <x v="6"/>
  </r>
  <r>
    <s v="Standard"/>
    <x v="67"/>
    <x v="67"/>
    <x v="0"/>
    <x v="6"/>
  </r>
  <r>
    <s v="Standard"/>
    <x v="68"/>
    <x v="68"/>
    <x v="0"/>
    <x v="6"/>
  </r>
  <r>
    <s v="Standard"/>
    <x v="69"/>
    <x v="69"/>
    <x v="0"/>
    <x v="6"/>
  </r>
  <r>
    <s v="Standard"/>
    <x v="70"/>
    <x v="70"/>
    <x v="0"/>
    <x v="6"/>
  </r>
  <r>
    <s v="Standard"/>
    <x v="71"/>
    <x v="71"/>
    <x v="0"/>
    <x v="6"/>
  </r>
  <r>
    <s v="Standard"/>
    <x v="72"/>
    <x v="72"/>
    <x v="0"/>
    <x v="6"/>
  </r>
  <r>
    <s v="Standard"/>
    <x v="73"/>
    <x v="73"/>
    <x v="0"/>
    <x v="6"/>
  </r>
  <r>
    <s v="Standard"/>
    <x v="74"/>
    <x v="74"/>
    <x v="0"/>
    <x v="6"/>
  </r>
  <r>
    <s v="Standard"/>
    <x v="75"/>
    <x v="75"/>
    <x v="0"/>
    <x v="6"/>
  </r>
  <r>
    <s v="Standard"/>
    <x v="76"/>
    <x v="76"/>
    <x v="0"/>
    <x v="6"/>
  </r>
  <r>
    <s v="Standard"/>
    <x v="77"/>
    <x v="77"/>
    <x v="2"/>
    <x v="7"/>
  </r>
  <r>
    <m/>
    <x v="78"/>
    <x v="78"/>
    <x v="2"/>
    <x v="7"/>
  </r>
  <r>
    <s v=" ILM"/>
    <x v="79"/>
    <x v="79"/>
    <x v="2"/>
    <x v="7"/>
  </r>
  <r>
    <s v="Standard"/>
    <x v="80"/>
    <x v="80"/>
    <x v="2"/>
    <x v="7"/>
  </r>
  <r>
    <m/>
    <x v="78"/>
    <x v="78"/>
    <x v="2"/>
    <x v="7"/>
  </r>
  <r>
    <m/>
    <x v="79"/>
    <x v="79"/>
    <x v="2"/>
    <x v="7"/>
  </r>
  <r>
    <s v="Standard"/>
    <x v="81"/>
    <x v="81"/>
    <x v="0"/>
    <x v="6"/>
  </r>
  <r>
    <s v="Standard"/>
    <x v="82"/>
    <x v="82"/>
    <x v="0"/>
    <x v="6"/>
  </r>
  <r>
    <s v="Standard"/>
    <x v="83"/>
    <x v="83"/>
    <x v="0"/>
    <x v="6"/>
  </r>
  <r>
    <s v="Standard"/>
    <x v="84"/>
    <x v="84"/>
    <x v="0"/>
    <x v="6"/>
  </r>
  <r>
    <s v="Standard"/>
    <x v="85"/>
    <x v="85"/>
    <x v="0"/>
    <x v="6"/>
  </r>
  <r>
    <s v="Standard"/>
    <x v="86"/>
    <x v="86"/>
    <x v="0"/>
    <x v="6"/>
  </r>
  <r>
    <s v="Standard"/>
    <x v="87"/>
    <x v="87"/>
    <x v="0"/>
    <x v="6"/>
  </r>
  <r>
    <s v="Standard"/>
    <x v="88"/>
    <x v="88"/>
    <x v="0"/>
    <x v="6"/>
  </r>
  <r>
    <s v="Standard"/>
    <x v="89"/>
    <x v="89"/>
    <x v="0"/>
    <x v="6"/>
  </r>
  <r>
    <s v="Standard"/>
    <x v="90"/>
    <x v="90"/>
    <x v="0"/>
    <x v="6"/>
  </r>
  <r>
    <s v="Standard"/>
    <x v="91"/>
    <x v="91"/>
    <x v="0"/>
    <x v="6"/>
  </r>
  <r>
    <s v="Standard"/>
    <x v="92"/>
    <x v="92"/>
    <x v="0"/>
    <x v="6"/>
  </r>
  <r>
    <s v="Standard"/>
    <x v="93"/>
    <x v="93"/>
    <x v="0"/>
    <x v="6"/>
  </r>
  <r>
    <s v="Standard"/>
    <x v="94"/>
    <x v="94"/>
    <x v="0"/>
    <x v="6"/>
  </r>
  <r>
    <s v="Standard"/>
    <x v="95"/>
    <x v="95"/>
    <x v="0"/>
    <x v="6"/>
  </r>
  <r>
    <s v="Standard"/>
    <x v="96"/>
    <x v="96"/>
    <x v="0"/>
    <x v="6"/>
  </r>
  <r>
    <s v="Standard"/>
    <x v="97"/>
    <x v="97"/>
    <x v="0"/>
    <x v="6"/>
  </r>
  <r>
    <s v="Standard"/>
    <x v="98"/>
    <x v="98"/>
    <x v="0"/>
    <x v="3"/>
  </r>
  <r>
    <s v="Standard"/>
    <x v="99"/>
    <x v="99"/>
    <x v="0"/>
    <x v="3"/>
  </r>
  <r>
    <s v="Standard"/>
    <x v="100"/>
    <x v="100"/>
    <x v="0"/>
    <x v="3"/>
  </r>
  <r>
    <s v="Standard"/>
    <x v="101"/>
    <x v="101"/>
    <x v="0"/>
    <x v="3"/>
  </r>
  <r>
    <s v="Standard"/>
    <x v="102"/>
    <x v="102"/>
    <x v="0"/>
    <x v="3"/>
  </r>
  <r>
    <s v="Standard"/>
    <x v="103"/>
    <x v="103"/>
    <x v="0"/>
    <x v="6"/>
  </r>
  <r>
    <s v="Standard"/>
    <x v="104"/>
    <x v="104"/>
    <x v="0"/>
    <x v="6"/>
  </r>
  <r>
    <s v="Standard"/>
    <x v="105"/>
    <x v="105"/>
    <x v="0"/>
    <x v="6"/>
  </r>
  <r>
    <s v="Standard"/>
    <x v="106"/>
    <x v="106"/>
    <x v="0"/>
    <x v="6"/>
  </r>
  <r>
    <s v="Standard"/>
    <x v="107"/>
    <x v="107"/>
    <x v="0"/>
    <x v="6"/>
  </r>
  <r>
    <s v="Standard"/>
    <x v="108"/>
    <x v="108"/>
    <x v="0"/>
    <x v="6"/>
  </r>
  <r>
    <s v="Standard"/>
    <x v="109"/>
    <x v="109"/>
    <x v="0"/>
    <x v="6"/>
  </r>
  <r>
    <s v="Standard"/>
    <x v="110"/>
    <x v="110"/>
    <x v="0"/>
    <x v="6"/>
  </r>
  <r>
    <s v="Standard"/>
    <x v="111"/>
    <x v="111"/>
    <x v="0"/>
    <x v="6"/>
  </r>
  <r>
    <s v="Standard"/>
    <x v="112"/>
    <x v="112"/>
    <x v="0"/>
    <x v="6"/>
  </r>
  <r>
    <s v="Standard"/>
    <x v="113"/>
    <x v="113"/>
    <x v="0"/>
    <x v="6"/>
  </r>
  <r>
    <s v="Standard"/>
    <x v="114"/>
    <x v="114"/>
    <x v="0"/>
    <x v="6"/>
  </r>
  <r>
    <s v="Standard"/>
    <x v="115"/>
    <x v="115"/>
    <x v="0"/>
    <x v="6"/>
  </r>
  <r>
    <s v="Standard"/>
    <x v="116"/>
    <x v="116"/>
    <x v="0"/>
    <x v="6"/>
  </r>
  <r>
    <s v="Standard"/>
    <x v="117"/>
    <x v="117"/>
    <x v="0"/>
    <x v="6"/>
  </r>
  <r>
    <s v="Standard"/>
    <x v="118"/>
    <x v="118"/>
    <x v="0"/>
    <x v="6"/>
  </r>
  <r>
    <s v="Standard"/>
    <x v="119"/>
    <x v="119"/>
    <x v="0"/>
    <x v="6"/>
  </r>
  <r>
    <s v="Standard"/>
    <x v="120"/>
    <x v="120"/>
    <x v="0"/>
    <x v="6"/>
  </r>
  <r>
    <s v="Standard"/>
    <x v="121"/>
    <x v="121"/>
    <x v="0"/>
    <x v="6"/>
  </r>
  <r>
    <s v="Standard"/>
    <x v="122"/>
    <x v="122"/>
    <x v="0"/>
    <x v="6"/>
  </r>
  <r>
    <s v="Standard"/>
    <x v="123"/>
    <x v="123"/>
    <x v="0"/>
    <x v="6"/>
  </r>
  <r>
    <s v="Standard"/>
    <x v="124"/>
    <x v="124"/>
    <x v="0"/>
    <x v="6"/>
  </r>
  <r>
    <s v="Standard"/>
    <x v="125"/>
    <x v="125"/>
    <x v="0"/>
    <x v="6"/>
  </r>
  <r>
    <s v="Standard"/>
    <x v="126"/>
    <x v="126"/>
    <x v="0"/>
    <x v="6"/>
  </r>
  <r>
    <s v="Standard"/>
    <x v="127"/>
    <x v="127"/>
    <x v="0"/>
    <x v="3"/>
  </r>
  <r>
    <s v="Standard"/>
    <x v="128"/>
    <x v="128"/>
    <x v="1"/>
    <x v="2"/>
  </r>
  <r>
    <s v="Standard"/>
    <x v="129"/>
    <x v="129"/>
    <x v="1"/>
    <x v="8"/>
  </r>
  <r>
    <s v="Standard"/>
    <x v="130"/>
    <x v="130"/>
    <x v="1"/>
    <x v="2"/>
  </r>
  <r>
    <s v="Standard"/>
    <x v="131"/>
    <x v="131"/>
    <x v="1"/>
    <x v="9"/>
  </r>
  <r>
    <s v="Standard"/>
    <x v="132"/>
    <x v="132"/>
    <x v="1"/>
    <x v="2"/>
  </r>
  <r>
    <s v="Standard"/>
    <x v="133"/>
    <x v="133"/>
    <x v="1"/>
    <x v="2"/>
  </r>
  <r>
    <s v="Standard"/>
    <x v="134"/>
    <x v="134"/>
    <x v="1"/>
    <x v="4"/>
  </r>
  <r>
    <s v="Standard"/>
    <x v="135"/>
    <x v="135"/>
    <x v="1"/>
    <x v="8"/>
  </r>
  <r>
    <s v="Standard"/>
    <x v="136"/>
    <x v="136"/>
    <x v="1"/>
    <x v="8"/>
  </r>
  <r>
    <s v="Standard"/>
    <x v="137"/>
    <x v="137"/>
    <x v="1"/>
    <x v="2"/>
  </r>
  <r>
    <s v="Standard"/>
    <x v="138"/>
    <x v="138"/>
    <x v="1"/>
    <x v="2"/>
  </r>
  <r>
    <s v="Standard"/>
    <x v="139"/>
    <x v="139"/>
    <x v="1"/>
    <x v="2"/>
  </r>
  <r>
    <s v="Standard"/>
    <x v="140"/>
    <x v="140"/>
    <x v="1"/>
    <x v="4"/>
  </r>
  <r>
    <s v="Standard"/>
    <x v="141"/>
    <x v="141"/>
    <x v="1"/>
    <x v="4"/>
  </r>
  <r>
    <s v="Standard"/>
    <x v="142"/>
    <x v="142"/>
    <x v="1"/>
    <x v="2"/>
  </r>
  <r>
    <s v="Standard"/>
    <x v="143"/>
    <x v="143"/>
    <x v="1"/>
    <x v="4"/>
  </r>
  <r>
    <s v="Standard"/>
    <x v="144"/>
    <x v="144"/>
    <x v="1"/>
    <x v="4"/>
  </r>
  <r>
    <s v="Standard"/>
    <x v="145"/>
    <x v="145"/>
    <x v="1"/>
    <x v="2"/>
  </r>
  <r>
    <s v="Standard"/>
    <x v="146"/>
    <x v="146"/>
    <x v="1"/>
    <x v="2"/>
  </r>
  <r>
    <s v="Standard"/>
    <x v="147"/>
    <x v="147"/>
    <x v="1"/>
    <x v="2"/>
  </r>
  <r>
    <s v="Standard"/>
    <x v="148"/>
    <x v="148"/>
    <x v="1"/>
    <x v="2"/>
  </r>
  <r>
    <s v="Standard"/>
    <x v="149"/>
    <x v="149"/>
    <x v="1"/>
    <x v="2"/>
  </r>
  <r>
    <s v="Standard"/>
    <x v="150"/>
    <x v="150"/>
    <x v="1"/>
    <x v="2"/>
  </r>
  <r>
    <s v="Standard"/>
    <x v="151"/>
    <x v="151"/>
    <x v="1"/>
    <x v="2"/>
  </r>
  <r>
    <s v="Standard"/>
    <x v="152"/>
    <x v="152"/>
    <x v="1"/>
    <x v="2"/>
  </r>
  <r>
    <s v="Standard"/>
    <x v="153"/>
    <x v="153"/>
    <x v="1"/>
    <x v="2"/>
  </r>
  <r>
    <s v="Standard"/>
    <x v="154"/>
    <x v="154"/>
    <x v="1"/>
    <x v="4"/>
  </r>
  <r>
    <s v="Standard"/>
    <x v="155"/>
    <x v="155"/>
    <x v="1"/>
    <x v="4"/>
  </r>
  <r>
    <s v="Standard"/>
    <x v="156"/>
    <x v="156"/>
    <x v="1"/>
    <x v="4"/>
  </r>
  <r>
    <s v="Standard"/>
    <x v="157"/>
    <x v="157"/>
    <x v="1"/>
    <x v="4"/>
  </r>
  <r>
    <s v="Standard"/>
    <x v="158"/>
    <x v="158"/>
    <x v="1"/>
    <x v="4"/>
  </r>
  <r>
    <s v="Standard"/>
    <x v="159"/>
    <x v="159"/>
    <x v="1"/>
    <x v="4"/>
  </r>
  <r>
    <s v="Standard"/>
    <x v="160"/>
    <x v="160"/>
    <x v="1"/>
    <x v="4"/>
  </r>
  <r>
    <s v="Standard"/>
    <x v="161"/>
    <x v="161"/>
    <x v="1"/>
    <x v="4"/>
  </r>
  <r>
    <s v="Standard"/>
    <x v="162"/>
    <x v="162"/>
    <x v="1"/>
    <x v="8"/>
  </r>
  <r>
    <s v="Standard"/>
    <x v="163"/>
    <x v="163"/>
    <x v="1"/>
    <x v="8"/>
  </r>
  <r>
    <s v="Standard"/>
    <x v="164"/>
    <x v="164"/>
    <x v="1"/>
    <x v="8"/>
  </r>
  <r>
    <s v="Standard"/>
    <x v="165"/>
    <x v="165"/>
    <x v="1"/>
    <x v="8"/>
  </r>
  <r>
    <s v="Standard"/>
    <x v="166"/>
    <x v="166"/>
    <x v="1"/>
    <x v="8"/>
  </r>
  <r>
    <s v="Standard"/>
    <x v="167"/>
    <x v="167"/>
    <x v="1"/>
    <x v="8"/>
  </r>
  <r>
    <s v="Standard"/>
    <x v="168"/>
    <x v="168"/>
    <x v="1"/>
    <x v="8"/>
  </r>
  <r>
    <s v="Standard"/>
    <x v="169"/>
    <x v="169"/>
    <x v="1"/>
    <x v="2"/>
  </r>
  <r>
    <s v="Standard"/>
    <x v="170"/>
    <x v="170"/>
    <x v="1"/>
    <x v="9"/>
  </r>
  <r>
    <s v="Standard"/>
    <x v="171"/>
    <x v="171"/>
    <x v="0"/>
    <x v="10"/>
  </r>
  <r>
    <s v="Standard"/>
    <x v="172"/>
    <x v="172"/>
    <x v="0"/>
    <x v="5"/>
  </r>
  <r>
    <s v="Standard"/>
    <x v="173"/>
    <x v="173"/>
    <x v="0"/>
    <x v="5"/>
  </r>
  <r>
    <s v="Standard"/>
    <x v="174"/>
    <x v="174"/>
    <x v="0"/>
    <x v="5"/>
  </r>
  <r>
    <s v="Standard"/>
    <x v="175"/>
    <x v="175"/>
    <x v="0"/>
    <x v="5"/>
  </r>
  <r>
    <s v="Standard"/>
    <x v="176"/>
    <x v="176"/>
    <x v="0"/>
    <x v="5"/>
  </r>
  <r>
    <s v="Standard"/>
    <x v="177"/>
    <x v="177"/>
    <x v="0"/>
    <x v="5"/>
  </r>
  <r>
    <s v="Standard"/>
    <x v="178"/>
    <x v="178"/>
    <x v="0"/>
    <x v="11"/>
  </r>
  <r>
    <s v="Standard"/>
    <x v="179"/>
    <x v="179"/>
    <x v="0"/>
    <x v="11"/>
  </r>
  <r>
    <s v="Standard"/>
    <x v="180"/>
    <x v="180"/>
    <x v="0"/>
    <x v="10"/>
  </r>
  <r>
    <s v="Standard"/>
    <x v="181"/>
    <x v="181"/>
    <x v="0"/>
    <x v="10"/>
  </r>
  <r>
    <s v="Standard"/>
    <x v="182"/>
    <x v="182"/>
    <x v="0"/>
    <x v="11"/>
  </r>
  <r>
    <s v="Standard"/>
    <x v="183"/>
    <x v="183"/>
    <x v="0"/>
    <x v="11"/>
  </r>
  <r>
    <s v="Standard"/>
    <x v="184"/>
    <x v="184"/>
    <x v="0"/>
    <x v="11"/>
  </r>
  <r>
    <s v="Standard"/>
    <x v="185"/>
    <x v="185"/>
    <x v="0"/>
    <x v="10"/>
  </r>
  <r>
    <s v="Standard"/>
    <x v="186"/>
    <x v="186"/>
    <x v="1"/>
    <x v="12"/>
  </r>
  <r>
    <s v="Standard"/>
    <x v="187"/>
    <x v="187"/>
    <x v="0"/>
    <x v="9"/>
  </r>
  <r>
    <s v="Standard"/>
    <x v="188"/>
    <x v="188"/>
    <x v="0"/>
    <x v="9"/>
  </r>
  <r>
    <s v="Standard"/>
    <x v="189"/>
    <x v="189"/>
    <x v="0"/>
    <x v="9"/>
  </r>
  <r>
    <s v="Standard"/>
    <x v="190"/>
    <x v="190"/>
    <x v="0"/>
    <x v="9"/>
  </r>
  <r>
    <s v="Standard"/>
    <x v="191"/>
    <x v="191"/>
    <x v="0"/>
    <x v="5"/>
  </r>
  <r>
    <s v="Standard"/>
    <x v="192"/>
    <x v="192"/>
    <x v="0"/>
    <x v="5"/>
  </r>
  <r>
    <s v="Standard"/>
    <x v="193"/>
    <x v="193"/>
    <x v="0"/>
    <x v="3"/>
  </r>
  <r>
    <s v="Standard"/>
    <x v="194"/>
    <x v="194"/>
    <x v="0"/>
    <x v="3"/>
  </r>
  <r>
    <s v="Standard"/>
    <x v="195"/>
    <x v="195"/>
    <x v="0"/>
    <x v="5"/>
  </r>
  <r>
    <s v="Standard"/>
    <x v="196"/>
    <x v="196"/>
    <x v="0"/>
    <x v="3"/>
  </r>
  <r>
    <s v="Standard"/>
    <x v="197"/>
    <x v="197"/>
    <x v="0"/>
    <x v="3"/>
  </r>
  <r>
    <s v="Standard"/>
    <x v="198"/>
    <x v="198"/>
    <x v="0"/>
    <x v="3"/>
  </r>
  <r>
    <s v="Standard"/>
    <x v="199"/>
    <x v="199"/>
    <x v="0"/>
    <x v="3"/>
  </r>
  <r>
    <s v="Standard"/>
    <x v="200"/>
    <x v="200"/>
    <x v="0"/>
    <x v="13"/>
  </r>
  <r>
    <s v="Standard"/>
    <x v="201"/>
    <x v="201"/>
    <x v="0"/>
    <x v="13"/>
  </r>
  <r>
    <s v="Standard"/>
    <x v="202"/>
    <x v="202"/>
    <x v="0"/>
    <x v="13"/>
  </r>
  <r>
    <s v="Standard"/>
    <x v="203"/>
    <x v="203"/>
    <x v="0"/>
    <x v="13"/>
  </r>
  <r>
    <s v="Standard"/>
    <x v="204"/>
    <x v="204"/>
    <x v="0"/>
    <x v="13"/>
  </r>
  <r>
    <s v="Standard"/>
    <x v="205"/>
    <x v="205"/>
    <x v="0"/>
    <x v="13"/>
  </r>
  <r>
    <s v="Standard"/>
    <x v="206"/>
    <x v="206"/>
    <x v="0"/>
    <x v="13"/>
  </r>
  <r>
    <s v="Standard"/>
    <x v="207"/>
    <x v="207"/>
    <x v="0"/>
    <x v="13"/>
  </r>
  <r>
    <s v="Standard"/>
    <x v="208"/>
    <x v="208"/>
    <x v="0"/>
    <x v="13"/>
  </r>
  <r>
    <s v="Standard"/>
    <x v="209"/>
    <x v="209"/>
    <x v="0"/>
    <x v="13"/>
  </r>
  <r>
    <s v="Standard"/>
    <x v="210"/>
    <x v="210"/>
    <x v="0"/>
    <x v="3"/>
  </r>
  <r>
    <s v="Standard"/>
    <x v="211"/>
    <x v="211"/>
    <x v="0"/>
    <x v="13"/>
  </r>
  <r>
    <s v="Standard"/>
    <x v="212"/>
    <x v="212"/>
    <x v="0"/>
    <x v="13"/>
  </r>
  <r>
    <s v="Standard"/>
    <x v="213"/>
    <x v="213"/>
    <x v="0"/>
    <x v="10"/>
  </r>
  <r>
    <s v="Standard"/>
    <x v="214"/>
    <x v="214"/>
    <x v="0"/>
    <x v="3"/>
  </r>
  <r>
    <s v="Standard"/>
    <x v="215"/>
    <x v="215"/>
    <x v="0"/>
    <x v="3"/>
  </r>
  <r>
    <s v="Standard"/>
    <x v="216"/>
    <x v="216"/>
    <x v="0"/>
    <x v="3"/>
  </r>
  <r>
    <s v="Standard"/>
    <x v="217"/>
    <x v="217"/>
    <x v="0"/>
    <x v="10"/>
  </r>
  <r>
    <s v="Standard"/>
    <x v="218"/>
    <x v="218"/>
    <x v="0"/>
    <x v="11"/>
  </r>
  <r>
    <s v="Standard"/>
    <x v="219"/>
    <x v="219"/>
    <x v="0"/>
    <x v="5"/>
  </r>
  <r>
    <s v="Standard"/>
    <x v="220"/>
    <x v="220"/>
    <x v="0"/>
    <x v="10"/>
  </r>
  <r>
    <s v="Standard"/>
    <x v="221"/>
    <x v="221"/>
    <x v="0"/>
    <x v="11"/>
  </r>
  <r>
    <s v="Standard"/>
    <x v="222"/>
    <x v="222"/>
    <x v="0"/>
    <x v="10"/>
  </r>
  <r>
    <s v="Standard"/>
    <x v="223"/>
    <x v="223"/>
    <x v="0"/>
    <x v="10"/>
  </r>
  <r>
    <s v="Standard"/>
    <x v="224"/>
    <x v="224"/>
    <x v="0"/>
    <x v="10"/>
  </r>
  <r>
    <s v="Standard"/>
    <x v="225"/>
    <x v="225"/>
    <x v="0"/>
    <x v="10"/>
  </r>
  <r>
    <s v="Standard"/>
    <x v="226"/>
    <x v="226"/>
    <x v="0"/>
    <x v="10"/>
  </r>
  <r>
    <s v="Standard"/>
    <x v="227"/>
    <x v="227"/>
    <x v="0"/>
    <x v="10"/>
  </r>
  <r>
    <s v="Standard"/>
    <x v="228"/>
    <x v="228"/>
    <x v="0"/>
    <x v="10"/>
  </r>
  <r>
    <s v="Standard"/>
    <x v="229"/>
    <x v="229"/>
    <x v="0"/>
    <x v="5"/>
  </r>
  <r>
    <s v="Standard"/>
    <x v="230"/>
    <x v="230"/>
    <x v="0"/>
    <x v="5"/>
  </r>
  <r>
    <s v="Standard"/>
    <x v="231"/>
    <x v="231"/>
    <x v="0"/>
    <x v="3"/>
  </r>
  <r>
    <s v="Standard"/>
    <x v="232"/>
    <x v="232"/>
    <x v="0"/>
    <x v="3"/>
  </r>
  <r>
    <s v="Standard"/>
    <x v="233"/>
    <x v="233"/>
    <x v="0"/>
    <x v="3"/>
  </r>
  <r>
    <s v="Standard"/>
    <x v="234"/>
    <x v="234"/>
    <x v="0"/>
    <x v="3"/>
  </r>
  <r>
    <s v="Standard"/>
    <x v="235"/>
    <x v="235"/>
    <x v="0"/>
    <x v="11"/>
  </r>
  <r>
    <s v="Standard"/>
    <x v="236"/>
    <x v="236"/>
    <x v="0"/>
    <x v="10"/>
  </r>
  <r>
    <s v="Standard"/>
    <x v="237"/>
    <x v="237"/>
    <x v="0"/>
    <x v="10"/>
  </r>
  <r>
    <s v="Standard"/>
    <x v="238"/>
    <x v="238"/>
    <x v="0"/>
    <x v="11"/>
  </r>
  <r>
    <s v="Standard"/>
    <x v="239"/>
    <x v="239"/>
    <x v="0"/>
    <x v="5"/>
  </r>
  <r>
    <s v="Standard"/>
    <x v="240"/>
    <x v="240"/>
    <x v="0"/>
    <x v="5"/>
  </r>
  <r>
    <s v="Standard"/>
    <x v="241"/>
    <x v="241"/>
    <x v="0"/>
    <x v="5"/>
  </r>
  <r>
    <s v="Standard"/>
    <x v="242"/>
    <x v="242"/>
    <x v="0"/>
    <x v="5"/>
  </r>
  <r>
    <s v="Standard"/>
    <x v="243"/>
    <x v="243"/>
    <x v="0"/>
    <x v="3"/>
  </r>
  <r>
    <s v="Standard"/>
    <x v="244"/>
    <x v="244"/>
    <x v="0"/>
    <x v="3"/>
  </r>
  <r>
    <s v="Standard"/>
    <x v="245"/>
    <x v="245"/>
    <x v="0"/>
    <x v="3"/>
  </r>
  <r>
    <s v="Standard"/>
    <x v="246"/>
    <x v="246"/>
    <x v="0"/>
    <x v="3"/>
  </r>
  <r>
    <s v="Standard"/>
    <x v="247"/>
    <x v="247"/>
    <x v="0"/>
    <x v="3"/>
  </r>
  <r>
    <s v="Standard"/>
    <x v="248"/>
    <x v="248"/>
    <x v="0"/>
    <x v="11"/>
  </r>
  <r>
    <s v="Standard"/>
    <x v="249"/>
    <x v="249"/>
    <x v="0"/>
    <x v="11"/>
  </r>
  <r>
    <s v="Standard"/>
    <x v="250"/>
    <x v="250"/>
    <x v="0"/>
    <x v="11"/>
  </r>
  <r>
    <s v="Standard"/>
    <x v="251"/>
    <x v="251"/>
    <x v="0"/>
    <x v="13"/>
  </r>
  <r>
    <s v="Standard"/>
    <x v="252"/>
    <x v="252"/>
    <x v="0"/>
    <x v="13"/>
  </r>
  <r>
    <s v="Standard"/>
    <x v="253"/>
    <x v="253"/>
    <x v="0"/>
    <x v="13"/>
  </r>
  <r>
    <s v="Standard"/>
    <x v="254"/>
    <x v="254"/>
    <x v="0"/>
    <x v="13"/>
  </r>
  <r>
    <s v="Standard"/>
    <x v="255"/>
    <x v="255"/>
    <x v="0"/>
    <x v="5"/>
  </r>
  <r>
    <s v="Standard"/>
    <x v="256"/>
    <x v="256"/>
    <x v="0"/>
    <x v="10"/>
  </r>
  <r>
    <s v="Standard"/>
    <x v="257"/>
    <x v="257"/>
    <x v="0"/>
    <x v="10"/>
  </r>
  <r>
    <s v="Standard"/>
    <x v="258"/>
    <x v="258"/>
    <x v="0"/>
    <x v="10"/>
  </r>
  <r>
    <s v="Standard"/>
    <x v="259"/>
    <x v="259"/>
    <x v="0"/>
    <x v="10"/>
  </r>
  <r>
    <s v="Standard"/>
    <x v="260"/>
    <x v="260"/>
    <x v="0"/>
    <x v="10"/>
  </r>
  <r>
    <s v="Standard"/>
    <x v="261"/>
    <x v="261"/>
    <x v="0"/>
    <x v="10"/>
  </r>
  <r>
    <s v="Standard"/>
    <x v="262"/>
    <x v="262"/>
    <x v="0"/>
    <x v="10"/>
  </r>
  <r>
    <s v="Standard"/>
    <x v="263"/>
    <x v="263"/>
    <x v="0"/>
    <x v="10"/>
  </r>
  <r>
    <s v="Standard"/>
    <x v="264"/>
    <x v="264"/>
    <x v="0"/>
    <x v="10"/>
  </r>
  <r>
    <s v="Standard"/>
    <x v="265"/>
    <x v="265"/>
    <x v="0"/>
    <x v="10"/>
  </r>
  <r>
    <s v="Standard"/>
    <x v="266"/>
    <x v="266"/>
    <x v="0"/>
    <x v="10"/>
  </r>
  <r>
    <s v="Standard"/>
    <x v="267"/>
    <x v="267"/>
    <x v="0"/>
    <x v="10"/>
  </r>
  <r>
    <s v="Standard"/>
    <x v="268"/>
    <x v="268"/>
    <x v="0"/>
    <x v="14"/>
  </r>
  <r>
    <s v="Standard"/>
    <x v="269"/>
    <x v="269"/>
    <x v="0"/>
    <x v="15"/>
  </r>
  <r>
    <s v="Standard"/>
    <x v="270"/>
    <x v="270"/>
    <x v="0"/>
    <x v="15"/>
  </r>
  <r>
    <s v="Standard"/>
    <x v="271"/>
    <x v="271"/>
    <x v="0"/>
    <x v="15"/>
  </r>
  <r>
    <s v="Standard"/>
    <x v="272"/>
    <x v="272"/>
    <x v="0"/>
    <x v="15"/>
  </r>
  <r>
    <s v="Standard"/>
    <x v="273"/>
    <x v="273"/>
    <x v="0"/>
    <x v="15"/>
  </r>
  <r>
    <s v="Standard"/>
    <x v="274"/>
    <x v="274"/>
    <x v="0"/>
    <x v="15"/>
  </r>
  <r>
    <s v="Standard"/>
    <x v="275"/>
    <x v="275"/>
    <x v="0"/>
    <x v="15"/>
  </r>
  <r>
    <s v="Standard"/>
    <x v="276"/>
    <x v="276"/>
    <x v="0"/>
    <x v="15"/>
  </r>
  <r>
    <s v="Standard"/>
    <x v="277"/>
    <x v="277"/>
    <x v="0"/>
    <x v="15"/>
  </r>
  <r>
    <s v="Standard"/>
    <x v="278"/>
    <x v="278"/>
    <x v="0"/>
    <x v="15"/>
  </r>
  <r>
    <s v="Standard"/>
    <x v="279"/>
    <x v="279"/>
    <x v="0"/>
    <x v="15"/>
  </r>
  <r>
    <s v="Standard"/>
    <x v="280"/>
    <x v="280"/>
    <x v="0"/>
    <x v="15"/>
  </r>
  <r>
    <s v="Standard"/>
    <x v="281"/>
    <x v="281"/>
    <x v="0"/>
    <x v="15"/>
  </r>
  <r>
    <s v="Standard"/>
    <x v="282"/>
    <x v="282"/>
    <x v="0"/>
    <x v="15"/>
  </r>
  <r>
    <s v="Standard"/>
    <x v="283"/>
    <x v="283"/>
    <x v="0"/>
    <x v="15"/>
  </r>
  <r>
    <s v="Standard"/>
    <x v="284"/>
    <x v="284"/>
    <x v="0"/>
    <x v="15"/>
  </r>
  <r>
    <s v="Standard"/>
    <x v="285"/>
    <x v="285"/>
    <x v="0"/>
    <x v="10"/>
  </r>
  <r>
    <s v="Standard"/>
    <x v="286"/>
    <x v="286"/>
    <x v="0"/>
    <x v="15"/>
  </r>
  <r>
    <s v="Standard"/>
    <x v="287"/>
    <x v="287"/>
    <x v="0"/>
    <x v="15"/>
  </r>
  <r>
    <s v="Standard"/>
    <x v="288"/>
    <x v="288"/>
    <x v="0"/>
    <x v="15"/>
  </r>
  <r>
    <s v="Standard"/>
    <x v="289"/>
    <x v="289"/>
    <x v="0"/>
    <x v="15"/>
  </r>
  <r>
    <s v="Standard"/>
    <x v="290"/>
    <x v="290"/>
    <x v="0"/>
    <x v="15"/>
  </r>
  <r>
    <s v="Standard"/>
    <x v="291"/>
    <x v="291"/>
    <x v="0"/>
    <x v="15"/>
  </r>
  <r>
    <s v="Standard"/>
    <x v="292"/>
    <x v="292"/>
    <x v="0"/>
    <x v="15"/>
  </r>
  <r>
    <s v="Standard"/>
    <x v="293"/>
    <x v="293"/>
    <x v="0"/>
    <x v="15"/>
  </r>
  <r>
    <s v="Standard"/>
    <x v="294"/>
    <x v="294"/>
    <x v="0"/>
    <x v="15"/>
  </r>
  <r>
    <s v="Standard"/>
    <x v="295"/>
    <x v="295"/>
    <x v="0"/>
    <x v="15"/>
  </r>
  <r>
    <s v="Standard"/>
    <x v="296"/>
    <x v="296"/>
    <x v="0"/>
    <x v="15"/>
  </r>
  <r>
    <s v="Standard"/>
    <x v="297"/>
    <x v="297"/>
    <x v="0"/>
    <x v="15"/>
  </r>
  <r>
    <s v="Standard"/>
    <x v="298"/>
    <x v="298"/>
    <x v="0"/>
    <x v="15"/>
  </r>
  <r>
    <s v="Standard"/>
    <x v="299"/>
    <x v="299"/>
    <x v="0"/>
    <x v="15"/>
  </r>
  <r>
    <s v="Standard"/>
    <x v="300"/>
    <x v="300"/>
    <x v="0"/>
    <x v="15"/>
  </r>
  <r>
    <s v="Standard"/>
    <x v="301"/>
    <x v="301"/>
    <x v="0"/>
    <x v="15"/>
  </r>
  <r>
    <s v="Standard"/>
    <x v="302"/>
    <x v="302"/>
    <x v="0"/>
    <x v="15"/>
  </r>
  <r>
    <s v="Standard"/>
    <x v="303"/>
    <x v="303"/>
    <x v="0"/>
    <x v="15"/>
  </r>
  <r>
    <s v="Standard"/>
    <x v="304"/>
    <x v="304"/>
    <x v="0"/>
    <x v="15"/>
  </r>
  <r>
    <s v="Standard"/>
    <x v="305"/>
    <x v="305"/>
    <x v="0"/>
    <x v="15"/>
  </r>
  <r>
    <s v="Standard"/>
    <x v="306"/>
    <x v="306"/>
    <x v="0"/>
    <x v="15"/>
  </r>
  <r>
    <s v="Standard"/>
    <x v="307"/>
    <x v="307"/>
    <x v="0"/>
    <x v="15"/>
  </r>
  <r>
    <s v="Standard"/>
    <x v="308"/>
    <x v="308"/>
    <x v="0"/>
    <x v="13"/>
  </r>
  <r>
    <s v="Standard"/>
    <x v="309"/>
    <x v="309"/>
    <x v="0"/>
    <x v="13"/>
  </r>
  <r>
    <s v="Standard"/>
    <x v="310"/>
    <x v="310"/>
    <x v="0"/>
    <x v="13"/>
  </r>
  <r>
    <s v="Standard"/>
    <x v="311"/>
    <x v="311"/>
    <x v="0"/>
    <x v="13"/>
  </r>
  <r>
    <s v="Standard"/>
    <x v="312"/>
    <x v="312"/>
    <x v="0"/>
    <x v="13"/>
  </r>
  <r>
    <s v="Standard"/>
    <x v="313"/>
    <x v="313"/>
    <x v="0"/>
    <x v="13"/>
  </r>
  <r>
    <s v="Standard"/>
    <x v="314"/>
    <x v="314"/>
    <x v="0"/>
    <x v="13"/>
  </r>
  <r>
    <s v="Standard"/>
    <x v="315"/>
    <x v="315"/>
    <x v="0"/>
    <x v="13"/>
  </r>
  <r>
    <s v="Standard"/>
    <x v="316"/>
    <x v="316"/>
    <x v="0"/>
    <x v="6"/>
  </r>
  <r>
    <s v="Standard"/>
    <x v="317"/>
    <x v="317"/>
    <x v="0"/>
    <x v="6"/>
  </r>
  <r>
    <s v="Standard"/>
    <x v="318"/>
    <x v="318"/>
    <x v="0"/>
    <x v="6"/>
  </r>
  <r>
    <s v="Standard"/>
    <x v="319"/>
    <x v="319"/>
    <x v="0"/>
    <x v="6"/>
  </r>
  <r>
    <s v="Standard"/>
    <x v="320"/>
    <x v="320"/>
    <x v="0"/>
    <x v="6"/>
  </r>
  <r>
    <s v="Standard"/>
    <x v="321"/>
    <x v="321"/>
    <x v="0"/>
    <x v="6"/>
  </r>
  <r>
    <s v="Standard"/>
    <x v="322"/>
    <x v="322"/>
    <x v="0"/>
    <x v="6"/>
  </r>
  <r>
    <s v="Standard"/>
    <x v="323"/>
    <x v="323"/>
    <x v="0"/>
    <x v="6"/>
  </r>
  <r>
    <s v="Standard"/>
    <x v="324"/>
    <x v="324"/>
    <x v="0"/>
    <x v="6"/>
  </r>
  <r>
    <s v="Standard"/>
    <x v="325"/>
    <x v="325"/>
    <x v="0"/>
    <x v="6"/>
  </r>
  <r>
    <s v="Standard"/>
    <x v="326"/>
    <x v="326"/>
    <x v="0"/>
    <x v="6"/>
  </r>
  <r>
    <s v="Standard"/>
    <x v="327"/>
    <x v="327"/>
    <x v="0"/>
    <x v="6"/>
  </r>
  <r>
    <s v="Standard"/>
    <x v="328"/>
    <x v="328"/>
    <x v="0"/>
    <x v="6"/>
  </r>
  <r>
    <s v="Standard"/>
    <x v="329"/>
    <x v="329"/>
    <x v="0"/>
    <x v="6"/>
  </r>
  <r>
    <s v="Standard"/>
    <x v="330"/>
    <x v="330"/>
    <x v="0"/>
    <x v="6"/>
  </r>
  <r>
    <s v="Standard"/>
    <x v="331"/>
    <x v="331"/>
    <x v="0"/>
    <x v="6"/>
  </r>
  <r>
    <s v="Standard"/>
    <x v="332"/>
    <x v="332"/>
    <x v="0"/>
    <x v="6"/>
  </r>
  <r>
    <s v="Standard"/>
    <x v="333"/>
    <x v="333"/>
    <x v="0"/>
    <x v="6"/>
  </r>
  <r>
    <s v="Standard"/>
    <x v="334"/>
    <x v="334"/>
    <x v="0"/>
    <x v="6"/>
  </r>
  <r>
    <s v="Standard"/>
    <x v="335"/>
    <x v="335"/>
    <x v="0"/>
    <x v="6"/>
  </r>
  <r>
    <s v="Standard"/>
    <x v="336"/>
    <x v="336"/>
    <x v="0"/>
    <x v="6"/>
  </r>
  <r>
    <s v="Standard"/>
    <x v="337"/>
    <x v="337"/>
    <x v="0"/>
    <x v="6"/>
  </r>
  <r>
    <s v="Standard"/>
    <x v="338"/>
    <x v="338"/>
    <x v="0"/>
    <x v="6"/>
  </r>
  <r>
    <s v="Standard"/>
    <x v="339"/>
    <x v="339"/>
    <x v="0"/>
    <x v="6"/>
  </r>
  <r>
    <s v="Standard"/>
    <x v="340"/>
    <x v="340"/>
    <x v="0"/>
    <x v="6"/>
  </r>
  <r>
    <s v="Standard"/>
    <x v="341"/>
    <x v="341"/>
    <x v="0"/>
    <x v="6"/>
  </r>
  <r>
    <s v="Standard"/>
    <x v="342"/>
    <x v="342"/>
    <x v="0"/>
    <x v="10"/>
  </r>
  <r>
    <s v="Standard"/>
    <x v="343"/>
    <x v="343"/>
    <x v="0"/>
    <x v="6"/>
  </r>
  <r>
    <s v="Standard"/>
    <x v="344"/>
    <x v="344"/>
    <x v="0"/>
    <x v="6"/>
  </r>
  <r>
    <s v="Standard"/>
    <x v="345"/>
    <x v="345"/>
    <x v="0"/>
    <x v="6"/>
  </r>
  <r>
    <s v="Standard"/>
    <x v="346"/>
    <x v="346"/>
    <x v="0"/>
    <x v="6"/>
  </r>
  <r>
    <s v="Standard"/>
    <x v="347"/>
    <x v="347"/>
    <x v="0"/>
    <x v="6"/>
  </r>
  <r>
    <s v="Standard"/>
    <x v="348"/>
    <x v="348"/>
    <x v="0"/>
    <x v="6"/>
  </r>
  <r>
    <s v="Standard"/>
    <x v="349"/>
    <x v="349"/>
    <x v="0"/>
    <x v="6"/>
  </r>
  <r>
    <s v="Standard"/>
    <x v="350"/>
    <x v="350"/>
    <x v="0"/>
    <x v="6"/>
  </r>
  <r>
    <s v="Standard"/>
    <x v="351"/>
    <x v="351"/>
    <x v="0"/>
    <x v="6"/>
  </r>
  <r>
    <s v="Standard"/>
    <x v="352"/>
    <x v="352"/>
    <x v="0"/>
    <x v="6"/>
  </r>
  <r>
    <s v="Standard"/>
    <x v="353"/>
    <x v="353"/>
    <x v="0"/>
    <x v="6"/>
  </r>
  <r>
    <s v="Standard"/>
    <x v="354"/>
    <x v="354"/>
    <x v="0"/>
    <x v="6"/>
  </r>
  <r>
    <s v="Standard"/>
    <x v="355"/>
    <x v="355"/>
    <x v="0"/>
    <x v="6"/>
  </r>
  <r>
    <s v="Standard"/>
    <x v="356"/>
    <x v="356"/>
    <x v="0"/>
    <x v="6"/>
  </r>
  <r>
    <s v="Standard"/>
    <x v="357"/>
    <x v="357"/>
    <x v="0"/>
    <x v="6"/>
  </r>
  <r>
    <s v="Standard"/>
    <x v="358"/>
    <x v="358"/>
    <x v="0"/>
    <x v="6"/>
  </r>
  <r>
    <s v="Standard"/>
    <x v="359"/>
    <x v="359"/>
    <x v="0"/>
    <x v="6"/>
  </r>
  <r>
    <s v="Standard"/>
    <x v="360"/>
    <x v="360"/>
    <x v="0"/>
    <x v="6"/>
  </r>
  <r>
    <s v="Standard"/>
    <x v="361"/>
    <x v="361"/>
    <x v="0"/>
    <x v="6"/>
  </r>
  <r>
    <s v="Standard"/>
    <x v="362"/>
    <x v="362"/>
    <x v="0"/>
    <x v="6"/>
  </r>
  <r>
    <s v="Standard"/>
    <x v="363"/>
    <x v="363"/>
    <x v="0"/>
    <x v="6"/>
  </r>
  <r>
    <s v="Standard"/>
    <x v="364"/>
    <x v="364"/>
    <x v="0"/>
    <x v="6"/>
  </r>
  <r>
    <s v="Standard"/>
    <x v="365"/>
    <x v="365"/>
    <x v="0"/>
    <x v="6"/>
  </r>
  <r>
    <s v="Standard"/>
    <x v="366"/>
    <x v="366"/>
    <x v="0"/>
    <x v="6"/>
  </r>
  <r>
    <s v="Standard"/>
    <x v="367"/>
    <x v="367"/>
    <x v="0"/>
    <x v="6"/>
  </r>
  <r>
    <s v="Standard"/>
    <x v="368"/>
    <x v="368"/>
    <x v="0"/>
    <x v="6"/>
  </r>
  <r>
    <s v="Standard"/>
    <x v="369"/>
    <x v="369"/>
    <x v="0"/>
    <x v="6"/>
  </r>
  <r>
    <s v="Standard"/>
    <x v="370"/>
    <x v="370"/>
    <x v="0"/>
    <x v="6"/>
  </r>
  <r>
    <s v="Standard"/>
    <x v="371"/>
    <x v="371"/>
    <x v="0"/>
    <x v="6"/>
  </r>
  <r>
    <s v="Standard"/>
    <x v="372"/>
    <x v="372"/>
    <x v="0"/>
    <x v="6"/>
  </r>
  <r>
    <s v="Standard"/>
    <x v="373"/>
    <x v="373"/>
    <x v="0"/>
    <x v="6"/>
  </r>
  <r>
    <s v="Standard"/>
    <x v="374"/>
    <x v="374"/>
    <x v="0"/>
    <x v="6"/>
  </r>
  <r>
    <s v="Standard"/>
    <x v="375"/>
    <x v="375"/>
    <x v="0"/>
    <x v="6"/>
  </r>
  <r>
    <s v="Standard"/>
    <x v="376"/>
    <x v="376"/>
    <x v="0"/>
    <x v="6"/>
  </r>
  <r>
    <s v="Standard"/>
    <x v="377"/>
    <x v="377"/>
    <x v="0"/>
    <x v="6"/>
  </r>
  <r>
    <s v="Standard"/>
    <x v="378"/>
    <x v="378"/>
    <x v="0"/>
    <x v="6"/>
  </r>
  <r>
    <s v="Standard"/>
    <x v="379"/>
    <x v="379"/>
    <x v="0"/>
    <x v="6"/>
  </r>
  <r>
    <s v="Standard"/>
    <x v="380"/>
    <x v="380"/>
    <x v="0"/>
    <x v="6"/>
  </r>
  <r>
    <s v="Standard"/>
    <x v="381"/>
    <x v="381"/>
    <x v="0"/>
    <x v="6"/>
  </r>
  <r>
    <s v="Standard"/>
    <x v="382"/>
    <x v="382"/>
    <x v="0"/>
    <x v="6"/>
  </r>
  <r>
    <s v="Standard"/>
    <x v="383"/>
    <x v="383"/>
    <x v="0"/>
    <x v="6"/>
  </r>
  <r>
    <s v="Standard"/>
    <x v="384"/>
    <x v="384"/>
    <x v="0"/>
    <x v="6"/>
  </r>
  <r>
    <s v="Standard"/>
    <x v="385"/>
    <x v="385"/>
    <x v="0"/>
    <x v="6"/>
  </r>
  <r>
    <s v="Standard"/>
    <x v="386"/>
    <x v="386"/>
    <x v="0"/>
    <x v="6"/>
  </r>
  <r>
    <s v="Standard"/>
    <x v="387"/>
    <x v="387"/>
    <x v="0"/>
    <x v="6"/>
  </r>
  <r>
    <s v="Standard"/>
    <x v="388"/>
    <x v="388"/>
    <x v="0"/>
    <x v="6"/>
  </r>
  <r>
    <s v="Standard"/>
    <x v="389"/>
    <x v="389"/>
    <x v="0"/>
    <x v="6"/>
  </r>
  <r>
    <s v="Standard"/>
    <x v="390"/>
    <x v="390"/>
    <x v="0"/>
    <x v="6"/>
  </r>
  <r>
    <s v="Standard"/>
    <x v="391"/>
    <x v="391"/>
    <x v="0"/>
    <x v="6"/>
  </r>
  <r>
    <s v="Standard"/>
    <x v="392"/>
    <x v="392"/>
    <x v="0"/>
    <x v="6"/>
  </r>
  <r>
    <s v="Standard"/>
    <x v="393"/>
    <x v="393"/>
    <x v="0"/>
    <x v="6"/>
  </r>
  <r>
    <s v="Standard"/>
    <x v="394"/>
    <x v="394"/>
    <x v="0"/>
    <x v="6"/>
  </r>
  <r>
    <s v="Standard"/>
    <x v="395"/>
    <x v="395"/>
    <x v="0"/>
    <x v="6"/>
  </r>
  <r>
    <s v="Standard"/>
    <x v="396"/>
    <x v="396"/>
    <x v="0"/>
    <x v="6"/>
  </r>
  <r>
    <s v="Standard"/>
    <x v="397"/>
    <x v="397"/>
    <x v="0"/>
    <x v="6"/>
  </r>
  <r>
    <s v="Standard"/>
    <x v="398"/>
    <x v="398"/>
    <x v="0"/>
    <x v="6"/>
  </r>
  <r>
    <s v="Standard"/>
    <x v="399"/>
    <x v="399"/>
    <x v="0"/>
    <x v="6"/>
  </r>
  <r>
    <s v="Standard"/>
    <x v="400"/>
    <x v="400"/>
    <x v="0"/>
    <x v="6"/>
  </r>
  <r>
    <s v="Standard"/>
    <x v="401"/>
    <x v="401"/>
    <x v="0"/>
    <x v="6"/>
  </r>
  <r>
    <s v="Standard"/>
    <x v="402"/>
    <x v="402"/>
    <x v="0"/>
    <x v="6"/>
  </r>
  <r>
    <s v="Standard"/>
    <x v="403"/>
    <x v="403"/>
    <x v="0"/>
    <x v="6"/>
  </r>
  <r>
    <s v="Standard"/>
    <x v="404"/>
    <x v="404"/>
    <x v="0"/>
    <x v="6"/>
  </r>
  <r>
    <s v="Standard"/>
    <x v="405"/>
    <x v="405"/>
    <x v="0"/>
    <x v="6"/>
  </r>
  <r>
    <s v="Standard"/>
    <x v="406"/>
    <x v="406"/>
    <x v="0"/>
    <x v="6"/>
  </r>
  <r>
    <s v="Standard"/>
    <x v="407"/>
    <x v="407"/>
    <x v="0"/>
    <x v="6"/>
  </r>
  <r>
    <s v="Standard"/>
    <x v="408"/>
    <x v="408"/>
    <x v="0"/>
    <x v="6"/>
  </r>
  <r>
    <s v="Standard"/>
    <x v="409"/>
    <x v="409"/>
    <x v="0"/>
    <x v="6"/>
  </r>
  <r>
    <s v="Standard"/>
    <x v="410"/>
    <x v="410"/>
    <x v="0"/>
    <x v="6"/>
  </r>
  <r>
    <s v="Standard"/>
    <x v="411"/>
    <x v="411"/>
    <x v="0"/>
    <x v="6"/>
  </r>
  <r>
    <s v="Standard"/>
    <x v="412"/>
    <x v="412"/>
    <x v="0"/>
    <x v="6"/>
  </r>
  <r>
    <s v="Standard"/>
    <x v="413"/>
    <x v="413"/>
    <x v="0"/>
    <x v="6"/>
  </r>
  <r>
    <s v="Standard"/>
    <x v="414"/>
    <x v="414"/>
    <x v="0"/>
    <x v="6"/>
  </r>
  <r>
    <s v="Standard"/>
    <x v="415"/>
    <x v="415"/>
    <x v="0"/>
    <x v="6"/>
  </r>
  <r>
    <s v="Standard"/>
    <x v="416"/>
    <x v="416"/>
    <x v="0"/>
    <x v="6"/>
  </r>
  <r>
    <s v="Standard"/>
    <x v="417"/>
    <x v="417"/>
    <x v="0"/>
    <x v="6"/>
  </r>
  <r>
    <s v="Standard"/>
    <x v="418"/>
    <x v="418"/>
    <x v="0"/>
    <x v="6"/>
  </r>
  <r>
    <s v="Standard"/>
    <x v="419"/>
    <x v="419"/>
    <x v="0"/>
    <x v="6"/>
  </r>
  <r>
    <s v="Standard"/>
    <x v="420"/>
    <x v="420"/>
    <x v="0"/>
    <x v="6"/>
  </r>
  <r>
    <s v="Standard"/>
    <x v="421"/>
    <x v="421"/>
    <x v="0"/>
    <x v="6"/>
  </r>
  <r>
    <s v="Standard"/>
    <x v="422"/>
    <x v="422"/>
    <x v="0"/>
    <x v="6"/>
  </r>
  <r>
    <s v="Standard"/>
    <x v="423"/>
    <x v="423"/>
    <x v="0"/>
    <x v="6"/>
  </r>
  <r>
    <s v="Standard"/>
    <x v="424"/>
    <x v="424"/>
    <x v="0"/>
    <x v="6"/>
  </r>
  <r>
    <s v="Standard"/>
    <x v="425"/>
    <x v="425"/>
    <x v="0"/>
    <x v="6"/>
  </r>
  <r>
    <s v="Standard"/>
    <x v="426"/>
    <x v="426"/>
    <x v="0"/>
    <x v="6"/>
  </r>
  <r>
    <s v="Standard"/>
    <x v="427"/>
    <x v="427"/>
    <x v="0"/>
    <x v="6"/>
  </r>
  <r>
    <s v="Standard"/>
    <x v="428"/>
    <x v="428"/>
    <x v="0"/>
    <x v="6"/>
  </r>
  <r>
    <s v="Standard"/>
    <x v="429"/>
    <x v="429"/>
    <x v="0"/>
    <x v="6"/>
  </r>
  <r>
    <s v="Standard"/>
    <x v="430"/>
    <x v="430"/>
    <x v="1"/>
    <x v="12"/>
  </r>
  <r>
    <s v="Standard"/>
    <x v="431"/>
    <x v="431"/>
    <x v="0"/>
    <x v="9"/>
  </r>
  <r>
    <s v="Standard"/>
    <x v="432"/>
    <x v="432"/>
    <x v="0"/>
    <x v="5"/>
  </r>
  <r>
    <s v="Standard"/>
    <x v="433"/>
    <x v="433"/>
    <x v="0"/>
    <x v="3"/>
  </r>
  <r>
    <s v="Standard"/>
    <x v="434"/>
    <x v="434"/>
    <x v="0"/>
    <x v="3"/>
  </r>
  <r>
    <s v="Standard"/>
    <x v="435"/>
    <x v="435"/>
    <x v="0"/>
    <x v="3"/>
  </r>
  <r>
    <s v="Standard"/>
    <x v="436"/>
    <x v="436"/>
    <x v="0"/>
    <x v="3"/>
  </r>
  <r>
    <s v="Standard"/>
    <x v="437"/>
    <x v="437"/>
    <x v="0"/>
    <x v="3"/>
  </r>
  <r>
    <s v="Standard"/>
    <x v="438"/>
    <x v="438"/>
    <x v="0"/>
    <x v="3"/>
  </r>
  <r>
    <s v="Standard"/>
    <x v="439"/>
    <x v="439"/>
    <x v="0"/>
    <x v="3"/>
  </r>
  <r>
    <s v="Standard"/>
    <x v="440"/>
    <x v="440"/>
    <x v="0"/>
    <x v="3"/>
  </r>
  <r>
    <s v="Standard"/>
    <x v="441"/>
    <x v="441"/>
    <x v="0"/>
    <x v="3"/>
  </r>
  <r>
    <s v="Standard"/>
    <x v="442"/>
    <x v="442"/>
    <x v="0"/>
    <x v="3"/>
  </r>
  <r>
    <s v="Standard"/>
    <x v="443"/>
    <x v="443"/>
    <x v="0"/>
    <x v="3"/>
  </r>
  <r>
    <s v="Standard"/>
    <x v="444"/>
    <x v="444"/>
    <x v="0"/>
    <x v="6"/>
  </r>
  <r>
    <s v="Standard"/>
    <x v="445"/>
    <x v="445"/>
    <x v="0"/>
    <x v="3"/>
  </r>
  <r>
    <s v="Standard"/>
    <x v="446"/>
    <x v="446"/>
    <x v="0"/>
    <x v="3"/>
  </r>
  <r>
    <s v="Standard"/>
    <x v="447"/>
    <x v="447"/>
    <x v="0"/>
    <x v="3"/>
  </r>
  <r>
    <s v="Standard"/>
    <x v="448"/>
    <x v="448"/>
    <x v="0"/>
    <x v="3"/>
  </r>
  <r>
    <s v="Standard"/>
    <x v="449"/>
    <x v="449"/>
    <x v="0"/>
    <x v="6"/>
  </r>
  <r>
    <s v="Standard"/>
    <x v="450"/>
    <x v="450"/>
    <x v="0"/>
    <x v="6"/>
  </r>
  <r>
    <s v="Standard"/>
    <x v="451"/>
    <x v="451"/>
    <x v="0"/>
    <x v="6"/>
  </r>
  <r>
    <s v="Standard"/>
    <x v="452"/>
    <x v="452"/>
    <x v="0"/>
    <x v="13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s v="Standard"/>
    <s v="13478-54"/>
    <x v="0"/>
    <s v="Aucune"/>
    <x v="0"/>
  </r>
  <r>
    <s v="Standard"/>
    <s v="13478-51"/>
    <x v="1"/>
    <s v="Aucune"/>
    <x v="0"/>
  </r>
  <r>
    <s v="Standard"/>
    <s v="13478-48"/>
    <x v="2"/>
    <s v="Aucune"/>
    <x v="0"/>
  </r>
  <r>
    <s v="Standard"/>
    <s v="13478-45"/>
    <x v="3"/>
    <s v="Aucune"/>
    <x v="0"/>
  </r>
  <r>
    <s v="Standard"/>
    <s v="13478-42"/>
    <x v="4"/>
    <s v="Aucune"/>
    <x v="0"/>
  </r>
  <r>
    <s v="Standard"/>
    <s v="13478-40"/>
    <x v="5"/>
    <s v="Aucune"/>
    <x v="0"/>
  </r>
  <r>
    <s v="Standard"/>
    <s v="13478-37"/>
    <x v="6"/>
    <s v="Aucune"/>
    <x v="0"/>
  </r>
  <r>
    <s v="Standard"/>
    <s v="13478-35"/>
    <x v="7"/>
    <s v="Aucune"/>
    <x v="0"/>
  </r>
  <r>
    <s v="Standard"/>
    <s v="13478-32"/>
    <x v="8"/>
    <s v="Aucune"/>
    <x v="0"/>
  </r>
  <r>
    <s v="Standard"/>
    <s v="13478-30"/>
    <x v="9"/>
    <s v="Aucune"/>
    <x v="0"/>
  </r>
  <r>
    <s v="Standard"/>
    <s v="13478-28"/>
    <x v="10"/>
    <s v="Aucune"/>
    <x v="0"/>
  </r>
  <r>
    <s v="Standard"/>
    <s v="13478-26"/>
    <x v="11"/>
    <s v="Aucune"/>
    <x v="0"/>
  </r>
  <r>
    <s v="Standard"/>
    <s v="13478-24"/>
    <x v="12"/>
    <s v="Aucune"/>
    <x v="0"/>
  </r>
  <r>
    <s v="Standard"/>
    <s v="13478-22"/>
    <x v="13"/>
    <s v="Aucune"/>
    <x v="0"/>
  </r>
  <r>
    <s v="Standard"/>
    <s v="13478-20"/>
    <x v="14"/>
    <s v="Aucune"/>
    <x v="0"/>
  </r>
  <r>
    <s v="Standard"/>
    <s v="13478-18"/>
    <x v="15"/>
    <s v="Aucune"/>
    <x v="0"/>
  </r>
  <r>
    <s v="Standard"/>
    <s v="13478-16"/>
    <x v="16"/>
    <s v="Aucune"/>
    <x v="0"/>
  </r>
  <r>
    <s v="Standard"/>
    <s v="050101NV0101"/>
    <x v="17"/>
    <s v="Article lié"/>
    <x v="1"/>
  </r>
  <r>
    <s v="Standard"/>
    <s v="050101CP0101"/>
    <x v="18"/>
    <s v="Aucune"/>
    <x v="1"/>
  </r>
  <r>
    <s v="Standard"/>
    <s v="04JK1711CV02"/>
    <x v="19"/>
    <s v="Aucune"/>
    <x v="2"/>
  </r>
  <r>
    <s v="Standard"/>
    <s v="04JK1711CV01"/>
    <x v="20"/>
    <s v="Aucune"/>
    <x v="2"/>
  </r>
  <r>
    <s v="Standard"/>
    <s v="04JK0701CV02"/>
    <x v="21"/>
    <s v="Aucune"/>
    <x v="2"/>
  </r>
  <r>
    <s v="Standard"/>
    <s v="04JK0701CV01"/>
    <x v="22"/>
    <s v="Aucune"/>
    <x v="2"/>
  </r>
  <r>
    <s v="Standard"/>
    <s v="04JK01CV1201"/>
    <x v="23"/>
    <s v="Aucune"/>
    <x v="2"/>
  </r>
  <r>
    <s v="Standard"/>
    <s v="043001GA0301"/>
    <x v="24"/>
    <s v="Article lié"/>
    <x v="2"/>
  </r>
  <r>
    <s v="Standard"/>
    <s v="040CV30003"/>
    <x v="25"/>
    <s v="Aucune"/>
    <x v="2"/>
  </r>
  <r>
    <s v="Standard"/>
    <s v="0408CV10001"/>
    <x v="26"/>
    <s v="Aucune"/>
    <x v="2"/>
  </r>
  <r>
    <s v="Standard"/>
    <s v="040802NL1201"/>
    <x v="27"/>
    <s v="Article lié"/>
    <x v="2"/>
  </r>
  <r>
    <s v="Standard"/>
    <s v="040801RC1102"/>
    <x v="28"/>
    <s v="Article lié"/>
    <x v="2"/>
  </r>
  <r>
    <s v="Standard"/>
    <s v="040801RC0904N"/>
    <x v="29"/>
    <s v="Article lié"/>
    <x v="2"/>
  </r>
  <r>
    <s v="Standard"/>
    <s v="040801RC0904"/>
    <x v="30"/>
    <s v="Article lié"/>
    <x v="2"/>
  </r>
  <r>
    <s v="Standard"/>
    <s v="040801NR0602"/>
    <x v="31"/>
    <s v="Article lié"/>
    <x v="2"/>
  </r>
  <r>
    <s v="Standard"/>
    <s v="040801NL1513"/>
    <x v="32"/>
    <s v="Article lié"/>
    <x v="2"/>
  </r>
  <r>
    <s v="Standard"/>
    <s v="040801NL1508"/>
    <x v="33"/>
    <s v="Article lié"/>
    <x v="2"/>
  </r>
  <r>
    <s v="Standard"/>
    <s v="040801NL1507"/>
    <x v="34"/>
    <s v="Article lié"/>
    <x v="2"/>
  </r>
  <r>
    <s v="Standard"/>
    <s v="040801NL1506"/>
    <x v="35"/>
    <s v="Article lié"/>
    <x v="2"/>
  </r>
  <r>
    <s v="Standard"/>
    <s v="040801NL1505"/>
    <x v="36"/>
    <s v="Article lié"/>
    <x v="2"/>
  </r>
  <r>
    <s v="Standard"/>
    <s v="040801NL1503"/>
    <x v="37"/>
    <s v="Article lié"/>
    <x v="2"/>
  </r>
  <r>
    <s v="Standard"/>
    <s v="040801NL1303"/>
    <x v="38"/>
    <s v="Article lié"/>
    <x v="2"/>
  </r>
  <r>
    <s v="Standard"/>
    <s v="040801NL1302"/>
    <x v="39"/>
    <s v="Article lié"/>
    <x v="2"/>
  </r>
  <r>
    <s v="Standard"/>
    <s v="040801NL1201"/>
    <x v="40"/>
    <s v="Article lié"/>
    <x v="2"/>
  </r>
  <r>
    <s v="Standard"/>
    <s v="040801NL1103"/>
    <x v="41"/>
    <s v="Article lié"/>
    <x v="2"/>
  </r>
  <r>
    <s v="Standard"/>
    <s v="040801NL1102"/>
    <x v="42"/>
    <s v="Article lié"/>
    <x v="2"/>
  </r>
  <r>
    <s v="Standard"/>
    <s v="040801NL1101"/>
    <x v="43"/>
    <s v="Article lié"/>
    <x v="2"/>
  </r>
  <r>
    <s v="Standard"/>
    <s v="040801NL1003"/>
    <x v="44"/>
    <s v="Article lié"/>
    <x v="2"/>
  </r>
  <r>
    <s v="Standard"/>
    <s v="040801NL1002"/>
    <x v="45"/>
    <s v="Article lié"/>
    <x v="2"/>
  </r>
  <r>
    <s v="Standard"/>
    <s v="040801NL1001"/>
    <x v="46"/>
    <s v="Article lié"/>
    <x v="2"/>
  </r>
  <r>
    <s v="Standard"/>
    <s v="040801NL0914"/>
    <x v="47"/>
    <s v="Article lié"/>
    <x v="2"/>
  </r>
  <r>
    <s v="Standard"/>
    <s v="040801NL0913"/>
    <x v="48"/>
    <s v="Article lié"/>
    <x v="2"/>
  </r>
  <r>
    <s v="Standard"/>
    <s v="040801NL0905"/>
    <x v="49"/>
    <s v="Article lié"/>
    <x v="2"/>
  </r>
  <r>
    <s v="Standard"/>
    <s v="040801NL0904"/>
    <x v="50"/>
    <s v="Article lié"/>
    <x v="2"/>
  </r>
  <r>
    <s v="Standard"/>
    <s v="040801NL0903"/>
    <x v="51"/>
    <s v="Article lié"/>
    <x v="2"/>
  </r>
  <r>
    <s v="Standard"/>
    <s v="040801NL0902"/>
    <x v="52"/>
    <s v="Article lié"/>
    <x v="2"/>
  </r>
  <r>
    <s v="Standard"/>
    <s v="040801NL09012"/>
    <x v="53"/>
    <s v="Article lié"/>
    <x v="2"/>
  </r>
  <r>
    <s v="Standard"/>
    <s v="040801NL0901"/>
    <x v="54"/>
    <s v="Article lié"/>
    <x v="2"/>
  </r>
  <r>
    <s v="Standard"/>
    <s v="040801NL0702"/>
    <x v="55"/>
    <s v="Article lié"/>
    <x v="2"/>
  </r>
  <r>
    <s v="Standard"/>
    <s v="040801NL0701"/>
    <x v="56"/>
    <s v="Article lié"/>
    <x v="2"/>
  </r>
  <r>
    <s v="Standard"/>
    <s v="040801NL0603"/>
    <x v="57"/>
    <s v="Article lié"/>
    <x v="2"/>
  </r>
  <r>
    <s v="Standard"/>
    <s v="040801NL0602"/>
    <x v="58"/>
    <s v="Article lié"/>
    <x v="2"/>
  </r>
  <r>
    <s v="Standard"/>
    <s v="040801JK1302"/>
    <x v="59"/>
    <s v="Article lié"/>
    <x v="2"/>
  </r>
  <r>
    <s v="Standard"/>
    <s v="040801JK0702"/>
    <x v="60"/>
    <s v="Article lié"/>
    <x v="2"/>
  </r>
  <r>
    <s v="Standard"/>
    <s v="0407RCCV5000"/>
    <x v="61"/>
    <s v="Aucune"/>
    <x v="2"/>
  </r>
  <r>
    <s v="Standard"/>
    <s v="0407RCCV4000N"/>
    <x v="62"/>
    <s v="Aucune"/>
    <x v="2"/>
  </r>
  <r>
    <s v="Standard"/>
    <s v="0407RCCV4000"/>
    <x v="63"/>
    <s v="Aucune"/>
    <x v="2"/>
  </r>
  <r>
    <s v="Standard"/>
    <s v="0407CV21JK01"/>
    <x v="64"/>
    <s v="Aucune"/>
    <x v="2"/>
  </r>
  <r>
    <s v="Standard"/>
    <s v="0407CV20001"/>
    <x v="65"/>
    <s v="Aucune"/>
    <x v="2"/>
  </r>
  <r>
    <s v="Standard"/>
    <s v="0407CV190001"/>
    <x v="66"/>
    <s v="Aucune"/>
    <x v="2"/>
  </r>
  <r>
    <s v="Standard"/>
    <s v="0407CV180012"/>
    <x v="67"/>
    <s v="Aucune"/>
    <x v="2"/>
  </r>
  <r>
    <s v="Standard"/>
    <s v="0407CV180011"/>
    <x v="68"/>
    <s v="Aucune"/>
    <x v="2"/>
  </r>
  <r>
    <s v="Standard"/>
    <s v="0407CV180001"/>
    <x v="69"/>
    <s v="Aucune"/>
    <x v="2"/>
  </r>
  <r>
    <s v="Standard"/>
    <s v="0407CV170001"/>
    <x v="70"/>
    <s v="Aucune"/>
    <x v="2"/>
  </r>
  <r>
    <s v="Standard"/>
    <s v="0407CV10001"/>
    <x v="71"/>
    <s v="Aucune"/>
    <x v="2"/>
  </r>
  <r>
    <s v="Standard"/>
    <s v="040799CV3846"/>
    <x v="72"/>
    <s v="Aucune"/>
    <x v="2"/>
  </r>
  <r>
    <s v="Standard"/>
    <s v="040791CV0301"/>
    <x v="73"/>
    <s v="Aucune"/>
    <x v="2"/>
  </r>
  <r>
    <s v="Standard"/>
    <s v="040791CV0201"/>
    <x v="74"/>
    <s v="Aucune"/>
    <x v="2"/>
  </r>
  <r>
    <s v="Standard"/>
    <s v="040703CV3946"/>
    <x v="75"/>
    <s v="Aucune"/>
    <x v="2"/>
  </r>
  <r>
    <s v="Standard"/>
    <s v="040703CV3846"/>
    <x v="76"/>
    <s v="Aucune"/>
    <x v="2"/>
  </r>
  <r>
    <s v="Standard"/>
    <s v="040701NL0504"/>
    <x v="77"/>
    <s v="Article lié"/>
    <x v="2"/>
  </r>
  <r>
    <s v="Standard"/>
    <s v="040701NL0503"/>
    <x v="78"/>
    <s v="Article lié"/>
    <x v="2"/>
  </r>
  <r>
    <s v="Standard"/>
    <s v="040701NL0502"/>
    <x v="79"/>
    <s v="Article lié"/>
    <x v="2"/>
  </r>
  <r>
    <s v="Standard"/>
    <s v="040701NL0501"/>
    <x v="80"/>
    <s v="Article lié"/>
    <x v="2"/>
  </r>
  <r>
    <s v="Standard"/>
    <s v="040701NL0403"/>
    <x v="81"/>
    <s v="Article lié"/>
    <x v="2"/>
  </r>
  <r>
    <s v="Standard"/>
    <s v="040701NL0402"/>
    <x v="82"/>
    <s v="Article lié"/>
    <x v="2"/>
  </r>
  <r>
    <s v="Standard"/>
    <s v="040701NL0302"/>
    <x v="83"/>
    <s v="Article lié"/>
    <x v="2"/>
  </r>
  <r>
    <s v="Standard"/>
    <s v="040701NL0301"/>
    <x v="84"/>
    <s v="Article lié"/>
    <x v="2"/>
  </r>
  <r>
    <s v="Standard"/>
    <s v="040701NL0202"/>
    <x v="85"/>
    <s v="Article lié"/>
    <x v="2"/>
  </r>
  <r>
    <s v="Standard"/>
    <s v="040701NL0201"/>
    <x v="86"/>
    <s v="Article lié"/>
    <x v="2"/>
  </r>
  <r>
    <s v="Standard"/>
    <s v="040701JK0503"/>
    <x v="87"/>
    <s v="Article lié"/>
    <x v="2"/>
  </r>
  <r>
    <s v="Standard"/>
    <s v="040701JK0502"/>
    <x v="88"/>
    <s v="Article lié"/>
    <x v="2"/>
  </r>
  <r>
    <s v="Standard"/>
    <s v="040701CV8702"/>
    <x v="89"/>
    <s v="Aucune"/>
    <x v="2"/>
  </r>
  <r>
    <s v="Standard"/>
    <s v="040701CV8701"/>
    <x v="90"/>
    <s v="Aucune"/>
    <x v="2"/>
  </r>
  <r>
    <s v="Standard"/>
    <s v="040701CV6002"/>
    <x v="91"/>
    <s v="Aucune"/>
    <x v="2"/>
  </r>
  <r>
    <s v="Standard"/>
    <s v="040701CV6001"/>
    <x v="92"/>
    <s v="Aucune"/>
    <x v="2"/>
  </r>
  <r>
    <s v="Standard"/>
    <s v="040701CV5501"/>
    <x v="93"/>
    <s v="Aucune"/>
    <x v="2"/>
  </r>
  <r>
    <s v="Standard"/>
    <s v="040701CV5500"/>
    <x v="94"/>
    <s v="Aucune"/>
    <x v="2"/>
  </r>
  <r>
    <s v="Standard"/>
    <s v="040701CV4001"/>
    <x v="95"/>
    <s v="Aucune"/>
    <x v="2"/>
  </r>
  <r>
    <s v="Standard"/>
    <s v="040701CV4000"/>
    <x v="96"/>
    <s v="Aucune"/>
    <x v="2"/>
  </r>
  <r>
    <s v="Standard"/>
    <s v="040701CV3846"/>
    <x v="97"/>
    <s v="Aucune"/>
    <x v="2"/>
  </r>
  <r>
    <s v="Standard"/>
    <s v="040701CV2304"/>
    <x v="98"/>
    <s v="Aucune"/>
    <x v="2"/>
  </r>
  <r>
    <s v="Standard"/>
    <s v="040701CV2303"/>
    <x v="99"/>
    <s v="Aucune"/>
    <x v="2"/>
  </r>
  <r>
    <s v="Standard"/>
    <s v="040701CV2302"/>
    <x v="100"/>
    <s v="Aucune"/>
    <x v="2"/>
  </r>
  <r>
    <s v="Standard"/>
    <s v="040701CV2301"/>
    <x v="101"/>
    <s v="Aucune"/>
    <x v="2"/>
  </r>
  <r>
    <s v="Standard"/>
    <s v="040701CV2300"/>
    <x v="102"/>
    <s v="Aucune"/>
    <x v="2"/>
  </r>
  <r>
    <s v="Standard"/>
    <s v="040701CV1701"/>
    <x v="103"/>
    <s v="Aucune"/>
    <x v="2"/>
  </r>
  <r>
    <s v="Standard"/>
    <s v="040701CV1700"/>
    <x v="104"/>
    <s v="Aucune"/>
    <x v="2"/>
  </r>
  <r>
    <s v="Standard"/>
    <s v="040701CV1201"/>
    <x v="105"/>
    <s v="Aucune"/>
    <x v="2"/>
  </r>
  <r>
    <s v="Standard"/>
    <s v="040701CV1200"/>
    <x v="106"/>
    <s v="Aucune"/>
    <x v="2"/>
  </r>
  <r>
    <s v="Standard"/>
    <s v="040701CV0301"/>
    <x v="107"/>
    <s v="Aucune"/>
    <x v="2"/>
  </r>
  <r>
    <s v="Standard"/>
    <s v="040701CV0201"/>
    <x v="108"/>
    <s v="Aucune"/>
    <x v="2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s v="Standard"/>
    <x v="0"/>
    <x v="0"/>
    <x v="0"/>
    <x v="0"/>
  </r>
  <r>
    <s v="Standard"/>
    <x v="1"/>
    <x v="1"/>
    <x v="0"/>
    <x v="0"/>
  </r>
  <r>
    <s v="Standard"/>
    <x v="2"/>
    <x v="2"/>
    <x v="0"/>
    <x v="0"/>
  </r>
  <r>
    <s v="Standard"/>
    <x v="3"/>
    <x v="3"/>
    <x v="0"/>
    <x v="0"/>
  </r>
  <r>
    <s v="Standard"/>
    <x v="4"/>
    <x v="4"/>
    <x v="0"/>
    <x v="0"/>
  </r>
  <r>
    <s v="Standard"/>
    <x v="5"/>
    <x v="5"/>
    <x v="0"/>
    <x v="0"/>
  </r>
  <r>
    <s v="Standard"/>
    <x v="6"/>
    <x v="6"/>
    <x v="0"/>
    <x v="0"/>
  </r>
  <r>
    <s v="Standard"/>
    <x v="7"/>
    <x v="7"/>
    <x v="0"/>
    <x v="0"/>
  </r>
  <r>
    <s v="Standard"/>
    <x v="8"/>
    <x v="8"/>
    <x v="0"/>
    <x v="0"/>
  </r>
  <r>
    <s v="Standard"/>
    <x v="9"/>
    <x v="9"/>
    <x v="0"/>
    <x v="0"/>
  </r>
  <r>
    <s v="Standard"/>
    <x v="10"/>
    <x v="10"/>
    <x v="0"/>
    <x v="0"/>
  </r>
  <r>
    <s v="Standard"/>
    <x v="11"/>
    <x v="11"/>
    <x v="0"/>
    <x v="0"/>
  </r>
  <r>
    <s v="Standard"/>
    <x v="12"/>
    <x v="12"/>
    <x v="0"/>
    <x v="0"/>
  </r>
  <r>
    <s v="Standard"/>
    <x v="13"/>
    <x v="13"/>
    <x v="0"/>
    <x v="0"/>
  </r>
  <r>
    <s v="Standard"/>
    <x v="14"/>
    <x v="14"/>
    <x v="0"/>
    <x v="0"/>
  </r>
  <r>
    <s v="Standard"/>
    <x v="15"/>
    <x v="15"/>
    <x v="0"/>
    <x v="0"/>
  </r>
  <r>
    <s v="Standard"/>
    <x v="16"/>
    <x v="16"/>
    <x v="0"/>
    <x v="0"/>
  </r>
  <r>
    <s v="Standard"/>
    <x v="17"/>
    <x v="17"/>
    <x v="1"/>
    <x v="1"/>
  </r>
  <r>
    <s v="Standard"/>
    <x v="18"/>
    <x v="18"/>
    <x v="0"/>
    <x v="1"/>
  </r>
  <r>
    <s v="Standard"/>
    <x v="19"/>
    <x v="19"/>
    <x v="0"/>
    <x v="2"/>
  </r>
  <r>
    <s v="Standard"/>
    <x v="20"/>
    <x v="20"/>
    <x v="0"/>
    <x v="2"/>
  </r>
  <r>
    <s v="Standard"/>
    <x v="21"/>
    <x v="21"/>
    <x v="0"/>
    <x v="2"/>
  </r>
  <r>
    <s v="Standard"/>
    <x v="22"/>
    <x v="22"/>
    <x v="0"/>
    <x v="2"/>
  </r>
  <r>
    <s v="Standard"/>
    <x v="23"/>
    <x v="23"/>
    <x v="0"/>
    <x v="2"/>
  </r>
  <r>
    <s v="Standard"/>
    <x v="24"/>
    <x v="24"/>
    <x v="1"/>
    <x v="2"/>
  </r>
  <r>
    <s v="Standard"/>
    <x v="25"/>
    <x v="25"/>
    <x v="0"/>
    <x v="2"/>
  </r>
  <r>
    <s v="Standard"/>
    <x v="26"/>
    <x v="26"/>
    <x v="0"/>
    <x v="2"/>
  </r>
  <r>
    <s v="Standard"/>
    <x v="27"/>
    <x v="27"/>
    <x v="1"/>
    <x v="2"/>
  </r>
  <r>
    <s v="Standard"/>
    <x v="28"/>
    <x v="28"/>
    <x v="1"/>
    <x v="2"/>
  </r>
  <r>
    <s v="Standard"/>
    <x v="29"/>
    <x v="29"/>
    <x v="1"/>
    <x v="2"/>
  </r>
  <r>
    <s v="Standard"/>
    <x v="30"/>
    <x v="30"/>
    <x v="1"/>
    <x v="2"/>
  </r>
  <r>
    <s v="Standard"/>
    <x v="31"/>
    <x v="31"/>
    <x v="1"/>
    <x v="2"/>
  </r>
  <r>
    <s v="Standard"/>
    <x v="32"/>
    <x v="32"/>
    <x v="1"/>
    <x v="2"/>
  </r>
  <r>
    <s v="Standard"/>
    <x v="33"/>
    <x v="33"/>
    <x v="1"/>
    <x v="2"/>
  </r>
  <r>
    <s v="Standard"/>
    <x v="34"/>
    <x v="34"/>
    <x v="1"/>
    <x v="2"/>
  </r>
  <r>
    <s v="Standard"/>
    <x v="35"/>
    <x v="35"/>
    <x v="1"/>
    <x v="2"/>
  </r>
  <r>
    <s v="Standard"/>
    <x v="36"/>
    <x v="36"/>
    <x v="1"/>
    <x v="2"/>
  </r>
  <r>
    <s v="Standard"/>
    <x v="37"/>
    <x v="37"/>
    <x v="1"/>
    <x v="2"/>
  </r>
  <r>
    <s v="Standard"/>
    <x v="38"/>
    <x v="38"/>
    <x v="1"/>
    <x v="2"/>
  </r>
  <r>
    <s v="Standard"/>
    <x v="39"/>
    <x v="39"/>
    <x v="1"/>
    <x v="2"/>
  </r>
  <r>
    <s v="Standard"/>
    <x v="40"/>
    <x v="40"/>
    <x v="1"/>
    <x v="2"/>
  </r>
  <r>
    <s v="Standard"/>
    <x v="41"/>
    <x v="41"/>
    <x v="1"/>
    <x v="2"/>
  </r>
  <r>
    <s v="Standard"/>
    <x v="42"/>
    <x v="42"/>
    <x v="1"/>
    <x v="2"/>
  </r>
  <r>
    <s v="Standard"/>
    <x v="43"/>
    <x v="43"/>
    <x v="1"/>
    <x v="2"/>
  </r>
  <r>
    <s v="Standard"/>
    <x v="44"/>
    <x v="44"/>
    <x v="1"/>
    <x v="2"/>
  </r>
  <r>
    <s v="Standard"/>
    <x v="45"/>
    <x v="45"/>
    <x v="1"/>
    <x v="2"/>
  </r>
  <r>
    <s v="Standard"/>
    <x v="46"/>
    <x v="46"/>
    <x v="1"/>
    <x v="2"/>
  </r>
  <r>
    <s v="Standard"/>
    <x v="47"/>
    <x v="47"/>
    <x v="1"/>
    <x v="2"/>
  </r>
  <r>
    <s v="Standard"/>
    <x v="48"/>
    <x v="48"/>
    <x v="1"/>
    <x v="2"/>
  </r>
  <r>
    <s v="Standard"/>
    <x v="49"/>
    <x v="49"/>
    <x v="1"/>
    <x v="2"/>
  </r>
  <r>
    <s v="Standard"/>
    <x v="50"/>
    <x v="50"/>
    <x v="1"/>
    <x v="2"/>
  </r>
  <r>
    <s v="Standard"/>
    <x v="51"/>
    <x v="51"/>
    <x v="1"/>
    <x v="2"/>
  </r>
  <r>
    <s v="Standard"/>
    <x v="52"/>
    <x v="52"/>
    <x v="1"/>
    <x v="2"/>
  </r>
  <r>
    <s v="Standard"/>
    <x v="53"/>
    <x v="53"/>
    <x v="1"/>
    <x v="2"/>
  </r>
  <r>
    <s v="Standard"/>
    <x v="54"/>
    <x v="54"/>
    <x v="1"/>
    <x v="2"/>
  </r>
  <r>
    <s v="Standard"/>
    <x v="55"/>
    <x v="55"/>
    <x v="1"/>
    <x v="2"/>
  </r>
  <r>
    <s v="Standard"/>
    <x v="56"/>
    <x v="56"/>
    <x v="1"/>
    <x v="2"/>
  </r>
  <r>
    <s v="Standard"/>
    <x v="57"/>
    <x v="57"/>
    <x v="1"/>
    <x v="2"/>
  </r>
  <r>
    <s v="Standard"/>
    <x v="58"/>
    <x v="58"/>
    <x v="1"/>
    <x v="2"/>
  </r>
  <r>
    <s v="Standard"/>
    <x v="59"/>
    <x v="59"/>
    <x v="1"/>
    <x v="2"/>
  </r>
  <r>
    <s v="Standard"/>
    <x v="60"/>
    <x v="60"/>
    <x v="1"/>
    <x v="2"/>
  </r>
  <r>
    <s v="Standard"/>
    <x v="61"/>
    <x v="61"/>
    <x v="0"/>
    <x v="2"/>
  </r>
  <r>
    <s v="Standard"/>
    <x v="62"/>
    <x v="62"/>
    <x v="0"/>
    <x v="2"/>
  </r>
  <r>
    <s v="Standard"/>
    <x v="63"/>
    <x v="63"/>
    <x v="0"/>
    <x v="2"/>
  </r>
  <r>
    <s v="Standard"/>
    <x v="64"/>
    <x v="64"/>
    <x v="0"/>
    <x v="2"/>
  </r>
  <r>
    <s v="Standard"/>
    <x v="65"/>
    <x v="65"/>
    <x v="0"/>
    <x v="2"/>
  </r>
  <r>
    <s v="Standard"/>
    <x v="66"/>
    <x v="66"/>
    <x v="0"/>
    <x v="2"/>
  </r>
  <r>
    <s v="Standard"/>
    <x v="67"/>
    <x v="67"/>
    <x v="0"/>
    <x v="2"/>
  </r>
  <r>
    <s v="Standard"/>
    <x v="68"/>
    <x v="68"/>
    <x v="0"/>
    <x v="2"/>
  </r>
  <r>
    <s v="Standard"/>
    <x v="69"/>
    <x v="69"/>
    <x v="0"/>
    <x v="2"/>
  </r>
  <r>
    <s v="Standard"/>
    <x v="70"/>
    <x v="70"/>
    <x v="0"/>
    <x v="2"/>
  </r>
  <r>
    <s v="Standard"/>
    <x v="71"/>
    <x v="71"/>
    <x v="0"/>
    <x v="2"/>
  </r>
  <r>
    <s v="Standard"/>
    <x v="72"/>
    <x v="72"/>
    <x v="0"/>
    <x v="2"/>
  </r>
  <r>
    <s v="Standard"/>
    <x v="73"/>
    <x v="73"/>
    <x v="0"/>
    <x v="2"/>
  </r>
  <r>
    <s v="Standard"/>
    <x v="74"/>
    <x v="74"/>
    <x v="0"/>
    <x v="2"/>
  </r>
  <r>
    <s v="Standard"/>
    <x v="75"/>
    <x v="75"/>
    <x v="0"/>
    <x v="2"/>
  </r>
  <r>
    <s v="Standard"/>
    <x v="76"/>
    <x v="76"/>
    <x v="0"/>
    <x v="2"/>
  </r>
  <r>
    <s v="Standard"/>
    <x v="77"/>
    <x v="77"/>
    <x v="1"/>
    <x v="2"/>
  </r>
  <r>
    <s v="Standard"/>
    <x v="78"/>
    <x v="78"/>
    <x v="1"/>
    <x v="2"/>
  </r>
  <r>
    <s v="Standard"/>
    <x v="79"/>
    <x v="79"/>
    <x v="1"/>
    <x v="2"/>
  </r>
  <r>
    <s v="Standard"/>
    <x v="80"/>
    <x v="80"/>
    <x v="1"/>
    <x v="2"/>
  </r>
  <r>
    <s v="Standard"/>
    <x v="81"/>
    <x v="81"/>
    <x v="1"/>
    <x v="2"/>
  </r>
  <r>
    <s v="Standard"/>
    <x v="82"/>
    <x v="82"/>
    <x v="1"/>
    <x v="2"/>
  </r>
  <r>
    <s v="Standard"/>
    <x v="83"/>
    <x v="83"/>
    <x v="1"/>
    <x v="2"/>
  </r>
  <r>
    <s v="Standard"/>
    <x v="84"/>
    <x v="84"/>
    <x v="1"/>
    <x v="2"/>
  </r>
  <r>
    <s v="Standard"/>
    <x v="85"/>
    <x v="85"/>
    <x v="1"/>
    <x v="2"/>
  </r>
  <r>
    <s v="Standard"/>
    <x v="86"/>
    <x v="86"/>
    <x v="1"/>
    <x v="2"/>
  </r>
  <r>
    <s v="Standard"/>
    <x v="87"/>
    <x v="87"/>
    <x v="1"/>
    <x v="2"/>
  </r>
  <r>
    <s v="Standard"/>
    <x v="88"/>
    <x v="88"/>
    <x v="1"/>
    <x v="2"/>
  </r>
  <r>
    <s v="Standard"/>
    <x v="89"/>
    <x v="89"/>
    <x v="0"/>
    <x v="2"/>
  </r>
  <r>
    <s v="Standard"/>
    <x v="90"/>
    <x v="90"/>
    <x v="0"/>
    <x v="2"/>
  </r>
  <r>
    <s v="Standard"/>
    <x v="91"/>
    <x v="91"/>
    <x v="0"/>
    <x v="2"/>
  </r>
  <r>
    <s v="Standard"/>
    <x v="92"/>
    <x v="92"/>
    <x v="0"/>
    <x v="2"/>
  </r>
  <r>
    <s v="Standard"/>
    <x v="93"/>
    <x v="93"/>
    <x v="0"/>
    <x v="2"/>
  </r>
  <r>
    <s v="Standard"/>
    <x v="94"/>
    <x v="94"/>
    <x v="0"/>
    <x v="2"/>
  </r>
  <r>
    <s v="Standard"/>
    <x v="95"/>
    <x v="95"/>
    <x v="0"/>
    <x v="2"/>
  </r>
  <r>
    <s v="Standard"/>
    <x v="96"/>
    <x v="96"/>
    <x v="0"/>
    <x v="2"/>
  </r>
  <r>
    <s v="Standard"/>
    <x v="97"/>
    <x v="97"/>
    <x v="0"/>
    <x v="2"/>
  </r>
  <r>
    <s v="Standard"/>
    <x v="98"/>
    <x v="98"/>
    <x v="0"/>
    <x v="2"/>
  </r>
  <r>
    <s v="Standard"/>
    <x v="99"/>
    <x v="99"/>
    <x v="0"/>
    <x v="2"/>
  </r>
  <r>
    <s v="Standard"/>
    <x v="100"/>
    <x v="100"/>
    <x v="0"/>
    <x v="2"/>
  </r>
  <r>
    <s v="Standard"/>
    <x v="101"/>
    <x v="101"/>
    <x v="0"/>
    <x v="2"/>
  </r>
  <r>
    <s v="Standard"/>
    <x v="102"/>
    <x v="102"/>
    <x v="0"/>
    <x v="2"/>
  </r>
  <r>
    <s v="Standard"/>
    <x v="103"/>
    <x v="103"/>
    <x v="0"/>
    <x v="2"/>
  </r>
  <r>
    <s v="Standard"/>
    <x v="104"/>
    <x v="104"/>
    <x v="0"/>
    <x v="2"/>
  </r>
  <r>
    <s v="Standard"/>
    <x v="105"/>
    <x v="105"/>
    <x v="0"/>
    <x v="2"/>
  </r>
  <r>
    <s v="Standard"/>
    <x v="106"/>
    <x v="106"/>
    <x v="0"/>
    <x v="2"/>
  </r>
  <r>
    <s v="Standard"/>
    <x v="107"/>
    <x v="107"/>
    <x v="0"/>
    <x v="2"/>
  </r>
  <r>
    <s v="Standard"/>
    <x v="108"/>
    <x v="108"/>
    <x v="0"/>
    <x v="2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Standard"/>
    <s v="090192TO01103"/>
    <s v="63 TO - AF - Mina"/>
    <x v="0"/>
    <x v="0"/>
  </r>
  <r>
    <s v="Standard"/>
    <s v="090191TO01102"/>
    <s v="58 TO - AF - Mina"/>
    <x v="0"/>
    <x v="0"/>
  </r>
  <r>
    <s v="Standard"/>
    <s v="0901193TO01104"/>
    <s v="70 Deep - AF - Mina"/>
    <x v="0"/>
    <x v="0"/>
  </r>
  <r>
    <s v="Standard"/>
    <s v="090101TO0166"/>
    <s v="66 TO Or"/>
    <x v="0"/>
    <x v="1"/>
  </r>
  <r>
    <s v="Standard"/>
    <s v="090101TO0120"/>
    <s v="63 TO Noir"/>
    <x v="0"/>
    <x v="1"/>
  </r>
  <r>
    <s v="Standard"/>
    <s v="090101TO0113"/>
    <s v="82 TO Blanc"/>
    <x v="0"/>
    <x v="1"/>
  </r>
  <r>
    <s v="Standard"/>
    <s v="090101TO0112"/>
    <s v="58 TO Blanc"/>
    <x v="0"/>
    <x v="1"/>
  </r>
  <r>
    <s v="Standard"/>
    <s v="090101TO0111"/>
    <s v="53 TO Or"/>
    <x v="0"/>
    <x v="1"/>
  </r>
  <r>
    <s v="Standard"/>
    <s v="090101TO0110"/>
    <s v="48 TO Blanc"/>
    <x v="0"/>
    <x v="1"/>
  </r>
  <r>
    <s v="Standard"/>
    <s v="090101TO0109"/>
    <s v="48 TO Or"/>
    <x v="0"/>
    <x v="1"/>
  </r>
  <r>
    <s v="Standard"/>
    <s v="090101TO0108"/>
    <s v="48 TO Noir"/>
    <x v="0"/>
    <x v="1"/>
  </r>
  <r>
    <s v="Standard"/>
    <s v="090101TO0107"/>
    <s v="43 TO Noir"/>
    <x v="0"/>
    <x v="1"/>
  </r>
  <r>
    <s v="Standard"/>
    <s v="090101TO0106"/>
    <s v="63 TO Blanc"/>
    <x v="0"/>
    <x v="1"/>
  </r>
  <r>
    <s v="Standard"/>
    <s v="090101TO0105"/>
    <s v="110 TO Blanc"/>
    <x v="0"/>
    <x v="1"/>
  </r>
  <r>
    <s v="Standard"/>
    <s v="090101TO0104"/>
    <s v="82 TO Or"/>
    <x v="0"/>
    <x v="1"/>
  </r>
  <r>
    <s v="Standard"/>
    <s v="090101TO0103"/>
    <s v="63 TO Or"/>
    <x v="0"/>
    <x v="1"/>
  </r>
  <r>
    <s v="Standard"/>
    <s v="090101TO0102"/>
    <s v="43 TO Or"/>
    <x v="0"/>
    <x v="1"/>
  </r>
  <r>
    <s v="Standard"/>
    <s v="090101TO0101"/>
    <s v="58 TO Or"/>
    <x v="0"/>
    <x v="0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x v="0"/>
    <x v="0"/>
    <s v="Aucune"/>
    <x v="0"/>
  </r>
  <r>
    <x v="0"/>
    <x v="1"/>
    <x v="1"/>
    <s v="Aucune"/>
    <x v="0"/>
  </r>
  <r>
    <x v="0"/>
    <x v="2"/>
    <x v="2"/>
    <s v="Aucune"/>
    <x v="0"/>
  </r>
  <r>
    <x v="0"/>
    <x v="3"/>
    <x v="3"/>
    <s v="Aucune"/>
    <x v="0"/>
  </r>
  <r>
    <x v="0"/>
    <x v="4"/>
    <x v="4"/>
    <s v="Aucune"/>
    <x v="0"/>
  </r>
  <r>
    <x v="0"/>
    <x v="5"/>
    <x v="5"/>
    <s v="Aucune"/>
    <x v="0"/>
  </r>
  <r>
    <x v="0"/>
    <x v="6"/>
    <x v="6"/>
    <s v="Aucune"/>
    <x v="0"/>
  </r>
  <r>
    <x v="0"/>
    <x v="7"/>
    <x v="7"/>
    <s v="Aucune"/>
    <x v="0"/>
  </r>
  <r>
    <x v="0"/>
    <x v="8"/>
    <x v="8"/>
    <s v="Aucune"/>
    <x v="0"/>
  </r>
  <r>
    <x v="0"/>
    <x v="9"/>
    <x v="9"/>
    <s v="Aucune"/>
    <x v="0"/>
  </r>
  <r>
    <x v="0"/>
    <x v="10"/>
    <x v="10"/>
    <s v="Aucune"/>
    <x v="0"/>
  </r>
  <r>
    <x v="0"/>
    <x v="11"/>
    <x v="11"/>
    <s v="Aucune"/>
    <x v="0"/>
  </r>
  <r>
    <x v="0"/>
    <x v="12"/>
    <x v="12"/>
    <s v="Aucune"/>
    <x v="0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3">
  <r>
    <x v="0"/>
    <x v="0"/>
    <x v="0"/>
  </r>
  <r>
    <x v="0"/>
    <x v="1"/>
    <x v="1"/>
  </r>
  <r>
    <x v="0"/>
    <x v="2"/>
    <x v="2"/>
  </r>
  <r>
    <x v="0"/>
    <x v="3"/>
    <x v="3"/>
  </r>
  <r>
    <x v="0"/>
    <x v="4"/>
    <x v="4"/>
  </r>
  <r>
    <x v="0"/>
    <x v="5"/>
    <x v="5"/>
  </r>
  <r>
    <x v="0"/>
    <x v="6"/>
    <x v="6"/>
  </r>
  <r>
    <x v="0"/>
    <x v="7"/>
    <x v="7"/>
  </r>
  <r>
    <x v="0"/>
    <x v="8"/>
    <x v="8"/>
  </r>
  <r>
    <x v="0"/>
    <x v="9"/>
    <x v="9"/>
  </r>
  <r>
    <x v="0"/>
    <x v="10"/>
    <x v="10"/>
  </r>
  <r>
    <x v="0"/>
    <x v="11"/>
    <x v="11"/>
  </r>
  <r>
    <x v="0"/>
    <x v="12"/>
    <x v="12"/>
  </r>
  <r>
    <x v="0"/>
    <x v="13"/>
    <x v="13"/>
  </r>
  <r>
    <x v="0"/>
    <x v="14"/>
    <x v="14"/>
  </r>
  <r>
    <x v="0"/>
    <x v="15"/>
    <x v="15"/>
  </r>
  <r>
    <x v="0"/>
    <x v="16"/>
    <x v="16"/>
  </r>
  <r>
    <x v="0"/>
    <x v="17"/>
    <x v="17"/>
  </r>
  <r>
    <x v="0"/>
    <x v="18"/>
    <x v="18"/>
  </r>
  <r>
    <x v="0"/>
    <x v="19"/>
    <x v="19"/>
  </r>
  <r>
    <x v="0"/>
    <x v="20"/>
    <x v="20"/>
  </r>
  <r>
    <x v="0"/>
    <x v="21"/>
    <x v="21"/>
  </r>
  <r>
    <x v="0"/>
    <x v="22"/>
    <x v="22"/>
  </r>
  <r>
    <x v="0"/>
    <x v="23"/>
    <x v="23"/>
  </r>
  <r>
    <x v="0"/>
    <x v="24"/>
    <x v="23"/>
  </r>
  <r>
    <x v="0"/>
    <x v="25"/>
    <x v="24"/>
  </r>
  <r>
    <x v="0"/>
    <x v="26"/>
    <x v="25"/>
  </r>
  <r>
    <x v="0"/>
    <x v="27"/>
    <x v="26"/>
  </r>
  <r>
    <x v="0"/>
    <x v="28"/>
    <x v="27"/>
  </r>
  <r>
    <x v="0"/>
    <x v="29"/>
    <x v="28"/>
  </r>
  <r>
    <x v="0"/>
    <x v="30"/>
    <x v="29"/>
  </r>
  <r>
    <x v="0"/>
    <x v="31"/>
    <x v="30"/>
  </r>
  <r>
    <x v="0"/>
    <x v="32"/>
    <x v="31"/>
  </r>
  <r>
    <x v="0"/>
    <x v="33"/>
    <x v="32"/>
  </r>
  <r>
    <x v="0"/>
    <x v="34"/>
    <x v="33"/>
  </r>
  <r>
    <x v="0"/>
    <x v="35"/>
    <x v="34"/>
  </r>
  <r>
    <x v="0"/>
    <x v="36"/>
    <x v="35"/>
  </r>
  <r>
    <x v="0"/>
    <x v="37"/>
    <x v="36"/>
  </r>
  <r>
    <x v="0"/>
    <x v="38"/>
    <x v="37"/>
  </r>
  <r>
    <x v="0"/>
    <x v="39"/>
    <x v="38"/>
  </r>
  <r>
    <x v="0"/>
    <x v="40"/>
    <x v="39"/>
  </r>
  <r>
    <x v="0"/>
    <x v="41"/>
    <x v="40"/>
  </r>
  <r>
    <x v="0"/>
    <x v="42"/>
    <x v="41"/>
  </r>
  <r>
    <x v="0"/>
    <x v="43"/>
    <x v="42"/>
  </r>
  <r>
    <x v="0"/>
    <x v="44"/>
    <x v="43"/>
  </r>
  <r>
    <x v="0"/>
    <x v="45"/>
    <x v="44"/>
  </r>
  <r>
    <x v="0"/>
    <x v="46"/>
    <x v="45"/>
  </r>
  <r>
    <x v="0"/>
    <x v="47"/>
    <x v="46"/>
  </r>
  <r>
    <x v="0"/>
    <x v="48"/>
    <x v="47"/>
  </r>
  <r>
    <x v="0"/>
    <x v="49"/>
    <x v="48"/>
  </r>
  <r>
    <x v="0"/>
    <x v="50"/>
    <x v="49"/>
  </r>
  <r>
    <x v="0"/>
    <x v="51"/>
    <x v="50"/>
  </r>
  <r>
    <x v="0"/>
    <x v="52"/>
    <x v="51"/>
  </r>
  <r>
    <x v="0"/>
    <x v="53"/>
    <x v="52"/>
  </r>
  <r>
    <x v="0"/>
    <x v="54"/>
    <x v="53"/>
  </r>
  <r>
    <x v="0"/>
    <x v="55"/>
    <x v="54"/>
  </r>
  <r>
    <x v="0"/>
    <x v="56"/>
    <x v="55"/>
  </r>
  <r>
    <x v="0"/>
    <x v="57"/>
    <x v="56"/>
  </r>
  <r>
    <x v="0"/>
    <x v="58"/>
    <x v="57"/>
  </r>
  <r>
    <x v="0"/>
    <x v="59"/>
    <x v="58"/>
  </r>
  <r>
    <x v="0"/>
    <x v="60"/>
    <x v="59"/>
  </r>
  <r>
    <x v="0"/>
    <x v="61"/>
    <x v="60"/>
  </r>
  <r>
    <x v="0"/>
    <x v="62"/>
    <x v="61"/>
  </r>
  <r>
    <x v="0"/>
    <x v="63"/>
    <x v="62"/>
  </r>
  <r>
    <x v="0"/>
    <x v="64"/>
    <x v="63"/>
  </r>
  <r>
    <x v="0"/>
    <x v="65"/>
    <x v="64"/>
  </r>
  <r>
    <x v="0"/>
    <x v="66"/>
    <x v="65"/>
  </r>
  <r>
    <x v="0"/>
    <x v="67"/>
    <x v="66"/>
  </r>
  <r>
    <x v="0"/>
    <x v="68"/>
    <x v="67"/>
  </r>
  <r>
    <x v="0"/>
    <x v="69"/>
    <x v="68"/>
  </r>
  <r>
    <x v="0"/>
    <x v="70"/>
    <x v="69"/>
  </r>
  <r>
    <x v="0"/>
    <x v="71"/>
    <x v="70"/>
  </r>
  <r>
    <x v="0"/>
    <x v="72"/>
    <x v="71"/>
  </r>
  <r>
    <x v="0"/>
    <x v="73"/>
    <x v="72"/>
  </r>
  <r>
    <x v="0"/>
    <x v="74"/>
    <x v="73"/>
  </r>
  <r>
    <x v="0"/>
    <x v="75"/>
    <x v="74"/>
  </r>
  <r>
    <x v="0"/>
    <x v="76"/>
    <x v="75"/>
  </r>
  <r>
    <x v="0"/>
    <x v="77"/>
    <x v="76"/>
  </r>
  <r>
    <x v="0"/>
    <x v="78"/>
    <x v="77"/>
  </r>
  <r>
    <x v="0"/>
    <x v="79"/>
    <x v="78"/>
  </r>
  <r>
    <x v="0"/>
    <x v="80"/>
    <x v="79"/>
  </r>
  <r>
    <x v="0"/>
    <x v="81"/>
    <x v="80"/>
  </r>
  <r>
    <x v="0"/>
    <x v="82"/>
    <x v="81"/>
  </r>
  <r>
    <x v="0"/>
    <x v="83"/>
    <x v="82"/>
  </r>
  <r>
    <x v="0"/>
    <x v="84"/>
    <x v="83"/>
  </r>
  <r>
    <x v="0"/>
    <x v="85"/>
    <x v="84"/>
  </r>
  <r>
    <x v="0"/>
    <x v="86"/>
    <x v="85"/>
  </r>
  <r>
    <x v="0"/>
    <x v="87"/>
    <x v="86"/>
  </r>
  <r>
    <x v="0"/>
    <x v="88"/>
    <x v="87"/>
  </r>
  <r>
    <x v="0"/>
    <x v="89"/>
    <x v="88"/>
  </r>
  <r>
    <x v="0"/>
    <x v="90"/>
    <x v="89"/>
  </r>
  <r>
    <x v="0"/>
    <x v="91"/>
    <x v="90"/>
  </r>
  <r>
    <x v="0"/>
    <x v="92"/>
    <x v="91"/>
  </r>
  <r>
    <x v="0"/>
    <x v="93"/>
    <x v="92"/>
  </r>
  <r>
    <x v="0"/>
    <x v="94"/>
    <x v="93"/>
  </r>
  <r>
    <x v="0"/>
    <x v="95"/>
    <x v="94"/>
  </r>
  <r>
    <x v="0"/>
    <x v="96"/>
    <x v="95"/>
  </r>
  <r>
    <x v="0"/>
    <x v="97"/>
    <x v="96"/>
  </r>
  <r>
    <x v="0"/>
    <x v="98"/>
    <x v="97"/>
  </r>
  <r>
    <x v="0"/>
    <x v="99"/>
    <x v="98"/>
  </r>
  <r>
    <x v="0"/>
    <x v="100"/>
    <x v="99"/>
  </r>
  <r>
    <x v="0"/>
    <x v="101"/>
    <x v="100"/>
  </r>
  <r>
    <x v="0"/>
    <x v="102"/>
    <x v="101"/>
  </r>
  <r>
    <x v="0"/>
    <x v="103"/>
    <x v="102"/>
  </r>
  <r>
    <x v="0"/>
    <x v="104"/>
    <x v="103"/>
  </r>
  <r>
    <x v="0"/>
    <x v="105"/>
    <x v="104"/>
  </r>
  <r>
    <x v="0"/>
    <x v="106"/>
    <x v="105"/>
  </r>
  <r>
    <x v="0"/>
    <x v="107"/>
    <x v="106"/>
  </r>
  <r>
    <x v="0"/>
    <x v="108"/>
    <x v="107"/>
  </r>
  <r>
    <x v="0"/>
    <x v="109"/>
    <x v="108"/>
  </r>
  <r>
    <x v="0"/>
    <x v="110"/>
    <x v="109"/>
  </r>
  <r>
    <x v="0"/>
    <x v="111"/>
    <x v="110"/>
  </r>
  <r>
    <x v="0"/>
    <x v="112"/>
    <x v="111"/>
  </r>
  <r>
    <x v="0"/>
    <x v="113"/>
    <x v="112"/>
  </r>
  <r>
    <x v="0"/>
    <x v="114"/>
    <x v="113"/>
  </r>
  <r>
    <x v="0"/>
    <x v="115"/>
    <x v="114"/>
  </r>
  <r>
    <x v="0"/>
    <x v="116"/>
    <x v="115"/>
  </r>
  <r>
    <x v="0"/>
    <x v="117"/>
    <x v="116"/>
  </r>
  <r>
    <x v="0"/>
    <x v="118"/>
    <x v="117"/>
  </r>
  <r>
    <x v="0"/>
    <x v="119"/>
    <x v="118"/>
  </r>
  <r>
    <x v="0"/>
    <x v="120"/>
    <x v="119"/>
  </r>
  <r>
    <x v="0"/>
    <x v="121"/>
    <x v="120"/>
  </r>
  <r>
    <x v="0"/>
    <x v="122"/>
    <x v="121"/>
  </r>
  <r>
    <x v="0"/>
    <x v="123"/>
    <x v="122"/>
  </r>
  <r>
    <x v="0"/>
    <x v="124"/>
    <x v="123"/>
  </r>
  <r>
    <x v="0"/>
    <x v="125"/>
    <x v="124"/>
  </r>
  <r>
    <x v="0"/>
    <x v="126"/>
    <x v="125"/>
  </r>
  <r>
    <x v="0"/>
    <x v="127"/>
    <x v="126"/>
  </r>
  <r>
    <x v="0"/>
    <x v="128"/>
    <x v="127"/>
  </r>
  <r>
    <x v="0"/>
    <x v="129"/>
    <x v="128"/>
  </r>
  <r>
    <x v="0"/>
    <x v="130"/>
    <x v="129"/>
  </r>
  <r>
    <x v="0"/>
    <x v="131"/>
    <x v="130"/>
  </r>
  <r>
    <x v="0"/>
    <x v="132"/>
    <x v="131"/>
  </r>
  <r>
    <x v="0"/>
    <x v="133"/>
    <x v="44"/>
  </r>
  <r>
    <x v="0"/>
    <x v="134"/>
    <x v="132"/>
  </r>
  <r>
    <x v="0"/>
    <x v="135"/>
    <x v="133"/>
  </r>
  <r>
    <x v="0"/>
    <x v="136"/>
    <x v="134"/>
  </r>
  <r>
    <x v="0"/>
    <x v="137"/>
    <x v="135"/>
  </r>
  <r>
    <x v="0"/>
    <x v="138"/>
    <x v="136"/>
  </r>
  <r>
    <x v="0"/>
    <x v="139"/>
    <x v="137"/>
  </r>
  <r>
    <x v="0"/>
    <x v="140"/>
    <x v="138"/>
  </r>
  <r>
    <x v="0"/>
    <x v="141"/>
    <x v="139"/>
  </r>
  <r>
    <x v="0"/>
    <x v="142"/>
    <x v="140"/>
  </r>
  <r>
    <x v="0"/>
    <x v="143"/>
    <x v="141"/>
  </r>
  <r>
    <x v="0"/>
    <x v="144"/>
    <x v="142"/>
  </r>
  <r>
    <x v="0"/>
    <x v="145"/>
    <x v="143"/>
  </r>
  <r>
    <x v="0"/>
    <x v="146"/>
    <x v="144"/>
  </r>
  <r>
    <x v="0"/>
    <x v="147"/>
    <x v="145"/>
  </r>
  <r>
    <x v="0"/>
    <x v="148"/>
    <x v="146"/>
  </r>
  <r>
    <x v="0"/>
    <x v="149"/>
    <x v="147"/>
  </r>
  <r>
    <x v="0"/>
    <x v="150"/>
    <x v="148"/>
  </r>
  <r>
    <x v="0"/>
    <x v="151"/>
    <x v="149"/>
  </r>
  <r>
    <x v="0"/>
    <x v="152"/>
    <x v="150"/>
  </r>
  <r>
    <x v="0"/>
    <x v="153"/>
    <x v="151"/>
  </r>
  <r>
    <x v="0"/>
    <x v="154"/>
    <x v="152"/>
  </r>
  <r>
    <x v="0"/>
    <x v="155"/>
    <x v="153"/>
  </r>
  <r>
    <x v="0"/>
    <x v="156"/>
    <x v="154"/>
  </r>
  <r>
    <x v="0"/>
    <x v="157"/>
    <x v="155"/>
  </r>
  <r>
    <x v="0"/>
    <x v="158"/>
    <x v="156"/>
  </r>
  <r>
    <x v="0"/>
    <x v="159"/>
    <x v="157"/>
  </r>
  <r>
    <x v="0"/>
    <x v="160"/>
    <x v="158"/>
  </r>
  <r>
    <x v="0"/>
    <x v="161"/>
    <x v="159"/>
  </r>
  <r>
    <x v="0"/>
    <x v="162"/>
    <x v="160"/>
  </r>
  <r>
    <x v="0"/>
    <x v="163"/>
    <x v="161"/>
  </r>
  <r>
    <x v="0"/>
    <x v="164"/>
    <x v="162"/>
  </r>
  <r>
    <x v="0"/>
    <x v="165"/>
    <x v="163"/>
  </r>
  <r>
    <x v="0"/>
    <x v="166"/>
    <x v="164"/>
  </r>
  <r>
    <x v="0"/>
    <x v="167"/>
    <x v="165"/>
  </r>
  <r>
    <x v="0"/>
    <x v="168"/>
    <x v="166"/>
  </r>
  <r>
    <x v="0"/>
    <x v="169"/>
    <x v="167"/>
  </r>
  <r>
    <x v="0"/>
    <x v="170"/>
    <x v="168"/>
  </r>
  <r>
    <x v="0"/>
    <x v="171"/>
    <x v="169"/>
  </r>
  <r>
    <x v="0"/>
    <x v="172"/>
    <x v="170"/>
  </r>
  <r>
    <x v="0"/>
    <x v="173"/>
    <x v="171"/>
  </r>
  <r>
    <x v="0"/>
    <x v="174"/>
    <x v="172"/>
  </r>
  <r>
    <x v="0"/>
    <x v="175"/>
    <x v="173"/>
  </r>
  <r>
    <x v="0"/>
    <x v="176"/>
    <x v="174"/>
  </r>
  <r>
    <x v="0"/>
    <x v="177"/>
    <x v="175"/>
  </r>
  <r>
    <x v="0"/>
    <x v="178"/>
    <x v="176"/>
  </r>
  <r>
    <x v="0"/>
    <x v="179"/>
    <x v="177"/>
  </r>
  <r>
    <x v="0"/>
    <x v="180"/>
    <x v="178"/>
  </r>
  <r>
    <x v="0"/>
    <x v="181"/>
    <x v="179"/>
  </r>
  <r>
    <x v="0"/>
    <x v="182"/>
    <x v="180"/>
  </r>
  <r>
    <x v="0"/>
    <x v="183"/>
    <x v="181"/>
  </r>
  <r>
    <x v="0"/>
    <x v="184"/>
    <x v="182"/>
  </r>
  <r>
    <x v="0"/>
    <x v="185"/>
    <x v="183"/>
  </r>
  <r>
    <x v="0"/>
    <x v="186"/>
    <x v="184"/>
  </r>
  <r>
    <x v="0"/>
    <x v="187"/>
    <x v="185"/>
  </r>
  <r>
    <x v="0"/>
    <x v="188"/>
    <x v="186"/>
  </r>
  <r>
    <x v="0"/>
    <x v="189"/>
    <x v="187"/>
  </r>
  <r>
    <x v="0"/>
    <x v="190"/>
    <x v="188"/>
  </r>
  <r>
    <x v="0"/>
    <x v="191"/>
    <x v="189"/>
  </r>
  <r>
    <x v="0"/>
    <x v="192"/>
    <x v="190"/>
  </r>
  <r>
    <x v="0"/>
    <x v="193"/>
    <x v="191"/>
  </r>
  <r>
    <x v="0"/>
    <x v="194"/>
    <x v="192"/>
  </r>
  <r>
    <x v="0"/>
    <x v="195"/>
    <x v="193"/>
  </r>
  <r>
    <x v="0"/>
    <x v="196"/>
    <x v="194"/>
  </r>
  <r>
    <x v="0"/>
    <x v="197"/>
    <x v="195"/>
  </r>
  <r>
    <x v="0"/>
    <x v="198"/>
    <x v="196"/>
  </r>
  <r>
    <x v="0"/>
    <x v="199"/>
    <x v="197"/>
  </r>
  <r>
    <x v="0"/>
    <x v="200"/>
    <x v="198"/>
  </r>
  <r>
    <x v="0"/>
    <x v="201"/>
    <x v="199"/>
  </r>
  <r>
    <x v="0"/>
    <x v="202"/>
    <x v="200"/>
  </r>
  <r>
    <x v="0"/>
    <x v="203"/>
    <x v="201"/>
  </r>
  <r>
    <x v="0"/>
    <x v="204"/>
    <x v="202"/>
  </r>
  <r>
    <x v="0"/>
    <x v="205"/>
    <x v="203"/>
  </r>
  <r>
    <x v="0"/>
    <x v="206"/>
    <x v="204"/>
  </r>
  <r>
    <x v="0"/>
    <x v="207"/>
    <x v="205"/>
  </r>
  <r>
    <x v="0"/>
    <x v="208"/>
    <x v="206"/>
  </r>
  <r>
    <x v="0"/>
    <x v="209"/>
    <x v="207"/>
  </r>
  <r>
    <x v="0"/>
    <x v="210"/>
    <x v="208"/>
  </r>
  <r>
    <x v="0"/>
    <x v="211"/>
    <x v="209"/>
  </r>
  <r>
    <x v="0"/>
    <x v="212"/>
    <x v="210"/>
  </r>
  <r>
    <x v="0"/>
    <x v="213"/>
    <x v="211"/>
  </r>
  <r>
    <x v="0"/>
    <x v="214"/>
    <x v="212"/>
  </r>
  <r>
    <x v="0"/>
    <x v="215"/>
    <x v="213"/>
  </r>
  <r>
    <x v="0"/>
    <x v="216"/>
    <x v="214"/>
  </r>
  <r>
    <x v="0"/>
    <x v="217"/>
    <x v="215"/>
  </r>
  <r>
    <x v="0"/>
    <x v="218"/>
    <x v="216"/>
  </r>
  <r>
    <x v="0"/>
    <x v="219"/>
    <x v="217"/>
  </r>
  <r>
    <x v="0"/>
    <x v="220"/>
    <x v="218"/>
  </r>
  <r>
    <x v="0"/>
    <x v="221"/>
    <x v="219"/>
  </r>
  <r>
    <x v="0"/>
    <x v="222"/>
    <x v="220"/>
  </r>
  <r>
    <x v="0"/>
    <x v="223"/>
    <x v="217"/>
  </r>
  <r>
    <x v="0"/>
    <x v="224"/>
    <x v="221"/>
  </r>
  <r>
    <x v="0"/>
    <x v="225"/>
    <x v="222"/>
  </r>
  <r>
    <x v="0"/>
    <x v="226"/>
    <x v="223"/>
  </r>
  <r>
    <x v="0"/>
    <x v="227"/>
    <x v="224"/>
  </r>
  <r>
    <x v="0"/>
    <x v="228"/>
    <x v="225"/>
  </r>
  <r>
    <x v="0"/>
    <x v="229"/>
    <x v="226"/>
  </r>
  <r>
    <x v="0"/>
    <x v="230"/>
    <x v="227"/>
  </r>
  <r>
    <x v="0"/>
    <x v="231"/>
    <x v="228"/>
  </r>
  <r>
    <x v="0"/>
    <x v="232"/>
    <x v="229"/>
  </r>
  <r>
    <x v="0"/>
    <x v="233"/>
    <x v="230"/>
  </r>
  <r>
    <x v="0"/>
    <x v="234"/>
    <x v="231"/>
  </r>
  <r>
    <x v="0"/>
    <x v="235"/>
    <x v="232"/>
  </r>
  <r>
    <x v="0"/>
    <x v="236"/>
    <x v="233"/>
  </r>
  <r>
    <x v="0"/>
    <x v="237"/>
    <x v="234"/>
  </r>
  <r>
    <x v="0"/>
    <x v="238"/>
    <x v="235"/>
  </r>
  <r>
    <x v="0"/>
    <x v="239"/>
    <x v="236"/>
  </r>
  <r>
    <x v="0"/>
    <x v="240"/>
    <x v="237"/>
  </r>
  <r>
    <x v="0"/>
    <x v="241"/>
    <x v="238"/>
  </r>
  <r>
    <x v="0"/>
    <x v="242"/>
    <x v="239"/>
  </r>
  <r>
    <x v="0"/>
    <x v="243"/>
    <x v="240"/>
  </r>
  <r>
    <x v="0"/>
    <x v="244"/>
    <x v="241"/>
  </r>
  <r>
    <x v="0"/>
    <x v="245"/>
    <x v="242"/>
  </r>
  <r>
    <x v="0"/>
    <x v="246"/>
    <x v="243"/>
  </r>
  <r>
    <x v="0"/>
    <x v="247"/>
    <x v="244"/>
  </r>
  <r>
    <x v="0"/>
    <x v="248"/>
    <x v="245"/>
  </r>
  <r>
    <x v="0"/>
    <x v="249"/>
    <x v="246"/>
  </r>
  <r>
    <x v="0"/>
    <x v="250"/>
    <x v="247"/>
  </r>
  <r>
    <x v="0"/>
    <x v="251"/>
    <x v="248"/>
  </r>
  <r>
    <x v="0"/>
    <x v="252"/>
    <x v="249"/>
  </r>
  <r>
    <x v="0"/>
    <x v="253"/>
    <x v="250"/>
  </r>
  <r>
    <x v="0"/>
    <x v="254"/>
    <x v="251"/>
  </r>
  <r>
    <x v="0"/>
    <x v="255"/>
    <x v="252"/>
  </r>
  <r>
    <x v="0"/>
    <x v="256"/>
    <x v="253"/>
  </r>
  <r>
    <x v="0"/>
    <x v="257"/>
    <x v="254"/>
  </r>
  <r>
    <x v="0"/>
    <x v="258"/>
    <x v="255"/>
  </r>
  <r>
    <x v="0"/>
    <x v="259"/>
    <x v="256"/>
  </r>
  <r>
    <x v="0"/>
    <x v="260"/>
    <x v="257"/>
  </r>
  <r>
    <x v="0"/>
    <x v="261"/>
    <x v="258"/>
  </r>
  <r>
    <x v="0"/>
    <x v="262"/>
    <x v="259"/>
  </r>
  <r>
    <x v="0"/>
    <x v="263"/>
    <x v="260"/>
  </r>
  <r>
    <x v="0"/>
    <x v="264"/>
    <x v="261"/>
  </r>
  <r>
    <x v="0"/>
    <x v="265"/>
    <x v="262"/>
  </r>
  <r>
    <x v="0"/>
    <x v="266"/>
    <x v="263"/>
  </r>
  <r>
    <x v="0"/>
    <x v="267"/>
    <x v="264"/>
  </r>
  <r>
    <x v="0"/>
    <x v="268"/>
    <x v="265"/>
  </r>
  <r>
    <x v="0"/>
    <x v="269"/>
    <x v="266"/>
  </r>
  <r>
    <x v="0"/>
    <x v="270"/>
    <x v="267"/>
  </r>
  <r>
    <x v="0"/>
    <x v="271"/>
    <x v="268"/>
  </r>
  <r>
    <x v="0"/>
    <x v="272"/>
    <x v="269"/>
  </r>
  <r>
    <x v="0"/>
    <x v="273"/>
    <x v="270"/>
  </r>
  <r>
    <x v="0"/>
    <x v="274"/>
    <x v="271"/>
  </r>
  <r>
    <x v="0"/>
    <x v="275"/>
    <x v="272"/>
  </r>
  <r>
    <x v="0"/>
    <x v="276"/>
    <x v="273"/>
  </r>
  <r>
    <x v="0"/>
    <x v="277"/>
    <x v="274"/>
  </r>
  <r>
    <x v="0"/>
    <x v="278"/>
    <x v="275"/>
  </r>
  <r>
    <x v="0"/>
    <x v="279"/>
    <x v="276"/>
  </r>
  <r>
    <x v="0"/>
    <x v="280"/>
    <x v="277"/>
  </r>
  <r>
    <x v="0"/>
    <x v="281"/>
    <x v="278"/>
  </r>
  <r>
    <x v="0"/>
    <x v="282"/>
    <x v="279"/>
  </r>
  <r>
    <x v="0"/>
    <x v="283"/>
    <x v="280"/>
  </r>
  <r>
    <x v="0"/>
    <x v="284"/>
    <x v="281"/>
  </r>
  <r>
    <x v="0"/>
    <x v="285"/>
    <x v="282"/>
  </r>
  <r>
    <x v="0"/>
    <x v="286"/>
    <x v="283"/>
  </r>
  <r>
    <x v="0"/>
    <x v="287"/>
    <x v="284"/>
  </r>
  <r>
    <x v="0"/>
    <x v="288"/>
    <x v="285"/>
  </r>
  <r>
    <x v="0"/>
    <x v="289"/>
    <x v="286"/>
  </r>
  <r>
    <x v="0"/>
    <x v="290"/>
    <x v="287"/>
  </r>
  <r>
    <x v="0"/>
    <x v="291"/>
    <x v="288"/>
  </r>
  <r>
    <x v="0"/>
    <x v="292"/>
    <x v="289"/>
  </r>
  <r>
    <x v="0"/>
    <x v="293"/>
    <x v="290"/>
  </r>
  <r>
    <x v="0"/>
    <x v="294"/>
    <x v="291"/>
  </r>
  <r>
    <x v="0"/>
    <x v="295"/>
    <x v="292"/>
  </r>
  <r>
    <x v="0"/>
    <x v="296"/>
    <x v="293"/>
  </r>
  <r>
    <x v="0"/>
    <x v="297"/>
    <x v="294"/>
  </r>
  <r>
    <x v="0"/>
    <x v="298"/>
    <x v="295"/>
  </r>
  <r>
    <x v="0"/>
    <x v="299"/>
    <x v="296"/>
  </r>
  <r>
    <x v="0"/>
    <x v="300"/>
    <x v="297"/>
  </r>
  <r>
    <x v="0"/>
    <x v="301"/>
    <x v="298"/>
  </r>
  <r>
    <x v="0"/>
    <x v="302"/>
    <x v="299"/>
  </r>
  <r>
    <x v="0"/>
    <x v="303"/>
    <x v="300"/>
  </r>
  <r>
    <x v="0"/>
    <x v="304"/>
    <x v="301"/>
  </r>
  <r>
    <x v="0"/>
    <x v="305"/>
    <x v="302"/>
  </r>
  <r>
    <x v="0"/>
    <x v="306"/>
    <x v="303"/>
  </r>
  <r>
    <x v="0"/>
    <x v="307"/>
    <x v="304"/>
  </r>
  <r>
    <x v="0"/>
    <x v="308"/>
    <x v="305"/>
  </r>
  <r>
    <x v="0"/>
    <x v="309"/>
    <x v="306"/>
  </r>
  <r>
    <x v="0"/>
    <x v="310"/>
    <x v="307"/>
  </r>
  <r>
    <x v="0"/>
    <x v="311"/>
    <x v="308"/>
  </r>
  <r>
    <x v="0"/>
    <x v="312"/>
    <x v="309"/>
  </r>
  <r>
    <x v="0"/>
    <x v="313"/>
    <x v="310"/>
  </r>
  <r>
    <x v="0"/>
    <x v="314"/>
    <x v="311"/>
  </r>
  <r>
    <x v="0"/>
    <x v="315"/>
    <x v="312"/>
  </r>
  <r>
    <x v="0"/>
    <x v="316"/>
    <x v="313"/>
  </r>
  <r>
    <x v="0"/>
    <x v="317"/>
    <x v="314"/>
  </r>
  <r>
    <x v="0"/>
    <x v="318"/>
    <x v="315"/>
  </r>
  <r>
    <x v="0"/>
    <x v="319"/>
    <x v="316"/>
  </r>
  <r>
    <x v="0"/>
    <x v="320"/>
    <x v="317"/>
  </r>
  <r>
    <x v="0"/>
    <x v="321"/>
    <x v="318"/>
  </r>
  <r>
    <x v="0"/>
    <x v="322"/>
    <x v="319"/>
  </r>
  <r>
    <x v="0"/>
    <x v="323"/>
    <x v="320"/>
  </r>
  <r>
    <x v="0"/>
    <x v="324"/>
    <x v="321"/>
  </r>
  <r>
    <x v="0"/>
    <x v="325"/>
    <x v="322"/>
  </r>
  <r>
    <x v="0"/>
    <x v="326"/>
    <x v="323"/>
  </r>
  <r>
    <x v="0"/>
    <x v="327"/>
    <x v="324"/>
  </r>
  <r>
    <x v="0"/>
    <x v="328"/>
    <x v="325"/>
  </r>
  <r>
    <x v="0"/>
    <x v="329"/>
    <x v="326"/>
  </r>
  <r>
    <x v="0"/>
    <x v="330"/>
    <x v="327"/>
  </r>
  <r>
    <x v="0"/>
    <x v="331"/>
    <x v="328"/>
  </r>
  <r>
    <x v="0"/>
    <x v="332"/>
    <x v="329"/>
  </r>
  <r>
    <x v="0"/>
    <x v="333"/>
    <x v="135"/>
  </r>
  <r>
    <x v="0"/>
    <x v="334"/>
    <x v="330"/>
  </r>
  <r>
    <x v="0"/>
    <x v="335"/>
    <x v="331"/>
  </r>
  <r>
    <x v="0"/>
    <x v="336"/>
    <x v="332"/>
  </r>
  <r>
    <x v="0"/>
    <x v="337"/>
    <x v="333"/>
  </r>
  <r>
    <x v="0"/>
    <x v="338"/>
    <x v="334"/>
  </r>
  <r>
    <x v="0"/>
    <x v="339"/>
    <x v="335"/>
  </r>
  <r>
    <x v="0"/>
    <x v="340"/>
    <x v="336"/>
  </r>
  <r>
    <x v="0"/>
    <x v="341"/>
    <x v="337"/>
  </r>
  <r>
    <x v="0"/>
    <x v="342"/>
    <x v="338"/>
  </r>
  <r>
    <x v="0"/>
    <x v="343"/>
    <x v="339"/>
  </r>
  <r>
    <x v="0"/>
    <x v="344"/>
    <x v="340"/>
  </r>
  <r>
    <x v="0"/>
    <x v="345"/>
    <x v="341"/>
  </r>
  <r>
    <x v="0"/>
    <x v="346"/>
    <x v="342"/>
  </r>
  <r>
    <x v="0"/>
    <x v="347"/>
    <x v="343"/>
  </r>
  <r>
    <x v="0"/>
    <x v="348"/>
    <x v="344"/>
  </r>
  <r>
    <x v="0"/>
    <x v="349"/>
    <x v="345"/>
  </r>
  <r>
    <x v="0"/>
    <x v="350"/>
    <x v="346"/>
  </r>
  <r>
    <x v="0"/>
    <x v="351"/>
    <x v="347"/>
  </r>
  <r>
    <x v="0"/>
    <x v="352"/>
    <x v="348"/>
  </r>
  <r>
    <x v="0"/>
    <x v="353"/>
    <x v="349"/>
  </r>
  <r>
    <x v="0"/>
    <x v="354"/>
    <x v="350"/>
  </r>
  <r>
    <x v="0"/>
    <x v="355"/>
    <x v="351"/>
  </r>
  <r>
    <x v="0"/>
    <x v="356"/>
    <x v="352"/>
  </r>
  <r>
    <x v="0"/>
    <x v="357"/>
    <x v="353"/>
  </r>
  <r>
    <x v="0"/>
    <x v="358"/>
    <x v="354"/>
  </r>
  <r>
    <x v="0"/>
    <x v="359"/>
    <x v="355"/>
  </r>
  <r>
    <x v="0"/>
    <x v="360"/>
    <x v="356"/>
  </r>
  <r>
    <x v="0"/>
    <x v="361"/>
    <x v="357"/>
  </r>
  <r>
    <x v="0"/>
    <x v="362"/>
    <x v="358"/>
  </r>
  <r>
    <x v="0"/>
    <x v="363"/>
    <x v="359"/>
  </r>
  <r>
    <x v="0"/>
    <x v="364"/>
    <x v="360"/>
  </r>
  <r>
    <x v="0"/>
    <x v="365"/>
    <x v="361"/>
  </r>
  <r>
    <x v="0"/>
    <x v="366"/>
    <x v="362"/>
  </r>
  <r>
    <x v="0"/>
    <x v="367"/>
    <x v="363"/>
  </r>
  <r>
    <x v="0"/>
    <x v="368"/>
    <x v="364"/>
  </r>
  <r>
    <x v="0"/>
    <x v="369"/>
    <x v="365"/>
  </r>
  <r>
    <x v="0"/>
    <x v="370"/>
    <x v="366"/>
  </r>
  <r>
    <x v="0"/>
    <x v="371"/>
    <x v="367"/>
  </r>
  <r>
    <x v="0"/>
    <x v="372"/>
    <x v="368"/>
  </r>
  <r>
    <x v="0"/>
    <x v="373"/>
    <x v="369"/>
  </r>
  <r>
    <x v="0"/>
    <x v="374"/>
    <x v="370"/>
  </r>
  <r>
    <x v="0"/>
    <x v="375"/>
    <x v="371"/>
  </r>
  <r>
    <x v="0"/>
    <x v="376"/>
    <x v="372"/>
  </r>
  <r>
    <x v="0"/>
    <x v="377"/>
    <x v="373"/>
  </r>
  <r>
    <x v="0"/>
    <x v="378"/>
    <x v="374"/>
  </r>
  <r>
    <x v="0"/>
    <x v="379"/>
    <x v="375"/>
  </r>
  <r>
    <x v="0"/>
    <x v="380"/>
    <x v="376"/>
  </r>
  <r>
    <x v="0"/>
    <x v="381"/>
    <x v="377"/>
  </r>
  <r>
    <x v="0"/>
    <x v="382"/>
    <x v="378"/>
  </r>
  <r>
    <x v="0"/>
    <x v="383"/>
    <x v="379"/>
  </r>
  <r>
    <x v="0"/>
    <x v="384"/>
    <x v="380"/>
  </r>
  <r>
    <x v="0"/>
    <x v="385"/>
    <x v="381"/>
  </r>
  <r>
    <x v="0"/>
    <x v="386"/>
    <x v="382"/>
  </r>
  <r>
    <x v="0"/>
    <x v="387"/>
    <x v="383"/>
  </r>
  <r>
    <x v="0"/>
    <x v="388"/>
    <x v="384"/>
  </r>
  <r>
    <x v="0"/>
    <x v="389"/>
    <x v="385"/>
  </r>
  <r>
    <x v="0"/>
    <x v="390"/>
    <x v="386"/>
  </r>
  <r>
    <x v="0"/>
    <x v="391"/>
    <x v="387"/>
  </r>
  <r>
    <x v="0"/>
    <x v="392"/>
    <x v="388"/>
  </r>
  <r>
    <x v="0"/>
    <x v="393"/>
    <x v="389"/>
  </r>
  <r>
    <x v="0"/>
    <x v="394"/>
    <x v="390"/>
  </r>
  <r>
    <x v="0"/>
    <x v="395"/>
    <x v="391"/>
  </r>
  <r>
    <x v="0"/>
    <x v="396"/>
    <x v="392"/>
  </r>
  <r>
    <x v="0"/>
    <x v="397"/>
    <x v="393"/>
  </r>
  <r>
    <x v="0"/>
    <x v="398"/>
    <x v="394"/>
  </r>
  <r>
    <x v="0"/>
    <x v="399"/>
    <x v="395"/>
  </r>
  <r>
    <x v="0"/>
    <x v="400"/>
    <x v="396"/>
  </r>
  <r>
    <x v="0"/>
    <x v="401"/>
    <x v="397"/>
  </r>
  <r>
    <x v="0"/>
    <x v="402"/>
    <x v="398"/>
  </r>
  <r>
    <x v="0"/>
    <x v="403"/>
    <x v="399"/>
  </r>
  <r>
    <x v="0"/>
    <x v="404"/>
    <x v="400"/>
  </r>
  <r>
    <x v="0"/>
    <x v="405"/>
    <x v="401"/>
  </r>
  <r>
    <x v="0"/>
    <x v="406"/>
    <x v="402"/>
  </r>
  <r>
    <x v="0"/>
    <x v="407"/>
    <x v="403"/>
  </r>
  <r>
    <x v="0"/>
    <x v="408"/>
    <x v="404"/>
  </r>
  <r>
    <x v="0"/>
    <x v="409"/>
    <x v="405"/>
  </r>
  <r>
    <x v="0"/>
    <x v="410"/>
    <x v="406"/>
  </r>
  <r>
    <x v="0"/>
    <x v="411"/>
    <x v="407"/>
  </r>
  <r>
    <x v="0"/>
    <x v="412"/>
    <x v="408"/>
  </r>
  <r>
    <x v="0"/>
    <x v="413"/>
    <x v="409"/>
  </r>
  <r>
    <x v="0"/>
    <x v="414"/>
    <x v="410"/>
  </r>
  <r>
    <x v="0"/>
    <x v="415"/>
    <x v="411"/>
  </r>
  <r>
    <x v="0"/>
    <x v="416"/>
    <x v="412"/>
  </r>
  <r>
    <x v="0"/>
    <x v="417"/>
    <x v="413"/>
  </r>
  <r>
    <x v="0"/>
    <x v="418"/>
    <x v="414"/>
  </r>
  <r>
    <x v="0"/>
    <x v="419"/>
    <x v="415"/>
  </r>
  <r>
    <x v="0"/>
    <x v="420"/>
    <x v="416"/>
  </r>
  <r>
    <x v="0"/>
    <x v="421"/>
    <x v="417"/>
  </r>
  <r>
    <x v="0"/>
    <x v="422"/>
    <x v="418"/>
  </r>
  <r>
    <x v="0"/>
    <x v="423"/>
    <x v="419"/>
  </r>
  <r>
    <x v="0"/>
    <x v="424"/>
    <x v="420"/>
  </r>
  <r>
    <x v="0"/>
    <x v="425"/>
    <x v="421"/>
  </r>
  <r>
    <x v="0"/>
    <x v="426"/>
    <x v="422"/>
  </r>
  <r>
    <x v="0"/>
    <x v="427"/>
    <x v="423"/>
  </r>
  <r>
    <x v="0"/>
    <x v="428"/>
    <x v="424"/>
  </r>
  <r>
    <x v="0"/>
    <x v="429"/>
    <x v="425"/>
  </r>
  <r>
    <x v="0"/>
    <x v="430"/>
    <x v="426"/>
  </r>
  <r>
    <x v="0"/>
    <x v="431"/>
    <x v="427"/>
  </r>
  <r>
    <x v="0"/>
    <x v="432"/>
    <x v="428"/>
  </r>
  <r>
    <x v="0"/>
    <x v="433"/>
    <x v="429"/>
  </r>
  <r>
    <x v="0"/>
    <x v="434"/>
    <x v="430"/>
  </r>
  <r>
    <x v="0"/>
    <x v="435"/>
    <x v="431"/>
  </r>
  <r>
    <x v="0"/>
    <x v="436"/>
    <x v="432"/>
  </r>
  <r>
    <x v="0"/>
    <x v="437"/>
    <x v="433"/>
  </r>
  <r>
    <x v="0"/>
    <x v="438"/>
    <x v="434"/>
  </r>
  <r>
    <x v="0"/>
    <x v="439"/>
    <x v="435"/>
  </r>
  <r>
    <x v="0"/>
    <x v="440"/>
    <x v="436"/>
  </r>
  <r>
    <x v="0"/>
    <x v="441"/>
    <x v="437"/>
  </r>
  <r>
    <x v="0"/>
    <x v="442"/>
    <x v="438"/>
  </r>
  <r>
    <x v="0"/>
    <x v="443"/>
    <x v="439"/>
  </r>
  <r>
    <x v="0"/>
    <x v="444"/>
    <x v="440"/>
  </r>
  <r>
    <x v="0"/>
    <x v="445"/>
    <x v="441"/>
  </r>
  <r>
    <x v="0"/>
    <x v="446"/>
    <x v="442"/>
  </r>
  <r>
    <x v="0"/>
    <x v="447"/>
    <x v="443"/>
  </r>
  <r>
    <x v="0"/>
    <x v="448"/>
    <x v="444"/>
  </r>
  <r>
    <x v="0"/>
    <x v="449"/>
    <x v="445"/>
  </r>
  <r>
    <x v="0"/>
    <x v="450"/>
    <x v="446"/>
  </r>
  <r>
    <x v="0"/>
    <x v="451"/>
    <x v="447"/>
  </r>
  <r>
    <x v="0"/>
    <x v="452"/>
    <x v="447"/>
  </r>
  <r>
    <x v="0"/>
    <x v="453"/>
    <x v="448"/>
  </r>
  <r>
    <x v="0"/>
    <x v="454"/>
    <x v="449"/>
  </r>
  <r>
    <x v="0"/>
    <x v="455"/>
    <x v="450"/>
  </r>
  <r>
    <x v="0"/>
    <x v="456"/>
    <x v="451"/>
  </r>
  <r>
    <x v="0"/>
    <x v="457"/>
    <x v="452"/>
  </r>
  <r>
    <x v="0"/>
    <x v="458"/>
    <x v="453"/>
  </r>
  <r>
    <x v="0"/>
    <x v="459"/>
    <x v="454"/>
  </r>
  <r>
    <x v="0"/>
    <x v="460"/>
    <x v="455"/>
  </r>
  <r>
    <x v="0"/>
    <x v="461"/>
    <x v="456"/>
  </r>
  <r>
    <x v="0"/>
    <x v="462"/>
    <x v="457"/>
  </r>
  <r>
    <x v="0"/>
    <x v="463"/>
    <x v="458"/>
  </r>
  <r>
    <x v="0"/>
    <x v="464"/>
    <x v="459"/>
  </r>
  <r>
    <x v="0"/>
    <x v="465"/>
    <x v="460"/>
  </r>
  <r>
    <x v="0"/>
    <x v="466"/>
    <x v="456"/>
  </r>
  <r>
    <x v="0"/>
    <x v="467"/>
    <x v="461"/>
  </r>
  <r>
    <x v="0"/>
    <x v="468"/>
    <x v="462"/>
  </r>
  <r>
    <x v="0"/>
    <x v="469"/>
    <x v="463"/>
  </r>
  <r>
    <x v="0"/>
    <x v="470"/>
    <x v="464"/>
  </r>
  <r>
    <x v="0"/>
    <x v="471"/>
    <x v="465"/>
  </r>
  <r>
    <x v="0"/>
    <x v="472"/>
    <x v="466"/>
  </r>
  <r>
    <x v="0"/>
    <x v="473"/>
    <x v="467"/>
  </r>
  <r>
    <x v="0"/>
    <x v="474"/>
    <x v="468"/>
  </r>
  <r>
    <x v="0"/>
    <x v="475"/>
    <x v="469"/>
  </r>
  <r>
    <x v="0"/>
    <x v="476"/>
    <x v="470"/>
  </r>
  <r>
    <x v="0"/>
    <x v="477"/>
    <x v="471"/>
  </r>
  <r>
    <x v="0"/>
    <x v="478"/>
    <x v="472"/>
  </r>
  <r>
    <x v="0"/>
    <x v="479"/>
    <x v="473"/>
  </r>
  <r>
    <x v="0"/>
    <x v="480"/>
    <x v="474"/>
  </r>
  <r>
    <x v="0"/>
    <x v="481"/>
    <x v="475"/>
  </r>
  <r>
    <x v="0"/>
    <x v="482"/>
    <x v="476"/>
  </r>
  <r>
    <x v="0"/>
    <x v="483"/>
    <x v="477"/>
  </r>
  <r>
    <x v="0"/>
    <x v="484"/>
    <x v="478"/>
  </r>
  <r>
    <x v="0"/>
    <x v="485"/>
    <x v="479"/>
  </r>
  <r>
    <x v="0"/>
    <x v="486"/>
    <x v="480"/>
  </r>
  <r>
    <x v="0"/>
    <x v="487"/>
    <x v="481"/>
  </r>
  <r>
    <x v="0"/>
    <x v="488"/>
    <x v="482"/>
  </r>
  <r>
    <x v="0"/>
    <x v="489"/>
    <x v="483"/>
  </r>
  <r>
    <x v="0"/>
    <x v="490"/>
    <x v="484"/>
  </r>
  <r>
    <x v="0"/>
    <x v="491"/>
    <x v="485"/>
  </r>
  <r>
    <x v="0"/>
    <x v="492"/>
    <x v="486"/>
  </r>
  <r>
    <x v="0"/>
    <x v="493"/>
    <x v="487"/>
  </r>
  <r>
    <x v="0"/>
    <x v="494"/>
    <x v="488"/>
  </r>
  <r>
    <x v="0"/>
    <x v="495"/>
    <x v="489"/>
  </r>
  <r>
    <x v="0"/>
    <x v="496"/>
    <x v="490"/>
  </r>
  <r>
    <x v="0"/>
    <x v="497"/>
    <x v="491"/>
  </r>
  <r>
    <x v="0"/>
    <x v="498"/>
    <x v="492"/>
  </r>
  <r>
    <x v="0"/>
    <x v="499"/>
    <x v="477"/>
  </r>
  <r>
    <x v="0"/>
    <x v="500"/>
    <x v="493"/>
  </r>
  <r>
    <x v="0"/>
    <x v="501"/>
    <x v="494"/>
  </r>
  <r>
    <x v="0"/>
    <x v="502"/>
    <x v="495"/>
  </r>
  <r>
    <x v="0"/>
    <x v="503"/>
    <x v="496"/>
  </r>
  <r>
    <x v="0"/>
    <x v="504"/>
    <x v="497"/>
  </r>
  <r>
    <x v="0"/>
    <x v="505"/>
    <x v="498"/>
  </r>
  <r>
    <x v="0"/>
    <x v="506"/>
    <x v="499"/>
  </r>
  <r>
    <x v="0"/>
    <x v="507"/>
    <x v="500"/>
  </r>
  <r>
    <x v="0"/>
    <x v="508"/>
    <x v="501"/>
  </r>
  <r>
    <x v="0"/>
    <x v="509"/>
    <x v="502"/>
  </r>
  <r>
    <x v="0"/>
    <x v="510"/>
    <x v="503"/>
  </r>
  <r>
    <x v="0"/>
    <x v="511"/>
    <x v="504"/>
  </r>
  <r>
    <x v="0"/>
    <x v="512"/>
    <x v="505"/>
  </r>
  <r>
    <x v="0"/>
    <x v="513"/>
    <x v="506"/>
  </r>
  <r>
    <x v="0"/>
    <x v="514"/>
    <x v="507"/>
  </r>
  <r>
    <x v="0"/>
    <x v="515"/>
    <x v="508"/>
  </r>
  <r>
    <x v="0"/>
    <x v="516"/>
    <x v="509"/>
  </r>
  <r>
    <x v="0"/>
    <x v="517"/>
    <x v="510"/>
  </r>
  <r>
    <x v="0"/>
    <x v="518"/>
    <x v="511"/>
  </r>
  <r>
    <x v="0"/>
    <x v="519"/>
    <x v="512"/>
  </r>
  <r>
    <x v="0"/>
    <x v="520"/>
    <x v="513"/>
  </r>
  <r>
    <x v="0"/>
    <x v="521"/>
    <x v="514"/>
  </r>
  <r>
    <x v="0"/>
    <x v="522"/>
    <x v="515"/>
  </r>
  <r>
    <x v="0"/>
    <x v="523"/>
    <x v="516"/>
  </r>
  <r>
    <x v="0"/>
    <x v="524"/>
    <x v="517"/>
  </r>
  <r>
    <x v="0"/>
    <x v="525"/>
    <x v="518"/>
  </r>
  <r>
    <x v="0"/>
    <x v="526"/>
    <x v="519"/>
  </r>
  <r>
    <x v="0"/>
    <x v="527"/>
    <x v="520"/>
  </r>
  <r>
    <x v="0"/>
    <x v="528"/>
    <x v="521"/>
  </r>
  <r>
    <x v="0"/>
    <x v="529"/>
    <x v="522"/>
  </r>
  <r>
    <x v="0"/>
    <x v="530"/>
    <x v="523"/>
  </r>
  <r>
    <x v="0"/>
    <x v="531"/>
    <x v="524"/>
  </r>
  <r>
    <x v="0"/>
    <x v="532"/>
    <x v="525"/>
  </r>
  <r>
    <x v="0"/>
    <x v="533"/>
    <x v="526"/>
  </r>
  <r>
    <x v="0"/>
    <x v="534"/>
    <x v="527"/>
  </r>
  <r>
    <x v="0"/>
    <x v="535"/>
    <x v="528"/>
  </r>
  <r>
    <x v="0"/>
    <x v="536"/>
    <x v="529"/>
  </r>
  <r>
    <x v="0"/>
    <x v="537"/>
    <x v="530"/>
  </r>
  <r>
    <x v="0"/>
    <x v="538"/>
    <x v="531"/>
  </r>
  <r>
    <x v="0"/>
    <x v="539"/>
    <x v="532"/>
  </r>
  <r>
    <x v="0"/>
    <x v="540"/>
    <x v="533"/>
  </r>
  <r>
    <x v="0"/>
    <x v="541"/>
    <x v="534"/>
  </r>
  <r>
    <x v="0"/>
    <x v="542"/>
    <x v="535"/>
  </r>
  <r>
    <x v="0"/>
    <x v="543"/>
    <x v="536"/>
  </r>
  <r>
    <x v="0"/>
    <x v="544"/>
    <x v="537"/>
  </r>
  <r>
    <x v="0"/>
    <x v="545"/>
    <x v="538"/>
  </r>
  <r>
    <x v="0"/>
    <x v="546"/>
    <x v="539"/>
  </r>
  <r>
    <x v="0"/>
    <x v="547"/>
    <x v="540"/>
  </r>
  <r>
    <x v="0"/>
    <x v="548"/>
    <x v="541"/>
  </r>
  <r>
    <x v="0"/>
    <x v="549"/>
    <x v="542"/>
  </r>
  <r>
    <x v="0"/>
    <x v="550"/>
    <x v="543"/>
  </r>
  <r>
    <x v="0"/>
    <x v="551"/>
    <x v="544"/>
  </r>
  <r>
    <x v="0"/>
    <x v="552"/>
    <x v="545"/>
  </r>
  <r>
    <x v="0"/>
    <x v="553"/>
    <x v="546"/>
  </r>
  <r>
    <x v="0"/>
    <x v="554"/>
    <x v="547"/>
  </r>
  <r>
    <x v="0"/>
    <x v="555"/>
    <x v="548"/>
  </r>
  <r>
    <x v="0"/>
    <x v="556"/>
    <x v="549"/>
  </r>
  <r>
    <x v="0"/>
    <x v="557"/>
    <x v="550"/>
  </r>
  <r>
    <x v="0"/>
    <x v="558"/>
    <x v="551"/>
  </r>
  <r>
    <x v="0"/>
    <x v="559"/>
    <x v="552"/>
  </r>
  <r>
    <x v="0"/>
    <x v="560"/>
    <x v="553"/>
  </r>
  <r>
    <x v="0"/>
    <x v="561"/>
    <x v="554"/>
  </r>
  <r>
    <x v="0"/>
    <x v="562"/>
    <x v="555"/>
  </r>
  <r>
    <x v="0"/>
    <x v="563"/>
    <x v="556"/>
  </r>
  <r>
    <x v="0"/>
    <x v="564"/>
    <x v="557"/>
  </r>
  <r>
    <x v="0"/>
    <x v="565"/>
    <x v="558"/>
  </r>
  <r>
    <x v="0"/>
    <x v="566"/>
    <x v="559"/>
  </r>
  <r>
    <x v="0"/>
    <x v="567"/>
    <x v="560"/>
  </r>
  <r>
    <x v="0"/>
    <x v="568"/>
    <x v="561"/>
  </r>
  <r>
    <x v="0"/>
    <x v="569"/>
    <x v="562"/>
  </r>
  <r>
    <x v="0"/>
    <x v="570"/>
    <x v="563"/>
  </r>
  <r>
    <x v="0"/>
    <x v="571"/>
    <x v="564"/>
  </r>
  <r>
    <x v="0"/>
    <x v="572"/>
    <x v="565"/>
  </r>
  <r>
    <x v="0"/>
    <x v="573"/>
    <x v="566"/>
  </r>
  <r>
    <x v="0"/>
    <x v="574"/>
    <x v="567"/>
  </r>
  <r>
    <x v="0"/>
    <x v="575"/>
    <x v="568"/>
  </r>
  <r>
    <x v="0"/>
    <x v="576"/>
    <x v="568"/>
  </r>
  <r>
    <x v="0"/>
    <x v="577"/>
    <x v="569"/>
  </r>
  <r>
    <x v="0"/>
    <x v="578"/>
    <x v="570"/>
  </r>
  <r>
    <x v="0"/>
    <x v="579"/>
    <x v="571"/>
  </r>
  <r>
    <x v="0"/>
    <x v="580"/>
    <x v="572"/>
  </r>
  <r>
    <x v="0"/>
    <x v="581"/>
    <x v="573"/>
  </r>
  <r>
    <x v="0"/>
    <x v="582"/>
    <x v="574"/>
  </r>
  <r>
    <x v="0"/>
    <x v="583"/>
    <x v="575"/>
  </r>
  <r>
    <x v="0"/>
    <x v="584"/>
    <x v="576"/>
  </r>
  <r>
    <x v="0"/>
    <x v="585"/>
    <x v="572"/>
  </r>
  <r>
    <x v="0"/>
    <x v="586"/>
    <x v="577"/>
  </r>
  <r>
    <x v="0"/>
    <x v="587"/>
    <x v="578"/>
  </r>
  <r>
    <x v="0"/>
    <x v="588"/>
    <x v="579"/>
  </r>
  <r>
    <x v="0"/>
    <x v="589"/>
    <x v="580"/>
  </r>
  <r>
    <x v="0"/>
    <x v="590"/>
    <x v="581"/>
  </r>
  <r>
    <x v="0"/>
    <x v="591"/>
    <x v="582"/>
  </r>
  <r>
    <x v="0"/>
    <x v="592"/>
    <x v="583"/>
  </r>
  <r>
    <x v="0"/>
    <x v="593"/>
    <x v="584"/>
  </r>
  <r>
    <x v="0"/>
    <x v="594"/>
    <x v="585"/>
  </r>
  <r>
    <x v="0"/>
    <x v="595"/>
    <x v="586"/>
  </r>
  <r>
    <x v="0"/>
    <x v="596"/>
    <x v="587"/>
  </r>
  <r>
    <x v="0"/>
    <x v="597"/>
    <x v="588"/>
  </r>
  <r>
    <x v="0"/>
    <x v="598"/>
    <x v="589"/>
  </r>
  <r>
    <x v="0"/>
    <x v="599"/>
    <x v="590"/>
  </r>
  <r>
    <x v="0"/>
    <x v="600"/>
    <x v="591"/>
  </r>
  <r>
    <x v="0"/>
    <x v="601"/>
    <x v="592"/>
  </r>
  <r>
    <x v="0"/>
    <x v="602"/>
    <x v="593"/>
  </r>
  <r>
    <x v="0"/>
    <x v="603"/>
    <x v="594"/>
  </r>
  <r>
    <x v="0"/>
    <x v="604"/>
    <x v="595"/>
  </r>
  <r>
    <x v="0"/>
    <x v="605"/>
    <x v="596"/>
  </r>
  <r>
    <x v="0"/>
    <x v="606"/>
    <x v="597"/>
  </r>
  <r>
    <x v="0"/>
    <x v="607"/>
    <x v="598"/>
  </r>
  <r>
    <x v="0"/>
    <x v="608"/>
    <x v="599"/>
  </r>
  <r>
    <x v="0"/>
    <x v="609"/>
    <x v="600"/>
  </r>
  <r>
    <x v="0"/>
    <x v="610"/>
    <x v="601"/>
  </r>
  <r>
    <x v="0"/>
    <x v="611"/>
    <x v="602"/>
  </r>
  <r>
    <x v="0"/>
    <x v="612"/>
    <x v="603"/>
  </r>
  <r>
    <x v="0"/>
    <x v="613"/>
    <x v="604"/>
  </r>
  <r>
    <x v="0"/>
    <x v="614"/>
    <x v="605"/>
  </r>
  <r>
    <x v="0"/>
    <x v="615"/>
    <x v="606"/>
  </r>
  <r>
    <x v="0"/>
    <x v="616"/>
    <x v="607"/>
  </r>
  <r>
    <x v="0"/>
    <x v="617"/>
    <x v="608"/>
  </r>
  <r>
    <x v="0"/>
    <x v="618"/>
    <x v="609"/>
  </r>
  <r>
    <x v="0"/>
    <x v="619"/>
    <x v="610"/>
  </r>
  <r>
    <x v="0"/>
    <x v="620"/>
    <x v="611"/>
  </r>
  <r>
    <x v="0"/>
    <x v="621"/>
    <x v="612"/>
  </r>
  <r>
    <x v="0"/>
    <x v="622"/>
    <x v="613"/>
  </r>
  <r>
    <x v="0"/>
    <x v="623"/>
    <x v="613"/>
  </r>
  <r>
    <x v="0"/>
    <x v="624"/>
    <x v="614"/>
  </r>
  <r>
    <x v="0"/>
    <x v="625"/>
    <x v="615"/>
  </r>
  <r>
    <x v="0"/>
    <x v="626"/>
    <x v="616"/>
  </r>
  <r>
    <x v="0"/>
    <x v="627"/>
    <x v="617"/>
  </r>
  <r>
    <x v="0"/>
    <x v="628"/>
    <x v="618"/>
  </r>
  <r>
    <x v="0"/>
    <x v="629"/>
    <x v="619"/>
  </r>
  <r>
    <x v="0"/>
    <x v="630"/>
    <x v="620"/>
  </r>
  <r>
    <x v="0"/>
    <x v="631"/>
    <x v="621"/>
  </r>
  <r>
    <x v="0"/>
    <x v="632"/>
    <x v="622"/>
  </r>
  <r>
    <x v="0"/>
    <x v="633"/>
    <x v="623"/>
  </r>
  <r>
    <x v="0"/>
    <x v="634"/>
    <x v="624"/>
  </r>
  <r>
    <x v="0"/>
    <x v="635"/>
    <x v="625"/>
  </r>
  <r>
    <x v="0"/>
    <x v="636"/>
    <x v="626"/>
  </r>
  <r>
    <x v="0"/>
    <x v="637"/>
    <x v="627"/>
  </r>
  <r>
    <x v="0"/>
    <x v="638"/>
    <x v="628"/>
  </r>
  <r>
    <x v="0"/>
    <x v="639"/>
    <x v="596"/>
  </r>
  <r>
    <x v="0"/>
    <x v="640"/>
    <x v="629"/>
  </r>
  <r>
    <x v="0"/>
    <x v="641"/>
    <x v="630"/>
  </r>
  <r>
    <x v="0"/>
    <x v="642"/>
    <x v="631"/>
  </r>
  <r>
    <x v="0"/>
    <x v="643"/>
    <x v="632"/>
  </r>
  <r>
    <x v="0"/>
    <x v="644"/>
    <x v="633"/>
  </r>
  <r>
    <x v="0"/>
    <x v="645"/>
    <x v="634"/>
  </r>
  <r>
    <x v="0"/>
    <x v="646"/>
    <x v="635"/>
  </r>
  <r>
    <x v="0"/>
    <x v="647"/>
    <x v="636"/>
  </r>
  <r>
    <x v="0"/>
    <x v="648"/>
    <x v="637"/>
  </r>
  <r>
    <x v="0"/>
    <x v="649"/>
    <x v="638"/>
  </r>
  <r>
    <x v="0"/>
    <x v="650"/>
    <x v="639"/>
  </r>
  <r>
    <x v="0"/>
    <x v="651"/>
    <x v="640"/>
  </r>
  <r>
    <x v="0"/>
    <x v="652"/>
    <x v="641"/>
  </r>
  <r>
    <x v="0"/>
    <x v="653"/>
    <x v="642"/>
  </r>
  <r>
    <x v="0"/>
    <x v="654"/>
    <x v="643"/>
  </r>
  <r>
    <x v="0"/>
    <x v="655"/>
    <x v="644"/>
  </r>
  <r>
    <x v="0"/>
    <x v="656"/>
    <x v="645"/>
  </r>
  <r>
    <x v="0"/>
    <x v="657"/>
    <x v="646"/>
  </r>
  <r>
    <x v="0"/>
    <x v="658"/>
    <x v="647"/>
  </r>
  <r>
    <x v="0"/>
    <x v="659"/>
    <x v="648"/>
  </r>
  <r>
    <x v="0"/>
    <x v="660"/>
    <x v="649"/>
  </r>
  <r>
    <x v="0"/>
    <x v="661"/>
    <x v="650"/>
  </r>
  <r>
    <x v="0"/>
    <x v="662"/>
    <x v="651"/>
  </r>
  <r>
    <x v="0"/>
    <x v="663"/>
    <x v="652"/>
  </r>
  <r>
    <x v="0"/>
    <x v="664"/>
    <x v="653"/>
  </r>
  <r>
    <x v="0"/>
    <x v="665"/>
    <x v="654"/>
  </r>
  <r>
    <x v="0"/>
    <x v="666"/>
    <x v="655"/>
  </r>
  <r>
    <x v="0"/>
    <x v="667"/>
    <x v="656"/>
  </r>
  <r>
    <x v="0"/>
    <x v="668"/>
    <x v="657"/>
  </r>
  <r>
    <x v="0"/>
    <x v="669"/>
    <x v="658"/>
  </r>
  <r>
    <x v="0"/>
    <x v="670"/>
    <x v="659"/>
  </r>
  <r>
    <x v="0"/>
    <x v="671"/>
    <x v="660"/>
  </r>
  <r>
    <x v="0"/>
    <x v="672"/>
    <x v="661"/>
  </r>
  <r>
    <x v="0"/>
    <x v="673"/>
    <x v="662"/>
  </r>
  <r>
    <x v="0"/>
    <x v="674"/>
    <x v="663"/>
  </r>
  <r>
    <x v="0"/>
    <x v="675"/>
    <x v="664"/>
  </r>
  <r>
    <x v="0"/>
    <x v="676"/>
    <x v="665"/>
  </r>
  <r>
    <x v="0"/>
    <x v="677"/>
    <x v="666"/>
  </r>
  <r>
    <x v="0"/>
    <x v="678"/>
    <x v="667"/>
  </r>
  <r>
    <x v="0"/>
    <x v="679"/>
    <x v="668"/>
  </r>
  <r>
    <x v="0"/>
    <x v="680"/>
    <x v="669"/>
  </r>
  <r>
    <x v="0"/>
    <x v="681"/>
    <x v="576"/>
  </r>
  <r>
    <x v="0"/>
    <x v="682"/>
    <x v="670"/>
  </r>
  <r>
    <x v="0"/>
    <x v="683"/>
    <x v="671"/>
  </r>
  <r>
    <x v="0"/>
    <x v="684"/>
    <x v="672"/>
  </r>
  <r>
    <x v="0"/>
    <x v="685"/>
    <x v="673"/>
  </r>
  <r>
    <x v="0"/>
    <x v="686"/>
    <x v="674"/>
  </r>
  <r>
    <x v="0"/>
    <x v="687"/>
    <x v="675"/>
  </r>
  <r>
    <x v="0"/>
    <x v="688"/>
    <x v="676"/>
  </r>
  <r>
    <x v="0"/>
    <x v="689"/>
    <x v="677"/>
  </r>
  <r>
    <x v="0"/>
    <x v="690"/>
    <x v="678"/>
  </r>
  <r>
    <x v="0"/>
    <x v="691"/>
    <x v="679"/>
  </r>
  <r>
    <x v="0"/>
    <x v="692"/>
    <x v="680"/>
  </r>
  <r>
    <x v="0"/>
    <x v="693"/>
    <x v="681"/>
  </r>
  <r>
    <x v="0"/>
    <x v="694"/>
    <x v="682"/>
  </r>
  <r>
    <x v="0"/>
    <x v="695"/>
    <x v="683"/>
  </r>
  <r>
    <x v="0"/>
    <x v="696"/>
    <x v="684"/>
  </r>
  <r>
    <x v="0"/>
    <x v="697"/>
    <x v="685"/>
  </r>
  <r>
    <x v="0"/>
    <x v="698"/>
    <x v="686"/>
  </r>
  <r>
    <x v="0"/>
    <x v="699"/>
    <x v="686"/>
  </r>
  <r>
    <x v="0"/>
    <x v="700"/>
    <x v="687"/>
  </r>
  <r>
    <x v="0"/>
    <x v="701"/>
    <x v="688"/>
  </r>
  <r>
    <x v="0"/>
    <x v="702"/>
    <x v="689"/>
  </r>
  <r>
    <x v="0"/>
    <x v="703"/>
    <x v="690"/>
  </r>
  <r>
    <x v="0"/>
    <x v="704"/>
    <x v="691"/>
  </r>
  <r>
    <x v="0"/>
    <x v="705"/>
    <x v="692"/>
  </r>
  <r>
    <x v="0"/>
    <x v="706"/>
    <x v="693"/>
  </r>
  <r>
    <x v="0"/>
    <x v="707"/>
    <x v="694"/>
  </r>
  <r>
    <x v="0"/>
    <x v="708"/>
    <x v="695"/>
  </r>
  <r>
    <x v="0"/>
    <x v="709"/>
    <x v="696"/>
  </r>
  <r>
    <x v="0"/>
    <x v="710"/>
    <x v="697"/>
  </r>
  <r>
    <x v="0"/>
    <x v="711"/>
    <x v="698"/>
  </r>
  <r>
    <x v="0"/>
    <x v="712"/>
    <x v="699"/>
  </r>
  <r>
    <x v="0"/>
    <x v="713"/>
    <x v="700"/>
  </r>
  <r>
    <x v="0"/>
    <x v="714"/>
    <x v="701"/>
  </r>
  <r>
    <x v="0"/>
    <x v="715"/>
    <x v="702"/>
  </r>
  <r>
    <x v="0"/>
    <x v="716"/>
    <x v="703"/>
  </r>
  <r>
    <x v="0"/>
    <x v="717"/>
    <x v="704"/>
  </r>
  <r>
    <x v="0"/>
    <x v="718"/>
    <x v="705"/>
  </r>
  <r>
    <x v="0"/>
    <x v="719"/>
    <x v="706"/>
  </r>
  <r>
    <x v="0"/>
    <x v="720"/>
    <x v="707"/>
  </r>
  <r>
    <x v="0"/>
    <x v="721"/>
    <x v="708"/>
  </r>
  <r>
    <x v="0"/>
    <x v="722"/>
    <x v="709"/>
  </r>
  <r>
    <x v="0"/>
    <x v="723"/>
    <x v="575"/>
  </r>
  <r>
    <x v="0"/>
    <x v="724"/>
    <x v="710"/>
  </r>
  <r>
    <x v="0"/>
    <x v="725"/>
    <x v="711"/>
  </r>
  <r>
    <x v="0"/>
    <x v="726"/>
    <x v="712"/>
  </r>
  <r>
    <x v="0"/>
    <x v="727"/>
    <x v="713"/>
  </r>
  <r>
    <x v="0"/>
    <x v="728"/>
    <x v="714"/>
  </r>
  <r>
    <x v="0"/>
    <x v="729"/>
    <x v="715"/>
  </r>
  <r>
    <x v="0"/>
    <x v="730"/>
    <x v="716"/>
  </r>
  <r>
    <x v="0"/>
    <x v="731"/>
    <x v="717"/>
  </r>
  <r>
    <x v="0"/>
    <x v="732"/>
    <x v="718"/>
  </r>
  <r>
    <x v="0"/>
    <x v="733"/>
    <x v="719"/>
  </r>
  <r>
    <x v="0"/>
    <x v="734"/>
    <x v="720"/>
  </r>
  <r>
    <x v="0"/>
    <x v="735"/>
    <x v="721"/>
  </r>
  <r>
    <x v="0"/>
    <x v="736"/>
    <x v="722"/>
  </r>
  <r>
    <x v="0"/>
    <x v="737"/>
    <x v="723"/>
  </r>
  <r>
    <x v="0"/>
    <x v="738"/>
    <x v="724"/>
  </r>
  <r>
    <x v="0"/>
    <x v="739"/>
    <x v="725"/>
  </r>
  <r>
    <x v="0"/>
    <x v="740"/>
    <x v="726"/>
  </r>
  <r>
    <x v="0"/>
    <x v="741"/>
    <x v="727"/>
  </r>
  <r>
    <x v="0"/>
    <x v="742"/>
    <x v="728"/>
  </r>
  <r>
    <x v="0"/>
    <x v="743"/>
    <x v="729"/>
  </r>
  <r>
    <x v="0"/>
    <x v="744"/>
    <x v="730"/>
  </r>
  <r>
    <x v="0"/>
    <x v="745"/>
    <x v="731"/>
  </r>
  <r>
    <x v="0"/>
    <x v="746"/>
    <x v="732"/>
  </r>
  <r>
    <x v="0"/>
    <x v="747"/>
    <x v="733"/>
  </r>
  <r>
    <x v="0"/>
    <x v="748"/>
    <x v="734"/>
  </r>
  <r>
    <x v="0"/>
    <x v="749"/>
    <x v="735"/>
  </r>
  <r>
    <x v="0"/>
    <x v="750"/>
    <x v="736"/>
  </r>
  <r>
    <x v="0"/>
    <x v="751"/>
    <x v="737"/>
  </r>
  <r>
    <x v="0"/>
    <x v="752"/>
    <x v="738"/>
  </r>
  <r>
    <x v="0"/>
    <x v="753"/>
    <x v="739"/>
  </r>
  <r>
    <x v="0"/>
    <x v="754"/>
    <x v="740"/>
  </r>
  <r>
    <x v="0"/>
    <x v="755"/>
    <x v="740"/>
  </r>
  <r>
    <x v="0"/>
    <x v="756"/>
    <x v="741"/>
  </r>
  <r>
    <x v="0"/>
    <x v="757"/>
    <x v="742"/>
  </r>
  <r>
    <x v="0"/>
    <x v="758"/>
    <x v="743"/>
  </r>
  <r>
    <x v="0"/>
    <x v="759"/>
    <x v="744"/>
  </r>
  <r>
    <x v="0"/>
    <x v="760"/>
    <x v="745"/>
  </r>
  <r>
    <x v="0"/>
    <x v="761"/>
    <x v="746"/>
  </r>
  <r>
    <x v="0"/>
    <x v="762"/>
    <x v="747"/>
  </r>
  <r>
    <x v="0"/>
    <x v="763"/>
    <x v="748"/>
  </r>
  <r>
    <x v="0"/>
    <x v="764"/>
    <x v="749"/>
  </r>
  <r>
    <x v="0"/>
    <x v="765"/>
    <x v="746"/>
  </r>
  <r>
    <x v="0"/>
    <x v="766"/>
    <x v="747"/>
  </r>
  <r>
    <x v="0"/>
    <x v="767"/>
    <x v="750"/>
  </r>
  <r>
    <x v="0"/>
    <x v="768"/>
    <x v="751"/>
  </r>
  <r>
    <x v="0"/>
    <x v="769"/>
    <x v="752"/>
  </r>
  <r>
    <x v="0"/>
    <x v="770"/>
    <x v="753"/>
  </r>
  <r>
    <x v="0"/>
    <x v="771"/>
    <x v="754"/>
  </r>
  <r>
    <x v="0"/>
    <x v="772"/>
    <x v="751"/>
  </r>
  <r>
    <x v="0"/>
    <x v="773"/>
    <x v="752"/>
  </r>
  <r>
    <x v="0"/>
    <x v="774"/>
    <x v="755"/>
  </r>
  <r>
    <x v="0"/>
    <x v="775"/>
    <x v="756"/>
  </r>
  <r>
    <x v="0"/>
    <x v="776"/>
    <x v="757"/>
  </r>
  <r>
    <x v="0"/>
    <x v="777"/>
    <x v="758"/>
  </r>
  <r>
    <x v="0"/>
    <x v="778"/>
    <x v="759"/>
  </r>
  <r>
    <x v="0"/>
    <x v="779"/>
    <x v="760"/>
  </r>
  <r>
    <x v="0"/>
    <x v="780"/>
    <x v="761"/>
  </r>
  <r>
    <x v="0"/>
    <x v="781"/>
    <x v="762"/>
  </r>
  <r>
    <x v="0"/>
    <x v="782"/>
    <x v="763"/>
  </r>
  <r>
    <x v="0"/>
    <x v="783"/>
    <x v="764"/>
  </r>
  <r>
    <x v="0"/>
    <x v="784"/>
    <x v="743"/>
  </r>
  <r>
    <x v="0"/>
    <x v="785"/>
    <x v="765"/>
  </r>
  <r>
    <x v="0"/>
    <x v="786"/>
    <x v="766"/>
  </r>
  <r>
    <x v="0"/>
    <x v="787"/>
    <x v="767"/>
  </r>
  <r>
    <x v="0"/>
    <x v="788"/>
    <x v="768"/>
  </r>
  <r>
    <x v="0"/>
    <x v="789"/>
    <x v="769"/>
  </r>
  <r>
    <x v="0"/>
    <x v="790"/>
    <x v="770"/>
  </r>
  <r>
    <x v="0"/>
    <x v="791"/>
    <x v="771"/>
  </r>
  <r>
    <x v="0"/>
    <x v="792"/>
    <x v="772"/>
  </r>
  <r>
    <x v="0"/>
    <x v="793"/>
    <x v="773"/>
  </r>
  <r>
    <x v="0"/>
    <x v="794"/>
    <x v="774"/>
  </r>
  <r>
    <x v="0"/>
    <x v="795"/>
    <x v="775"/>
  </r>
  <r>
    <x v="0"/>
    <x v="796"/>
    <x v="776"/>
  </r>
  <r>
    <x v="0"/>
    <x v="797"/>
    <x v="777"/>
  </r>
  <r>
    <x v="0"/>
    <x v="798"/>
    <x v="778"/>
  </r>
  <r>
    <x v="0"/>
    <x v="799"/>
    <x v="779"/>
  </r>
  <r>
    <x v="0"/>
    <x v="800"/>
    <x v="780"/>
  </r>
  <r>
    <x v="0"/>
    <x v="801"/>
    <x v="781"/>
  </r>
  <r>
    <x v="0"/>
    <x v="802"/>
    <x v="782"/>
  </r>
  <r>
    <x v="0"/>
    <x v="803"/>
    <x v="783"/>
  </r>
  <r>
    <x v="0"/>
    <x v="804"/>
    <x v="784"/>
  </r>
  <r>
    <x v="0"/>
    <x v="805"/>
    <x v="785"/>
  </r>
  <r>
    <x v="0"/>
    <x v="806"/>
    <x v="786"/>
  </r>
  <r>
    <x v="0"/>
    <x v="807"/>
    <x v="787"/>
  </r>
  <r>
    <x v="0"/>
    <x v="808"/>
    <x v="788"/>
  </r>
  <r>
    <x v="0"/>
    <x v="809"/>
    <x v="789"/>
  </r>
  <r>
    <x v="0"/>
    <x v="810"/>
    <x v="790"/>
  </r>
  <r>
    <x v="0"/>
    <x v="811"/>
    <x v="791"/>
  </r>
  <r>
    <x v="0"/>
    <x v="812"/>
    <x v="792"/>
  </r>
  <r>
    <x v="0"/>
    <x v="813"/>
    <x v="793"/>
  </r>
  <r>
    <x v="0"/>
    <x v="814"/>
    <x v="794"/>
  </r>
  <r>
    <x v="0"/>
    <x v="815"/>
    <x v="795"/>
  </r>
  <r>
    <x v="0"/>
    <x v="816"/>
    <x v="796"/>
  </r>
  <r>
    <x v="0"/>
    <x v="817"/>
    <x v="797"/>
  </r>
  <r>
    <x v="0"/>
    <x v="818"/>
    <x v="798"/>
  </r>
  <r>
    <x v="0"/>
    <x v="819"/>
    <x v="799"/>
  </r>
  <r>
    <x v="0"/>
    <x v="820"/>
    <x v="800"/>
  </r>
  <r>
    <x v="0"/>
    <x v="821"/>
    <x v="801"/>
  </r>
  <r>
    <x v="0"/>
    <x v="822"/>
    <x v="802"/>
  </r>
  <r>
    <x v="0"/>
    <x v="823"/>
    <x v="803"/>
  </r>
  <r>
    <x v="0"/>
    <x v="824"/>
    <x v="804"/>
  </r>
  <r>
    <x v="0"/>
    <x v="825"/>
    <x v="805"/>
  </r>
  <r>
    <x v="0"/>
    <x v="826"/>
    <x v="806"/>
  </r>
  <r>
    <x v="0"/>
    <x v="827"/>
    <x v="807"/>
  </r>
  <r>
    <x v="0"/>
    <x v="828"/>
    <x v="808"/>
  </r>
  <r>
    <x v="0"/>
    <x v="829"/>
    <x v="809"/>
  </r>
  <r>
    <x v="0"/>
    <x v="830"/>
    <x v="810"/>
  </r>
  <r>
    <x v="0"/>
    <x v="831"/>
    <x v="811"/>
  </r>
  <r>
    <x v="0"/>
    <x v="832"/>
    <x v="812"/>
  </r>
  <r>
    <x v="0"/>
    <x v="833"/>
    <x v="813"/>
  </r>
  <r>
    <x v="0"/>
    <x v="834"/>
    <x v="814"/>
  </r>
  <r>
    <x v="0"/>
    <x v="835"/>
    <x v="815"/>
  </r>
  <r>
    <x v="0"/>
    <x v="836"/>
    <x v="816"/>
  </r>
  <r>
    <x v="0"/>
    <x v="837"/>
    <x v="817"/>
  </r>
  <r>
    <x v="0"/>
    <x v="838"/>
    <x v="818"/>
  </r>
  <r>
    <x v="0"/>
    <x v="839"/>
    <x v="819"/>
  </r>
  <r>
    <x v="0"/>
    <x v="840"/>
    <x v="820"/>
  </r>
  <r>
    <x v="0"/>
    <x v="841"/>
    <x v="821"/>
  </r>
  <r>
    <x v="0"/>
    <x v="842"/>
    <x v="822"/>
  </r>
  <r>
    <x v="0"/>
    <x v="843"/>
    <x v="823"/>
  </r>
  <r>
    <x v="0"/>
    <x v="844"/>
    <x v="824"/>
  </r>
  <r>
    <x v="0"/>
    <x v="845"/>
    <x v="825"/>
  </r>
  <r>
    <x v="0"/>
    <x v="846"/>
    <x v="826"/>
  </r>
  <r>
    <x v="0"/>
    <x v="847"/>
    <x v="827"/>
  </r>
  <r>
    <x v="0"/>
    <x v="848"/>
    <x v="828"/>
  </r>
  <r>
    <x v="0"/>
    <x v="849"/>
    <x v="829"/>
  </r>
  <r>
    <x v="0"/>
    <x v="850"/>
    <x v="830"/>
  </r>
  <r>
    <x v="0"/>
    <x v="851"/>
    <x v="831"/>
  </r>
  <r>
    <x v="0"/>
    <x v="852"/>
    <x v="832"/>
  </r>
  <r>
    <x v="0"/>
    <x v="853"/>
    <x v="833"/>
  </r>
  <r>
    <x v="0"/>
    <x v="854"/>
    <x v="834"/>
  </r>
  <r>
    <x v="0"/>
    <x v="855"/>
    <x v="835"/>
  </r>
  <r>
    <x v="0"/>
    <x v="856"/>
    <x v="802"/>
  </r>
  <r>
    <x v="0"/>
    <x v="857"/>
    <x v="836"/>
  </r>
  <r>
    <x v="0"/>
    <x v="858"/>
    <x v="836"/>
  </r>
  <r>
    <x v="0"/>
    <x v="859"/>
    <x v="837"/>
  </r>
  <r>
    <x v="0"/>
    <x v="860"/>
    <x v="838"/>
  </r>
  <r>
    <x v="0"/>
    <x v="861"/>
    <x v="839"/>
  </r>
  <r>
    <x v="0"/>
    <x v="862"/>
    <x v="840"/>
  </r>
  <r>
    <x v="0"/>
    <x v="863"/>
    <x v="841"/>
  </r>
  <r>
    <x v="0"/>
    <x v="864"/>
    <x v="842"/>
  </r>
  <r>
    <x v="0"/>
    <x v="865"/>
    <x v="843"/>
  </r>
  <r>
    <x v="0"/>
    <x v="866"/>
    <x v="844"/>
  </r>
  <r>
    <x v="0"/>
    <x v="867"/>
    <x v="845"/>
  </r>
  <r>
    <x v="0"/>
    <x v="868"/>
    <x v="846"/>
  </r>
  <r>
    <x v="0"/>
    <x v="869"/>
    <x v="847"/>
  </r>
  <r>
    <x v="0"/>
    <x v="870"/>
    <x v="848"/>
  </r>
  <r>
    <x v="0"/>
    <x v="871"/>
    <x v="849"/>
  </r>
  <r>
    <x v="0"/>
    <x v="872"/>
    <x v="850"/>
  </r>
  <r>
    <x v="0"/>
    <x v="873"/>
    <x v="851"/>
  </r>
  <r>
    <x v="0"/>
    <x v="874"/>
    <x v="852"/>
  </r>
  <r>
    <x v="0"/>
    <x v="875"/>
    <x v="853"/>
  </r>
  <r>
    <x v="0"/>
    <x v="876"/>
    <x v="854"/>
  </r>
  <r>
    <x v="0"/>
    <x v="877"/>
    <x v="855"/>
  </r>
  <r>
    <x v="0"/>
    <x v="878"/>
    <x v="856"/>
  </r>
  <r>
    <x v="0"/>
    <x v="879"/>
    <x v="857"/>
  </r>
  <r>
    <x v="0"/>
    <x v="880"/>
    <x v="858"/>
  </r>
  <r>
    <x v="0"/>
    <x v="881"/>
    <x v="859"/>
  </r>
  <r>
    <x v="0"/>
    <x v="882"/>
    <x v="860"/>
  </r>
  <r>
    <x v="0"/>
    <x v="883"/>
    <x v="861"/>
  </r>
  <r>
    <x v="0"/>
    <x v="884"/>
    <x v="862"/>
  </r>
  <r>
    <x v="0"/>
    <x v="885"/>
    <x v="863"/>
  </r>
  <r>
    <x v="0"/>
    <x v="886"/>
    <x v="575"/>
  </r>
  <r>
    <x v="0"/>
    <x v="887"/>
    <x v="710"/>
  </r>
  <r>
    <x v="0"/>
    <x v="888"/>
    <x v="711"/>
  </r>
  <r>
    <x v="0"/>
    <x v="889"/>
    <x v="864"/>
  </r>
  <r>
    <x v="0"/>
    <x v="890"/>
    <x v="865"/>
  </r>
  <r>
    <x v="0"/>
    <x v="891"/>
    <x v="866"/>
  </r>
  <r>
    <x v="0"/>
    <x v="892"/>
    <x v="867"/>
  </r>
  <r>
    <x v="0"/>
    <x v="893"/>
    <x v="868"/>
  </r>
  <r>
    <x v="0"/>
    <x v="894"/>
    <x v="869"/>
  </r>
  <r>
    <x v="0"/>
    <x v="895"/>
    <x v="870"/>
  </r>
  <r>
    <x v="0"/>
    <x v="896"/>
    <x v="871"/>
  </r>
  <r>
    <x v="0"/>
    <x v="897"/>
    <x v="872"/>
  </r>
  <r>
    <x v="0"/>
    <x v="898"/>
    <x v="873"/>
  </r>
  <r>
    <x v="0"/>
    <x v="899"/>
    <x v="874"/>
  </r>
  <r>
    <x v="0"/>
    <x v="900"/>
    <x v="875"/>
  </r>
  <r>
    <x v="0"/>
    <x v="901"/>
    <x v="876"/>
  </r>
  <r>
    <x v="0"/>
    <x v="902"/>
    <x v="877"/>
  </r>
  <r>
    <x v="0"/>
    <x v="903"/>
    <x v="878"/>
  </r>
  <r>
    <x v="0"/>
    <x v="904"/>
    <x v="879"/>
  </r>
  <r>
    <x v="0"/>
    <x v="905"/>
    <x v="880"/>
  </r>
  <r>
    <x v="0"/>
    <x v="906"/>
    <x v="881"/>
  </r>
  <r>
    <x v="0"/>
    <x v="907"/>
    <x v="882"/>
  </r>
  <r>
    <x v="0"/>
    <x v="908"/>
    <x v="883"/>
  </r>
  <r>
    <x v="0"/>
    <x v="909"/>
    <x v="884"/>
  </r>
  <r>
    <x v="0"/>
    <x v="910"/>
    <x v="885"/>
  </r>
  <r>
    <x v="0"/>
    <x v="911"/>
    <x v="886"/>
  </r>
  <r>
    <x v="0"/>
    <x v="912"/>
    <x v="887"/>
  </r>
  <r>
    <x v="0"/>
    <x v="913"/>
    <x v="888"/>
  </r>
  <r>
    <x v="0"/>
    <x v="914"/>
    <x v="889"/>
  </r>
  <r>
    <x v="0"/>
    <x v="915"/>
    <x v="890"/>
  </r>
  <r>
    <x v="0"/>
    <x v="916"/>
    <x v="891"/>
  </r>
  <r>
    <x v="0"/>
    <x v="917"/>
    <x v="892"/>
  </r>
  <r>
    <x v="0"/>
    <x v="918"/>
    <x v="893"/>
  </r>
  <r>
    <x v="0"/>
    <x v="919"/>
    <x v="894"/>
  </r>
  <r>
    <x v="0"/>
    <x v="920"/>
    <x v="895"/>
  </r>
  <r>
    <x v="0"/>
    <x v="921"/>
    <x v="896"/>
  </r>
  <r>
    <x v="0"/>
    <x v="922"/>
    <x v="897"/>
  </r>
  <r>
    <x v="0"/>
    <x v="923"/>
    <x v="898"/>
  </r>
  <r>
    <x v="0"/>
    <x v="924"/>
    <x v="899"/>
  </r>
  <r>
    <x v="0"/>
    <x v="925"/>
    <x v="900"/>
  </r>
  <r>
    <x v="0"/>
    <x v="926"/>
    <x v="901"/>
  </r>
  <r>
    <x v="0"/>
    <x v="927"/>
    <x v="902"/>
  </r>
  <r>
    <x v="0"/>
    <x v="928"/>
    <x v="903"/>
  </r>
  <r>
    <x v="0"/>
    <x v="929"/>
    <x v="904"/>
  </r>
  <r>
    <x v="0"/>
    <x v="930"/>
    <x v="905"/>
  </r>
  <r>
    <x v="0"/>
    <x v="931"/>
    <x v="906"/>
  </r>
  <r>
    <x v="1"/>
    <x v="932"/>
    <x v="907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00250121"/>
    <x v="0"/>
  </r>
  <r>
    <x v="0"/>
    <s v="00250221"/>
    <x v="1"/>
  </r>
  <r>
    <x v="0"/>
    <s v="00250321"/>
    <x v="2"/>
  </r>
  <r>
    <x v="0"/>
    <s v="00250421"/>
    <x v="3"/>
  </r>
  <r>
    <x v="0"/>
    <s v="00250521"/>
    <x v="4"/>
  </r>
  <r>
    <x v="0"/>
    <s v="00250621"/>
    <x v="5"/>
  </r>
  <r>
    <x v="0"/>
    <s v="00250721"/>
    <x v="6"/>
  </r>
  <r>
    <x v="0"/>
    <s v="00250821"/>
    <x v="7"/>
  </r>
  <r>
    <x v="0"/>
    <s v="00250921"/>
    <x v="8"/>
  </r>
  <r>
    <x v="0"/>
    <s v="00251021"/>
    <x v="9"/>
  </r>
  <r>
    <x v="0"/>
    <s v="00251121"/>
    <x v="10"/>
  </r>
  <r>
    <x v="0"/>
    <s v="00251221"/>
    <x v="11"/>
  </r>
  <r>
    <x v="0"/>
    <s v="00251321"/>
    <x v="12"/>
  </r>
  <r>
    <x v="0"/>
    <s v="00251421"/>
    <x v="13"/>
  </r>
  <r>
    <x v="1"/>
    <m/>
    <x v="14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Facture"/>
    <x v="0"/>
    <x v="0"/>
    <x v="0"/>
    <s v="RAN"/>
    <x v="0"/>
    <s v="102024"/>
    <s v="MODERN PACK"/>
    <s v="REP"/>
    <n v="17055.3"/>
  </r>
  <r>
    <s v="Facture"/>
    <x v="0"/>
    <x v="0"/>
    <x v="1"/>
    <s v="RAN"/>
    <x v="1"/>
    <s v="102024"/>
    <s v="MODERN PACK"/>
    <s v="REP"/>
    <n v="18720"/>
  </r>
  <r>
    <s v="Facture"/>
    <x v="0"/>
    <x v="0"/>
    <x v="2"/>
    <s v="RAN"/>
    <x v="2"/>
    <s v="102024"/>
    <s v="MODERN PACK"/>
    <s v="REP"/>
    <n v="34139.879999999997"/>
  </r>
  <r>
    <s v="Facture"/>
    <x v="0"/>
    <x v="0"/>
    <x v="3"/>
    <s v="RAN"/>
    <x v="3"/>
    <s v="102024"/>
    <s v="MODERN PACK"/>
    <s v="REP"/>
    <n v="12480"/>
  </r>
  <r>
    <s v="Facture"/>
    <x v="0"/>
    <x v="0"/>
    <x v="4"/>
    <s v="RAN"/>
    <x v="4"/>
    <s v="100220"/>
    <s v="TITAN               "/>
    <s v="REP"/>
    <n v="16671"/>
  </r>
  <r>
    <s v="Facture"/>
    <x v="0"/>
    <x v="0"/>
    <x v="5"/>
    <s v="RAN"/>
    <x v="5"/>
    <s v="102141"/>
    <s v="TRICOL COLORS"/>
    <s v="REP"/>
    <n v="31003.82"/>
  </r>
  <r>
    <s v="Facture"/>
    <x v="0"/>
    <x v="0"/>
    <x v="6"/>
    <s v="RAN"/>
    <x v="6"/>
    <s v="100509"/>
    <s v="ISOPAINT"/>
    <s v="REP"/>
    <n v="5836.8"/>
  </r>
  <r>
    <s v="Facture"/>
    <x v="0"/>
    <x v="0"/>
    <x v="7"/>
    <s v="RAN"/>
    <x v="7"/>
    <s v="100549"/>
    <s v="SICOPA"/>
    <s v="REP"/>
    <n v="39986.959999999999"/>
  </r>
  <r>
    <s v="Facture"/>
    <x v="0"/>
    <x v="0"/>
    <x v="8"/>
    <s v="RAN"/>
    <x v="7"/>
    <s v="100549"/>
    <s v="SICOPA"/>
    <s v="REP"/>
    <n v="123786"/>
  </r>
  <r>
    <s v="Facture"/>
    <x v="0"/>
    <x v="0"/>
    <x v="9"/>
    <s v="RAN"/>
    <x v="8"/>
    <s v="102276"/>
    <s v="PROMALI"/>
    <s v="REP"/>
    <n v="9846.2999999999993"/>
  </r>
  <r>
    <s v="Facture"/>
    <x v="0"/>
    <x v="0"/>
    <x v="10"/>
    <s v="RAN"/>
    <x v="9"/>
    <s v="100780"/>
    <s v="WASSA AGRO GROUP"/>
    <s v="REP"/>
    <n v="69467.199999999997"/>
  </r>
  <r>
    <s v="Facture"/>
    <x v="0"/>
    <x v="0"/>
    <x v="11"/>
    <s v="RAN"/>
    <x v="10"/>
    <s v="100780"/>
    <s v="WASSA AGRO GROUP"/>
    <s v="REP"/>
    <n v="41736"/>
  </r>
  <r>
    <s v="Facture"/>
    <x v="0"/>
    <x v="0"/>
    <x v="12"/>
    <s v="RAN"/>
    <x v="11"/>
    <s v="100549"/>
    <s v="SICOPA"/>
    <s v="REP"/>
    <n v="135281.66"/>
  </r>
  <r>
    <s v="Facture"/>
    <x v="0"/>
    <x v="0"/>
    <x v="13"/>
    <s v="RAN"/>
    <x v="12"/>
    <s v="100549"/>
    <s v="SICOPA"/>
    <s v="REP"/>
    <n v="135281.66"/>
  </r>
  <r>
    <s v="Facture"/>
    <x v="0"/>
    <x v="0"/>
    <x v="14"/>
    <s v="RAN"/>
    <x v="12"/>
    <s v="100549"/>
    <s v="SICOPA"/>
    <s v="REP"/>
    <n v="135281.66"/>
  </r>
  <r>
    <s v="Facture"/>
    <x v="0"/>
    <x v="0"/>
    <x v="15"/>
    <s v="RAN"/>
    <x v="13"/>
    <s v="100549"/>
    <s v="SICOPA"/>
    <s v="REP"/>
    <n v="135281.66"/>
  </r>
  <r>
    <s v="Facture"/>
    <x v="0"/>
    <x v="0"/>
    <x v="16"/>
    <s v="RAN"/>
    <x v="14"/>
    <s v="100549"/>
    <s v="SICOPA"/>
    <s v="REP"/>
    <n v="135281.66"/>
  </r>
  <r>
    <s v="Facture"/>
    <x v="0"/>
    <x v="0"/>
    <x v="17"/>
    <s v="RAN"/>
    <x v="15"/>
    <s v="100549"/>
    <s v="SICOPA"/>
    <s v="REP"/>
    <n v="135281.66"/>
  </r>
  <r>
    <s v="Facture"/>
    <x v="0"/>
    <x v="0"/>
    <x v="18"/>
    <s v="RAN"/>
    <x v="16"/>
    <s v="100549"/>
    <s v="SICOPA"/>
    <s v="REP"/>
    <n v="135281.66"/>
  </r>
  <r>
    <s v="Facture"/>
    <x v="0"/>
    <x v="0"/>
    <x v="19"/>
    <s v="RAN"/>
    <x v="16"/>
    <s v="100549"/>
    <s v="SICOPA"/>
    <s v="REP"/>
    <n v="135281.66"/>
  </r>
  <r>
    <s v="Facture"/>
    <x v="0"/>
    <x v="0"/>
    <x v="20"/>
    <s v="RAN"/>
    <x v="16"/>
    <s v="100549"/>
    <s v="SICOPA"/>
    <s v="REP"/>
    <n v="135281.66"/>
  </r>
  <r>
    <s v="Facture"/>
    <x v="0"/>
    <x v="0"/>
    <x v="21"/>
    <s v="RAN"/>
    <x v="16"/>
    <s v="100549"/>
    <s v="SICOPA"/>
    <s v="REP"/>
    <n v="135281.66"/>
  </r>
  <r>
    <s v="Facture"/>
    <x v="0"/>
    <x v="0"/>
    <x v="22"/>
    <s v="RAN"/>
    <x v="17"/>
    <s v="102715"/>
    <s v="ACT NEGOCE"/>
    <s v="REP"/>
    <n v="873.52"/>
  </r>
  <r>
    <s v="Facture de retour"/>
    <x v="0"/>
    <x v="0"/>
    <x v="23"/>
    <s v="RAN"/>
    <x v="18"/>
    <s v="100549"/>
    <s v="SICOPA"/>
    <s v="REP"/>
    <n v="79016.45"/>
  </r>
  <r>
    <s v="Facture de retour"/>
    <x v="0"/>
    <x v="0"/>
    <x v="24"/>
    <s v="RAN"/>
    <x v="18"/>
    <s v="100549"/>
    <s v="SICOPA"/>
    <s v="REP"/>
    <n v="132437.76000000001"/>
  </r>
  <r>
    <s v="Facture de retour"/>
    <x v="0"/>
    <x v="0"/>
    <x v="25"/>
    <s v="RAN"/>
    <x v="18"/>
    <s v="100549"/>
    <s v="SICOPA"/>
    <s v="REP"/>
    <n v="115987.2"/>
  </r>
  <r>
    <s v="Facture d'avoir"/>
    <x v="0"/>
    <x v="0"/>
    <x v="26"/>
    <s v="RAN"/>
    <x v="18"/>
    <s v="100549"/>
    <s v="SICOPA"/>
    <s v="REP"/>
    <n v="138914.82"/>
  </r>
  <r>
    <s v="Facture"/>
    <x v="0"/>
    <x v="0"/>
    <x v="27"/>
    <s v="RAN"/>
    <x v="19"/>
    <s v="102529"/>
    <s v="OCEAMIC LAAYOUNE"/>
    <s v="REP"/>
    <n v="6814.36"/>
  </r>
  <r>
    <s v="Facture"/>
    <x v="0"/>
    <x v="0"/>
    <x v="28"/>
    <s v="RAN"/>
    <x v="20"/>
    <s v="100549"/>
    <s v="SICOPA"/>
    <s v="REP"/>
    <n v="123786"/>
  </r>
  <r>
    <s v="Facture"/>
    <x v="0"/>
    <x v="0"/>
    <x v="29"/>
    <s v="RAN"/>
    <x v="21"/>
    <s v="100061"/>
    <s v="PRODEC"/>
    <s v="REP"/>
    <n v="405.6"/>
  </r>
  <r>
    <s v="Facture"/>
    <x v="0"/>
    <x v="0"/>
    <x v="30"/>
    <s v="RAN"/>
    <x v="22"/>
    <s v="102141"/>
    <s v="TRICOL COLORS"/>
    <s v="REP"/>
    <n v="33374.699999999997"/>
  </r>
  <r>
    <s v="Devis"/>
    <x v="0"/>
    <x v="1"/>
    <x v="31"/>
    <s v="1/2 H"/>
    <x v="23"/>
    <s v="120379"/>
    <s v="FOOD PROCESS"/>
    <s v="PRINCIPALE"/>
    <n v="376992"/>
  </r>
  <r>
    <s v="Devis"/>
    <x v="0"/>
    <x v="1"/>
    <x v="32"/>
    <m/>
    <x v="24"/>
    <s v="101720"/>
    <s v="ETABLISSEMENT SOUSS"/>
    <s v="PRINCIPALE"/>
    <n v="2091.8000000000002"/>
  </r>
  <r>
    <s v="Facture"/>
    <x v="0"/>
    <x v="0"/>
    <x v="33"/>
    <s v="RO85 NEUTRE"/>
    <x v="25"/>
    <s v="102180"/>
    <s v="SILVER FOOD"/>
    <s v="PRINCIPALE"/>
    <n v="383234.4"/>
  </r>
  <r>
    <s v="Facture"/>
    <x v="0"/>
    <x v="0"/>
    <x v="34"/>
    <s v="REG OK"/>
    <x v="26"/>
    <s v="100113"/>
    <s v="STAND COLOR"/>
    <s v="PRINCIPALE"/>
    <n v="490.2"/>
  </r>
  <r>
    <s v="Facture"/>
    <x v="0"/>
    <x v="0"/>
    <x v="35"/>
    <s v="REG OK"/>
    <x v="26"/>
    <s v="1002873"/>
    <s v="NESSMA FLAVOR"/>
    <s v="PRINCIPALE"/>
    <n v="3024"/>
  </r>
  <r>
    <s v="Facture"/>
    <x v="0"/>
    <x v="0"/>
    <x v="36"/>
    <s v="REG OK"/>
    <x v="26"/>
    <s v="1022723"/>
    <s v="STE AKABEN SARL"/>
    <s v="PRINCIPALE"/>
    <n v="5381.8"/>
  </r>
  <r>
    <s v="Facture"/>
    <x v="0"/>
    <x v="0"/>
    <x v="37"/>
    <s v="REG OK"/>
    <x v="26"/>
    <s v="102871"/>
    <s v="YAZZA ALI"/>
    <s v="PRINCIPALE"/>
    <n v="1275.2"/>
  </r>
  <r>
    <s v="Facture"/>
    <x v="0"/>
    <x v="0"/>
    <x v="38"/>
    <s v="REG OK"/>
    <x v="26"/>
    <s v="102893"/>
    <s v="SOUFIANE EL BAKKARI"/>
    <s v="PRINCIPALE"/>
    <n v="1814.4"/>
  </r>
  <r>
    <s v="Facture"/>
    <x v="0"/>
    <x v="0"/>
    <x v="39"/>
    <s v="REG OK"/>
    <x v="27"/>
    <s v="1002873"/>
    <s v="NESSMA FLAVOR"/>
    <s v="PRINCIPALE"/>
    <n v="1209.5999999999999"/>
  </r>
  <r>
    <s v="Facture"/>
    <x v="0"/>
    <x v="0"/>
    <x v="40"/>
    <s v="REG OK"/>
    <x v="27"/>
    <s v="100527"/>
    <s v="CLIENT DIVERS"/>
    <s v="PRINCIPALE"/>
    <n v="3024"/>
  </r>
  <r>
    <s v="Facture"/>
    <x v="0"/>
    <x v="0"/>
    <x v="41"/>
    <s v="REG OK"/>
    <x v="27"/>
    <s v="102602"/>
    <s v="EL HDAGA FOOD"/>
    <s v="PRINCIPALE"/>
    <n v="2700"/>
  </r>
  <r>
    <s v="Facture"/>
    <x v="0"/>
    <x v="0"/>
    <x v="42"/>
    <s v="REG OK"/>
    <x v="27"/>
    <s v="120320"/>
    <s v="POLYSPACE INDUST"/>
    <s v="PRINCIPALE"/>
    <n v="4236"/>
  </r>
  <r>
    <s v="Facture"/>
    <x v="0"/>
    <x v="0"/>
    <x v="43"/>
    <s v="REG OK"/>
    <x v="27"/>
    <s v="120400"/>
    <s v="LIXUS BETON SARL"/>
    <s v="PRINCIPALE"/>
    <n v="4070"/>
  </r>
  <r>
    <s v="Facture"/>
    <x v="0"/>
    <x v="0"/>
    <x v="44"/>
    <s v="REG OK"/>
    <x v="28"/>
    <s v="100515"/>
    <s v="ARD GUISSER"/>
    <s v="PRINCIPALE"/>
    <n v="4500"/>
  </r>
  <r>
    <s v="Facture"/>
    <x v="0"/>
    <x v="0"/>
    <x v="45"/>
    <s v="ECHANTILLON GRT "/>
    <x v="28"/>
    <s v="100527"/>
    <s v="CLIENT DIVERS"/>
    <s v="ECHANTILLONS"/>
    <n v="0"/>
  </r>
  <r>
    <s v="Facture"/>
    <x v="0"/>
    <x v="0"/>
    <x v="46"/>
    <s v="REG OK"/>
    <x v="28"/>
    <s v="102444"/>
    <s v="MAATAK JAMAL"/>
    <s v="PRINCIPALE"/>
    <n v="3024"/>
  </r>
  <r>
    <s v="Facture"/>
    <x v="0"/>
    <x v="0"/>
    <x v="47"/>
    <s v="RO80"/>
    <x v="29"/>
    <s v="102608"/>
    <s v="ATLANTIC SARDINE ANCHOVIE TAN-TAN"/>
    <s v="PRINCIPALE"/>
    <n v="383998.98"/>
  </r>
  <r>
    <s v="Facture"/>
    <x v="0"/>
    <x v="0"/>
    <x v="48"/>
    <s v="REG OK"/>
    <x v="29"/>
    <s v="102935"/>
    <s v="VITRO PACK SARLAU "/>
    <s v="PRINCIPALE"/>
    <n v="9192"/>
  </r>
  <r>
    <s v="Facture"/>
    <x v="0"/>
    <x v="0"/>
    <x v="49"/>
    <s v="REG OK"/>
    <x v="29"/>
    <s v="102935"/>
    <s v="VITRO PACK SARLAU "/>
    <s v="PRINCIPALE"/>
    <n v="47283.4"/>
  </r>
  <r>
    <s v="Facture"/>
    <x v="0"/>
    <x v="0"/>
    <x v="50"/>
    <s v="ECHANTILLON GRT "/>
    <x v="30"/>
    <s v="100527"/>
    <s v="CLIENT DIVERS"/>
    <s v="ECHANTILLONS"/>
    <n v="0"/>
  </r>
  <r>
    <s v="Facture"/>
    <x v="0"/>
    <x v="0"/>
    <x v="51"/>
    <s v="REG OK"/>
    <x v="30"/>
    <s v="102018"/>
    <s v="CHERIF CONSERVES"/>
    <s v="PRINCIPALE"/>
    <n v="177170"/>
  </r>
  <r>
    <s v="Facture"/>
    <x v="0"/>
    <x v="1"/>
    <x v="52"/>
    <s v="REG OK"/>
    <x v="30"/>
    <s v="102169"/>
    <s v="STARCHIM"/>
    <s v="PRINCIPALE"/>
    <n v="4781"/>
  </r>
  <r>
    <s v="Facture"/>
    <x v="0"/>
    <x v="0"/>
    <x v="53"/>
    <s v="REG OK"/>
    <x v="30"/>
    <s v="102899"/>
    <s v="MAJILAB MAROC"/>
    <s v="PRINCIPALE"/>
    <n v="1063.5"/>
  </r>
  <r>
    <s v="Facture"/>
    <x v="0"/>
    <x v="0"/>
    <x v="54"/>
    <s v="TO63 BLANC "/>
    <x v="30"/>
    <s v="102935"/>
    <s v="VITRO PACK SARLAU "/>
    <s v="PRINCIPALE"/>
    <n v="36960"/>
  </r>
  <r>
    <s v="Facture"/>
    <x v="0"/>
    <x v="0"/>
    <x v="55"/>
    <s v="REG OK"/>
    <x v="31"/>
    <s v="1002873"/>
    <s v="NESSMA FLAVOR"/>
    <s v="PRINCIPALE"/>
    <n v="1209.5999999999999"/>
  </r>
  <r>
    <s v="Facture"/>
    <x v="0"/>
    <x v="0"/>
    <x v="56"/>
    <s v="RO85 NEUTRE"/>
    <x v="31"/>
    <s v="102180"/>
    <s v="SILVER FOOD"/>
    <s v="PRINCIPALE"/>
    <n v="383234.4"/>
  </r>
  <r>
    <s v="Facture"/>
    <x v="0"/>
    <x v="0"/>
    <x v="57"/>
    <s v="REG OK"/>
    <x v="31"/>
    <s v="102526"/>
    <s v="ABERKANE MOHAMED"/>
    <s v="PRINCIPALE"/>
    <n v="1880"/>
  </r>
  <r>
    <s v="Facture"/>
    <x v="0"/>
    <x v="0"/>
    <x v="58"/>
    <s v="REG OK"/>
    <x v="31"/>
    <s v="102592"/>
    <s v="LOGI FOOD MAROC"/>
    <s v="PRINCIPALE"/>
    <n v="404103.6"/>
  </r>
  <r>
    <s v="Facture"/>
    <x v="0"/>
    <x v="0"/>
    <x v="59"/>
    <s v="REG OK"/>
    <x v="31"/>
    <s v="102798"/>
    <s v="LITTLEMA SARL"/>
    <s v="PRINCIPALE"/>
    <n v="15156"/>
  </r>
  <r>
    <s v="Facture"/>
    <x v="0"/>
    <x v="0"/>
    <x v="60"/>
    <s v="REG OK"/>
    <x v="32"/>
    <s v="100527"/>
    <s v="CLIENT DIVERS"/>
    <s v="PRINCIPALE"/>
    <n v="1209.5999999999999"/>
  </r>
  <r>
    <s v="Facture"/>
    <x v="0"/>
    <x v="0"/>
    <x v="61"/>
    <s v="REG OK"/>
    <x v="32"/>
    <s v="100527"/>
    <s v="CLIENT DIVERS"/>
    <s v="PRINCIPALE"/>
    <n v="1389.8"/>
  </r>
  <r>
    <s v="Facture"/>
    <x v="0"/>
    <x v="0"/>
    <x v="62"/>
    <s v="REG OK"/>
    <x v="32"/>
    <s v="102275"/>
    <s v="GROUPEMENT ALIMENTAIRE REUNI"/>
    <s v="PRINCIPALE"/>
    <n v="96552"/>
  </r>
  <r>
    <s v="Facture"/>
    <x v="0"/>
    <x v="0"/>
    <x v="63"/>
    <s v="REG OK"/>
    <x v="32"/>
    <s v="102714"/>
    <s v="EPICES GIRONA"/>
    <s v="PRINCIPALE"/>
    <n v="8064"/>
  </r>
  <r>
    <s v="Facture"/>
    <x v="0"/>
    <x v="0"/>
    <x v="64"/>
    <s v="REG OK"/>
    <x v="32"/>
    <s v="102714"/>
    <s v="EPICES GIRONA"/>
    <s v="PRINCIPALE"/>
    <n v="8064"/>
  </r>
  <r>
    <s v="Facture"/>
    <x v="0"/>
    <x v="0"/>
    <x v="65"/>
    <s v="REG OK"/>
    <x v="32"/>
    <s v="102714"/>
    <s v="EPICES GIRONA"/>
    <s v="PRINCIPALE"/>
    <n v="8064"/>
  </r>
  <r>
    <s v="Facture"/>
    <x v="0"/>
    <x v="0"/>
    <x v="66"/>
    <s v="REG OK"/>
    <x v="32"/>
    <s v="120401"/>
    <s v="ROCK &amp; MAN SARL"/>
    <s v="PRINCIPALE"/>
    <n v="4838.3999999999996"/>
  </r>
  <r>
    <s v="Facture"/>
    <x v="0"/>
    <x v="0"/>
    <x v="67"/>
    <s v="REG OK"/>
    <x v="32"/>
    <s v="120401"/>
    <s v="ROCK &amp; MAN SARL"/>
    <s v="PRINCIPALE"/>
    <n v="4838.3999999999996"/>
  </r>
  <r>
    <s v="Facture"/>
    <x v="0"/>
    <x v="0"/>
    <x v="68"/>
    <s v="REG OK"/>
    <x v="33"/>
    <s v="100527"/>
    <s v="CLIENT DIVERS"/>
    <s v="PRINCIPALE"/>
    <n v="2419.1999999999998"/>
  </r>
  <r>
    <s v="Facture"/>
    <x v="0"/>
    <x v="0"/>
    <x v="69"/>
    <s v="REG OK"/>
    <x v="33"/>
    <s v="102893"/>
    <s v="SOUFIANE EL BAKKARI"/>
    <s v="PRINCIPALE"/>
    <n v="1814.4"/>
  </r>
  <r>
    <s v="Facture"/>
    <x v="0"/>
    <x v="0"/>
    <x v="70"/>
    <s v="REG OK"/>
    <x v="34"/>
    <s v="102444"/>
    <s v="MAATAK JAMAL"/>
    <s v="PRINCIPALE"/>
    <n v="3024"/>
  </r>
  <r>
    <s v="Facture"/>
    <x v="0"/>
    <x v="0"/>
    <x v="71"/>
    <s v="REG OK"/>
    <x v="34"/>
    <s v="102595"/>
    <s v="FRUITS AND LEGUMES BY BARRAQ"/>
    <s v="PRINCIPALE"/>
    <n v="1814.4"/>
  </r>
  <r>
    <s v="Facture"/>
    <x v="0"/>
    <x v="0"/>
    <x v="72"/>
    <s v="REG OK"/>
    <x v="34"/>
    <s v="102681"/>
    <s v="PETROLUB SARLAU"/>
    <s v="PRINCIPALE"/>
    <n v="4080"/>
  </r>
  <r>
    <s v="Facture"/>
    <x v="0"/>
    <x v="0"/>
    <x v="73"/>
    <s v="REG OK"/>
    <x v="34"/>
    <s v="102752"/>
    <s v="CHRONO FISH"/>
    <s v="PRINCIPALE"/>
    <n v="200032"/>
  </r>
  <r>
    <s v="Facture"/>
    <x v="0"/>
    <x v="0"/>
    <x v="74"/>
    <s v="REG OK"/>
    <x v="34"/>
    <s v="102765"/>
    <s v="HORTICOM"/>
    <s v="PRINCIPALE"/>
    <n v="834"/>
  </r>
  <r>
    <s v="Facture"/>
    <x v="0"/>
    <x v="0"/>
    <x v="75"/>
    <s v="REG OK"/>
    <x v="34"/>
    <s v="120401"/>
    <s v="ROCK &amp; MAN SARL"/>
    <s v="PRINCIPALE"/>
    <n v="3628.8"/>
  </r>
  <r>
    <s v="Facture"/>
    <x v="0"/>
    <x v="0"/>
    <x v="76"/>
    <s v="REG OK"/>
    <x v="35"/>
    <s v="1002873"/>
    <s v="NESSMA FLAVOR"/>
    <s v="PRINCIPALE"/>
    <n v="6048"/>
  </r>
  <r>
    <s v="Facture"/>
    <x v="0"/>
    <x v="0"/>
    <x v="77"/>
    <s v="REG OK"/>
    <x v="35"/>
    <s v="1002873"/>
    <s v="NESSMA FLAVOR"/>
    <s v="PRINCIPALE"/>
    <n v="6048"/>
  </r>
  <r>
    <s v="Facture"/>
    <x v="0"/>
    <x v="0"/>
    <x v="78"/>
    <s v="REG OK"/>
    <x v="35"/>
    <s v="100296"/>
    <s v="DECOPIN"/>
    <s v="PRINCIPALE"/>
    <n v="12600"/>
  </r>
  <r>
    <s v="Facture"/>
    <x v="0"/>
    <x v="0"/>
    <x v="79"/>
    <s v="REG OK"/>
    <x v="35"/>
    <s v="102066"/>
    <s v="UNIVERS PRODUCT"/>
    <s v="PRINCIPALE"/>
    <n v="1791.3"/>
  </r>
  <r>
    <s v="Facture"/>
    <x v="0"/>
    <x v="0"/>
    <x v="80"/>
    <s v="REG OK"/>
    <x v="35"/>
    <s v="102275"/>
    <s v="GROUPEMENT ALIMENTAIRE REUNI"/>
    <s v="PRINCIPALE"/>
    <n v="11880"/>
  </r>
  <r>
    <s v="Facture"/>
    <x v="0"/>
    <x v="0"/>
    <x v="81"/>
    <s v="RO85 NEUTRE"/>
    <x v="35"/>
    <s v="120318"/>
    <s v="TUNAMAX"/>
    <s v="PRINCIPALE"/>
    <n v="385131.6"/>
  </r>
  <r>
    <s v="Facture"/>
    <x v="0"/>
    <x v="0"/>
    <x v="82"/>
    <s v="REG OK"/>
    <x v="35"/>
    <s v="120401"/>
    <s v="ROCK &amp; MAN SARL"/>
    <s v="PRINCIPALE"/>
    <n v="3628.8"/>
  </r>
  <r>
    <s v="Facture"/>
    <x v="0"/>
    <x v="0"/>
    <x v="83"/>
    <s v="REG OK"/>
    <x v="36"/>
    <s v="100274"/>
    <s v="ALICOMAR"/>
    <s v="PRINCIPALE"/>
    <n v="28004.16"/>
  </r>
  <r>
    <s v="Facture"/>
    <x v="0"/>
    <x v="0"/>
    <x v="84"/>
    <s v="REG OK"/>
    <x v="36"/>
    <s v="102632"/>
    <s v="VISCA FOOD"/>
    <s v="PRINCIPALE"/>
    <n v="28080"/>
  </r>
  <r>
    <s v="Facture"/>
    <x v="0"/>
    <x v="0"/>
    <x v="85"/>
    <s v="REG OK"/>
    <x v="36"/>
    <s v="102913"/>
    <s v="ATUNEROS DEL SUR CONSERVAS"/>
    <s v="PRINCIPALE"/>
    <n v="383234.4"/>
  </r>
  <r>
    <s v="Facture"/>
    <x v="0"/>
    <x v="0"/>
    <x v="86"/>
    <s v="REG OK"/>
    <x v="36"/>
    <s v="102935"/>
    <s v="VITRO PACK SARLAU "/>
    <s v="PRINCIPALE"/>
    <n v="30180"/>
  </r>
  <r>
    <s v="Facture"/>
    <x v="0"/>
    <x v="0"/>
    <x v="87"/>
    <s v="22L"/>
    <x v="37"/>
    <s v="100099"/>
    <s v="SIKA MAROC"/>
    <s v="PRINCIPALE"/>
    <n v="60000"/>
  </r>
  <r>
    <s v="Facture"/>
    <x v="0"/>
    <x v="0"/>
    <x v="88"/>
    <s v="RO85 NEUTRE "/>
    <x v="37"/>
    <s v="102740"/>
    <s v="MEAT CORP"/>
    <s v="PRINCIPALE"/>
    <n v="396514.8"/>
  </r>
  <r>
    <s v="Facture"/>
    <x v="0"/>
    <x v="0"/>
    <x v="89"/>
    <s v="REG OK"/>
    <x v="37"/>
    <s v="102930"/>
    <s v="NOUTFIA ABDELMALAK"/>
    <s v="PRINCIPALE"/>
    <n v="9619.2000000000007"/>
  </r>
  <r>
    <s v="Facture"/>
    <x v="0"/>
    <x v="0"/>
    <x v="90"/>
    <s v="REG OK"/>
    <x v="37"/>
    <s v="120401"/>
    <s v="ROCK &amp; MAN SARL"/>
    <s v="PRINCIPALE"/>
    <n v="6048"/>
  </r>
  <r>
    <s v="Facture"/>
    <x v="0"/>
    <x v="0"/>
    <x v="91"/>
    <s v="REG OK"/>
    <x v="38"/>
    <s v="100097"/>
    <s v="SOCOBEN"/>
    <s v="PRINCIPALE"/>
    <n v="1389.8"/>
  </r>
  <r>
    <s v="Facture"/>
    <x v="0"/>
    <x v="0"/>
    <x v="92"/>
    <s v="REG OK"/>
    <x v="38"/>
    <s v="1002873"/>
    <s v="NESSMA FLAVOR"/>
    <s v="PRINCIPALE"/>
    <n v="2419.1999999999998"/>
  </r>
  <r>
    <s v="Facture"/>
    <x v="0"/>
    <x v="0"/>
    <x v="93"/>
    <s v="REG OK"/>
    <x v="38"/>
    <s v="100527"/>
    <s v="CLIENT DIVERS"/>
    <s v="PRINCIPALE"/>
    <n v="2419.1999999999998"/>
  </r>
  <r>
    <s v="Facture"/>
    <x v="0"/>
    <x v="0"/>
    <x v="94"/>
    <s v="REG OK"/>
    <x v="38"/>
    <s v="102592"/>
    <s v="LOGI FOOD MAROC"/>
    <s v="PRINCIPALE"/>
    <n v="416302.59600000002"/>
  </r>
  <r>
    <s v="Facture"/>
    <x v="0"/>
    <x v="0"/>
    <x v="95"/>
    <s v="REG OK"/>
    <x v="38"/>
    <s v="102832"/>
    <s v="SALWAN DE PÊCHE MARITIME"/>
    <s v="PRINCIPALE"/>
    <n v="181361.16"/>
  </r>
  <r>
    <s v="Facture"/>
    <x v="0"/>
    <x v="0"/>
    <x v="96"/>
    <s v="REG OK"/>
    <x v="39"/>
    <s v="100094"/>
    <s v="SIDNI COLOR"/>
    <s v="PRINCIPALE"/>
    <n v="8675"/>
  </r>
  <r>
    <s v="Facture"/>
    <x v="0"/>
    <x v="0"/>
    <x v="97"/>
    <s v="REG OK"/>
    <x v="39"/>
    <s v="1002873"/>
    <s v="NESSMA FLAVOR"/>
    <s v="PRINCIPALE"/>
    <n v="3024"/>
  </r>
  <r>
    <s v="Facture"/>
    <x v="0"/>
    <x v="0"/>
    <x v="98"/>
    <s v="REG OK"/>
    <x v="39"/>
    <s v="100291"/>
    <s v="DROGUERIE AHLAN ALWAN"/>
    <s v="PRINCIPALE"/>
    <n v="3625.85"/>
  </r>
  <r>
    <s v="Facture"/>
    <x v="0"/>
    <x v="0"/>
    <x v="99"/>
    <s v="REG OK"/>
    <x v="39"/>
    <s v="100296"/>
    <s v="DECOPIN"/>
    <s v="PRINCIPALE"/>
    <n v="5100"/>
  </r>
  <r>
    <s v="Facture"/>
    <x v="0"/>
    <x v="0"/>
    <x v="100"/>
    <s v="REG OK"/>
    <x v="39"/>
    <s v="100527"/>
    <s v="CLIENT DIVERS"/>
    <s v="PRINCIPALE"/>
    <n v="3024"/>
  </r>
  <r>
    <s v="Facture"/>
    <x v="0"/>
    <x v="0"/>
    <x v="101"/>
    <s v="REG OK"/>
    <x v="39"/>
    <s v="102275"/>
    <s v="GROUPEMENT ALIMENTAIRE REUNI"/>
    <s v="PRINCIPALE"/>
    <n v="100985.95"/>
  </r>
  <r>
    <s v="Facture"/>
    <x v="0"/>
    <x v="0"/>
    <x v="102"/>
    <s v="RO85 NEUTRE "/>
    <x v="39"/>
    <s v="102914"/>
    <s v="IDNAFOOD"/>
    <s v="PRINCIPALE"/>
    <n v="383234.4"/>
  </r>
  <r>
    <s v="Facture"/>
    <x v="0"/>
    <x v="0"/>
    <x v="103"/>
    <s v="TO58 OR"/>
    <x v="39"/>
    <s v="120317"/>
    <s v="ANDALUS FOOD GROUP"/>
    <s v="PRINCIPALE"/>
    <n v="28000"/>
  </r>
  <r>
    <s v="Facture"/>
    <x v="0"/>
    <x v="0"/>
    <x v="104"/>
    <s v="REG OK"/>
    <x v="39"/>
    <s v="120388"/>
    <s v="GLOMATEST"/>
    <s v="PRINCIPALE"/>
    <n v="2132.319"/>
  </r>
  <r>
    <s v="Facture"/>
    <x v="0"/>
    <x v="0"/>
    <x v="105"/>
    <s v="REG OK"/>
    <x v="40"/>
    <s v="100502"/>
    <s v="GUEROUANI"/>
    <s v="PRINCIPALE"/>
    <n v="785"/>
  </r>
  <r>
    <s v="Facture"/>
    <x v="0"/>
    <x v="0"/>
    <x v="106"/>
    <s v="CH "/>
    <x v="40"/>
    <s v="102169"/>
    <s v="STARCHIM"/>
    <s v="PRINCIPALE"/>
    <n v="7950"/>
  </r>
  <r>
    <s v="Facture"/>
    <x v="0"/>
    <x v="0"/>
    <x v="107"/>
    <s v="REG OK"/>
    <x v="40"/>
    <s v="102444"/>
    <s v="MAATAK JAMAL"/>
    <s v="PRINCIPALE"/>
    <n v="3024"/>
  </r>
  <r>
    <s v="Facture"/>
    <x v="0"/>
    <x v="0"/>
    <x v="108"/>
    <s v="COMMANDE 22"/>
    <x v="40"/>
    <s v="102860"/>
    <s v="PN STORE MAROC"/>
    <s v="PRINCIPALE"/>
    <n v="235831.32"/>
  </r>
  <r>
    <s v="Facture"/>
    <x v="0"/>
    <x v="0"/>
    <x v="109"/>
    <s v="REG OK"/>
    <x v="41"/>
    <s v="101581"/>
    <s v="MASTER COAT"/>
    <s v="PRINCIPALE"/>
    <n v="1276.2"/>
  </r>
  <r>
    <s v="Facture"/>
    <x v="0"/>
    <x v="0"/>
    <x v="110"/>
    <s v="REG OK"/>
    <x v="42"/>
    <s v="101172"/>
    <s v="GLO FOODS"/>
    <s v="PRINCIPALE"/>
    <n v="153912"/>
  </r>
  <r>
    <s v="Facture"/>
    <x v="0"/>
    <x v="1"/>
    <x v="111"/>
    <s v="REG OK"/>
    <x v="42"/>
    <s v="102229"/>
    <s v="LAK COSMETIQUE"/>
    <s v="PRINCIPALE"/>
    <n v="3921.6"/>
  </r>
  <r>
    <s v="Facture"/>
    <x v="0"/>
    <x v="1"/>
    <x v="112"/>
    <s v="RO85 GOLDY "/>
    <x v="42"/>
    <s v="102592"/>
    <s v="LOGI FOOD MAROC"/>
    <s v="PRINCIPALE"/>
    <n v="136450.53140000001"/>
  </r>
  <r>
    <s v="Facture de retour"/>
    <x v="0"/>
    <x v="0"/>
    <x v="113"/>
    <s v="GOLDY HV"/>
    <x v="42"/>
    <s v="102592"/>
    <s v="LOGI FOOD MAROC"/>
    <s v="PRINCIPALE"/>
    <n v="136450.53140000001"/>
  </r>
  <r>
    <s v="Facture"/>
    <x v="0"/>
    <x v="0"/>
    <x v="114"/>
    <s v="REG OK"/>
    <x v="42"/>
    <s v="102595"/>
    <s v="FRUITS AND LEGUMES BY BARRAQ"/>
    <s v="PRINCIPALE"/>
    <n v="1814.4"/>
  </r>
  <r>
    <s v="Facture"/>
    <x v="0"/>
    <x v="1"/>
    <x v="115"/>
    <s v="58 TO OR "/>
    <x v="42"/>
    <s v="120317"/>
    <s v="ANDALUS FOOD GROUP"/>
    <s v="PRINCIPALE"/>
    <n v="28000"/>
  </r>
  <r>
    <s v="Facture"/>
    <x v="0"/>
    <x v="1"/>
    <x v="116"/>
    <s v="REG OK"/>
    <x v="43"/>
    <s v="101720"/>
    <s v="ETABLISSEMENT SOUSS"/>
    <s v="PRINCIPALE"/>
    <n v="1391.2"/>
  </r>
  <r>
    <s v="Facture"/>
    <x v="0"/>
    <x v="1"/>
    <x v="117"/>
    <s v="RO85 GOLDY"/>
    <x v="43"/>
    <s v="102592"/>
    <s v="LOGI FOOD MAROC"/>
    <s v="PRINCIPALE"/>
    <n v="404103.6"/>
  </r>
  <r>
    <s v="Facture"/>
    <x v="0"/>
    <x v="1"/>
    <x v="118"/>
    <s v="REG OK"/>
    <x v="43"/>
    <s v="102681"/>
    <s v="PETROLUB SARLAU"/>
    <s v="PRINCIPALE"/>
    <n v="2232"/>
  </r>
  <r>
    <s v="Facture"/>
    <x v="0"/>
    <x v="1"/>
    <x v="119"/>
    <s v="REG OK"/>
    <x v="43"/>
    <s v="102798"/>
    <s v="LITTLEMA SARL"/>
    <s v="PRINCIPALE"/>
    <n v="15156"/>
  </r>
  <r>
    <s v="Facture"/>
    <x v="0"/>
    <x v="1"/>
    <x v="120"/>
    <s v="REG OK"/>
    <x v="43"/>
    <s v="102909"/>
    <s v="WAFA SOUSS"/>
    <s v="PRINCIPALE"/>
    <n v="901"/>
  </r>
  <r>
    <s v="Facture"/>
    <x v="0"/>
    <x v="1"/>
    <x v="121"/>
    <s v="REG OK"/>
    <x v="43"/>
    <s v="120378"/>
    <s v="B&amp;G Fromagerie"/>
    <s v="PRINCIPALE"/>
    <n v="1470.6"/>
  </r>
  <r>
    <s v="Facture"/>
    <x v="0"/>
    <x v="1"/>
    <x v="122"/>
    <s v="REG OK"/>
    <x v="43"/>
    <s v="120401"/>
    <s v="ROCK &amp; MAN SARL"/>
    <s v="PRINCIPALE"/>
    <n v="3628.8"/>
  </r>
  <r>
    <s v="Facture"/>
    <x v="0"/>
    <x v="1"/>
    <x v="123"/>
    <s v="REG OK"/>
    <x v="44"/>
    <s v="102602"/>
    <s v="EL HDAGA FOOD"/>
    <s v="PRINCIPALE"/>
    <n v="2700"/>
  </r>
  <r>
    <s v="Facture"/>
    <x v="0"/>
    <x v="1"/>
    <x v="124"/>
    <s v="82TO OR "/>
    <x v="44"/>
    <s v="120317"/>
    <s v="ANDALUS FOOD GROUP"/>
    <s v="PRINCIPALE"/>
    <n v="1800"/>
  </r>
  <r>
    <s v="Facture"/>
    <x v="0"/>
    <x v="1"/>
    <x v="125"/>
    <s v="REG OK"/>
    <x v="45"/>
    <s v="100113"/>
    <s v="STAND COLOR"/>
    <s v="PRINCIPALE"/>
    <n v="785"/>
  </r>
  <r>
    <s v="Facture"/>
    <x v="0"/>
    <x v="1"/>
    <x v="126"/>
    <s v="REG OK"/>
    <x v="45"/>
    <s v="1002873"/>
    <s v="NESSMA FLAVOR"/>
    <s v="PRINCIPALE"/>
    <n v="6048"/>
  </r>
  <r>
    <s v="Facture"/>
    <x v="0"/>
    <x v="1"/>
    <x v="127"/>
    <s v="REG OK"/>
    <x v="45"/>
    <s v="1002873"/>
    <s v="NESSMA FLAVOR"/>
    <s v="PRINCIPALE"/>
    <n v="6048"/>
  </r>
  <r>
    <s v="Facture"/>
    <x v="0"/>
    <x v="1"/>
    <x v="128"/>
    <s v="REG OK"/>
    <x v="45"/>
    <s v="100323"/>
    <s v="DROGUERIE DROLISA"/>
    <s v="PRINCIPALE"/>
    <n v="4655.6499999999996"/>
  </r>
  <r>
    <s v="Facture"/>
    <x v="0"/>
    <x v="1"/>
    <x v="129"/>
    <s v="REG OK"/>
    <x v="45"/>
    <s v="100527"/>
    <s v="CLIENT DIVERS"/>
    <s v="PRINCIPALE"/>
    <n v="1814.4"/>
  </r>
  <r>
    <s v="Facture"/>
    <x v="0"/>
    <x v="1"/>
    <x v="130"/>
    <s v="REG OK"/>
    <x v="45"/>
    <s v="102444"/>
    <s v="MAATAK JAMAL"/>
    <s v="PRINCIPALE"/>
    <n v="6048"/>
  </r>
  <r>
    <s v="Facture"/>
    <x v="0"/>
    <x v="1"/>
    <x v="131"/>
    <s v="REG OK"/>
    <x v="45"/>
    <s v="102499"/>
    <s v="SAMIR MAATAK"/>
    <s v="PRINCIPALE"/>
    <n v="3024"/>
  </r>
  <r>
    <s v="Facture"/>
    <x v="0"/>
    <x v="1"/>
    <x v="132"/>
    <s v="REG OK"/>
    <x v="45"/>
    <s v="102595"/>
    <s v="FRUITS AND LEGUMES BY BARRAQ"/>
    <s v="PRINCIPALE"/>
    <n v="3024"/>
  </r>
  <r>
    <s v="Facture"/>
    <x v="0"/>
    <x v="1"/>
    <x v="133"/>
    <s v="TO63 OR"/>
    <x v="45"/>
    <s v="102701"/>
    <s v="VICTUS &amp; TRADITUM FOODS"/>
    <s v="PRINCIPALE"/>
    <n v="22770"/>
  </r>
  <r>
    <s v="Facture"/>
    <x v="0"/>
    <x v="1"/>
    <x v="134"/>
    <s v="REG OK"/>
    <x v="45"/>
    <s v="102798"/>
    <s v="LITTLEMA SARL"/>
    <s v="PRINCIPALE"/>
    <n v="15156"/>
  </r>
  <r>
    <s v="Facture"/>
    <x v="0"/>
    <x v="1"/>
    <x v="135"/>
    <s v="REG OK"/>
    <x v="45"/>
    <s v="102854"/>
    <s v="BAKHAT ALI"/>
    <s v="PRINCIPALE"/>
    <n v="450.5"/>
  </r>
  <r>
    <s v="Facture"/>
    <x v="0"/>
    <x v="1"/>
    <x v="136"/>
    <s v="REG OK"/>
    <x v="45"/>
    <s v="102893"/>
    <s v="SOUFIANE EL BAKKARI"/>
    <s v="PRINCIPALE"/>
    <n v="1814.4"/>
  </r>
  <r>
    <s v="Facture"/>
    <x v="0"/>
    <x v="1"/>
    <x v="137"/>
    <s v="REG OK"/>
    <x v="45"/>
    <s v="120401"/>
    <s v="ROCK &amp; MAN SARL"/>
    <s v="PRINCIPALE"/>
    <n v="6048"/>
  </r>
  <r>
    <s v="Facture"/>
    <x v="0"/>
    <x v="1"/>
    <x v="138"/>
    <s v="REG OK"/>
    <x v="45"/>
    <s v="120401"/>
    <s v="ROCK &amp; MAN SARL"/>
    <s v="PRINCIPALE"/>
    <n v="3628.8"/>
  </r>
  <r>
    <s v="Facture"/>
    <x v="0"/>
    <x v="1"/>
    <x v="139"/>
    <s v="REG OK"/>
    <x v="46"/>
    <s v="1002873"/>
    <s v="NESSMA FLAVOR"/>
    <s v="PRINCIPALE"/>
    <n v="6048"/>
  </r>
  <r>
    <s v="Facture"/>
    <x v="0"/>
    <x v="1"/>
    <x v="140"/>
    <s v="1/4 CLUB ALU 125"/>
    <x v="46"/>
    <s v="102608"/>
    <s v="ATLANTIC SARDINE ANCHOVIE TAN-TAN"/>
    <s v="PRINCIPALE"/>
    <n v="1447682.4"/>
  </r>
  <r>
    <s v="Facture"/>
    <x v="0"/>
    <x v="1"/>
    <x v="141"/>
    <s v="REG OK"/>
    <x v="47"/>
    <s v="1002873"/>
    <s v="NESSMA FLAVOR"/>
    <s v="PRINCIPALE"/>
    <n v="6048"/>
  </r>
  <r>
    <s v="Facture"/>
    <x v="0"/>
    <x v="1"/>
    <x v="142"/>
    <s v="REG OK"/>
    <x v="47"/>
    <s v="102499"/>
    <s v="SAMIR MAATAK"/>
    <s v="PRINCIPALE"/>
    <n v="3628.8"/>
  </r>
  <r>
    <s v="Facture"/>
    <x v="0"/>
    <x v="1"/>
    <x v="143"/>
    <s v="REG OK"/>
    <x v="47"/>
    <s v="102499"/>
    <s v="SAMIR MAATAK"/>
    <s v="PRINCIPALE"/>
    <n v="1209.5999999999999"/>
  </r>
  <r>
    <s v="Facture"/>
    <x v="0"/>
    <x v="1"/>
    <x v="144"/>
    <s v="REG OK"/>
    <x v="47"/>
    <s v="120401"/>
    <s v="ROCK &amp; MAN SARL"/>
    <s v="PRINCIPALE"/>
    <n v="3024"/>
  </r>
  <r>
    <s v="Facture"/>
    <x v="0"/>
    <x v="1"/>
    <x v="145"/>
    <s v="REG OK"/>
    <x v="47"/>
    <s v="120402"/>
    <s v="FDL CHEMICALS"/>
    <s v="PRINCIPALE"/>
    <n v="2676.2"/>
  </r>
  <r>
    <s v="Facture"/>
    <x v="0"/>
    <x v="1"/>
    <x v="146"/>
    <s v="REG OK"/>
    <x v="47"/>
    <s v="120404"/>
    <s v="MOHAMED AHOUJI   "/>
    <s v="PRINCIPALE"/>
    <n v="6048"/>
  </r>
  <r>
    <s v="Facture"/>
    <x v="0"/>
    <x v="1"/>
    <x v="147"/>
    <s v="REG OK"/>
    <x v="47"/>
    <s v="120405"/>
    <s v="RIZAL Sarl"/>
    <s v="PRINCIPALE"/>
    <n v="2703"/>
  </r>
  <r>
    <s v="Facture"/>
    <x v="0"/>
    <x v="1"/>
    <x v="148"/>
    <s v="ECHANTILLON GRT "/>
    <x v="48"/>
    <s v="100527"/>
    <s v="CLIENT DIVERS"/>
    <s v="ECHANTILLONS"/>
    <n v="0"/>
  </r>
  <r>
    <s v="Facture"/>
    <x v="0"/>
    <x v="1"/>
    <x v="149"/>
    <s v="REG OK"/>
    <x v="48"/>
    <s v="102045"/>
    <s v="SIAR"/>
    <s v="PRINCIPALE"/>
    <n v="6840"/>
  </r>
  <r>
    <s v="Facture"/>
    <x v="0"/>
    <x v="1"/>
    <x v="150"/>
    <s v="RO85 NEUTRE"/>
    <x v="48"/>
    <s v="102180"/>
    <s v="SILVER FOOD"/>
    <s v="PRINCIPALE"/>
    <n v="383234.4"/>
  </r>
  <r>
    <s v="Facture"/>
    <x v="0"/>
    <x v="0"/>
    <x v="151"/>
    <s v="REG OK"/>
    <x v="48"/>
    <s v="102857"/>
    <s v="JIL LOGISTIQUE"/>
    <s v="PRST SERVICE SUPPORT &amp; LOGISTIQUE"/>
    <n v="10500"/>
  </r>
  <r>
    <s v="Facture"/>
    <x v="0"/>
    <x v="1"/>
    <x v="152"/>
    <s v="22L"/>
    <x v="49"/>
    <s v="100507"/>
    <s v="IMAPE"/>
    <s v="PRINCIPALE"/>
    <n v="30030"/>
  </r>
  <r>
    <s v="Facture"/>
    <x v="0"/>
    <x v="1"/>
    <x v="153"/>
    <s v="REG OK"/>
    <x v="49"/>
    <s v="100527"/>
    <s v="CLIENT DIVERS"/>
    <s v="PRINCIPALE"/>
    <n v="721.6"/>
  </r>
  <r>
    <s v="Facture"/>
    <x v="0"/>
    <x v="1"/>
    <x v="154"/>
    <s v="RO85 NEUTRE"/>
    <x v="49"/>
    <s v="101734"/>
    <s v="MARINE SPECIES FISH MAROC"/>
    <s v="PRINCIPALE"/>
    <n v="385878.6"/>
  </r>
  <r>
    <s v="Facture"/>
    <x v="0"/>
    <x v="1"/>
    <x v="155"/>
    <s v="REG OK"/>
    <x v="49"/>
    <s v="102832"/>
    <s v="SALWAN DE PÊCHE MARITIME"/>
    <s v="PRINCIPALE"/>
    <n v="155526.54"/>
  </r>
  <r>
    <s v="Facture"/>
    <x v="0"/>
    <x v="1"/>
    <x v="156"/>
    <s v="REG OK"/>
    <x v="50"/>
    <s v="100010"/>
    <s v="LPEE"/>
    <s v="PRINCIPALE"/>
    <n v="810.9"/>
  </r>
  <r>
    <s v="Facture"/>
    <x v="0"/>
    <x v="1"/>
    <x v="157"/>
    <s v="REG OK"/>
    <x v="50"/>
    <s v="1002873"/>
    <s v="NESSMA FLAVOR"/>
    <s v="PRINCIPALE"/>
    <n v="4838.3999999999996"/>
  </r>
  <r>
    <s v="Facture"/>
    <x v="0"/>
    <x v="1"/>
    <x v="158"/>
    <s v="REG OK"/>
    <x v="50"/>
    <s v="102208"/>
    <s v="SOLUTION BOIS"/>
    <s v="PRINCIPALE"/>
    <n v="5400"/>
  </r>
  <r>
    <s v="Facture"/>
    <x v="0"/>
    <x v="1"/>
    <x v="159"/>
    <s v="REG OK"/>
    <x v="50"/>
    <s v="102595"/>
    <s v="FRUITS AND LEGUMES BY BARRAQ"/>
    <s v="PRINCIPALE"/>
    <n v="1814.4"/>
  </r>
  <r>
    <s v="Facture"/>
    <x v="0"/>
    <x v="1"/>
    <x v="160"/>
    <s v="REG OK"/>
    <x v="50"/>
    <s v="102798"/>
    <s v="LITTLEMA SARL"/>
    <s v="PRINCIPALE"/>
    <n v="1814.4"/>
  </r>
  <r>
    <s v="Facture"/>
    <x v="0"/>
    <x v="1"/>
    <x v="161"/>
    <s v="REG OK"/>
    <x v="50"/>
    <s v="102798"/>
    <s v="LITTLEMA SARL"/>
    <s v="PRINCIPALE"/>
    <n v="604.79999999999995"/>
  </r>
  <r>
    <s v="Préparation de livraison"/>
    <x v="0"/>
    <x v="1"/>
    <x v="162"/>
    <m/>
    <x v="51"/>
    <s v="100527"/>
    <s v="CLIENT DIVERS"/>
    <s v="PRINCIPALE"/>
    <n v="9372"/>
  </r>
  <r>
    <s v="Facture"/>
    <x v="0"/>
    <x v="1"/>
    <x v="163"/>
    <s v="C/CH"/>
    <x v="51"/>
    <s v="102674"/>
    <s v="CARPID SARL"/>
    <s v="PRINCIPALE"/>
    <n v="2597.2399999999998"/>
  </r>
  <r>
    <s v="Facture"/>
    <x v="0"/>
    <x v="1"/>
    <x v="164"/>
    <s v="REG OK"/>
    <x v="51"/>
    <s v="102933"/>
    <s v="ALEOSAN AGRO"/>
    <s v="PRINCIPALE"/>
    <n v="28887.08"/>
  </r>
  <r>
    <s v="Facture"/>
    <x v="0"/>
    <x v="1"/>
    <x v="165"/>
    <s v="TO63 OR "/>
    <x v="51"/>
    <s v="120379"/>
    <s v="FOOD PROCESS"/>
    <s v="PRINCIPALE"/>
    <n v="7150"/>
  </r>
  <r>
    <s v="Facture"/>
    <x v="0"/>
    <x v="1"/>
    <x v="166"/>
    <s v="ECHANTILLON GRT"/>
    <x v="52"/>
    <s v="100527"/>
    <s v="CLIENT DIVERS"/>
    <s v="ECHANTILLONS"/>
    <n v="0"/>
  </r>
  <r>
    <s v="Préparation de livraison"/>
    <x v="0"/>
    <x v="1"/>
    <x v="167"/>
    <s v="50% AVANCE 50% CQ"/>
    <x v="52"/>
    <s v="102772"/>
    <s v="CHARCUTERIE EUROMAR SARL"/>
    <s v="PRINCIPALE"/>
    <n v="255528"/>
  </r>
  <r>
    <s v="Facture"/>
    <x v="0"/>
    <x v="1"/>
    <x v="168"/>
    <s v="REG OK"/>
    <x v="52"/>
    <s v="102784"/>
    <s v="KHALDYS"/>
    <s v="PRINCIPALE"/>
    <n v="3229.8"/>
  </r>
  <r>
    <s v="Facture"/>
    <x v="0"/>
    <x v="1"/>
    <x v="169"/>
    <s v="REG OK"/>
    <x v="52"/>
    <s v="102798"/>
    <s v="LITTLEMA SARL"/>
    <s v="PRINCIPALE"/>
    <n v="2138.4"/>
  </r>
  <r>
    <s v="Facture"/>
    <x v="0"/>
    <x v="1"/>
    <x v="170"/>
    <s v="REG OK"/>
    <x v="52"/>
    <s v="102893"/>
    <s v="SOUFIANE EL BAKKARI"/>
    <s v="PRINCIPALE"/>
    <n v="2851.2"/>
  </r>
  <r>
    <s v="Facture"/>
    <x v="0"/>
    <x v="1"/>
    <x v="171"/>
    <s v="RO85 NEUTRE"/>
    <x v="52"/>
    <s v="102914"/>
    <s v="IDNAFOOD"/>
    <s v="PRINCIPALE"/>
    <n v="383234.4"/>
  </r>
  <r>
    <s v="Facture"/>
    <x v="0"/>
    <x v="1"/>
    <x v="172"/>
    <s v="REG OK"/>
    <x v="52"/>
    <s v="102933"/>
    <s v="ALEOSAN AGRO"/>
    <s v="PRINCIPALE"/>
    <n v="1617"/>
  </r>
  <r>
    <s v="Facture"/>
    <x v="0"/>
    <x v="1"/>
    <x v="173"/>
    <s v="RO85 NEUTRE"/>
    <x v="53"/>
    <s v="102914"/>
    <s v="IDNAFOOD"/>
    <s v="PRINCIPALE"/>
    <n v="383234.4"/>
  </r>
  <r>
    <s v="Facture"/>
    <x v="0"/>
    <x v="1"/>
    <x v="174"/>
    <s v="VIR"/>
    <x v="53"/>
    <s v="12167"/>
    <s v="NORDIC DESIGN"/>
    <s v="PRINCIPALE"/>
    <n v="2850"/>
  </r>
  <r>
    <s v="Facture"/>
    <x v="0"/>
    <x v="1"/>
    <x v="175"/>
    <s v="REG OK"/>
    <x v="54"/>
    <s v="1002873"/>
    <s v="NESSMA FLAVOR"/>
    <s v="PRINCIPALE"/>
    <n v="1814.4"/>
  </r>
  <r>
    <s v="Facture"/>
    <x v="0"/>
    <x v="1"/>
    <x v="176"/>
    <s v="REG OK"/>
    <x v="54"/>
    <s v="100527"/>
    <s v="CLIENT DIVERS"/>
    <s v="PRINCIPALE"/>
    <n v="7128"/>
  </r>
  <r>
    <s v="Facture"/>
    <x v="0"/>
    <x v="1"/>
    <x v="177"/>
    <s v="VERRE"/>
    <x v="55"/>
    <s v="102201"/>
    <s v="VCR"/>
    <s v="PRINCIPALE"/>
    <n v="118069.08"/>
  </r>
  <r>
    <s v="Facture"/>
    <x v="0"/>
    <x v="1"/>
    <x v="178"/>
    <s v="REG OK"/>
    <x v="55"/>
    <s v="102552"/>
    <s v="POLYCHEF INGENIERIE"/>
    <s v="PRINCIPALE"/>
    <n v="22055.7012"/>
  </r>
  <r>
    <s v="Facture"/>
    <x v="0"/>
    <x v="1"/>
    <x v="179"/>
    <s v="REG OK"/>
    <x v="55"/>
    <s v="102602"/>
    <s v="EL HDAGA FOOD"/>
    <s v="PRINCIPALE"/>
    <n v="14500"/>
  </r>
  <r>
    <s v="Facture"/>
    <x v="0"/>
    <x v="1"/>
    <x v="180"/>
    <s v="REG OK"/>
    <x v="56"/>
    <s v="102913"/>
    <s v="ATUNEROS DEL SUR CONSERVAS"/>
    <s v="PRINCIPALE"/>
    <n v="383234.4"/>
  </r>
  <r>
    <s v="Facture"/>
    <x v="0"/>
    <x v="1"/>
    <x v="181"/>
    <s v="REG OK"/>
    <x v="56"/>
    <s v="102930"/>
    <s v="NOUTFIA ABDELMALAK"/>
    <s v="PRINCIPALE"/>
    <n v="7630"/>
  </r>
  <r>
    <s v="Préparation de livraison"/>
    <x v="0"/>
    <x v="1"/>
    <x v="182"/>
    <m/>
    <x v="57"/>
    <s v="100283"/>
    <s v="DINLAB"/>
    <s v="PRINCIPALE"/>
    <n v="21.27"/>
  </r>
  <r>
    <s v="Facture"/>
    <x v="0"/>
    <x v="1"/>
    <x v="183"/>
    <s v="REG OK"/>
    <x v="57"/>
    <s v="102650"/>
    <s v="DROGUERIE SALMA SARL"/>
    <s v="PRINCIPALE"/>
    <n v="2441.1"/>
  </r>
  <r>
    <s v="Facture d'avoir"/>
    <x v="0"/>
    <x v="1"/>
    <x v="184"/>
    <s v="REMISE"/>
    <x v="57"/>
    <s v="102932"/>
    <s v="CONSERVERIES PELAGIQUES DE DAKHLA"/>
    <s v="PRINCIPALE"/>
    <n v="204674.78"/>
  </r>
  <r>
    <s v="Facture"/>
    <x v="0"/>
    <x v="1"/>
    <x v="185"/>
    <s v="REG OK"/>
    <x v="57"/>
    <s v="102935"/>
    <s v="VITRO PACK SARLAU "/>
    <s v="PRINCIPALE"/>
    <n v="14522.4"/>
  </r>
  <r>
    <s v="Facture"/>
    <x v="0"/>
    <x v="1"/>
    <x v="186"/>
    <s v="REG OK"/>
    <x v="57"/>
    <s v="120407"/>
    <s v="SAHELMIX"/>
    <s v="PRINCIPALE"/>
    <n v="29520"/>
  </r>
  <r>
    <s v="Facture"/>
    <x v="0"/>
    <x v="1"/>
    <x v="187"/>
    <s v="RO85 NEUTRE"/>
    <x v="58"/>
    <s v="102740"/>
    <s v="MEAT CORP"/>
    <s v="PRINCIPALE"/>
    <n v="396514.8"/>
  </r>
  <r>
    <s v="Facture"/>
    <x v="0"/>
    <x v="1"/>
    <x v="188"/>
    <s v="REG OK"/>
    <x v="59"/>
    <s v="1002873"/>
    <s v="NESSMA FLAVOR"/>
    <s v="PRINCIPALE"/>
    <n v="3564"/>
  </r>
  <r>
    <s v="Facture"/>
    <x v="0"/>
    <x v="1"/>
    <x v="189"/>
    <s v="REG OK"/>
    <x v="59"/>
    <s v="1002873"/>
    <s v="NESSMA FLAVOR"/>
    <s v="PRINCIPALE"/>
    <n v="3564"/>
  </r>
  <r>
    <s v="Facture"/>
    <x v="0"/>
    <x v="1"/>
    <x v="190"/>
    <s v="REG OK"/>
    <x v="59"/>
    <s v="100527"/>
    <s v="CLIENT DIVERS"/>
    <s v="PRINCIPALE"/>
    <n v="1740"/>
  </r>
  <r>
    <s v="Facture"/>
    <x v="0"/>
    <x v="0"/>
    <x v="191"/>
    <s v="REG OK"/>
    <x v="59"/>
    <s v="102205"/>
    <s v="ENNASR ALIMENTAIRE AFRIQUAINE"/>
    <s v="PRINCIPALE"/>
    <n v="135008.016"/>
  </r>
  <r>
    <s v="Facture"/>
    <x v="0"/>
    <x v="1"/>
    <x v="192"/>
    <s v="REG OK"/>
    <x v="59"/>
    <s v="102595"/>
    <s v="FRUITS AND LEGUMES BY BARRAQ"/>
    <s v="PRINCIPALE"/>
    <n v="1425.6"/>
  </r>
  <r>
    <s v="Facture"/>
    <x v="0"/>
    <x v="1"/>
    <x v="193"/>
    <s v="REG OK"/>
    <x v="59"/>
    <s v="102765"/>
    <s v="HORTICOM"/>
    <s v="PRINCIPALE"/>
    <n v="5761.8"/>
  </r>
  <r>
    <s v="Facture"/>
    <x v="0"/>
    <x v="1"/>
    <x v="194"/>
    <s v="REG OK"/>
    <x v="59"/>
    <s v="102798"/>
    <s v="LITTLEMA SARL"/>
    <s v="PRINCIPALE"/>
    <n v="107.5"/>
  </r>
  <r>
    <s v="Facture"/>
    <x v="0"/>
    <x v="1"/>
    <x v="195"/>
    <s v="REG OK"/>
    <x v="59"/>
    <s v="102893"/>
    <s v="SOUFIANE EL BAKKARI"/>
    <s v="PRINCIPALE"/>
    <n v="2138.4"/>
  </r>
  <r>
    <s v="Facture"/>
    <x v="0"/>
    <x v="1"/>
    <x v="196"/>
    <s v="RO85 NEUTRE"/>
    <x v="60"/>
    <s v="102470"/>
    <s v="MERVEILLES DES MERS"/>
    <s v="PRINCIPALE"/>
    <n v="387028.8"/>
  </r>
  <r>
    <s v="Facture"/>
    <x v="0"/>
    <x v="1"/>
    <x v="197"/>
    <s v="RO85 NEUTRE"/>
    <x v="60"/>
    <s v="102913"/>
    <s v="ATUNEROS DEL SUR CONSERVAS"/>
    <s v="PRINCIPALE"/>
    <n v="383234.4"/>
  </r>
  <r>
    <s v="Facture"/>
    <x v="0"/>
    <x v="1"/>
    <x v="198"/>
    <s v="REG OK"/>
    <x v="61"/>
    <s v="100527"/>
    <s v="CLIENT DIVERS"/>
    <s v="PRINCIPALE"/>
    <n v="960"/>
  </r>
  <r>
    <s v="Facture"/>
    <x v="0"/>
    <x v="1"/>
    <x v="199"/>
    <s v="REG OK"/>
    <x v="61"/>
    <s v="100527"/>
    <s v="CLIENT DIVERS"/>
    <s v="PRINCIPALE"/>
    <n v="576.84"/>
  </r>
  <r>
    <s v="Facture"/>
    <x v="0"/>
    <x v="1"/>
    <x v="200"/>
    <s v="REG OK"/>
    <x v="61"/>
    <s v="100527"/>
    <s v="CLIENT DIVERS"/>
    <s v="PRINCIPALE"/>
    <n v="712.8"/>
  </r>
  <r>
    <s v="Facture"/>
    <x v="0"/>
    <x v="1"/>
    <x v="201"/>
    <s v="ECHANTILLON GRT"/>
    <x v="61"/>
    <s v="100527"/>
    <s v="CLIENT DIVERS"/>
    <s v="ECHANTILLONS"/>
    <n v="0"/>
  </r>
  <r>
    <s v="Facture"/>
    <x v="0"/>
    <x v="1"/>
    <x v="202"/>
    <s v="RO85 GOLDY"/>
    <x v="61"/>
    <s v="102592"/>
    <s v="LOGI FOOD MAROC"/>
    <s v="PRINCIPALE"/>
    <n v="410260.57199999999"/>
  </r>
  <r>
    <s v="Facture"/>
    <x v="0"/>
    <x v="1"/>
    <x v="203"/>
    <s v="RO85 NEUTRE"/>
    <x v="61"/>
    <s v="102592"/>
    <s v="LOGI FOOD MAROC"/>
    <s v="PRINCIPALE"/>
    <n v="112716"/>
  </r>
  <r>
    <s v="Facture de retour"/>
    <x v="0"/>
    <x v="1"/>
    <x v="204"/>
    <s v="D65"/>
    <x v="61"/>
    <s v="102608"/>
    <s v="ATLANTIC SARDINE ANCHOVIE TAN-TAN"/>
    <s v="PRINCIPALE"/>
    <n v="110.36"/>
  </r>
  <r>
    <s v="Facture"/>
    <x v="0"/>
    <x v="1"/>
    <x v="205"/>
    <s v="REG OK"/>
    <x v="61"/>
    <s v="102893"/>
    <s v="SOUFIANE EL BAKKARI"/>
    <s v="PRINCIPALE"/>
    <n v="3564"/>
  </r>
  <r>
    <s v="Facture de retour"/>
    <x v="0"/>
    <x v="1"/>
    <x v="206"/>
    <s v="370 ML"/>
    <x v="61"/>
    <s v="102933"/>
    <s v="ALEOSAN AGRO"/>
    <s v="PRINCIPALE"/>
    <n v="6737.78"/>
  </r>
  <r>
    <s v="Facture"/>
    <x v="0"/>
    <x v="1"/>
    <x v="207"/>
    <s v="REG OK"/>
    <x v="61"/>
    <s v="102935"/>
    <s v="VITRO PACK SARLAU "/>
    <s v="PRINCIPALE"/>
    <n v="6600"/>
  </r>
  <r>
    <s v="Facture"/>
    <x v="0"/>
    <x v="1"/>
    <x v="208"/>
    <s v="REG OK"/>
    <x v="62"/>
    <s v="100527"/>
    <s v="CLIENT DIVERS"/>
    <s v="PRINCIPALE"/>
    <n v="5760"/>
  </r>
  <r>
    <s v="Facture"/>
    <x v="0"/>
    <x v="1"/>
    <x v="209"/>
    <s v="5/1 NEUTRE"/>
    <x v="62"/>
    <s v="101335"/>
    <s v="SMARCOS"/>
    <s v="PRINCIPALE"/>
    <n v="132601.5"/>
  </r>
  <r>
    <s v="Facture"/>
    <x v="0"/>
    <x v="1"/>
    <x v="210"/>
    <s v="REG OK"/>
    <x v="62"/>
    <s v="102252"/>
    <s v="RESIPRO SARL"/>
    <s v="PRINCIPALE"/>
    <n v="32670"/>
  </r>
  <r>
    <s v="Facture"/>
    <x v="0"/>
    <x v="1"/>
    <x v="211"/>
    <s v="C/CH"/>
    <x v="62"/>
    <s v="102526"/>
    <s v="ABERKANE MOHAMED"/>
    <s v="PRINCIPALE"/>
    <n v="1872.56"/>
  </r>
  <r>
    <s v="Facture"/>
    <x v="0"/>
    <x v="1"/>
    <x v="212"/>
    <s v="TO63 OR"/>
    <x v="62"/>
    <s v="102701"/>
    <s v="VICTUS &amp; TRADITUM FOODS"/>
    <s v="PRINCIPALE"/>
    <n v="21780"/>
  </r>
  <r>
    <s v="Facture"/>
    <x v="0"/>
    <x v="1"/>
    <x v="213"/>
    <s v="RO85 NEUTRE"/>
    <x v="62"/>
    <s v="102914"/>
    <s v="IDNAFOOD"/>
    <s v="PRINCIPALE"/>
    <n v="383234.4"/>
  </r>
  <r>
    <s v="Facture"/>
    <x v="0"/>
    <x v="1"/>
    <x v="214"/>
    <s v="5/1 NEUTRE"/>
    <x v="63"/>
    <s v="101335"/>
    <s v="SMARCOS"/>
    <s v="PRINCIPALE"/>
    <n v="132601.5"/>
  </r>
  <r>
    <s v="Facture"/>
    <x v="0"/>
    <x v="1"/>
    <x v="215"/>
    <s v="RO85 NEUTRE"/>
    <x v="63"/>
    <s v="102913"/>
    <s v="ATUNEROS DEL SUR CONSERVAS"/>
    <s v="PRINCIPALE"/>
    <n v="383234.4"/>
  </r>
  <r>
    <s v="Bon de livraison"/>
    <x v="0"/>
    <x v="1"/>
    <x v="216"/>
    <s v="ESP"/>
    <x v="64"/>
    <s v="100055"/>
    <s v="NAZIH MOHAMED"/>
    <s v="PRINCIPALE"/>
    <n v="0"/>
  </r>
  <r>
    <s v="Bon de livraison"/>
    <x v="0"/>
    <x v="1"/>
    <x v="217"/>
    <s v="ESP"/>
    <x v="64"/>
    <s v="100144"/>
    <s v="MASNAOUI"/>
    <s v="PRINCIPALE"/>
    <n v="0"/>
  </r>
  <r>
    <s v="Bon de livraison"/>
    <x v="0"/>
    <x v="1"/>
    <x v="218"/>
    <s v="ESP"/>
    <x v="64"/>
    <s v="100149"/>
    <s v="AOURIK LAHCEN"/>
    <s v="PRINCIPALE"/>
    <n v="0"/>
  </r>
  <r>
    <s v="Bon de livraison"/>
    <x v="0"/>
    <x v="1"/>
    <x v="219"/>
    <s v="ESP"/>
    <x v="64"/>
    <s v="100161"/>
    <s v="KRIMOU"/>
    <s v="PRINCIPALE"/>
    <n v="0"/>
  </r>
  <r>
    <s v="Bon de livraison"/>
    <x v="0"/>
    <x v="1"/>
    <x v="220"/>
    <s v="ESP"/>
    <x v="64"/>
    <s v="100165"/>
    <s v="SHAIBI REDOUANE"/>
    <s v="PRINCIPALE"/>
    <n v="0"/>
  </r>
  <r>
    <s v="Bon de livraison"/>
    <x v="0"/>
    <x v="1"/>
    <x v="221"/>
    <s v="ESP"/>
    <x v="64"/>
    <s v="100190"/>
    <s v="MOSTAFA MIDELT"/>
    <s v="PRINCIPALE"/>
    <n v="0"/>
  </r>
  <r>
    <s v="Bon de livraison"/>
    <x v="0"/>
    <x v="1"/>
    <x v="222"/>
    <s v="ESP"/>
    <x v="64"/>
    <s v="100193"/>
    <s v="AIDI BOUCHAIB"/>
    <s v="PRINCIPALE"/>
    <n v="0"/>
  </r>
  <r>
    <s v="Bon de livraison"/>
    <x v="0"/>
    <x v="1"/>
    <x v="223"/>
    <s v="ESP"/>
    <x v="64"/>
    <s v="100203"/>
    <s v="BEKKARI OMAR"/>
    <s v="PRINCIPALE"/>
    <n v="0"/>
  </r>
  <r>
    <s v="Bon de livraison"/>
    <x v="0"/>
    <x v="1"/>
    <x v="224"/>
    <s v="ESP"/>
    <x v="64"/>
    <s v="100249"/>
    <s v="ZAANANE MOHAMED"/>
    <s v="PRINCIPALE"/>
    <n v="0"/>
  </r>
  <r>
    <s v="Bon de livraison"/>
    <x v="0"/>
    <x v="1"/>
    <x v="225"/>
    <s v="ESP"/>
    <x v="64"/>
    <s v="100250"/>
    <s v="MOSHFI SAID"/>
    <s v="PRINCIPALE"/>
    <n v="0"/>
  </r>
  <r>
    <s v="Bon de livraison"/>
    <x v="0"/>
    <x v="1"/>
    <x v="226"/>
    <s v="ESP"/>
    <x v="64"/>
    <s v="100275"/>
    <s v="AMAL ZAGORA"/>
    <s v="PRINCIPALE"/>
    <n v="0"/>
  </r>
  <r>
    <s v="Bon de livraison"/>
    <x v="0"/>
    <x v="1"/>
    <x v="227"/>
    <s v="ESP"/>
    <x v="64"/>
    <s v="100445"/>
    <s v="BENZEKRI"/>
    <s v="PRINCIPALE"/>
    <n v="0"/>
  </r>
  <r>
    <s v="Bon de livraison"/>
    <x v="0"/>
    <x v="1"/>
    <x v="228"/>
    <s v="ESP"/>
    <x v="64"/>
    <s v="100767"/>
    <s v="TAIBI HAMID"/>
    <s v="PRINCIPALE"/>
    <n v="0"/>
  </r>
  <r>
    <s v="Bon de livraison"/>
    <x v="0"/>
    <x v="1"/>
    <x v="229"/>
    <s v="ESP"/>
    <x v="64"/>
    <s v="100804"/>
    <s v="TAHA TIJARA"/>
    <s v="PRINCIPALE"/>
    <n v="0"/>
  </r>
  <r>
    <s v="Bon de livraison"/>
    <x v="0"/>
    <x v="1"/>
    <x v="230"/>
    <s v="ESP."/>
    <x v="64"/>
    <s v="100872"/>
    <s v="SAADAOUI ABDELKADER"/>
    <s v="PRINCIPALE"/>
    <n v="20342.0016"/>
  </r>
  <r>
    <s v="Bon de livraison"/>
    <x v="0"/>
    <x v="1"/>
    <x v="231"/>
    <s v="ESP."/>
    <x v="64"/>
    <s v="101400"/>
    <s v="RABEH REDA"/>
    <s v="PRINCIPALE"/>
    <n v="20342.0016"/>
  </r>
  <r>
    <s v="Bon de livraison"/>
    <x v="0"/>
    <x v="1"/>
    <x v="232"/>
    <s v="ESP."/>
    <x v="64"/>
    <s v="101555"/>
    <s v="RACHID ABARDY"/>
    <s v="PRINCIPALE"/>
    <n v="20342.0016"/>
  </r>
  <r>
    <s v="Bon de livraison"/>
    <x v="0"/>
    <x v="1"/>
    <x v="233"/>
    <s v="ESP."/>
    <x v="64"/>
    <s v="101600"/>
    <s v="SADIKI OMAR"/>
    <s v="PRINCIPALE"/>
    <n v="20342.0016"/>
  </r>
  <r>
    <s v="Bon de livraison"/>
    <x v="0"/>
    <x v="1"/>
    <x v="234"/>
    <s v="ESP."/>
    <x v="64"/>
    <s v="102300"/>
    <s v="RACHID OUBARI"/>
    <s v="PRINCIPALE"/>
    <n v="20342.0016"/>
  </r>
  <r>
    <s v="Bon de livraison"/>
    <x v="0"/>
    <x v="1"/>
    <x v="235"/>
    <s v="ESP."/>
    <x v="64"/>
    <s v="102644"/>
    <s v="SAAD KHALIL"/>
    <s v="PRINCIPALE"/>
    <n v="20342.0016"/>
  </r>
  <r>
    <s v="Facture"/>
    <x v="0"/>
    <x v="1"/>
    <x v="236"/>
    <s v="REG OK"/>
    <x v="64"/>
    <s v="120378"/>
    <s v="B&amp;G Fromagerie"/>
    <s v="PRINCIPALE"/>
    <n v="3024.06"/>
  </r>
  <r>
    <s v="Facture"/>
    <x v="0"/>
    <x v="1"/>
    <x v="237"/>
    <s v="CHQ"/>
    <x v="65"/>
    <s v="102798"/>
    <s v="LITTLEMA SARL"/>
    <s v="PRINCIPALE"/>
    <n v="8547"/>
  </r>
  <r>
    <s v="Préparation de livraison"/>
    <x v="0"/>
    <x v="1"/>
    <x v="238"/>
    <s v="VIR"/>
    <x v="65"/>
    <s v="102935"/>
    <s v="VITRO PACK SARLAU "/>
    <s v="PRINCIPALE"/>
    <n v="6600"/>
  </r>
  <r>
    <s v="Facture"/>
    <x v="0"/>
    <x v="1"/>
    <x v="239"/>
    <s v="RO85 GOLDY"/>
    <x v="66"/>
    <s v="102592"/>
    <s v="LOGI FOOD MAROC"/>
    <s v="PRINCIPALE"/>
    <n v="404103.6"/>
  </r>
  <r>
    <s v="Facture"/>
    <x v="0"/>
    <x v="1"/>
    <x v="240"/>
    <s v="RO85 NEUTRE"/>
    <x v="67"/>
    <s v="102180"/>
    <s v="SILVER FOOD"/>
    <s v="PRINCIPALE"/>
    <n v="383234.4"/>
  </r>
  <r>
    <s v="Facture"/>
    <x v="0"/>
    <x v="1"/>
    <x v="241"/>
    <s v="CQ"/>
    <x v="68"/>
    <s v="100021"/>
    <s v="BOUTALEB DISTRIBUTION"/>
    <s v="PRINCIPALE"/>
    <n v="792"/>
  </r>
  <r>
    <s v="Facture"/>
    <x v="0"/>
    <x v="1"/>
    <x v="242"/>
    <s v="300ML"/>
    <x v="68"/>
    <s v="102205"/>
    <s v="ENNASR ALIMENTAIRE AFRIQUAINE"/>
    <s v="PRINCIPALE"/>
    <n v="140805"/>
  </r>
  <r>
    <s v="Facture"/>
    <x v="0"/>
    <x v="1"/>
    <x v="243"/>
    <s v="5/1 SAUCE"/>
    <x v="69"/>
    <s v="101316"/>
    <s v="VMM"/>
    <s v="PRINCIPALE"/>
    <n v="160704"/>
  </r>
  <r>
    <s v="Facture"/>
    <x v="0"/>
    <x v="1"/>
    <x v="244"/>
    <s v="5/1 SAUCE PIZZA"/>
    <x v="69"/>
    <s v="101316"/>
    <s v="VMM"/>
    <s v="PRINCIPALE"/>
    <n v="160704"/>
  </r>
  <r>
    <s v="Facture"/>
    <x v="0"/>
    <x v="1"/>
    <x v="245"/>
    <s v="5/1 SAUCE"/>
    <x v="70"/>
    <s v="101316"/>
    <s v="VMM"/>
    <s v="PRINCIPALE"/>
    <n v="160704"/>
  </r>
  <r>
    <s v="Facture"/>
    <x v="0"/>
    <x v="1"/>
    <x v="246"/>
    <s v="300ML"/>
    <x v="70"/>
    <s v="102205"/>
    <s v="ENNASR ALIMENTAIRE AFRIQUAINE"/>
    <s v="PRINCIPALE"/>
    <n v="140794.875"/>
  </r>
  <r>
    <s v="Facture"/>
    <x v="0"/>
    <x v="1"/>
    <x v="247"/>
    <s v="RO85 GOLDY HV"/>
    <x v="70"/>
    <s v="102592"/>
    <s v="LOGI FOOD MAROC"/>
    <s v="PRINCIPALE"/>
    <n v="404103.6"/>
  </r>
  <r>
    <s v="Facture"/>
    <x v="0"/>
    <x v="1"/>
    <x v="248"/>
    <s v="RO85 NEUTRE"/>
    <x v="71"/>
    <s v="102914"/>
    <s v="IDNAFOOD"/>
    <s v="PRINCIPALE"/>
    <n v="383234.4"/>
  </r>
  <r>
    <s v="Bon de livraison"/>
    <x v="0"/>
    <x v="1"/>
    <x v="249"/>
    <s v="22L"/>
    <x v="72"/>
    <s v="100099"/>
    <s v="SIKA MAROC"/>
    <s v="PRINCIPALE"/>
    <n v="60000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Devis"/>
    <x v="0"/>
    <s v="Saisi"/>
    <x v="0"/>
    <s v="1/2 H"/>
    <d v="2026-02-24T00:00:00"/>
    <s v="120379"/>
    <s v="FOOD PROCESS"/>
    <s v="PRINCIPALE"/>
    <n v="376992"/>
  </r>
  <r>
    <s v="Devis"/>
    <x v="0"/>
    <s v="Saisi"/>
    <x v="1"/>
    <m/>
    <d v="2026-02-28T00:00:00"/>
    <s v="101720"/>
    <s v="ETABLISSEMENT SOUSS"/>
    <s v="PRINCIPALE"/>
    <n v="2091.8000000000002"/>
  </r>
  <r>
    <m/>
    <x v="0"/>
    <m/>
    <x v="2"/>
    <m/>
    <m/>
    <m/>
    <m/>
    <m/>
    <m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Préparation de livraison"/>
    <m/>
    <x v="0"/>
    <s v="OP260345"/>
    <m/>
    <x v="0"/>
    <s v="100527"/>
    <s v="CLIENT DIVERS"/>
    <s v="PRINCIPALE"/>
    <n v="9372"/>
  </r>
  <r>
    <s v="Préparation de livraison"/>
    <m/>
    <x v="0"/>
    <s v="OP260350"/>
    <s v="50% AVANCE 50% CQ"/>
    <x v="1"/>
    <s v="102772"/>
    <s v="CHARCUTERIE EUROMAR SARL"/>
    <s v="PRINCIPALE"/>
    <n v="255528"/>
  </r>
  <r>
    <s v="Préparation de livraison"/>
    <m/>
    <x v="0"/>
    <s v="OP260363"/>
    <m/>
    <x v="2"/>
    <s v="100283"/>
    <s v="DINLAB"/>
    <s v="PRINCIPALE"/>
    <n v="21.27"/>
  </r>
  <r>
    <s v="Préparation de livraison"/>
    <m/>
    <x v="0"/>
    <s v="OP260387"/>
    <s v="VIR"/>
    <x v="3"/>
    <s v="102935"/>
    <s v="VITRO PACK SARLAU "/>
    <s v="PRINCIPALE"/>
    <n v="6600"/>
  </r>
  <r>
    <m/>
    <m/>
    <x v="1"/>
    <m/>
    <m/>
    <x v="4"/>
    <m/>
    <m/>
    <m/>
    <m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Bon de livraison"/>
    <x v="0"/>
    <s v="Saisi"/>
    <x v="0"/>
    <s v="ESP"/>
    <d v="2026-05-22T00:00:00"/>
    <s v="100055"/>
    <s v="NAZIH MOHAMED"/>
    <s v="PRINCIPALE"/>
    <n v="0"/>
  </r>
  <r>
    <s v="Bon de livraison"/>
    <x v="0"/>
    <s v="Saisi"/>
    <x v="1"/>
    <s v="ESP"/>
    <d v="2026-05-22T00:00:00"/>
    <s v="100144"/>
    <s v="MASNAOUI"/>
    <s v="PRINCIPALE"/>
    <n v="0"/>
  </r>
  <r>
    <s v="Bon de livraison"/>
    <x v="0"/>
    <s v="Saisi"/>
    <x v="2"/>
    <s v="ESP"/>
    <d v="2026-05-22T00:00:00"/>
    <s v="100149"/>
    <s v="AOURIK LAHCEN"/>
    <s v="PRINCIPALE"/>
    <n v="0"/>
  </r>
  <r>
    <s v="Bon de livraison"/>
    <x v="0"/>
    <s v="Saisi"/>
    <x v="3"/>
    <s v="ESP"/>
    <d v="2026-05-22T00:00:00"/>
    <s v="100161"/>
    <s v="KRIMOU"/>
    <s v="PRINCIPALE"/>
    <n v="0"/>
  </r>
  <r>
    <s v="Bon de livraison"/>
    <x v="0"/>
    <s v="Saisi"/>
    <x v="4"/>
    <s v="ESP"/>
    <d v="2026-05-22T00:00:00"/>
    <s v="100165"/>
    <s v="SHAIBI REDOUANE"/>
    <s v="PRINCIPALE"/>
    <n v="0"/>
  </r>
  <r>
    <s v="Bon de livraison"/>
    <x v="0"/>
    <s v="Saisi"/>
    <x v="5"/>
    <s v="ESP"/>
    <d v="2026-05-22T00:00:00"/>
    <s v="100190"/>
    <s v="MOSTAFA MIDELT"/>
    <s v="PRINCIPALE"/>
    <n v="0"/>
  </r>
  <r>
    <s v="Bon de livraison"/>
    <x v="0"/>
    <s v="Saisi"/>
    <x v="6"/>
    <s v="ESP"/>
    <d v="2026-05-22T00:00:00"/>
    <s v="100193"/>
    <s v="AIDI BOUCHAIB"/>
    <s v="PRINCIPALE"/>
    <n v="0"/>
  </r>
  <r>
    <s v="Bon de livraison"/>
    <x v="0"/>
    <s v="Saisi"/>
    <x v="7"/>
    <s v="ESP"/>
    <d v="2026-05-22T00:00:00"/>
    <s v="100203"/>
    <s v="BEKKARI OMAR"/>
    <s v="PRINCIPALE"/>
    <n v="0"/>
  </r>
  <r>
    <s v="Bon de livraison"/>
    <x v="0"/>
    <s v="Saisi"/>
    <x v="8"/>
    <s v="ESP"/>
    <d v="2026-05-22T00:00:00"/>
    <s v="100249"/>
    <s v="ZAANANE MOHAMED"/>
    <s v="PRINCIPALE"/>
    <n v="0"/>
  </r>
  <r>
    <s v="Bon de livraison"/>
    <x v="0"/>
    <s v="Saisi"/>
    <x v="9"/>
    <s v="ESP"/>
    <d v="2026-05-22T00:00:00"/>
    <s v="100250"/>
    <s v="MOSHFI SAID"/>
    <s v="PRINCIPALE"/>
    <n v="0"/>
  </r>
  <r>
    <s v="Bon de livraison"/>
    <x v="0"/>
    <s v="Saisi"/>
    <x v="10"/>
    <s v="ESP"/>
    <d v="2026-05-22T00:00:00"/>
    <s v="100275"/>
    <s v="AMAL ZAGORA"/>
    <s v="PRINCIPALE"/>
    <n v="0"/>
  </r>
  <r>
    <s v="Bon de livraison"/>
    <x v="0"/>
    <s v="Saisi"/>
    <x v="11"/>
    <s v="ESP"/>
    <d v="2026-05-22T00:00:00"/>
    <s v="100445"/>
    <s v="BENZEKRI"/>
    <s v="PRINCIPALE"/>
    <n v="0"/>
  </r>
  <r>
    <s v="Bon de livraison"/>
    <x v="0"/>
    <s v="Saisi"/>
    <x v="12"/>
    <s v="ESP"/>
    <d v="2026-05-22T00:00:00"/>
    <s v="100767"/>
    <s v="TAIBI HAMID"/>
    <s v="PRINCIPALE"/>
    <n v="0"/>
  </r>
  <r>
    <s v="Bon de livraison"/>
    <x v="0"/>
    <s v="Saisi"/>
    <x v="13"/>
    <s v="ESP"/>
    <d v="2026-05-22T00:00:00"/>
    <s v="100804"/>
    <s v="TAHA TIJARA"/>
    <s v="PRINCIPALE"/>
    <n v="0"/>
  </r>
  <r>
    <s v="Bon de livraison"/>
    <x v="0"/>
    <s v="Saisi"/>
    <x v="14"/>
    <s v="ESP."/>
    <d v="2026-05-22T00:00:00"/>
    <s v="100872"/>
    <s v="SAADAOUI ABDELKADER"/>
    <s v="PRINCIPALE"/>
    <n v="20342.0016"/>
  </r>
  <r>
    <s v="Bon de livraison"/>
    <x v="0"/>
    <s v="Saisi"/>
    <x v="15"/>
    <s v="ESP."/>
    <d v="2026-05-22T00:00:00"/>
    <s v="101400"/>
    <s v="RABEH REDA"/>
    <s v="PRINCIPALE"/>
    <n v="20342.0016"/>
  </r>
  <r>
    <s v="Bon de livraison"/>
    <x v="0"/>
    <s v="Saisi"/>
    <x v="16"/>
    <s v="ESP."/>
    <d v="2026-05-22T00:00:00"/>
    <s v="101555"/>
    <s v="RACHID ABARDY"/>
    <s v="PRINCIPALE"/>
    <n v="20342.0016"/>
  </r>
  <r>
    <s v="Bon de livraison"/>
    <x v="0"/>
    <s v="Saisi"/>
    <x v="17"/>
    <s v="ESP."/>
    <d v="2026-05-22T00:00:00"/>
    <s v="101600"/>
    <s v="SADIKI OMAR"/>
    <s v="PRINCIPALE"/>
    <n v="20342.0016"/>
  </r>
  <r>
    <s v="Bon de livraison"/>
    <x v="0"/>
    <s v="Saisi"/>
    <x v="18"/>
    <s v="ESP."/>
    <d v="2026-05-22T00:00:00"/>
    <s v="102300"/>
    <s v="RACHID OUBARI"/>
    <s v="PRINCIPALE"/>
    <n v="20342.0016"/>
  </r>
  <r>
    <s v="Bon de livraison"/>
    <x v="0"/>
    <s v="Saisi"/>
    <x v="19"/>
    <s v="ESP."/>
    <d v="2026-05-22T00:00:00"/>
    <s v="102644"/>
    <s v="SAAD KHALIL"/>
    <s v="PRINCIPALE"/>
    <n v="20342.0016"/>
  </r>
  <r>
    <s v="Bon de livraison"/>
    <x v="0"/>
    <s v="Saisi"/>
    <x v="20"/>
    <s v="22L"/>
    <d v="2026-06-08T00:00:00"/>
    <s v="100099"/>
    <s v="SIKA MAROC"/>
    <s v="PRINCIPALE"/>
    <n v="60000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s v="Facture"/>
    <x v="0"/>
    <x v="0"/>
    <s v="FAC150332"/>
    <s v="RAN"/>
    <d v="2015-11-10T00:00:00"/>
    <s v="102024"/>
    <s v="MODERN PACK"/>
    <s v="REP"/>
    <n v="17055.3"/>
  </r>
  <r>
    <s v="Facture"/>
    <x v="0"/>
    <x v="0"/>
    <s v="FAC150494"/>
    <s v="RAN"/>
    <d v="2015-12-17T00:00:00"/>
    <s v="102024"/>
    <s v="MODERN PACK"/>
    <s v="REP"/>
    <n v="18720"/>
  </r>
  <r>
    <s v="Facture"/>
    <x v="0"/>
    <x v="0"/>
    <s v="FAC160106"/>
    <s v="RAN"/>
    <d v="2016-01-28T00:00:00"/>
    <s v="102024"/>
    <s v="MODERN PACK"/>
    <s v="REP"/>
    <n v="34139.879999999997"/>
  </r>
  <r>
    <s v="Facture"/>
    <x v="0"/>
    <x v="0"/>
    <s v="FAC160489"/>
    <s v="RAN"/>
    <d v="2016-04-22T00:00:00"/>
    <s v="102024"/>
    <s v="MODERN PACK"/>
    <s v="REP"/>
    <n v="12480"/>
  </r>
  <r>
    <s v="Facture"/>
    <x v="0"/>
    <x v="0"/>
    <s v="FAC161071"/>
    <s v="RAN"/>
    <d v="2016-08-30T00:00:00"/>
    <s v="100220"/>
    <s v="TITAN               "/>
    <s v="REP"/>
    <n v="16671"/>
  </r>
  <r>
    <s v="Facture"/>
    <x v="0"/>
    <x v="0"/>
    <s v="FAC171290"/>
    <s v="RAN"/>
    <d v="2017-10-25T00:00:00"/>
    <s v="102141"/>
    <s v="TRICOL COLORS"/>
    <s v="REP"/>
    <n v="31003.82"/>
  </r>
  <r>
    <s v="Facture"/>
    <x v="0"/>
    <x v="0"/>
    <s v="FAC180218"/>
    <s v="RAN"/>
    <d v="2018-02-22T00:00:00"/>
    <s v="100509"/>
    <s v="ISOPAINT"/>
    <s v="REP"/>
    <n v="5836.8"/>
  </r>
  <r>
    <s v="Facture"/>
    <x v="0"/>
    <x v="0"/>
    <s v="FAC181482"/>
    <s v="RAN"/>
    <d v="2018-09-27T00:00:00"/>
    <s v="100549"/>
    <s v="SICOPA"/>
    <s v="REP"/>
    <n v="39986.959999999999"/>
  </r>
  <r>
    <s v="Facture"/>
    <x v="0"/>
    <x v="0"/>
    <s v="FAC181483"/>
    <s v="RAN"/>
    <d v="2018-09-27T00:00:00"/>
    <s v="100549"/>
    <s v="SICOPA"/>
    <s v="REP"/>
    <n v="123786"/>
  </r>
  <r>
    <s v="Facture"/>
    <x v="0"/>
    <x v="0"/>
    <s v="FAC181962"/>
    <s v="RAN"/>
    <d v="2018-12-26T00:00:00"/>
    <s v="102276"/>
    <s v="PROMALI"/>
    <s v="REP"/>
    <n v="9846.2999999999993"/>
  </r>
  <r>
    <s v="Facture"/>
    <x v="0"/>
    <x v="0"/>
    <s v="FAC190284"/>
    <s v="RAN"/>
    <d v="2019-03-04T00:00:00"/>
    <s v="100780"/>
    <s v="WASSA AGRO GROUP"/>
    <s v="REP"/>
    <n v="69467.199999999997"/>
  </r>
  <r>
    <s v="Facture"/>
    <x v="0"/>
    <x v="0"/>
    <s v="FAC190286"/>
    <s v="RAN"/>
    <d v="2019-03-05T00:00:00"/>
    <s v="100780"/>
    <s v="WASSA AGRO GROUP"/>
    <s v="REP"/>
    <n v="41736"/>
  </r>
  <r>
    <s v="Facture"/>
    <x v="0"/>
    <x v="0"/>
    <s v="FAC190416"/>
    <s v="RAN"/>
    <d v="2019-03-29T00:00:00"/>
    <s v="100549"/>
    <s v="SICOPA"/>
    <s v="REP"/>
    <n v="135281.66"/>
  </r>
  <r>
    <s v="Facture"/>
    <x v="0"/>
    <x v="0"/>
    <s v="FAC190438"/>
    <s v="RAN"/>
    <d v="2019-04-03T00:00:00"/>
    <s v="100549"/>
    <s v="SICOPA"/>
    <s v="REP"/>
    <n v="135281.66"/>
  </r>
  <r>
    <s v="Facture"/>
    <x v="0"/>
    <x v="0"/>
    <s v="FAC190442"/>
    <s v="RAN"/>
    <d v="2019-04-03T00:00:00"/>
    <s v="100549"/>
    <s v="SICOPA"/>
    <s v="REP"/>
    <n v="135281.66"/>
  </r>
  <r>
    <s v="Facture"/>
    <x v="0"/>
    <x v="0"/>
    <s v="FAC190453"/>
    <s v="RAN"/>
    <d v="2019-04-04T00:00:00"/>
    <s v="100549"/>
    <s v="SICOPA"/>
    <s v="REP"/>
    <n v="135281.66"/>
  </r>
  <r>
    <s v="Facture"/>
    <x v="0"/>
    <x v="0"/>
    <s v="FAC190465"/>
    <s v="RAN"/>
    <d v="2019-04-06T00:00:00"/>
    <s v="100549"/>
    <s v="SICOPA"/>
    <s v="REP"/>
    <n v="135281.66"/>
  </r>
  <r>
    <s v="Facture"/>
    <x v="0"/>
    <x v="0"/>
    <s v="FAC190495"/>
    <s v="RAN"/>
    <d v="2019-04-15T00:00:00"/>
    <s v="100549"/>
    <s v="SICOPA"/>
    <s v="REP"/>
    <n v="135281.66"/>
  </r>
  <r>
    <s v="Facture"/>
    <x v="0"/>
    <x v="0"/>
    <s v="FAC190544"/>
    <s v="RAN"/>
    <d v="2019-04-20T00:00:00"/>
    <s v="100549"/>
    <s v="SICOPA"/>
    <s v="REP"/>
    <n v="135281.66"/>
  </r>
  <r>
    <s v="Facture"/>
    <x v="0"/>
    <x v="0"/>
    <s v="FAC190545"/>
    <s v="RAN"/>
    <d v="2019-04-20T00:00:00"/>
    <s v="100549"/>
    <s v="SICOPA"/>
    <s v="REP"/>
    <n v="135281.66"/>
  </r>
  <r>
    <s v="Facture"/>
    <x v="0"/>
    <x v="0"/>
    <s v="FAC190547"/>
    <s v="RAN"/>
    <d v="2019-04-20T00:00:00"/>
    <s v="100549"/>
    <s v="SICOPA"/>
    <s v="REP"/>
    <n v="135281.66"/>
  </r>
  <r>
    <s v="Facture"/>
    <x v="0"/>
    <x v="0"/>
    <s v="FAC190548"/>
    <s v="RAN"/>
    <d v="2019-04-20T00:00:00"/>
    <s v="100549"/>
    <s v="SICOPA"/>
    <s v="REP"/>
    <n v="135281.66"/>
  </r>
  <r>
    <s v="Facture"/>
    <x v="0"/>
    <x v="0"/>
    <s v="FAC191283"/>
    <s v="RAN"/>
    <d v="2019-07-26T00:00:00"/>
    <s v="102715"/>
    <s v="ACT NEGOCE"/>
    <s v="REP"/>
    <n v="873.52"/>
  </r>
  <r>
    <s v="Facture de retour"/>
    <x v="0"/>
    <x v="0"/>
    <s v="FAR190010"/>
    <s v="RAN"/>
    <d v="2019-08-06T00:00:00"/>
    <s v="100549"/>
    <s v="SICOPA"/>
    <s v="REP"/>
    <n v="79016.45"/>
  </r>
  <r>
    <s v="Facture de retour"/>
    <x v="0"/>
    <x v="0"/>
    <s v="FAR190011"/>
    <s v="RAN"/>
    <d v="2019-08-06T00:00:00"/>
    <s v="100549"/>
    <s v="SICOPA"/>
    <s v="REP"/>
    <n v="132437.76000000001"/>
  </r>
  <r>
    <s v="Facture de retour"/>
    <x v="0"/>
    <x v="0"/>
    <s v="FAR190012"/>
    <s v="RAN"/>
    <d v="2019-08-06T00:00:00"/>
    <s v="100549"/>
    <s v="SICOPA"/>
    <s v="REP"/>
    <n v="115987.2"/>
  </r>
  <r>
    <s v="Facture d'avoir"/>
    <x v="0"/>
    <x v="0"/>
    <s v="FAV190001"/>
    <s v="RAN"/>
    <d v="2019-08-06T00:00:00"/>
    <s v="100549"/>
    <s v="SICOPA"/>
    <s v="REP"/>
    <n v="138914.82"/>
  </r>
  <r>
    <s v="Facture"/>
    <x v="0"/>
    <x v="0"/>
    <s v="FAC191395"/>
    <s v="RAN"/>
    <d v="2019-08-09T00:00:00"/>
    <s v="102529"/>
    <s v="OCEAMIC LAAYOUNE"/>
    <s v="REP"/>
    <n v="6814.36"/>
  </r>
  <r>
    <s v="Facture"/>
    <x v="0"/>
    <x v="0"/>
    <s v="FAC191333"/>
    <s v="RAN"/>
    <d v="2019-08-20T00:00:00"/>
    <s v="100549"/>
    <s v="SICOPA"/>
    <s v="REP"/>
    <n v="123786"/>
  </r>
  <r>
    <s v="Facture"/>
    <x v="0"/>
    <x v="0"/>
    <s v="FAC192119"/>
    <s v="RAN"/>
    <d v="2019-11-26T00:00:00"/>
    <s v="100061"/>
    <s v="PRODEC"/>
    <s v="REP"/>
    <n v="405.6"/>
  </r>
  <r>
    <s v="Facture"/>
    <x v="0"/>
    <x v="0"/>
    <s v="FAC192139"/>
    <s v="RAN"/>
    <d v="2019-11-28T00:00:00"/>
    <s v="102141"/>
    <s v="TRICOL COLORS"/>
    <s v="REP"/>
    <n v="33374.699999999997"/>
  </r>
  <r>
    <s v="Facture"/>
    <x v="0"/>
    <x v="0"/>
    <s v="FAC260222"/>
    <s v="RO85 NEUTRE"/>
    <d v="2026-04-01T00:00:00"/>
    <s v="102180"/>
    <s v="SILVER FOOD"/>
    <s v="PRINCIPALE"/>
    <n v="383234.4"/>
  </r>
  <r>
    <s v="Facture"/>
    <x v="0"/>
    <x v="0"/>
    <s v="FAC260223"/>
    <s v="REG OK"/>
    <d v="2026-04-02T00:00:00"/>
    <s v="100113"/>
    <s v="STAND COLOR"/>
    <s v="PRINCIPALE"/>
    <n v="490.2"/>
  </r>
  <r>
    <s v="Facture"/>
    <x v="0"/>
    <x v="0"/>
    <s v="FAC260224"/>
    <s v="REG OK"/>
    <d v="2026-04-02T00:00:00"/>
    <s v="1002873"/>
    <s v="NESSMA FLAVOR"/>
    <s v="PRINCIPALE"/>
    <n v="3024"/>
  </r>
  <r>
    <s v="Facture"/>
    <x v="0"/>
    <x v="0"/>
    <s v="FAC260226"/>
    <s v="REG OK"/>
    <d v="2026-04-02T00:00:00"/>
    <s v="1022723"/>
    <s v="STE AKABEN SARL"/>
    <s v="PRINCIPALE"/>
    <n v="5381.8"/>
  </r>
  <r>
    <s v="Facture"/>
    <x v="0"/>
    <x v="0"/>
    <s v="FAC260227"/>
    <s v="REG OK"/>
    <d v="2026-04-02T00:00:00"/>
    <s v="102871"/>
    <s v="YAZZA ALI"/>
    <s v="PRINCIPALE"/>
    <n v="1275.2"/>
  </r>
  <r>
    <s v="Facture"/>
    <x v="0"/>
    <x v="0"/>
    <s v="FAC260225"/>
    <s v="REG OK"/>
    <d v="2026-04-02T00:00:00"/>
    <s v="102893"/>
    <s v="SOUFIANE EL BAKKARI"/>
    <s v="PRINCIPALE"/>
    <n v="1814.4"/>
  </r>
  <r>
    <s v="Facture"/>
    <x v="0"/>
    <x v="0"/>
    <s v="FAC260229"/>
    <s v="REG OK"/>
    <d v="2026-04-03T00:00:00"/>
    <s v="1002873"/>
    <s v="NESSMA FLAVOR"/>
    <s v="PRINCIPALE"/>
    <n v="1209.5999999999999"/>
  </r>
  <r>
    <s v="Facture"/>
    <x v="0"/>
    <x v="0"/>
    <s v="FAC260228"/>
    <s v="REG OK"/>
    <d v="2026-04-03T00:00:00"/>
    <s v="100527"/>
    <s v="CLIENT DIVERS"/>
    <s v="PRINCIPALE"/>
    <n v="3024"/>
  </r>
  <r>
    <s v="Facture"/>
    <x v="0"/>
    <x v="0"/>
    <s v="FAC260230"/>
    <s v="REG OK"/>
    <d v="2026-04-03T00:00:00"/>
    <s v="102602"/>
    <s v="EL HDAGA FOOD"/>
    <s v="PRINCIPALE"/>
    <n v="2700"/>
  </r>
  <r>
    <s v="Facture"/>
    <x v="0"/>
    <x v="0"/>
    <s v="FAC260231"/>
    <s v="REG OK"/>
    <d v="2026-04-03T00:00:00"/>
    <s v="120320"/>
    <s v="POLYSPACE INDUST"/>
    <s v="PRINCIPALE"/>
    <n v="4236"/>
  </r>
  <r>
    <s v="Facture"/>
    <x v="0"/>
    <x v="0"/>
    <s v="FAC260232"/>
    <s v="REG OK"/>
    <d v="2026-04-03T00:00:00"/>
    <s v="120400"/>
    <s v="LIXUS BETON SARL"/>
    <s v="PRINCIPALE"/>
    <n v="4070"/>
  </r>
  <r>
    <s v="Facture"/>
    <x v="0"/>
    <x v="0"/>
    <s v="FAC260233"/>
    <s v="REG OK"/>
    <d v="2026-04-06T00:00:00"/>
    <s v="100515"/>
    <s v="ARD GUISSER"/>
    <s v="PRINCIPALE"/>
    <n v="4500"/>
  </r>
  <r>
    <s v="Facture"/>
    <x v="0"/>
    <x v="0"/>
    <s v="FACSA26017"/>
    <s v="ECHANTILLON GRT "/>
    <d v="2026-04-06T00:00:00"/>
    <s v="100527"/>
    <s v="CLIENT DIVERS"/>
    <s v="ECHANTILLONS"/>
    <n v="0"/>
  </r>
  <r>
    <s v="Facture"/>
    <x v="0"/>
    <x v="0"/>
    <s v="FAC260234"/>
    <s v="REG OK"/>
    <d v="2026-04-06T00:00:00"/>
    <s v="102444"/>
    <s v="MAATAK JAMAL"/>
    <s v="PRINCIPALE"/>
    <n v="3024"/>
  </r>
  <r>
    <s v="Facture"/>
    <x v="0"/>
    <x v="0"/>
    <s v="FAC260235"/>
    <s v="RO80"/>
    <d v="2026-04-07T00:00:00"/>
    <s v="102608"/>
    <s v="ATLANTIC SARDINE ANCHOVIE TAN-TAN"/>
    <s v="PRINCIPALE"/>
    <n v="383998.98"/>
  </r>
  <r>
    <s v="Facture"/>
    <x v="0"/>
    <x v="0"/>
    <s v="FAC260236"/>
    <s v="REG OK"/>
    <d v="2026-04-07T00:00:00"/>
    <s v="102935"/>
    <s v="VITRO PACK SARLAU "/>
    <s v="PRINCIPALE"/>
    <n v="9192"/>
  </r>
  <r>
    <s v="Facture"/>
    <x v="0"/>
    <x v="0"/>
    <s v="FAC260237"/>
    <s v="REG OK"/>
    <d v="2026-04-07T00:00:00"/>
    <s v="102935"/>
    <s v="VITRO PACK SARLAU "/>
    <s v="PRINCIPALE"/>
    <n v="47283.4"/>
  </r>
  <r>
    <s v="Facture"/>
    <x v="0"/>
    <x v="0"/>
    <s v="FACSA26018"/>
    <s v="ECHANTILLON GRT "/>
    <d v="2026-04-08T00:00:00"/>
    <s v="100527"/>
    <s v="CLIENT DIVERS"/>
    <s v="ECHANTILLONS"/>
    <n v="0"/>
  </r>
  <r>
    <s v="Facture"/>
    <x v="0"/>
    <x v="0"/>
    <s v="FAC260241"/>
    <s v="REG OK"/>
    <d v="2026-04-08T00:00:00"/>
    <s v="102018"/>
    <s v="CHERIF CONSERVES"/>
    <s v="PRINCIPALE"/>
    <n v="177170"/>
  </r>
  <r>
    <s v="Facture"/>
    <x v="0"/>
    <x v="1"/>
    <s v="FAC260239"/>
    <s v="REG OK"/>
    <d v="2026-04-08T00:00:00"/>
    <s v="102169"/>
    <s v="STARCHIM"/>
    <s v="PRINCIPALE"/>
    <n v="4781"/>
  </r>
  <r>
    <s v="Facture"/>
    <x v="0"/>
    <x v="0"/>
    <s v="FAC260240"/>
    <s v="REG OK"/>
    <d v="2026-04-08T00:00:00"/>
    <s v="102899"/>
    <s v="MAJILAB MAROC"/>
    <s v="PRINCIPALE"/>
    <n v="1063.5"/>
  </r>
  <r>
    <s v="Facture"/>
    <x v="0"/>
    <x v="0"/>
    <s v="FAC260238"/>
    <s v="TO63 BLANC "/>
    <d v="2026-04-08T00:00:00"/>
    <s v="102935"/>
    <s v="VITRO PACK SARLAU "/>
    <s v="PRINCIPALE"/>
    <n v="36960"/>
  </r>
  <r>
    <s v="Facture"/>
    <x v="0"/>
    <x v="0"/>
    <s v="FAC260245"/>
    <s v="REG OK"/>
    <d v="2026-04-09T00:00:00"/>
    <s v="1002873"/>
    <s v="NESSMA FLAVOR"/>
    <s v="PRINCIPALE"/>
    <n v="1209.5999999999999"/>
  </r>
  <r>
    <s v="Facture"/>
    <x v="0"/>
    <x v="0"/>
    <s v="FAC260242"/>
    <s v="RO85 NEUTRE"/>
    <d v="2026-04-09T00:00:00"/>
    <s v="102180"/>
    <s v="SILVER FOOD"/>
    <s v="PRINCIPALE"/>
    <n v="383234.4"/>
  </r>
  <r>
    <s v="Facture"/>
    <x v="0"/>
    <x v="0"/>
    <s v="FAC260246"/>
    <s v="REG OK"/>
    <d v="2026-04-09T00:00:00"/>
    <s v="102526"/>
    <s v="ABERKANE MOHAMED"/>
    <s v="PRINCIPALE"/>
    <n v="1880"/>
  </r>
  <r>
    <s v="Facture"/>
    <x v="0"/>
    <x v="0"/>
    <s v="FAC260243"/>
    <s v="REG OK"/>
    <d v="2026-04-09T00:00:00"/>
    <s v="102592"/>
    <s v="LOGI FOOD MAROC"/>
    <s v="PRINCIPALE"/>
    <n v="404103.6"/>
  </r>
  <r>
    <s v="Facture"/>
    <x v="0"/>
    <x v="0"/>
    <s v="FAC260244"/>
    <s v="REG OK"/>
    <d v="2026-04-09T00:00:00"/>
    <s v="102798"/>
    <s v="LITTLEMA SARL"/>
    <s v="PRINCIPALE"/>
    <n v="15156"/>
  </r>
  <r>
    <s v="Facture"/>
    <x v="0"/>
    <x v="0"/>
    <s v="FAC260253"/>
    <s v="REG OK"/>
    <d v="2026-04-10T00:00:00"/>
    <s v="100527"/>
    <s v="CLIENT DIVERS"/>
    <s v="PRINCIPALE"/>
    <n v="1209.5999999999999"/>
  </r>
  <r>
    <s v="Facture"/>
    <x v="0"/>
    <x v="0"/>
    <s v="FAC260254"/>
    <s v="REG OK"/>
    <d v="2026-04-10T00:00:00"/>
    <s v="100527"/>
    <s v="CLIENT DIVERS"/>
    <s v="PRINCIPALE"/>
    <n v="1389.8"/>
  </r>
  <r>
    <s v="Facture"/>
    <x v="0"/>
    <x v="0"/>
    <s v="FAC260247"/>
    <s v="REG OK"/>
    <d v="2026-04-10T00:00:00"/>
    <s v="102275"/>
    <s v="GROUPEMENT ALIMENTAIRE REUNI"/>
    <s v="PRINCIPALE"/>
    <n v="96552"/>
  </r>
  <r>
    <s v="Facture"/>
    <x v="0"/>
    <x v="0"/>
    <s v="FAC260248"/>
    <s v="REG OK"/>
    <d v="2026-04-10T00:00:00"/>
    <s v="102714"/>
    <s v="EPICES GIRONA"/>
    <s v="PRINCIPALE"/>
    <n v="8064"/>
  </r>
  <r>
    <s v="Facture"/>
    <x v="0"/>
    <x v="0"/>
    <s v="FAC260249"/>
    <s v="REG OK"/>
    <d v="2026-04-10T00:00:00"/>
    <s v="102714"/>
    <s v="EPICES GIRONA"/>
    <s v="PRINCIPALE"/>
    <n v="8064"/>
  </r>
  <r>
    <s v="Facture"/>
    <x v="0"/>
    <x v="0"/>
    <s v="FAC260250"/>
    <s v="REG OK"/>
    <d v="2026-04-10T00:00:00"/>
    <s v="102714"/>
    <s v="EPICES GIRONA"/>
    <s v="PRINCIPALE"/>
    <n v="8064"/>
  </r>
  <r>
    <s v="Facture"/>
    <x v="0"/>
    <x v="0"/>
    <s v="FAC260251"/>
    <s v="REG OK"/>
    <d v="2026-04-10T00:00:00"/>
    <s v="120401"/>
    <s v="ROCK &amp; MAN SARL"/>
    <s v="PRINCIPALE"/>
    <n v="4838.3999999999996"/>
  </r>
  <r>
    <s v="Facture"/>
    <x v="0"/>
    <x v="0"/>
    <s v="FAC260252"/>
    <s v="REG OK"/>
    <d v="2026-04-10T00:00:00"/>
    <s v="120401"/>
    <s v="ROCK &amp; MAN SARL"/>
    <s v="PRINCIPALE"/>
    <n v="4838.3999999999996"/>
  </r>
  <r>
    <s v="Facture"/>
    <x v="0"/>
    <x v="0"/>
    <s v="FAC260256"/>
    <s v="REG OK"/>
    <d v="2026-04-11T00:00:00"/>
    <s v="100527"/>
    <s v="CLIENT DIVERS"/>
    <s v="PRINCIPALE"/>
    <n v="2419.1999999999998"/>
  </r>
  <r>
    <s v="Facture"/>
    <x v="0"/>
    <x v="0"/>
    <s v="FAC260255"/>
    <s v="REG OK"/>
    <d v="2026-04-11T00:00:00"/>
    <s v="102893"/>
    <s v="SOUFIANE EL BAKKARI"/>
    <s v="PRINCIPALE"/>
    <n v="1814.4"/>
  </r>
  <r>
    <s v="Facture"/>
    <x v="0"/>
    <x v="0"/>
    <s v="FAC260257"/>
    <s v="REG OK"/>
    <d v="2026-04-13T00:00:00"/>
    <s v="102444"/>
    <s v="MAATAK JAMAL"/>
    <s v="PRINCIPALE"/>
    <n v="3024"/>
  </r>
  <r>
    <s v="Facture"/>
    <x v="0"/>
    <x v="0"/>
    <s v="FAC260258"/>
    <s v="REG OK"/>
    <d v="2026-04-13T00:00:00"/>
    <s v="102595"/>
    <s v="FRUITS AND LEGUMES BY BARRAQ"/>
    <s v="PRINCIPALE"/>
    <n v="1814.4"/>
  </r>
  <r>
    <s v="Facture"/>
    <x v="0"/>
    <x v="0"/>
    <s v="FAC260261"/>
    <s v="REG OK"/>
    <d v="2026-04-13T00:00:00"/>
    <s v="102681"/>
    <s v="PETROLUB SARLAU"/>
    <s v="PRINCIPALE"/>
    <n v="4080"/>
  </r>
  <r>
    <s v="Facture"/>
    <x v="0"/>
    <x v="0"/>
    <s v="FAC260262"/>
    <s v="REG OK"/>
    <d v="2026-04-13T00:00:00"/>
    <s v="102752"/>
    <s v="CHRONO FISH"/>
    <s v="PRINCIPALE"/>
    <n v="200032"/>
  </r>
  <r>
    <s v="Facture"/>
    <x v="0"/>
    <x v="0"/>
    <s v="FAC260260"/>
    <s v="REG OK"/>
    <d v="2026-04-13T00:00:00"/>
    <s v="102765"/>
    <s v="HORTICOM"/>
    <s v="PRINCIPALE"/>
    <n v="834"/>
  </r>
  <r>
    <s v="Facture"/>
    <x v="0"/>
    <x v="0"/>
    <s v="FAC260259"/>
    <s v="REG OK"/>
    <d v="2026-04-13T00:00:00"/>
    <s v="120401"/>
    <s v="ROCK &amp; MAN SARL"/>
    <s v="PRINCIPALE"/>
    <n v="3628.8"/>
  </r>
  <r>
    <s v="Facture"/>
    <x v="0"/>
    <x v="0"/>
    <s v="FAC260268"/>
    <s v="REG OK"/>
    <d v="2026-04-14T00:00:00"/>
    <s v="1002873"/>
    <s v="NESSMA FLAVOR"/>
    <s v="PRINCIPALE"/>
    <n v="6048"/>
  </r>
  <r>
    <s v="Facture"/>
    <x v="0"/>
    <x v="0"/>
    <s v="FAC260269"/>
    <s v="REG OK"/>
    <d v="2026-04-14T00:00:00"/>
    <s v="1002873"/>
    <s v="NESSMA FLAVOR"/>
    <s v="PRINCIPALE"/>
    <n v="6048"/>
  </r>
  <r>
    <s v="Facture"/>
    <x v="0"/>
    <x v="0"/>
    <s v="FAC260267"/>
    <s v="REG OK"/>
    <d v="2026-04-14T00:00:00"/>
    <s v="100296"/>
    <s v="DECOPIN"/>
    <s v="PRINCIPALE"/>
    <n v="12600"/>
  </r>
  <r>
    <s v="Facture"/>
    <x v="0"/>
    <x v="0"/>
    <s v="FAC260265"/>
    <s v="REG OK"/>
    <d v="2026-04-14T00:00:00"/>
    <s v="102066"/>
    <s v="UNIVERS PRODUCT"/>
    <s v="PRINCIPALE"/>
    <n v="1791.3"/>
  </r>
  <r>
    <s v="Facture"/>
    <x v="0"/>
    <x v="0"/>
    <s v="FAC260263"/>
    <s v="REG OK"/>
    <d v="2026-04-14T00:00:00"/>
    <s v="102275"/>
    <s v="GROUPEMENT ALIMENTAIRE REUNI"/>
    <s v="PRINCIPALE"/>
    <n v="11880"/>
  </r>
  <r>
    <s v="Facture"/>
    <x v="0"/>
    <x v="0"/>
    <s v="FAC260264"/>
    <s v="RO85 NEUTRE"/>
    <d v="2026-04-14T00:00:00"/>
    <s v="120318"/>
    <s v="TUNAMAX"/>
    <s v="PRINCIPALE"/>
    <n v="385131.6"/>
  </r>
  <r>
    <s v="Facture"/>
    <x v="0"/>
    <x v="0"/>
    <s v="FAC260266"/>
    <s v="REG OK"/>
    <d v="2026-04-14T00:00:00"/>
    <s v="120401"/>
    <s v="ROCK &amp; MAN SARL"/>
    <s v="PRINCIPALE"/>
    <n v="3628.8"/>
  </r>
  <r>
    <s v="Facture"/>
    <x v="0"/>
    <x v="0"/>
    <s v="FAC260271"/>
    <s v="REG OK"/>
    <d v="2026-04-15T00:00:00"/>
    <s v="100274"/>
    <s v="ALICOMAR"/>
    <s v="PRINCIPALE"/>
    <n v="28004.16"/>
  </r>
  <r>
    <s v="Facture"/>
    <x v="0"/>
    <x v="0"/>
    <s v="FAC260270"/>
    <s v="REG OK"/>
    <d v="2026-04-15T00:00:00"/>
    <s v="102632"/>
    <s v="VISCA FOOD"/>
    <s v="PRINCIPALE"/>
    <n v="28080"/>
  </r>
  <r>
    <s v="Facture"/>
    <x v="0"/>
    <x v="0"/>
    <s v="FAC260273"/>
    <s v="REG OK"/>
    <d v="2026-04-15T00:00:00"/>
    <s v="102913"/>
    <s v="ATUNEROS DEL SUR CONSERVAS"/>
    <s v="PRINCIPALE"/>
    <n v="383234.4"/>
  </r>
  <r>
    <s v="Facture"/>
    <x v="0"/>
    <x v="0"/>
    <s v="FAC260272"/>
    <s v="REG OK"/>
    <d v="2026-04-15T00:00:00"/>
    <s v="102935"/>
    <s v="VITRO PACK SARLAU "/>
    <s v="PRINCIPALE"/>
    <n v="30180"/>
  </r>
  <r>
    <s v="Facture"/>
    <x v="0"/>
    <x v="0"/>
    <s v="FAC260276"/>
    <s v="22L"/>
    <d v="2026-04-16T00:00:00"/>
    <s v="100099"/>
    <s v="SIKA MAROC"/>
    <s v="PRINCIPALE"/>
    <n v="60000"/>
  </r>
  <r>
    <s v="Facture"/>
    <x v="0"/>
    <x v="0"/>
    <s v="FAC260277"/>
    <s v="RO85 NEUTRE "/>
    <d v="2026-04-16T00:00:00"/>
    <s v="102740"/>
    <s v="MEAT CORP"/>
    <s v="PRINCIPALE"/>
    <n v="396514.8"/>
  </r>
  <r>
    <s v="Facture"/>
    <x v="0"/>
    <x v="0"/>
    <s v="FAC260275"/>
    <s v="REG OK"/>
    <d v="2026-04-16T00:00:00"/>
    <s v="102930"/>
    <s v="NOUTFIA ABDELMALAK"/>
    <s v="PRINCIPALE"/>
    <n v="9619.2000000000007"/>
  </r>
  <r>
    <s v="Facture"/>
    <x v="0"/>
    <x v="0"/>
    <s v="FAC260274"/>
    <s v="REG OK"/>
    <d v="2026-04-16T00:00:00"/>
    <s v="120401"/>
    <s v="ROCK &amp; MAN SARL"/>
    <s v="PRINCIPALE"/>
    <n v="6048"/>
  </r>
  <r>
    <s v="Facture"/>
    <x v="0"/>
    <x v="0"/>
    <s v="FAC260279"/>
    <s v="REG OK"/>
    <d v="2026-04-17T00:00:00"/>
    <s v="100097"/>
    <s v="SOCOBEN"/>
    <s v="PRINCIPALE"/>
    <n v="1389.8"/>
  </r>
  <r>
    <s v="Facture"/>
    <x v="0"/>
    <x v="0"/>
    <s v="FAC260281"/>
    <s v="REG OK"/>
    <d v="2026-04-17T00:00:00"/>
    <s v="1002873"/>
    <s v="NESSMA FLAVOR"/>
    <s v="PRINCIPALE"/>
    <n v="2419.1999999999998"/>
  </r>
  <r>
    <s v="Facture"/>
    <x v="0"/>
    <x v="0"/>
    <s v="FAC260280"/>
    <s v="REG OK"/>
    <d v="2026-04-17T00:00:00"/>
    <s v="100527"/>
    <s v="CLIENT DIVERS"/>
    <s v="PRINCIPALE"/>
    <n v="2419.1999999999998"/>
  </r>
  <r>
    <s v="Facture"/>
    <x v="0"/>
    <x v="0"/>
    <s v="FAC260282"/>
    <s v="REG OK"/>
    <d v="2026-04-17T00:00:00"/>
    <s v="102592"/>
    <s v="LOGI FOOD MAROC"/>
    <s v="PRINCIPALE"/>
    <n v="416302.59600000002"/>
  </r>
  <r>
    <s v="Facture"/>
    <x v="0"/>
    <x v="0"/>
    <s v="FAC260278"/>
    <s v="REG OK"/>
    <d v="2026-04-17T00:00:00"/>
    <s v="102832"/>
    <s v="SALWAN DE PÊCHE MARITIME"/>
    <s v="PRINCIPALE"/>
    <n v="181361.16"/>
  </r>
  <r>
    <s v="Facture"/>
    <x v="0"/>
    <x v="0"/>
    <s v="FAC260285"/>
    <s v="REG OK"/>
    <d v="2026-04-20T00:00:00"/>
    <s v="100094"/>
    <s v="SIDNI COLOR"/>
    <s v="PRINCIPALE"/>
    <n v="8675"/>
  </r>
  <r>
    <s v="Facture"/>
    <x v="0"/>
    <x v="0"/>
    <s v="FAC260289"/>
    <s v="REG OK"/>
    <d v="2026-04-20T00:00:00"/>
    <s v="1002873"/>
    <s v="NESSMA FLAVOR"/>
    <s v="PRINCIPALE"/>
    <n v="3024"/>
  </r>
  <r>
    <s v="Facture"/>
    <x v="0"/>
    <x v="0"/>
    <s v="FAC260287"/>
    <s v="REG OK"/>
    <d v="2026-04-20T00:00:00"/>
    <s v="100291"/>
    <s v="DROGUERIE AHLAN ALWAN"/>
    <s v="PRINCIPALE"/>
    <n v="3625.85"/>
  </r>
  <r>
    <s v="Facture"/>
    <x v="0"/>
    <x v="0"/>
    <s v="FAC260288"/>
    <s v="REG OK"/>
    <d v="2026-04-20T00:00:00"/>
    <s v="100296"/>
    <s v="DECOPIN"/>
    <s v="PRINCIPALE"/>
    <n v="5100"/>
  </r>
  <r>
    <s v="Facture"/>
    <x v="0"/>
    <x v="0"/>
    <s v="FAC260290"/>
    <s v="REG OK"/>
    <d v="2026-04-20T00:00:00"/>
    <s v="100527"/>
    <s v="CLIENT DIVERS"/>
    <s v="PRINCIPALE"/>
    <n v="3024"/>
  </r>
  <r>
    <s v="Facture"/>
    <x v="0"/>
    <x v="0"/>
    <s v="FAC260283"/>
    <s v="REG OK"/>
    <d v="2026-04-20T00:00:00"/>
    <s v="102275"/>
    <s v="GROUPEMENT ALIMENTAIRE REUNI"/>
    <s v="PRINCIPALE"/>
    <n v="100985.95"/>
  </r>
  <r>
    <s v="Facture"/>
    <x v="0"/>
    <x v="0"/>
    <s v="FAC260291"/>
    <s v="RO85 NEUTRE "/>
    <d v="2026-04-20T00:00:00"/>
    <s v="102914"/>
    <s v="IDNAFOOD"/>
    <s v="PRINCIPALE"/>
    <n v="383234.4"/>
  </r>
  <r>
    <s v="Facture"/>
    <x v="0"/>
    <x v="0"/>
    <s v="FAC260284"/>
    <s v="TO58 OR"/>
    <d v="2026-04-20T00:00:00"/>
    <s v="120317"/>
    <s v="ANDALUS FOOD GROUP"/>
    <s v="PRINCIPALE"/>
    <n v="28000"/>
  </r>
  <r>
    <s v="Facture"/>
    <x v="0"/>
    <x v="0"/>
    <s v="FAC260286"/>
    <s v="REG OK"/>
    <d v="2026-04-20T00:00:00"/>
    <s v="120388"/>
    <s v="GLOMATEST"/>
    <s v="PRINCIPALE"/>
    <n v="2132.319"/>
  </r>
  <r>
    <s v="Facture"/>
    <x v="0"/>
    <x v="0"/>
    <s v="FAC260295"/>
    <s v="REG OK"/>
    <d v="2026-04-21T00:00:00"/>
    <s v="100502"/>
    <s v="GUEROUANI"/>
    <s v="PRINCIPALE"/>
    <n v="785"/>
  </r>
  <r>
    <s v="Facture"/>
    <x v="0"/>
    <x v="0"/>
    <s v="FAC260293"/>
    <s v="CH "/>
    <d v="2026-04-21T00:00:00"/>
    <s v="102169"/>
    <s v="STARCHIM"/>
    <s v="PRINCIPALE"/>
    <n v="7950"/>
  </r>
  <r>
    <s v="Facture"/>
    <x v="0"/>
    <x v="0"/>
    <s v="FAC260292"/>
    <s v="REG OK"/>
    <d v="2026-04-21T00:00:00"/>
    <s v="102444"/>
    <s v="MAATAK JAMAL"/>
    <s v="PRINCIPALE"/>
    <n v="3024"/>
  </r>
  <r>
    <s v="Facture"/>
    <x v="0"/>
    <x v="0"/>
    <s v="FAC260294"/>
    <s v="COMMANDE 22"/>
    <d v="2026-04-21T00:00:00"/>
    <s v="102860"/>
    <s v="PN STORE MAROC"/>
    <s v="PRINCIPALE"/>
    <n v="235831.32"/>
  </r>
  <r>
    <s v="Facture"/>
    <x v="0"/>
    <x v="0"/>
    <s v="FAC260296"/>
    <s v="REG OK"/>
    <d v="2026-04-22T00:00:00"/>
    <s v="101581"/>
    <s v="MASTER COAT"/>
    <s v="PRINCIPALE"/>
    <n v="1276.2"/>
  </r>
  <r>
    <s v="Facture"/>
    <x v="0"/>
    <x v="0"/>
    <s v="FAC260297"/>
    <s v="REG OK"/>
    <d v="2026-04-23T00:00:00"/>
    <s v="101172"/>
    <s v="GLO FOODS"/>
    <s v="PRINCIPALE"/>
    <n v="153912"/>
  </r>
  <r>
    <s v="Facture"/>
    <x v="0"/>
    <x v="1"/>
    <s v="FAC260300"/>
    <s v="REG OK"/>
    <d v="2026-04-23T00:00:00"/>
    <s v="102229"/>
    <s v="LAK COSMETIQUE"/>
    <s v="PRINCIPALE"/>
    <n v="3921.6"/>
  </r>
  <r>
    <s v="Facture"/>
    <x v="0"/>
    <x v="1"/>
    <s v="FAC260299"/>
    <s v="RO85 GOLDY "/>
    <d v="2026-04-23T00:00:00"/>
    <s v="102592"/>
    <s v="LOGI FOOD MAROC"/>
    <s v="PRINCIPALE"/>
    <n v="136450.53140000001"/>
  </r>
  <r>
    <s v="Facture de retour"/>
    <x v="0"/>
    <x v="0"/>
    <s v="FAR260002"/>
    <s v="GOLDY HV"/>
    <d v="2026-04-23T00:00:00"/>
    <s v="102592"/>
    <s v="LOGI FOOD MAROC"/>
    <s v="PRINCIPALE"/>
    <n v="136450.53140000001"/>
  </r>
  <r>
    <s v="Facture"/>
    <x v="0"/>
    <x v="0"/>
    <s v="FAC260298"/>
    <s v="REG OK"/>
    <d v="2026-04-23T00:00:00"/>
    <s v="102595"/>
    <s v="FRUITS AND LEGUMES BY BARRAQ"/>
    <s v="PRINCIPALE"/>
    <n v="1814.4"/>
  </r>
  <r>
    <s v="Facture"/>
    <x v="0"/>
    <x v="1"/>
    <s v="FAC260301"/>
    <s v="58 TO OR "/>
    <d v="2026-04-23T00:00:00"/>
    <s v="120317"/>
    <s v="ANDALUS FOOD GROUP"/>
    <s v="PRINCIPALE"/>
    <n v="28000"/>
  </r>
  <r>
    <s v="Facture"/>
    <x v="0"/>
    <x v="1"/>
    <s v="FAC260303"/>
    <s v="REG OK"/>
    <d v="2026-04-24T00:00:00"/>
    <s v="101720"/>
    <s v="ETABLISSEMENT SOUSS"/>
    <s v="PRINCIPALE"/>
    <n v="1391.2"/>
  </r>
  <r>
    <s v="Facture"/>
    <x v="0"/>
    <x v="1"/>
    <s v="FAC260302"/>
    <s v="RO85 GOLDY"/>
    <d v="2026-04-24T00:00:00"/>
    <s v="102592"/>
    <s v="LOGI FOOD MAROC"/>
    <s v="PRINCIPALE"/>
    <n v="404103.6"/>
  </r>
  <r>
    <s v="Facture"/>
    <x v="0"/>
    <x v="1"/>
    <s v="FAC260307"/>
    <s v="REG OK"/>
    <d v="2026-04-24T00:00:00"/>
    <s v="102681"/>
    <s v="PETROLUB SARLAU"/>
    <s v="PRINCIPALE"/>
    <n v="2232"/>
  </r>
  <r>
    <s v="Facture"/>
    <x v="0"/>
    <x v="1"/>
    <s v="FAC260305"/>
    <s v="REG OK"/>
    <d v="2026-04-24T00:00:00"/>
    <s v="102798"/>
    <s v="LITTLEMA SARL"/>
    <s v="PRINCIPALE"/>
    <n v="15156"/>
  </r>
  <r>
    <s v="Facture"/>
    <x v="0"/>
    <x v="1"/>
    <s v="FAC260304"/>
    <s v="REG OK"/>
    <d v="2026-04-24T00:00:00"/>
    <s v="102909"/>
    <s v="WAFA SOUSS"/>
    <s v="PRINCIPALE"/>
    <n v="901"/>
  </r>
  <r>
    <s v="Facture"/>
    <x v="0"/>
    <x v="1"/>
    <s v="FAC260306"/>
    <s v="REG OK"/>
    <d v="2026-04-24T00:00:00"/>
    <s v="120378"/>
    <s v="B&amp;G Fromagerie"/>
    <s v="PRINCIPALE"/>
    <n v="1470.6"/>
  </r>
  <r>
    <s v="Facture"/>
    <x v="0"/>
    <x v="1"/>
    <s v="FAC260308"/>
    <s v="REG OK"/>
    <d v="2026-04-24T00:00:00"/>
    <s v="120401"/>
    <s v="ROCK &amp; MAN SARL"/>
    <s v="PRINCIPALE"/>
    <n v="3628.8"/>
  </r>
  <r>
    <s v="Facture"/>
    <x v="0"/>
    <x v="1"/>
    <s v="FAC260309"/>
    <s v="REG OK"/>
    <d v="2026-04-25T00:00:00"/>
    <s v="102602"/>
    <s v="EL HDAGA FOOD"/>
    <s v="PRINCIPALE"/>
    <n v="2700"/>
  </r>
  <r>
    <s v="Facture"/>
    <x v="0"/>
    <x v="1"/>
    <s v="FAC260310"/>
    <s v="82TO OR "/>
    <d v="2026-04-25T00:00:00"/>
    <s v="120317"/>
    <s v="ANDALUS FOOD GROUP"/>
    <s v="PRINCIPALE"/>
    <n v="1800"/>
  </r>
  <r>
    <s v="Facture"/>
    <x v="0"/>
    <x v="1"/>
    <s v="FAC260319"/>
    <s v="REG OK"/>
    <d v="2026-04-27T00:00:00"/>
    <s v="100113"/>
    <s v="STAND COLOR"/>
    <s v="PRINCIPALE"/>
    <n v="785"/>
  </r>
  <r>
    <s v="Facture"/>
    <x v="0"/>
    <x v="1"/>
    <s v="FAC260311"/>
    <s v="REG OK"/>
    <d v="2026-04-27T00:00:00"/>
    <s v="1002873"/>
    <s v="NESSMA FLAVOR"/>
    <s v="PRINCIPALE"/>
    <n v="6048"/>
  </r>
  <r>
    <s v="Facture"/>
    <x v="0"/>
    <x v="1"/>
    <s v="FAC260316"/>
    <s v="REG OK"/>
    <d v="2026-04-27T00:00:00"/>
    <s v="1002873"/>
    <s v="NESSMA FLAVOR"/>
    <s v="PRINCIPALE"/>
    <n v="6048"/>
  </r>
  <r>
    <s v="Facture"/>
    <x v="0"/>
    <x v="1"/>
    <s v="FAC260317"/>
    <s v="REG OK"/>
    <d v="2026-04-27T00:00:00"/>
    <s v="100323"/>
    <s v="DROGUERIE DROLISA"/>
    <s v="PRINCIPALE"/>
    <n v="4655.6499999999996"/>
  </r>
  <r>
    <s v="Facture"/>
    <x v="0"/>
    <x v="1"/>
    <s v="FAC260320"/>
    <s v="REG OK"/>
    <d v="2026-04-27T00:00:00"/>
    <s v="100527"/>
    <s v="CLIENT DIVERS"/>
    <s v="PRINCIPALE"/>
    <n v="1814.4"/>
  </r>
  <r>
    <s v="Facture"/>
    <x v="0"/>
    <x v="1"/>
    <s v="FAC260318"/>
    <s v="REG OK"/>
    <d v="2026-04-27T00:00:00"/>
    <s v="102444"/>
    <s v="MAATAK JAMAL"/>
    <s v="PRINCIPALE"/>
    <n v="6048"/>
  </r>
  <r>
    <s v="Facture"/>
    <x v="0"/>
    <x v="1"/>
    <s v="FAC260312"/>
    <s v="REG OK"/>
    <d v="2026-04-27T00:00:00"/>
    <s v="102499"/>
    <s v="SAMIR MAATAK"/>
    <s v="PRINCIPALE"/>
    <n v="3024"/>
  </r>
  <r>
    <s v="Facture"/>
    <x v="0"/>
    <x v="1"/>
    <s v="FAC260315"/>
    <s v="REG OK"/>
    <d v="2026-04-27T00:00:00"/>
    <s v="102595"/>
    <s v="FRUITS AND LEGUMES BY BARRAQ"/>
    <s v="PRINCIPALE"/>
    <n v="3024"/>
  </r>
  <r>
    <s v="Facture"/>
    <x v="0"/>
    <x v="1"/>
    <s v="FAC260324"/>
    <s v="TO63 OR"/>
    <d v="2026-04-27T00:00:00"/>
    <s v="102701"/>
    <s v="VICTUS &amp; TRADITUM FOODS"/>
    <s v="PRINCIPALE"/>
    <n v="22770"/>
  </r>
  <r>
    <s v="Facture"/>
    <x v="0"/>
    <x v="1"/>
    <s v="FAC260323"/>
    <s v="REG OK"/>
    <d v="2026-04-27T00:00:00"/>
    <s v="102798"/>
    <s v="LITTLEMA SARL"/>
    <s v="PRINCIPALE"/>
    <n v="15156"/>
  </r>
  <r>
    <s v="Facture"/>
    <x v="0"/>
    <x v="1"/>
    <s v="FAC260322"/>
    <s v="REG OK"/>
    <d v="2026-04-27T00:00:00"/>
    <s v="102854"/>
    <s v="BAKHAT ALI"/>
    <s v="PRINCIPALE"/>
    <n v="450.5"/>
  </r>
  <r>
    <s v="Facture"/>
    <x v="0"/>
    <x v="1"/>
    <s v="FAC260313"/>
    <s v="REG OK"/>
    <d v="2026-04-27T00:00:00"/>
    <s v="102893"/>
    <s v="SOUFIANE EL BAKKARI"/>
    <s v="PRINCIPALE"/>
    <n v="1814.4"/>
  </r>
  <r>
    <s v="Facture"/>
    <x v="0"/>
    <x v="1"/>
    <s v="FAC260314"/>
    <s v="REG OK"/>
    <d v="2026-04-27T00:00:00"/>
    <s v="120401"/>
    <s v="ROCK &amp; MAN SARL"/>
    <s v="PRINCIPALE"/>
    <n v="6048"/>
  </r>
  <r>
    <s v="Facture"/>
    <x v="0"/>
    <x v="1"/>
    <s v="FAC260321"/>
    <s v="REG OK"/>
    <d v="2026-04-27T00:00:00"/>
    <s v="120401"/>
    <s v="ROCK &amp; MAN SARL"/>
    <s v="PRINCIPALE"/>
    <n v="3628.8"/>
  </r>
  <r>
    <s v="Facture"/>
    <x v="0"/>
    <x v="1"/>
    <s v="FAC260325"/>
    <s v="REG OK"/>
    <d v="2026-04-28T00:00:00"/>
    <s v="1002873"/>
    <s v="NESSMA FLAVOR"/>
    <s v="PRINCIPALE"/>
    <n v="6048"/>
  </r>
  <r>
    <s v="Facture"/>
    <x v="0"/>
    <x v="1"/>
    <s v="FAC260326"/>
    <s v="1/4 CLUB ALU 125"/>
    <d v="2026-04-28T00:00:00"/>
    <s v="102608"/>
    <s v="ATLANTIC SARDINE ANCHOVIE TAN-TAN"/>
    <s v="PRINCIPALE"/>
    <n v="1447682.4"/>
  </r>
  <r>
    <s v="Facture"/>
    <x v="0"/>
    <x v="1"/>
    <s v="FAC260330"/>
    <s v="REG OK"/>
    <d v="2026-04-29T00:00:00"/>
    <s v="1002873"/>
    <s v="NESSMA FLAVOR"/>
    <s v="PRINCIPALE"/>
    <n v="6048"/>
  </r>
  <r>
    <s v="Facture"/>
    <x v="0"/>
    <x v="1"/>
    <s v="FAC260327"/>
    <s v="REG OK"/>
    <d v="2026-04-29T00:00:00"/>
    <s v="102499"/>
    <s v="SAMIR MAATAK"/>
    <s v="PRINCIPALE"/>
    <n v="3628.8"/>
  </r>
  <r>
    <s v="Facture"/>
    <x v="0"/>
    <x v="1"/>
    <s v="FAC260331"/>
    <s v="REG OK"/>
    <d v="2026-04-29T00:00:00"/>
    <s v="102499"/>
    <s v="SAMIR MAATAK"/>
    <s v="PRINCIPALE"/>
    <n v="1209.5999999999999"/>
  </r>
  <r>
    <s v="Facture"/>
    <x v="0"/>
    <x v="1"/>
    <s v="FAC260329"/>
    <s v="REG OK"/>
    <d v="2026-04-29T00:00:00"/>
    <s v="120401"/>
    <s v="ROCK &amp; MAN SARL"/>
    <s v="PRINCIPALE"/>
    <n v="3024"/>
  </r>
  <r>
    <s v="Facture"/>
    <x v="0"/>
    <x v="1"/>
    <s v="FAC260328"/>
    <s v="REG OK"/>
    <d v="2026-04-29T00:00:00"/>
    <s v="120402"/>
    <s v="FDL CHEMICALS"/>
    <s v="PRINCIPALE"/>
    <n v="2676.2"/>
  </r>
  <r>
    <s v="Facture"/>
    <x v="0"/>
    <x v="1"/>
    <s v="FAC260333"/>
    <s v="REG OK"/>
    <d v="2026-04-29T00:00:00"/>
    <s v="120404"/>
    <s v="MOHAMED AHOUJI   "/>
    <s v="PRINCIPALE"/>
    <n v="6048"/>
  </r>
  <r>
    <s v="Facture"/>
    <x v="0"/>
    <x v="1"/>
    <s v="FAC260332"/>
    <s v="REG OK"/>
    <d v="2026-04-29T00:00:00"/>
    <s v="120405"/>
    <s v="RIZAL Sarl"/>
    <s v="PRINCIPALE"/>
    <n v="2703"/>
  </r>
  <r>
    <s v="Facture"/>
    <x v="0"/>
    <x v="1"/>
    <s v="FACSA26019"/>
    <s v="ECHANTILLON GRT "/>
    <d v="2026-04-30T00:00:00"/>
    <s v="100527"/>
    <s v="CLIENT DIVERS"/>
    <s v="ECHANTILLONS"/>
    <n v="0"/>
  </r>
  <r>
    <s v="Facture"/>
    <x v="0"/>
    <x v="1"/>
    <s v="FAC260335"/>
    <s v="REG OK"/>
    <d v="2026-04-30T00:00:00"/>
    <s v="102045"/>
    <s v="SIAR"/>
    <s v="PRINCIPALE"/>
    <n v="6840"/>
  </r>
  <r>
    <s v="Facture"/>
    <x v="0"/>
    <x v="1"/>
    <s v="FAC260334"/>
    <s v="RO85 NEUTRE"/>
    <d v="2026-04-30T00:00:00"/>
    <s v="102180"/>
    <s v="SILVER FOOD"/>
    <s v="PRINCIPALE"/>
    <n v="383234.4"/>
  </r>
  <r>
    <s v="Facture"/>
    <x v="0"/>
    <x v="0"/>
    <s v="PSSL2604"/>
    <s v="REG OK"/>
    <d v="2026-04-30T00:00:00"/>
    <s v="102857"/>
    <s v="JIL LOGISTIQUE"/>
    <s v="PRST SERVICE SUPPORT &amp; LOGISTIQUE"/>
    <n v="10500"/>
  </r>
  <r>
    <s v="Facture"/>
    <x v="0"/>
    <x v="1"/>
    <s v="FAC260336"/>
    <s v="22L"/>
    <d v="2026-05-04T00:00:00"/>
    <s v="100507"/>
    <s v="IMAPE"/>
    <s v="PRINCIPALE"/>
    <n v="30030"/>
  </r>
  <r>
    <s v="Facture"/>
    <x v="0"/>
    <x v="1"/>
    <s v="FAC260337"/>
    <s v="REG OK"/>
    <d v="2026-05-04T00:00:00"/>
    <s v="100527"/>
    <s v="CLIENT DIVERS"/>
    <s v="PRINCIPALE"/>
    <n v="721.6"/>
  </r>
  <r>
    <s v="Facture"/>
    <x v="0"/>
    <x v="1"/>
    <s v="FAC260339"/>
    <s v="RO85 NEUTRE"/>
    <d v="2026-05-04T00:00:00"/>
    <s v="101734"/>
    <s v="MARINE SPECIES FISH MAROC"/>
    <s v="PRINCIPALE"/>
    <n v="385878.6"/>
  </r>
  <r>
    <s v="Facture"/>
    <x v="0"/>
    <x v="1"/>
    <s v="FAC260338"/>
    <s v="REG OK"/>
    <d v="2026-05-04T00:00:00"/>
    <s v="102832"/>
    <s v="SALWAN DE PÊCHE MARITIME"/>
    <s v="PRINCIPALE"/>
    <n v="155526.54"/>
  </r>
  <r>
    <s v="Facture"/>
    <x v="0"/>
    <x v="1"/>
    <s v="FAC260342"/>
    <s v="REG OK"/>
    <d v="2026-05-05T00:00:00"/>
    <s v="100010"/>
    <s v="LPEE"/>
    <s v="PRINCIPALE"/>
    <n v="810.9"/>
  </r>
  <r>
    <s v="Facture"/>
    <x v="0"/>
    <x v="1"/>
    <s v="FAC260344"/>
    <s v="REG OK"/>
    <d v="2026-05-05T00:00:00"/>
    <s v="1002873"/>
    <s v="NESSMA FLAVOR"/>
    <s v="PRINCIPALE"/>
    <n v="4838.3999999999996"/>
  </r>
  <r>
    <s v="Facture"/>
    <x v="0"/>
    <x v="1"/>
    <s v="FAC260340"/>
    <s v="REG OK"/>
    <d v="2026-05-05T00:00:00"/>
    <s v="102208"/>
    <s v="SOLUTION BOIS"/>
    <s v="PRINCIPALE"/>
    <n v="5400"/>
  </r>
  <r>
    <s v="Facture"/>
    <x v="0"/>
    <x v="1"/>
    <s v="FAC260345"/>
    <s v="REG OK"/>
    <d v="2026-05-05T00:00:00"/>
    <s v="102595"/>
    <s v="FRUITS AND LEGUMES BY BARRAQ"/>
    <s v="PRINCIPALE"/>
    <n v="1814.4"/>
  </r>
  <r>
    <s v="Facture"/>
    <x v="0"/>
    <x v="1"/>
    <s v="FAC260341"/>
    <s v="REG OK"/>
    <d v="2026-05-05T00:00:00"/>
    <s v="102798"/>
    <s v="LITTLEMA SARL"/>
    <s v="PRINCIPALE"/>
    <n v="1814.4"/>
  </r>
  <r>
    <s v="Facture"/>
    <x v="0"/>
    <x v="1"/>
    <s v="FAC260343"/>
    <s v="REG OK"/>
    <d v="2026-05-05T00:00:00"/>
    <s v="102798"/>
    <s v="LITTLEMA SARL"/>
    <s v="PRINCIPALE"/>
    <n v="604.79999999999995"/>
  </r>
  <r>
    <s v="Facture"/>
    <x v="0"/>
    <x v="1"/>
    <s v="FAC260346"/>
    <s v="C/CH"/>
    <d v="2026-05-06T00:00:00"/>
    <s v="102674"/>
    <s v="CARPID SARL"/>
    <s v="PRINCIPALE"/>
    <n v="2597.2399999999998"/>
  </r>
  <r>
    <s v="Facture"/>
    <x v="0"/>
    <x v="1"/>
    <s v="FAC260347"/>
    <s v="REG OK"/>
    <d v="2026-05-06T00:00:00"/>
    <s v="102933"/>
    <s v="ALEOSAN AGRO"/>
    <s v="PRINCIPALE"/>
    <n v="28887.08"/>
  </r>
  <r>
    <s v="Facture"/>
    <x v="0"/>
    <x v="1"/>
    <s v="FAC260348"/>
    <s v="TO63 OR "/>
    <d v="2026-05-06T00:00:00"/>
    <s v="120379"/>
    <s v="FOOD PROCESS"/>
    <s v="PRINCIPALE"/>
    <n v="7150"/>
  </r>
  <r>
    <s v="Facture"/>
    <x v="0"/>
    <x v="1"/>
    <s v="FACSA26020"/>
    <s v="ECHANTILLON GRT"/>
    <d v="2026-05-07T00:00:00"/>
    <s v="100527"/>
    <s v="CLIENT DIVERS"/>
    <s v="ECHANTILLONS"/>
    <n v="0"/>
  </r>
  <r>
    <s v="Facture"/>
    <x v="0"/>
    <x v="1"/>
    <s v="FAC260350"/>
    <s v="REG OK"/>
    <d v="2026-05-07T00:00:00"/>
    <s v="102784"/>
    <s v="KHALDYS"/>
    <s v="PRINCIPALE"/>
    <n v="3229.8"/>
  </r>
  <r>
    <s v="Facture"/>
    <x v="0"/>
    <x v="1"/>
    <s v="FAC260353"/>
    <s v="REG OK"/>
    <d v="2026-05-07T00:00:00"/>
    <s v="102798"/>
    <s v="LITTLEMA SARL"/>
    <s v="PRINCIPALE"/>
    <n v="2138.4"/>
  </r>
  <r>
    <s v="Facture"/>
    <x v="0"/>
    <x v="1"/>
    <s v="FAC260352"/>
    <s v="REG OK"/>
    <d v="2026-05-07T00:00:00"/>
    <s v="102893"/>
    <s v="SOUFIANE EL BAKKARI"/>
    <s v="PRINCIPALE"/>
    <n v="2851.2"/>
  </r>
  <r>
    <s v="Facture"/>
    <x v="0"/>
    <x v="1"/>
    <s v="FAC260351"/>
    <s v="RO85 NEUTRE"/>
    <d v="2026-05-07T00:00:00"/>
    <s v="102914"/>
    <s v="IDNAFOOD"/>
    <s v="PRINCIPALE"/>
    <n v="383234.4"/>
  </r>
  <r>
    <s v="Facture"/>
    <x v="0"/>
    <x v="1"/>
    <s v="FAC260349"/>
    <s v="REG OK"/>
    <d v="2026-05-07T00:00:00"/>
    <s v="102933"/>
    <s v="ALEOSAN AGRO"/>
    <s v="PRINCIPALE"/>
    <n v="1617"/>
  </r>
  <r>
    <s v="Facture"/>
    <x v="0"/>
    <x v="1"/>
    <s v="FAC260355"/>
    <s v="RO85 NEUTRE"/>
    <d v="2026-05-08T00:00:00"/>
    <s v="102914"/>
    <s v="IDNAFOOD"/>
    <s v="PRINCIPALE"/>
    <n v="383234.4"/>
  </r>
  <r>
    <s v="Facture"/>
    <x v="0"/>
    <x v="1"/>
    <s v="FAC260354"/>
    <s v="VIR"/>
    <d v="2026-05-08T00:00:00"/>
    <s v="12167"/>
    <s v="NORDIC DESIGN"/>
    <s v="PRINCIPALE"/>
    <n v="2850"/>
  </r>
  <r>
    <s v="Facture"/>
    <x v="0"/>
    <x v="1"/>
    <s v="FAC260357"/>
    <s v="REG OK"/>
    <d v="2026-05-09T00:00:00"/>
    <s v="1002873"/>
    <s v="NESSMA FLAVOR"/>
    <s v="PRINCIPALE"/>
    <n v="1814.4"/>
  </r>
  <r>
    <s v="Facture"/>
    <x v="0"/>
    <x v="1"/>
    <s v="FAC260356"/>
    <s v="REG OK"/>
    <d v="2026-05-09T00:00:00"/>
    <s v="100527"/>
    <s v="CLIENT DIVERS"/>
    <s v="PRINCIPALE"/>
    <n v="7128"/>
  </r>
  <r>
    <s v="Facture"/>
    <x v="0"/>
    <x v="1"/>
    <s v="FAC260360"/>
    <s v="VERRE"/>
    <d v="2026-05-11T00:00:00"/>
    <s v="102201"/>
    <s v="VCR"/>
    <s v="PRINCIPALE"/>
    <n v="118069.08"/>
  </r>
  <r>
    <s v="Facture"/>
    <x v="0"/>
    <x v="1"/>
    <s v="FAC260359"/>
    <s v="REG OK"/>
    <d v="2026-05-11T00:00:00"/>
    <s v="102552"/>
    <s v="POLYCHEF INGENIERIE"/>
    <s v="PRINCIPALE"/>
    <n v="22055.7012"/>
  </r>
  <r>
    <s v="Facture"/>
    <x v="0"/>
    <x v="1"/>
    <s v="FAC260358"/>
    <s v="REG OK"/>
    <d v="2026-05-11T00:00:00"/>
    <s v="102602"/>
    <s v="EL HDAGA FOOD"/>
    <s v="PRINCIPALE"/>
    <n v="14500"/>
  </r>
  <r>
    <s v="Facture"/>
    <x v="0"/>
    <x v="1"/>
    <s v="FAC260361"/>
    <s v="REG OK"/>
    <d v="2026-05-12T00:00:00"/>
    <s v="102913"/>
    <s v="ATUNEROS DEL SUR CONSERVAS"/>
    <s v="PRINCIPALE"/>
    <n v="383234.4"/>
  </r>
  <r>
    <s v="Facture"/>
    <x v="0"/>
    <x v="1"/>
    <s v="FAC260362"/>
    <s v="REG OK"/>
    <d v="2026-05-12T00:00:00"/>
    <s v="102930"/>
    <s v="NOUTFIA ABDELMALAK"/>
    <s v="PRINCIPALE"/>
    <n v="7630"/>
  </r>
  <r>
    <s v="Facture"/>
    <x v="0"/>
    <x v="1"/>
    <s v="FAC260364"/>
    <s v="REG OK"/>
    <d v="2026-05-13T00:00:00"/>
    <s v="102650"/>
    <s v="DROGUERIE SALMA SARL"/>
    <s v="PRINCIPALE"/>
    <n v="2441.1"/>
  </r>
  <r>
    <s v="Facture d'avoir"/>
    <x v="0"/>
    <x v="1"/>
    <s v="FAV260001"/>
    <s v="REMISE"/>
    <d v="2026-05-13T00:00:00"/>
    <s v="102932"/>
    <s v="CONSERVERIES PELAGIQUES DE DAKHLA"/>
    <s v="PRINCIPALE"/>
    <n v="204674.78"/>
  </r>
  <r>
    <s v="Facture"/>
    <x v="0"/>
    <x v="1"/>
    <s v="FAC260363"/>
    <s v="REG OK"/>
    <d v="2026-05-13T00:00:00"/>
    <s v="102935"/>
    <s v="VITRO PACK SARLAU "/>
    <s v="PRINCIPALE"/>
    <n v="14522.4"/>
  </r>
  <r>
    <s v="Facture"/>
    <x v="0"/>
    <x v="1"/>
    <s v="FAC260365"/>
    <s v="REG OK"/>
    <d v="2026-05-13T00:00:00"/>
    <s v="120407"/>
    <s v="SAHELMIX"/>
    <s v="PRINCIPALE"/>
    <n v="29520"/>
  </r>
  <r>
    <s v="Facture"/>
    <x v="0"/>
    <x v="1"/>
    <s v="FAC260366"/>
    <s v="RO85 NEUTRE"/>
    <d v="2026-05-14T00:00:00"/>
    <s v="102740"/>
    <s v="MEAT CORP"/>
    <s v="PRINCIPALE"/>
    <n v="396514.8"/>
  </r>
  <r>
    <s v="Facture"/>
    <x v="0"/>
    <x v="1"/>
    <s v="FAC260368"/>
    <s v="REG OK"/>
    <d v="2026-05-15T00:00:00"/>
    <s v="1002873"/>
    <s v="NESSMA FLAVOR"/>
    <s v="PRINCIPALE"/>
    <n v="3564"/>
  </r>
  <r>
    <s v="Facture"/>
    <x v="0"/>
    <x v="1"/>
    <s v="FAC260370"/>
    <s v="REG OK"/>
    <d v="2026-05-15T00:00:00"/>
    <s v="1002873"/>
    <s v="NESSMA FLAVOR"/>
    <s v="PRINCIPALE"/>
    <n v="3564"/>
  </r>
  <r>
    <s v="Facture"/>
    <x v="0"/>
    <x v="1"/>
    <s v="FAC260374"/>
    <s v="REG OK"/>
    <d v="2026-05-15T00:00:00"/>
    <s v="100527"/>
    <s v="CLIENT DIVERS"/>
    <s v="PRINCIPALE"/>
    <n v="1740"/>
  </r>
  <r>
    <s v="Facture"/>
    <x v="0"/>
    <x v="0"/>
    <s v="FAC260371"/>
    <s v="REG OK"/>
    <d v="2026-05-15T00:00:00"/>
    <s v="102205"/>
    <s v="ENNASR ALIMENTAIRE AFRIQUAINE"/>
    <s v="PRINCIPALE"/>
    <n v="135008.016"/>
  </r>
  <r>
    <s v="Facture"/>
    <x v="0"/>
    <x v="1"/>
    <s v="FAC260367"/>
    <s v="REG OK"/>
    <d v="2026-05-15T00:00:00"/>
    <s v="102595"/>
    <s v="FRUITS AND LEGUMES BY BARRAQ"/>
    <s v="PRINCIPALE"/>
    <n v="1425.6"/>
  </r>
  <r>
    <s v="Facture"/>
    <x v="0"/>
    <x v="1"/>
    <s v="FAC260372"/>
    <s v="REG OK"/>
    <d v="2026-05-15T00:00:00"/>
    <s v="102765"/>
    <s v="HORTICOM"/>
    <s v="PRINCIPALE"/>
    <n v="5761.8"/>
  </r>
  <r>
    <s v="Facture"/>
    <x v="0"/>
    <x v="1"/>
    <s v="FAC260373"/>
    <s v="REG OK"/>
    <d v="2026-05-15T00:00:00"/>
    <s v="102798"/>
    <s v="LITTLEMA SARL"/>
    <s v="PRINCIPALE"/>
    <n v="107.5"/>
  </r>
  <r>
    <s v="Facture"/>
    <x v="0"/>
    <x v="1"/>
    <s v="FAC260369"/>
    <s v="REG OK"/>
    <d v="2026-05-15T00:00:00"/>
    <s v="102893"/>
    <s v="SOUFIANE EL BAKKARI"/>
    <s v="PRINCIPALE"/>
    <n v="2138.4"/>
  </r>
  <r>
    <s v="Facture"/>
    <x v="0"/>
    <x v="1"/>
    <s v="FAC260375"/>
    <s v="RO85 NEUTRE"/>
    <d v="2026-05-18T00:00:00"/>
    <s v="102470"/>
    <s v="MERVEILLES DES MERS"/>
    <s v="PRINCIPALE"/>
    <n v="387028.8"/>
  </r>
  <r>
    <s v="Facture"/>
    <x v="0"/>
    <x v="1"/>
    <s v="FAC260376"/>
    <s v="RO85 NEUTRE"/>
    <d v="2026-05-18T00:00:00"/>
    <s v="102913"/>
    <s v="ATUNEROS DEL SUR CONSERVAS"/>
    <s v="PRINCIPALE"/>
    <n v="383234.4"/>
  </r>
  <r>
    <s v="Facture"/>
    <x v="0"/>
    <x v="1"/>
    <s v="FAC260380"/>
    <s v="REG OK"/>
    <d v="2026-05-19T00:00:00"/>
    <s v="100527"/>
    <s v="CLIENT DIVERS"/>
    <s v="PRINCIPALE"/>
    <n v="960"/>
  </r>
  <r>
    <s v="Facture"/>
    <x v="0"/>
    <x v="1"/>
    <s v="FAC260382"/>
    <s v="REG OK"/>
    <d v="2026-05-19T00:00:00"/>
    <s v="100527"/>
    <s v="CLIENT DIVERS"/>
    <s v="PRINCIPALE"/>
    <n v="576.84"/>
  </r>
  <r>
    <s v="Facture"/>
    <x v="0"/>
    <x v="1"/>
    <s v="FAC260383"/>
    <s v="REG OK"/>
    <d v="2026-05-19T00:00:00"/>
    <s v="100527"/>
    <s v="CLIENT DIVERS"/>
    <s v="PRINCIPALE"/>
    <n v="712.8"/>
  </r>
  <r>
    <s v="Facture"/>
    <x v="0"/>
    <x v="1"/>
    <s v="FACSA26021"/>
    <s v="ECHANTILLON GRT"/>
    <d v="2026-05-19T00:00:00"/>
    <s v="100527"/>
    <s v="CLIENT DIVERS"/>
    <s v="ECHANTILLONS"/>
    <n v="0"/>
  </r>
  <r>
    <s v="Facture"/>
    <x v="0"/>
    <x v="1"/>
    <s v="FAC260377"/>
    <s v="RO85 GOLDY"/>
    <d v="2026-05-19T00:00:00"/>
    <s v="102592"/>
    <s v="LOGI FOOD MAROC"/>
    <s v="PRINCIPALE"/>
    <n v="410260.57199999999"/>
  </r>
  <r>
    <s v="Facture"/>
    <x v="0"/>
    <x v="1"/>
    <s v="FAC260378"/>
    <s v="RO85 NEUTRE"/>
    <d v="2026-05-19T00:00:00"/>
    <s v="102592"/>
    <s v="LOGI FOOD MAROC"/>
    <s v="PRINCIPALE"/>
    <n v="112716"/>
  </r>
  <r>
    <s v="Facture de retour"/>
    <x v="0"/>
    <x v="1"/>
    <s v="FAR260004"/>
    <s v="D65"/>
    <d v="2026-05-19T00:00:00"/>
    <s v="102608"/>
    <s v="ATLANTIC SARDINE ANCHOVIE TAN-TAN"/>
    <s v="PRINCIPALE"/>
    <n v="110.36"/>
  </r>
  <r>
    <s v="Facture"/>
    <x v="0"/>
    <x v="1"/>
    <s v="FAC260381"/>
    <s v="REG OK"/>
    <d v="2026-05-19T00:00:00"/>
    <s v="102893"/>
    <s v="SOUFIANE EL BAKKARI"/>
    <s v="PRINCIPALE"/>
    <n v="3564"/>
  </r>
  <r>
    <s v="Facture de retour"/>
    <x v="0"/>
    <x v="1"/>
    <s v="FAR260003"/>
    <s v="370 ML"/>
    <d v="2026-05-19T00:00:00"/>
    <s v="102933"/>
    <s v="ALEOSAN AGRO"/>
    <s v="PRINCIPALE"/>
    <n v="6737.78"/>
  </r>
  <r>
    <s v="Facture"/>
    <x v="0"/>
    <x v="1"/>
    <s v="FAC260379"/>
    <s v="REG OK"/>
    <d v="2026-05-19T00:00:00"/>
    <s v="102935"/>
    <s v="VITRO PACK SARLAU "/>
    <s v="PRINCIPALE"/>
    <n v="6600"/>
  </r>
  <r>
    <s v="Facture"/>
    <x v="0"/>
    <x v="1"/>
    <s v="FAC260388"/>
    <s v="REG OK"/>
    <d v="2026-05-20T00:00:00"/>
    <s v="100527"/>
    <s v="CLIENT DIVERS"/>
    <s v="PRINCIPALE"/>
    <n v="5760"/>
  </r>
  <r>
    <s v="Facture"/>
    <x v="0"/>
    <x v="1"/>
    <s v="FAC260385"/>
    <s v="5/1 NEUTRE"/>
    <d v="2026-05-20T00:00:00"/>
    <s v="101335"/>
    <s v="SMARCOS"/>
    <s v="PRINCIPALE"/>
    <n v="132601.5"/>
  </r>
  <r>
    <s v="Facture"/>
    <x v="0"/>
    <x v="1"/>
    <s v="FAC260387"/>
    <s v="REG OK"/>
    <d v="2026-05-20T00:00:00"/>
    <s v="102252"/>
    <s v="RESIPRO SARL"/>
    <s v="PRINCIPALE"/>
    <n v="32670"/>
  </r>
  <r>
    <s v="Facture"/>
    <x v="0"/>
    <x v="1"/>
    <s v="FAC260386"/>
    <s v="C/CH"/>
    <d v="2026-05-20T00:00:00"/>
    <s v="102526"/>
    <s v="ABERKANE MOHAMED"/>
    <s v="PRINCIPALE"/>
    <n v="1872.56"/>
  </r>
  <r>
    <s v="Facture"/>
    <x v="0"/>
    <x v="1"/>
    <s v="FAC260384"/>
    <s v="TO63 OR"/>
    <d v="2026-05-20T00:00:00"/>
    <s v="102701"/>
    <s v="VICTUS &amp; TRADITUM FOODS"/>
    <s v="PRINCIPALE"/>
    <n v="21780"/>
  </r>
  <r>
    <s v="Facture"/>
    <x v="0"/>
    <x v="1"/>
    <s v="FAC260389"/>
    <s v="RO85 NEUTRE"/>
    <d v="2026-05-20T00:00:00"/>
    <s v="102914"/>
    <s v="IDNAFOOD"/>
    <s v="PRINCIPALE"/>
    <n v="383234.4"/>
  </r>
  <r>
    <s v="Facture"/>
    <x v="0"/>
    <x v="1"/>
    <s v="FAC260390"/>
    <s v="5/1 NEUTRE"/>
    <d v="2026-05-21T00:00:00"/>
    <s v="101335"/>
    <s v="SMARCOS"/>
    <s v="PRINCIPALE"/>
    <n v="132601.5"/>
  </r>
  <r>
    <s v="Facture"/>
    <x v="0"/>
    <x v="1"/>
    <s v="FAC260391"/>
    <s v="RO85 NEUTRE"/>
    <d v="2026-05-21T00:00:00"/>
    <s v="102913"/>
    <s v="ATUNEROS DEL SUR CONSERVAS"/>
    <s v="PRINCIPALE"/>
    <n v="383234.4"/>
  </r>
  <r>
    <s v="Facture"/>
    <x v="0"/>
    <x v="1"/>
    <s v="FAC260392"/>
    <s v="REG OK"/>
    <d v="2026-05-22T00:00:00"/>
    <s v="120378"/>
    <s v="B&amp;G Fromagerie"/>
    <s v="PRINCIPALE"/>
    <n v="3024.06"/>
  </r>
  <r>
    <s v="Facture"/>
    <x v="0"/>
    <x v="1"/>
    <s v="FAC260413"/>
    <s v="CHQ"/>
    <d v="2026-05-23T00:00:00"/>
    <s v="102798"/>
    <s v="LITTLEMA SARL"/>
    <s v="PRINCIPALE"/>
    <n v="8547"/>
  </r>
  <r>
    <s v="Facture"/>
    <x v="0"/>
    <x v="1"/>
    <s v="FAC260414"/>
    <s v="RO85 GOLDY"/>
    <d v="2026-05-25T00:00:00"/>
    <s v="102592"/>
    <s v="LOGI FOOD MAROC"/>
    <s v="PRINCIPALE"/>
    <n v="404103.6"/>
  </r>
  <r>
    <s v="Facture"/>
    <x v="0"/>
    <x v="1"/>
    <s v="FAC260416"/>
    <s v="RO85 NEUTRE"/>
    <d v="2026-06-01T00:00:00"/>
    <s v="102180"/>
    <s v="SILVER FOOD"/>
    <s v="PRINCIPALE"/>
    <n v="383234.4"/>
  </r>
  <r>
    <s v="Facture"/>
    <x v="0"/>
    <x v="1"/>
    <s v="FAC260418"/>
    <s v="CQ"/>
    <d v="2026-06-02T00:00:00"/>
    <s v="100021"/>
    <s v="BOUTALEB DISTRIBUTION"/>
    <s v="PRINCIPALE"/>
    <n v="792"/>
  </r>
  <r>
    <s v="Facture"/>
    <x v="0"/>
    <x v="1"/>
    <s v="FAC260417"/>
    <s v="300ML"/>
    <d v="2026-06-02T00:00:00"/>
    <s v="102205"/>
    <s v="ENNASR ALIMENTAIRE AFRIQUAINE"/>
    <s v="PRINCIPALE"/>
    <n v="140805"/>
  </r>
  <r>
    <s v="Facture"/>
    <x v="0"/>
    <x v="1"/>
    <s v="FAC260419"/>
    <s v="5/1 SAUCE"/>
    <d v="2026-06-03T00:00:00"/>
    <s v="101316"/>
    <s v="VMM"/>
    <s v="PRINCIPALE"/>
    <n v="160704"/>
  </r>
  <r>
    <s v="Facture"/>
    <x v="0"/>
    <x v="1"/>
    <s v="FAC260420"/>
    <s v="5/1 SAUCE PIZZA"/>
    <d v="2026-06-03T00:00:00"/>
    <s v="101316"/>
    <s v="VMM"/>
    <s v="PRINCIPALE"/>
    <n v="160704"/>
  </r>
  <r>
    <s v="Facture"/>
    <x v="0"/>
    <x v="1"/>
    <s v="FAC260423"/>
    <s v="5/1 SAUCE"/>
    <d v="2026-06-04T00:00:00"/>
    <s v="101316"/>
    <s v="VMM"/>
    <s v="PRINCIPALE"/>
    <n v="160704"/>
  </r>
  <r>
    <s v="Facture"/>
    <x v="0"/>
    <x v="1"/>
    <s v="FAC260422"/>
    <s v="300ML"/>
    <d v="2026-06-04T00:00:00"/>
    <s v="102205"/>
    <s v="ENNASR ALIMENTAIRE AFRIQUAINE"/>
    <s v="PRINCIPALE"/>
    <n v="140794.875"/>
  </r>
  <r>
    <s v="Facture"/>
    <x v="0"/>
    <x v="1"/>
    <s v="FAC260421"/>
    <s v="RO85 GOLDY HV"/>
    <d v="2026-06-04T00:00:00"/>
    <s v="102592"/>
    <s v="LOGI FOOD MAROC"/>
    <s v="PRINCIPALE"/>
    <n v="404103.6"/>
  </r>
  <r>
    <s v="Facture"/>
    <x v="0"/>
    <x v="1"/>
    <s v="FAC260424"/>
    <s v="RO85 NEUTRE"/>
    <d v="2026-06-05T00:00:00"/>
    <s v="102914"/>
    <s v="IDNAFOOD"/>
    <s v="PRINCIPALE"/>
    <n v="383234.4"/>
  </r>
  <r>
    <m/>
    <x v="0"/>
    <x v="2"/>
    <m/>
    <m/>
    <m/>
    <m/>
    <m/>
    <m/>
    <m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s v="Facture"/>
    <x v="0"/>
    <s v="A comptabiliser"/>
    <s v="FAC150332"/>
    <x v="0"/>
    <d v="2015-11-10T00:00:00"/>
    <s v="102024"/>
    <s v="MODERN PACK"/>
    <s v="REP"/>
    <n v="17055.3"/>
  </r>
  <r>
    <s v="Facture"/>
    <x v="0"/>
    <s v="A comptabiliser"/>
    <s v="FAC150494"/>
    <x v="0"/>
    <d v="2015-12-17T00:00:00"/>
    <s v="102024"/>
    <s v="MODERN PACK"/>
    <s v="REP"/>
    <n v="18720"/>
  </r>
  <r>
    <s v="Facture"/>
    <x v="0"/>
    <s v="A comptabiliser"/>
    <s v="FAC160106"/>
    <x v="0"/>
    <d v="2016-01-28T00:00:00"/>
    <s v="102024"/>
    <s v="MODERN PACK"/>
    <s v="REP"/>
    <n v="34139.879999999997"/>
  </r>
  <r>
    <s v="Facture"/>
    <x v="0"/>
    <s v="A comptabiliser"/>
    <s v="FAC160489"/>
    <x v="0"/>
    <d v="2016-04-22T00:00:00"/>
    <s v="102024"/>
    <s v="MODERN PACK"/>
    <s v="REP"/>
    <n v="12480"/>
  </r>
  <r>
    <s v="Facture"/>
    <x v="0"/>
    <s v="A comptabiliser"/>
    <s v="FAC161071"/>
    <x v="0"/>
    <d v="2016-08-30T00:00:00"/>
    <s v="100220"/>
    <s v="TITAN               "/>
    <s v="REP"/>
    <n v="16671"/>
  </r>
  <r>
    <s v="Facture"/>
    <x v="0"/>
    <s v="A comptabiliser"/>
    <s v="FAC171290"/>
    <x v="0"/>
    <d v="2017-10-25T00:00:00"/>
    <s v="102141"/>
    <s v="TRICOL COLORS"/>
    <s v="REP"/>
    <n v="31003.82"/>
  </r>
  <r>
    <s v="Facture"/>
    <x v="0"/>
    <s v="A comptabiliser"/>
    <s v="FAC180218"/>
    <x v="0"/>
    <d v="2018-02-22T00:00:00"/>
    <s v="100509"/>
    <s v="ISOPAINT"/>
    <s v="REP"/>
    <n v="5836.8"/>
  </r>
  <r>
    <s v="Facture"/>
    <x v="0"/>
    <s v="A comptabiliser"/>
    <s v="FAC181482"/>
    <x v="0"/>
    <d v="2018-09-27T00:00:00"/>
    <s v="100549"/>
    <s v="SICOPA"/>
    <s v="REP"/>
    <n v="39986.959999999999"/>
  </r>
  <r>
    <s v="Facture"/>
    <x v="0"/>
    <s v="A comptabiliser"/>
    <s v="FAC181483"/>
    <x v="0"/>
    <d v="2018-09-27T00:00:00"/>
    <s v="100549"/>
    <s v="SICOPA"/>
    <s v="REP"/>
    <n v="123786"/>
  </r>
  <r>
    <s v="Facture"/>
    <x v="0"/>
    <s v="A comptabiliser"/>
    <s v="FAC181962"/>
    <x v="0"/>
    <d v="2018-12-26T00:00:00"/>
    <s v="102276"/>
    <s v="PROMALI"/>
    <s v="REP"/>
    <n v="9846.2999999999993"/>
  </r>
  <r>
    <s v="Facture"/>
    <x v="0"/>
    <s v="A comptabiliser"/>
    <s v="FAC190284"/>
    <x v="0"/>
    <d v="2019-03-04T00:00:00"/>
    <s v="100780"/>
    <s v="WASSA AGRO GROUP"/>
    <s v="REP"/>
    <n v="69467.199999999997"/>
  </r>
  <r>
    <s v="Facture"/>
    <x v="0"/>
    <s v="A comptabiliser"/>
    <s v="FAC190286"/>
    <x v="0"/>
    <d v="2019-03-05T00:00:00"/>
    <s v="100780"/>
    <s v="WASSA AGRO GROUP"/>
    <s v="REP"/>
    <n v="41736"/>
  </r>
  <r>
    <s v="Facture"/>
    <x v="0"/>
    <s v="A comptabiliser"/>
    <s v="FAC190416"/>
    <x v="0"/>
    <d v="2019-03-29T00:00:00"/>
    <s v="100549"/>
    <s v="SICOPA"/>
    <s v="REP"/>
    <n v="135281.66"/>
  </r>
  <r>
    <s v="Facture"/>
    <x v="0"/>
    <s v="A comptabiliser"/>
    <s v="FAC190438"/>
    <x v="0"/>
    <d v="2019-04-03T00:00:00"/>
    <s v="100549"/>
    <s v="SICOPA"/>
    <s v="REP"/>
    <n v="135281.66"/>
  </r>
  <r>
    <s v="Facture"/>
    <x v="0"/>
    <s v="A comptabiliser"/>
    <s v="FAC190442"/>
    <x v="0"/>
    <d v="2019-04-03T00:00:00"/>
    <s v="100549"/>
    <s v="SICOPA"/>
    <s v="REP"/>
    <n v="135281.66"/>
  </r>
  <r>
    <s v="Facture"/>
    <x v="0"/>
    <s v="A comptabiliser"/>
    <s v="FAC190453"/>
    <x v="0"/>
    <d v="2019-04-04T00:00:00"/>
    <s v="100549"/>
    <s v="SICOPA"/>
    <s v="REP"/>
    <n v="135281.66"/>
  </r>
  <r>
    <s v="Facture"/>
    <x v="0"/>
    <s v="A comptabiliser"/>
    <s v="FAC190465"/>
    <x v="0"/>
    <d v="2019-04-06T00:00:00"/>
    <s v="100549"/>
    <s v="SICOPA"/>
    <s v="REP"/>
    <n v="135281.66"/>
  </r>
  <r>
    <s v="Facture"/>
    <x v="0"/>
    <s v="A comptabiliser"/>
    <s v="FAC190495"/>
    <x v="0"/>
    <d v="2019-04-15T00:00:00"/>
    <s v="100549"/>
    <s v="SICOPA"/>
    <s v="REP"/>
    <n v="135281.66"/>
  </r>
  <r>
    <s v="Facture"/>
    <x v="0"/>
    <s v="A comptabiliser"/>
    <s v="FAC190544"/>
    <x v="0"/>
    <d v="2019-04-20T00:00:00"/>
    <s v="100549"/>
    <s v="SICOPA"/>
    <s v="REP"/>
    <n v="135281.66"/>
  </r>
  <r>
    <s v="Facture"/>
    <x v="0"/>
    <s v="A comptabiliser"/>
    <s v="FAC190545"/>
    <x v="0"/>
    <d v="2019-04-20T00:00:00"/>
    <s v="100549"/>
    <s v="SICOPA"/>
    <s v="REP"/>
    <n v="135281.66"/>
  </r>
  <r>
    <s v="Facture"/>
    <x v="0"/>
    <s v="A comptabiliser"/>
    <s v="FAC190547"/>
    <x v="0"/>
    <d v="2019-04-20T00:00:00"/>
    <s v="100549"/>
    <s v="SICOPA"/>
    <s v="REP"/>
    <n v="135281.66"/>
  </r>
  <r>
    <s v="Facture"/>
    <x v="0"/>
    <s v="A comptabiliser"/>
    <s v="FAC190548"/>
    <x v="0"/>
    <d v="2019-04-20T00:00:00"/>
    <s v="100549"/>
    <s v="SICOPA"/>
    <s v="REP"/>
    <n v="135281.66"/>
  </r>
  <r>
    <s v="Facture"/>
    <x v="0"/>
    <s v="A comptabiliser"/>
    <s v="FAC191283"/>
    <x v="0"/>
    <d v="2019-07-26T00:00:00"/>
    <s v="102715"/>
    <s v="ACT NEGOCE"/>
    <s v="REP"/>
    <n v="873.52"/>
  </r>
  <r>
    <s v="Facture de retour"/>
    <x v="0"/>
    <s v="A comptabiliser"/>
    <s v="FAR190010"/>
    <x v="0"/>
    <d v="2019-08-06T00:00:00"/>
    <s v="100549"/>
    <s v="SICOPA"/>
    <s v="REP"/>
    <n v="79016.45"/>
  </r>
  <r>
    <s v="Facture de retour"/>
    <x v="0"/>
    <s v="A comptabiliser"/>
    <s v="FAR190011"/>
    <x v="0"/>
    <d v="2019-08-06T00:00:00"/>
    <s v="100549"/>
    <s v="SICOPA"/>
    <s v="REP"/>
    <n v="132437.76000000001"/>
  </r>
  <r>
    <s v="Facture de retour"/>
    <x v="0"/>
    <s v="A comptabiliser"/>
    <s v="FAR190012"/>
    <x v="0"/>
    <d v="2019-08-06T00:00:00"/>
    <s v="100549"/>
    <s v="SICOPA"/>
    <s v="REP"/>
    <n v="115987.2"/>
  </r>
  <r>
    <s v="Facture d'avoir"/>
    <x v="0"/>
    <s v="A comptabiliser"/>
    <s v="FAV190001"/>
    <x v="0"/>
    <d v="2019-08-06T00:00:00"/>
    <s v="100549"/>
    <s v="SICOPA"/>
    <s v="REP"/>
    <n v="138914.82"/>
  </r>
  <r>
    <s v="Facture"/>
    <x v="0"/>
    <s v="A comptabiliser"/>
    <s v="FAC191395"/>
    <x v="0"/>
    <d v="2019-08-09T00:00:00"/>
    <s v="102529"/>
    <s v="OCEAMIC LAAYOUNE"/>
    <s v="REP"/>
    <n v="6814.36"/>
  </r>
  <r>
    <s v="Facture"/>
    <x v="0"/>
    <s v="A comptabiliser"/>
    <s v="FAC191333"/>
    <x v="0"/>
    <d v="2019-08-20T00:00:00"/>
    <s v="100549"/>
    <s v="SICOPA"/>
    <s v="REP"/>
    <n v="123786"/>
  </r>
  <r>
    <s v="Facture"/>
    <x v="0"/>
    <s v="A comptabiliser"/>
    <s v="FAC192119"/>
    <x v="0"/>
    <d v="2019-11-26T00:00:00"/>
    <s v="100061"/>
    <s v="PRODEC"/>
    <s v="REP"/>
    <n v="405.6"/>
  </r>
  <r>
    <s v="Facture"/>
    <x v="0"/>
    <s v="A comptabiliser"/>
    <s v="FAC192139"/>
    <x v="0"/>
    <d v="2019-11-28T00:00:00"/>
    <s v="102141"/>
    <s v="TRICOL COLORS"/>
    <s v="REP"/>
    <n v="33374.699999999997"/>
  </r>
  <r>
    <s v="Facture"/>
    <x v="0"/>
    <s v="A comptabiliser"/>
    <s v="FAC260222"/>
    <x v="1"/>
    <d v="2026-04-01T00:00:00"/>
    <s v="102180"/>
    <s v="SILVER FOOD"/>
    <s v="PRINCIPALE"/>
    <n v="383234.4"/>
  </r>
  <r>
    <s v="Facture"/>
    <x v="0"/>
    <s v="A comptabiliser"/>
    <s v="FAC260223"/>
    <x v="2"/>
    <d v="2026-04-02T00:00:00"/>
    <s v="100113"/>
    <s v="STAND COLOR"/>
    <s v="PRINCIPALE"/>
    <n v="490.2"/>
  </r>
  <r>
    <s v="Facture"/>
    <x v="0"/>
    <s v="A comptabiliser"/>
    <s v="FAC260224"/>
    <x v="2"/>
    <d v="2026-04-02T00:00:00"/>
    <s v="1002873"/>
    <s v="NESSMA FLAVOR"/>
    <s v="PRINCIPALE"/>
    <n v="3024"/>
  </r>
  <r>
    <s v="Facture"/>
    <x v="0"/>
    <s v="A comptabiliser"/>
    <s v="FAC260226"/>
    <x v="2"/>
    <d v="2026-04-02T00:00:00"/>
    <s v="1022723"/>
    <s v="STE AKABEN SARL"/>
    <s v="PRINCIPALE"/>
    <n v="5381.8"/>
  </r>
  <r>
    <s v="Facture"/>
    <x v="0"/>
    <s v="A comptabiliser"/>
    <s v="FAC260227"/>
    <x v="2"/>
    <d v="2026-04-02T00:00:00"/>
    <s v="102871"/>
    <s v="YAZZA ALI"/>
    <s v="PRINCIPALE"/>
    <n v="1275.2"/>
  </r>
  <r>
    <s v="Facture"/>
    <x v="0"/>
    <s v="A comptabiliser"/>
    <s v="FAC260225"/>
    <x v="2"/>
    <d v="2026-04-02T00:00:00"/>
    <s v="102893"/>
    <s v="SOUFIANE EL BAKKARI"/>
    <s v="PRINCIPALE"/>
    <n v="1814.4"/>
  </r>
  <r>
    <s v="Facture"/>
    <x v="0"/>
    <s v="A comptabiliser"/>
    <s v="FAC260229"/>
    <x v="2"/>
    <d v="2026-04-03T00:00:00"/>
    <s v="1002873"/>
    <s v="NESSMA FLAVOR"/>
    <s v="PRINCIPALE"/>
    <n v="1209.5999999999999"/>
  </r>
  <r>
    <s v="Facture"/>
    <x v="0"/>
    <s v="A comptabiliser"/>
    <s v="FAC260228"/>
    <x v="2"/>
    <d v="2026-04-03T00:00:00"/>
    <s v="100527"/>
    <s v="CLIENT DIVERS"/>
    <s v="PRINCIPALE"/>
    <n v="3024"/>
  </r>
  <r>
    <s v="Facture"/>
    <x v="0"/>
    <s v="A comptabiliser"/>
    <s v="FAC260230"/>
    <x v="2"/>
    <d v="2026-04-03T00:00:00"/>
    <s v="102602"/>
    <s v="EL HDAGA FOOD"/>
    <s v="PRINCIPALE"/>
    <n v="2700"/>
  </r>
  <r>
    <s v="Facture"/>
    <x v="0"/>
    <s v="A comptabiliser"/>
    <s v="FAC260231"/>
    <x v="2"/>
    <d v="2026-04-03T00:00:00"/>
    <s v="120320"/>
    <s v="POLYSPACE INDUST"/>
    <s v="PRINCIPALE"/>
    <n v="4236"/>
  </r>
  <r>
    <s v="Facture"/>
    <x v="0"/>
    <s v="A comptabiliser"/>
    <s v="FAC260232"/>
    <x v="2"/>
    <d v="2026-04-03T00:00:00"/>
    <s v="120400"/>
    <s v="LIXUS BETON SARL"/>
    <s v="PRINCIPALE"/>
    <n v="4070"/>
  </r>
  <r>
    <s v="Facture"/>
    <x v="0"/>
    <s v="A comptabiliser"/>
    <s v="FAC260233"/>
    <x v="2"/>
    <d v="2026-04-06T00:00:00"/>
    <s v="100515"/>
    <s v="ARD GUISSER"/>
    <s v="PRINCIPALE"/>
    <n v="4500"/>
  </r>
  <r>
    <s v="Facture"/>
    <x v="0"/>
    <s v="A comptabiliser"/>
    <s v="FACSA26017"/>
    <x v="3"/>
    <d v="2026-04-06T00:00:00"/>
    <s v="100527"/>
    <s v="CLIENT DIVERS"/>
    <s v="ECHANTILLONS"/>
    <n v="0"/>
  </r>
  <r>
    <s v="Facture"/>
    <x v="0"/>
    <s v="A comptabiliser"/>
    <s v="FAC260234"/>
    <x v="2"/>
    <d v="2026-04-06T00:00:00"/>
    <s v="102444"/>
    <s v="MAATAK JAMAL"/>
    <s v="PRINCIPALE"/>
    <n v="3024"/>
  </r>
  <r>
    <s v="Facture"/>
    <x v="0"/>
    <s v="A comptabiliser"/>
    <s v="FAC260235"/>
    <x v="4"/>
    <d v="2026-04-07T00:00:00"/>
    <s v="102608"/>
    <s v="ATLANTIC SARDINE ANCHOVIE TAN-TAN"/>
    <s v="PRINCIPALE"/>
    <n v="383998.98"/>
  </r>
  <r>
    <s v="Facture"/>
    <x v="0"/>
    <s v="A comptabiliser"/>
    <s v="FAC260236"/>
    <x v="2"/>
    <d v="2026-04-07T00:00:00"/>
    <s v="102935"/>
    <s v="VITRO PACK SARLAU "/>
    <s v="PRINCIPALE"/>
    <n v="9192"/>
  </r>
  <r>
    <s v="Facture"/>
    <x v="0"/>
    <s v="A comptabiliser"/>
    <s v="FAC260237"/>
    <x v="2"/>
    <d v="2026-04-07T00:00:00"/>
    <s v="102935"/>
    <s v="VITRO PACK SARLAU "/>
    <s v="PRINCIPALE"/>
    <n v="47283.4"/>
  </r>
  <r>
    <s v="Facture"/>
    <x v="0"/>
    <s v="A comptabiliser"/>
    <s v="FACSA26018"/>
    <x v="3"/>
    <d v="2026-04-08T00:00:00"/>
    <s v="100527"/>
    <s v="CLIENT DIVERS"/>
    <s v="ECHANTILLONS"/>
    <n v="0"/>
  </r>
  <r>
    <s v="Facture"/>
    <x v="0"/>
    <s v="A comptabiliser"/>
    <s v="FAC260241"/>
    <x v="2"/>
    <d v="2026-04-08T00:00:00"/>
    <s v="102018"/>
    <s v="CHERIF CONSERVES"/>
    <s v="PRINCIPALE"/>
    <n v="177170"/>
  </r>
  <r>
    <s v="Facture"/>
    <x v="0"/>
    <s v="Saisi"/>
    <s v="FAC260239"/>
    <x v="2"/>
    <d v="2026-04-08T00:00:00"/>
    <s v="102169"/>
    <s v="STARCHIM"/>
    <s v="PRINCIPALE"/>
    <n v="4781"/>
  </r>
  <r>
    <s v="Facture"/>
    <x v="0"/>
    <s v="A comptabiliser"/>
    <s v="FAC260240"/>
    <x v="2"/>
    <d v="2026-04-08T00:00:00"/>
    <s v="102899"/>
    <s v="MAJILAB MAROC"/>
    <s v="PRINCIPALE"/>
    <n v="1063.5"/>
  </r>
  <r>
    <s v="Facture"/>
    <x v="0"/>
    <s v="A comptabiliser"/>
    <s v="FAC260238"/>
    <x v="5"/>
    <d v="2026-04-08T00:00:00"/>
    <s v="102935"/>
    <s v="VITRO PACK SARLAU "/>
    <s v="PRINCIPALE"/>
    <n v="36960"/>
  </r>
  <r>
    <s v="Facture"/>
    <x v="0"/>
    <s v="A comptabiliser"/>
    <s v="FAC260245"/>
    <x v="2"/>
    <d v="2026-04-09T00:00:00"/>
    <s v="1002873"/>
    <s v="NESSMA FLAVOR"/>
    <s v="PRINCIPALE"/>
    <n v="1209.5999999999999"/>
  </r>
  <r>
    <s v="Facture"/>
    <x v="0"/>
    <s v="A comptabiliser"/>
    <s v="FAC260242"/>
    <x v="1"/>
    <d v="2026-04-09T00:00:00"/>
    <s v="102180"/>
    <s v="SILVER FOOD"/>
    <s v="PRINCIPALE"/>
    <n v="383234.4"/>
  </r>
  <r>
    <s v="Facture"/>
    <x v="0"/>
    <s v="A comptabiliser"/>
    <s v="FAC260246"/>
    <x v="2"/>
    <d v="2026-04-09T00:00:00"/>
    <s v="102526"/>
    <s v="ABERKANE MOHAMED"/>
    <s v="PRINCIPALE"/>
    <n v="1880"/>
  </r>
  <r>
    <s v="Facture"/>
    <x v="0"/>
    <s v="A comptabiliser"/>
    <s v="FAC260243"/>
    <x v="2"/>
    <d v="2026-04-09T00:00:00"/>
    <s v="102592"/>
    <s v="LOGI FOOD MAROC"/>
    <s v="PRINCIPALE"/>
    <n v="404103.6"/>
  </r>
  <r>
    <s v="Facture"/>
    <x v="0"/>
    <s v="A comptabiliser"/>
    <s v="FAC260244"/>
    <x v="2"/>
    <d v="2026-04-09T00:00:00"/>
    <s v="102798"/>
    <s v="LITTLEMA SARL"/>
    <s v="PRINCIPALE"/>
    <n v="15156"/>
  </r>
  <r>
    <s v="Facture"/>
    <x v="0"/>
    <s v="A comptabiliser"/>
    <s v="FAC260253"/>
    <x v="2"/>
    <d v="2026-04-10T00:00:00"/>
    <s v="100527"/>
    <s v="CLIENT DIVERS"/>
    <s v="PRINCIPALE"/>
    <n v="1209.5999999999999"/>
  </r>
  <r>
    <s v="Facture"/>
    <x v="0"/>
    <s v="A comptabiliser"/>
    <s v="FAC260254"/>
    <x v="2"/>
    <d v="2026-04-10T00:00:00"/>
    <s v="100527"/>
    <s v="CLIENT DIVERS"/>
    <s v="PRINCIPALE"/>
    <n v="1389.8"/>
  </r>
  <r>
    <s v="Facture"/>
    <x v="0"/>
    <s v="A comptabiliser"/>
    <s v="FAC260247"/>
    <x v="2"/>
    <d v="2026-04-10T00:00:00"/>
    <s v="102275"/>
    <s v="GROUPEMENT ALIMENTAIRE REUNI"/>
    <s v="PRINCIPALE"/>
    <n v="96552"/>
  </r>
  <r>
    <s v="Facture"/>
    <x v="0"/>
    <s v="A comptabiliser"/>
    <s v="FAC260248"/>
    <x v="2"/>
    <d v="2026-04-10T00:00:00"/>
    <s v="102714"/>
    <s v="EPICES GIRONA"/>
    <s v="PRINCIPALE"/>
    <n v="8064"/>
  </r>
  <r>
    <s v="Facture"/>
    <x v="0"/>
    <s v="A comptabiliser"/>
    <s v="FAC260249"/>
    <x v="2"/>
    <d v="2026-04-10T00:00:00"/>
    <s v="102714"/>
    <s v="EPICES GIRONA"/>
    <s v="PRINCIPALE"/>
    <n v="8064"/>
  </r>
  <r>
    <s v="Facture"/>
    <x v="0"/>
    <s v="A comptabiliser"/>
    <s v="FAC260250"/>
    <x v="2"/>
    <d v="2026-04-10T00:00:00"/>
    <s v="102714"/>
    <s v="EPICES GIRONA"/>
    <s v="PRINCIPALE"/>
    <n v="8064"/>
  </r>
  <r>
    <s v="Facture"/>
    <x v="0"/>
    <s v="A comptabiliser"/>
    <s v="FAC260251"/>
    <x v="2"/>
    <d v="2026-04-10T00:00:00"/>
    <s v="120401"/>
    <s v="ROCK &amp; MAN SARL"/>
    <s v="PRINCIPALE"/>
    <n v="4838.3999999999996"/>
  </r>
  <r>
    <s v="Facture"/>
    <x v="0"/>
    <s v="A comptabiliser"/>
    <s v="FAC260252"/>
    <x v="2"/>
    <d v="2026-04-10T00:00:00"/>
    <s v="120401"/>
    <s v="ROCK &amp; MAN SARL"/>
    <s v="PRINCIPALE"/>
    <n v="4838.3999999999996"/>
  </r>
  <r>
    <s v="Facture"/>
    <x v="0"/>
    <s v="A comptabiliser"/>
    <s v="FAC260256"/>
    <x v="2"/>
    <d v="2026-04-11T00:00:00"/>
    <s v="100527"/>
    <s v="CLIENT DIVERS"/>
    <s v="PRINCIPALE"/>
    <n v="2419.1999999999998"/>
  </r>
  <r>
    <s v="Facture"/>
    <x v="0"/>
    <s v="A comptabiliser"/>
    <s v="FAC260255"/>
    <x v="2"/>
    <d v="2026-04-11T00:00:00"/>
    <s v="102893"/>
    <s v="SOUFIANE EL BAKKARI"/>
    <s v="PRINCIPALE"/>
    <n v="1814.4"/>
  </r>
  <r>
    <s v="Facture"/>
    <x v="0"/>
    <s v="A comptabiliser"/>
    <s v="FAC260257"/>
    <x v="2"/>
    <d v="2026-04-13T00:00:00"/>
    <s v="102444"/>
    <s v="MAATAK JAMAL"/>
    <s v="PRINCIPALE"/>
    <n v="3024"/>
  </r>
  <r>
    <s v="Facture"/>
    <x v="0"/>
    <s v="A comptabiliser"/>
    <s v="FAC260258"/>
    <x v="2"/>
    <d v="2026-04-13T00:00:00"/>
    <s v="102595"/>
    <s v="FRUITS AND LEGUMES BY BARRAQ"/>
    <s v="PRINCIPALE"/>
    <n v="1814.4"/>
  </r>
  <r>
    <s v="Facture"/>
    <x v="0"/>
    <s v="A comptabiliser"/>
    <s v="FAC260261"/>
    <x v="2"/>
    <d v="2026-04-13T00:00:00"/>
    <s v="102681"/>
    <s v="PETROLUB SARLAU"/>
    <s v="PRINCIPALE"/>
    <n v="4080"/>
  </r>
  <r>
    <s v="Facture"/>
    <x v="0"/>
    <s v="A comptabiliser"/>
    <s v="FAC260262"/>
    <x v="2"/>
    <d v="2026-04-13T00:00:00"/>
    <s v="102752"/>
    <s v="CHRONO FISH"/>
    <s v="PRINCIPALE"/>
    <n v="200032"/>
  </r>
  <r>
    <s v="Facture"/>
    <x v="0"/>
    <s v="A comptabiliser"/>
    <s v="FAC260260"/>
    <x v="2"/>
    <d v="2026-04-13T00:00:00"/>
    <s v="102765"/>
    <s v="HORTICOM"/>
    <s v="PRINCIPALE"/>
    <n v="834"/>
  </r>
  <r>
    <s v="Facture"/>
    <x v="0"/>
    <s v="A comptabiliser"/>
    <s v="FAC260259"/>
    <x v="2"/>
    <d v="2026-04-13T00:00:00"/>
    <s v="120401"/>
    <s v="ROCK &amp; MAN SARL"/>
    <s v="PRINCIPALE"/>
    <n v="3628.8"/>
  </r>
  <r>
    <s v="Facture"/>
    <x v="0"/>
    <s v="A comptabiliser"/>
    <s v="FAC260268"/>
    <x v="2"/>
    <d v="2026-04-14T00:00:00"/>
    <s v="1002873"/>
    <s v="NESSMA FLAVOR"/>
    <s v="PRINCIPALE"/>
    <n v="6048"/>
  </r>
  <r>
    <s v="Facture"/>
    <x v="0"/>
    <s v="A comptabiliser"/>
    <s v="FAC260269"/>
    <x v="2"/>
    <d v="2026-04-14T00:00:00"/>
    <s v="1002873"/>
    <s v="NESSMA FLAVOR"/>
    <s v="PRINCIPALE"/>
    <n v="6048"/>
  </r>
  <r>
    <s v="Facture"/>
    <x v="0"/>
    <s v="A comptabiliser"/>
    <s v="FAC260267"/>
    <x v="2"/>
    <d v="2026-04-14T00:00:00"/>
    <s v="100296"/>
    <s v="DECOPIN"/>
    <s v="PRINCIPALE"/>
    <n v="12600"/>
  </r>
  <r>
    <s v="Facture"/>
    <x v="0"/>
    <s v="A comptabiliser"/>
    <s v="FAC260265"/>
    <x v="2"/>
    <d v="2026-04-14T00:00:00"/>
    <s v="102066"/>
    <s v="UNIVERS PRODUCT"/>
    <s v="PRINCIPALE"/>
    <n v="1791.3"/>
  </r>
  <r>
    <s v="Facture"/>
    <x v="0"/>
    <s v="A comptabiliser"/>
    <s v="FAC260263"/>
    <x v="2"/>
    <d v="2026-04-14T00:00:00"/>
    <s v="102275"/>
    <s v="GROUPEMENT ALIMENTAIRE REUNI"/>
    <s v="PRINCIPALE"/>
    <n v="11880"/>
  </r>
  <r>
    <s v="Facture"/>
    <x v="0"/>
    <s v="A comptabiliser"/>
    <s v="FAC260264"/>
    <x v="1"/>
    <d v="2026-04-14T00:00:00"/>
    <s v="120318"/>
    <s v="TUNAMAX"/>
    <s v="PRINCIPALE"/>
    <n v="385131.6"/>
  </r>
  <r>
    <s v="Facture"/>
    <x v="0"/>
    <s v="A comptabiliser"/>
    <s v="FAC260266"/>
    <x v="2"/>
    <d v="2026-04-14T00:00:00"/>
    <s v="120401"/>
    <s v="ROCK &amp; MAN SARL"/>
    <s v="PRINCIPALE"/>
    <n v="3628.8"/>
  </r>
  <r>
    <s v="Facture"/>
    <x v="0"/>
    <s v="A comptabiliser"/>
    <s v="FAC260271"/>
    <x v="2"/>
    <d v="2026-04-15T00:00:00"/>
    <s v="100274"/>
    <s v="ALICOMAR"/>
    <s v="PRINCIPALE"/>
    <n v="28004.16"/>
  </r>
  <r>
    <s v="Facture"/>
    <x v="0"/>
    <s v="A comptabiliser"/>
    <s v="FAC260270"/>
    <x v="2"/>
    <d v="2026-04-15T00:00:00"/>
    <s v="102632"/>
    <s v="VISCA FOOD"/>
    <s v="PRINCIPALE"/>
    <n v="28080"/>
  </r>
  <r>
    <s v="Facture"/>
    <x v="0"/>
    <s v="A comptabiliser"/>
    <s v="FAC260273"/>
    <x v="2"/>
    <d v="2026-04-15T00:00:00"/>
    <s v="102913"/>
    <s v="ATUNEROS DEL SUR CONSERVAS"/>
    <s v="PRINCIPALE"/>
    <n v="383234.4"/>
  </r>
  <r>
    <s v="Facture"/>
    <x v="0"/>
    <s v="A comptabiliser"/>
    <s v="FAC260272"/>
    <x v="2"/>
    <d v="2026-04-15T00:00:00"/>
    <s v="102935"/>
    <s v="VITRO PACK SARLAU "/>
    <s v="PRINCIPALE"/>
    <n v="30180"/>
  </r>
  <r>
    <s v="Facture"/>
    <x v="0"/>
    <s v="A comptabiliser"/>
    <s v="FAC260276"/>
    <x v="6"/>
    <d v="2026-04-16T00:00:00"/>
    <s v="100099"/>
    <s v="SIKA MAROC"/>
    <s v="PRINCIPALE"/>
    <n v="60000"/>
  </r>
  <r>
    <s v="Facture"/>
    <x v="0"/>
    <s v="A comptabiliser"/>
    <s v="FAC260277"/>
    <x v="7"/>
    <d v="2026-04-16T00:00:00"/>
    <s v="102740"/>
    <s v="MEAT CORP"/>
    <s v="PRINCIPALE"/>
    <n v="396514.8"/>
  </r>
  <r>
    <s v="Facture"/>
    <x v="0"/>
    <s v="A comptabiliser"/>
    <s v="FAC260275"/>
    <x v="2"/>
    <d v="2026-04-16T00:00:00"/>
    <s v="102930"/>
    <s v="NOUTFIA ABDELMALAK"/>
    <s v="PRINCIPALE"/>
    <n v="9619.2000000000007"/>
  </r>
  <r>
    <s v="Facture"/>
    <x v="0"/>
    <s v="A comptabiliser"/>
    <s v="FAC260274"/>
    <x v="2"/>
    <d v="2026-04-16T00:00:00"/>
    <s v="120401"/>
    <s v="ROCK &amp; MAN SARL"/>
    <s v="PRINCIPALE"/>
    <n v="6048"/>
  </r>
  <r>
    <s v="Facture"/>
    <x v="0"/>
    <s v="A comptabiliser"/>
    <s v="FAC260279"/>
    <x v="2"/>
    <d v="2026-04-17T00:00:00"/>
    <s v="100097"/>
    <s v="SOCOBEN"/>
    <s v="PRINCIPALE"/>
    <n v="1389.8"/>
  </r>
  <r>
    <s v="Facture"/>
    <x v="0"/>
    <s v="A comptabiliser"/>
    <s v="FAC260281"/>
    <x v="2"/>
    <d v="2026-04-17T00:00:00"/>
    <s v="1002873"/>
    <s v="NESSMA FLAVOR"/>
    <s v="PRINCIPALE"/>
    <n v="2419.1999999999998"/>
  </r>
  <r>
    <s v="Facture"/>
    <x v="0"/>
    <s v="A comptabiliser"/>
    <s v="FAC260280"/>
    <x v="2"/>
    <d v="2026-04-17T00:00:00"/>
    <s v="100527"/>
    <s v="CLIENT DIVERS"/>
    <s v="PRINCIPALE"/>
    <n v="2419.1999999999998"/>
  </r>
  <r>
    <s v="Facture"/>
    <x v="0"/>
    <s v="A comptabiliser"/>
    <s v="FAC260282"/>
    <x v="2"/>
    <d v="2026-04-17T00:00:00"/>
    <s v="102592"/>
    <s v="LOGI FOOD MAROC"/>
    <s v="PRINCIPALE"/>
    <n v="416302.59600000002"/>
  </r>
  <r>
    <s v="Facture"/>
    <x v="0"/>
    <s v="A comptabiliser"/>
    <s v="FAC260278"/>
    <x v="2"/>
    <d v="2026-04-17T00:00:00"/>
    <s v="102832"/>
    <s v="SALWAN DE PÊCHE MARITIME"/>
    <s v="PRINCIPALE"/>
    <n v="181361.16"/>
  </r>
  <r>
    <s v="Facture"/>
    <x v="0"/>
    <s v="A comptabiliser"/>
    <s v="FAC260285"/>
    <x v="2"/>
    <d v="2026-04-20T00:00:00"/>
    <s v="100094"/>
    <s v="SIDNI COLOR"/>
    <s v="PRINCIPALE"/>
    <n v="8675"/>
  </r>
  <r>
    <s v="Facture"/>
    <x v="0"/>
    <s v="A comptabiliser"/>
    <s v="FAC260289"/>
    <x v="2"/>
    <d v="2026-04-20T00:00:00"/>
    <s v="1002873"/>
    <s v="NESSMA FLAVOR"/>
    <s v="PRINCIPALE"/>
    <n v="3024"/>
  </r>
  <r>
    <s v="Facture"/>
    <x v="0"/>
    <s v="A comptabiliser"/>
    <s v="FAC260287"/>
    <x v="2"/>
    <d v="2026-04-20T00:00:00"/>
    <s v="100291"/>
    <s v="DROGUERIE AHLAN ALWAN"/>
    <s v="PRINCIPALE"/>
    <n v="3625.85"/>
  </r>
  <r>
    <s v="Facture"/>
    <x v="0"/>
    <s v="A comptabiliser"/>
    <s v="FAC260288"/>
    <x v="2"/>
    <d v="2026-04-20T00:00:00"/>
    <s v="100296"/>
    <s v="DECOPIN"/>
    <s v="PRINCIPALE"/>
    <n v="5100"/>
  </r>
  <r>
    <s v="Facture"/>
    <x v="0"/>
    <s v="A comptabiliser"/>
    <s v="FAC260290"/>
    <x v="2"/>
    <d v="2026-04-20T00:00:00"/>
    <s v="100527"/>
    <s v="CLIENT DIVERS"/>
    <s v="PRINCIPALE"/>
    <n v="3024"/>
  </r>
  <r>
    <s v="Facture"/>
    <x v="0"/>
    <s v="A comptabiliser"/>
    <s v="FAC260283"/>
    <x v="2"/>
    <d v="2026-04-20T00:00:00"/>
    <s v="102275"/>
    <s v="GROUPEMENT ALIMENTAIRE REUNI"/>
    <s v="PRINCIPALE"/>
    <n v="100985.95"/>
  </r>
  <r>
    <s v="Facture"/>
    <x v="0"/>
    <s v="A comptabiliser"/>
    <s v="FAC260291"/>
    <x v="7"/>
    <d v="2026-04-20T00:00:00"/>
    <s v="102914"/>
    <s v="IDNAFOOD"/>
    <s v="PRINCIPALE"/>
    <n v="383234.4"/>
  </r>
  <r>
    <s v="Facture"/>
    <x v="0"/>
    <s v="A comptabiliser"/>
    <s v="FAC260284"/>
    <x v="8"/>
    <d v="2026-04-20T00:00:00"/>
    <s v="120317"/>
    <s v="ANDALUS FOOD GROUP"/>
    <s v="PRINCIPALE"/>
    <n v="28000"/>
  </r>
  <r>
    <s v="Facture"/>
    <x v="0"/>
    <s v="A comptabiliser"/>
    <s v="FAC260286"/>
    <x v="2"/>
    <d v="2026-04-20T00:00:00"/>
    <s v="120388"/>
    <s v="GLOMATEST"/>
    <s v="PRINCIPALE"/>
    <n v="2132.319"/>
  </r>
  <r>
    <s v="Facture"/>
    <x v="0"/>
    <s v="A comptabiliser"/>
    <s v="FAC260295"/>
    <x v="2"/>
    <d v="2026-04-21T00:00:00"/>
    <s v="100502"/>
    <s v="GUEROUANI"/>
    <s v="PRINCIPALE"/>
    <n v="785"/>
  </r>
  <r>
    <s v="Facture"/>
    <x v="0"/>
    <s v="A comptabiliser"/>
    <s v="FAC260293"/>
    <x v="9"/>
    <d v="2026-04-21T00:00:00"/>
    <s v="102169"/>
    <s v="STARCHIM"/>
    <s v="PRINCIPALE"/>
    <n v="7950"/>
  </r>
  <r>
    <s v="Facture"/>
    <x v="0"/>
    <s v="A comptabiliser"/>
    <s v="FAC260292"/>
    <x v="2"/>
    <d v="2026-04-21T00:00:00"/>
    <s v="102444"/>
    <s v="MAATAK JAMAL"/>
    <s v="PRINCIPALE"/>
    <n v="3024"/>
  </r>
  <r>
    <s v="Facture"/>
    <x v="0"/>
    <s v="A comptabiliser"/>
    <s v="FAC260294"/>
    <x v="10"/>
    <d v="2026-04-21T00:00:00"/>
    <s v="102860"/>
    <s v="PN STORE MAROC"/>
    <s v="PRINCIPALE"/>
    <n v="235831.32"/>
  </r>
  <r>
    <s v="Facture"/>
    <x v="0"/>
    <s v="A comptabiliser"/>
    <s v="FAC260296"/>
    <x v="2"/>
    <d v="2026-04-22T00:00:00"/>
    <s v="101581"/>
    <s v="MASTER COAT"/>
    <s v="PRINCIPALE"/>
    <n v="1276.2"/>
  </r>
  <r>
    <s v="Facture"/>
    <x v="0"/>
    <s v="A comptabiliser"/>
    <s v="FAC260297"/>
    <x v="2"/>
    <d v="2026-04-23T00:00:00"/>
    <s v="101172"/>
    <s v="GLO FOODS"/>
    <s v="PRINCIPALE"/>
    <n v="153912"/>
  </r>
  <r>
    <s v="Facture"/>
    <x v="0"/>
    <s v="Saisi"/>
    <s v="FAC260300"/>
    <x v="2"/>
    <d v="2026-04-23T00:00:00"/>
    <s v="102229"/>
    <s v="LAK COSMETIQUE"/>
    <s v="PRINCIPALE"/>
    <n v="3921.6"/>
  </r>
  <r>
    <s v="Facture"/>
    <x v="0"/>
    <s v="Saisi"/>
    <s v="FAC260299"/>
    <x v="11"/>
    <d v="2026-04-23T00:00:00"/>
    <s v="102592"/>
    <s v="LOGI FOOD MAROC"/>
    <s v="PRINCIPALE"/>
    <n v="136450.53140000001"/>
  </r>
  <r>
    <s v="Facture de retour"/>
    <x v="0"/>
    <s v="A comptabiliser"/>
    <s v="FAR260002"/>
    <x v="12"/>
    <d v="2026-04-23T00:00:00"/>
    <s v="102592"/>
    <s v="LOGI FOOD MAROC"/>
    <s v="PRINCIPALE"/>
    <n v="136450.53140000001"/>
  </r>
  <r>
    <s v="Facture"/>
    <x v="0"/>
    <s v="A comptabiliser"/>
    <s v="FAC260298"/>
    <x v="2"/>
    <d v="2026-04-23T00:00:00"/>
    <s v="102595"/>
    <s v="FRUITS AND LEGUMES BY BARRAQ"/>
    <s v="PRINCIPALE"/>
    <n v="1814.4"/>
  </r>
  <r>
    <s v="Facture"/>
    <x v="0"/>
    <s v="Saisi"/>
    <s v="FAC260301"/>
    <x v="13"/>
    <d v="2026-04-23T00:00:00"/>
    <s v="120317"/>
    <s v="ANDALUS FOOD GROUP"/>
    <s v="PRINCIPALE"/>
    <n v="28000"/>
  </r>
  <r>
    <s v="Facture"/>
    <x v="0"/>
    <s v="Saisi"/>
    <s v="FAC260303"/>
    <x v="2"/>
    <d v="2026-04-24T00:00:00"/>
    <s v="101720"/>
    <s v="ETABLISSEMENT SOUSS"/>
    <s v="PRINCIPALE"/>
    <n v="1391.2"/>
  </r>
  <r>
    <s v="Facture"/>
    <x v="0"/>
    <s v="Saisi"/>
    <s v="FAC260302"/>
    <x v="14"/>
    <d v="2026-04-24T00:00:00"/>
    <s v="102592"/>
    <s v="LOGI FOOD MAROC"/>
    <s v="PRINCIPALE"/>
    <n v="404103.6"/>
  </r>
  <r>
    <s v="Facture"/>
    <x v="0"/>
    <s v="Saisi"/>
    <s v="FAC260307"/>
    <x v="2"/>
    <d v="2026-04-24T00:00:00"/>
    <s v="102681"/>
    <s v="PETROLUB SARLAU"/>
    <s v="PRINCIPALE"/>
    <n v="2232"/>
  </r>
  <r>
    <s v="Facture"/>
    <x v="0"/>
    <s v="Saisi"/>
    <s v="FAC260305"/>
    <x v="2"/>
    <d v="2026-04-24T00:00:00"/>
    <s v="102798"/>
    <s v="LITTLEMA SARL"/>
    <s v="PRINCIPALE"/>
    <n v="15156"/>
  </r>
  <r>
    <s v="Facture"/>
    <x v="0"/>
    <s v="Saisi"/>
    <s v="FAC260304"/>
    <x v="2"/>
    <d v="2026-04-24T00:00:00"/>
    <s v="102909"/>
    <s v="WAFA SOUSS"/>
    <s v="PRINCIPALE"/>
    <n v="901"/>
  </r>
  <r>
    <s v="Facture"/>
    <x v="0"/>
    <s v="Saisi"/>
    <s v="FAC260306"/>
    <x v="2"/>
    <d v="2026-04-24T00:00:00"/>
    <s v="120378"/>
    <s v="B&amp;G Fromagerie"/>
    <s v="PRINCIPALE"/>
    <n v="1470.6"/>
  </r>
  <r>
    <s v="Facture"/>
    <x v="0"/>
    <s v="Saisi"/>
    <s v="FAC260308"/>
    <x v="2"/>
    <d v="2026-04-24T00:00:00"/>
    <s v="120401"/>
    <s v="ROCK &amp; MAN SARL"/>
    <s v="PRINCIPALE"/>
    <n v="3628.8"/>
  </r>
  <r>
    <s v="Facture"/>
    <x v="0"/>
    <s v="Saisi"/>
    <s v="FAC260309"/>
    <x v="2"/>
    <d v="2026-04-25T00:00:00"/>
    <s v="102602"/>
    <s v="EL HDAGA FOOD"/>
    <s v="PRINCIPALE"/>
    <n v="2700"/>
  </r>
  <r>
    <s v="Facture"/>
    <x v="0"/>
    <s v="Saisi"/>
    <s v="FAC260310"/>
    <x v="15"/>
    <d v="2026-04-25T00:00:00"/>
    <s v="120317"/>
    <s v="ANDALUS FOOD GROUP"/>
    <s v="PRINCIPALE"/>
    <n v="1800"/>
  </r>
  <r>
    <s v="Facture"/>
    <x v="0"/>
    <s v="Saisi"/>
    <s v="FAC260319"/>
    <x v="2"/>
    <d v="2026-04-27T00:00:00"/>
    <s v="100113"/>
    <s v="STAND COLOR"/>
    <s v="PRINCIPALE"/>
    <n v="785"/>
  </r>
  <r>
    <s v="Facture"/>
    <x v="0"/>
    <s v="Saisi"/>
    <s v="FAC260311"/>
    <x v="2"/>
    <d v="2026-04-27T00:00:00"/>
    <s v="1002873"/>
    <s v="NESSMA FLAVOR"/>
    <s v="PRINCIPALE"/>
    <n v="6048"/>
  </r>
  <r>
    <s v="Facture"/>
    <x v="0"/>
    <s v="Saisi"/>
    <s v="FAC260316"/>
    <x v="2"/>
    <d v="2026-04-27T00:00:00"/>
    <s v="1002873"/>
    <s v="NESSMA FLAVOR"/>
    <s v="PRINCIPALE"/>
    <n v="6048"/>
  </r>
  <r>
    <s v="Facture"/>
    <x v="0"/>
    <s v="Saisi"/>
    <s v="FAC260317"/>
    <x v="2"/>
    <d v="2026-04-27T00:00:00"/>
    <s v="100323"/>
    <s v="DROGUERIE DROLISA"/>
    <s v="PRINCIPALE"/>
    <n v="4655.6499999999996"/>
  </r>
  <r>
    <s v="Facture"/>
    <x v="0"/>
    <s v="Saisi"/>
    <s v="FAC260320"/>
    <x v="2"/>
    <d v="2026-04-27T00:00:00"/>
    <s v="100527"/>
    <s v="CLIENT DIVERS"/>
    <s v="PRINCIPALE"/>
    <n v="1814.4"/>
  </r>
  <r>
    <s v="Facture"/>
    <x v="0"/>
    <s v="Saisi"/>
    <s v="FAC260318"/>
    <x v="2"/>
    <d v="2026-04-27T00:00:00"/>
    <s v="102444"/>
    <s v="MAATAK JAMAL"/>
    <s v="PRINCIPALE"/>
    <n v="6048"/>
  </r>
  <r>
    <s v="Facture"/>
    <x v="0"/>
    <s v="Saisi"/>
    <s v="FAC260312"/>
    <x v="2"/>
    <d v="2026-04-27T00:00:00"/>
    <s v="102499"/>
    <s v="SAMIR MAATAK"/>
    <s v="PRINCIPALE"/>
    <n v="3024"/>
  </r>
  <r>
    <s v="Facture"/>
    <x v="0"/>
    <s v="Saisi"/>
    <s v="FAC260315"/>
    <x v="2"/>
    <d v="2026-04-27T00:00:00"/>
    <s v="102595"/>
    <s v="FRUITS AND LEGUMES BY BARRAQ"/>
    <s v="PRINCIPALE"/>
    <n v="3024"/>
  </r>
  <r>
    <s v="Facture"/>
    <x v="0"/>
    <s v="Saisi"/>
    <s v="FAC260324"/>
    <x v="16"/>
    <d v="2026-04-27T00:00:00"/>
    <s v="102701"/>
    <s v="VICTUS &amp; TRADITUM FOODS"/>
    <s v="PRINCIPALE"/>
    <n v="22770"/>
  </r>
  <r>
    <s v="Facture"/>
    <x v="0"/>
    <s v="Saisi"/>
    <s v="FAC260323"/>
    <x v="2"/>
    <d v="2026-04-27T00:00:00"/>
    <s v="102798"/>
    <s v="LITTLEMA SARL"/>
    <s v="PRINCIPALE"/>
    <n v="15156"/>
  </r>
  <r>
    <s v="Facture"/>
    <x v="0"/>
    <s v="Saisi"/>
    <s v="FAC260322"/>
    <x v="2"/>
    <d v="2026-04-27T00:00:00"/>
    <s v="102854"/>
    <s v="BAKHAT ALI"/>
    <s v="PRINCIPALE"/>
    <n v="450.5"/>
  </r>
  <r>
    <s v="Facture"/>
    <x v="0"/>
    <s v="Saisi"/>
    <s v="FAC260313"/>
    <x v="2"/>
    <d v="2026-04-27T00:00:00"/>
    <s v="102893"/>
    <s v="SOUFIANE EL BAKKARI"/>
    <s v="PRINCIPALE"/>
    <n v="1814.4"/>
  </r>
  <r>
    <s v="Facture"/>
    <x v="0"/>
    <s v="Saisi"/>
    <s v="FAC260314"/>
    <x v="2"/>
    <d v="2026-04-27T00:00:00"/>
    <s v="120401"/>
    <s v="ROCK &amp; MAN SARL"/>
    <s v="PRINCIPALE"/>
    <n v="6048"/>
  </r>
  <r>
    <s v="Facture"/>
    <x v="0"/>
    <s v="Saisi"/>
    <s v="FAC260321"/>
    <x v="2"/>
    <d v="2026-04-27T00:00:00"/>
    <s v="120401"/>
    <s v="ROCK &amp; MAN SARL"/>
    <s v="PRINCIPALE"/>
    <n v="3628.8"/>
  </r>
  <r>
    <s v="Facture"/>
    <x v="0"/>
    <s v="Saisi"/>
    <s v="FAC260325"/>
    <x v="2"/>
    <d v="2026-04-28T00:00:00"/>
    <s v="1002873"/>
    <s v="NESSMA FLAVOR"/>
    <s v="PRINCIPALE"/>
    <n v="6048"/>
  </r>
  <r>
    <s v="Facture"/>
    <x v="0"/>
    <s v="Saisi"/>
    <s v="FAC260326"/>
    <x v="17"/>
    <d v="2026-04-28T00:00:00"/>
    <s v="102608"/>
    <s v="ATLANTIC SARDINE ANCHOVIE TAN-TAN"/>
    <s v="PRINCIPALE"/>
    <n v="1447682.4"/>
  </r>
  <r>
    <s v="Facture"/>
    <x v="0"/>
    <s v="Saisi"/>
    <s v="FAC260330"/>
    <x v="2"/>
    <d v="2026-04-29T00:00:00"/>
    <s v="1002873"/>
    <s v="NESSMA FLAVOR"/>
    <s v="PRINCIPALE"/>
    <n v="6048"/>
  </r>
  <r>
    <s v="Facture"/>
    <x v="0"/>
    <s v="Saisi"/>
    <s v="FAC260327"/>
    <x v="2"/>
    <d v="2026-04-29T00:00:00"/>
    <s v="102499"/>
    <s v="SAMIR MAATAK"/>
    <s v="PRINCIPALE"/>
    <n v="3628.8"/>
  </r>
  <r>
    <s v="Facture"/>
    <x v="0"/>
    <s v="Saisi"/>
    <s v="FAC260331"/>
    <x v="2"/>
    <d v="2026-04-29T00:00:00"/>
    <s v="102499"/>
    <s v="SAMIR MAATAK"/>
    <s v="PRINCIPALE"/>
    <n v="1209.5999999999999"/>
  </r>
  <r>
    <s v="Facture"/>
    <x v="0"/>
    <s v="Saisi"/>
    <s v="FAC260329"/>
    <x v="2"/>
    <d v="2026-04-29T00:00:00"/>
    <s v="120401"/>
    <s v="ROCK &amp; MAN SARL"/>
    <s v="PRINCIPALE"/>
    <n v="3024"/>
  </r>
  <r>
    <s v="Facture"/>
    <x v="0"/>
    <s v="Saisi"/>
    <s v="FAC260328"/>
    <x v="2"/>
    <d v="2026-04-29T00:00:00"/>
    <s v="120402"/>
    <s v="FDL CHEMICALS"/>
    <s v="PRINCIPALE"/>
    <n v="2676.2"/>
  </r>
  <r>
    <s v="Facture"/>
    <x v="0"/>
    <s v="Saisi"/>
    <s v="FAC260333"/>
    <x v="2"/>
    <d v="2026-04-29T00:00:00"/>
    <s v="120404"/>
    <s v="MOHAMED AHOUJI   "/>
    <s v="PRINCIPALE"/>
    <n v="6048"/>
  </r>
  <r>
    <s v="Facture"/>
    <x v="0"/>
    <s v="Saisi"/>
    <s v="FAC260332"/>
    <x v="2"/>
    <d v="2026-04-29T00:00:00"/>
    <s v="120405"/>
    <s v="RIZAL Sarl"/>
    <s v="PRINCIPALE"/>
    <n v="2703"/>
  </r>
  <r>
    <s v="Facture"/>
    <x v="0"/>
    <s v="Saisi"/>
    <s v="FACSA26019"/>
    <x v="3"/>
    <d v="2026-04-30T00:00:00"/>
    <s v="100527"/>
    <s v="CLIENT DIVERS"/>
    <s v="ECHANTILLONS"/>
    <n v="0"/>
  </r>
  <r>
    <s v="Facture"/>
    <x v="0"/>
    <s v="Saisi"/>
    <s v="FAC260335"/>
    <x v="2"/>
    <d v="2026-04-30T00:00:00"/>
    <s v="102045"/>
    <s v="SIAR"/>
    <s v="PRINCIPALE"/>
    <n v="6840"/>
  </r>
  <r>
    <s v="Facture"/>
    <x v="0"/>
    <s v="Saisi"/>
    <s v="FAC260334"/>
    <x v="1"/>
    <d v="2026-04-30T00:00:00"/>
    <s v="102180"/>
    <s v="SILVER FOOD"/>
    <s v="PRINCIPALE"/>
    <n v="383234.4"/>
  </r>
  <r>
    <s v="Facture"/>
    <x v="0"/>
    <s v="A comptabiliser"/>
    <s v="PSSL2604"/>
    <x v="2"/>
    <d v="2026-04-30T00:00:00"/>
    <s v="102857"/>
    <s v="JIL LOGISTIQUE"/>
    <s v="PRST SERVICE SUPPORT &amp; LOGISTIQUE"/>
    <n v="10500"/>
  </r>
  <r>
    <s v="Facture"/>
    <x v="0"/>
    <s v="Saisi"/>
    <s v="FAC260336"/>
    <x v="6"/>
    <d v="2026-05-04T00:00:00"/>
    <s v="100507"/>
    <s v="IMAPE"/>
    <s v="PRINCIPALE"/>
    <n v="30030"/>
  </r>
  <r>
    <s v="Facture"/>
    <x v="0"/>
    <s v="Saisi"/>
    <s v="FAC260337"/>
    <x v="2"/>
    <d v="2026-05-04T00:00:00"/>
    <s v="100527"/>
    <s v="CLIENT DIVERS"/>
    <s v="PRINCIPALE"/>
    <n v="721.6"/>
  </r>
  <r>
    <s v="Facture"/>
    <x v="0"/>
    <s v="Saisi"/>
    <s v="FAC260339"/>
    <x v="1"/>
    <d v="2026-05-04T00:00:00"/>
    <s v="101734"/>
    <s v="MARINE SPECIES FISH MAROC"/>
    <s v="PRINCIPALE"/>
    <n v="385878.6"/>
  </r>
  <r>
    <s v="Facture"/>
    <x v="0"/>
    <s v="Saisi"/>
    <s v="FAC260338"/>
    <x v="2"/>
    <d v="2026-05-04T00:00:00"/>
    <s v="102832"/>
    <s v="SALWAN DE PÊCHE MARITIME"/>
    <s v="PRINCIPALE"/>
    <n v="155526.54"/>
  </r>
  <r>
    <s v="Facture"/>
    <x v="0"/>
    <s v="Saisi"/>
    <s v="FAC260342"/>
    <x v="2"/>
    <d v="2026-05-05T00:00:00"/>
    <s v="100010"/>
    <s v="LPEE"/>
    <s v="PRINCIPALE"/>
    <n v="810.9"/>
  </r>
  <r>
    <s v="Facture"/>
    <x v="0"/>
    <s v="Saisi"/>
    <s v="FAC260344"/>
    <x v="2"/>
    <d v="2026-05-05T00:00:00"/>
    <s v="1002873"/>
    <s v="NESSMA FLAVOR"/>
    <s v="PRINCIPALE"/>
    <n v="4838.3999999999996"/>
  </r>
  <r>
    <s v="Facture"/>
    <x v="0"/>
    <s v="Saisi"/>
    <s v="FAC260340"/>
    <x v="2"/>
    <d v="2026-05-05T00:00:00"/>
    <s v="102208"/>
    <s v="SOLUTION BOIS"/>
    <s v="PRINCIPALE"/>
    <n v="5400"/>
  </r>
  <r>
    <s v="Facture"/>
    <x v="0"/>
    <s v="Saisi"/>
    <s v="FAC260345"/>
    <x v="2"/>
    <d v="2026-05-05T00:00:00"/>
    <s v="102595"/>
    <s v="FRUITS AND LEGUMES BY BARRAQ"/>
    <s v="PRINCIPALE"/>
    <n v="1814.4"/>
  </r>
  <r>
    <s v="Facture"/>
    <x v="0"/>
    <s v="Saisi"/>
    <s v="FAC260341"/>
    <x v="2"/>
    <d v="2026-05-05T00:00:00"/>
    <s v="102798"/>
    <s v="LITTLEMA SARL"/>
    <s v="PRINCIPALE"/>
    <n v="1814.4"/>
  </r>
  <r>
    <s v="Facture"/>
    <x v="0"/>
    <s v="Saisi"/>
    <s v="FAC260343"/>
    <x v="2"/>
    <d v="2026-05-05T00:00:00"/>
    <s v="102798"/>
    <s v="LITTLEMA SARL"/>
    <s v="PRINCIPALE"/>
    <n v="604.79999999999995"/>
  </r>
  <r>
    <s v="Facture"/>
    <x v="0"/>
    <s v="Saisi"/>
    <s v="FAC260346"/>
    <x v="18"/>
    <d v="2026-05-06T00:00:00"/>
    <s v="102674"/>
    <s v="CARPID SARL"/>
    <s v="PRINCIPALE"/>
    <n v="2597.2399999999998"/>
  </r>
  <r>
    <s v="Facture"/>
    <x v="0"/>
    <s v="Saisi"/>
    <s v="FAC260347"/>
    <x v="2"/>
    <d v="2026-05-06T00:00:00"/>
    <s v="102933"/>
    <s v="ALEOSAN AGRO"/>
    <s v="PRINCIPALE"/>
    <n v="28887.08"/>
  </r>
  <r>
    <s v="Facture"/>
    <x v="0"/>
    <s v="Saisi"/>
    <s v="FAC260348"/>
    <x v="19"/>
    <d v="2026-05-06T00:00:00"/>
    <s v="120379"/>
    <s v="FOOD PROCESS"/>
    <s v="PRINCIPALE"/>
    <n v="7150"/>
  </r>
  <r>
    <s v="Facture"/>
    <x v="0"/>
    <s v="Saisi"/>
    <s v="FACSA26020"/>
    <x v="20"/>
    <d v="2026-05-07T00:00:00"/>
    <s v="100527"/>
    <s v="CLIENT DIVERS"/>
    <s v="ECHANTILLONS"/>
    <n v="0"/>
  </r>
  <r>
    <s v="Facture"/>
    <x v="0"/>
    <s v="Saisi"/>
    <s v="FAC260350"/>
    <x v="2"/>
    <d v="2026-05-07T00:00:00"/>
    <s v="102784"/>
    <s v="KHALDYS"/>
    <s v="PRINCIPALE"/>
    <n v="3229.8"/>
  </r>
  <r>
    <s v="Facture"/>
    <x v="0"/>
    <s v="Saisi"/>
    <s v="FAC260353"/>
    <x v="2"/>
    <d v="2026-05-07T00:00:00"/>
    <s v="102798"/>
    <s v="LITTLEMA SARL"/>
    <s v="PRINCIPALE"/>
    <n v="2138.4"/>
  </r>
  <r>
    <s v="Facture"/>
    <x v="0"/>
    <s v="Saisi"/>
    <s v="FAC260352"/>
    <x v="2"/>
    <d v="2026-05-07T00:00:00"/>
    <s v="102893"/>
    <s v="SOUFIANE EL BAKKARI"/>
    <s v="PRINCIPALE"/>
    <n v="2851.2"/>
  </r>
  <r>
    <s v="Facture"/>
    <x v="0"/>
    <s v="Saisi"/>
    <s v="FAC260351"/>
    <x v="1"/>
    <d v="2026-05-07T00:00:00"/>
    <s v="102914"/>
    <s v="IDNAFOOD"/>
    <s v="PRINCIPALE"/>
    <n v="383234.4"/>
  </r>
  <r>
    <s v="Facture"/>
    <x v="0"/>
    <s v="Saisi"/>
    <s v="FAC260349"/>
    <x v="2"/>
    <d v="2026-05-07T00:00:00"/>
    <s v="102933"/>
    <s v="ALEOSAN AGRO"/>
    <s v="PRINCIPALE"/>
    <n v="1617"/>
  </r>
  <r>
    <s v="Facture"/>
    <x v="0"/>
    <s v="Saisi"/>
    <s v="FAC260355"/>
    <x v="1"/>
    <d v="2026-05-08T00:00:00"/>
    <s v="102914"/>
    <s v="IDNAFOOD"/>
    <s v="PRINCIPALE"/>
    <n v="383234.4"/>
  </r>
  <r>
    <s v="Facture"/>
    <x v="0"/>
    <s v="Saisi"/>
    <s v="FAC260354"/>
    <x v="21"/>
    <d v="2026-05-08T00:00:00"/>
    <s v="12167"/>
    <s v="NORDIC DESIGN"/>
    <s v="PRINCIPALE"/>
    <n v="2850"/>
  </r>
  <r>
    <s v="Facture"/>
    <x v="0"/>
    <s v="Saisi"/>
    <s v="FAC260357"/>
    <x v="2"/>
    <d v="2026-05-09T00:00:00"/>
    <s v="1002873"/>
    <s v="NESSMA FLAVOR"/>
    <s v="PRINCIPALE"/>
    <n v="1814.4"/>
  </r>
  <r>
    <s v="Facture"/>
    <x v="0"/>
    <s v="Saisi"/>
    <s v="FAC260356"/>
    <x v="2"/>
    <d v="2026-05-09T00:00:00"/>
    <s v="100527"/>
    <s v="CLIENT DIVERS"/>
    <s v="PRINCIPALE"/>
    <n v="7128"/>
  </r>
  <r>
    <s v="Facture"/>
    <x v="0"/>
    <s v="Saisi"/>
    <s v="FAC260360"/>
    <x v="22"/>
    <d v="2026-05-11T00:00:00"/>
    <s v="102201"/>
    <s v="VCR"/>
    <s v="PRINCIPALE"/>
    <n v="118069.08"/>
  </r>
  <r>
    <s v="Facture"/>
    <x v="0"/>
    <s v="Saisi"/>
    <s v="FAC260359"/>
    <x v="2"/>
    <d v="2026-05-11T00:00:00"/>
    <s v="102552"/>
    <s v="POLYCHEF INGENIERIE"/>
    <s v="PRINCIPALE"/>
    <n v="22055.7012"/>
  </r>
  <r>
    <s v="Facture"/>
    <x v="0"/>
    <s v="Saisi"/>
    <s v="FAC260358"/>
    <x v="2"/>
    <d v="2026-05-11T00:00:00"/>
    <s v="102602"/>
    <s v="EL HDAGA FOOD"/>
    <s v="PRINCIPALE"/>
    <n v="14500"/>
  </r>
  <r>
    <s v="Facture"/>
    <x v="0"/>
    <s v="Saisi"/>
    <s v="FAC260361"/>
    <x v="2"/>
    <d v="2026-05-12T00:00:00"/>
    <s v="102913"/>
    <s v="ATUNEROS DEL SUR CONSERVAS"/>
    <s v="PRINCIPALE"/>
    <n v="383234.4"/>
  </r>
  <r>
    <s v="Facture"/>
    <x v="0"/>
    <s v="Saisi"/>
    <s v="FAC260362"/>
    <x v="2"/>
    <d v="2026-05-12T00:00:00"/>
    <s v="102930"/>
    <s v="NOUTFIA ABDELMALAK"/>
    <s v="PRINCIPALE"/>
    <n v="7630"/>
  </r>
  <r>
    <s v="Facture"/>
    <x v="0"/>
    <s v="Saisi"/>
    <s v="FAC260364"/>
    <x v="2"/>
    <d v="2026-05-13T00:00:00"/>
    <s v="102650"/>
    <s v="DROGUERIE SALMA SARL"/>
    <s v="PRINCIPALE"/>
    <n v="2441.1"/>
  </r>
  <r>
    <s v="Facture d'avoir"/>
    <x v="0"/>
    <s v="Saisi"/>
    <s v="FAV260001"/>
    <x v="23"/>
    <d v="2026-05-13T00:00:00"/>
    <s v="102932"/>
    <s v="CONSERVERIES PELAGIQUES DE DAKHLA"/>
    <s v="PRINCIPALE"/>
    <n v="204674.78"/>
  </r>
  <r>
    <s v="Facture"/>
    <x v="0"/>
    <s v="Saisi"/>
    <s v="FAC260363"/>
    <x v="2"/>
    <d v="2026-05-13T00:00:00"/>
    <s v="102935"/>
    <s v="VITRO PACK SARLAU "/>
    <s v="PRINCIPALE"/>
    <n v="14522.4"/>
  </r>
  <r>
    <s v="Facture"/>
    <x v="0"/>
    <s v="Saisi"/>
    <s v="FAC260365"/>
    <x v="2"/>
    <d v="2026-05-13T00:00:00"/>
    <s v="120407"/>
    <s v="SAHELMIX"/>
    <s v="PRINCIPALE"/>
    <n v="29520"/>
  </r>
  <r>
    <s v="Facture"/>
    <x v="0"/>
    <s v="Saisi"/>
    <s v="FAC260366"/>
    <x v="1"/>
    <d v="2026-05-14T00:00:00"/>
    <s v="102740"/>
    <s v="MEAT CORP"/>
    <s v="PRINCIPALE"/>
    <n v="396514.8"/>
  </r>
  <r>
    <s v="Facture"/>
    <x v="0"/>
    <s v="Saisi"/>
    <s v="FAC260368"/>
    <x v="2"/>
    <d v="2026-05-15T00:00:00"/>
    <s v="1002873"/>
    <s v="NESSMA FLAVOR"/>
    <s v="PRINCIPALE"/>
    <n v="3564"/>
  </r>
  <r>
    <s v="Facture"/>
    <x v="0"/>
    <s v="Saisi"/>
    <s v="FAC260370"/>
    <x v="2"/>
    <d v="2026-05-15T00:00:00"/>
    <s v="1002873"/>
    <s v="NESSMA FLAVOR"/>
    <s v="PRINCIPALE"/>
    <n v="3564"/>
  </r>
  <r>
    <s v="Facture"/>
    <x v="0"/>
    <s v="Saisi"/>
    <s v="FAC260374"/>
    <x v="2"/>
    <d v="2026-05-15T00:00:00"/>
    <s v="100527"/>
    <s v="CLIENT DIVERS"/>
    <s v="PRINCIPALE"/>
    <n v="1740"/>
  </r>
  <r>
    <s v="Facture"/>
    <x v="0"/>
    <s v="A comptabiliser"/>
    <s v="FAC260371"/>
    <x v="2"/>
    <d v="2026-05-15T00:00:00"/>
    <s v="102205"/>
    <s v="ENNASR ALIMENTAIRE AFRIQUAINE"/>
    <s v="PRINCIPALE"/>
    <n v="135008.016"/>
  </r>
  <r>
    <s v="Facture"/>
    <x v="0"/>
    <s v="Saisi"/>
    <s v="FAC260367"/>
    <x v="2"/>
    <d v="2026-05-15T00:00:00"/>
    <s v="102595"/>
    <s v="FRUITS AND LEGUMES BY BARRAQ"/>
    <s v="PRINCIPALE"/>
    <n v="1425.6"/>
  </r>
  <r>
    <s v="Facture"/>
    <x v="0"/>
    <s v="Saisi"/>
    <s v="FAC260372"/>
    <x v="2"/>
    <d v="2026-05-15T00:00:00"/>
    <s v="102765"/>
    <s v="HORTICOM"/>
    <s v="PRINCIPALE"/>
    <n v="5761.8"/>
  </r>
  <r>
    <s v="Facture"/>
    <x v="0"/>
    <s v="Saisi"/>
    <s v="FAC260373"/>
    <x v="2"/>
    <d v="2026-05-15T00:00:00"/>
    <s v="102798"/>
    <s v="LITTLEMA SARL"/>
    <s v="PRINCIPALE"/>
    <n v="107.5"/>
  </r>
  <r>
    <s v="Facture"/>
    <x v="0"/>
    <s v="Saisi"/>
    <s v="FAC260369"/>
    <x v="2"/>
    <d v="2026-05-15T00:00:00"/>
    <s v="102893"/>
    <s v="SOUFIANE EL BAKKARI"/>
    <s v="PRINCIPALE"/>
    <n v="2138.4"/>
  </r>
  <r>
    <s v="Facture"/>
    <x v="0"/>
    <s v="Saisi"/>
    <s v="FAC260375"/>
    <x v="1"/>
    <d v="2026-05-18T00:00:00"/>
    <s v="102470"/>
    <s v="MERVEILLES DES MERS"/>
    <s v="PRINCIPALE"/>
    <n v="387028.8"/>
  </r>
  <r>
    <s v="Facture"/>
    <x v="0"/>
    <s v="Saisi"/>
    <s v="FAC260376"/>
    <x v="1"/>
    <d v="2026-05-18T00:00:00"/>
    <s v="102913"/>
    <s v="ATUNEROS DEL SUR CONSERVAS"/>
    <s v="PRINCIPALE"/>
    <n v="383234.4"/>
  </r>
  <r>
    <s v="Facture"/>
    <x v="0"/>
    <s v="Saisi"/>
    <s v="FAC260380"/>
    <x v="2"/>
    <d v="2026-05-19T00:00:00"/>
    <s v="100527"/>
    <s v="CLIENT DIVERS"/>
    <s v="PRINCIPALE"/>
    <n v="960"/>
  </r>
  <r>
    <s v="Facture"/>
    <x v="0"/>
    <s v="Saisi"/>
    <s v="FAC260382"/>
    <x v="2"/>
    <d v="2026-05-19T00:00:00"/>
    <s v="100527"/>
    <s v="CLIENT DIVERS"/>
    <s v="PRINCIPALE"/>
    <n v="576.84"/>
  </r>
  <r>
    <s v="Facture"/>
    <x v="0"/>
    <s v="Saisi"/>
    <s v="FAC260383"/>
    <x v="2"/>
    <d v="2026-05-19T00:00:00"/>
    <s v="100527"/>
    <s v="CLIENT DIVERS"/>
    <s v="PRINCIPALE"/>
    <n v="712.8"/>
  </r>
  <r>
    <s v="Facture"/>
    <x v="0"/>
    <s v="Saisi"/>
    <s v="FACSA26021"/>
    <x v="20"/>
    <d v="2026-05-19T00:00:00"/>
    <s v="100527"/>
    <s v="CLIENT DIVERS"/>
    <s v="ECHANTILLONS"/>
    <n v="0"/>
  </r>
  <r>
    <s v="Facture"/>
    <x v="0"/>
    <s v="Saisi"/>
    <s v="FAC260377"/>
    <x v="14"/>
    <d v="2026-05-19T00:00:00"/>
    <s v="102592"/>
    <s v="LOGI FOOD MAROC"/>
    <s v="PRINCIPALE"/>
    <n v="410260.57199999999"/>
  </r>
  <r>
    <s v="Facture"/>
    <x v="0"/>
    <s v="Saisi"/>
    <s v="FAC260378"/>
    <x v="1"/>
    <d v="2026-05-19T00:00:00"/>
    <s v="102592"/>
    <s v="LOGI FOOD MAROC"/>
    <s v="PRINCIPALE"/>
    <n v="112716"/>
  </r>
  <r>
    <s v="Facture de retour"/>
    <x v="0"/>
    <s v="Saisi"/>
    <s v="FAR260004"/>
    <x v="24"/>
    <d v="2026-05-19T00:00:00"/>
    <s v="102608"/>
    <s v="ATLANTIC SARDINE ANCHOVIE TAN-TAN"/>
    <s v="PRINCIPALE"/>
    <n v="110.36"/>
  </r>
  <r>
    <s v="Facture"/>
    <x v="0"/>
    <s v="Saisi"/>
    <s v="FAC260381"/>
    <x v="2"/>
    <d v="2026-05-19T00:00:00"/>
    <s v="102893"/>
    <s v="SOUFIANE EL BAKKARI"/>
    <s v="PRINCIPALE"/>
    <n v="3564"/>
  </r>
  <r>
    <s v="Facture de retour"/>
    <x v="0"/>
    <s v="Saisi"/>
    <s v="FAR260003"/>
    <x v="25"/>
    <d v="2026-05-19T00:00:00"/>
    <s v="102933"/>
    <s v="ALEOSAN AGRO"/>
    <s v="PRINCIPALE"/>
    <n v="6737.78"/>
  </r>
  <r>
    <s v="Facture"/>
    <x v="0"/>
    <s v="Saisi"/>
    <s v="FAC260379"/>
    <x v="2"/>
    <d v="2026-05-19T00:00:00"/>
    <s v="102935"/>
    <s v="VITRO PACK SARLAU "/>
    <s v="PRINCIPALE"/>
    <n v="6600"/>
  </r>
  <r>
    <s v="Facture"/>
    <x v="0"/>
    <s v="Saisi"/>
    <s v="FAC260388"/>
    <x v="2"/>
    <d v="2026-05-20T00:00:00"/>
    <s v="100527"/>
    <s v="CLIENT DIVERS"/>
    <s v="PRINCIPALE"/>
    <n v="5760"/>
  </r>
  <r>
    <s v="Facture"/>
    <x v="0"/>
    <s v="Saisi"/>
    <s v="FAC260385"/>
    <x v="26"/>
    <d v="2026-05-20T00:00:00"/>
    <s v="101335"/>
    <s v="SMARCOS"/>
    <s v="PRINCIPALE"/>
    <n v="132601.5"/>
  </r>
  <r>
    <s v="Facture"/>
    <x v="0"/>
    <s v="Saisi"/>
    <s v="FAC260387"/>
    <x v="2"/>
    <d v="2026-05-20T00:00:00"/>
    <s v="102252"/>
    <s v="RESIPRO SARL"/>
    <s v="PRINCIPALE"/>
    <n v="32670"/>
  </r>
  <r>
    <s v="Facture"/>
    <x v="0"/>
    <s v="Saisi"/>
    <s v="FAC260386"/>
    <x v="18"/>
    <d v="2026-05-20T00:00:00"/>
    <s v="102526"/>
    <s v="ABERKANE MOHAMED"/>
    <s v="PRINCIPALE"/>
    <n v="1872.56"/>
  </r>
  <r>
    <s v="Facture"/>
    <x v="0"/>
    <s v="Saisi"/>
    <s v="FAC260384"/>
    <x v="16"/>
    <d v="2026-05-20T00:00:00"/>
    <s v="102701"/>
    <s v="VICTUS &amp; TRADITUM FOODS"/>
    <s v="PRINCIPALE"/>
    <n v="21780"/>
  </r>
  <r>
    <s v="Facture"/>
    <x v="0"/>
    <s v="Saisi"/>
    <s v="FAC260389"/>
    <x v="1"/>
    <d v="2026-05-20T00:00:00"/>
    <s v="102914"/>
    <s v="IDNAFOOD"/>
    <s v="PRINCIPALE"/>
    <n v="383234.4"/>
  </r>
  <r>
    <s v="Facture"/>
    <x v="0"/>
    <s v="Saisi"/>
    <s v="FAC260390"/>
    <x v="26"/>
    <d v="2026-05-21T00:00:00"/>
    <s v="101335"/>
    <s v="SMARCOS"/>
    <s v="PRINCIPALE"/>
    <n v="132601.5"/>
  </r>
  <r>
    <s v="Facture"/>
    <x v="0"/>
    <s v="Saisi"/>
    <s v="FAC260391"/>
    <x v="1"/>
    <d v="2026-05-21T00:00:00"/>
    <s v="102913"/>
    <s v="ATUNEROS DEL SUR CONSERVAS"/>
    <s v="PRINCIPALE"/>
    <n v="383234.4"/>
  </r>
  <r>
    <s v="Facture"/>
    <x v="0"/>
    <s v="Saisi"/>
    <s v="FAC260392"/>
    <x v="2"/>
    <d v="2026-05-22T00:00:00"/>
    <s v="120378"/>
    <s v="B&amp;G Fromagerie"/>
    <s v="PRINCIPALE"/>
    <n v="3024.06"/>
  </r>
  <r>
    <s v="Facture"/>
    <x v="0"/>
    <s v="Saisi"/>
    <s v="FAC260413"/>
    <x v="27"/>
    <d v="2026-05-23T00:00:00"/>
    <s v="102798"/>
    <s v="LITTLEMA SARL"/>
    <s v="PRINCIPALE"/>
    <n v="8547"/>
  </r>
  <r>
    <s v="Facture"/>
    <x v="0"/>
    <s v="Saisi"/>
    <s v="FAC260414"/>
    <x v="14"/>
    <d v="2026-05-25T00:00:00"/>
    <s v="102592"/>
    <s v="LOGI FOOD MAROC"/>
    <s v="PRINCIPALE"/>
    <n v="404103.6"/>
  </r>
  <r>
    <s v="Facture"/>
    <x v="0"/>
    <s v="Saisi"/>
    <s v="FAC260416"/>
    <x v="1"/>
    <d v="2026-06-01T00:00:00"/>
    <s v="102180"/>
    <s v="SILVER FOOD"/>
    <s v="PRINCIPALE"/>
    <n v="383234.4"/>
  </r>
  <r>
    <s v="Facture"/>
    <x v="0"/>
    <s v="Saisi"/>
    <s v="FAC260418"/>
    <x v="28"/>
    <d v="2026-06-02T00:00:00"/>
    <s v="100021"/>
    <s v="BOUTALEB DISTRIBUTION"/>
    <s v="PRINCIPALE"/>
    <n v="792"/>
  </r>
  <r>
    <s v="Facture"/>
    <x v="0"/>
    <s v="Saisi"/>
    <s v="FAC260417"/>
    <x v="29"/>
    <d v="2026-06-02T00:00:00"/>
    <s v="102205"/>
    <s v="ENNASR ALIMENTAIRE AFRIQUAINE"/>
    <s v="PRINCIPALE"/>
    <n v="140805"/>
  </r>
  <r>
    <s v="Facture"/>
    <x v="0"/>
    <s v="Saisi"/>
    <s v="FAC260419"/>
    <x v="30"/>
    <d v="2026-06-03T00:00:00"/>
    <s v="101316"/>
    <s v="VMM"/>
    <s v="PRINCIPALE"/>
    <n v="160704"/>
  </r>
  <r>
    <s v="Facture"/>
    <x v="0"/>
    <s v="Saisi"/>
    <s v="FAC260420"/>
    <x v="31"/>
    <d v="2026-06-03T00:00:00"/>
    <s v="101316"/>
    <s v="VMM"/>
    <s v="PRINCIPALE"/>
    <n v="160704"/>
  </r>
  <r>
    <s v="Facture"/>
    <x v="0"/>
    <s v="Saisi"/>
    <s v="FAC260423"/>
    <x v="30"/>
    <d v="2026-06-04T00:00:00"/>
    <s v="101316"/>
    <s v="VMM"/>
    <s v="PRINCIPALE"/>
    <n v="160704"/>
  </r>
  <r>
    <s v="Facture"/>
    <x v="0"/>
    <s v="Saisi"/>
    <s v="FAC260422"/>
    <x v="29"/>
    <d v="2026-06-04T00:00:00"/>
    <s v="102205"/>
    <s v="ENNASR ALIMENTAIRE AFRIQUAINE"/>
    <s v="PRINCIPALE"/>
    <n v="140794.875"/>
  </r>
  <r>
    <s v="Facture"/>
    <x v="0"/>
    <s v="Saisi"/>
    <s v="FAC260421"/>
    <x v="32"/>
    <d v="2026-06-04T00:00:00"/>
    <s v="102592"/>
    <s v="LOGI FOOD MAROC"/>
    <s v="PRINCIPALE"/>
    <n v="404103.6"/>
  </r>
  <r>
    <s v="Facture"/>
    <x v="0"/>
    <s v="Saisi"/>
    <s v="FAC260424"/>
    <x v="1"/>
    <d v="2026-06-05T00:00:00"/>
    <s v="102914"/>
    <s v="IDNAFOOD"/>
    <s v="PRINCIPALE"/>
    <n v="383234.4"/>
  </r>
  <r>
    <m/>
    <x v="0"/>
    <m/>
    <m/>
    <x v="33"/>
    <m/>
    <m/>
    <m/>
    <m/>
    <m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5">
  <r>
    <s v="Bon de commande"/>
    <m/>
    <x v="0"/>
    <s v="BCA200019"/>
    <x v="0"/>
    <d v="2020-01-21T00:00:00"/>
    <s v="300081"/>
    <s v="JIL EMBALLAGES"/>
    <n v="89280"/>
  </r>
  <r>
    <s v="Bon de commande"/>
    <m/>
    <x v="0"/>
    <s v="BCA200062"/>
    <x v="1"/>
    <d v="2020-04-24T00:00:00"/>
    <s v="300115"/>
    <s v="AUXILIAR CONSERVERA SA"/>
    <n v="38959.153200000001"/>
  </r>
  <r>
    <s v="Bon de commande"/>
    <m/>
    <x v="0"/>
    <s v="BCA200063"/>
    <x v="2"/>
    <d v="2020-04-25T00:00:00"/>
    <s v="300115"/>
    <s v="AUXILIAR CONSERVERA SA"/>
    <n v="14941.789500000001"/>
  </r>
  <r>
    <s v="Bon de commande"/>
    <m/>
    <x v="0"/>
    <s v="BCA200069"/>
    <x v="3"/>
    <d v="2020-05-05T00:00:00"/>
    <s v="300115"/>
    <s v="AUXILIAR CONSERVERA SA"/>
    <n v="39493.684999999998"/>
  </r>
  <r>
    <s v="Bon de commande"/>
    <m/>
    <x v="0"/>
    <s v="BCA200072"/>
    <x v="4"/>
    <d v="2020-05-09T00:00:00"/>
    <s v="300115"/>
    <s v="AUXILIAR CONSERVERA SA"/>
    <n v="27368.871200000001"/>
  </r>
  <r>
    <s v="Bon de commande"/>
    <m/>
    <x v="0"/>
    <s v="BCA200074"/>
    <x v="5"/>
    <d v="2020-05-12T00:00:00"/>
    <s v="300115"/>
    <s v="AUXILIAR CONSERVERA SA"/>
    <n v="4752"/>
  </r>
  <r>
    <s v="Bon de commande"/>
    <m/>
    <x v="0"/>
    <s v="BCA200077"/>
    <x v="6"/>
    <d v="2020-05-18T00:00:00"/>
    <s v="300115"/>
    <s v="AUXILIAR CONSERVERA SA"/>
    <n v="105655"/>
  </r>
  <r>
    <s v="Bon de commande"/>
    <m/>
    <x v="0"/>
    <s v="BCA200078"/>
    <x v="7"/>
    <d v="2020-05-18T00:00:00"/>
    <s v="300115"/>
    <s v="AUXILIAR CONSERVERA SA"/>
    <n v="386100"/>
  </r>
  <r>
    <s v="Bon de commande"/>
    <m/>
    <x v="0"/>
    <s v="BCA200080"/>
    <x v="8"/>
    <d v="2020-05-21T00:00:00"/>
    <s v="300115"/>
    <s v="AUXILIAR CONSERVERA SA"/>
    <n v="91193.337400000004"/>
  </r>
  <r>
    <s v="Bon de commande"/>
    <m/>
    <x v="0"/>
    <s v="BCA200082"/>
    <x v="9"/>
    <d v="2020-05-21T00:00:00"/>
    <s v="300115"/>
    <s v="AUXILIAR CONSERVERA SA"/>
    <n v="158664"/>
  </r>
  <r>
    <s v="Bon de commande"/>
    <m/>
    <x v="0"/>
    <s v="BCA200095"/>
    <x v="10"/>
    <d v="2020-06-12T00:00:00"/>
    <s v="300115"/>
    <s v="AUXILIAR CONSERVERA SA"/>
    <n v="85358.592000000004"/>
  </r>
  <r>
    <s v="Bon de commande"/>
    <m/>
    <x v="0"/>
    <s v="BCA200099"/>
    <x v="11"/>
    <d v="2020-06-22T00:00:00"/>
    <s v="300302"/>
    <s v="SOMME MAROC"/>
    <n v="6300"/>
  </r>
  <r>
    <s v="Bon de commande"/>
    <m/>
    <x v="0"/>
    <s v="BCA200105"/>
    <x v="3"/>
    <d v="2020-06-24T00:00:00"/>
    <s v="300115"/>
    <s v="AUXILIAR CONSERVERA SA"/>
    <n v="49335.752399999998"/>
  </r>
  <r>
    <s v="Bon de commande"/>
    <m/>
    <x v="0"/>
    <s v="BCA200108"/>
    <x v="12"/>
    <d v="2020-07-02T00:00:00"/>
    <s v="300115"/>
    <s v="AUXILIAR CONSERVERA SA"/>
    <n v="405107.40600000002"/>
  </r>
  <r>
    <s v="Bon de commande"/>
    <m/>
    <x v="0"/>
    <s v="BCA200113"/>
    <x v="13"/>
    <d v="2020-07-08T00:00:00"/>
    <s v="300115"/>
    <s v="AUXILIAR CONSERVERA SA"/>
    <n v="634800.44099999999"/>
  </r>
  <r>
    <s v="Bon de commande"/>
    <m/>
    <x v="0"/>
    <s v="BCA200125"/>
    <x v="12"/>
    <d v="2020-07-23T00:00:00"/>
    <s v="300115"/>
    <s v="AUXILIAR CONSERVERA SA"/>
    <n v="3091330.1275999998"/>
  </r>
  <r>
    <s v="Bon de commande"/>
    <m/>
    <x v="0"/>
    <s v="BCA200126"/>
    <x v="14"/>
    <d v="2020-07-24T00:00:00"/>
    <s v="300115"/>
    <s v="AUXILIAR CONSERVERA SA"/>
    <n v="16414.930400000001"/>
  </r>
  <r>
    <s v="Bon de commande"/>
    <m/>
    <x v="0"/>
    <s v="BCA200136"/>
    <x v="15"/>
    <d v="2020-08-28T00:00:00"/>
    <s v="300115"/>
    <s v="AUXILIAR CONSERVERA SA"/>
    <n v="74250"/>
  </r>
  <r>
    <s v="Bon de commande"/>
    <m/>
    <x v="0"/>
    <s v="BCA200140"/>
    <x v="12"/>
    <d v="2020-09-02T00:00:00"/>
    <s v="300115"/>
    <s v="AUXILIAR CONSERVERA SA"/>
    <n v="17183.832600000002"/>
  </r>
  <r>
    <s v="Bon de commande"/>
    <m/>
    <x v="0"/>
    <s v="BCA200148"/>
    <x v="16"/>
    <d v="2020-09-17T00:00:00"/>
    <s v="300115"/>
    <s v="AUXILIAR CONSERVERA SA"/>
    <n v="10175"/>
  </r>
  <r>
    <s v="Bon de commande"/>
    <m/>
    <x v="0"/>
    <s v="BCA200162"/>
    <x v="17"/>
    <d v="2020-10-06T00:00:00"/>
    <s v="300081"/>
    <s v="JIL EMBALLAGES"/>
    <n v="106750"/>
  </r>
  <r>
    <s v="Bon de commande"/>
    <m/>
    <x v="0"/>
    <s v="BCA200164"/>
    <x v="13"/>
    <d v="2020-10-13T00:00:00"/>
    <s v="300115"/>
    <s v="AUXILIAR CONSERVERA SA"/>
    <n v="100208.317"/>
  </r>
  <r>
    <s v="Bon de commande"/>
    <m/>
    <x v="0"/>
    <s v="BCA200165"/>
    <x v="18"/>
    <d v="2020-10-13T00:00:00"/>
    <s v="300115"/>
    <s v="AUXILIAR CONSERVERA SA"/>
    <n v="70547.399999999994"/>
  </r>
  <r>
    <s v="Bon de commande"/>
    <m/>
    <x v="0"/>
    <s v="BCA200167"/>
    <x v="1"/>
    <d v="2020-10-14T00:00:00"/>
    <s v="300115"/>
    <s v="AUXILIAR CONSERVERA SA"/>
    <n v="1207324.6680000001"/>
  </r>
  <r>
    <s v="Bon de commande"/>
    <m/>
    <x v="0"/>
    <s v="BCA200171"/>
    <x v="19"/>
    <d v="2020-10-17T00:00:00"/>
    <s v="300115"/>
    <s v="AUXILIAR CONSERVERA SA"/>
    <n v="2200"/>
  </r>
  <r>
    <s v="Bon de commande"/>
    <m/>
    <x v="0"/>
    <s v="BCA200179"/>
    <x v="20"/>
    <d v="2020-10-23T00:00:00"/>
    <s v="300076"/>
    <s v="SOCIETE CENTRALE D'EMBALLAGES"/>
    <n v="3000"/>
  </r>
  <r>
    <s v="Bon de commande"/>
    <m/>
    <x v="0"/>
    <s v="BCA200181"/>
    <x v="13"/>
    <d v="2020-11-02T00:00:00"/>
    <s v="300115"/>
    <s v="AUXILIAR CONSERVERA SA"/>
    <n v="417704.1"/>
  </r>
  <r>
    <s v="Bon de commande"/>
    <m/>
    <x v="0"/>
    <s v="BCA200184"/>
    <x v="8"/>
    <d v="2020-11-05T00:00:00"/>
    <s v="300115"/>
    <s v="AUXILIAR CONSERVERA SA"/>
    <n v="198659.0221"/>
  </r>
  <r>
    <s v="Bon de commande"/>
    <m/>
    <x v="0"/>
    <s v="BCA200185"/>
    <x v="13"/>
    <d v="2020-11-09T00:00:00"/>
    <s v="300115"/>
    <s v="AUXILIAR CONSERVERA SA"/>
    <n v="36301.65"/>
  </r>
  <r>
    <s v="Bon de commande"/>
    <m/>
    <x v="0"/>
    <s v="BCA200188"/>
    <x v="21"/>
    <d v="2020-11-13T00:00:00"/>
    <s v="300115"/>
    <s v="AUXILIAR CONSERVERA SA"/>
    <n v="434138.56199999998"/>
  </r>
  <r>
    <s v="Bon de commande"/>
    <m/>
    <x v="0"/>
    <s v="BCA200190"/>
    <x v="22"/>
    <d v="2020-11-19T00:00:00"/>
    <s v="300115"/>
    <s v="AUXILIAR CONSERVERA SA"/>
    <n v="8409.3768"/>
  </r>
  <r>
    <s v="Bon de commande"/>
    <m/>
    <x v="0"/>
    <s v="BCA200191"/>
    <x v="12"/>
    <d v="2020-11-19T00:00:00"/>
    <s v="300115"/>
    <s v="AUXILIAR CONSERVERA SA"/>
    <n v="523498.8616"/>
  </r>
  <r>
    <s v="Bon de commande"/>
    <m/>
    <x v="0"/>
    <s v="BCA200194"/>
    <x v="23"/>
    <d v="2020-11-25T00:00:00"/>
    <s v="300081"/>
    <s v="JIL EMBALLAGES"/>
    <n v="1041.67"/>
  </r>
  <r>
    <s v="Bon de commande"/>
    <m/>
    <x v="0"/>
    <s v="BCA200198"/>
    <x v="24"/>
    <d v="2020-12-10T00:00:00"/>
    <s v="300115"/>
    <s v="AUXILIAR CONSERVERA SA"/>
    <n v="14929.683999999999"/>
  </r>
  <r>
    <s v="Bon de commande"/>
    <m/>
    <x v="0"/>
    <s v="BCA200205"/>
    <x v="25"/>
    <d v="2020-12-24T00:00:00"/>
    <s v="300115"/>
    <s v="AUXILIAR CONSERVERA SA"/>
    <n v="612184.21"/>
  </r>
  <r>
    <s v="Bon de commande"/>
    <m/>
    <x v="0"/>
    <s v="BCA200206"/>
    <x v="26"/>
    <d v="2020-12-24T00:00:00"/>
    <s v="300115"/>
    <s v="AUXILIAR CONSERVERA SA"/>
    <n v="2297680"/>
  </r>
  <r>
    <s v="Bon de commande"/>
    <m/>
    <x v="0"/>
    <s v="BCA200207"/>
    <x v="27"/>
    <d v="2020-12-25T00:00:00"/>
    <s v="300115"/>
    <s v="AUXILIAR CONSERVERA SA"/>
    <n v="152130"/>
  </r>
  <r>
    <s v="Bon de commande"/>
    <m/>
    <x v="0"/>
    <s v="BCA200208"/>
    <x v="28"/>
    <d v="2020-12-25T00:00:00"/>
    <s v="300115"/>
    <s v="AUXILIAR CONSERVERA SA"/>
    <n v="76065"/>
  </r>
  <r>
    <s v="Bon de commande"/>
    <m/>
    <x v="0"/>
    <s v="BCA200209"/>
    <x v="29"/>
    <d v="2020-12-25T00:00:00"/>
    <s v="300115"/>
    <s v="AUXILIAR CONSERVERA SA"/>
    <n v="76065"/>
  </r>
  <r>
    <s v="Bon de commande"/>
    <m/>
    <x v="0"/>
    <s v="BCA200210"/>
    <x v="30"/>
    <d v="2020-12-31T00:00:00"/>
    <s v="300115"/>
    <s v="AUXILIAR CONSERVERA SA"/>
    <n v="13824.755999999999"/>
  </r>
  <r>
    <s v="Bon de commande"/>
    <m/>
    <x v="0"/>
    <s v="BCA210001"/>
    <x v="31"/>
    <d v="2021-01-07T00:00:00"/>
    <s v="300115"/>
    <s v="AUXILIAR CONSERVERA SA"/>
    <n v="91524.356"/>
  </r>
  <r>
    <s v="Bon de commande"/>
    <m/>
    <x v="0"/>
    <s v="BCA210003"/>
    <x v="32"/>
    <d v="2021-01-12T00:00:00"/>
    <s v="300115"/>
    <s v="AUXILIAR CONSERVERA SA"/>
    <n v="40225.68"/>
  </r>
  <r>
    <s v="Bon de commande"/>
    <m/>
    <x v="0"/>
    <s v="BCA210007"/>
    <x v="33"/>
    <d v="2021-01-14T00:00:00"/>
    <s v="300115"/>
    <s v="AUXILIAR CONSERVERA SA"/>
    <n v="1678501.2749999999"/>
  </r>
  <r>
    <s v="Bon de commande"/>
    <m/>
    <x v="0"/>
    <s v="BCA210008"/>
    <x v="1"/>
    <d v="2021-01-18T00:00:00"/>
    <s v="300115"/>
    <s v="AUXILIAR CONSERVERA SA"/>
    <n v="104346.39599999999"/>
  </r>
  <r>
    <s v="Bon de commande"/>
    <m/>
    <x v="0"/>
    <s v="BCA210009"/>
    <x v="1"/>
    <d v="2021-01-18T00:00:00"/>
    <s v="300115"/>
    <s v="AUXILIAR CONSERVERA SA"/>
    <n v="93401.066000000006"/>
  </r>
  <r>
    <s v="Bon de commande"/>
    <m/>
    <x v="0"/>
    <s v="BCA210011"/>
    <x v="34"/>
    <d v="2021-01-19T00:00:00"/>
    <s v="300115"/>
    <s v="AUXILIAR CONSERVERA SA"/>
    <n v="165749.76000000001"/>
  </r>
  <r>
    <s v="Bon de commande"/>
    <m/>
    <x v="0"/>
    <s v="BCA210019"/>
    <x v="35"/>
    <d v="2021-02-05T00:00:00"/>
    <s v="300115"/>
    <s v="AUXILIAR CONSERVERA SA"/>
    <n v="20328"/>
  </r>
  <r>
    <s v="Bon de commande"/>
    <m/>
    <x v="0"/>
    <s v="BCA210021"/>
    <x v="1"/>
    <d v="2021-02-08T00:00:00"/>
    <s v="300115"/>
    <s v="AUXILIAR CONSERVERA SA"/>
    <n v="9012.8279999999995"/>
  </r>
  <r>
    <s v="Bon de commande"/>
    <m/>
    <x v="0"/>
    <s v="BCA210022"/>
    <x v="14"/>
    <d v="2021-02-08T00:00:00"/>
    <s v="300115"/>
    <s v="AUXILIAR CONSERVERA SA"/>
    <n v="275838.55200000003"/>
  </r>
  <r>
    <s v="Bon de commande"/>
    <m/>
    <x v="0"/>
    <s v="BCA210024"/>
    <x v="36"/>
    <d v="2021-02-18T00:00:00"/>
    <s v="300115"/>
    <s v="AUXILIAR CONSERVERA SA"/>
    <n v="316169.56800000003"/>
  </r>
  <r>
    <s v="Bon de commande"/>
    <m/>
    <x v="0"/>
    <s v="BCA210025"/>
    <x v="1"/>
    <d v="2021-02-18T00:00:00"/>
    <s v="300115"/>
    <s v="AUXILIAR CONSERVERA SA"/>
    <n v="7929802.4960000003"/>
  </r>
  <r>
    <s v="Bon de commande"/>
    <m/>
    <x v="0"/>
    <s v="BCA210029"/>
    <x v="37"/>
    <d v="2021-03-02T00:00:00"/>
    <s v="300115"/>
    <s v="AUXILIAR CONSERVERA SA"/>
    <n v="60206.96"/>
  </r>
  <r>
    <s v="Bon de commande"/>
    <m/>
    <x v="0"/>
    <s v="BCA210034"/>
    <x v="38"/>
    <d v="2021-03-18T00:00:00"/>
    <s v="300115"/>
    <s v="AUXILIAR CONSERVERA SA"/>
    <n v="18771.768400000001"/>
  </r>
  <r>
    <s v="Bon de commande"/>
    <m/>
    <x v="0"/>
    <s v="BCA210035"/>
    <x v="38"/>
    <d v="2021-03-24T00:00:00"/>
    <s v="300115"/>
    <s v="AUXILIAR CONSERVERA SA"/>
    <n v="202840"/>
  </r>
  <r>
    <s v="Bon de commande"/>
    <m/>
    <x v="0"/>
    <s v="BCA210037"/>
    <x v="36"/>
    <d v="2021-03-26T00:00:00"/>
    <s v="300115"/>
    <s v="AUXILIAR CONSERVERA SA"/>
    <n v="474254.35200000001"/>
  </r>
  <r>
    <s v="Bon de commande"/>
    <m/>
    <x v="0"/>
    <s v="BCA210039"/>
    <x v="39"/>
    <d v="2021-04-03T00:00:00"/>
    <s v="300115"/>
    <s v="AUXILIAR CONSERVERA SA"/>
    <n v="202917"/>
  </r>
  <r>
    <s v="Bon de commande"/>
    <m/>
    <x v="0"/>
    <s v="BCA210043"/>
    <x v="40"/>
    <d v="2021-04-09T00:00:00"/>
    <s v="300115"/>
    <s v="AUXILIAR CONSERVERA SA"/>
    <n v="2339492.5641999999"/>
  </r>
  <r>
    <s v="Bon de commande"/>
    <m/>
    <x v="0"/>
    <s v="BCA210045"/>
    <x v="41"/>
    <d v="2021-04-12T00:00:00"/>
    <s v="300115"/>
    <s v="AUXILIAR CONSERVERA SA"/>
    <n v="54146.822399999997"/>
  </r>
  <r>
    <s v="Bon de commande"/>
    <m/>
    <x v="0"/>
    <s v="BCA210051"/>
    <x v="42"/>
    <d v="2021-04-21T00:00:00"/>
    <s v="300115"/>
    <s v="AUXILIAR CONSERVERA SA"/>
    <n v="66528"/>
  </r>
  <r>
    <s v="Bon de commande"/>
    <m/>
    <x v="0"/>
    <s v="BCA210053"/>
    <x v="13"/>
    <d v="2021-04-22T00:00:00"/>
    <s v="300115"/>
    <s v="AUXILIAR CONSERVERA SA"/>
    <n v="173061.21799999999"/>
  </r>
  <r>
    <s v="Bon de commande"/>
    <m/>
    <x v="0"/>
    <s v="BCA210063"/>
    <x v="43"/>
    <d v="2021-05-19T00:00:00"/>
    <s v="300115"/>
    <s v="AUXILIAR CONSERVERA SA"/>
    <n v="369600"/>
  </r>
  <r>
    <s v="Bon de commande"/>
    <m/>
    <x v="0"/>
    <s v="BCA210066"/>
    <x v="44"/>
    <d v="2021-05-25T00:00:00"/>
    <s v="300115"/>
    <s v="AUXILIAR CONSERVERA SA"/>
    <n v="32778.196000000004"/>
  </r>
  <r>
    <s v="Bon de commande"/>
    <m/>
    <x v="0"/>
    <s v="BCA210067"/>
    <x v="44"/>
    <d v="2021-05-25T00:00:00"/>
    <s v="300115"/>
    <s v="AUXILIAR CONSERVERA SA"/>
    <n v="45456.857600000003"/>
  </r>
  <r>
    <s v="Bon de commande"/>
    <m/>
    <x v="0"/>
    <s v="BCA210069"/>
    <x v="45"/>
    <d v="2021-05-28T00:00:00"/>
    <s v="300115"/>
    <s v="AUXILIAR CONSERVERA SA"/>
    <n v="619520"/>
  </r>
  <r>
    <s v="Bon de commande"/>
    <m/>
    <x v="0"/>
    <s v="BCA210070"/>
    <x v="45"/>
    <d v="2021-05-28T00:00:00"/>
    <s v="300115"/>
    <s v="AUXILIAR CONSERVERA SA"/>
    <n v="601677.82400000002"/>
  </r>
  <r>
    <s v="Bon de commande"/>
    <m/>
    <x v="0"/>
    <s v="BCA210071"/>
    <x v="1"/>
    <d v="2021-05-29T00:00:00"/>
    <s v="300115"/>
    <s v="AUXILIAR CONSERVERA SA"/>
    <n v="1759558.5083999999"/>
  </r>
  <r>
    <s v="Bon de commande"/>
    <m/>
    <x v="0"/>
    <s v="BCA210077"/>
    <x v="1"/>
    <d v="2021-06-08T00:00:00"/>
    <s v="300115"/>
    <s v="AUXILIAR CONSERVERA SA"/>
    <n v="9081.7628000000004"/>
  </r>
  <r>
    <s v="Bon de commande"/>
    <m/>
    <x v="0"/>
    <s v="BCA210080"/>
    <x v="34"/>
    <d v="2021-06-12T00:00:00"/>
    <s v="300115"/>
    <s v="AUXILIAR CONSERVERA SA"/>
    <n v="802204.84299999999"/>
  </r>
  <r>
    <s v="Bon de commande"/>
    <m/>
    <x v="0"/>
    <s v="BCA210082"/>
    <x v="1"/>
    <d v="2021-06-15T00:00:00"/>
    <s v="300115"/>
    <s v="AUXILIAR CONSERVERA SA"/>
    <n v="2052600"/>
  </r>
  <r>
    <s v="Bon de commande"/>
    <m/>
    <x v="0"/>
    <s v="BCA210083"/>
    <x v="12"/>
    <d v="2021-06-22T00:00:00"/>
    <s v="300115"/>
    <s v="AUXILIAR CONSERVERA SA"/>
    <n v="111936.84480000001"/>
  </r>
  <r>
    <s v="Bon de commande"/>
    <m/>
    <x v="0"/>
    <s v="BCA210090"/>
    <x v="46"/>
    <d v="2021-07-03T00:00:00"/>
    <s v="300115"/>
    <s v="AUXILIAR CONSERVERA SA"/>
    <n v="152277.84"/>
  </r>
  <r>
    <s v="Bon de commande"/>
    <m/>
    <x v="0"/>
    <s v="BCA210096"/>
    <x v="47"/>
    <d v="2021-08-24T00:00:00"/>
    <s v="300115"/>
    <s v="AUXILIAR CONSERVERA SA"/>
    <n v="133903.42240000001"/>
  </r>
  <r>
    <s v="Bon de commande"/>
    <m/>
    <x v="0"/>
    <s v="BCA210099"/>
    <x v="41"/>
    <d v="2021-09-07T00:00:00"/>
    <s v="300115"/>
    <s v="AUXILIAR CONSERVERA SA"/>
    <n v="203030.61900000001"/>
  </r>
  <r>
    <s v="Bon de commande"/>
    <m/>
    <x v="0"/>
    <s v="BCA210101"/>
    <x v="48"/>
    <d v="2021-09-21T00:00:00"/>
    <s v="300115"/>
    <s v="AUXILIAR CONSERVERA SA"/>
    <n v="1458170.1816"/>
  </r>
  <r>
    <s v="Bon de commande"/>
    <m/>
    <x v="0"/>
    <s v="BCA210103"/>
    <x v="49"/>
    <d v="2021-09-21T00:00:00"/>
    <s v="300115"/>
    <s v="AUXILIAR CONSERVERA SA"/>
    <n v="7117000"/>
  </r>
  <r>
    <s v="Bon de commande"/>
    <m/>
    <x v="0"/>
    <s v="BCA210105"/>
    <x v="50"/>
    <d v="2021-09-30T00:00:00"/>
    <s v="300076"/>
    <s v="SOCIETE CENTRALE D'EMBALLAGES"/>
    <n v="4200"/>
  </r>
  <r>
    <s v="Bon de commande"/>
    <m/>
    <x v="0"/>
    <s v="BCA210108"/>
    <x v="51"/>
    <d v="2021-10-15T00:00:00"/>
    <s v="300115"/>
    <s v="AUXILIAR CONSERVERA SA"/>
    <n v="188456.22289999999"/>
  </r>
  <r>
    <s v="Bon de commande"/>
    <m/>
    <x v="0"/>
    <s v="BCA210113"/>
    <x v="43"/>
    <d v="2021-10-28T00:00:00"/>
    <s v="300115"/>
    <s v="AUXILIAR CONSERVERA SA"/>
    <n v="202840"/>
  </r>
  <r>
    <s v="Bon de commande"/>
    <m/>
    <x v="0"/>
    <s v="BCA210116"/>
    <x v="12"/>
    <d v="2021-11-09T00:00:00"/>
    <s v="300115"/>
    <s v="AUXILIAR CONSERVERA SA"/>
    <n v="7623.6952000000001"/>
  </r>
  <r>
    <s v="Bon de commande"/>
    <m/>
    <x v="0"/>
    <s v="BCA210117"/>
    <x v="1"/>
    <d v="2021-11-10T00:00:00"/>
    <s v="300115"/>
    <s v="AUXILIAR CONSERVERA SA"/>
    <n v="368902.92560000002"/>
  </r>
  <r>
    <s v="Bon de commande"/>
    <m/>
    <x v="0"/>
    <s v="BCA210118"/>
    <x v="52"/>
    <d v="2021-11-15T00:00:00"/>
    <s v="300115"/>
    <s v="AUXILIAR CONSERVERA SA"/>
    <n v="317884.908"/>
  </r>
  <r>
    <s v="Bon de commande"/>
    <m/>
    <x v="0"/>
    <s v="BCA210124"/>
    <x v="53"/>
    <d v="2021-12-30T00:00:00"/>
    <s v="300312"/>
    <s v="ILIP S.r.l."/>
    <n v="15586.56"/>
  </r>
  <r>
    <s v="Bon de commande"/>
    <m/>
    <x v="0"/>
    <s v="BCA210125"/>
    <x v="54"/>
    <d v="2022-01-10T00:00:00"/>
    <s v="300081"/>
    <s v="JIL EMBALLAGES"/>
    <n v="121150.08"/>
  </r>
  <r>
    <s v="Bon de commande"/>
    <m/>
    <x v="0"/>
    <s v="BCA210126"/>
    <x v="55"/>
    <d v="2022-01-19T00:00:00"/>
    <s v="300115"/>
    <s v="AUXILIAR CONSERVERA SA"/>
    <n v="816512.46600000001"/>
  </r>
  <r>
    <s v="Bon de commande"/>
    <m/>
    <x v="0"/>
    <s v="BCA210128"/>
    <x v="33"/>
    <d v="2022-01-24T00:00:00"/>
    <s v="300115"/>
    <s v="AUXILIAR CONSERVERA SA"/>
    <n v="3335108.6252000001"/>
  </r>
  <r>
    <s v="Bon de commande"/>
    <m/>
    <x v="0"/>
    <s v="BCA210132"/>
    <x v="56"/>
    <d v="2022-03-26T00:00:00"/>
    <s v="300115"/>
    <s v="AUXILIAR CONSERVERA SA"/>
    <n v="0"/>
  </r>
  <r>
    <s v="Bon de commande"/>
    <m/>
    <x v="0"/>
    <s v="BCA210133"/>
    <x v="56"/>
    <d v="2022-03-31T00:00:00"/>
    <s v="300115"/>
    <s v="AUXILIAR CONSERVERA SA"/>
    <n v="105917.0442"/>
  </r>
  <r>
    <s v="Bon de commande"/>
    <m/>
    <x v="0"/>
    <s v="BCA210135"/>
    <x v="57"/>
    <d v="2022-04-19T00:00:00"/>
    <s v="300115"/>
    <s v="AUXILIAR CONSERVERA SA"/>
    <n v="1588087.5053999999"/>
  </r>
  <r>
    <s v="Bon de commande"/>
    <m/>
    <x v="0"/>
    <s v="BCA220011"/>
    <x v="12"/>
    <d v="2022-04-26T00:00:00"/>
    <s v="300115"/>
    <s v="AUXILIAR CONSERVERA SA"/>
    <n v="46779.612000000001"/>
  </r>
  <r>
    <s v="Bon de commande"/>
    <m/>
    <x v="0"/>
    <s v="BCA220013"/>
    <x v="10"/>
    <d v="2022-05-13T00:00:00"/>
    <s v="300115"/>
    <s v="AUXILIAR CONSERVERA SA"/>
    <n v="104018.80499999999"/>
  </r>
  <r>
    <s v="Bon de commande"/>
    <m/>
    <x v="0"/>
    <s v="BCA220019"/>
    <x v="58"/>
    <d v="2022-06-09T00:00:00"/>
    <s v="300115"/>
    <s v="AUXILIAR CONSERVERA SA"/>
    <n v="17769.5144"/>
  </r>
  <r>
    <s v="Bon de commande"/>
    <m/>
    <x v="0"/>
    <s v="BCA220021"/>
    <x v="59"/>
    <d v="2022-06-13T00:00:00"/>
    <s v="300115"/>
    <s v="AUXILIAR CONSERVERA SA"/>
    <n v="0"/>
  </r>
  <r>
    <s v="Bon de commande"/>
    <m/>
    <x v="0"/>
    <s v="BCA220022"/>
    <x v="60"/>
    <d v="2022-06-13T00:00:00"/>
    <s v="300115"/>
    <s v="AUXILIAR CONSERVERA SA"/>
    <n v="4079397.8412000001"/>
  </r>
  <r>
    <s v="Bon de commande"/>
    <m/>
    <x v="0"/>
    <s v="BCA220025"/>
    <x v="61"/>
    <d v="2022-07-25T00:00:00"/>
    <s v="300115"/>
    <s v="AUXILIAR CONSERVERA SA"/>
    <n v="660194.21710000001"/>
  </r>
  <r>
    <s v="Bon de commande"/>
    <m/>
    <x v="0"/>
    <s v="BCA220029"/>
    <x v="10"/>
    <d v="2022-08-11T00:00:00"/>
    <s v="300115"/>
    <s v="AUXILIAR CONSERVERA SA"/>
    <n v="129094.02"/>
  </r>
  <r>
    <s v="Bon de commande"/>
    <m/>
    <x v="0"/>
    <s v="BCA220032"/>
    <x v="48"/>
    <d v="2022-08-23T00:00:00"/>
    <s v="300115"/>
    <s v="AUXILIAR CONSERVERA SA"/>
    <n v="173934.54759999999"/>
  </r>
  <r>
    <s v="Bon de commande"/>
    <m/>
    <x v="0"/>
    <s v="BCA220033"/>
    <x v="45"/>
    <d v="2022-08-23T00:00:00"/>
    <s v="300115"/>
    <s v="AUXILIAR CONSERVERA SA"/>
    <n v="652520"/>
  </r>
  <r>
    <s v="Bon de commande"/>
    <m/>
    <x v="0"/>
    <s v="BCA220034"/>
    <x v="55"/>
    <d v="2022-08-26T00:00:00"/>
    <s v="300115"/>
    <s v="AUXILIAR CONSERVERA SA"/>
    <n v="762543.93599999999"/>
  </r>
  <r>
    <s v="Bon de commande"/>
    <m/>
    <x v="0"/>
    <s v="BCA220038"/>
    <x v="62"/>
    <d v="2022-09-02T00:00:00"/>
    <s v="300115"/>
    <s v="AUXILIAR CONSERVERA SA"/>
    <n v="154598.39999999999"/>
  </r>
  <r>
    <s v="Bon de commande"/>
    <m/>
    <x v="0"/>
    <s v="BCA220039"/>
    <x v="41"/>
    <d v="2022-09-09T00:00:00"/>
    <s v="300115"/>
    <s v="AUXILIAR CONSERVERA SA"/>
    <n v="108419.564"/>
  </r>
  <r>
    <s v="Bon de commande"/>
    <m/>
    <x v="0"/>
    <s v="BCA220044"/>
    <x v="41"/>
    <d v="2022-10-07T00:00:00"/>
    <s v="300115"/>
    <s v="AUXILIAR CONSERVERA SA"/>
    <n v="152056.88080000001"/>
  </r>
  <r>
    <s v="Bon de commande"/>
    <m/>
    <x v="0"/>
    <s v="BCA220045"/>
    <x v="63"/>
    <d v="2022-10-07T00:00:00"/>
    <s v="300115"/>
    <s v="AUXILIAR CONSERVERA SA"/>
    <n v="21210.6587"/>
  </r>
  <r>
    <s v="Bon de commande"/>
    <m/>
    <x v="0"/>
    <s v="BCA220046"/>
    <x v="33"/>
    <d v="2022-10-07T00:00:00"/>
    <s v="300115"/>
    <s v="AUXILIAR CONSERVERA SA"/>
    <n v="5582.94"/>
  </r>
  <r>
    <s v="Bon de commande"/>
    <m/>
    <x v="0"/>
    <s v="BCA220048"/>
    <x v="64"/>
    <d v="2022-10-17T00:00:00"/>
    <s v="300226"/>
    <s v="Sarten Ambalaj Sanayi ve Ticaret AS"/>
    <n v="2557.8000000000002"/>
  </r>
  <r>
    <s v="Bon de commande"/>
    <m/>
    <x v="0"/>
    <s v="BCA220049"/>
    <x v="65"/>
    <d v="2022-10-27T00:00:00"/>
    <s v="300115"/>
    <s v="AUXILIAR CONSERVERA SA"/>
    <n v="2266220"/>
  </r>
  <r>
    <s v="Bon de commande"/>
    <m/>
    <x v="0"/>
    <s v="BCA220053"/>
    <x v="66"/>
    <d v="2022-11-02T00:00:00"/>
    <s v="300115"/>
    <s v="AUXILIAR CONSERVERA SA"/>
    <n v="266443.07799999998"/>
  </r>
  <r>
    <s v="Bon de commande"/>
    <m/>
    <x v="0"/>
    <s v="BCA220055"/>
    <x v="33"/>
    <d v="2022-11-16T00:00:00"/>
    <s v="300115"/>
    <s v="AUXILIAR CONSERVERA SA"/>
    <n v="1289169.8160000001"/>
  </r>
  <r>
    <s v="Bon de commande"/>
    <m/>
    <x v="0"/>
    <s v="BCA220057"/>
    <x v="44"/>
    <d v="2022-11-30T00:00:00"/>
    <s v="300115"/>
    <s v="AUXILIAR CONSERVERA SA"/>
    <n v="144410.11199999999"/>
  </r>
  <r>
    <s v="Bon de commande"/>
    <m/>
    <x v="0"/>
    <s v="BCA220058"/>
    <x v="40"/>
    <d v="2022-12-05T00:00:00"/>
    <s v="300115"/>
    <s v="AUXILIAR CONSERVERA SA"/>
    <n v="250034.4"/>
  </r>
  <r>
    <s v="Bon de commande"/>
    <m/>
    <x v="0"/>
    <s v="BCA220061"/>
    <x v="48"/>
    <d v="2022-12-26T00:00:00"/>
    <s v="300115"/>
    <s v="AUXILIAR CONSERVERA SA"/>
    <n v="1343576.135"/>
  </r>
  <r>
    <s v="Bon de commande"/>
    <m/>
    <x v="0"/>
    <s v="BCA220062"/>
    <x v="67"/>
    <d v="2022-12-28T00:00:00"/>
    <s v="300115"/>
    <s v="AUXILIAR CONSERVERA SA"/>
    <n v="2364303.0070000002"/>
  </r>
  <r>
    <s v="Bon de commande"/>
    <m/>
    <x v="0"/>
    <s v="BCA220063"/>
    <x v="68"/>
    <d v="2022-12-28T00:00:00"/>
    <s v="300115"/>
    <s v="AUXILIAR CONSERVERA SA"/>
    <n v="6655000"/>
  </r>
  <r>
    <s v="Bon de commande"/>
    <m/>
    <x v="0"/>
    <s v="BCA220064"/>
    <x v="43"/>
    <d v="2022-12-28T00:00:00"/>
    <s v="300115"/>
    <s v="AUXILIAR CONSERVERA SA"/>
    <n v="298210"/>
  </r>
  <r>
    <s v="Bon de commande"/>
    <m/>
    <x v="0"/>
    <s v="BCA220065"/>
    <x v="48"/>
    <d v="2023-01-17T00:00:00"/>
    <s v="300115"/>
    <s v="AUXILIAR CONSERVERA SA"/>
    <n v="6874823.4720000001"/>
  </r>
  <r>
    <s v="Bon de commande"/>
    <m/>
    <x v="0"/>
    <s v="BCA230001"/>
    <x v="69"/>
    <d v="2023-01-17T00:00:00"/>
    <s v="300115"/>
    <s v="AUXILIAR CONSERVERA SA"/>
    <n v="2574179.1570000001"/>
  </r>
  <r>
    <s v="Bon de commande"/>
    <m/>
    <x v="0"/>
    <s v="BCA230004"/>
    <x v="70"/>
    <d v="2023-02-08T00:00:00"/>
    <s v="300220"/>
    <s v="ENVASES EUROPE"/>
    <n v="175717.212"/>
  </r>
  <r>
    <s v="Bon de commande"/>
    <m/>
    <x v="0"/>
    <s v="BCA230007"/>
    <x v="71"/>
    <d v="2023-02-16T00:00:00"/>
    <s v="300115"/>
    <s v="AUXILIAR CONSERVERA SA"/>
    <n v="0"/>
  </r>
  <r>
    <s v="Bon de commande"/>
    <m/>
    <x v="0"/>
    <s v="BCA230009"/>
    <x v="18"/>
    <d v="2023-02-27T00:00:00"/>
    <s v="300115"/>
    <s v="AUXILIAR CONSERVERA SA"/>
    <n v="10331.9931"/>
  </r>
  <r>
    <s v="Bon de commande"/>
    <m/>
    <x v="0"/>
    <s v="BCA230010"/>
    <x v="72"/>
    <d v="2023-03-03T00:00:00"/>
    <s v="300115"/>
    <s v="AUXILIAR CONSERVERA SA"/>
    <n v="2324.6761999999999"/>
  </r>
  <r>
    <s v="Bon de commande"/>
    <m/>
    <x v="0"/>
    <s v="BCA230011"/>
    <x v="73"/>
    <d v="2023-03-09T00:00:00"/>
    <s v="300115"/>
    <s v="AUXILIAR CONSERVERA SA"/>
    <n v="319000"/>
  </r>
  <r>
    <s v="Bon de commande"/>
    <m/>
    <x v="0"/>
    <s v="BCA230016"/>
    <x v="74"/>
    <d v="2023-04-07T00:00:00"/>
    <s v="300312"/>
    <s v="ILIP S.r.l."/>
    <n v="0"/>
  </r>
  <r>
    <s v="Bon de commande"/>
    <m/>
    <x v="0"/>
    <s v="BCA230021"/>
    <x v="70"/>
    <d v="2023-05-02T00:00:00"/>
    <s v="300220"/>
    <s v="ENVASES EUROPE"/>
    <n v="172923.2"/>
  </r>
  <r>
    <s v="Bon de commande"/>
    <m/>
    <x v="0"/>
    <s v="BCA230025"/>
    <x v="75"/>
    <d v="2023-05-18T00:00:00"/>
    <s v="300115"/>
    <s v="AUXILIAR CONSERVERA SA"/>
    <n v="616000"/>
  </r>
  <r>
    <s v="Bon de commande"/>
    <m/>
    <x v="0"/>
    <s v="BCA230028"/>
    <x v="76"/>
    <d v="2023-06-08T00:00:00"/>
    <s v="300115"/>
    <s v="AUXILIAR CONSERVERA SA"/>
    <n v="804482.11800000002"/>
  </r>
  <r>
    <s v="Bon de commande"/>
    <m/>
    <x v="0"/>
    <s v="BCA230031"/>
    <x v="48"/>
    <d v="2023-06-12T00:00:00"/>
    <s v="300115"/>
    <s v="AUXILIAR CONSERVERA SA"/>
    <n v="19581"/>
  </r>
  <r>
    <s v="Bon de commande"/>
    <m/>
    <x v="0"/>
    <s v="BCA230033"/>
    <x v="70"/>
    <d v="2023-07-12T00:00:00"/>
    <s v="300220"/>
    <s v="ENVASES EUROPE"/>
    <n v="2858570.9240000001"/>
  </r>
  <r>
    <s v="Bon de commande"/>
    <m/>
    <x v="0"/>
    <s v="BCA230034"/>
    <x v="77"/>
    <d v="2023-07-12T00:00:00"/>
    <s v="300220"/>
    <s v="ENVASES EUROPE"/>
    <n v="9588563.2479999997"/>
  </r>
  <r>
    <s v="Bon de commande"/>
    <m/>
    <x v="0"/>
    <s v="BCA230036"/>
    <x v="65"/>
    <d v="2023-07-20T00:00:00"/>
    <s v="300115"/>
    <s v="AUXILIAR CONSERVERA SA"/>
    <n v="1938407.504"/>
  </r>
  <r>
    <s v="Bon de commande"/>
    <m/>
    <x v="0"/>
    <s v="BCA230038"/>
    <x v="48"/>
    <d v="2023-07-28T00:00:00"/>
    <s v="300115"/>
    <s v="AUXILIAR CONSERVERA SA"/>
    <n v="5872.9946"/>
  </r>
  <r>
    <s v="Bon de commande"/>
    <m/>
    <x v="0"/>
    <s v="BCA230045"/>
    <x v="67"/>
    <d v="2023-09-07T00:00:00"/>
    <s v="300115"/>
    <s v="AUXILIAR CONSERVERA SA"/>
    <n v="275.26400000000001"/>
  </r>
  <r>
    <s v="Bon de commande"/>
    <m/>
    <x v="0"/>
    <s v="BCA230049"/>
    <x v="78"/>
    <d v="2023-09-21T00:00:00"/>
    <s v="300115"/>
    <s v="AUXILIAR CONSERVERA SA"/>
    <n v="37854.460599999999"/>
  </r>
  <r>
    <s v="Bon de commande"/>
    <m/>
    <x v="0"/>
    <s v="BCA230051"/>
    <x v="68"/>
    <d v="2023-10-16T00:00:00"/>
    <s v="300115"/>
    <s v="AUXILIAR CONSERVERA SA"/>
    <n v="3943500"/>
  </r>
  <r>
    <s v="Bon de commande"/>
    <m/>
    <x v="0"/>
    <s v="BCA230052"/>
    <x v="12"/>
    <d v="2023-10-26T00:00:00"/>
    <s v="300220"/>
    <s v="ENVASES EUROPE"/>
    <n v="242000"/>
  </r>
  <r>
    <s v="Bon de commande"/>
    <m/>
    <x v="0"/>
    <s v="BCA230056"/>
    <x v="78"/>
    <d v="2023-11-11T00:00:00"/>
    <s v="300115"/>
    <s v="AUXILIAR CONSERVERA SA"/>
    <n v="179968.03"/>
  </r>
  <r>
    <s v="Bon de commande"/>
    <m/>
    <x v="0"/>
    <s v="BCA230060"/>
    <x v="18"/>
    <d v="2023-11-30T00:00:00"/>
    <s v="300115"/>
    <s v="AUXILIAR CONSERVERA SA"/>
    <n v="3475.1651000000002"/>
  </r>
  <r>
    <s v="Bon de commande"/>
    <m/>
    <x v="0"/>
    <s v="BCA230063"/>
    <x v="79"/>
    <d v="2023-12-25T00:00:00"/>
    <s v="300220"/>
    <s v="ENVASES EUROPE"/>
    <n v="1084600"/>
  </r>
  <r>
    <s v="Bon de commande"/>
    <m/>
    <x v="0"/>
    <s v="BCA240002"/>
    <x v="67"/>
    <d v="2024-01-05T00:00:00"/>
    <s v="300115"/>
    <s v="AUXILIAR CONSERVERA SA"/>
    <n v="170805.69"/>
  </r>
  <r>
    <s v="Bon de commande"/>
    <m/>
    <x v="0"/>
    <s v="BCA240005"/>
    <x v="80"/>
    <d v="2024-01-17T00:00:00"/>
    <s v="300220"/>
    <s v="ENVASES EUROPE"/>
    <n v="311785.58399999997"/>
  </r>
  <r>
    <s v="Bon de commande"/>
    <m/>
    <x v="0"/>
    <s v="BCA240006"/>
    <x v="81"/>
    <d v="2024-02-08T00:00:00"/>
    <s v="300220"/>
    <s v="ENVASES EUROPE"/>
    <n v="1045000"/>
  </r>
  <r>
    <s v="Bon de commande"/>
    <m/>
    <x v="0"/>
    <s v="BCA240008"/>
    <x v="12"/>
    <d v="2024-02-15T00:00:00"/>
    <s v="300115"/>
    <s v="AUXILIAR CONSERVERA SA"/>
    <n v="52472.211000000003"/>
  </r>
  <r>
    <s v="Bon de commande"/>
    <m/>
    <x v="0"/>
    <s v="BCA240009"/>
    <x v="67"/>
    <d v="2024-02-19T00:00:00"/>
    <s v="300381"/>
    <s v="ENVASES IBERICA"/>
    <n v="726665.43729999999"/>
  </r>
  <r>
    <s v="Bon de commande"/>
    <m/>
    <x v="0"/>
    <s v="BCA240011"/>
    <x v="71"/>
    <d v="2024-02-23T00:00:00"/>
    <s v="300115"/>
    <s v="AUXILIAR CONSERVERA SA"/>
    <n v="9230.4519999999993"/>
  </r>
  <r>
    <s v="Bon de commande"/>
    <m/>
    <x v="0"/>
    <s v="BCA240015"/>
    <x v="82"/>
    <d v="2024-03-13T00:00:00"/>
    <s v="300356"/>
    <s v="MASSILY PORTUGAL"/>
    <n v="3291.2"/>
  </r>
  <r>
    <s v="Bon de commande"/>
    <m/>
    <x v="0"/>
    <s v="BCA240020"/>
    <x v="83"/>
    <d v="2024-03-26T00:00:00"/>
    <s v="300382"/>
    <s v="BA GLASS"/>
    <n v="625739.4"/>
  </r>
  <r>
    <s v="Bon de commande"/>
    <m/>
    <x v="0"/>
    <s v="BCA240026"/>
    <x v="84"/>
    <d v="2024-04-30T00:00:00"/>
    <s v="300220"/>
    <s v="ENVASES EUROPE"/>
    <n v="1094500"/>
  </r>
  <r>
    <s v="Bon de commande"/>
    <m/>
    <x v="0"/>
    <s v="BCA240027"/>
    <x v="85"/>
    <d v="2024-04-30T00:00:00"/>
    <s v="300220"/>
    <s v="ENVASES EUROPE"/>
    <n v="1144000"/>
  </r>
  <r>
    <s v="Bon de commande"/>
    <m/>
    <x v="0"/>
    <s v="BCA240028"/>
    <x v="7"/>
    <d v="2024-04-30T00:00:00"/>
    <s v="300356"/>
    <s v="MASSILY PORTUGAL"/>
    <n v="206844"/>
  </r>
  <r>
    <s v="Bon de commande"/>
    <m/>
    <x v="0"/>
    <s v="BCA240029"/>
    <x v="86"/>
    <d v="2024-04-30T00:00:00"/>
    <s v="300356"/>
    <s v="MASSILY PORTUGAL"/>
    <n v="197034.2"/>
  </r>
  <r>
    <s v="Bon de commande"/>
    <m/>
    <x v="0"/>
    <s v="BCA240031"/>
    <x v="70"/>
    <d v="2024-05-03T00:00:00"/>
    <s v="300220"/>
    <s v="ENVASES EUROPE"/>
    <n v="3834048.702"/>
  </r>
  <r>
    <s v="Bon de commande"/>
    <m/>
    <x v="0"/>
    <s v="BCA240035"/>
    <x v="87"/>
    <d v="2024-05-07T00:00:00"/>
    <s v="300115"/>
    <s v="AUXILIAR CONSERVERA SA"/>
    <n v="1089000"/>
  </r>
  <r>
    <s v="Bon de commande"/>
    <m/>
    <x v="0"/>
    <s v="BCA240037"/>
    <x v="88"/>
    <d v="2024-05-13T00:00:00"/>
    <s v="300220"/>
    <s v="ENVASES EUROPE"/>
    <n v="1187929.6000000001"/>
  </r>
  <r>
    <s v="Bon de commande"/>
    <m/>
    <x v="0"/>
    <s v="BCA240038"/>
    <x v="89"/>
    <d v="2024-05-20T00:00:00"/>
    <s v="300381"/>
    <s v="ENVASES IBERICA"/>
    <n v="1111000"/>
  </r>
  <r>
    <s v="Bon de commande"/>
    <m/>
    <x v="0"/>
    <s v="BCA240041"/>
    <x v="48"/>
    <d v="2024-05-27T00:00:00"/>
    <s v="300115"/>
    <s v="AUXILIAR CONSERVERA SA"/>
    <n v="2223332.1"/>
  </r>
  <r>
    <s v="Bon de commande"/>
    <m/>
    <x v="0"/>
    <s v="BCA240042"/>
    <x v="90"/>
    <d v="2024-05-27T00:00:00"/>
    <s v="300220"/>
    <s v="ENVASES EUROPE"/>
    <n v="502952.82400000002"/>
  </r>
  <r>
    <s v="Bon de commande"/>
    <m/>
    <x v="0"/>
    <s v="BCA240043"/>
    <x v="91"/>
    <d v="2024-05-28T00:00:00"/>
    <s v="300382"/>
    <s v="BA GLASS"/>
    <n v="171751.58"/>
  </r>
  <r>
    <s v="Bon de commande"/>
    <m/>
    <x v="0"/>
    <s v="BCA240044"/>
    <x v="92"/>
    <d v="2024-05-28T00:00:00"/>
    <s v="300382"/>
    <s v="BA GLASS"/>
    <n v="171751.58"/>
  </r>
  <r>
    <s v="Bon de commande"/>
    <m/>
    <x v="0"/>
    <s v="BCA240045"/>
    <x v="93"/>
    <d v="2024-05-28T00:00:00"/>
    <s v="300382"/>
    <s v="BA GLASS"/>
    <n v="171751.58"/>
  </r>
  <r>
    <s v="Bon de commande"/>
    <m/>
    <x v="0"/>
    <s v="BCA240046"/>
    <x v="94"/>
    <d v="2024-05-28T00:00:00"/>
    <s v="300382"/>
    <s v="BA GLASS"/>
    <n v="171751.58"/>
  </r>
  <r>
    <s v="Bon de commande"/>
    <m/>
    <x v="0"/>
    <s v="BCA240047"/>
    <x v="65"/>
    <d v="2024-05-30T00:00:00"/>
    <s v="300115"/>
    <s v="AUXILIAR CONSERVERA SA"/>
    <n v="1867800"/>
  </r>
  <r>
    <s v="Bon de commande"/>
    <m/>
    <x v="0"/>
    <s v="BCA240048"/>
    <x v="95"/>
    <d v="2024-06-04T00:00:00"/>
    <s v="300115"/>
    <s v="AUXILIAR CONSERVERA SA"/>
    <n v="4384.2150000000001"/>
  </r>
  <r>
    <s v="Bon de commande"/>
    <m/>
    <x v="0"/>
    <s v="BCA240049"/>
    <x v="96"/>
    <d v="2024-06-04T00:00:00"/>
    <s v="300115"/>
    <s v="AUXILIAR CONSERVERA SA"/>
    <n v="571160.93099999998"/>
  </r>
  <r>
    <s v="Bon de commande"/>
    <m/>
    <x v="0"/>
    <s v="BCA240055"/>
    <x v="12"/>
    <d v="2024-07-04T00:00:00"/>
    <s v="300115"/>
    <s v="AUXILIAR CONSERVERA SA"/>
    <n v="561937.95900000003"/>
  </r>
  <r>
    <s v="Bon de commande"/>
    <m/>
    <x v="0"/>
    <s v="BCA240054"/>
    <x v="97"/>
    <d v="2024-07-04T00:00:00"/>
    <s v="300220"/>
    <s v="ENVASES EUROPE"/>
    <n v="4488506.88"/>
  </r>
  <r>
    <s v="Bon de commande"/>
    <m/>
    <x v="0"/>
    <s v="BCA240056"/>
    <x v="98"/>
    <d v="2024-07-05T00:00:00"/>
    <s v="300115"/>
    <s v="AUXILIAR CONSERVERA SA"/>
    <n v="203686.56"/>
  </r>
  <r>
    <s v="Bon de commande"/>
    <m/>
    <x v="0"/>
    <s v="BCA240061"/>
    <x v="1"/>
    <d v="2024-07-15T00:00:00"/>
    <s v="300381"/>
    <s v="ENVASES IBERICA"/>
    <n v="1845950.2324999999"/>
  </r>
  <r>
    <s v="Bon de commande"/>
    <m/>
    <x v="0"/>
    <s v="BCA240062"/>
    <x v="41"/>
    <d v="2024-07-19T00:00:00"/>
    <s v="300381"/>
    <s v="ENVASES IBERICA"/>
    <n v="4708000"/>
  </r>
  <r>
    <s v="Bon de commande"/>
    <m/>
    <x v="0"/>
    <s v="BCA240066"/>
    <x v="99"/>
    <d v="2024-07-24T00:00:00"/>
    <s v="300381"/>
    <s v="ENVASES IBERICA"/>
    <n v="1047678.72"/>
  </r>
  <r>
    <s v="Bon de commande"/>
    <m/>
    <x v="0"/>
    <s v="BCA240067"/>
    <x v="100"/>
    <d v="2024-08-01T00:00:00"/>
    <s v="300381"/>
    <s v="ENVASES IBERICA"/>
    <n v="1580897.692"/>
  </r>
  <r>
    <s v="Bon de commande"/>
    <m/>
    <x v="0"/>
    <s v="BCA240068"/>
    <x v="7"/>
    <d v="2024-08-02T00:00:00"/>
    <s v="300115"/>
    <s v="AUXILIAR CONSERVERA SA"/>
    <n v="640179.54"/>
  </r>
  <r>
    <s v="Bon de commande"/>
    <m/>
    <x v="0"/>
    <s v="BCA240071"/>
    <x v="101"/>
    <d v="2024-09-11T00:00:00"/>
    <s v="300220"/>
    <s v="ENVASES EUROPE"/>
    <n v="5500000"/>
  </r>
  <r>
    <s v="Bon de commande"/>
    <m/>
    <x v="0"/>
    <s v="BCA240080"/>
    <x v="102"/>
    <d v="2024-09-11T00:00:00"/>
    <s v="300356"/>
    <s v="MASSILY PORTUGAL"/>
    <n v="15465.89"/>
  </r>
  <r>
    <s v="Bon de commande"/>
    <m/>
    <x v="0"/>
    <s v="BCA240084"/>
    <x v="70"/>
    <d v="2024-10-02T00:00:00"/>
    <s v="300115"/>
    <s v="AUXILIAR CONSERVERA SA"/>
    <n v="748440"/>
  </r>
  <r>
    <s v="Bon de commande"/>
    <m/>
    <x v="0"/>
    <s v="BCA240085"/>
    <x v="103"/>
    <d v="2024-10-02T00:00:00"/>
    <s v="300381"/>
    <s v="ENVASES IBERICA"/>
    <n v="320973.4363"/>
  </r>
  <r>
    <s v="Bon de commande"/>
    <m/>
    <x v="0"/>
    <s v="BCA240089"/>
    <x v="12"/>
    <d v="2024-10-11T00:00:00"/>
    <s v="300115"/>
    <s v="AUXILIAR CONSERVERA SA"/>
    <n v="915204.07"/>
  </r>
  <r>
    <s v="Bon de commande"/>
    <m/>
    <x v="0"/>
    <s v="BCA240091"/>
    <x v="104"/>
    <d v="2024-10-17T00:00:00"/>
    <s v="300115"/>
    <s v="AUXILIAR CONSERVERA SA"/>
    <n v="163713.44"/>
  </r>
  <r>
    <s v="Bon de commande"/>
    <m/>
    <x v="0"/>
    <s v="BCA240096"/>
    <x v="95"/>
    <d v="2024-11-12T00:00:00"/>
    <s v="300115"/>
    <s v="AUXILIAR CONSERVERA SA"/>
    <n v="9508.9500000000007"/>
  </r>
  <r>
    <s v="Bon de commande"/>
    <m/>
    <x v="0"/>
    <s v="BCA240098"/>
    <x v="12"/>
    <d v="2024-11-19T00:00:00"/>
    <s v="300115"/>
    <s v="AUXILIAR CONSERVERA SA"/>
    <n v="485304.6924"/>
  </r>
  <r>
    <s v="Bon de commande"/>
    <m/>
    <x v="0"/>
    <s v="BCA240099"/>
    <x v="105"/>
    <d v="2024-11-27T00:00:00"/>
    <s v="300115"/>
    <s v="AUXILIAR CONSERVERA SA"/>
    <n v="8800"/>
  </r>
  <r>
    <s v="Bon de commande"/>
    <m/>
    <x v="0"/>
    <s v="BCA240100"/>
    <x v="106"/>
    <d v="2024-11-27T00:00:00"/>
    <s v="300115"/>
    <s v="AUXILIAR CONSERVERA SA"/>
    <n v="118311.6"/>
  </r>
  <r>
    <s v="Bon de commande"/>
    <m/>
    <x v="0"/>
    <s v="BCA240102"/>
    <x v="107"/>
    <d v="2024-12-02T00:00:00"/>
    <s v="300115"/>
    <s v="AUXILIAR CONSERVERA SA"/>
    <n v="4627951.449"/>
  </r>
  <r>
    <s v="Bon de commande"/>
    <m/>
    <x v="0"/>
    <s v="BCA240107"/>
    <x v="105"/>
    <d v="2024-12-10T00:00:00"/>
    <s v="300115"/>
    <s v="AUXILIAR CONSERVERA SA"/>
    <n v="0"/>
  </r>
  <r>
    <s v="Bon de commande"/>
    <m/>
    <x v="0"/>
    <s v="BCA240108"/>
    <x v="12"/>
    <d v="2024-12-18T00:00:00"/>
    <s v="300381"/>
    <s v="ENVASES IBERICA"/>
    <n v="68028.104099999997"/>
  </r>
  <r>
    <s v="Bon de commande"/>
    <m/>
    <x v="0"/>
    <s v="BCA250001"/>
    <x v="41"/>
    <d v="2025-01-09T00:00:00"/>
    <s v="300381"/>
    <s v="ENVASES IBERICA"/>
    <n v="2119291.4270000001"/>
  </r>
  <r>
    <s v="Bon de commande"/>
    <m/>
    <x v="0"/>
    <s v="BCA250003"/>
    <x v="108"/>
    <d v="2025-01-15T00:00:00"/>
    <s v="300356"/>
    <s v="MASSILY PORTUGAL"/>
    <n v="7584.28"/>
  </r>
  <r>
    <s v="Bon de commande"/>
    <m/>
    <x v="0"/>
    <s v="BCA250007"/>
    <x v="48"/>
    <d v="2025-02-18T00:00:00"/>
    <s v="300115"/>
    <s v="AUXILIAR CONSERVERA SA"/>
    <n v="64643.040000000001"/>
  </r>
  <r>
    <s v="Bon de commande"/>
    <m/>
    <x v="0"/>
    <s v="BCA250008"/>
    <x v="103"/>
    <d v="2025-02-24T00:00:00"/>
    <s v="300381"/>
    <s v="ENVASES IBERICA"/>
    <n v="472557.3688"/>
  </r>
  <r>
    <s v="Bon de commande"/>
    <m/>
    <x v="0"/>
    <s v="BCA250011"/>
    <x v="109"/>
    <d v="2025-03-04T00:00:00"/>
    <s v="300220"/>
    <s v="ENVASES EUROPE"/>
    <n v="786254.96400000004"/>
  </r>
  <r>
    <s v="Bon de commande"/>
    <m/>
    <x v="0"/>
    <s v="BCA250013"/>
    <x v="110"/>
    <d v="2025-03-21T00:00:00"/>
    <s v="300220"/>
    <s v="ENVASES EUROPE"/>
    <n v="1745.1279999999999"/>
  </r>
  <r>
    <s v="Bon de commande"/>
    <m/>
    <x v="0"/>
    <s v="BCA250015"/>
    <x v="111"/>
    <d v="2025-03-27T00:00:00"/>
    <s v="300356"/>
    <s v="MASSILY PORTUGAL"/>
    <n v="191219.6"/>
  </r>
  <r>
    <s v="Bon de commande"/>
    <m/>
    <x v="0"/>
    <s v="BCA250016"/>
    <x v="41"/>
    <d v="2025-04-09T00:00:00"/>
    <s v="300381"/>
    <s v="ENVASES IBERICA"/>
    <n v="49406.038"/>
  </r>
  <r>
    <s v="Bon de commande"/>
    <m/>
    <x v="0"/>
    <s v="BCA250018"/>
    <x v="112"/>
    <d v="2025-04-15T00:00:00"/>
    <s v="300220"/>
    <s v="ENVASES EUROPE"/>
    <n v="224572.65599999999"/>
  </r>
  <r>
    <s v="Bon de commande"/>
    <m/>
    <x v="0"/>
    <s v="BCA250019"/>
    <x v="1"/>
    <d v="2025-04-17T00:00:00"/>
    <s v="300381"/>
    <s v="ENVASES IBERICA"/>
    <n v="2799363.6660000002"/>
  </r>
  <r>
    <s v="Bon de commande"/>
    <m/>
    <x v="0"/>
    <s v="BCA250020"/>
    <x v="7"/>
    <d v="2025-04-24T00:00:00"/>
    <s v="300154"/>
    <s v="VMM"/>
    <n v="223566.72"/>
  </r>
  <r>
    <s v="Bon de commande"/>
    <m/>
    <x v="0"/>
    <s v="BCA250021"/>
    <x v="113"/>
    <d v="2025-04-28T00:00:00"/>
    <s v="300220"/>
    <s v="ENVASES EUROPE"/>
    <n v="805.42"/>
  </r>
  <r>
    <s v="Bon de commande"/>
    <m/>
    <x v="0"/>
    <s v="BCA250024"/>
    <x v="114"/>
    <d v="2025-05-08T00:00:00"/>
    <s v="300220"/>
    <s v="ENVASES EUROPE"/>
    <n v="568569.40800000005"/>
  </r>
  <r>
    <s v="Bon de commande"/>
    <m/>
    <x v="0"/>
    <s v="BCA250026"/>
    <x v="115"/>
    <d v="2025-05-14T00:00:00"/>
    <s v="300220"/>
    <s v="ENVASES EUROPE"/>
    <n v="1329900"/>
  </r>
  <r>
    <s v="Bon de commande"/>
    <m/>
    <x v="0"/>
    <s v="BCA250027"/>
    <x v="116"/>
    <d v="2025-05-14T00:00:00"/>
    <s v="300220"/>
    <s v="ENVASES EUROPE"/>
    <n v="4672225.3600000003"/>
  </r>
  <r>
    <s v="Bon de commande"/>
    <m/>
    <x v="0"/>
    <s v="BCA250025"/>
    <x v="117"/>
    <d v="2025-05-14T00:00:00"/>
    <s v="300381"/>
    <s v="ENVASES IBERICA"/>
    <n v="1815000"/>
  </r>
  <r>
    <s v="Bon de commande"/>
    <m/>
    <x v="0"/>
    <s v="BCA250028"/>
    <x v="7"/>
    <d v="2025-05-19T00:00:00"/>
    <s v="300154"/>
    <s v="VMM"/>
    <n v="335350.08"/>
  </r>
  <r>
    <s v="Bon de commande"/>
    <m/>
    <x v="0"/>
    <s v="BCA250030"/>
    <x v="83"/>
    <d v="2025-06-02T00:00:00"/>
    <s v="300382"/>
    <s v="BA GLASS"/>
    <n v="153847.74239999999"/>
  </r>
  <r>
    <s v="Bon de commande"/>
    <m/>
    <x v="0"/>
    <s v="BCA250033"/>
    <x v="118"/>
    <d v="2025-06-04T00:00:00"/>
    <s v="300115"/>
    <s v="AUXILIAR CONSERVERA SA"/>
    <n v="11654.775"/>
  </r>
  <r>
    <s v="Bon de commande"/>
    <m/>
    <x v="0"/>
    <s v="BCA250034"/>
    <x v="41"/>
    <d v="2025-06-11T00:00:00"/>
    <s v="300381"/>
    <s v="ENVASES IBERICA"/>
    <n v="29627.576000000001"/>
  </r>
  <r>
    <s v="Bon de commande"/>
    <m/>
    <x v="0"/>
    <s v="BCA250036"/>
    <x v="119"/>
    <d v="2025-06-18T00:00:00"/>
    <s v="300115"/>
    <s v="AUXILIAR CONSERVERA SA"/>
    <n v="2103309.1683999998"/>
  </r>
  <r>
    <s v="Bon de commande"/>
    <m/>
    <x v="0"/>
    <s v="BCA250038"/>
    <x v="120"/>
    <d v="2025-06-20T00:00:00"/>
    <s v="300381"/>
    <s v="ENVASES IBERICA"/>
    <n v="1783202.52"/>
  </r>
  <r>
    <s v="Bon de commande"/>
    <m/>
    <x v="0"/>
    <s v="BCA250039"/>
    <x v="65"/>
    <d v="2025-06-23T00:00:00"/>
    <s v="300115"/>
    <s v="AUXILIAR CONSERVERA SA"/>
    <n v="3665028.4065999999"/>
  </r>
  <r>
    <s v="Bon de commande"/>
    <m/>
    <x v="0"/>
    <s v="BCA250045"/>
    <x v="121"/>
    <d v="2025-07-09T00:00:00"/>
    <s v="300115"/>
    <s v="AUXILIAR CONSERVERA SA"/>
    <n v="756784.49"/>
  </r>
  <r>
    <s v="Bon de commande"/>
    <m/>
    <x v="0"/>
    <s v="BCA250046"/>
    <x v="122"/>
    <d v="2025-07-10T00:00:00"/>
    <s v="300220"/>
    <s v="ENVASES EUROPE"/>
    <n v="536800"/>
  </r>
  <r>
    <s v="Bon de commande"/>
    <m/>
    <x v="0"/>
    <s v="BCA250048"/>
    <x v="123"/>
    <d v="2025-07-19T00:00:00"/>
    <s v="300220"/>
    <s v="ENVASES EUROPE"/>
    <n v="3152131.7729000002"/>
  </r>
  <r>
    <s v="Bon de commande"/>
    <m/>
    <x v="0"/>
    <s v="BCA250049"/>
    <x v="124"/>
    <d v="2025-07-28T00:00:00"/>
    <s v="300220"/>
    <s v="ENVASES EUROPE"/>
    <n v="431457.4"/>
  </r>
  <r>
    <s v="Bon de commande"/>
    <m/>
    <x v="0"/>
    <s v="BCA250053"/>
    <x v="44"/>
    <d v="2025-08-08T00:00:00"/>
    <s v="300115"/>
    <s v="AUXILIAR CONSERVERA SA"/>
    <n v="120114.32399999999"/>
  </r>
  <r>
    <s v="Bon de commande"/>
    <m/>
    <x v="0"/>
    <s v="BCA250052"/>
    <x v="120"/>
    <d v="2025-08-08T00:00:00"/>
    <s v="300381"/>
    <s v="ENVASES IBERICA"/>
    <n v="941600"/>
  </r>
  <r>
    <s v="Bon de commande"/>
    <m/>
    <x v="0"/>
    <s v="BCA250054"/>
    <x v="125"/>
    <d v="2025-08-15T00:00:00"/>
    <s v="300381"/>
    <s v="ENVASES IBERICA"/>
    <n v="1930014.1006"/>
  </r>
  <r>
    <s v="Bon de commande"/>
    <m/>
    <x v="0"/>
    <s v="BCA250055"/>
    <x v="107"/>
    <d v="2025-08-18T00:00:00"/>
    <s v="300220"/>
    <s v="ENVASES EUROPE"/>
    <n v="1045000"/>
  </r>
  <r>
    <s v="Bon de commande"/>
    <m/>
    <x v="0"/>
    <s v="BCA250056"/>
    <x v="120"/>
    <d v="2025-08-19T00:00:00"/>
    <s v="300381"/>
    <s v="ENVASES IBERICA"/>
    <n v="72341.275599999994"/>
  </r>
  <r>
    <s v="Bon de commande"/>
    <m/>
    <x v="0"/>
    <s v="BCA250057"/>
    <x v="85"/>
    <d v="2025-09-09T00:00:00"/>
    <s v="300220"/>
    <s v="ENVASES EUROPE"/>
    <n v="1048068.12"/>
  </r>
  <r>
    <s v="Bon de commande"/>
    <m/>
    <x v="0"/>
    <s v="BCA250058"/>
    <x v="126"/>
    <d v="2025-09-16T00:00:00"/>
    <s v="300381"/>
    <s v="ENVASES IBERICA"/>
    <n v="333907.20000000001"/>
  </r>
  <r>
    <s v="Bon de commande"/>
    <m/>
    <x v="0"/>
    <s v="BCA250060"/>
    <x v="98"/>
    <d v="2025-09-19T00:00:00"/>
    <s v="300115"/>
    <s v="AUXILIAR CONSERVERA SA"/>
    <n v="130517.01300000001"/>
  </r>
  <r>
    <s v="Bon de commande"/>
    <m/>
    <x v="0"/>
    <s v="BCA250061"/>
    <x v="127"/>
    <d v="2025-09-22T00:00:00"/>
    <s v="300115"/>
    <s v="AUXILIAR CONSERVERA SA"/>
    <n v="1067220"/>
  </r>
  <r>
    <s v="Bon de commande"/>
    <m/>
    <x v="0"/>
    <s v="BCA250062"/>
    <x v="128"/>
    <d v="2025-10-06T00:00:00"/>
    <s v="300381"/>
    <s v="ENVASES IBERICA"/>
    <n v="899800"/>
  </r>
  <r>
    <s v="Bon de commande"/>
    <m/>
    <x v="0"/>
    <s v="BCA250064"/>
    <x v="41"/>
    <d v="2025-10-13T00:00:00"/>
    <s v="300381"/>
    <s v="ENVASES IBERICA"/>
    <n v="183300.579"/>
  </r>
  <r>
    <s v="Bon de commande"/>
    <m/>
    <x v="0"/>
    <s v="BCA250067"/>
    <x v="107"/>
    <d v="2025-11-04T00:00:00"/>
    <s v="300220"/>
    <s v="ENVASES EUROPE"/>
    <n v="158721.37710000001"/>
  </r>
  <r>
    <s v="Préparation de commande"/>
    <m/>
    <x v="1"/>
    <s v="OPC240002"/>
    <x v="129"/>
    <d v="2025-11-07T00:00:00"/>
    <s v="300133"/>
    <s v="OP BOX "/>
    <n v="60491.63"/>
  </r>
  <r>
    <s v="Bon de commande"/>
    <m/>
    <x v="0"/>
    <s v="BCA250071"/>
    <x v="41"/>
    <d v="2025-11-13T00:00:00"/>
    <s v="300381"/>
    <s v="ENVASES IBERICA"/>
    <n v="297330"/>
  </r>
  <r>
    <s v="Bon de commande"/>
    <m/>
    <x v="0"/>
    <s v="BCA250074"/>
    <x v="130"/>
    <d v="2025-11-26T00:00:00"/>
    <s v="300064"/>
    <s v="SONOCO Métal Packaging Maroc"/>
    <n v="10128"/>
  </r>
  <r>
    <s v="Bon de commande"/>
    <m/>
    <x v="0"/>
    <s v="BCA250073"/>
    <x v="125"/>
    <d v="2025-11-26T00:00:00"/>
    <s v="300381"/>
    <s v="ENVASES IBERICA"/>
    <n v="887558.1"/>
  </r>
  <r>
    <s v="Préparation de commande"/>
    <m/>
    <x v="1"/>
    <s v="OPC240003"/>
    <x v="131"/>
    <d v="2025-12-18T00:00:00"/>
    <s v="300133"/>
    <s v="OP BOX "/>
    <n v="5300"/>
  </r>
  <r>
    <s v="Bon de commande"/>
    <m/>
    <x v="0"/>
    <s v="BCA260001"/>
    <x v="41"/>
    <d v="2026-01-06T00:00:00"/>
    <s v="300381"/>
    <s v="ENVASES IBERICA"/>
    <n v="1777809.4861999999"/>
  </r>
  <r>
    <s v="Bon de commande"/>
    <m/>
    <x v="0"/>
    <s v="BCA260009"/>
    <x v="41"/>
    <d v="2026-01-29T00:00:00"/>
    <s v="300381"/>
    <s v="ENVASES IBERICA"/>
    <n v="173491.7635"/>
  </r>
  <r>
    <s v="Préparation de commande"/>
    <m/>
    <x v="1"/>
    <s v="OPC240004"/>
    <x v="132"/>
    <d v="2026-02-19T00:00:00"/>
    <s v="300080"/>
    <s v="MASSILLY"/>
    <n v="39.9"/>
  </r>
  <r>
    <s v="Bon de commande"/>
    <m/>
    <x v="0"/>
    <s v="BCA260013"/>
    <x v="107"/>
    <d v="2026-02-25T00:00:00"/>
    <s v="300115"/>
    <s v="AUXILIAR CONSERVERA SA"/>
    <n v="536310.027"/>
  </r>
  <r>
    <s v="Facture"/>
    <m/>
    <x v="2"/>
    <s v="FI26049"/>
    <x v="133"/>
    <d v="2026-02-28T00:00:00"/>
    <s v="300321"/>
    <s v="JIL LOGISTIQUE"/>
    <n v="27950"/>
  </r>
  <r>
    <s v="Bon de commande"/>
    <m/>
    <x v="0"/>
    <s v="BCA260015"/>
    <x v="134"/>
    <d v="2026-03-04T00:00:00"/>
    <s v="300381"/>
    <s v="ENVASES IBERICA"/>
    <n v="3457484.7999999998"/>
  </r>
  <r>
    <s v="Bon de commande"/>
    <m/>
    <x v="0"/>
    <s v="BCA260016"/>
    <x v="135"/>
    <d v="2026-03-09T00:00:00"/>
    <s v="300133"/>
    <s v="OP BOX "/>
    <n v="26395.599999999999"/>
  </r>
  <r>
    <s v="Préparation de commande"/>
    <m/>
    <x v="1"/>
    <s v="OPC240005"/>
    <x v="136"/>
    <d v="2026-03-17T00:00:00"/>
    <s v="300066"/>
    <s v="OFFSET POLYPLAST"/>
    <n v="168.08"/>
  </r>
  <r>
    <s v="Bon de commande"/>
    <m/>
    <x v="0"/>
    <s v="BCA260017"/>
    <x v="55"/>
    <d v="2026-03-23T00:00:00"/>
    <s v="300115"/>
    <s v="AUXILIAR CONSERVERA SA"/>
    <n v="367400"/>
  </r>
  <r>
    <s v="Facture"/>
    <m/>
    <x v="2"/>
    <s v="261200275"/>
    <x v="137"/>
    <d v="2026-03-29T00:00:00"/>
    <s v="300373"/>
    <s v="MIDDLE EAST GLASS CONTAINERS-SADAT CO.S.A.E"/>
    <n v="196023.10200000001"/>
  </r>
  <r>
    <s v="Bon de commande"/>
    <m/>
    <x v="0"/>
    <s v="BCA260021"/>
    <x v="138"/>
    <d v="2026-03-30T00:00:00"/>
    <s v="300133"/>
    <s v="OP BOX "/>
    <n v="202045.6"/>
  </r>
  <r>
    <s v="Bon de commande"/>
    <m/>
    <x v="0"/>
    <s v="BCA260023"/>
    <x v="139"/>
    <d v="2026-03-30T00:00:00"/>
    <s v="300220"/>
    <s v="ENVASES EUROPE"/>
    <n v="3366000"/>
  </r>
  <r>
    <s v="Bon de commande"/>
    <m/>
    <x v="0"/>
    <s v="BCA260024"/>
    <x v="140"/>
    <d v="2026-03-30T00:00:00"/>
    <s v="300220"/>
    <s v="ENVASES EUROPE"/>
    <n v="1679700"/>
  </r>
  <r>
    <s v="Bon de commande"/>
    <m/>
    <x v="0"/>
    <s v="BCA260022"/>
    <x v="141"/>
    <d v="2026-03-30T00:00:00"/>
    <s v="300381"/>
    <s v="ENVASES IBERICA"/>
    <n v="1567500"/>
  </r>
  <r>
    <s v="Facture"/>
    <m/>
    <x v="2"/>
    <s v="29944"/>
    <x v="142"/>
    <d v="2026-04-01T00:00:00"/>
    <s v="300043"/>
    <s v="DOUANE"/>
    <n v="1304"/>
  </r>
  <r>
    <s v="Facture"/>
    <m/>
    <x v="2"/>
    <s v="29976"/>
    <x v="143"/>
    <d v="2026-04-01T00:00:00"/>
    <s v="300043"/>
    <s v="DOUANE"/>
    <n v="1304"/>
  </r>
  <r>
    <s v="Facture"/>
    <m/>
    <x v="2"/>
    <s v="L090826"/>
    <x v="144"/>
    <d v="2026-04-01T00:00:00"/>
    <s v="300101"/>
    <s v="ASMAE FORWARDING EXPRESS"/>
    <n v="14899.26"/>
  </r>
  <r>
    <s v="Facture"/>
    <m/>
    <x v="2"/>
    <s v="5489"/>
    <x v="145"/>
    <d v="2026-04-03T00:00:00"/>
    <s v="300043"/>
    <s v="DOUANE"/>
    <n v="3002"/>
  </r>
  <r>
    <s v="Facture"/>
    <m/>
    <x v="2"/>
    <s v="FA1656717"/>
    <x v="146"/>
    <d v="2026-04-06T00:00:00"/>
    <s v="300133"/>
    <s v="OP BOX "/>
    <n v="45648"/>
  </r>
  <r>
    <s v="Facture"/>
    <m/>
    <x v="2"/>
    <s v="FA1656718"/>
    <x v="147"/>
    <d v="2026-04-06T00:00:00"/>
    <s v="300133"/>
    <s v="OP BOX "/>
    <n v="28808.65"/>
  </r>
  <r>
    <s v="Facture"/>
    <m/>
    <x v="2"/>
    <s v="FA1656719"/>
    <x v="147"/>
    <d v="2026-04-06T00:00:00"/>
    <s v="300133"/>
    <s v="OP BOX "/>
    <n v="17285.189999999999"/>
  </r>
  <r>
    <s v="Facture"/>
    <m/>
    <x v="2"/>
    <s v="80214775"/>
    <x v="41"/>
    <d v="2026-04-06T00:00:00"/>
    <s v="300381"/>
    <s v="ENVASES IBERICA"/>
    <n v="350749.87199999997"/>
  </r>
  <r>
    <s v="Facture"/>
    <m/>
    <x v="2"/>
    <s v="80215066"/>
    <x v="148"/>
    <d v="2026-04-06T00:00:00"/>
    <s v="300381"/>
    <s v="ENVASES IBERICA"/>
    <n v="333907.20000000001"/>
  </r>
  <r>
    <s v="Facture"/>
    <m/>
    <x v="2"/>
    <s v="80215274"/>
    <x v="1"/>
    <d v="2026-04-06T00:00:00"/>
    <s v="300381"/>
    <s v="ENVASES IBERICA"/>
    <n v="333907.20000000001"/>
  </r>
  <r>
    <s v="Facture"/>
    <m/>
    <x v="2"/>
    <s v="29699"/>
    <x v="149"/>
    <d v="2026-04-07T00:00:00"/>
    <s v="300043"/>
    <s v="DOUANE"/>
    <n v="17150"/>
  </r>
  <r>
    <s v="Bon de commande"/>
    <m/>
    <x v="0"/>
    <s v="BCA260028"/>
    <x v="150"/>
    <d v="2026-04-07T00:00:00"/>
    <s v="300064"/>
    <s v="SONOCO Métal Packaging Maroc"/>
    <n v="5"/>
  </r>
  <r>
    <s v="Bon de commande"/>
    <m/>
    <x v="0"/>
    <s v="BCA260025"/>
    <x v="151"/>
    <d v="2026-04-07T00:00:00"/>
    <s v="300220"/>
    <s v="ENVASES EUROPE"/>
    <n v="95000"/>
  </r>
  <r>
    <s v="Facture"/>
    <m/>
    <x v="2"/>
    <s v="FAC2601167"/>
    <x v="152"/>
    <d v="2026-04-08T00:00:00"/>
    <s v="300064"/>
    <s v="SONOCO Métal Packaging Maroc"/>
    <n v="59011.44"/>
  </r>
  <r>
    <s v="Facture"/>
    <m/>
    <x v="2"/>
    <s v="FAC2601168"/>
    <x v="153"/>
    <d v="2026-04-08T00:00:00"/>
    <s v="300064"/>
    <s v="SONOCO Métal Packaging Maroc"/>
    <n v="93039.2"/>
  </r>
  <r>
    <s v="Facture"/>
    <m/>
    <x v="2"/>
    <s v="10175580"/>
    <x v="107"/>
    <d v="2026-04-08T00:00:00"/>
    <s v="300115"/>
    <s v="AUXILIAR CONSERVERA SA"/>
    <n v="346287.84299999999"/>
  </r>
  <r>
    <s v="Facture"/>
    <m/>
    <x v="2"/>
    <s v="10175614"/>
    <x v="107"/>
    <d v="2026-04-09T00:00:00"/>
    <s v="300115"/>
    <s v="AUXILIAR CONSERVERA SA"/>
    <n v="346283.685"/>
  </r>
  <r>
    <s v="Facture"/>
    <m/>
    <x v="2"/>
    <s v="AG0715"/>
    <x v="143"/>
    <d v="2026-04-09T00:00:00"/>
    <s v="300423"/>
    <s v="ASNITRANS"/>
    <n v="3215.1"/>
  </r>
  <r>
    <s v="Facture"/>
    <m/>
    <x v="2"/>
    <s v="AG0716"/>
    <x v="142"/>
    <d v="2026-04-09T00:00:00"/>
    <s v="300423"/>
    <s v="ASNITRANS"/>
    <n v="3550.72"/>
  </r>
  <r>
    <s v="Facture"/>
    <m/>
    <x v="2"/>
    <s v="FA1656862"/>
    <x v="154"/>
    <d v="2026-04-10T00:00:00"/>
    <s v="300133"/>
    <s v="OP BOX "/>
    <n v="9201.6"/>
  </r>
  <r>
    <s v="Facture"/>
    <m/>
    <x v="2"/>
    <s v="FA1656863"/>
    <x v="155"/>
    <d v="2026-04-10T00:00:00"/>
    <s v="300133"/>
    <s v="OP BOX "/>
    <n v="29160"/>
  </r>
  <r>
    <s v="Facture"/>
    <m/>
    <x v="2"/>
    <s v="FA1656864"/>
    <x v="154"/>
    <d v="2026-04-10T00:00:00"/>
    <s v="300133"/>
    <s v="OP BOX "/>
    <n v="9201.6"/>
  </r>
  <r>
    <s v="Facture"/>
    <m/>
    <x v="2"/>
    <s v="FA202603143"/>
    <x v="149"/>
    <d v="2026-04-10T00:00:00"/>
    <s v="300191"/>
    <s v="JTTL"/>
    <n v="6973.36"/>
  </r>
  <r>
    <s v="Bon de commande"/>
    <m/>
    <x v="0"/>
    <s v="BCA260029"/>
    <x v="156"/>
    <d v="2026-04-13T00:00:00"/>
    <s v="300064"/>
    <s v="SONOCO Métal Packaging Maroc"/>
    <n v="170235.51999999999"/>
  </r>
  <r>
    <s v="Facture"/>
    <m/>
    <x v="2"/>
    <s v="FAC2601242"/>
    <x v="157"/>
    <d v="2026-04-13T00:00:00"/>
    <s v="300064"/>
    <s v="SONOCO Métal Packaging Maroc"/>
    <n v="180315.51999999999"/>
  </r>
  <r>
    <s v="Facture"/>
    <m/>
    <x v="2"/>
    <s v="FA1656900"/>
    <x v="158"/>
    <d v="2026-04-13T00:00:00"/>
    <s v="300133"/>
    <s v="OP BOX "/>
    <n v="45648"/>
  </r>
  <r>
    <s v="Facture"/>
    <m/>
    <x v="2"/>
    <s v="80215693"/>
    <x v="41"/>
    <d v="2026-04-13T00:00:00"/>
    <s v="300381"/>
    <s v="ENVASES IBERICA"/>
    <n v="356998.35600000003"/>
  </r>
  <r>
    <s v="Facture"/>
    <m/>
    <x v="2"/>
    <s v="44275"/>
    <x v="159"/>
    <d v="2026-04-14T00:00:00"/>
    <s v="300043"/>
    <s v="DOUANE"/>
    <n v="626"/>
  </r>
  <r>
    <s v="Facture"/>
    <m/>
    <x v="2"/>
    <s v="FA1656941"/>
    <x v="160"/>
    <d v="2026-04-14T00:00:00"/>
    <s v="300133"/>
    <s v="OP BOX "/>
    <n v="38565"/>
  </r>
  <r>
    <s v="Facture"/>
    <m/>
    <x v="2"/>
    <s v="80215763"/>
    <x v="161"/>
    <d v="2026-04-14T00:00:00"/>
    <s v="300381"/>
    <s v="ENVASES IBERICA"/>
    <n v="333907.20000000001"/>
  </r>
  <r>
    <s v="Facture"/>
    <m/>
    <x v="2"/>
    <s v="FA1656971"/>
    <x v="162"/>
    <d v="2026-04-15T00:00:00"/>
    <s v="300133"/>
    <s v="OP BOX "/>
    <n v="8694"/>
  </r>
  <r>
    <s v="Facture"/>
    <m/>
    <x v="2"/>
    <s v="FA1656972"/>
    <x v="158"/>
    <d v="2026-04-15T00:00:00"/>
    <s v="300133"/>
    <s v="OP BOX "/>
    <n v="36518.400000000001"/>
  </r>
  <r>
    <s v="Facture"/>
    <m/>
    <x v="2"/>
    <s v="FA1656973"/>
    <x v="163"/>
    <d v="2026-04-15T00:00:00"/>
    <s v="300133"/>
    <s v="OP BOX "/>
    <n v="33858"/>
  </r>
  <r>
    <s v="Facture"/>
    <m/>
    <x v="2"/>
    <s v="DK00017922"/>
    <x v="107"/>
    <d v="2026-04-15T00:00:00"/>
    <s v="300220"/>
    <s v="ENVASES EUROPE"/>
    <n v="380955.96"/>
  </r>
  <r>
    <s v="Facture"/>
    <m/>
    <x v="2"/>
    <s v="DK00017928"/>
    <x v="107"/>
    <d v="2026-04-15T00:00:00"/>
    <s v="300220"/>
    <s v="ENVASES EUROPE"/>
    <n v="380955.96"/>
  </r>
  <r>
    <s v="Facture"/>
    <m/>
    <x v="2"/>
    <s v="80215312"/>
    <x v="134"/>
    <d v="2026-04-15T00:00:00"/>
    <s v="300381"/>
    <s v="ENVASES IBERICA"/>
    <n v="333907.20000000001"/>
  </r>
  <r>
    <s v="Facture"/>
    <m/>
    <x v="2"/>
    <s v="361826"/>
    <x v="7"/>
    <d v="2026-04-15T00:00:00"/>
    <s v="300590"/>
    <s v="MP TRANSPORT"/>
    <n v="19975.150000000001"/>
  </r>
  <r>
    <s v="Facture"/>
    <m/>
    <x v="2"/>
    <s v="51898"/>
    <x v="164"/>
    <d v="2026-04-16T00:00:00"/>
    <s v="300043"/>
    <s v="DOUANE"/>
    <n v="9687"/>
  </r>
  <r>
    <s v="Facture"/>
    <m/>
    <x v="2"/>
    <s v="FA202603387"/>
    <x v="159"/>
    <d v="2026-04-16T00:00:00"/>
    <s v="300191"/>
    <s v="JTTL"/>
    <n v="12346.75"/>
  </r>
  <r>
    <s v="Facture"/>
    <m/>
    <x v="2"/>
    <s v="DK00018003"/>
    <x v="107"/>
    <d v="2026-04-16T00:00:00"/>
    <s v="300220"/>
    <s v="ENVASES EUROPE"/>
    <n v="1223780.976"/>
  </r>
  <r>
    <s v="Facture"/>
    <m/>
    <x v="2"/>
    <s v="80215377"/>
    <x v="134"/>
    <d v="2026-04-16T00:00:00"/>
    <s v="300381"/>
    <s v="ENVASES IBERICA"/>
    <n v="333907.20000000001"/>
  </r>
  <r>
    <s v="Facture"/>
    <m/>
    <x v="2"/>
    <s v="FA202603472"/>
    <x v="164"/>
    <d v="2026-04-17T00:00:00"/>
    <s v="300191"/>
    <s v="JTTL"/>
    <n v="14777.78"/>
  </r>
  <r>
    <s v="Facture"/>
    <m/>
    <x v="2"/>
    <s v="FA1657052"/>
    <x v="165"/>
    <d v="2026-04-18T00:00:00"/>
    <s v="300133"/>
    <s v="OP BOX "/>
    <n v="30391.200000000001"/>
  </r>
  <r>
    <s v="Facture"/>
    <m/>
    <x v="2"/>
    <s v="80215573"/>
    <x v="134"/>
    <d v="2026-04-20T00:00:00"/>
    <s v="300381"/>
    <s v="ENVASES IBERICA"/>
    <n v="333907.20000000001"/>
  </r>
  <r>
    <s v="Facture"/>
    <m/>
    <x v="2"/>
    <s v="55830"/>
    <x v="166"/>
    <d v="2026-04-22T00:00:00"/>
    <s v="300043"/>
    <s v="DOUANE"/>
    <n v="607"/>
  </r>
  <r>
    <s v="Facture"/>
    <m/>
    <x v="2"/>
    <s v="80215941"/>
    <x v="107"/>
    <d v="2026-04-22T00:00:00"/>
    <s v="300381"/>
    <s v="ENVASES IBERICA"/>
    <n v="333907.20000000001"/>
  </r>
  <r>
    <s v="Facture"/>
    <m/>
    <x v="2"/>
    <s v="80216203"/>
    <x v="41"/>
    <d v="2026-04-22T00:00:00"/>
    <s v="300381"/>
    <s v="ENVASES IBERICA"/>
    <n v="352615.82400000002"/>
  </r>
  <r>
    <s v="Bon de commande"/>
    <m/>
    <x v="0"/>
    <s v="BCA260031"/>
    <x v="167"/>
    <d v="2026-04-23T00:00:00"/>
    <s v="300064"/>
    <s v="SONOCO Métal Packaging Maroc"/>
    <n v="196145.04"/>
  </r>
  <r>
    <s v="Facture"/>
    <m/>
    <x v="2"/>
    <s v="FA1657155"/>
    <x v="158"/>
    <d v="2026-04-23T00:00:00"/>
    <s v="300133"/>
    <s v="OP BOX "/>
    <n v="13694.4"/>
  </r>
  <r>
    <s v="Facture"/>
    <m/>
    <x v="2"/>
    <s v="FA202603742"/>
    <x v="166"/>
    <d v="2026-04-23T00:00:00"/>
    <s v="300191"/>
    <s v="JTTL"/>
    <n v="8925.7099999999991"/>
  </r>
  <r>
    <s v="Facture"/>
    <m/>
    <x v="2"/>
    <s v="80215739"/>
    <x v="134"/>
    <d v="2026-04-23T00:00:00"/>
    <s v="300381"/>
    <s v="ENVASES IBERICA"/>
    <n v="333907.20000000001"/>
  </r>
  <r>
    <s v="Facture"/>
    <m/>
    <x v="2"/>
    <s v="80216283"/>
    <x v="134"/>
    <d v="2026-04-23T00:00:00"/>
    <s v="300381"/>
    <s v="ENVASES IBERICA"/>
    <n v="333907.20000000001"/>
  </r>
  <r>
    <s v="Bon de commande"/>
    <m/>
    <x v="0"/>
    <s v="BCA260027"/>
    <x v="168"/>
    <d v="2026-04-24T00:00:00"/>
    <s v="300381"/>
    <s v="ENVASES IBERICA"/>
    <n v="1221990.088"/>
  </r>
  <r>
    <s v="Bon de commande"/>
    <m/>
    <x v="0"/>
    <s v="BCA260032"/>
    <x v="169"/>
    <d v="2026-04-27T00:00:00"/>
    <s v="300133"/>
    <s v="OP BOX "/>
    <n v="38500"/>
  </r>
  <r>
    <s v="Facture"/>
    <m/>
    <x v="2"/>
    <s v="FA1657244"/>
    <x v="163"/>
    <d v="2026-04-27T00:00:00"/>
    <s v="300133"/>
    <s v="OP BOX "/>
    <n v="51004.800000000003"/>
  </r>
  <r>
    <s v="Bon de commande"/>
    <m/>
    <x v="0"/>
    <s v="BCA260034"/>
    <x v="85"/>
    <d v="2026-04-27T00:00:00"/>
    <s v="300220"/>
    <s v="ENVASES EUROPE"/>
    <n v="6050000"/>
  </r>
  <r>
    <s v="Facture"/>
    <m/>
    <x v="2"/>
    <s v="80216282"/>
    <x v="1"/>
    <d v="2026-04-27T00:00:00"/>
    <s v="300381"/>
    <s v="ENVASES IBERICA"/>
    <n v="333907.20000000001"/>
  </r>
  <r>
    <s v="Facture"/>
    <m/>
    <x v="2"/>
    <s v="80216477"/>
    <x v="134"/>
    <d v="2026-04-27T00:00:00"/>
    <s v="300381"/>
    <s v="ENVASES IBERICA"/>
    <n v="333907.20000000001"/>
  </r>
  <r>
    <s v="Bon de commande"/>
    <m/>
    <x v="0"/>
    <s v="BCA260035"/>
    <x v="170"/>
    <d v="2026-04-28T00:00:00"/>
    <s v="300115"/>
    <s v="AUXILIAR CONSERVERA SA"/>
    <n v="5830000"/>
  </r>
  <r>
    <s v="Facture d'avoir"/>
    <m/>
    <x v="2"/>
    <s v="DK00018802"/>
    <x v="171"/>
    <d v="2026-04-29T00:00:00"/>
    <s v="300220"/>
    <s v="ENVASES EUROPE"/>
    <n v="99000"/>
  </r>
  <r>
    <s v="Facture"/>
    <m/>
    <x v="2"/>
    <s v="FA202604038"/>
    <x v="172"/>
    <d v="2026-04-30T00:00:00"/>
    <s v="300191"/>
    <s v="JTTL"/>
    <n v="249.61"/>
  </r>
  <r>
    <s v="Facture"/>
    <m/>
    <x v="2"/>
    <s v="80216659"/>
    <x v="41"/>
    <d v="2026-04-30T00:00:00"/>
    <s v="300381"/>
    <s v="ENVASES IBERICA"/>
    <n v="358213.68"/>
  </r>
  <r>
    <s v="Bon de livraison"/>
    <m/>
    <x v="3"/>
    <s v="BL1657962"/>
    <x v="138"/>
    <d v="2026-05-04T00:00:00"/>
    <s v="300133"/>
    <s v="OP BOX "/>
    <n v="23983.200000000001"/>
  </r>
  <r>
    <s v="Facture"/>
    <m/>
    <x v="2"/>
    <s v="FA1657390"/>
    <x v="173"/>
    <d v="2026-05-04T00:00:00"/>
    <s v="300133"/>
    <s v="OP BOX "/>
    <n v="6375.6"/>
  </r>
  <r>
    <s v="Facture"/>
    <m/>
    <x v="2"/>
    <s v="80216479"/>
    <x v="174"/>
    <d v="2026-05-04T00:00:00"/>
    <s v="300381"/>
    <s v="ENVASES IBERICA"/>
    <n v="333907.20000000001"/>
  </r>
  <r>
    <s v="Bon de commande"/>
    <m/>
    <x v="0"/>
    <s v="BCA260033"/>
    <x v="68"/>
    <d v="2026-05-06T00:00:00"/>
    <s v="300080"/>
    <s v="MASSILLY"/>
    <n v="1200000"/>
  </r>
  <r>
    <s v="Bon de commande"/>
    <m/>
    <x v="0"/>
    <s v="BCA260036"/>
    <x v="158"/>
    <d v="2026-05-06T00:00:00"/>
    <s v="300133"/>
    <s v="OP BOX "/>
    <n v="58521.599999999999"/>
  </r>
  <r>
    <s v="Facture"/>
    <m/>
    <x v="2"/>
    <s v="FA1657429"/>
    <x v="138"/>
    <d v="2026-05-06T00:00:00"/>
    <s v="300133"/>
    <s v="OP BOX "/>
    <n v="29671.200000000001"/>
  </r>
  <r>
    <s v="Facture"/>
    <m/>
    <x v="2"/>
    <s v="FA1657430"/>
    <x v="160"/>
    <d v="2026-05-06T00:00:00"/>
    <s v="300133"/>
    <s v="OP BOX "/>
    <n v="45738"/>
  </r>
  <r>
    <s v="Facture"/>
    <m/>
    <x v="2"/>
    <s v="10176277"/>
    <x v="107"/>
    <d v="2026-05-08T00:00:00"/>
    <s v="300115"/>
    <s v="AUXILIAR CONSERVERA SA"/>
    <n v="338447.95600000001"/>
  </r>
  <r>
    <s v="Bon de commande"/>
    <m/>
    <x v="0"/>
    <s v="BCA260037"/>
    <x v="175"/>
    <d v="2026-05-11T00:00:00"/>
    <s v="300115"/>
    <s v="AUXILIAR CONSERVERA SA"/>
    <n v="214984"/>
  </r>
  <r>
    <s v="Bon de livraison"/>
    <m/>
    <x v="3"/>
    <s v="80344254"/>
    <x v="176"/>
    <d v="2026-05-11T00:00:00"/>
    <s v="300115"/>
    <s v="AUXILIAR CONSERVERA SA"/>
    <n v="110373.71400000001"/>
  </r>
  <r>
    <s v="Facture"/>
    <m/>
    <x v="2"/>
    <s v="FA1657554"/>
    <x v="158"/>
    <d v="2026-05-11T00:00:00"/>
    <s v="300133"/>
    <s v="OP BOX "/>
    <n v="34502.400000000001"/>
  </r>
  <r>
    <s v="Bon de commande"/>
    <m/>
    <x v="0"/>
    <s v="BCA260038"/>
    <x v="177"/>
    <d v="2026-05-11T00:00:00"/>
    <s v="300588"/>
    <s v="SEVAM"/>
    <n v="1.0072000000000001"/>
  </r>
  <r>
    <s v="Facture"/>
    <m/>
    <x v="2"/>
    <s v="10176353"/>
    <x v="178"/>
    <d v="2026-05-13T00:00:00"/>
    <s v="300115"/>
    <s v="AUXILIAR CONSERVERA SA"/>
    <n v="110373.71400000001"/>
  </r>
  <r>
    <s v="Bon de commande"/>
    <m/>
    <x v="0"/>
    <s v="BCA260039"/>
    <x v="158"/>
    <d v="2026-05-13T00:00:00"/>
    <s v="300133"/>
    <s v="OP BOX "/>
    <n v="73382.399999999994"/>
  </r>
  <r>
    <s v="Facture"/>
    <m/>
    <x v="2"/>
    <s v="FA1657661"/>
    <x v="158"/>
    <d v="2026-05-14T00:00:00"/>
    <s v="300133"/>
    <s v="OP BOX "/>
    <n v="31449.599999999999"/>
  </r>
  <r>
    <s v="Facture"/>
    <m/>
    <x v="2"/>
    <s v="80217254"/>
    <x v="41"/>
    <d v="2026-05-15T00:00:00"/>
    <s v="300381"/>
    <s v="ENVASES IBERICA"/>
    <n v="359379.9"/>
  </r>
  <r>
    <s v="Facture"/>
    <m/>
    <x v="2"/>
    <s v="80217507"/>
    <x v="174"/>
    <d v="2026-05-15T00:00:00"/>
    <s v="300381"/>
    <s v="ENVASES IBERICA"/>
    <n v="333907.20000000001"/>
  </r>
  <r>
    <s v="Bon de livraison"/>
    <m/>
    <x v="3"/>
    <s v="80217600"/>
    <x v="174"/>
    <d v="2026-05-18T00:00:00"/>
    <s v="300381"/>
    <s v="ENVASES IBERICA"/>
    <n v="333907.20000000001"/>
  </r>
  <r>
    <s v="Facture"/>
    <m/>
    <x v="2"/>
    <s v="80217599"/>
    <x v="161"/>
    <d v="2026-05-18T00:00:00"/>
    <s v="300381"/>
    <s v="ENVASES IBERICA"/>
    <n v="333907.20000000001"/>
  </r>
  <r>
    <s v="Facture"/>
    <m/>
    <x v="2"/>
    <s v="10176523"/>
    <x v="48"/>
    <d v="2026-05-21T00:00:00"/>
    <s v="300115"/>
    <s v="AUXILIAR CONSERVERA SA"/>
    <n v="141039.35999999999"/>
  </r>
  <r>
    <s v="Facture"/>
    <m/>
    <x v="2"/>
    <s v="10176527"/>
    <x v="48"/>
    <d v="2026-05-21T00:00:00"/>
    <s v="300115"/>
    <s v="AUXILIAR CONSERVERA SA"/>
    <n v="141039.35999999999"/>
  </r>
  <r>
    <s v="Facture"/>
    <m/>
    <x v="2"/>
    <s v="80217724"/>
    <x v="41"/>
    <d v="2026-05-21T00:00:00"/>
    <s v="300381"/>
    <s v="ENVASES IBERICA"/>
    <n v="357280.70400000003"/>
  </r>
  <r>
    <s v="Facture"/>
    <m/>
    <x v="2"/>
    <s v="10176603"/>
    <x v="48"/>
    <d v="2026-05-22T00:00:00"/>
    <s v="300115"/>
    <s v="AUXILIAR CONSERVERA SA"/>
    <n v="141039.35999999999"/>
  </r>
  <r>
    <s v="Facture"/>
    <m/>
    <x v="2"/>
    <s v="10176604"/>
    <x v="48"/>
    <d v="2026-05-22T00:00:00"/>
    <s v="300115"/>
    <s v="AUXILIAR CONSERVERA SA"/>
    <n v="141039.35999999999"/>
  </r>
  <r>
    <s v="Facture"/>
    <m/>
    <x v="2"/>
    <s v="10176656"/>
    <x v="48"/>
    <d v="2026-05-26T00:00:00"/>
    <s v="300115"/>
    <s v="AUXILIAR CONSERVERA SA"/>
    <n v="141039.35999999999"/>
  </r>
  <r>
    <s v="Facture"/>
    <m/>
    <x v="2"/>
    <s v="10176657"/>
    <x v="48"/>
    <d v="2026-05-26T00:00:00"/>
    <s v="300115"/>
    <s v="AUXILIAR CONSERVERA SA"/>
    <n v="141039.35999999999"/>
  </r>
  <r>
    <s v="Facture"/>
    <m/>
    <x v="2"/>
    <s v="10176658"/>
    <x v="48"/>
    <d v="2026-05-26T00:00:00"/>
    <s v="300115"/>
    <s v="AUXILIAR CONSERVERA SA"/>
    <n v="141039.35999999999"/>
  </r>
  <r>
    <s v="Facture"/>
    <m/>
    <x v="2"/>
    <s v="80217712"/>
    <x v="134"/>
    <d v="2026-05-29T00:00:00"/>
    <s v="300381"/>
    <s v="ENVASES IBERICA"/>
    <n v="333907.20000000001"/>
  </r>
  <r>
    <s v="Facture"/>
    <m/>
    <x v="2"/>
    <s v="80218114"/>
    <x v="41"/>
    <d v="2026-05-29T00:00:00"/>
    <s v="300381"/>
    <s v="ENVASES IBERICA"/>
    <n v="357280.70400000003"/>
  </r>
  <r>
    <s v="Facture"/>
    <m/>
    <x v="2"/>
    <s v="10176773"/>
    <x v="179"/>
    <d v="2026-06-01T00:00:00"/>
    <s v="300115"/>
    <s v="AUXILIAR CONSERVERA SA"/>
    <n v="110348.37"/>
  </r>
  <r>
    <s v="Bon de commande"/>
    <m/>
    <x v="0"/>
    <s v="BCA260041"/>
    <x v="180"/>
    <d v="2026-06-04T00:00:00"/>
    <s v="300115"/>
    <s v="AUXILIAR CONSERVERA SA"/>
    <n v="4652.2475999999997"/>
  </r>
  <r>
    <s v="Bon de commande"/>
    <m/>
    <x v="0"/>
    <s v="BCA260040"/>
    <x v="181"/>
    <d v="2026-06-04T00:00:00"/>
    <s v="300133"/>
    <s v="OP BOX "/>
    <n v="83584.5"/>
  </r>
  <r>
    <m/>
    <m/>
    <x v="4"/>
    <m/>
    <x v="7"/>
    <m/>
    <m/>
    <m/>
    <m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Préparation de commande"/>
    <x v="0"/>
    <s v="Accepté"/>
    <x v="0"/>
    <s v="3.8  TRANS CVC JA"/>
    <d v="2025-11-07T00:00:00"/>
    <s v="300133"/>
    <s v="OP BOX "/>
    <n v="60491.63"/>
  </r>
  <r>
    <s v="Préparation de commande"/>
    <x v="0"/>
    <s v="Accepté"/>
    <x v="1"/>
    <s v="VIR"/>
    <d v="2025-12-18T00:00:00"/>
    <s v="300133"/>
    <s v="OP BOX "/>
    <n v="5300"/>
  </r>
  <r>
    <s v="Préparation de commande"/>
    <x v="0"/>
    <s v="Accepté"/>
    <x v="2"/>
    <s v="*****A REMLIR****"/>
    <d v="2026-02-19T00:00:00"/>
    <s v="300080"/>
    <s v="MASSILLY"/>
    <n v="39.9"/>
  </r>
  <r>
    <s v="Préparation de commande"/>
    <x v="0"/>
    <s v="Accepté"/>
    <x v="3"/>
    <s v="C/CH"/>
    <d v="2026-03-17T00:00:00"/>
    <s v="300066"/>
    <s v="OFFSET POLYPLAST"/>
    <n v="168.08"/>
  </r>
  <r>
    <m/>
    <x v="0"/>
    <m/>
    <x v="4"/>
    <m/>
    <m/>
    <m/>
    <m/>
    <m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Bon de commande"/>
    <m/>
    <s v="Envoyé"/>
    <x v="0"/>
    <x v="0"/>
    <d v="2020-01-21T00:00:00"/>
    <s v="300081"/>
    <s v="JIL EMBALLAGES"/>
    <n v="89280"/>
  </r>
  <r>
    <s v="Bon de commande"/>
    <m/>
    <s v="Envoyé"/>
    <x v="1"/>
    <x v="1"/>
    <d v="2020-04-24T00:00:00"/>
    <s v="300115"/>
    <s v="AUXILIAR CONSERVERA SA"/>
    <n v="38959.153200000001"/>
  </r>
  <r>
    <s v="Bon de commande"/>
    <m/>
    <s v="Envoyé"/>
    <x v="2"/>
    <x v="2"/>
    <d v="2020-04-25T00:00:00"/>
    <s v="300115"/>
    <s v="AUXILIAR CONSERVERA SA"/>
    <n v="14941.789500000001"/>
  </r>
  <r>
    <s v="Bon de commande"/>
    <m/>
    <s v="Envoyé"/>
    <x v="3"/>
    <x v="3"/>
    <d v="2020-05-05T00:00:00"/>
    <s v="300115"/>
    <s v="AUXILIAR CONSERVERA SA"/>
    <n v="39493.684999999998"/>
  </r>
  <r>
    <s v="Bon de commande"/>
    <m/>
    <s v="Envoyé"/>
    <x v="4"/>
    <x v="4"/>
    <d v="2020-05-09T00:00:00"/>
    <s v="300115"/>
    <s v="AUXILIAR CONSERVERA SA"/>
    <n v="27368.871200000001"/>
  </r>
  <r>
    <s v="Bon de commande"/>
    <m/>
    <s v="Envoyé"/>
    <x v="5"/>
    <x v="5"/>
    <d v="2020-05-12T00:00:00"/>
    <s v="300115"/>
    <s v="AUXILIAR CONSERVERA SA"/>
    <n v="4752"/>
  </r>
  <r>
    <s v="Bon de commande"/>
    <m/>
    <s v="Envoyé"/>
    <x v="6"/>
    <x v="6"/>
    <d v="2020-05-18T00:00:00"/>
    <s v="300115"/>
    <s v="AUXILIAR CONSERVERA SA"/>
    <n v="105655"/>
  </r>
  <r>
    <s v="Bon de commande"/>
    <m/>
    <s v="Envoyé"/>
    <x v="7"/>
    <x v="7"/>
    <d v="2020-05-18T00:00:00"/>
    <s v="300115"/>
    <s v="AUXILIAR CONSERVERA SA"/>
    <n v="386100"/>
  </r>
  <r>
    <s v="Bon de commande"/>
    <m/>
    <s v="Envoyé"/>
    <x v="8"/>
    <x v="8"/>
    <d v="2020-05-21T00:00:00"/>
    <s v="300115"/>
    <s v="AUXILIAR CONSERVERA SA"/>
    <n v="91193.337400000004"/>
  </r>
  <r>
    <s v="Bon de commande"/>
    <m/>
    <s v="Envoyé"/>
    <x v="9"/>
    <x v="9"/>
    <d v="2020-05-21T00:00:00"/>
    <s v="300115"/>
    <s v="AUXILIAR CONSERVERA SA"/>
    <n v="158664"/>
  </r>
  <r>
    <s v="Bon de commande"/>
    <m/>
    <s v="Envoyé"/>
    <x v="10"/>
    <x v="10"/>
    <d v="2020-06-12T00:00:00"/>
    <s v="300115"/>
    <s v="AUXILIAR CONSERVERA SA"/>
    <n v="85358.592000000004"/>
  </r>
  <r>
    <s v="Bon de commande"/>
    <m/>
    <s v="Envoyé"/>
    <x v="11"/>
    <x v="11"/>
    <d v="2020-06-22T00:00:00"/>
    <s v="300302"/>
    <s v="SOMME MAROC"/>
    <n v="6300"/>
  </r>
  <r>
    <s v="Bon de commande"/>
    <m/>
    <s v="Envoyé"/>
    <x v="12"/>
    <x v="3"/>
    <d v="2020-06-24T00:00:00"/>
    <s v="300115"/>
    <s v="AUXILIAR CONSERVERA SA"/>
    <n v="49335.752399999998"/>
  </r>
  <r>
    <s v="Bon de commande"/>
    <m/>
    <s v="Envoyé"/>
    <x v="13"/>
    <x v="12"/>
    <d v="2020-07-02T00:00:00"/>
    <s v="300115"/>
    <s v="AUXILIAR CONSERVERA SA"/>
    <n v="405107.40600000002"/>
  </r>
  <r>
    <s v="Bon de commande"/>
    <m/>
    <s v="Envoyé"/>
    <x v="14"/>
    <x v="13"/>
    <d v="2020-07-08T00:00:00"/>
    <s v="300115"/>
    <s v="AUXILIAR CONSERVERA SA"/>
    <n v="634800.44099999999"/>
  </r>
  <r>
    <s v="Bon de commande"/>
    <m/>
    <s v="Envoyé"/>
    <x v="15"/>
    <x v="12"/>
    <d v="2020-07-23T00:00:00"/>
    <s v="300115"/>
    <s v="AUXILIAR CONSERVERA SA"/>
    <n v="3091330.1275999998"/>
  </r>
  <r>
    <s v="Bon de commande"/>
    <m/>
    <s v="Envoyé"/>
    <x v="16"/>
    <x v="14"/>
    <d v="2020-07-24T00:00:00"/>
    <s v="300115"/>
    <s v="AUXILIAR CONSERVERA SA"/>
    <n v="16414.930400000001"/>
  </r>
  <r>
    <s v="Bon de commande"/>
    <m/>
    <s v="Envoyé"/>
    <x v="17"/>
    <x v="15"/>
    <d v="2020-08-28T00:00:00"/>
    <s v="300115"/>
    <s v="AUXILIAR CONSERVERA SA"/>
    <n v="74250"/>
  </r>
  <r>
    <s v="Bon de commande"/>
    <m/>
    <s v="Envoyé"/>
    <x v="18"/>
    <x v="12"/>
    <d v="2020-09-02T00:00:00"/>
    <s v="300115"/>
    <s v="AUXILIAR CONSERVERA SA"/>
    <n v="17183.832600000002"/>
  </r>
  <r>
    <s v="Bon de commande"/>
    <m/>
    <s v="Envoyé"/>
    <x v="19"/>
    <x v="16"/>
    <d v="2020-09-17T00:00:00"/>
    <s v="300115"/>
    <s v="AUXILIAR CONSERVERA SA"/>
    <n v="10175"/>
  </r>
  <r>
    <s v="Bon de commande"/>
    <m/>
    <s v="Envoyé"/>
    <x v="20"/>
    <x v="17"/>
    <d v="2020-10-06T00:00:00"/>
    <s v="300081"/>
    <s v="JIL EMBALLAGES"/>
    <n v="106750"/>
  </r>
  <r>
    <s v="Bon de commande"/>
    <m/>
    <s v="Envoyé"/>
    <x v="21"/>
    <x v="13"/>
    <d v="2020-10-13T00:00:00"/>
    <s v="300115"/>
    <s v="AUXILIAR CONSERVERA SA"/>
    <n v="100208.317"/>
  </r>
  <r>
    <s v="Bon de commande"/>
    <m/>
    <s v="Envoyé"/>
    <x v="22"/>
    <x v="18"/>
    <d v="2020-10-13T00:00:00"/>
    <s v="300115"/>
    <s v="AUXILIAR CONSERVERA SA"/>
    <n v="70547.399999999994"/>
  </r>
  <r>
    <s v="Bon de commande"/>
    <m/>
    <s v="Envoyé"/>
    <x v="23"/>
    <x v="1"/>
    <d v="2020-10-14T00:00:00"/>
    <s v="300115"/>
    <s v="AUXILIAR CONSERVERA SA"/>
    <n v="1207324.6680000001"/>
  </r>
  <r>
    <s v="Bon de commande"/>
    <m/>
    <s v="Envoyé"/>
    <x v="24"/>
    <x v="19"/>
    <d v="2020-10-17T00:00:00"/>
    <s v="300115"/>
    <s v="AUXILIAR CONSERVERA SA"/>
    <n v="2200"/>
  </r>
  <r>
    <s v="Bon de commande"/>
    <m/>
    <s v="Envoyé"/>
    <x v="25"/>
    <x v="20"/>
    <d v="2020-10-23T00:00:00"/>
    <s v="300076"/>
    <s v="SOCIETE CENTRALE D'EMBALLAGES"/>
    <n v="3000"/>
  </r>
  <r>
    <s v="Bon de commande"/>
    <m/>
    <s v="Envoyé"/>
    <x v="26"/>
    <x v="13"/>
    <d v="2020-11-02T00:00:00"/>
    <s v="300115"/>
    <s v="AUXILIAR CONSERVERA SA"/>
    <n v="417704.1"/>
  </r>
  <r>
    <s v="Bon de commande"/>
    <m/>
    <s v="Envoyé"/>
    <x v="27"/>
    <x v="8"/>
    <d v="2020-11-05T00:00:00"/>
    <s v="300115"/>
    <s v="AUXILIAR CONSERVERA SA"/>
    <n v="198659.0221"/>
  </r>
  <r>
    <s v="Bon de commande"/>
    <m/>
    <s v="Envoyé"/>
    <x v="28"/>
    <x v="13"/>
    <d v="2020-11-09T00:00:00"/>
    <s v="300115"/>
    <s v="AUXILIAR CONSERVERA SA"/>
    <n v="36301.65"/>
  </r>
  <r>
    <s v="Bon de commande"/>
    <m/>
    <s v="Envoyé"/>
    <x v="29"/>
    <x v="21"/>
    <d v="2020-11-13T00:00:00"/>
    <s v="300115"/>
    <s v="AUXILIAR CONSERVERA SA"/>
    <n v="434138.56199999998"/>
  </r>
  <r>
    <s v="Bon de commande"/>
    <m/>
    <s v="Envoyé"/>
    <x v="30"/>
    <x v="22"/>
    <d v="2020-11-19T00:00:00"/>
    <s v="300115"/>
    <s v="AUXILIAR CONSERVERA SA"/>
    <n v="8409.3768"/>
  </r>
  <r>
    <s v="Bon de commande"/>
    <m/>
    <s v="Envoyé"/>
    <x v="31"/>
    <x v="12"/>
    <d v="2020-11-19T00:00:00"/>
    <s v="300115"/>
    <s v="AUXILIAR CONSERVERA SA"/>
    <n v="523498.8616"/>
  </r>
  <r>
    <s v="Bon de commande"/>
    <m/>
    <s v="Envoyé"/>
    <x v="32"/>
    <x v="23"/>
    <d v="2020-11-25T00:00:00"/>
    <s v="300081"/>
    <s v="JIL EMBALLAGES"/>
    <n v="1041.67"/>
  </r>
  <r>
    <s v="Bon de commande"/>
    <m/>
    <s v="Envoyé"/>
    <x v="33"/>
    <x v="24"/>
    <d v="2020-12-10T00:00:00"/>
    <s v="300115"/>
    <s v="AUXILIAR CONSERVERA SA"/>
    <n v="14929.683999999999"/>
  </r>
  <r>
    <s v="Bon de commande"/>
    <m/>
    <s v="Envoyé"/>
    <x v="34"/>
    <x v="25"/>
    <d v="2020-12-24T00:00:00"/>
    <s v="300115"/>
    <s v="AUXILIAR CONSERVERA SA"/>
    <n v="612184.21"/>
  </r>
  <r>
    <s v="Bon de commande"/>
    <m/>
    <s v="Envoyé"/>
    <x v="35"/>
    <x v="26"/>
    <d v="2020-12-24T00:00:00"/>
    <s v="300115"/>
    <s v="AUXILIAR CONSERVERA SA"/>
    <n v="2297680"/>
  </r>
  <r>
    <s v="Bon de commande"/>
    <m/>
    <s v="Envoyé"/>
    <x v="36"/>
    <x v="27"/>
    <d v="2020-12-25T00:00:00"/>
    <s v="300115"/>
    <s v="AUXILIAR CONSERVERA SA"/>
    <n v="152130"/>
  </r>
  <r>
    <s v="Bon de commande"/>
    <m/>
    <s v="Envoyé"/>
    <x v="37"/>
    <x v="28"/>
    <d v="2020-12-25T00:00:00"/>
    <s v="300115"/>
    <s v="AUXILIAR CONSERVERA SA"/>
    <n v="76065"/>
  </r>
  <r>
    <s v="Bon de commande"/>
    <m/>
    <s v="Envoyé"/>
    <x v="38"/>
    <x v="29"/>
    <d v="2020-12-25T00:00:00"/>
    <s v="300115"/>
    <s v="AUXILIAR CONSERVERA SA"/>
    <n v="76065"/>
  </r>
  <r>
    <s v="Bon de commande"/>
    <m/>
    <s v="Envoyé"/>
    <x v="39"/>
    <x v="30"/>
    <d v="2020-12-31T00:00:00"/>
    <s v="300115"/>
    <s v="AUXILIAR CONSERVERA SA"/>
    <n v="13824.755999999999"/>
  </r>
  <r>
    <s v="Bon de commande"/>
    <m/>
    <s v="Envoyé"/>
    <x v="40"/>
    <x v="31"/>
    <d v="2021-01-07T00:00:00"/>
    <s v="300115"/>
    <s v="AUXILIAR CONSERVERA SA"/>
    <n v="91524.356"/>
  </r>
  <r>
    <s v="Bon de commande"/>
    <m/>
    <s v="Envoyé"/>
    <x v="41"/>
    <x v="32"/>
    <d v="2021-01-12T00:00:00"/>
    <s v="300115"/>
    <s v="AUXILIAR CONSERVERA SA"/>
    <n v="40225.68"/>
  </r>
  <r>
    <s v="Bon de commande"/>
    <m/>
    <s v="Envoyé"/>
    <x v="42"/>
    <x v="33"/>
    <d v="2021-01-14T00:00:00"/>
    <s v="300115"/>
    <s v="AUXILIAR CONSERVERA SA"/>
    <n v="1678501.2749999999"/>
  </r>
  <r>
    <s v="Bon de commande"/>
    <m/>
    <s v="Envoyé"/>
    <x v="43"/>
    <x v="1"/>
    <d v="2021-01-18T00:00:00"/>
    <s v="300115"/>
    <s v="AUXILIAR CONSERVERA SA"/>
    <n v="104346.39599999999"/>
  </r>
  <r>
    <s v="Bon de commande"/>
    <m/>
    <s v="Envoyé"/>
    <x v="44"/>
    <x v="1"/>
    <d v="2021-01-18T00:00:00"/>
    <s v="300115"/>
    <s v="AUXILIAR CONSERVERA SA"/>
    <n v="93401.066000000006"/>
  </r>
  <r>
    <s v="Bon de commande"/>
    <m/>
    <s v="Envoyé"/>
    <x v="45"/>
    <x v="34"/>
    <d v="2021-01-19T00:00:00"/>
    <s v="300115"/>
    <s v="AUXILIAR CONSERVERA SA"/>
    <n v="165749.76000000001"/>
  </r>
  <r>
    <s v="Bon de commande"/>
    <m/>
    <s v="Envoyé"/>
    <x v="46"/>
    <x v="35"/>
    <d v="2021-02-05T00:00:00"/>
    <s v="300115"/>
    <s v="AUXILIAR CONSERVERA SA"/>
    <n v="20328"/>
  </r>
  <r>
    <s v="Bon de commande"/>
    <m/>
    <s v="Envoyé"/>
    <x v="47"/>
    <x v="1"/>
    <d v="2021-02-08T00:00:00"/>
    <s v="300115"/>
    <s v="AUXILIAR CONSERVERA SA"/>
    <n v="9012.8279999999995"/>
  </r>
  <r>
    <s v="Bon de commande"/>
    <m/>
    <s v="Envoyé"/>
    <x v="48"/>
    <x v="14"/>
    <d v="2021-02-08T00:00:00"/>
    <s v="300115"/>
    <s v="AUXILIAR CONSERVERA SA"/>
    <n v="275838.55200000003"/>
  </r>
  <r>
    <s v="Bon de commande"/>
    <m/>
    <s v="Envoyé"/>
    <x v="49"/>
    <x v="36"/>
    <d v="2021-02-18T00:00:00"/>
    <s v="300115"/>
    <s v="AUXILIAR CONSERVERA SA"/>
    <n v="316169.56800000003"/>
  </r>
  <r>
    <s v="Bon de commande"/>
    <m/>
    <s v="Envoyé"/>
    <x v="50"/>
    <x v="1"/>
    <d v="2021-02-18T00:00:00"/>
    <s v="300115"/>
    <s v="AUXILIAR CONSERVERA SA"/>
    <n v="7929802.4960000003"/>
  </r>
  <r>
    <s v="Bon de commande"/>
    <m/>
    <s v="Envoyé"/>
    <x v="51"/>
    <x v="37"/>
    <d v="2021-03-02T00:00:00"/>
    <s v="300115"/>
    <s v="AUXILIAR CONSERVERA SA"/>
    <n v="60206.96"/>
  </r>
  <r>
    <s v="Bon de commande"/>
    <m/>
    <s v="Envoyé"/>
    <x v="52"/>
    <x v="38"/>
    <d v="2021-03-18T00:00:00"/>
    <s v="300115"/>
    <s v="AUXILIAR CONSERVERA SA"/>
    <n v="18771.768400000001"/>
  </r>
  <r>
    <s v="Bon de commande"/>
    <m/>
    <s v="Envoyé"/>
    <x v="53"/>
    <x v="38"/>
    <d v="2021-03-24T00:00:00"/>
    <s v="300115"/>
    <s v="AUXILIAR CONSERVERA SA"/>
    <n v="202840"/>
  </r>
  <r>
    <s v="Bon de commande"/>
    <m/>
    <s v="Envoyé"/>
    <x v="54"/>
    <x v="36"/>
    <d v="2021-03-26T00:00:00"/>
    <s v="300115"/>
    <s v="AUXILIAR CONSERVERA SA"/>
    <n v="474254.35200000001"/>
  </r>
  <r>
    <s v="Bon de commande"/>
    <m/>
    <s v="Envoyé"/>
    <x v="55"/>
    <x v="39"/>
    <d v="2021-04-03T00:00:00"/>
    <s v="300115"/>
    <s v="AUXILIAR CONSERVERA SA"/>
    <n v="202917"/>
  </r>
  <r>
    <s v="Bon de commande"/>
    <m/>
    <s v="Envoyé"/>
    <x v="56"/>
    <x v="40"/>
    <d v="2021-04-09T00:00:00"/>
    <s v="300115"/>
    <s v="AUXILIAR CONSERVERA SA"/>
    <n v="2339492.5641999999"/>
  </r>
  <r>
    <s v="Bon de commande"/>
    <m/>
    <s v="Envoyé"/>
    <x v="57"/>
    <x v="41"/>
    <d v="2021-04-12T00:00:00"/>
    <s v="300115"/>
    <s v="AUXILIAR CONSERVERA SA"/>
    <n v="54146.822399999997"/>
  </r>
  <r>
    <s v="Bon de commande"/>
    <m/>
    <s v="Envoyé"/>
    <x v="58"/>
    <x v="42"/>
    <d v="2021-04-21T00:00:00"/>
    <s v="300115"/>
    <s v="AUXILIAR CONSERVERA SA"/>
    <n v="66528"/>
  </r>
  <r>
    <s v="Bon de commande"/>
    <m/>
    <s v="Envoyé"/>
    <x v="59"/>
    <x v="13"/>
    <d v="2021-04-22T00:00:00"/>
    <s v="300115"/>
    <s v="AUXILIAR CONSERVERA SA"/>
    <n v="173061.21799999999"/>
  </r>
  <r>
    <s v="Bon de commande"/>
    <m/>
    <s v="Envoyé"/>
    <x v="60"/>
    <x v="43"/>
    <d v="2021-05-19T00:00:00"/>
    <s v="300115"/>
    <s v="AUXILIAR CONSERVERA SA"/>
    <n v="369600"/>
  </r>
  <r>
    <s v="Bon de commande"/>
    <m/>
    <s v="Envoyé"/>
    <x v="61"/>
    <x v="44"/>
    <d v="2021-05-25T00:00:00"/>
    <s v="300115"/>
    <s v="AUXILIAR CONSERVERA SA"/>
    <n v="32778.196000000004"/>
  </r>
  <r>
    <s v="Bon de commande"/>
    <m/>
    <s v="Envoyé"/>
    <x v="62"/>
    <x v="44"/>
    <d v="2021-05-25T00:00:00"/>
    <s v="300115"/>
    <s v="AUXILIAR CONSERVERA SA"/>
    <n v="45456.857600000003"/>
  </r>
  <r>
    <s v="Bon de commande"/>
    <m/>
    <s v="Envoyé"/>
    <x v="63"/>
    <x v="45"/>
    <d v="2021-05-28T00:00:00"/>
    <s v="300115"/>
    <s v="AUXILIAR CONSERVERA SA"/>
    <n v="619520"/>
  </r>
  <r>
    <s v="Bon de commande"/>
    <m/>
    <s v="Envoyé"/>
    <x v="64"/>
    <x v="45"/>
    <d v="2021-05-28T00:00:00"/>
    <s v="300115"/>
    <s v="AUXILIAR CONSERVERA SA"/>
    <n v="601677.82400000002"/>
  </r>
  <r>
    <s v="Bon de commande"/>
    <m/>
    <s v="Envoyé"/>
    <x v="65"/>
    <x v="1"/>
    <d v="2021-05-29T00:00:00"/>
    <s v="300115"/>
    <s v="AUXILIAR CONSERVERA SA"/>
    <n v="1759558.5083999999"/>
  </r>
  <r>
    <s v="Bon de commande"/>
    <m/>
    <s v="Envoyé"/>
    <x v="66"/>
    <x v="1"/>
    <d v="2021-06-08T00:00:00"/>
    <s v="300115"/>
    <s v="AUXILIAR CONSERVERA SA"/>
    <n v="9081.7628000000004"/>
  </r>
  <r>
    <s v="Bon de commande"/>
    <m/>
    <s v="Envoyé"/>
    <x v="67"/>
    <x v="34"/>
    <d v="2021-06-12T00:00:00"/>
    <s v="300115"/>
    <s v="AUXILIAR CONSERVERA SA"/>
    <n v="802204.84299999999"/>
  </r>
  <r>
    <s v="Bon de commande"/>
    <m/>
    <s v="Envoyé"/>
    <x v="68"/>
    <x v="1"/>
    <d v="2021-06-15T00:00:00"/>
    <s v="300115"/>
    <s v="AUXILIAR CONSERVERA SA"/>
    <n v="2052600"/>
  </r>
  <r>
    <s v="Bon de commande"/>
    <m/>
    <s v="Envoyé"/>
    <x v="69"/>
    <x v="12"/>
    <d v="2021-06-22T00:00:00"/>
    <s v="300115"/>
    <s v="AUXILIAR CONSERVERA SA"/>
    <n v="111936.84480000001"/>
  </r>
  <r>
    <s v="Bon de commande"/>
    <m/>
    <s v="Envoyé"/>
    <x v="70"/>
    <x v="46"/>
    <d v="2021-07-03T00:00:00"/>
    <s v="300115"/>
    <s v="AUXILIAR CONSERVERA SA"/>
    <n v="152277.84"/>
  </r>
  <r>
    <s v="Bon de commande"/>
    <m/>
    <s v="Envoyé"/>
    <x v="71"/>
    <x v="47"/>
    <d v="2021-08-24T00:00:00"/>
    <s v="300115"/>
    <s v="AUXILIAR CONSERVERA SA"/>
    <n v="133903.42240000001"/>
  </r>
  <r>
    <s v="Bon de commande"/>
    <m/>
    <s v="Envoyé"/>
    <x v="72"/>
    <x v="41"/>
    <d v="2021-09-07T00:00:00"/>
    <s v="300115"/>
    <s v="AUXILIAR CONSERVERA SA"/>
    <n v="203030.61900000001"/>
  </r>
  <r>
    <s v="Bon de commande"/>
    <m/>
    <s v="Envoyé"/>
    <x v="73"/>
    <x v="48"/>
    <d v="2021-09-21T00:00:00"/>
    <s v="300115"/>
    <s v="AUXILIAR CONSERVERA SA"/>
    <n v="1458170.1816"/>
  </r>
  <r>
    <s v="Bon de commande"/>
    <m/>
    <s v="Envoyé"/>
    <x v="74"/>
    <x v="49"/>
    <d v="2021-09-21T00:00:00"/>
    <s v="300115"/>
    <s v="AUXILIAR CONSERVERA SA"/>
    <n v="7117000"/>
  </r>
  <r>
    <s v="Bon de commande"/>
    <m/>
    <s v="Envoyé"/>
    <x v="75"/>
    <x v="50"/>
    <d v="2021-09-30T00:00:00"/>
    <s v="300076"/>
    <s v="SOCIETE CENTRALE D'EMBALLAGES"/>
    <n v="4200"/>
  </r>
  <r>
    <s v="Bon de commande"/>
    <m/>
    <s v="Envoyé"/>
    <x v="76"/>
    <x v="51"/>
    <d v="2021-10-15T00:00:00"/>
    <s v="300115"/>
    <s v="AUXILIAR CONSERVERA SA"/>
    <n v="188456.22289999999"/>
  </r>
  <r>
    <s v="Bon de commande"/>
    <m/>
    <s v="Envoyé"/>
    <x v="77"/>
    <x v="43"/>
    <d v="2021-10-28T00:00:00"/>
    <s v="300115"/>
    <s v="AUXILIAR CONSERVERA SA"/>
    <n v="202840"/>
  </r>
  <r>
    <s v="Bon de commande"/>
    <m/>
    <s v="Envoyé"/>
    <x v="78"/>
    <x v="12"/>
    <d v="2021-11-09T00:00:00"/>
    <s v="300115"/>
    <s v="AUXILIAR CONSERVERA SA"/>
    <n v="7623.6952000000001"/>
  </r>
  <r>
    <s v="Bon de commande"/>
    <m/>
    <s v="Envoyé"/>
    <x v="79"/>
    <x v="1"/>
    <d v="2021-11-10T00:00:00"/>
    <s v="300115"/>
    <s v="AUXILIAR CONSERVERA SA"/>
    <n v="368902.92560000002"/>
  </r>
  <r>
    <s v="Bon de commande"/>
    <m/>
    <s v="Envoyé"/>
    <x v="80"/>
    <x v="52"/>
    <d v="2021-11-15T00:00:00"/>
    <s v="300115"/>
    <s v="AUXILIAR CONSERVERA SA"/>
    <n v="317884.908"/>
  </r>
  <r>
    <s v="Bon de commande"/>
    <m/>
    <s v="Envoyé"/>
    <x v="81"/>
    <x v="53"/>
    <d v="2021-12-30T00:00:00"/>
    <s v="300312"/>
    <s v="ILIP S.r.l."/>
    <n v="15586.56"/>
  </r>
  <r>
    <s v="Bon de commande"/>
    <m/>
    <s v="Envoyé"/>
    <x v="82"/>
    <x v="54"/>
    <d v="2022-01-10T00:00:00"/>
    <s v="300081"/>
    <s v="JIL EMBALLAGES"/>
    <n v="121150.08"/>
  </r>
  <r>
    <s v="Bon de commande"/>
    <m/>
    <s v="Envoyé"/>
    <x v="83"/>
    <x v="55"/>
    <d v="2022-01-19T00:00:00"/>
    <s v="300115"/>
    <s v="AUXILIAR CONSERVERA SA"/>
    <n v="816512.46600000001"/>
  </r>
  <r>
    <s v="Bon de commande"/>
    <m/>
    <s v="Envoyé"/>
    <x v="84"/>
    <x v="33"/>
    <d v="2022-01-24T00:00:00"/>
    <s v="300115"/>
    <s v="AUXILIAR CONSERVERA SA"/>
    <n v="3335108.6252000001"/>
  </r>
  <r>
    <s v="Bon de commande"/>
    <m/>
    <s v="Envoyé"/>
    <x v="85"/>
    <x v="56"/>
    <d v="2022-03-26T00:00:00"/>
    <s v="300115"/>
    <s v="AUXILIAR CONSERVERA SA"/>
    <n v="0"/>
  </r>
  <r>
    <s v="Bon de commande"/>
    <m/>
    <s v="Envoyé"/>
    <x v="86"/>
    <x v="56"/>
    <d v="2022-03-31T00:00:00"/>
    <s v="300115"/>
    <s v="AUXILIAR CONSERVERA SA"/>
    <n v="105917.0442"/>
  </r>
  <r>
    <s v="Bon de commande"/>
    <m/>
    <s v="Envoyé"/>
    <x v="87"/>
    <x v="57"/>
    <d v="2022-04-19T00:00:00"/>
    <s v="300115"/>
    <s v="AUXILIAR CONSERVERA SA"/>
    <n v="1588087.5053999999"/>
  </r>
  <r>
    <s v="Bon de commande"/>
    <m/>
    <s v="Envoyé"/>
    <x v="88"/>
    <x v="12"/>
    <d v="2022-04-26T00:00:00"/>
    <s v="300115"/>
    <s v="AUXILIAR CONSERVERA SA"/>
    <n v="46779.612000000001"/>
  </r>
  <r>
    <s v="Bon de commande"/>
    <m/>
    <s v="Envoyé"/>
    <x v="89"/>
    <x v="10"/>
    <d v="2022-05-13T00:00:00"/>
    <s v="300115"/>
    <s v="AUXILIAR CONSERVERA SA"/>
    <n v="104018.80499999999"/>
  </r>
  <r>
    <s v="Bon de commande"/>
    <m/>
    <s v="Envoyé"/>
    <x v="90"/>
    <x v="58"/>
    <d v="2022-06-09T00:00:00"/>
    <s v="300115"/>
    <s v="AUXILIAR CONSERVERA SA"/>
    <n v="17769.5144"/>
  </r>
  <r>
    <s v="Bon de commande"/>
    <m/>
    <s v="Envoyé"/>
    <x v="91"/>
    <x v="59"/>
    <d v="2022-06-13T00:00:00"/>
    <s v="300115"/>
    <s v="AUXILIAR CONSERVERA SA"/>
    <n v="0"/>
  </r>
  <r>
    <s v="Bon de commande"/>
    <m/>
    <s v="Envoyé"/>
    <x v="92"/>
    <x v="60"/>
    <d v="2022-06-13T00:00:00"/>
    <s v="300115"/>
    <s v="AUXILIAR CONSERVERA SA"/>
    <n v="4079397.8412000001"/>
  </r>
  <r>
    <s v="Bon de commande"/>
    <m/>
    <s v="Envoyé"/>
    <x v="93"/>
    <x v="61"/>
    <d v="2022-07-25T00:00:00"/>
    <s v="300115"/>
    <s v="AUXILIAR CONSERVERA SA"/>
    <n v="660194.21710000001"/>
  </r>
  <r>
    <s v="Bon de commande"/>
    <m/>
    <s v="Envoyé"/>
    <x v="94"/>
    <x v="10"/>
    <d v="2022-08-11T00:00:00"/>
    <s v="300115"/>
    <s v="AUXILIAR CONSERVERA SA"/>
    <n v="129094.02"/>
  </r>
  <r>
    <s v="Bon de commande"/>
    <m/>
    <s v="Envoyé"/>
    <x v="95"/>
    <x v="48"/>
    <d v="2022-08-23T00:00:00"/>
    <s v="300115"/>
    <s v="AUXILIAR CONSERVERA SA"/>
    <n v="173934.54759999999"/>
  </r>
  <r>
    <s v="Bon de commande"/>
    <m/>
    <s v="Envoyé"/>
    <x v="96"/>
    <x v="45"/>
    <d v="2022-08-23T00:00:00"/>
    <s v="300115"/>
    <s v="AUXILIAR CONSERVERA SA"/>
    <n v="652520"/>
  </r>
  <r>
    <s v="Bon de commande"/>
    <m/>
    <s v="Envoyé"/>
    <x v="97"/>
    <x v="55"/>
    <d v="2022-08-26T00:00:00"/>
    <s v="300115"/>
    <s v="AUXILIAR CONSERVERA SA"/>
    <n v="762543.93599999999"/>
  </r>
  <r>
    <s v="Bon de commande"/>
    <m/>
    <s v="Envoyé"/>
    <x v="98"/>
    <x v="62"/>
    <d v="2022-09-02T00:00:00"/>
    <s v="300115"/>
    <s v="AUXILIAR CONSERVERA SA"/>
    <n v="154598.39999999999"/>
  </r>
  <r>
    <s v="Bon de commande"/>
    <m/>
    <s v="Envoyé"/>
    <x v="99"/>
    <x v="41"/>
    <d v="2022-09-09T00:00:00"/>
    <s v="300115"/>
    <s v="AUXILIAR CONSERVERA SA"/>
    <n v="108419.564"/>
  </r>
  <r>
    <s v="Bon de commande"/>
    <m/>
    <s v="Envoyé"/>
    <x v="100"/>
    <x v="41"/>
    <d v="2022-10-07T00:00:00"/>
    <s v="300115"/>
    <s v="AUXILIAR CONSERVERA SA"/>
    <n v="152056.88080000001"/>
  </r>
  <r>
    <s v="Bon de commande"/>
    <m/>
    <s v="Envoyé"/>
    <x v="101"/>
    <x v="63"/>
    <d v="2022-10-07T00:00:00"/>
    <s v="300115"/>
    <s v="AUXILIAR CONSERVERA SA"/>
    <n v="21210.6587"/>
  </r>
  <r>
    <s v="Bon de commande"/>
    <m/>
    <s v="Envoyé"/>
    <x v="102"/>
    <x v="33"/>
    <d v="2022-10-07T00:00:00"/>
    <s v="300115"/>
    <s v="AUXILIAR CONSERVERA SA"/>
    <n v="5582.94"/>
  </r>
  <r>
    <s v="Bon de commande"/>
    <m/>
    <s v="Envoyé"/>
    <x v="103"/>
    <x v="64"/>
    <d v="2022-10-17T00:00:00"/>
    <s v="300226"/>
    <s v="Sarten Ambalaj Sanayi ve Ticaret AS"/>
    <n v="2557.8000000000002"/>
  </r>
  <r>
    <s v="Bon de commande"/>
    <m/>
    <s v="Envoyé"/>
    <x v="104"/>
    <x v="65"/>
    <d v="2022-10-27T00:00:00"/>
    <s v="300115"/>
    <s v="AUXILIAR CONSERVERA SA"/>
    <n v="2266220"/>
  </r>
  <r>
    <s v="Bon de commande"/>
    <m/>
    <s v="Envoyé"/>
    <x v="105"/>
    <x v="66"/>
    <d v="2022-11-02T00:00:00"/>
    <s v="300115"/>
    <s v="AUXILIAR CONSERVERA SA"/>
    <n v="266443.07799999998"/>
  </r>
  <r>
    <s v="Bon de commande"/>
    <m/>
    <s v="Envoyé"/>
    <x v="106"/>
    <x v="33"/>
    <d v="2022-11-16T00:00:00"/>
    <s v="300115"/>
    <s v="AUXILIAR CONSERVERA SA"/>
    <n v="1289169.8160000001"/>
  </r>
  <r>
    <s v="Bon de commande"/>
    <m/>
    <s v="Envoyé"/>
    <x v="107"/>
    <x v="44"/>
    <d v="2022-11-30T00:00:00"/>
    <s v="300115"/>
    <s v="AUXILIAR CONSERVERA SA"/>
    <n v="144410.11199999999"/>
  </r>
  <r>
    <s v="Bon de commande"/>
    <m/>
    <s v="Envoyé"/>
    <x v="108"/>
    <x v="40"/>
    <d v="2022-12-05T00:00:00"/>
    <s v="300115"/>
    <s v="AUXILIAR CONSERVERA SA"/>
    <n v="250034.4"/>
  </r>
  <r>
    <s v="Bon de commande"/>
    <m/>
    <s v="Envoyé"/>
    <x v="109"/>
    <x v="48"/>
    <d v="2022-12-26T00:00:00"/>
    <s v="300115"/>
    <s v="AUXILIAR CONSERVERA SA"/>
    <n v="1343576.135"/>
  </r>
  <r>
    <s v="Bon de commande"/>
    <m/>
    <s v="Envoyé"/>
    <x v="110"/>
    <x v="67"/>
    <d v="2022-12-28T00:00:00"/>
    <s v="300115"/>
    <s v="AUXILIAR CONSERVERA SA"/>
    <n v="2364303.0070000002"/>
  </r>
  <r>
    <s v="Bon de commande"/>
    <m/>
    <s v="Envoyé"/>
    <x v="111"/>
    <x v="68"/>
    <d v="2022-12-28T00:00:00"/>
    <s v="300115"/>
    <s v="AUXILIAR CONSERVERA SA"/>
    <n v="6655000"/>
  </r>
  <r>
    <s v="Bon de commande"/>
    <m/>
    <s v="Envoyé"/>
    <x v="112"/>
    <x v="43"/>
    <d v="2022-12-28T00:00:00"/>
    <s v="300115"/>
    <s v="AUXILIAR CONSERVERA SA"/>
    <n v="298210"/>
  </r>
  <r>
    <s v="Bon de commande"/>
    <m/>
    <s v="Envoyé"/>
    <x v="113"/>
    <x v="48"/>
    <d v="2023-01-17T00:00:00"/>
    <s v="300115"/>
    <s v="AUXILIAR CONSERVERA SA"/>
    <n v="6874823.4720000001"/>
  </r>
  <r>
    <s v="Bon de commande"/>
    <m/>
    <s v="Envoyé"/>
    <x v="114"/>
    <x v="69"/>
    <d v="2023-01-17T00:00:00"/>
    <s v="300115"/>
    <s v="AUXILIAR CONSERVERA SA"/>
    <n v="2574179.1570000001"/>
  </r>
  <r>
    <s v="Bon de commande"/>
    <m/>
    <s v="Envoyé"/>
    <x v="115"/>
    <x v="70"/>
    <d v="2023-02-08T00:00:00"/>
    <s v="300220"/>
    <s v="ENVASES EUROPE"/>
    <n v="175717.212"/>
  </r>
  <r>
    <s v="Bon de commande"/>
    <m/>
    <s v="Envoyé"/>
    <x v="116"/>
    <x v="71"/>
    <d v="2023-02-16T00:00:00"/>
    <s v="300115"/>
    <s v="AUXILIAR CONSERVERA SA"/>
    <n v="0"/>
  </r>
  <r>
    <s v="Bon de commande"/>
    <m/>
    <s v="Envoyé"/>
    <x v="117"/>
    <x v="18"/>
    <d v="2023-02-27T00:00:00"/>
    <s v="300115"/>
    <s v="AUXILIAR CONSERVERA SA"/>
    <n v="10331.9931"/>
  </r>
  <r>
    <s v="Bon de commande"/>
    <m/>
    <s v="Envoyé"/>
    <x v="118"/>
    <x v="72"/>
    <d v="2023-03-03T00:00:00"/>
    <s v="300115"/>
    <s v="AUXILIAR CONSERVERA SA"/>
    <n v="2324.6761999999999"/>
  </r>
  <r>
    <s v="Bon de commande"/>
    <m/>
    <s v="Envoyé"/>
    <x v="119"/>
    <x v="73"/>
    <d v="2023-03-09T00:00:00"/>
    <s v="300115"/>
    <s v="AUXILIAR CONSERVERA SA"/>
    <n v="319000"/>
  </r>
  <r>
    <s v="Bon de commande"/>
    <m/>
    <s v="Envoyé"/>
    <x v="120"/>
    <x v="74"/>
    <d v="2023-04-07T00:00:00"/>
    <s v="300312"/>
    <s v="ILIP S.r.l."/>
    <n v="0"/>
  </r>
  <r>
    <s v="Bon de commande"/>
    <m/>
    <s v="Envoyé"/>
    <x v="121"/>
    <x v="70"/>
    <d v="2023-05-02T00:00:00"/>
    <s v="300220"/>
    <s v="ENVASES EUROPE"/>
    <n v="172923.2"/>
  </r>
  <r>
    <s v="Bon de commande"/>
    <m/>
    <s v="Envoyé"/>
    <x v="122"/>
    <x v="75"/>
    <d v="2023-05-18T00:00:00"/>
    <s v="300115"/>
    <s v="AUXILIAR CONSERVERA SA"/>
    <n v="616000"/>
  </r>
  <r>
    <s v="Bon de commande"/>
    <m/>
    <s v="Envoyé"/>
    <x v="123"/>
    <x v="76"/>
    <d v="2023-06-08T00:00:00"/>
    <s v="300115"/>
    <s v="AUXILIAR CONSERVERA SA"/>
    <n v="804482.11800000002"/>
  </r>
  <r>
    <s v="Bon de commande"/>
    <m/>
    <s v="Envoyé"/>
    <x v="124"/>
    <x v="48"/>
    <d v="2023-06-12T00:00:00"/>
    <s v="300115"/>
    <s v="AUXILIAR CONSERVERA SA"/>
    <n v="19581"/>
  </r>
  <r>
    <s v="Bon de commande"/>
    <m/>
    <s v="Envoyé"/>
    <x v="125"/>
    <x v="70"/>
    <d v="2023-07-12T00:00:00"/>
    <s v="300220"/>
    <s v="ENVASES EUROPE"/>
    <n v="2858570.9240000001"/>
  </r>
  <r>
    <s v="Bon de commande"/>
    <m/>
    <s v="Envoyé"/>
    <x v="126"/>
    <x v="77"/>
    <d v="2023-07-12T00:00:00"/>
    <s v="300220"/>
    <s v="ENVASES EUROPE"/>
    <n v="9588563.2479999997"/>
  </r>
  <r>
    <s v="Bon de commande"/>
    <m/>
    <s v="Envoyé"/>
    <x v="127"/>
    <x v="65"/>
    <d v="2023-07-20T00:00:00"/>
    <s v="300115"/>
    <s v="AUXILIAR CONSERVERA SA"/>
    <n v="1938407.504"/>
  </r>
  <r>
    <s v="Bon de commande"/>
    <m/>
    <s v="Envoyé"/>
    <x v="128"/>
    <x v="48"/>
    <d v="2023-07-28T00:00:00"/>
    <s v="300115"/>
    <s v="AUXILIAR CONSERVERA SA"/>
    <n v="5872.9946"/>
  </r>
  <r>
    <s v="Bon de commande"/>
    <m/>
    <s v="Envoyé"/>
    <x v="129"/>
    <x v="67"/>
    <d v="2023-09-07T00:00:00"/>
    <s v="300115"/>
    <s v="AUXILIAR CONSERVERA SA"/>
    <n v="275.26400000000001"/>
  </r>
  <r>
    <s v="Bon de commande"/>
    <m/>
    <s v="Envoyé"/>
    <x v="130"/>
    <x v="78"/>
    <d v="2023-09-21T00:00:00"/>
    <s v="300115"/>
    <s v="AUXILIAR CONSERVERA SA"/>
    <n v="37854.460599999999"/>
  </r>
  <r>
    <s v="Bon de commande"/>
    <m/>
    <s v="Envoyé"/>
    <x v="131"/>
    <x v="68"/>
    <d v="2023-10-16T00:00:00"/>
    <s v="300115"/>
    <s v="AUXILIAR CONSERVERA SA"/>
    <n v="3943500"/>
  </r>
  <r>
    <s v="Bon de commande"/>
    <m/>
    <s v="Envoyé"/>
    <x v="132"/>
    <x v="12"/>
    <d v="2023-10-26T00:00:00"/>
    <s v="300220"/>
    <s v="ENVASES EUROPE"/>
    <n v="242000"/>
  </r>
  <r>
    <s v="Bon de commande"/>
    <m/>
    <s v="Envoyé"/>
    <x v="133"/>
    <x v="78"/>
    <d v="2023-11-11T00:00:00"/>
    <s v="300115"/>
    <s v="AUXILIAR CONSERVERA SA"/>
    <n v="179968.03"/>
  </r>
  <r>
    <s v="Bon de commande"/>
    <m/>
    <s v="Envoyé"/>
    <x v="134"/>
    <x v="18"/>
    <d v="2023-11-30T00:00:00"/>
    <s v="300115"/>
    <s v="AUXILIAR CONSERVERA SA"/>
    <n v="3475.1651000000002"/>
  </r>
  <r>
    <s v="Bon de commande"/>
    <m/>
    <s v="Envoyé"/>
    <x v="135"/>
    <x v="79"/>
    <d v="2023-12-25T00:00:00"/>
    <s v="300220"/>
    <s v="ENVASES EUROPE"/>
    <n v="1084600"/>
  </r>
  <r>
    <s v="Bon de commande"/>
    <m/>
    <s v="Envoyé"/>
    <x v="136"/>
    <x v="67"/>
    <d v="2024-01-05T00:00:00"/>
    <s v="300115"/>
    <s v="AUXILIAR CONSERVERA SA"/>
    <n v="170805.69"/>
  </r>
  <r>
    <s v="Bon de commande"/>
    <m/>
    <s v="Envoyé"/>
    <x v="137"/>
    <x v="80"/>
    <d v="2024-01-17T00:00:00"/>
    <s v="300220"/>
    <s v="ENVASES EUROPE"/>
    <n v="311785.58399999997"/>
  </r>
  <r>
    <s v="Bon de commande"/>
    <m/>
    <s v="Envoyé"/>
    <x v="138"/>
    <x v="81"/>
    <d v="2024-02-08T00:00:00"/>
    <s v="300220"/>
    <s v="ENVASES EUROPE"/>
    <n v="1045000"/>
  </r>
  <r>
    <s v="Bon de commande"/>
    <m/>
    <s v="Envoyé"/>
    <x v="139"/>
    <x v="12"/>
    <d v="2024-02-15T00:00:00"/>
    <s v="300115"/>
    <s v="AUXILIAR CONSERVERA SA"/>
    <n v="52472.211000000003"/>
  </r>
  <r>
    <s v="Bon de commande"/>
    <m/>
    <s v="Envoyé"/>
    <x v="140"/>
    <x v="67"/>
    <d v="2024-02-19T00:00:00"/>
    <s v="300381"/>
    <s v="ENVASES IBERICA"/>
    <n v="726665.43729999999"/>
  </r>
  <r>
    <s v="Bon de commande"/>
    <m/>
    <s v="Envoyé"/>
    <x v="141"/>
    <x v="71"/>
    <d v="2024-02-23T00:00:00"/>
    <s v="300115"/>
    <s v="AUXILIAR CONSERVERA SA"/>
    <n v="9230.4519999999993"/>
  </r>
  <r>
    <s v="Bon de commande"/>
    <m/>
    <s v="Envoyé"/>
    <x v="142"/>
    <x v="82"/>
    <d v="2024-03-13T00:00:00"/>
    <s v="300356"/>
    <s v="MASSILY PORTUGAL"/>
    <n v="3291.2"/>
  </r>
  <r>
    <s v="Bon de commande"/>
    <m/>
    <s v="Envoyé"/>
    <x v="143"/>
    <x v="83"/>
    <d v="2024-03-26T00:00:00"/>
    <s v="300382"/>
    <s v="BA GLASS"/>
    <n v="625739.4"/>
  </r>
  <r>
    <s v="Bon de commande"/>
    <m/>
    <s v="Envoyé"/>
    <x v="144"/>
    <x v="84"/>
    <d v="2024-04-30T00:00:00"/>
    <s v="300220"/>
    <s v="ENVASES EUROPE"/>
    <n v="1094500"/>
  </r>
  <r>
    <s v="Bon de commande"/>
    <m/>
    <s v="Envoyé"/>
    <x v="145"/>
    <x v="85"/>
    <d v="2024-04-30T00:00:00"/>
    <s v="300220"/>
    <s v="ENVASES EUROPE"/>
    <n v="1144000"/>
  </r>
  <r>
    <s v="Bon de commande"/>
    <m/>
    <s v="Envoyé"/>
    <x v="146"/>
    <x v="7"/>
    <d v="2024-04-30T00:00:00"/>
    <s v="300356"/>
    <s v="MASSILY PORTUGAL"/>
    <n v="206844"/>
  </r>
  <r>
    <s v="Bon de commande"/>
    <m/>
    <s v="Envoyé"/>
    <x v="147"/>
    <x v="86"/>
    <d v="2024-04-30T00:00:00"/>
    <s v="300356"/>
    <s v="MASSILY PORTUGAL"/>
    <n v="197034.2"/>
  </r>
  <r>
    <s v="Bon de commande"/>
    <m/>
    <s v="Envoyé"/>
    <x v="148"/>
    <x v="70"/>
    <d v="2024-05-03T00:00:00"/>
    <s v="300220"/>
    <s v="ENVASES EUROPE"/>
    <n v="3834048.702"/>
  </r>
  <r>
    <s v="Bon de commande"/>
    <m/>
    <s v="Envoyé"/>
    <x v="149"/>
    <x v="87"/>
    <d v="2024-05-07T00:00:00"/>
    <s v="300115"/>
    <s v="AUXILIAR CONSERVERA SA"/>
    <n v="1089000"/>
  </r>
  <r>
    <s v="Bon de commande"/>
    <m/>
    <s v="Envoyé"/>
    <x v="150"/>
    <x v="88"/>
    <d v="2024-05-13T00:00:00"/>
    <s v="300220"/>
    <s v="ENVASES EUROPE"/>
    <n v="1187929.6000000001"/>
  </r>
  <r>
    <s v="Bon de commande"/>
    <m/>
    <s v="Envoyé"/>
    <x v="151"/>
    <x v="89"/>
    <d v="2024-05-20T00:00:00"/>
    <s v="300381"/>
    <s v="ENVASES IBERICA"/>
    <n v="1111000"/>
  </r>
  <r>
    <s v="Bon de commande"/>
    <m/>
    <s v="Envoyé"/>
    <x v="152"/>
    <x v="48"/>
    <d v="2024-05-27T00:00:00"/>
    <s v="300115"/>
    <s v="AUXILIAR CONSERVERA SA"/>
    <n v="2223332.1"/>
  </r>
  <r>
    <s v="Bon de commande"/>
    <m/>
    <s v="Envoyé"/>
    <x v="153"/>
    <x v="90"/>
    <d v="2024-05-27T00:00:00"/>
    <s v="300220"/>
    <s v="ENVASES EUROPE"/>
    <n v="502952.82400000002"/>
  </r>
  <r>
    <s v="Bon de commande"/>
    <m/>
    <s v="Envoyé"/>
    <x v="154"/>
    <x v="91"/>
    <d v="2024-05-28T00:00:00"/>
    <s v="300382"/>
    <s v="BA GLASS"/>
    <n v="171751.58"/>
  </r>
  <r>
    <s v="Bon de commande"/>
    <m/>
    <s v="Envoyé"/>
    <x v="155"/>
    <x v="92"/>
    <d v="2024-05-28T00:00:00"/>
    <s v="300382"/>
    <s v="BA GLASS"/>
    <n v="171751.58"/>
  </r>
  <r>
    <s v="Bon de commande"/>
    <m/>
    <s v="Envoyé"/>
    <x v="156"/>
    <x v="93"/>
    <d v="2024-05-28T00:00:00"/>
    <s v="300382"/>
    <s v="BA GLASS"/>
    <n v="171751.58"/>
  </r>
  <r>
    <s v="Bon de commande"/>
    <m/>
    <s v="Envoyé"/>
    <x v="157"/>
    <x v="94"/>
    <d v="2024-05-28T00:00:00"/>
    <s v="300382"/>
    <s v="BA GLASS"/>
    <n v="171751.58"/>
  </r>
  <r>
    <s v="Bon de commande"/>
    <m/>
    <s v="Envoyé"/>
    <x v="158"/>
    <x v="65"/>
    <d v="2024-05-30T00:00:00"/>
    <s v="300115"/>
    <s v="AUXILIAR CONSERVERA SA"/>
    <n v="1867800"/>
  </r>
  <r>
    <s v="Bon de commande"/>
    <m/>
    <s v="Envoyé"/>
    <x v="159"/>
    <x v="95"/>
    <d v="2024-06-04T00:00:00"/>
    <s v="300115"/>
    <s v="AUXILIAR CONSERVERA SA"/>
    <n v="4384.2150000000001"/>
  </r>
  <r>
    <s v="Bon de commande"/>
    <m/>
    <s v="Envoyé"/>
    <x v="160"/>
    <x v="96"/>
    <d v="2024-06-04T00:00:00"/>
    <s v="300115"/>
    <s v="AUXILIAR CONSERVERA SA"/>
    <n v="571160.93099999998"/>
  </r>
  <r>
    <s v="Bon de commande"/>
    <m/>
    <s v="Envoyé"/>
    <x v="161"/>
    <x v="12"/>
    <d v="2024-07-04T00:00:00"/>
    <s v="300115"/>
    <s v="AUXILIAR CONSERVERA SA"/>
    <n v="561937.95900000003"/>
  </r>
  <r>
    <s v="Bon de commande"/>
    <m/>
    <s v="Envoyé"/>
    <x v="162"/>
    <x v="97"/>
    <d v="2024-07-04T00:00:00"/>
    <s v="300220"/>
    <s v="ENVASES EUROPE"/>
    <n v="4488506.88"/>
  </r>
  <r>
    <s v="Bon de commande"/>
    <m/>
    <s v="Envoyé"/>
    <x v="163"/>
    <x v="98"/>
    <d v="2024-07-05T00:00:00"/>
    <s v="300115"/>
    <s v="AUXILIAR CONSERVERA SA"/>
    <n v="203686.56"/>
  </r>
  <r>
    <s v="Bon de commande"/>
    <m/>
    <s v="Envoyé"/>
    <x v="164"/>
    <x v="1"/>
    <d v="2024-07-15T00:00:00"/>
    <s v="300381"/>
    <s v="ENVASES IBERICA"/>
    <n v="1845950.2324999999"/>
  </r>
  <r>
    <s v="Bon de commande"/>
    <m/>
    <s v="Envoyé"/>
    <x v="165"/>
    <x v="41"/>
    <d v="2024-07-19T00:00:00"/>
    <s v="300381"/>
    <s v="ENVASES IBERICA"/>
    <n v="4708000"/>
  </r>
  <r>
    <s v="Bon de commande"/>
    <m/>
    <s v="Envoyé"/>
    <x v="166"/>
    <x v="99"/>
    <d v="2024-07-24T00:00:00"/>
    <s v="300381"/>
    <s v="ENVASES IBERICA"/>
    <n v="1047678.72"/>
  </r>
  <r>
    <s v="Bon de commande"/>
    <m/>
    <s v="Envoyé"/>
    <x v="167"/>
    <x v="100"/>
    <d v="2024-08-01T00:00:00"/>
    <s v="300381"/>
    <s v="ENVASES IBERICA"/>
    <n v="1580897.692"/>
  </r>
  <r>
    <s v="Bon de commande"/>
    <m/>
    <s v="Envoyé"/>
    <x v="168"/>
    <x v="7"/>
    <d v="2024-08-02T00:00:00"/>
    <s v="300115"/>
    <s v="AUXILIAR CONSERVERA SA"/>
    <n v="640179.54"/>
  </r>
  <r>
    <s v="Bon de commande"/>
    <m/>
    <s v="Envoyé"/>
    <x v="169"/>
    <x v="101"/>
    <d v="2024-09-11T00:00:00"/>
    <s v="300220"/>
    <s v="ENVASES EUROPE"/>
    <n v="5500000"/>
  </r>
  <r>
    <s v="Bon de commande"/>
    <m/>
    <s v="Envoyé"/>
    <x v="170"/>
    <x v="102"/>
    <d v="2024-09-11T00:00:00"/>
    <s v="300356"/>
    <s v="MASSILY PORTUGAL"/>
    <n v="15465.89"/>
  </r>
  <r>
    <s v="Bon de commande"/>
    <m/>
    <s v="Envoyé"/>
    <x v="171"/>
    <x v="70"/>
    <d v="2024-10-02T00:00:00"/>
    <s v="300115"/>
    <s v="AUXILIAR CONSERVERA SA"/>
    <n v="748440"/>
  </r>
  <r>
    <s v="Bon de commande"/>
    <m/>
    <s v="Envoyé"/>
    <x v="172"/>
    <x v="103"/>
    <d v="2024-10-02T00:00:00"/>
    <s v="300381"/>
    <s v="ENVASES IBERICA"/>
    <n v="320973.4363"/>
  </r>
  <r>
    <s v="Bon de commande"/>
    <m/>
    <s v="Envoyé"/>
    <x v="173"/>
    <x v="12"/>
    <d v="2024-10-11T00:00:00"/>
    <s v="300115"/>
    <s v="AUXILIAR CONSERVERA SA"/>
    <n v="915204.07"/>
  </r>
  <r>
    <s v="Bon de commande"/>
    <m/>
    <s v="Envoyé"/>
    <x v="174"/>
    <x v="104"/>
    <d v="2024-10-17T00:00:00"/>
    <s v="300115"/>
    <s v="AUXILIAR CONSERVERA SA"/>
    <n v="163713.44"/>
  </r>
  <r>
    <s v="Bon de commande"/>
    <m/>
    <s v="Envoyé"/>
    <x v="175"/>
    <x v="95"/>
    <d v="2024-11-12T00:00:00"/>
    <s v="300115"/>
    <s v="AUXILIAR CONSERVERA SA"/>
    <n v="9508.9500000000007"/>
  </r>
  <r>
    <s v="Bon de commande"/>
    <m/>
    <s v="Envoyé"/>
    <x v="176"/>
    <x v="12"/>
    <d v="2024-11-19T00:00:00"/>
    <s v="300115"/>
    <s v="AUXILIAR CONSERVERA SA"/>
    <n v="485304.6924"/>
  </r>
  <r>
    <s v="Bon de commande"/>
    <m/>
    <s v="Envoyé"/>
    <x v="177"/>
    <x v="105"/>
    <d v="2024-11-27T00:00:00"/>
    <s v="300115"/>
    <s v="AUXILIAR CONSERVERA SA"/>
    <n v="8800"/>
  </r>
  <r>
    <s v="Bon de commande"/>
    <m/>
    <s v="Envoyé"/>
    <x v="178"/>
    <x v="106"/>
    <d v="2024-11-27T00:00:00"/>
    <s v="300115"/>
    <s v="AUXILIAR CONSERVERA SA"/>
    <n v="118311.6"/>
  </r>
  <r>
    <s v="Bon de commande"/>
    <m/>
    <s v="Envoyé"/>
    <x v="179"/>
    <x v="107"/>
    <d v="2024-12-02T00:00:00"/>
    <s v="300115"/>
    <s v="AUXILIAR CONSERVERA SA"/>
    <n v="4627951.449"/>
  </r>
  <r>
    <s v="Bon de commande"/>
    <m/>
    <s v="Envoyé"/>
    <x v="180"/>
    <x v="105"/>
    <d v="2024-12-10T00:00:00"/>
    <s v="300115"/>
    <s v="AUXILIAR CONSERVERA SA"/>
    <n v="0"/>
  </r>
  <r>
    <s v="Bon de commande"/>
    <m/>
    <s v="Envoyé"/>
    <x v="181"/>
    <x v="12"/>
    <d v="2024-12-18T00:00:00"/>
    <s v="300381"/>
    <s v="ENVASES IBERICA"/>
    <n v="68028.104099999997"/>
  </r>
  <r>
    <s v="Bon de commande"/>
    <m/>
    <s v="Envoyé"/>
    <x v="182"/>
    <x v="41"/>
    <d v="2025-01-09T00:00:00"/>
    <s v="300381"/>
    <s v="ENVASES IBERICA"/>
    <n v="2119291.4270000001"/>
  </r>
  <r>
    <s v="Bon de commande"/>
    <m/>
    <s v="Envoyé"/>
    <x v="183"/>
    <x v="108"/>
    <d v="2025-01-15T00:00:00"/>
    <s v="300356"/>
    <s v="MASSILY PORTUGAL"/>
    <n v="7584.28"/>
  </r>
  <r>
    <s v="Bon de commande"/>
    <m/>
    <s v="Envoyé"/>
    <x v="184"/>
    <x v="48"/>
    <d v="2025-02-18T00:00:00"/>
    <s v="300115"/>
    <s v="AUXILIAR CONSERVERA SA"/>
    <n v="64643.040000000001"/>
  </r>
  <r>
    <s v="Bon de commande"/>
    <m/>
    <s v="Envoyé"/>
    <x v="185"/>
    <x v="103"/>
    <d v="2025-02-24T00:00:00"/>
    <s v="300381"/>
    <s v="ENVASES IBERICA"/>
    <n v="472557.3688"/>
  </r>
  <r>
    <s v="Bon de commande"/>
    <m/>
    <s v="Envoyé"/>
    <x v="186"/>
    <x v="109"/>
    <d v="2025-03-04T00:00:00"/>
    <s v="300220"/>
    <s v="ENVASES EUROPE"/>
    <n v="786254.96400000004"/>
  </r>
  <r>
    <s v="Bon de commande"/>
    <m/>
    <s v="Envoyé"/>
    <x v="187"/>
    <x v="110"/>
    <d v="2025-03-21T00:00:00"/>
    <s v="300220"/>
    <s v="ENVASES EUROPE"/>
    <n v="1745.1279999999999"/>
  </r>
  <r>
    <s v="Bon de commande"/>
    <m/>
    <s v="Envoyé"/>
    <x v="188"/>
    <x v="111"/>
    <d v="2025-03-27T00:00:00"/>
    <s v="300356"/>
    <s v="MASSILY PORTUGAL"/>
    <n v="191219.6"/>
  </r>
  <r>
    <s v="Bon de commande"/>
    <m/>
    <s v="Envoyé"/>
    <x v="189"/>
    <x v="41"/>
    <d v="2025-04-09T00:00:00"/>
    <s v="300381"/>
    <s v="ENVASES IBERICA"/>
    <n v="49406.038"/>
  </r>
  <r>
    <s v="Bon de commande"/>
    <m/>
    <s v="Envoyé"/>
    <x v="190"/>
    <x v="112"/>
    <d v="2025-04-15T00:00:00"/>
    <s v="300220"/>
    <s v="ENVASES EUROPE"/>
    <n v="224572.65599999999"/>
  </r>
  <r>
    <s v="Bon de commande"/>
    <m/>
    <s v="Envoyé"/>
    <x v="191"/>
    <x v="1"/>
    <d v="2025-04-17T00:00:00"/>
    <s v="300381"/>
    <s v="ENVASES IBERICA"/>
    <n v="2799363.6660000002"/>
  </r>
  <r>
    <s v="Bon de commande"/>
    <m/>
    <s v="Envoyé"/>
    <x v="192"/>
    <x v="7"/>
    <d v="2025-04-24T00:00:00"/>
    <s v="300154"/>
    <s v="VMM"/>
    <n v="223566.72"/>
  </r>
  <r>
    <s v="Bon de commande"/>
    <m/>
    <s v="Envoyé"/>
    <x v="193"/>
    <x v="113"/>
    <d v="2025-04-28T00:00:00"/>
    <s v="300220"/>
    <s v="ENVASES EUROPE"/>
    <n v="805.42"/>
  </r>
  <r>
    <s v="Bon de commande"/>
    <m/>
    <s v="Envoyé"/>
    <x v="194"/>
    <x v="114"/>
    <d v="2025-05-08T00:00:00"/>
    <s v="300220"/>
    <s v="ENVASES EUROPE"/>
    <n v="568569.40800000005"/>
  </r>
  <r>
    <s v="Bon de commande"/>
    <m/>
    <s v="Envoyé"/>
    <x v="195"/>
    <x v="115"/>
    <d v="2025-05-14T00:00:00"/>
    <s v="300220"/>
    <s v="ENVASES EUROPE"/>
    <n v="1329900"/>
  </r>
  <r>
    <s v="Bon de commande"/>
    <m/>
    <s v="Envoyé"/>
    <x v="196"/>
    <x v="116"/>
    <d v="2025-05-14T00:00:00"/>
    <s v="300220"/>
    <s v="ENVASES EUROPE"/>
    <n v="4672225.3600000003"/>
  </r>
  <r>
    <s v="Bon de commande"/>
    <m/>
    <s v="Envoyé"/>
    <x v="197"/>
    <x v="117"/>
    <d v="2025-05-14T00:00:00"/>
    <s v="300381"/>
    <s v="ENVASES IBERICA"/>
    <n v="1815000"/>
  </r>
  <r>
    <s v="Bon de commande"/>
    <m/>
    <s v="Envoyé"/>
    <x v="198"/>
    <x v="7"/>
    <d v="2025-05-19T00:00:00"/>
    <s v="300154"/>
    <s v="VMM"/>
    <n v="335350.08"/>
  </r>
  <r>
    <s v="Bon de commande"/>
    <m/>
    <s v="Envoyé"/>
    <x v="199"/>
    <x v="83"/>
    <d v="2025-06-02T00:00:00"/>
    <s v="300382"/>
    <s v="BA GLASS"/>
    <n v="153847.74239999999"/>
  </r>
  <r>
    <s v="Bon de commande"/>
    <m/>
    <s v="Envoyé"/>
    <x v="200"/>
    <x v="118"/>
    <d v="2025-06-04T00:00:00"/>
    <s v="300115"/>
    <s v="AUXILIAR CONSERVERA SA"/>
    <n v="11654.775"/>
  </r>
  <r>
    <s v="Bon de commande"/>
    <m/>
    <s v="Envoyé"/>
    <x v="201"/>
    <x v="41"/>
    <d v="2025-06-11T00:00:00"/>
    <s v="300381"/>
    <s v="ENVASES IBERICA"/>
    <n v="29627.576000000001"/>
  </r>
  <r>
    <s v="Bon de commande"/>
    <m/>
    <s v="Envoyé"/>
    <x v="202"/>
    <x v="119"/>
    <d v="2025-06-18T00:00:00"/>
    <s v="300115"/>
    <s v="AUXILIAR CONSERVERA SA"/>
    <n v="2103309.1683999998"/>
  </r>
  <r>
    <s v="Bon de commande"/>
    <m/>
    <s v="Envoyé"/>
    <x v="203"/>
    <x v="120"/>
    <d v="2025-06-20T00:00:00"/>
    <s v="300381"/>
    <s v="ENVASES IBERICA"/>
    <n v="1783202.52"/>
  </r>
  <r>
    <s v="Bon de commande"/>
    <m/>
    <s v="Envoyé"/>
    <x v="204"/>
    <x v="65"/>
    <d v="2025-06-23T00:00:00"/>
    <s v="300115"/>
    <s v="AUXILIAR CONSERVERA SA"/>
    <n v="3665028.4065999999"/>
  </r>
  <r>
    <s v="Bon de commande"/>
    <m/>
    <s v="Envoyé"/>
    <x v="205"/>
    <x v="121"/>
    <d v="2025-07-09T00:00:00"/>
    <s v="300115"/>
    <s v="AUXILIAR CONSERVERA SA"/>
    <n v="756784.49"/>
  </r>
  <r>
    <s v="Bon de commande"/>
    <m/>
    <s v="Envoyé"/>
    <x v="206"/>
    <x v="122"/>
    <d v="2025-07-10T00:00:00"/>
    <s v="300220"/>
    <s v="ENVASES EUROPE"/>
    <n v="536800"/>
  </r>
  <r>
    <s v="Bon de commande"/>
    <m/>
    <s v="Envoyé"/>
    <x v="207"/>
    <x v="123"/>
    <d v="2025-07-19T00:00:00"/>
    <s v="300220"/>
    <s v="ENVASES EUROPE"/>
    <n v="3152131.7729000002"/>
  </r>
  <r>
    <s v="Bon de commande"/>
    <m/>
    <s v="Envoyé"/>
    <x v="208"/>
    <x v="124"/>
    <d v="2025-07-28T00:00:00"/>
    <s v="300220"/>
    <s v="ENVASES EUROPE"/>
    <n v="431457.4"/>
  </r>
  <r>
    <s v="Bon de commande"/>
    <m/>
    <s v="Envoyé"/>
    <x v="209"/>
    <x v="44"/>
    <d v="2025-08-08T00:00:00"/>
    <s v="300115"/>
    <s v="AUXILIAR CONSERVERA SA"/>
    <n v="120114.32399999999"/>
  </r>
  <r>
    <s v="Bon de commande"/>
    <m/>
    <s v="Envoyé"/>
    <x v="210"/>
    <x v="120"/>
    <d v="2025-08-08T00:00:00"/>
    <s v="300381"/>
    <s v="ENVASES IBERICA"/>
    <n v="941600"/>
  </r>
  <r>
    <s v="Bon de commande"/>
    <m/>
    <s v="Envoyé"/>
    <x v="211"/>
    <x v="125"/>
    <d v="2025-08-15T00:00:00"/>
    <s v="300381"/>
    <s v="ENVASES IBERICA"/>
    <n v="1930014.1006"/>
  </r>
  <r>
    <s v="Bon de commande"/>
    <m/>
    <s v="Envoyé"/>
    <x v="212"/>
    <x v="107"/>
    <d v="2025-08-18T00:00:00"/>
    <s v="300220"/>
    <s v="ENVASES EUROPE"/>
    <n v="1045000"/>
  </r>
  <r>
    <s v="Bon de commande"/>
    <m/>
    <s v="Envoyé"/>
    <x v="213"/>
    <x v="120"/>
    <d v="2025-08-19T00:00:00"/>
    <s v="300381"/>
    <s v="ENVASES IBERICA"/>
    <n v="72341.275599999994"/>
  </r>
  <r>
    <s v="Bon de commande"/>
    <m/>
    <s v="Envoyé"/>
    <x v="214"/>
    <x v="85"/>
    <d v="2025-09-09T00:00:00"/>
    <s v="300220"/>
    <s v="ENVASES EUROPE"/>
    <n v="1048068.12"/>
  </r>
  <r>
    <s v="Bon de commande"/>
    <m/>
    <s v="Envoyé"/>
    <x v="215"/>
    <x v="126"/>
    <d v="2025-09-16T00:00:00"/>
    <s v="300381"/>
    <s v="ENVASES IBERICA"/>
    <n v="333907.20000000001"/>
  </r>
  <r>
    <s v="Bon de commande"/>
    <m/>
    <s v="Envoyé"/>
    <x v="216"/>
    <x v="98"/>
    <d v="2025-09-19T00:00:00"/>
    <s v="300115"/>
    <s v="AUXILIAR CONSERVERA SA"/>
    <n v="130517.01300000001"/>
  </r>
  <r>
    <s v="Bon de commande"/>
    <m/>
    <s v="Envoyé"/>
    <x v="217"/>
    <x v="127"/>
    <d v="2025-09-22T00:00:00"/>
    <s v="300115"/>
    <s v="AUXILIAR CONSERVERA SA"/>
    <n v="1067220"/>
  </r>
  <r>
    <s v="Bon de commande"/>
    <m/>
    <s v="Envoyé"/>
    <x v="218"/>
    <x v="128"/>
    <d v="2025-10-06T00:00:00"/>
    <s v="300381"/>
    <s v="ENVASES IBERICA"/>
    <n v="899800"/>
  </r>
  <r>
    <s v="Bon de commande"/>
    <m/>
    <s v="Envoyé"/>
    <x v="219"/>
    <x v="41"/>
    <d v="2025-10-13T00:00:00"/>
    <s v="300381"/>
    <s v="ENVASES IBERICA"/>
    <n v="183300.579"/>
  </r>
  <r>
    <s v="Bon de commande"/>
    <m/>
    <s v="Envoyé"/>
    <x v="220"/>
    <x v="107"/>
    <d v="2025-11-04T00:00:00"/>
    <s v="300220"/>
    <s v="ENVASES EUROPE"/>
    <n v="158721.37710000001"/>
  </r>
  <r>
    <s v="Bon de commande"/>
    <m/>
    <s v="Envoyé"/>
    <x v="221"/>
    <x v="41"/>
    <d v="2025-11-13T00:00:00"/>
    <s v="300381"/>
    <s v="ENVASES IBERICA"/>
    <n v="297330"/>
  </r>
  <r>
    <s v="Bon de commande"/>
    <m/>
    <s v="Envoyé"/>
    <x v="222"/>
    <x v="129"/>
    <d v="2025-11-26T00:00:00"/>
    <s v="300064"/>
    <s v="SONOCO Métal Packaging Maroc"/>
    <n v="10128"/>
  </r>
  <r>
    <s v="Bon de commande"/>
    <m/>
    <s v="Envoyé"/>
    <x v="223"/>
    <x v="125"/>
    <d v="2025-11-26T00:00:00"/>
    <s v="300381"/>
    <s v="ENVASES IBERICA"/>
    <n v="887558.1"/>
  </r>
  <r>
    <s v="Bon de commande"/>
    <m/>
    <s v="Envoyé"/>
    <x v="224"/>
    <x v="41"/>
    <d v="2026-01-06T00:00:00"/>
    <s v="300381"/>
    <s v="ENVASES IBERICA"/>
    <n v="1777809.4861999999"/>
  </r>
  <r>
    <s v="Bon de commande"/>
    <m/>
    <s v="Envoyé"/>
    <x v="225"/>
    <x v="41"/>
    <d v="2026-01-29T00:00:00"/>
    <s v="300381"/>
    <s v="ENVASES IBERICA"/>
    <n v="173491.7635"/>
  </r>
  <r>
    <s v="Bon de commande"/>
    <m/>
    <s v="Envoyé"/>
    <x v="226"/>
    <x v="107"/>
    <d v="2026-02-25T00:00:00"/>
    <s v="300115"/>
    <s v="AUXILIAR CONSERVERA SA"/>
    <n v="536310.027"/>
  </r>
  <r>
    <s v="Bon de commande"/>
    <m/>
    <s v="Envoyé"/>
    <x v="227"/>
    <x v="130"/>
    <d v="2026-03-04T00:00:00"/>
    <s v="300381"/>
    <s v="ENVASES IBERICA"/>
    <n v="3457484.7999999998"/>
  </r>
  <r>
    <s v="Bon de commande"/>
    <m/>
    <s v="Envoyé"/>
    <x v="228"/>
    <x v="131"/>
    <d v="2026-03-09T00:00:00"/>
    <s v="300133"/>
    <s v="OP BOX "/>
    <n v="26395.599999999999"/>
  </r>
  <r>
    <s v="Bon de commande"/>
    <m/>
    <s v="Envoyé"/>
    <x v="229"/>
    <x v="55"/>
    <d v="2026-03-23T00:00:00"/>
    <s v="300115"/>
    <s v="AUXILIAR CONSERVERA SA"/>
    <n v="367400"/>
  </r>
  <r>
    <s v="Bon de commande"/>
    <m/>
    <s v="Envoyé"/>
    <x v="230"/>
    <x v="132"/>
    <d v="2026-03-30T00:00:00"/>
    <s v="300133"/>
    <s v="OP BOX "/>
    <n v="202045.6"/>
  </r>
  <r>
    <s v="Bon de commande"/>
    <m/>
    <s v="Envoyé"/>
    <x v="231"/>
    <x v="133"/>
    <d v="2026-03-30T00:00:00"/>
    <s v="300220"/>
    <s v="ENVASES EUROPE"/>
    <n v="3366000"/>
  </r>
  <r>
    <s v="Bon de commande"/>
    <m/>
    <s v="Envoyé"/>
    <x v="232"/>
    <x v="134"/>
    <d v="2026-03-30T00:00:00"/>
    <s v="300220"/>
    <s v="ENVASES EUROPE"/>
    <n v="1679700"/>
  </r>
  <r>
    <s v="Bon de commande"/>
    <m/>
    <s v="Envoyé"/>
    <x v="233"/>
    <x v="135"/>
    <d v="2026-03-30T00:00:00"/>
    <s v="300381"/>
    <s v="ENVASES IBERICA"/>
    <n v="1567500"/>
  </r>
  <r>
    <s v="Bon de commande"/>
    <m/>
    <s v="Envoyé"/>
    <x v="234"/>
    <x v="136"/>
    <d v="2026-04-07T00:00:00"/>
    <s v="300064"/>
    <s v="SONOCO Métal Packaging Maroc"/>
    <n v="5"/>
  </r>
  <r>
    <s v="Bon de commande"/>
    <m/>
    <s v="Envoyé"/>
    <x v="235"/>
    <x v="137"/>
    <d v="2026-04-07T00:00:00"/>
    <s v="300220"/>
    <s v="ENVASES EUROPE"/>
    <n v="95000"/>
  </r>
  <r>
    <s v="Bon de commande"/>
    <m/>
    <s v="Envoyé"/>
    <x v="236"/>
    <x v="138"/>
    <d v="2026-04-13T00:00:00"/>
    <s v="300064"/>
    <s v="SONOCO Métal Packaging Maroc"/>
    <n v="170235.51999999999"/>
  </r>
  <r>
    <s v="Bon de commande"/>
    <m/>
    <s v="Envoyé"/>
    <x v="237"/>
    <x v="139"/>
    <d v="2026-04-23T00:00:00"/>
    <s v="300064"/>
    <s v="SONOCO Métal Packaging Maroc"/>
    <n v="196145.04"/>
  </r>
  <r>
    <s v="Bon de commande"/>
    <m/>
    <s v="Envoyé"/>
    <x v="238"/>
    <x v="140"/>
    <d v="2026-04-24T00:00:00"/>
    <s v="300381"/>
    <s v="ENVASES IBERICA"/>
    <n v="1221990.088"/>
  </r>
  <r>
    <s v="Bon de commande"/>
    <m/>
    <s v="Envoyé"/>
    <x v="239"/>
    <x v="141"/>
    <d v="2026-04-27T00:00:00"/>
    <s v="300133"/>
    <s v="OP BOX "/>
    <n v="38500"/>
  </r>
  <r>
    <s v="Bon de commande"/>
    <m/>
    <s v="Envoyé"/>
    <x v="240"/>
    <x v="85"/>
    <d v="2026-04-27T00:00:00"/>
    <s v="300220"/>
    <s v="ENVASES EUROPE"/>
    <n v="6050000"/>
  </r>
  <r>
    <s v="Bon de commande"/>
    <m/>
    <s v="Envoyé"/>
    <x v="241"/>
    <x v="142"/>
    <d v="2026-04-28T00:00:00"/>
    <s v="300115"/>
    <s v="AUXILIAR CONSERVERA SA"/>
    <n v="5830000"/>
  </r>
  <r>
    <s v="Bon de commande"/>
    <m/>
    <s v="Envoyé"/>
    <x v="242"/>
    <x v="68"/>
    <d v="2026-05-06T00:00:00"/>
    <s v="300080"/>
    <s v="MASSILLY"/>
    <n v="1200000"/>
  </r>
  <r>
    <s v="Bon de commande"/>
    <m/>
    <s v="Envoyé"/>
    <x v="243"/>
    <x v="143"/>
    <d v="2026-05-06T00:00:00"/>
    <s v="300133"/>
    <s v="OP BOX "/>
    <n v="58521.599999999999"/>
  </r>
  <r>
    <s v="Bon de commande"/>
    <m/>
    <s v="Envoyé"/>
    <x v="244"/>
    <x v="144"/>
    <d v="2026-05-11T00:00:00"/>
    <s v="300115"/>
    <s v="AUXILIAR CONSERVERA SA"/>
    <n v="214984"/>
  </r>
  <r>
    <s v="Bon de commande"/>
    <m/>
    <s v="Envoyé"/>
    <x v="245"/>
    <x v="145"/>
    <d v="2026-05-11T00:00:00"/>
    <s v="300588"/>
    <s v="SEVAM"/>
    <n v="1.0072000000000001"/>
  </r>
  <r>
    <s v="Bon de commande"/>
    <m/>
    <s v="Envoyé"/>
    <x v="246"/>
    <x v="143"/>
    <d v="2026-05-13T00:00:00"/>
    <s v="300133"/>
    <s v="OP BOX "/>
    <n v="73382.399999999994"/>
  </r>
  <r>
    <s v="Bon de commande"/>
    <m/>
    <s v="Envoyé"/>
    <x v="247"/>
    <x v="146"/>
    <d v="2026-06-04T00:00:00"/>
    <s v="300115"/>
    <s v="AUXILIAR CONSERVERA SA"/>
    <n v="4652.2475999999997"/>
  </r>
  <r>
    <s v="Bon de commande"/>
    <m/>
    <s v="Envoyé"/>
    <x v="248"/>
    <x v="147"/>
    <d v="2026-06-04T00:00:00"/>
    <s v="300133"/>
    <s v="OP BOX "/>
    <n v="83584.5"/>
  </r>
  <r>
    <m/>
    <m/>
    <m/>
    <x v="249"/>
    <x v="7"/>
    <m/>
    <m/>
    <m/>
    <m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Bon de commande"/>
    <x v="0"/>
    <s v="Envoyé"/>
    <x v="0"/>
    <s v="PILJAR 100ML"/>
    <d v="2020-01-21T00:00:00"/>
    <s v="300081"/>
    <s v="JIL EMBALLAGES"/>
    <n v="89280"/>
  </r>
  <r>
    <s v="Bon de commande"/>
    <x v="0"/>
    <s v="Envoyé"/>
    <x v="1"/>
    <s v="SILVER FOOD"/>
    <d v="2020-04-24T00:00:00"/>
    <s v="300115"/>
    <s v="AUXILIAR CONSERVERA SA"/>
    <n v="38959.153200000001"/>
  </r>
  <r>
    <s v="Bon de commande"/>
    <x v="0"/>
    <s v="Envoyé"/>
    <x v="2"/>
    <s v="4L OLINIA"/>
    <d v="2020-04-25T00:00:00"/>
    <s v="300115"/>
    <s v="AUXILIAR CONSERVERA SA"/>
    <n v="14941.789500000001"/>
  </r>
  <r>
    <s v="Bon de commande"/>
    <x v="0"/>
    <s v="Envoyé"/>
    <x v="3"/>
    <s v="YAHYA 800G"/>
    <d v="2020-05-05T00:00:00"/>
    <s v="300115"/>
    <s v="AUXILIAR CONSERVERA SA"/>
    <n v="39493.684999999998"/>
  </r>
  <r>
    <s v="Bon de commande"/>
    <x v="0"/>
    <s v="Envoyé"/>
    <x v="4"/>
    <s v="TAMIMA 400G"/>
    <d v="2020-05-09T00:00:00"/>
    <s v="300115"/>
    <s v="AUXILIAR CONSERVERA SA"/>
    <n v="27368.871200000001"/>
  </r>
  <r>
    <s v="Bon de commande"/>
    <x v="0"/>
    <s v="Envoyé"/>
    <x v="5"/>
    <s v="LES BIDONS"/>
    <d v="2020-05-12T00:00:00"/>
    <s v="300115"/>
    <s v="AUXILIAR CONSERVERA SA"/>
    <n v="4752"/>
  </r>
  <r>
    <s v="Bon de commande"/>
    <x v="0"/>
    <s v="Envoyé"/>
    <x v="6"/>
    <s v="RO400 TAMIMA"/>
    <d v="2020-05-18T00:00:00"/>
    <s v="300115"/>
    <s v="AUXILIAR CONSERVERA SA"/>
    <n v="105655"/>
  </r>
  <r>
    <s v="Bon de commande"/>
    <x v="0"/>
    <s v="Envoyé"/>
    <x v="7"/>
    <m/>
    <d v="2020-05-18T00:00:00"/>
    <s v="300115"/>
    <s v="AUXILIAR CONSERVERA SA"/>
    <n v="386100"/>
  </r>
  <r>
    <s v="Bon de commande"/>
    <x v="0"/>
    <s v="Envoyé"/>
    <x v="8"/>
    <s v="5/1 ABR ET 5/1 FR"/>
    <d v="2020-05-21T00:00:00"/>
    <s v="300115"/>
    <s v="AUXILIAR CONSERVERA SA"/>
    <n v="91193.337400000004"/>
  </r>
  <r>
    <s v="Bon de commande"/>
    <x v="0"/>
    <s v="Envoyé"/>
    <x v="9"/>
    <s v="MFI"/>
    <d v="2020-05-21T00:00:00"/>
    <s v="300115"/>
    <s v="AUXILIAR CONSERVERA SA"/>
    <n v="158664"/>
  </r>
  <r>
    <s v="Bon de commande"/>
    <x v="0"/>
    <s v="Envoyé"/>
    <x v="10"/>
    <d v="2026-01-05T00:00:00"/>
    <d v="2020-06-12T00:00:00"/>
    <s v="300115"/>
    <s v="AUXILIAR CONSERVERA SA"/>
    <n v="85358.592000000004"/>
  </r>
  <r>
    <s v="Bon de commande"/>
    <x v="0"/>
    <s v="Envoyé"/>
    <x v="11"/>
    <s v="MOLETTES"/>
    <d v="2020-06-22T00:00:00"/>
    <s v="300302"/>
    <s v="SOMME MAROC"/>
    <n v="6300"/>
  </r>
  <r>
    <s v="Bon de commande"/>
    <x v="0"/>
    <s v="Envoyé"/>
    <x v="12"/>
    <s v="YAHYA 800G"/>
    <d v="2020-06-24T00:00:00"/>
    <s v="300115"/>
    <s v="AUXILIAR CONSERVERA SA"/>
    <n v="49335.752399999998"/>
  </r>
  <r>
    <s v="Bon de commande"/>
    <x v="0"/>
    <s v="Envoyé"/>
    <x v="13"/>
    <s v="JIL PACK A"/>
    <d v="2020-07-02T00:00:00"/>
    <s v="300115"/>
    <s v="AUXILIAR CONSERVERA SA"/>
    <n v="405107.40600000002"/>
  </r>
  <r>
    <s v="Bon de commande"/>
    <x v="0"/>
    <s v="Envoyé"/>
    <x v="14"/>
    <s v="JIL PACK"/>
    <d v="2020-07-08T00:00:00"/>
    <s v="300115"/>
    <s v="AUXILIAR CONSERVERA SA"/>
    <n v="634800.44099999999"/>
  </r>
  <r>
    <s v="Bon de commande"/>
    <x v="0"/>
    <s v="Envoyé"/>
    <x v="15"/>
    <s v="JIL PACK A"/>
    <d v="2020-07-23T00:00:00"/>
    <s v="300115"/>
    <s v="AUXILIAR CONSERVERA SA"/>
    <n v="3091330.1275999998"/>
  </r>
  <r>
    <s v="Bon de commande"/>
    <x v="0"/>
    <s v="Envoyé"/>
    <x v="16"/>
    <s v="4/4 ZEMZAMI"/>
    <d v="2020-07-24T00:00:00"/>
    <s v="300115"/>
    <s v="AUXILIAR CONSERVERA SA"/>
    <n v="16414.930400000001"/>
  </r>
  <r>
    <s v="Bon de commande"/>
    <x v="0"/>
    <s v="Envoyé"/>
    <x v="17"/>
    <s v="RO80PETIT PECH"/>
    <d v="2020-08-28T00:00:00"/>
    <s v="300115"/>
    <s v="AUXILIAR CONSERVERA SA"/>
    <n v="74250"/>
  </r>
  <r>
    <s v="Bon de commande"/>
    <x v="0"/>
    <s v="Envoyé"/>
    <x v="18"/>
    <s v="JIL PACK A"/>
    <d v="2020-09-02T00:00:00"/>
    <s v="300115"/>
    <s v="AUXILIAR CONSERVERA SA"/>
    <n v="17183.832600000002"/>
  </r>
  <r>
    <s v="Bon de commande"/>
    <x v="0"/>
    <s v="Envoyé"/>
    <x v="19"/>
    <s v="10L RECT"/>
    <d v="2020-09-17T00:00:00"/>
    <s v="300115"/>
    <s v="AUXILIAR CONSERVERA SA"/>
    <n v="10175"/>
  </r>
  <r>
    <s v="Bon de commande"/>
    <x v="0"/>
    <s v="Envoyé"/>
    <x v="20"/>
    <s v="TO 58"/>
    <d v="2020-10-06T00:00:00"/>
    <s v="300081"/>
    <s v="JIL EMBALLAGES"/>
    <n v="106750"/>
  </r>
  <r>
    <s v="Bon de commande"/>
    <x v="0"/>
    <s v="Envoyé"/>
    <x v="21"/>
    <s v="JIL PACK"/>
    <d v="2020-10-13T00:00:00"/>
    <s v="300115"/>
    <s v="AUXILIAR CONSERVERA SA"/>
    <n v="100208.317"/>
  </r>
  <r>
    <s v="Bon de commande"/>
    <x v="0"/>
    <s v="Envoyé"/>
    <x v="22"/>
    <s v="QUALIAGRO"/>
    <d v="2020-10-13T00:00:00"/>
    <s v="300115"/>
    <s v="AUXILIAR CONSERVERA SA"/>
    <n v="70547.399999999994"/>
  </r>
  <r>
    <s v="Bon de commande"/>
    <x v="0"/>
    <s v="Envoyé"/>
    <x v="23"/>
    <s v="SILVER FOOD"/>
    <d v="2020-10-14T00:00:00"/>
    <s v="300115"/>
    <s v="AUXILIAR CONSERVERA SA"/>
    <n v="1207324.6680000001"/>
  </r>
  <r>
    <s v="Bon de commande"/>
    <x v="0"/>
    <s v="Envoyé"/>
    <x v="24"/>
    <s v="QUALIAGRO*2*"/>
    <d v="2020-10-17T00:00:00"/>
    <s v="300115"/>
    <s v="AUXILIAR CONSERVERA SA"/>
    <n v="2200"/>
  </r>
  <r>
    <s v="Bon de commande"/>
    <x v="0"/>
    <s v="Envoyé"/>
    <x v="25"/>
    <s v="PAPIER CRAFT"/>
    <d v="2020-10-23T00:00:00"/>
    <s v="300076"/>
    <s v="SOCIETE CENTRALE D'EMBALLAGES"/>
    <n v="3000"/>
  </r>
  <r>
    <s v="Bon de commande"/>
    <x v="0"/>
    <s v="Envoyé"/>
    <x v="26"/>
    <s v="JIL PACK"/>
    <d v="2020-11-02T00:00:00"/>
    <s v="300115"/>
    <s v="AUXILIAR CONSERVERA SA"/>
    <n v="417704.1"/>
  </r>
  <r>
    <s v="Bon de commande"/>
    <x v="0"/>
    <s v="Envoyé"/>
    <x v="27"/>
    <s v="5/1 ABR ET 5/1 FR"/>
    <d v="2020-11-05T00:00:00"/>
    <s v="300115"/>
    <s v="AUXILIAR CONSERVERA SA"/>
    <n v="198659.0221"/>
  </r>
  <r>
    <s v="Bon de commande"/>
    <x v="0"/>
    <s v="Envoyé"/>
    <x v="28"/>
    <s v="JIL PACK"/>
    <d v="2020-11-09T00:00:00"/>
    <s v="300115"/>
    <s v="AUXILIAR CONSERVERA SA"/>
    <n v="36301.65"/>
  </r>
  <r>
    <s v="Bon de commande"/>
    <x v="0"/>
    <s v="Envoyé"/>
    <x v="29"/>
    <s v="MFI BPANI"/>
    <d v="2020-11-13T00:00:00"/>
    <s v="300115"/>
    <s v="AUXILIAR CONSERVERA SA"/>
    <n v="434138.56199999998"/>
  </r>
  <r>
    <s v="Bon de commande"/>
    <x v="0"/>
    <s v="Envoyé"/>
    <x v="30"/>
    <s v="YAHYA AL FIR"/>
    <d v="2020-11-19T00:00:00"/>
    <s v="300115"/>
    <s v="AUXILIAR CONSERVERA SA"/>
    <n v="8409.3768"/>
  </r>
  <r>
    <s v="Bon de commande"/>
    <x v="0"/>
    <s v="Envoyé"/>
    <x v="31"/>
    <s v="JIL PACK A"/>
    <d v="2020-11-19T00:00:00"/>
    <s v="300115"/>
    <s v="AUXILIAR CONSERVERA SA"/>
    <n v="523498.8616"/>
  </r>
  <r>
    <s v="Bon de commande"/>
    <x v="0"/>
    <s v="Envoyé"/>
    <x v="32"/>
    <s v="PILJAR"/>
    <d v="2020-11-25T00:00:00"/>
    <s v="300081"/>
    <s v="JIL EMBALLAGES"/>
    <n v="1041.67"/>
  </r>
  <r>
    <s v="Bon de commande"/>
    <x v="0"/>
    <s v="Envoyé"/>
    <x v="33"/>
    <s v="4/4 OF EPOXY"/>
    <d v="2020-12-10T00:00:00"/>
    <s v="300115"/>
    <s v="AUXILIAR CONSERVERA SA"/>
    <n v="14929.683999999999"/>
  </r>
  <r>
    <s v="Bon de commande"/>
    <x v="0"/>
    <s v="Envoyé"/>
    <x v="34"/>
    <s v="VMM "/>
    <d v="2020-12-24T00:00:00"/>
    <s v="300115"/>
    <s v="AUXILIAR CONSERVERA SA"/>
    <n v="612184.21"/>
  </r>
  <r>
    <s v="Bon de commande"/>
    <x v="0"/>
    <s v="Envoyé"/>
    <x v="35"/>
    <s v="VMM 2"/>
    <d v="2020-12-24T00:00:00"/>
    <s v="300115"/>
    <s v="AUXILIAR CONSERVERA SA"/>
    <n v="2297680"/>
  </r>
  <r>
    <s v="Bon de commande"/>
    <x v="0"/>
    <s v="Envoyé"/>
    <x v="36"/>
    <s v="YAHYA AL FIRD 1"/>
    <d v="2020-12-25T00:00:00"/>
    <s v="300115"/>
    <s v="AUXILIAR CONSERVERA SA"/>
    <n v="152130"/>
  </r>
  <r>
    <s v="Bon de commande"/>
    <x v="0"/>
    <s v="Envoyé"/>
    <x v="37"/>
    <s v="YAHYA AL FIR 2"/>
    <d v="2020-12-25T00:00:00"/>
    <s v="300115"/>
    <s v="AUXILIAR CONSERVERA SA"/>
    <n v="76065"/>
  </r>
  <r>
    <s v="Bon de commande"/>
    <x v="0"/>
    <s v="Envoyé"/>
    <x v="38"/>
    <s v="YAHYA AL FIR 3"/>
    <d v="2020-12-25T00:00:00"/>
    <s v="300115"/>
    <s v="AUXILIAR CONSERVERA SA"/>
    <n v="76065"/>
  </r>
  <r>
    <s v="Bon de commande"/>
    <x v="0"/>
    <s v="Envoyé"/>
    <x v="39"/>
    <s v="LES DEUX DOMAINES"/>
    <d v="2020-12-31T00:00:00"/>
    <s v="300115"/>
    <s v="AUXILIAR CONSERVERA SA"/>
    <n v="13824.755999999999"/>
  </r>
  <r>
    <s v="Bon de commande"/>
    <x v="0"/>
    <s v="Envoyé"/>
    <x v="40"/>
    <s v="1/4 CLUB GINNY"/>
    <d v="2021-01-07T00:00:00"/>
    <s v="300115"/>
    <s v="AUXILIAR CONSERVERA SA"/>
    <n v="91524.356"/>
  </r>
  <r>
    <s v="Bon de commande"/>
    <x v="0"/>
    <s v="Envoyé"/>
    <x v="41"/>
    <s v="1/2 H OF BPANI"/>
    <d v="2021-01-12T00:00:00"/>
    <s v="300115"/>
    <s v="AUXILIAR CONSERVERA SA"/>
    <n v="40225.68"/>
  </r>
  <r>
    <s v="Bon de commande"/>
    <x v="0"/>
    <s v="Envoyé"/>
    <x v="42"/>
    <s v="1/4 CLUB BPANI"/>
    <d v="2021-01-14T00:00:00"/>
    <s v="300115"/>
    <s v="AUXILIAR CONSERVERA SA"/>
    <n v="1678501.2749999999"/>
  </r>
  <r>
    <s v="Bon de commande"/>
    <x v="0"/>
    <s v="Envoyé"/>
    <x v="43"/>
    <s v="SILVER FOOD"/>
    <d v="2021-01-18T00:00:00"/>
    <s v="300115"/>
    <s v="AUXILIAR CONSERVERA SA"/>
    <n v="104346.39599999999"/>
  </r>
  <r>
    <s v="Bon de commande"/>
    <x v="0"/>
    <s v="Envoyé"/>
    <x v="44"/>
    <s v="SILVER FOOD"/>
    <d v="2021-01-18T00:00:00"/>
    <s v="300115"/>
    <s v="AUXILIAR CONSERVERA SA"/>
    <n v="93401.066000000006"/>
  </r>
  <r>
    <s v="Bon de commande"/>
    <x v="0"/>
    <s v="Envoyé"/>
    <x v="45"/>
    <s v="5/1 G4"/>
    <d v="2021-01-19T00:00:00"/>
    <s v="300115"/>
    <s v="AUXILIAR CONSERVERA SA"/>
    <n v="165749.76000000001"/>
  </r>
  <r>
    <s v="Bon de commande"/>
    <x v="0"/>
    <s v="Envoyé"/>
    <x v="46"/>
    <s v="5L NOIR"/>
    <d v="2021-02-05T00:00:00"/>
    <s v="300115"/>
    <s v="AUXILIAR CONSERVERA SA"/>
    <n v="20328"/>
  </r>
  <r>
    <s v="Bon de commande"/>
    <x v="0"/>
    <s v="Envoyé"/>
    <x v="47"/>
    <s v="SILVER FOOD"/>
    <d v="2021-02-08T00:00:00"/>
    <s v="300115"/>
    <s v="AUXILIAR CONSERVERA SA"/>
    <n v="9012.8279999999995"/>
  </r>
  <r>
    <s v="Bon de commande"/>
    <x v="0"/>
    <s v="Envoyé"/>
    <x v="48"/>
    <s v="4/4 ZEMZAMI"/>
    <d v="2021-02-08T00:00:00"/>
    <s v="300115"/>
    <s v="AUXILIAR CONSERVERA SA"/>
    <n v="275838.55200000003"/>
  </r>
  <r>
    <s v="Bon de commande"/>
    <x v="0"/>
    <s v="Envoyé"/>
    <x v="49"/>
    <s v="NOTAM"/>
    <d v="2021-02-18T00:00:00"/>
    <s v="300115"/>
    <s v="AUXILIAR CONSERVERA SA"/>
    <n v="316169.56800000003"/>
  </r>
  <r>
    <s v="Bon de commande"/>
    <x v="0"/>
    <s v="Envoyé"/>
    <x v="50"/>
    <s v="SILVER FOOD"/>
    <d v="2021-02-18T00:00:00"/>
    <s v="300115"/>
    <s v="AUXILIAR CONSERVERA SA"/>
    <n v="7929802.4960000003"/>
  </r>
  <r>
    <s v="Bon de commande"/>
    <x v="0"/>
    <s v="Envoyé"/>
    <x v="51"/>
    <s v="LOGI FOOD*2*"/>
    <d v="2021-03-02T00:00:00"/>
    <s v="300115"/>
    <s v="AUXILIAR CONSERVERA SA"/>
    <n v="60206.96"/>
  </r>
  <r>
    <s v="Bon de commande"/>
    <x v="0"/>
    <s v="Envoyé"/>
    <x v="52"/>
    <s v="RO 400"/>
    <d v="2021-03-18T00:00:00"/>
    <s v="300115"/>
    <s v="AUXILIAR CONSERVERA SA"/>
    <n v="18771.768400000001"/>
  </r>
  <r>
    <s v="Bon de commande"/>
    <x v="0"/>
    <s v="Envoyé"/>
    <x v="53"/>
    <s v="RO 400"/>
    <d v="2021-03-24T00:00:00"/>
    <s v="300115"/>
    <s v="AUXILIAR CONSERVERA SA"/>
    <n v="202840"/>
  </r>
  <r>
    <s v="Bon de commande"/>
    <x v="0"/>
    <s v="Envoyé"/>
    <x v="54"/>
    <s v="NOTAM"/>
    <d v="2021-03-26T00:00:00"/>
    <s v="300115"/>
    <s v="AUXILIAR CONSERVERA SA"/>
    <n v="474254.35200000001"/>
  </r>
  <r>
    <s v="Bon de commande"/>
    <x v="0"/>
    <s v="Envoyé"/>
    <x v="55"/>
    <s v="FOODIS"/>
    <d v="2021-04-03T00:00:00"/>
    <s v="300115"/>
    <s v="AUXILIAR CONSERVERA SA"/>
    <n v="202917"/>
  </r>
  <r>
    <s v="Bon de commande"/>
    <x v="0"/>
    <s v="Envoyé"/>
    <x v="56"/>
    <s v="COPAG"/>
    <d v="2021-04-09T00:00:00"/>
    <s v="300115"/>
    <s v="AUXILIAR CONSERVERA SA"/>
    <n v="2339492.5641999999"/>
  </r>
  <r>
    <s v="Bon de commande"/>
    <x v="0"/>
    <s v="Envoyé"/>
    <x v="57"/>
    <s v="LOGI FOOD"/>
    <d v="2021-04-12T00:00:00"/>
    <s v="300115"/>
    <s v="AUXILIAR CONSERVERA SA"/>
    <n v="54146.822399999997"/>
  </r>
  <r>
    <s v="Bon de commande"/>
    <x v="0"/>
    <s v="Envoyé"/>
    <x v="58"/>
    <s v="RO160"/>
    <d v="2021-04-21T00:00:00"/>
    <s v="300115"/>
    <s v="AUXILIAR CONSERVERA SA"/>
    <n v="66528"/>
  </r>
  <r>
    <s v="Bon de commande"/>
    <x v="0"/>
    <s v="Envoyé"/>
    <x v="59"/>
    <s v="JIL PACK"/>
    <d v="2021-04-22T00:00:00"/>
    <s v="300115"/>
    <s v="AUXILIAR CONSERVERA SA"/>
    <n v="173061.21799999999"/>
  </r>
  <r>
    <s v="Bon de commande"/>
    <x v="0"/>
    <s v="Envoyé"/>
    <x v="60"/>
    <s v="RO400"/>
    <d v="2021-05-19T00:00:00"/>
    <s v="300115"/>
    <s v="AUXILIAR CONSERVERA SA"/>
    <n v="369600"/>
  </r>
  <r>
    <s v="Bon de commande"/>
    <x v="0"/>
    <s v="Envoyé"/>
    <x v="61"/>
    <s v="A10"/>
    <d v="2021-05-25T00:00:00"/>
    <s v="300115"/>
    <s v="AUXILIAR CONSERVERA SA"/>
    <n v="32778.196000000004"/>
  </r>
  <r>
    <s v="Bon de commande"/>
    <x v="0"/>
    <s v="Envoyé"/>
    <x v="62"/>
    <s v="A10"/>
    <d v="2021-05-25T00:00:00"/>
    <s v="300115"/>
    <s v="AUXILIAR CONSERVERA SA"/>
    <n v="45456.857600000003"/>
  </r>
  <r>
    <s v="Bon de commande"/>
    <x v="0"/>
    <s v="Envoyé"/>
    <x v="63"/>
    <s v="CONSTANCE"/>
    <d v="2021-05-28T00:00:00"/>
    <s v="300115"/>
    <s v="AUXILIAR CONSERVERA SA"/>
    <n v="619520"/>
  </r>
  <r>
    <s v="Bon de commande"/>
    <x v="0"/>
    <s v="Envoyé"/>
    <x v="64"/>
    <s v="CONSTANCE"/>
    <d v="2021-05-28T00:00:00"/>
    <s v="300115"/>
    <s v="AUXILIAR CONSERVERA SA"/>
    <n v="601677.82400000002"/>
  </r>
  <r>
    <s v="Bon de commande"/>
    <x v="0"/>
    <s v="Envoyé"/>
    <x v="65"/>
    <s v="SILVER FOOD"/>
    <d v="2021-05-29T00:00:00"/>
    <s v="300115"/>
    <s v="AUXILIAR CONSERVERA SA"/>
    <n v="1759558.5083999999"/>
  </r>
  <r>
    <s v="Bon de commande"/>
    <x v="0"/>
    <s v="Envoyé"/>
    <x v="66"/>
    <s v="SILVER FOOD"/>
    <d v="2021-06-08T00:00:00"/>
    <s v="300115"/>
    <s v="AUXILIAR CONSERVERA SA"/>
    <n v="9081.7628000000004"/>
  </r>
  <r>
    <s v="Bon de commande"/>
    <x v="0"/>
    <s v="Envoyé"/>
    <x v="67"/>
    <s v="5/1 G4"/>
    <d v="2021-06-12T00:00:00"/>
    <s v="300115"/>
    <s v="AUXILIAR CONSERVERA SA"/>
    <n v="802204.84299999999"/>
  </r>
  <r>
    <s v="Bon de commande"/>
    <x v="0"/>
    <s v="Envoyé"/>
    <x v="68"/>
    <s v="SILVER FOOD"/>
    <d v="2021-06-15T00:00:00"/>
    <s v="300115"/>
    <s v="AUXILIAR CONSERVERA SA"/>
    <n v="2052600"/>
  </r>
  <r>
    <s v="Bon de commande"/>
    <x v="0"/>
    <s v="Envoyé"/>
    <x v="69"/>
    <s v="JIL PACK A"/>
    <d v="2021-06-22T00:00:00"/>
    <s v="300115"/>
    <s v="AUXILIAR CONSERVERA SA"/>
    <n v="111936.84480000001"/>
  </r>
  <r>
    <s v="Bon de commande"/>
    <x v="0"/>
    <s v="Envoyé"/>
    <x v="70"/>
    <s v="EUROMAR"/>
    <d v="2021-07-03T00:00:00"/>
    <s v="300115"/>
    <s v="AUXILIAR CONSERVERA SA"/>
    <n v="152277.84"/>
  </r>
  <r>
    <s v="Bon de commande"/>
    <x v="0"/>
    <s v="Envoyé"/>
    <x v="71"/>
    <s v="1/2 HAUTE"/>
    <d v="2021-08-24T00:00:00"/>
    <s v="300115"/>
    <s v="AUXILIAR CONSERVERA SA"/>
    <n v="133903.42240000001"/>
  </r>
  <r>
    <s v="Bon de commande"/>
    <x v="0"/>
    <s v="Envoyé"/>
    <x v="72"/>
    <s v="LOGI FOOD"/>
    <d v="2021-09-07T00:00:00"/>
    <s v="300115"/>
    <s v="AUXILIAR CONSERVERA SA"/>
    <n v="203030.61900000001"/>
  </r>
  <r>
    <s v="Bon de commande"/>
    <x v="0"/>
    <s v="Envoyé"/>
    <x v="73"/>
    <s v="VMM"/>
    <d v="2021-09-21T00:00:00"/>
    <s v="300115"/>
    <s v="AUXILIAR CONSERVERA SA"/>
    <n v="1458170.1816"/>
  </r>
  <r>
    <s v="Bon de commande"/>
    <x v="0"/>
    <s v="Envoyé"/>
    <x v="74"/>
    <s v="RO85 NEUTRE"/>
    <d v="2021-09-21T00:00:00"/>
    <s v="300115"/>
    <s v="AUXILIAR CONSERVERA SA"/>
    <n v="7117000"/>
  </r>
  <r>
    <s v="Bon de commande"/>
    <x v="0"/>
    <s v="Envoyé"/>
    <x v="75"/>
    <s v="PAPIER "/>
    <d v="2021-09-30T00:00:00"/>
    <s v="300076"/>
    <s v="SOCIETE CENTRALE D'EMBALLAGES"/>
    <n v="4200"/>
  </r>
  <r>
    <s v="Bon de commande"/>
    <x v="0"/>
    <s v="Envoyé"/>
    <x v="76"/>
    <s v="TAMIMA 400"/>
    <d v="2021-10-15T00:00:00"/>
    <s v="300115"/>
    <s v="AUXILIAR CONSERVERA SA"/>
    <n v="188456.22289999999"/>
  </r>
  <r>
    <s v="Bon de commande"/>
    <x v="0"/>
    <s v="Envoyé"/>
    <x v="77"/>
    <s v="RO400"/>
    <d v="2021-10-28T00:00:00"/>
    <s v="300115"/>
    <s v="AUXILIAR CONSERVERA SA"/>
    <n v="202840"/>
  </r>
  <r>
    <s v="Bon de commande"/>
    <x v="0"/>
    <s v="Envoyé"/>
    <x v="78"/>
    <s v="JIL PACK A"/>
    <d v="2021-11-09T00:00:00"/>
    <s v="300115"/>
    <s v="AUXILIAR CONSERVERA SA"/>
    <n v="7623.6952000000001"/>
  </r>
  <r>
    <s v="Bon de commande"/>
    <x v="0"/>
    <s v="Envoyé"/>
    <x v="79"/>
    <s v="SILVER FOOD"/>
    <d v="2021-11-10T00:00:00"/>
    <s v="300115"/>
    <s v="AUXILIAR CONSERVERA SA"/>
    <n v="368902.92560000002"/>
  </r>
  <r>
    <s v="Bon de commande"/>
    <x v="0"/>
    <s v="Envoyé"/>
    <x v="80"/>
    <s v="1/4H ET 4/4"/>
    <d v="2021-11-15T00:00:00"/>
    <s v="300115"/>
    <s v="AUXILIAR CONSERVERA SA"/>
    <n v="317884.908"/>
  </r>
  <r>
    <s v="Bon de commande"/>
    <x v="0"/>
    <s v="Envoyé"/>
    <x v="81"/>
    <s v="ALVEOL 30x50 NOIR"/>
    <d v="2021-12-30T00:00:00"/>
    <s v="300312"/>
    <s v="ILIP S.r.l."/>
    <n v="15586.56"/>
  </r>
  <r>
    <s v="Bon de commande"/>
    <x v="0"/>
    <s v="Envoyé"/>
    <x v="82"/>
    <s v="100ML PILLJAR"/>
    <d v="2022-01-10T00:00:00"/>
    <s v="300081"/>
    <s v="JIL EMBALLAGES"/>
    <n v="121150.08"/>
  </r>
  <r>
    <s v="Bon de commande"/>
    <x v="0"/>
    <s v="Envoyé"/>
    <x v="83"/>
    <s v="1/2 H OF"/>
    <d v="2022-01-19T00:00:00"/>
    <s v="300115"/>
    <s v="AUXILIAR CONSERVERA SA"/>
    <n v="816512.46600000001"/>
  </r>
  <r>
    <s v="Bon de commande"/>
    <x v="0"/>
    <s v="Envoyé"/>
    <x v="84"/>
    <s v="1/4 CLUB BPANI"/>
    <d v="2022-01-24T00:00:00"/>
    <s v="300115"/>
    <s v="AUXILIAR CONSERVERA SA"/>
    <n v="3335108.6252000001"/>
  </r>
  <r>
    <s v="Bon de commande"/>
    <x v="0"/>
    <s v="Envoyé"/>
    <x v="85"/>
    <s v="YAHYA AL FIRDAOUS"/>
    <d v="2022-03-26T00:00:00"/>
    <s v="300115"/>
    <s v="AUXILIAR CONSERVERA SA"/>
    <n v="0"/>
  </r>
  <r>
    <s v="Bon de commande"/>
    <x v="0"/>
    <s v="Envoyé"/>
    <x v="86"/>
    <s v="YAHYA AL FIRDAOUS"/>
    <d v="2022-03-31T00:00:00"/>
    <s v="300115"/>
    <s v="AUXILIAR CONSERVERA SA"/>
    <n v="105917.0442"/>
  </r>
  <r>
    <s v="Bon de commande"/>
    <x v="0"/>
    <s v="Envoyé"/>
    <x v="87"/>
    <s v="silver"/>
    <d v="2022-04-19T00:00:00"/>
    <s v="300115"/>
    <s v="AUXILIAR CONSERVERA SA"/>
    <n v="1588087.5053999999"/>
  </r>
  <r>
    <s v="Bon de commande"/>
    <x v="0"/>
    <s v="Envoyé"/>
    <x v="88"/>
    <s v="JIL PACK A"/>
    <d v="2022-04-26T00:00:00"/>
    <s v="300115"/>
    <s v="AUXILIAR CONSERVERA SA"/>
    <n v="46779.612000000001"/>
  </r>
  <r>
    <s v="Bon de commande"/>
    <x v="0"/>
    <s v="Envoyé"/>
    <x v="89"/>
    <d v="2026-01-05T00:00:00"/>
    <d v="2022-05-13T00:00:00"/>
    <s v="300115"/>
    <s v="AUXILIAR CONSERVERA SA"/>
    <n v="104018.80499999999"/>
  </r>
  <r>
    <s v="Bon de commande"/>
    <x v="0"/>
    <s v="Envoyé"/>
    <x v="90"/>
    <s v="TAMIMA"/>
    <d v="2022-06-09T00:00:00"/>
    <s v="300115"/>
    <s v="AUXILIAR CONSERVERA SA"/>
    <n v="17769.5144"/>
  </r>
  <r>
    <s v="Bon de commande"/>
    <x v="0"/>
    <s v="Envoyé"/>
    <x v="91"/>
    <s v="BOITES A10"/>
    <d v="2022-06-13T00:00:00"/>
    <s v="300115"/>
    <s v="AUXILIAR CONSERVERA SA"/>
    <n v="0"/>
  </r>
  <r>
    <s v="Bon de commande"/>
    <x v="0"/>
    <s v="Envoyé"/>
    <x v="92"/>
    <s v="ATLANTA"/>
    <d v="2022-06-13T00:00:00"/>
    <s v="300115"/>
    <s v="AUXILIAR CONSERVERA SA"/>
    <n v="4079397.8412000001"/>
  </r>
  <r>
    <s v="Bon de commande"/>
    <x v="0"/>
    <s v="Envoyé"/>
    <x v="93"/>
    <s v="NEW PEPPE*OUALILI"/>
    <d v="2022-07-25T00:00:00"/>
    <s v="300115"/>
    <s v="AUXILIAR CONSERVERA SA"/>
    <n v="660194.21710000001"/>
  </r>
  <r>
    <s v="Bon de commande"/>
    <x v="0"/>
    <s v="Envoyé"/>
    <x v="94"/>
    <d v="2026-01-05T00:00:00"/>
    <d v="2022-08-11T00:00:00"/>
    <s v="300115"/>
    <s v="AUXILIAR CONSERVERA SA"/>
    <n v="129094.02"/>
  </r>
  <r>
    <s v="Bon de commande"/>
    <x v="0"/>
    <s v="Envoyé"/>
    <x v="95"/>
    <s v="VMM"/>
    <d v="2022-08-23T00:00:00"/>
    <s v="300115"/>
    <s v="AUXILIAR CONSERVERA SA"/>
    <n v="173934.54759999999"/>
  </r>
  <r>
    <s v="Bon de commande"/>
    <x v="0"/>
    <s v="Envoyé"/>
    <x v="96"/>
    <s v="CONSTANCE"/>
    <d v="2022-08-23T00:00:00"/>
    <s v="300115"/>
    <s v="AUXILIAR CONSERVERA SA"/>
    <n v="652520"/>
  </r>
  <r>
    <s v="Bon de commande"/>
    <x v="0"/>
    <s v="Envoyé"/>
    <x v="97"/>
    <s v="1/2 H OF"/>
    <d v="2022-08-26T00:00:00"/>
    <s v="300115"/>
    <s v="AUXILIAR CONSERVERA SA"/>
    <n v="762543.93599999999"/>
  </r>
  <r>
    <s v="Bon de commande"/>
    <x v="0"/>
    <s v="Envoyé"/>
    <x v="98"/>
    <s v="5/1 PIZZA"/>
    <d v="2022-09-02T00:00:00"/>
    <s v="300115"/>
    <s v="AUXILIAR CONSERVERA SA"/>
    <n v="154598.39999999999"/>
  </r>
  <r>
    <s v="Bon de commande"/>
    <x v="0"/>
    <s v="Envoyé"/>
    <x v="99"/>
    <s v="LOGI FOOD"/>
    <d v="2022-09-09T00:00:00"/>
    <s v="300115"/>
    <s v="AUXILIAR CONSERVERA SA"/>
    <n v="108419.564"/>
  </r>
  <r>
    <s v="Bon de commande"/>
    <x v="0"/>
    <s v="Envoyé"/>
    <x v="100"/>
    <s v="LOGI FOOD"/>
    <d v="2022-10-07T00:00:00"/>
    <s v="300115"/>
    <s v="AUXILIAR CONSERVERA SA"/>
    <n v="152056.88080000001"/>
  </r>
  <r>
    <s v="Bon de commande"/>
    <x v="0"/>
    <s v="Envoyé"/>
    <x v="101"/>
    <s v="ICC"/>
    <d v="2022-10-07T00:00:00"/>
    <s v="300115"/>
    <s v="AUXILIAR CONSERVERA SA"/>
    <n v="21210.6587"/>
  </r>
  <r>
    <s v="Bon de commande"/>
    <x v="0"/>
    <s v="Envoyé"/>
    <x v="102"/>
    <s v="1/4 CLUB BPANI"/>
    <d v="2022-10-07T00:00:00"/>
    <s v="300115"/>
    <s v="AUXILIAR CONSERVERA SA"/>
    <n v="5582.94"/>
  </r>
  <r>
    <s v="Bon de commande"/>
    <x v="0"/>
    <s v="Envoyé"/>
    <x v="103"/>
    <s v="TO"/>
    <d v="2022-10-17T00:00:00"/>
    <s v="300226"/>
    <s v="Sarten Ambalaj Sanayi ve Ticaret AS"/>
    <n v="2557.8000000000002"/>
  </r>
  <r>
    <s v="Bon de commande"/>
    <x v="0"/>
    <s v="Envoyé"/>
    <x v="104"/>
    <s v="5/1 NEUTRE"/>
    <d v="2022-10-27T00:00:00"/>
    <s v="300115"/>
    <s v="AUXILIAR CONSERVERA SA"/>
    <n v="2266220"/>
  </r>
  <r>
    <s v="Bon de commande"/>
    <x v="0"/>
    <s v="Envoyé"/>
    <x v="105"/>
    <s v="4/4 EPOXY"/>
    <d v="2022-11-02T00:00:00"/>
    <s v="300115"/>
    <s v="AUXILIAR CONSERVERA SA"/>
    <n v="266443.07799999998"/>
  </r>
  <r>
    <s v="Bon de commande"/>
    <x v="0"/>
    <s v="Envoyé"/>
    <x v="106"/>
    <s v="1/4 CLUB BPANI"/>
    <d v="2022-11-16T00:00:00"/>
    <s v="300115"/>
    <s v="AUXILIAR CONSERVERA SA"/>
    <n v="1289169.8160000001"/>
  </r>
  <r>
    <s v="Bon de commande"/>
    <x v="0"/>
    <s v="Envoyé"/>
    <x v="107"/>
    <s v="A10"/>
    <d v="2022-11-30T00:00:00"/>
    <s v="300115"/>
    <s v="AUXILIAR CONSERVERA SA"/>
    <n v="144410.11199999999"/>
  </r>
  <r>
    <s v="Bon de commande"/>
    <x v="0"/>
    <s v="Envoyé"/>
    <x v="108"/>
    <s v="COPAG"/>
    <d v="2022-12-05T00:00:00"/>
    <s v="300115"/>
    <s v="AUXILIAR CONSERVERA SA"/>
    <n v="250034.4"/>
  </r>
  <r>
    <s v="Bon de commande"/>
    <x v="0"/>
    <s v="Envoyé"/>
    <x v="109"/>
    <s v="VMM"/>
    <d v="2022-12-26T00:00:00"/>
    <s v="300115"/>
    <s v="AUXILIAR CONSERVERA SA"/>
    <n v="1343576.135"/>
  </r>
  <r>
    <s v="Bon de commande"/>
    <x v="0"/>
    <s v="Envoyé"/>
    <x v="110"/>
    <s v="RO85"/>
    <d v="2022-12-28T00:00:00"/>
    <s v="300115"/>
    <s v="AUXILIAR CONSERVERA SA"/>
    <n v="2364303.0070000002"/>
  </r>
  <r>
    <s v="Bon de commande"/>
    <x v="0"/>
    <s v="Envoyé"/>
    <x v="111"/>
    <s v="1/4 CLUB"/>
    <d v="2022-12-28T00:00:00"/>
    <s v="300115"/>
    <s v="AUXILIAR CONSERVERA SA"/>
    <n v="6655000"/>
  </r>
  <r>
    <s v="Bon de commande"/>
    <x v="0"/>
    <s v="Envoyé"/>
    <x v="112"/>
    <s v="RO400"/>
    <d v="2022-12-28T00:00:00"/>
    <s v="300115"/>
    <s v="AUXILIAR CONSERVERA SA"/>
    <n v="298210"/>
  </r>
  <r>
    <s v="Bon de commande"/>
    <x v="0"/>
    <s v="Envoyé"/>
    <x v="113"/>
    <s v="VMM"/>
    <d v="2023-01-17T00:00:00"/>
    <s v="300115"/>
    <s v="AUXILIAR CONSERVERA SA"/>
    <n v="6874823.4720000001"/>
  </r>
  <r>
    <s v="Bon de commande"/>
    <x v="0"/>
    <s v="Envoyé"/>
    <x v="114"/>
    <s v="VMM PESCADA"/>
    <d v="2023-01-17T00:00:00"/>
    <s v="300115"/>
    <s v="AUXILIAR CONSERVERA SA"/>
    <n v="2574179.1570000001"/>
  </r>
  <r>
    <s v="Bon de commande"/>
    <x v="0"/>
    <s v="Envoyé"/>
    <x v="115"/>
    <s v="1/4 CLUB CONIQUE"/>
    <d v="2023-02-08T00:00:00"/>
    <s v="300220"/>
    <s v="ENVASES EUROPE"/>
    <n v="175717.212"/>
  </r>
  <r>
    <s v="Bon de commande"/>
    <x v="0"/>
    <s v="Envoyé"/>
    <x v="116"/>
    <s v="OLINIA"/>
    <d v="2023-02-16T00:00:00"/>
    <s v="300115"/>
    <s v="AUXILIAR CONSERVERA SA"/>
    <n v="0"/>
  </r>
  <r>
    <s v="Bon de commande"/>
    <x v="0"/>
    <s v="Envoyé"/>
    <x v="117"/>
    <s v="QUALIAGRO"/>
    <d v="2023-02-27T00:00:00"/>
    <s v="300115"/>
    <s v="AUXILIAR CONSERVERA SA"/>
    <n v="10331.9931"/>
  </r>
  <r>
    <s v="Bon de commande"/>
    <x v="0"/>
    <s v="Envoyé"/>
    <x v="118"/>
    <s v="3L RECT"/>
    <d v="2023-03-03T00:00:00"/>
    <s v="300115"/>
    <s v="AUXILIAR CONSERVERA SA"/>
    <n v="2324.6761999999999"/>
  </r>
  <r>
    <s v="Bon de commande"/>
    <x v="0"/>
    <s v="Envoyé"/>
    <x v="119"/>
    <s v="RO400 RET"/>
    <d v="2023-03-09T00:00:00"/>
    <s v="300115"/>
    <s v="AUXILIAR CONSERVERA SA"/>
    <n v="319000"/>
  </r>
  <r>
    <s v="Bon de commande"/>
    <x v="0"/>
    <s v="Envoyé"/>
    <x v="120"/>
    <s v="ALVEOLES"/>
    <d v="2023-04-07T00:00:00"/>
    <s v="300312"/>
    <s v="ILIP S.r.l."/>
    <n v="0"/>
  </r>
  <r>
    <s v="Bon de commande"/>
    <x v="0"/>
    <s v="Envoyé"/>
    <x v="121"/>
    <s v="1/4 CLUB CONIQUE"/>
    <d v="2023-05-02T00:00:00"/>
    <s v="300220"/>
    <s v="ENVASES EUROPE"/>
    <n v="172923.2"/>
  </r>
  <r>
    <s v="Bon de commande"/>
    <x v="0"/>
    <s v="Envoyé"/>
    <x v="122"/>
    <s v="1/4 CLUB NEUTRE"/>
    <d v="2023-05-18T00:00:00"/>
    <s v="300115"/>
    <s v="AUXILIAR CONSERVERA SA"/>
    <n v="616000"/>
  </r>
  <r>
    <s v="Bon de commande"/>
    <x v="0"/>
    <s v="Envoyé"/>
    <x v="123"/>
    <s v="NEW PEPPERS"/>
    <d v="2023-06-08T00:00:00"/>
    <s v="300115"/>
    <s v="AUXILIAR CONSERVERA SA"/>
    <n v="804482.11800000002"/>
  </r>
  <r>
    <s v="Bon de commande"/>
    <x v="0"/>
    <s v="Envoyé"/>
    <x v="124"/>
    <s v="VMM"/>
    <d v="2023-06-12T00:00:00"/>
    <s v="300115"/>
    <s v="AUXILIAR CONSERVERA SA"/>
    <n v="19581"/>
  </r>
  <r>
    <s v="Bon de commande"/>
    <x v="0"/>
    <s v="Envoyé"/>
    <x v="125"/>
    <s v="1/4 CLUB CONIQUE"/>
    <d v="2023-07-12T00:00:00"/>
    <s v="300220"/>
    <s v="ENVASES EUROPE"/>
    <n v="2858570.9240000001"/>
  </r>
  <r>
    <s v="Bon de commande"/>
    <x v="0"/>
    <s v="Envoyé"/>
    <x v="126"/>
    <s v="JIL PACK A "/>
    <d v="2023-07-12T00:00:00"/>
    <s v="300220"/>
    <s v="ENVASES EUROPE"/>
    <n v="9588563.2479999997"/>
  </r>
  <r>
    <s v="Bon de commande"/>
    <x v="0"/>
    <s v="Envoyé"/>
    <x v="127"/>
    <s v="5/1 NEUTRE"/>
    <d v="2023-07-20T00:00:00"/>
    <s v="300115"/>
    <s v="AUXILIAR CONSERVERA SA"/>
    <n v="1938407.504"/>
  </r>
  <r>
    <s v="Bon de commande"/>
    <x v="0"/>
    <s v="Envoyé"/>
    <x v="128"/>
    <s v="VMM"/>
    <d v="2023-07-28T00:00:00"/>
    <s v="300115"/>
    <s v="AUXILIAR CONSERVERA SA"/>
    <n v="5872.9946"/>
  </r>
  <r>
    <s v="Bon de commande"/>
    <x v="0"/>
    <s v="Envoyé"/>
    <x v="129"/>
    <s v="RO85"/>
    <d v="2023-09-07T00:00:00"/>
    <s v="300115"/>
    <s v="AUXILIAR CONSERVERA SA"/>
    <n v="275.26400000000001"/>
  </r>
  <r>
    <s v="Bon de commande"/>
    <x v="0"/>
    <s v="Envoyé"/>
    <x v="130"/>
    <s v="CPT"/>
    <d v="2023-09-21T00:00:00"/>
    <s v="300115"/>
    <s v="AUXILIAR CONSERVERA SA"/>
    <n v="37854.460599999999"/>
  </r>
  <r>
    <s v="Bon de commande"/>
    <x v="0"/>
    <s v="Envoyé"/>
    <x v="131"/>
    <s v="1/4 CLUB"/>
    <d v="2023-10-16T00:00:00"/>
    <s v="300115"/>
    <s v="AUXILIAR CONSERVERA SA"/>
    <n v="3943500"/>
  </r>
  <r>
    <s v="Bon de commande"/>
    <x v="0"/>
    <s v="Envoyé"/>
    <x v="132"/>
    <s v="JIL PACK A"/>
    <d v="2023-10-26T00:00:00"/>
    <s v="300220"/>
    <s v="ENVASES EUROPE"/>
    <n v="242000"/>
  </r>
  <r>
    <s v="Bon de commande"/>
    <x v="0"/>
    <s v="Envoyé"/>
    <x v="133"/>
    <s v="CPT"/>
    <d v="2023-11-11T00:00:00"/>
    <s v="300115"/>
    <s v="AUXILIAR CONSERVERA SA"/>
    <n v="179968.03"/>
  </r>
  <r>
    <s v="Bon de commande"/>
    <x v="0"/>
    <s v="Envoyé"/>
    <x v="134"/>
    <s v="QUALIAGRO"/>
    <d v="2023-11-30T00:00:00"/>
    <s v="300115"/>
    <s v="AUXILIAR CONSERVERA SA"/>
    <n v="3475.1651000000002"/>
  </r>
  <r>
    <s v="Bon de commande"/>
    <x v="0"/>
    <s v="Envoyé"/>
    <x v="135"/>
    <s v="1/4 CLUB ALUM"/>
    <d v="2023-12-25T00:00:00"/>
    <s v="300220"/>
    <s v="ENVASES EUROPE"/>
    <n v="1084600"/>
  </r>
  <r>
    <s v="Bon de commande"/>
    <x v="0"/>
    <s v="Envoyé"/>
    <x v="136"/>
    <s v="RO85"/>
    <d v="2024-01-05T00:00:00"/>
    <s v="300115"/>
    <s v="AUXILIAR CONSERVERA SA"/>
    <n v="170805.69"/>
  </r>
  <r>
    <s v="Bon de commande"/>
    <x v="0"/>
    <s v="Envoyé"/>
    <x v="137"/>
    <s v="BTE ALU 90 ET 125"/>
    <d v="2024-01-17T00:00:00"/>
    <s v="300220"/>
    <s v="ENVASES EUROPE"/>
    <n v="311785.58399999997"/>
  </r>
  <r>
    <s v="Bon de commande"/>
    <x v="0"/>
    <s v="Envoyé"/>
    <x v="138"/>
    <s v="1/4 CLUB  ALUM 90"/>
    <d v="2024-02-08T00:00:00"/>
    <s v="300220"/>
    <s v="ENVASES EUROPE"/>
    <n v="1045000"/>
  </r>
  <r>
    <s v="Bon de commande"/>
    <x v="0"/>
    <s v="Envoyé"/>
    <x v="139"/>
    <s v="JIL PACK A"/>
    <d v="2024-02-15T00:00:00"/>
    <s v="300115"/>
    <s v="AUXILIAR CONSERVERA SA"/>
    <n v="52472.211000000003"/>
  </r>
  <r>
    <s v="Bon de commande"/>
    <x v="0"/>
    <s v="Envoyé"/>
    <x v="140"/>
    <s v="RO85"/>
    <d v="2024-02-19T00:00:00"/>
    <s v="300381"/>
    <s v="ENVASES IBERICA"/>
    <n v="726665.43729999999"/>
  </r>
  <r>
    <s v="Bon de commande"/>
    <x v="0"/>
    <s v="Envoyé"/>
    <x v="141"/>
    <s v="OLINIA"/>
    <d v="2024-02-23T00:00:00"/>
    <s v="300115"/>
    <s v="AUXILIAR CONSERVERA SA"/>
    <n v="9230.4519999999993"/>
  </r>
  <r>
    <s v="Bon de commande"/>
    <x v="0"/>
    <s v="Envoyé"/>
    <x v="142"/>
    <s v="22L"/>
    <d v="2024-03-13T00:00:00"/>
    <s v="300356"/>
    <s v="MASSILY PORTUGAL"/>
    <n v="3291.2"/>
  </r>
  <r>
    <s v="Bon de commande"/>
    <x v="0"/>
    <s v="Envoyé"/>
    <x v="143"/>
    <s v="105 ATLAS"/>
    <d v="2024-03-26T00:00:00"/>
    <s v="300382"/>
    <s v="BA GLASS"/>
    <n v="625739.4"/>
  </r>
  <r>
    <s v="Bon de commande"/>
    <x v="0"/>
    <s v="Envoyé"/>
    <x v="144"/>
    <s v="1/4 CLUB ALU22"/>
    <d v="2024-04-30T00:00:00"/>
    <s v="300220"/>
    <s v="ENVASES EUROPE"/>
    <n v="1094500"/>
  </r>
  <r>
    <s v="Bon de commande"/>
    <x v="0"/>
    <s v="Envoyé"/>
    <x v="145"/>
    <s v="1/4 CLUB ALU29"/>
    <d v="2024-04-30T00:00:00"/>
    <s v="300220"/>
    <s v="ENVASES EUROPE"/>
    <n v="1144000"/>
  </r>
  <r>
    <s v="Bon de commande"/>
    <x v="0"/>
    <s v="Envoyé"/>
    <x v="146"/>
    <m/>
    <d v="2024-04-30T00:00:00"/>
    <s v="300356"/>
    <s v="MASSILY PORTUGAL"/>
    <n v="206844"/>
  </r>
  <r>
    <s v="Bon de commande"/>
    <x v="0"/>
    <s v="Envoyé"/>
    <x v="147"/>
    <s v="MIXTE"/>
    <d v="2024-04-30T00:00:00"/>
    <s v="300356"/>
    <s v="MASSILY PORTUGAL"/>
    <n v="197034.2"/>
  </r>
  <r>
    <s v="Bon de commande"/>
    <x v="0"/>
    <s v="Envoyé"/>
    <x v="148"/>
    <s v="1/4 CLUB CONIQUE"/>
    <d v="2024-05-03T00:00:00"/>
    <s v="300220"/>
    <s v="ENVASES EUROPE"/>
    <n v="3834048.702"/>
  </r>
  <r>
    <s v="Bon de commande"/>
    <x v="0"/>
    <s v="Envoyé"/>
    <x v="149"/>
    <s v="5/1 SAUCE PIZZA"/>
    <d v="2024-05-07T00:00:00"/>
    <s v="300115"/>
    <s v="AUXILIAR CONSERVERA SA"/>
    <n v="1089000"/>
  </r>
  <r>
    <s v="Bon de commande"/>
    <x v="0"/>
    <s v="Envoyé"/>
    <x v="150"/>
    <s v="1/4 CLUB ALU125"/>
    <d v="2024-05-13T00:00:00"/>
    <s v="300220"/>
    <s v="ENVASES EUROPE"/>
    <n v="1187929.6000000001"/>
  </r>
  <r>
    <s v="Bon de commande"/>
    <x v="0"/>
    <s v="Envoyé"/>
    <x v="151"/>
    <s v="1/4 CLUB 125 DROI"/>
    <d v="2024-05-20T00:00:00"/>
    <s v="300381"/>
    <s v="ENVASES IBERICA"/>
    <n v="1111000"/>
  </r>
  <r>
    <s v="Bon de commande"/>
    <x v="0"/>
    <s v="Envoyé"/>
    <x v="152"/>
    <s v="VMM"/>
    <d v="2024-05-27T00:00:00"/>
    <s v="300115"/>
    <s v="AUXILIAR CONSERVERA SA"/>
    <n v="2223332.1"/>
  </r>
  <r>
    <s v="Bon de commande"/>
    <x v="0"/>
    <s v="Envoyé"/>
    <x v="153"/>
    <s v="1/4 CLUB 90ML"/>
    <d v="2024-05-27T00:00:00"/>
    <s v="300220"/>
    <s v="ENVASES EUROPE"/>
    <n v="502952.82400000002"/>
  </r>
  <r>
    <s v="Bon de commande"/>
    <x v="0"/>
    <s v="Envoyé"/>
    <x v="154"/>
    <s v="105 ATLAS 1"/>
    <d v="2024-05-28T00:00:00"/>
    <s v="300382"/>
    <s v="BA GLASS"/>
    <n v="171751.58"/>
  </r>
  <r>
    <s v="Bon de commande"/>
    <x v="0"/>
    <s v="Envoyé"/>
    <x v="155"/>
    <s v="105 ATLAS 2"/>
    <d v="2024-05-28T00:00:00"/>
    <s v="300382"/>
    <s v="BA GLASS"/>
    <n v="171751.58"/>
  </r>
  <r>
    <s v="Bon de commande"/>
    <x v="0"/>
    <s v="Envoyé"/>
    <x v="156"/>
    <s v="105 ATLAS 3"/>
    <d v="2024-05-28T00:00:00"/>
    <s v="300382"/>
    <s v="BA GLASS"/>
    <n v="171751.58"/>
  </r>
  <r>
    <s v="Bon de commande"/>
    <x v="0"/>
    <s v="Envoyé"/>
    <x v="157"/>
    <s v="105 ATLAS 4"/>
    <d v="2024-05-28T00:00:00"/>
    <s v="300382"/>
    <s v="BA GLASS"/>
    <n v="171751.58"/>
  </r>
  <r>
    <s v="Bon de commande"/>
    <x v="0"/>
    <s v="Envoyé"/>
    <x v="158"/>
    <s v="5/1 NEUTRE"/>
    <d v="2024-05-30T00:00:00"/>
    <s v="300115"/>
    <s v="AUXILIAR CONSERVERA SA"/>
    <n v="1867800"/>
  </r>
  <r>
    <s v="Bon de commande"/>
    <x v="0"/>
    <s v="Envoyé"/>
    <x v="159"/>
    <s v="1L OLINIA"/>
    <d v="2024-06-04T00:00:00"/>
    <s v="300115"/>
    <s v="AUXILIAR CONSERVERA SA"/>
    <n v="4384.2150000000001"/>
  </r>
  <r>
    <s v="Bon de commande"/>
    <x v="0"/>
    <s v="Envoyé"/>
    <x v="160"/>
    <s v="UNIVERS DELI"/>
    <d v="2024-06-04T00:00:00"/>
    <s v="300115"/>
    <s v="AUXILIAR CONSERVERA SA"/>
    <n v="571160.93099999998"/>
  </r>
  <r>
    <s v="Bon de commande"/>
    <x v="0"/>
    <s v="Envoyé"/>
    <x v="161"/>
    <s v="JIL PACK A"/>
    <d v="2024-07-04T00:00:00"/>
    <s v="300115"/>
    <s v="AUXILIAR CONSERVERA SA"/>
    <n v="561937.95900000003"/>
  </r>
  <r>
    <s v="Bon de commande"/>
    <x v="0"/>
    <s v="Envoyé"/>
    <x v="162"/>
    <s v="JIL PACK  A *2*"/>
    <d v="2024-07-04T00:00:00"/>
    <s v="300220"/>
    <s v="ENVASES EUROPE"/>
    <n v="4488506.88"/>
  </r>
  <r>
    <s v="Bon de commande"/>
    <x v="0"/>
    <s v="Envoyé"/>
    <x v="163"/>
    <s v="1/2 H"/>
    <d v="2024-07-05T00:00:00"/>
    <s v="300115"/>
    <s v="AUXILIAR CONSERVERA SA"/>
    <n v="203686.56"/>
  </r>
  <r>
    <s v="Bon de commande"/>
    <x v="0"/>
    <s v="Envoyé"/>
    <x v="164"/>
    <s v="SILVER FOOD"/>
    <d v="2024-07-15T00:00:00"/>
    <s v="300381"/>
    <s v="ENVASES IBERICA"/>
    <n v="1845950.2324999999"/>
  </r>
  <r>
    <s v="Bon de commande"/>
    <x v="0"/>
    <s v="Envoyé"/>
    <x v="165"/>
    <s v="LOGI FOOD"/>
    <d v="2024-07-19T00:00:00"/>
    <s v="300381"/>
    <s v="ENVASES IBERICA"/>
    <n v="4708000"/>
  </r>
  <r>
    <s v="Bon de commande"/>
    <x v="0"/>
    <s v="Envoyé"/>
    <x v="166"/>
    <s v="JANAH"/>
    <d v="2024-07-24T00:00:00"/>
    <s v="300381"/>
    <s v="ENVASES IBERICA"/>
    <n v="1047678.72"/>
  </r>
  <r>
    <s v="Bon de commande"/>
    <x v="0"/>
    <s v="Envoyé"/>
    <x v="167"/>
    <s v="RO85 LOGI FOOD"/>
    <d v="2024-08-01T00:00:00"/>
    <s v="300381"/>
    <s v="ENVASES IBERICA"/>
    <n v="1580897.692"/>
  </r>
  <r>
    <s v="Bon de commande"/>
    <x v="0"/>
    <s v="Envoyé"/>
    <x v="168"/>
    <m/>
    <d v="2024-08-02T00:00:00"/>
    <s v="300115"/>
    <s v="AUXILIAR CONSERVERA SA"/>
    <n v="640179.54"/>
  </r>
  <r>
    <s v="Bon de commande"/>
    <x v="0"/>
    <s v="Envoyé"/>
    <x v="169"/>
    <s v="1/4 CLUB ALU"/>
    <d v="2024-09-11T00:00:00"/>
    <s v="300220"/>
    <s v="ENVASES EUROPE"/>
    <n v="5500000"/>
  </r>
  <r>
    <s v="Bon de commande"/>
    <x v="0"/>
    <s v="Envoyé"/>
    <x v="170"/>
    <s v="fbn"/>
    <d v="2024-09-11T00:00:00"/>
    <s v="300356"/>
    <s v="MASSILY PORTUGAL"/>
    <n v="15465.89"/>
  </r>
  <r>
    <s v="Bon de commande"/>
    <x v="0"/>
    <s v="Envoyé"/>
    <x v="171"/>
    <s v="1/4 CLUB CONIQUE"/>
    <d v="2024-10-02T00:00:00"/>
    <s v="300115"/>
    <s v="AUXILIAR CONSERVERA SA"/>
    <n v="748440"/>
  </r>
  <r>
    <s v="Bon de commande"/>
    <x v="0"/>
    <s v="Envoyé"/>
    <x v="172"/>
    <s v="1/4 CLUB DR"/>
    <d v="2024-10-02T00:00:00"/>
    <s v="300381"/>
    <s v="ENVASES IBERICA"/>
    <n v="320973.4363"/>
  </r>
  <r>
    <s v="Bon de commande"/>
    <x v="0"/>
    <s v="Envoyé"/>
    <x v="173"/>
    <s v="JIL PACK A"/>
    <d v="2024-10-11T00:00:00"/>
    <s v="300115"/>
    <s v="AUXILIAR CONSERVERA SA"/>
    <n v="915204.07"/>
  </r>
  <r>
    <s v="Bon de commande"/>
    <x v="0"/>
    <s v="Envoyé"/>
    <x v="174"/>
    <s v="1/2 H PET"/>
    <d v="2024-10-17T00:00:00"/>
    <s v="300115"/>
    <s v="AUXILIAR CONSERVERA SA"/>
    <n v="163713.44"/>
  </r>
  <r>
    <s v="Bon de commande"/>
    <x v="0"/>
    <s v="Envoyé"/>
    <x v="175"/>
    <s v="1L OLINIA"/>
    <d v="2024-11-12T00:00:00"/>
    <s v="300115"/>
    <s v="AUXILIAR CONSERVERA SA"/>
    <n v="9508.9500000000007"/>
  </r>
  <r>
    <s v="Bon de commande"/>
    <x v="0"/>
    <s v="Envoyé"/>
    <x v="176"/>
    <s v="JIL PACK A"/>
    <d v="2024-11-19T00:00:00"/>
    <s v="300115"/>
    <s v="AUXILIAR CONSERVERA SA"/>
    <n v="485304.6924"/>
  </r>
  <r>
    <s v="Bon de commande"/>
    <x v="0"/>
    <s v="Envoyé"/>
    <x v="177"/>
    <s v="5L "/>
    <d v="2024-11-27T00:00:00"/>
    <s v="300115"/>
    <s v="AUXILIAR CONSERVERA SA"/>
    <n v="8800"/>
  </r>
  <r>
    <s v="Bon de commande"/>
    <x v="0"/>
    <s v="Envoyé"/>
    <x v="178"/>
    <s v="ALICOMAR"/>
    <d v="2024-11-27T00:00:00"/>
    <s v="300115"/>
    <s v="AUXILIAR CONSERVERA SA"/>
    <n v="118311.6"/>
  </r>
  <r>
    <s v="Bon de commande"/>
    <x v="0"/>
    <s v="Envoyé"/>
    <x v="179"/>
    <s v="JP A"/>
    <d v="2024-12-02T00:00:00"/>
    <s v="300115"/>
    <s v="AUXILIAR CONSERVERA SA"/>
    <n v="4627951.449"/>
  </r>
  <r>
    <s v="Bon de commande"/>
    <x v="0"/>
    <s v="Envoyé"/>
    <x v="180"/>
    <s v="5L "/>
    <d v="2024-12-10T00:00:00"/>
    <s v="300115"/>
    <s v="AUXILIAR CONSERVERA SA"/>
    <n v="0"/>
  </r>
  <r>
    <s v="Bon de commande"/>
    <x v="0"/>
    <s v="Envoyé"/>
    <x v="181"/>
    <s v="JIL PACK A"/>
    <d v="2024-12-18T00:00:00"/>
    <s v="300381"/>
    <s v="ENVASES IBERICA"/>
    <n v="68028.104099999997"/>
  </r>
  <r>
    <s v="Bon de commande"/>
    <x v="0"/>
    <s v="Envoyé"/>
    <x v="182"/>
    <s v="LOGI FOOD"/>
    <d v="2025-01-09T00:00:00"/>
    <s v="300381"/>
    <s v="ENVASES IBERICA"/>
    <n v="2119291.4270000001"/>
  </r>
  <r>
    <s v="Bon de commande"/>
    <x v="0"/>
    <s v="Envoyé"/>
    <x v="183"/>
    <s v="22L+1KG+5KG"/>
    <d v="2025-01-15T00:00:00"/>
    <s v="300356"/>
    <s v="MASSILY PORTUGAL"/>
    <n v="7584.28"/>
  </r>
  <r>
    <s v="Bon de commande"/>
    <x v="0"/>
    <s v="Envoyé"/>
    <x v="184"/>
    <s v="VMM"/>
    <d v="2025-02-18T00:00:00"/>
    <s v="300115"/>
    <s v="AUXILIAR CONSERVERA SA"/>
    <n v="64643.040000000001"/>
  </r>
  <r>
    <s v="Bon de commande"/>
    <x v="0"/>
    <s v="Envoyé"/>
    <x v="185"/>
    <s v="1/4 CLUB DR"/>
    <d v="2025-02-24T00:00:00"/>
    <s v="300381"/>
    <s v="ENVASES IBERICA"/>
    <n v="472557.3688"/>
  </r>
  <r>
    <s v="Bon de commande"/>
    <x v="0"/>
    <s v="Envoyé"/>
    <x v="186"/>
    <s v="JP A   2"/>
    <d v="2025-03-04T00:00:00"/>
    <s v="300220"/>
    <s v="ENVASES EUROPE"/>
    <n v="786254.96400000004"/>
  </r>
  <r>
    <s v="Bon de commande"/>
    <x v="0"/>
    <s v="Envoyé"/>
    <x v="187"/>
    <s v="QUATY 100ML"/>
    <d v="2025-03-21T00:00:00"/>
    <s v="300220"/>
    <s v="ENVASES EUROPE"/>
    <n v="1745.1279999999999"/>
  </r>
  <r>
    <s v="Bon de commande"/>
    <x v="0"/>
    <s v="Envoyé"/>
    <x v="188"/>
    <s v="1KG"/>
    <d v="2025-03-27T00:00:00"/>
    <s v="300356"/>
    <s v="MASSILY PORTUGAL"/>
    <n v="191219.6"/>
  </r>
  <r>
    <s v="Bon de commande"/>
    <x v="0"/>
    <s v="Envoyé"/>
    <x v="189"/>
    <s v="LOGI FOOD"/>
    <d v="2025-04-09T00:00:00"/>
    <s v="300381"/>
    <s v="ENVASES IBERICA"/>
    <n v="49406.038"/>
  </r>
  <r>
    <s v="Bon de commande"/>
    <x v="0"/>
    <s v="Envoyé"/>
    <x v="190"/>
    <s v="1/4 CLUB  ALU CON"/>
    <d v="2025-04-15T00:00:00"/>
    <s v="300220"/>
    <s v="ENVASES EUROPE"/>
    <n v="224572.65599999999"/>
  </r>
  <r>
    <s v="Bon de commande"/>
    <x v="0"/>
    <s v="Envoyé"/>
    <x v="191"/>
    <s v="SILVER FOOD"/>
    <d v="2025-04-17T00:00:00"/>
    <s v="300381"/>
    <s v="ENVASES IBERICA"/>
    <n v="2799363.6660000002"/>
  </r>
  <r>
    <s v="Bon de commande"/>
    <x v="0"/>
    <s v="Envoyé"/>
    <x v="192"/>
    <m/>
    <d v="2025-04-24T00:00:00"/>
    <s v="300154"/>
    <s v="VMM"/>
    <n v="223566.72"/>
  </r>
  <r>
    <s v="Bon de commande"/>
    <x v="0"/>
    <s v="Envoyé"/>
    <x v="193"/>
    <s v="LGMC+JP A"/>
    <d v="2025-04-28T00:00:00"/>
    <s v="300220"/>
    <s v="ENVASES EUROPE"/>
    <n v="805.42"/>
  </r>
  <r>
    <s v="Bon de commande"/>
    <x v="0"/>
    <s v="Envoyé"/>
    <x v="194"/>
    <s v="JP A 2"/>
    <d v="2025-05-08T00:00:00"/>
    <s v="300220"/>
    <s v="ENVASES EUROPE"/>
    <n v="568569.40800000005"/>
  </r>
  <r>
    <s v="Bon de commande"/>
    <x v="0"/>
    <s v="Envoyé"/>
    <x v="195"/>
    <s v="CVC 1/4 CLUB ALU"/>
    <d v="2025-05-14T00:00:00"/>
    <s v="300220"/>
    <s v="ENVASES EUROPE"/>
    <n v="1329900"/>
  </r>
  <r>
    <s v="Bon de commande"/>
    <x v="0"/>
    <s v="Envoyé"/>
    <x v="196"/>
    <s v="1/4 CLUB FB CON"/>
    <d v="2025-05-14T00:00:00"/>
    <s v="300220"/>
    <s v="ENVASES EUROPE"/>
    <n v="4672225.3600000003"/>
  </r>
  <r>
    <s v="Bon de commande"/>
    <x v="0"/>
    <s v="Envoyé"/>
    <x v="197"/>
    <s v="1/4 CLUB ALU DR"/>
    <d v="2025-05-14T00:00:00"/>
    <s v="300381"/>
    <s v="ENVASES IBERICA"/>
    <n v="1815000"/>
  </r>
  <r>
    <s v="Bon de commande"/>
    <x v="0"/>
    <s v="Envoyé"/>
    <x v="198"/>
    <m/>
    <d v="2025-05-19T00:00:00"/>
    <s v="300154"/>
    <s v="VMM"/>
    <n v="335350.08"/>
  </r>
  <r>
    <s v="Bon de commande"/>
    <x v="0"/>
    <s v="Envoyé"/>
    <x v="199"/>
    <s v="105 ATLAS"/>
    <d v="2025-06-02T00:00:00"/>
    <s v="300382"/>
    <s v="BA GLASS"/>
    <n v="153847.74239999999"/>
  </r>
  <r>
    <s v="Bon de commande"/>
    <x v="0"/>
    <s v="Envoyé"/>
    <x v="200"/>
    <s v="LES DEUX DOM*2*"/>
    <d v="2025-06-04T00:00:00"/>
    <s v="300115"/>
    <s v="AUXILIAR CONSERVERA SA"/>
    <n v="11654.775"/>
  </r>
  <r>
    <s v="Bon de commande"/>
    <x v="0"/>
    <s v="Envoyé"/>
    <x v="201"/>
    <s v="LOGI FOOD"/>
    <d v="2025-06-11T00:00:00"/>
    <s v="300381"/>
    <s v="ENVASES IBERICA"/>
    <n v="29627.576000000001"/>
  </r>
  <r>
    <s v="Bon de commande"/>
    <x v="0"/>
    <s v="Envoyé"/>
    <x v="202"/>
    <s v="1/4 CLUB FB BPANI"/>
    <d v="2025-06-18T00:00:00"/>
    <s v="300115"/>
    <s v="AUXILIAR CONSERVERA SA"/>
    <n v="2103309.1683999998"/>
  </r>
  <r>
    <s v="Bon de commande"/>
    <x v="0"/>
    <s v="Envoyé"/>
    <x v="203"/>
    <s v="MIROU HV GOLY ST"/>
    <d v="2025-06-20T00:00:00"/>
    <s v="300381"/>
    <s v="ENVASES IBERICA"/>
    <n v="1783202.52"/>
  </r>
  <r>
    <s v="Bon de commande"/>
    <x v="0"/>
    <s v="Envoyé"/>
    <x v="204"/>
    <s v="5/1 NEUTRE"/>
    <d v="2025-06-23T00:00:00"/>
    <s v="300115"/>
    <s v="AUXILIAR CONSERVERA SA"/>
    <n v="3665028.4065999999"/>
  </r>
  <r>
    <s v="Bon de commande"/>
    <x v="0"/>
    <s v="Envoyé"/>
    <x v="205"/>
    <s v="OCEAMIC"/>
    <d v="2025-07-09T00:00:00"/>
    <s v="300115"/>
    <s v="AUXILIAR CONSERVERA SA"/>
    <n v="756784.49"/>
  </r>
  <r>
    <s v="Bon de commande"/>
    <x v="0"/>
    <s v="Envoyé"/>
    <x v="206"/>
    <s v="1/4 CLUB ALU 27"/>
    <d v="2025-07-10T00:00:00"/>
    <s v="300220"/>
    <s v="ENVASES EUROPE"/>
    <n v="536800"/>
  </r>
  <r>
    <s v="Bon de commande"/>
    <x v="0"/>
    <s v="Envoyé"/>
    <x v="207"/>
    <s v="1/4 CLUB ALU CO29"/>
    <d v="2025-07-19T00:00:00"/>
    <s v="300220"/>
    <s v="ENVASES EUROPE"/>
    <n v="3152131.7729000002"/>
  </r>
  <r>
    <s v="Bon de commande"/>
    <x v="0"/>
    <s v="Envoyé"/>
    <x v="208"/>
    <s v="1/4 CLUB 90"/>
    <d v="2025-07-28T00:00:00"/>
    <s v="300220"/>
    <s v="ENVASES EUROPE"/>
    <n v="431457.4"/>
  </r>
  <r>
    <s v="Bon de commande"/>
    <x v="0"/>
    <s v="Envoyé"/>
    <x v="209"/>
    <s v="A10"/>
    <d v="2025-08-08T00:00:00"/>
    <s v="300115"/>
    <s v="AUXILIAR CONSERVERA SA"/>
    <n v="120114.32399999999"/>
  </r>
  <r>
    <s v="Bon de commande"/>
    <x v="0"/>
    <s v="Envoyé"/>
    <x v="210"/>
    <s v="MIROU HV GOLY ST"/>
    <d v="2025-08-08T00:00:00"/>
    <s v="300381"/>
    <s v="ENVASES IBERICA"/>
    <n v="941600"/>
  </r>
  <r>
    <s v="Bon de commande"/>
    <x v="0"/>
    <s v="Envoyé"/>
    <x v="211"/>
    <s v="TUNAMAX"/>
    <d v="2025-08-15T00:00:00"/>
    <s v="300381"/>
    <s v="ENVASES IBERICA"/>
    <n v="1930014.1006"/>
  </r>
  <r>
    <s v="Bon de commande"/>
    <x v="0"/>
    <s v="Envoyé"/>
    <x v="212"/>
    <s v="JP A"/>
    <d v="2025-08-18T00:00:00"/>
    <s v="300220"/>
    <s v="ENVASES EUROPE"/>
    <n v="1045000"/>
  </r>
  <r>
    <s v="Bon de commande"/>
    <x v="0"/>
    <s v="Envoyé"/>
    <x v="213"/>
    <s v="MIROU HV GOLY ST"/>
    <d v="2025-08-19T00:00:00"/>
    <s v="300381"/>
    <s v="ENVASES IBERICA"/>
    <n v="72341.275599999994"/>
  </r>
  <r>
    <s v="Bon de commande"/>
    <x v="0"/>
    <s v="Envoyé"/>
    <x v="214"/>
    <s v="1/4 CLUB ALU29"/>
    <d v="2025-09-09T00:00:00"/>
    <s v="300220"/>
    <s v="ENVASES EUROPE"/>
    <n v="1048068.12"/>
  </r>
  <r>
    <s v="Bon de commande"/>
    <x v="0"/>
    <s v="Envoyé"/>
    <x v="215"/>
    <s v="RO85  OS CVC OF"/>
    <d v="2025-09-16T00:00:00"/>
    <s v="300381"/>
    <s v="ENVASES IBERICA"/>
    <n v="333907.20000000001"/>
  </r>
  <r>
    <s v="Bon de commande"/>
    <x v="0"/>
    <s v="Envoyé"/>
    <x v="216"/>
    <s v="1/2 H"/>
    <d v="2025-09-19T00:00:00"/>
    <s v="300115"/>
    <s v="AUXILIAR CONSERVERA SA"/>
    <n v="130517.01300000001"/>
  </r>
  <r>
    <s v="Bon de commande"/>
    <x v="0"/>
    <s v="Envoyé"/>
    <x v="217"/>
    <s v="1/2 H TISSA"/>
    <d v="2025-09-22T00:00:00"/>
    <s v="300115"/>
    <s v="AUXILIAR CONSERVERA SA"/>
    <n v="1067220"/>
  </r>
  <r>
    <s v="Bon de commande"/>
    <x v="0"/>
    <s v="Envoyé"/>
    <x v="218"/>
    <s v="RO85 MIRO"/>
    <d v="2025-10-06T00:00:00"/>
    <s v="300381"/>
    <s v="ENVASES IBERICA"/>
    <n v="899800"/>
  </r>
  <r>
    <s v="Bon de commande"/>
    <x v="0"/>
    <s v="Envoyé"/>
    <x v="219"/>
    <s v="LOGI FOOD"/>
    <d v="2025-10-13T00:00:00"/>
    <s v="300381"/>
    <s v="ENVASES IBERICA"/>
    <n v="183300.579"/>
  </r>
  <r>
    <s v="Bon de commande"/>
    <x v="0"/>
    <s v="Envoyé"/>
    <x v="220"/>
    <s v="JP A"/>
    <d v="2025-11-04T00:00:00"/>
    <s v="300220"/>
    <s v="ENVASES EUROPE"/>
    <n v="158721.37710000001"/>
  </r>
  <r>
    <s v="Bon de commande"/>
    <x v="0"/>
    <s v="Envoyé"/>
    <x v="221"/>
    <s v="LOGI FOOD"/>
    <d v="2025-11-13T00:00:00"/>
    <s v="300381"/>
    <s v="ENVASES IBERICA"/>
    <n v="297330"/>
  </r>
  <r>
    <s v="Bon de commande"/>
    <x v="0"/>
    <s v="Envoyé"/>
    <x v="222"/>
    <s v="U.D"/>
    <d v="2025-11-26T00:00:00"/>
    <s v="300064"/>
    <s v="SONOCO Métal Packaging Maroc"/>
    <n v="10128"/>
  </r>
  <r>
    <s v="Bon de commande"/>
    <x v="0"/>
    <s v="Envoyé"/>
    <x v="223"/>
    <s v="TUNAMAX"/>
    <d v="2025-11-26T00:00:00"/>
    <s v="300381"/>
    <s v="ENVASES IBERICA"/>
    <n v="887558.1"/>
  </r>
  <r>
    <s v="Bon de commande"/>
    <x v="0"/>
    <s v="Envoyé"/>
    <x v="224"/>
    <s v="LOGI FOOD"/>
    <d v="2026-01-06T00:00:00"/>
    <s v="300381"/>
    <s v="ENVASES IBERICA"/>
    <n v="1777809.4861999999"/>
  </r>
  <r>
    <s v="Bon de commande"/>
    <x v="0"/>
    <s v="Envoyé"/>
    <x v="225"/>
    <s v="LOGI FOOD"/>
    <d v="2026-01-29T00:00:00"/>
    <s v="300381"/>
    <s v="ENVASES IBERICA"/>
    <n v="173491.7635"/>
  </r>
  <r>
    <s v="Bon de commande"/>
    <x v="0"/>
    <s v="Envoyé"/>
    <x v="226"/>
    <s v="JP A"/>
    <d v="2026-02-25T00:00:00"/>
    <s v="300115"/>
    <s v="AUXILIAR CONSERVERA SA"/>
    <n v="536310.027"/>
  </r>
  <r>
    <s v="Bon de commande"/>
    <x v="0"/>
    <s v="Envoyé"/>
    <x v="227"/>
    <s v="JP CASA"/>
    <d v="2026-03-04T00:00:00"/>
    <s v="300381"/>
    <s v="ENVASES IBERICA"/>
    <n v="3457484.7999999998"/>
  </r>
  <r>
    <s v="Bon de commande"/>
    <x v="0"/>
    <s v="Envoyé"/>
    <x v="228"/>
    <s v="4600ML"/>
    <d v="2026-03-09T00:00:00"/>
    <s v="300133"/>
    <s v="OP BOX "/>
    <n v="26395.599999999999"/>
  </r>
  <r>
    <s v="Bon de commande"/>
    <x v="0"/>
    <s v="Envoyé"/>
    <x v="229"/>
    <s v="1/2 H OF"/>
    <d v="2026-03-23T00:00:00"/>
    <s v="300115"/>
    <s v="AUXILIAR CONSERVERA SA"/>
    <n v="367400"/>
  </r>
  <r>
    <s v="Bon de commande"/>
    <x v="0"/>
    <s v="Envoyé"/>
    <x v="230"/>
    <s v="2300AM"/>
    <d v="2026-03-30T00:00:00"/>
    <s v="300133"/>
    <s v="OP BOX "/>
    <n v="202045.6"/>
  </r>
  <r>
    <s v="Bon de commande"/>
    <x v="0"/>
    <s v="Envoyé"/>
    <x v="231"/>
    <s v="1/4 CLUB 29"/>
    <d v="2026-03-30T00:00:00"/>
    <s v="300220"/>
    <s v="ENVASES EUROPE"/>
    <n v="3366000"/>
  </r>
  <r>
    <s v="Bon de commande"/>
    <x v="0"/>
    <s v="Envoyé"/>
    <x v="232"/>
    <s v="1/4 CLUB 125"/>
    <d v="2026-03-30T00:00:00"/>
    <s v="300220"/>
    <s v="ENVASES EUROPE"/>
    <n v="1679700"/>
  </r>
  <r>
    <s v="Bon de commande"/>
    <x v="0"/>
    <s v="Envoyé"/>
    <x v="233"/>
    <s v="CVC 1/4 CLUB FB"/>
    <d v="2026-03-30T00:00:00"/>
    <s v="300381"/>
    <s v="ENVASES IBERICA"/>
    <n v="1567500"/>
  </r>
  <r>
    <s v="Bon de commande"/>
    <x v="0"/>
    <s v="Envoyé"/>
    <x v="234"/>
    <s v="2K500"/>
    <d v="2026-04-07T00:00:00"/>
    <s v="300064"/>
    <s v="SONOCO Métal Packaging Maroc"/>
    <n v="5"/>
  </r>
  <r>
    <s v="Bon de commande"/>
    <x v="0"/>
    <s v="Envoyé"/>
    <x v="235"/>
    <s v="1/4CLUB ALU 22"/>
    <d v="2026-04-07T00:00:00"/>
    <s v="300220"/>
    <s v="ENVASES EUROPE"/>
    <n v="95000"/>
  </r>
  <r>
    <s v="Bon de commande"/>
    <x v="0"/>
    <s v="Envoyé"/>
    <x v="236"/>
    <s v="2KG5 "/>
    <d v="2026-04-13T00:00:00"/>
    <s v="300064"/>
    <s v="SONOCO Métal Packaging Maroc"/>
    <n v="170235.51999999999"/>
  </r>
  <r>
    <s v="Bon de commande"/>
    <x v="0"/>
    <s v="Envoyé"/>
    <x v="237"/>
    <d v="2026-04-04T00:00:00"/>
    <d v="2026-04-23T00:00:00"/>
    <s v="300064"/>
    <s v="SONOCO Métal Packaging Maroc"/>
    <n v="196145.04"/>
  </r>
  <r>
    <s v="Bon de commande"/>
    <x v="0"/>
    <s v="Envoyé"/>
    <x v="238"/>
    <s v="RO85 GOLDY HV"/>
    <d v="2026-04-24T00:00:00"/>
    <s v="300381"/>
    <s v="ENVASES IBERICA"/>
    <n v="1221990.088"/>
  </r>
  <r>
    <s v="Bon de commande"/>
    <x v="0"/>
    <s v="Envoyé"/>
    <x v="239"/>
    <s v="2300 NOIR"/>
    <d v="2026-04-27T00:00:00"/>
    <s v="300133"/>
    <s v="OP BOX "/>
    <n v="38500"/>
  </r>
  <r>
    <s v="Bon de commande"/>
    <x v="0"/>
    <s v="Envoyé"/>
    <x v="240"/>
    <s v="1/4 CLUB ALU29"/>
    <d v="2026-04-27T00:00:00"/>
    <s v="300220"/>
    <s v="ENVASES EUROPE"/>
    <n v="6050000"/>
  </r>
  <r>
    <s v="Bon de commande"/>
    <x v="0"/>
    <s v="Envoyé"/>
    <x v="241"/>
    <s v="1/4 CLUB FB"/>
    <d v="2026-04-28T00:00:00"/>
    <s v="300115"/>
    <s v="AUXILIAR CONSERVERA SA"/>
    <n v="5830000"/>
  </r>
  <r>
    <s v="Bon de commande"/>
    <x v="0"/>
    <s v="Envoyé"/>
    <x v="242"/>
    <s v="1/4 CLUB"/>
    <d v="2026-05-06T00:00:00"/>
    <s v="300080"/>
    <s v="MASSILLY"/>
    <n v="1200000"/>
  </r>
  <r>
    <s v="Bon de commande"/>
    <x v="0"/>
    <s v="Envoyé"/>
    <x v="243"/>
    <s v="2300ML"/>
    <d v="2026-05-06T00:00:00"/>
    <s v="300133"/>
    <s v="OP BOX "/>
    <n v="58521.599999999999"/>
  </r>
  <r>
    <s v="Bon de commande"/>
    <x v="0"/>
    <s v="Envoyé"/>
    <x v="244"/>
    <s v="1700 NEIMA"/>
    <d v="2026-05-11T00:00:00"/>
    <s v="300115"/>
    <s v="AUXILIAR CONSERVERA SA"/>
    <n v="214984"/>
  </r>
  <r>
    <s v="Bon de commande"/>
    <x v="0"/>
    <s v="Envoyé"/>
    <x v="245"/>
    <s v="212 ATLAS"/>
    <d v="2026-05-11T00:00:00"/>
    <s v="300588"/>
    <s v="SEVAM"/>
    <n v="1.0072000000000001"/>
  </r>
  <r>
    <s v="Bon de commande"/>
    <x v="0"/>
    <s v="Envoyé"/>
    <x v="246"/>
    <s v="2300ML"/>
    <d v="2026-05-13T00:00:00"/>
    <s v="300133"/>
    <s v="OP BOX "/>
    <n v="73382.399999999994"/>
  </r>
  <r>
    <s v="Bon de commande"/>
    <x v="0"/>
    <s v="Envoyé"/>
    <x v="247"/>
    <s v="5L NEUTRE"/>
    <d v="2026-06-04T00:00:00"/>
    <s v="300115"/>
    <s v="AUXILIAR CONSERVERA SA"/>
    <n v="4652.2475999999997"/>
  </r>
  <r>
    <s v="Bon de commande"/>
    <x v="0"/>
    <s v="Envoyé"/>
    <x v="248"/>
    <s v="1200ML"/>
    <d v="2026-06-04T00:00:00"/>
    <s v="300133"/>
    <s v="OP BOX "/>
    <n v="83584.5"/>
  </r>
  <r>
    <m/>
    <x v="0"/>
    <m/>
    <x v="249"/>
    <m/>
    <m/>
    <m/>
    <m/>
    <m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Bon de commande"/>
    <m/>
    <x v="0"/>
    <s v="BCA200019"/>
    <x v="0"/>
    <d v="2020-01-21T00:00:00"/>
    <s v="300081"/>
    <s v="JIL EMBALLAGES"/>
    <n v="89280"/>
  </r>
  <r>
    <s v="Bon de commande"/>
    <m/>
    <x v="0"/>
    <s v="BCA200062"/>
    <x v="1"/>
    <d v="2020-04-24T00:00:00"/>
    <s v="300115"/>
    <s v="AUXILIAR CONSERVERA SA"/>
    <n v="38959.153200000001"/>
  </r>
  <r>
    <s v="Bon de commande"/>
    <m/>
    <x v="0"/>
    <s v="BCA200063"/>
    <x v="2"/>
    <d v="2020-04-25T00:00:00"/>
    <s v="300115"/>
    <s v="AUXILIAR CONSERVERA SA"/>
    <n v="14941.789500000001"/>
  </r>
  <r>
    <s v="Bon de commande"/>
    <m/>
    <x v="0"/>
    <s v="BCA200069"/>
    <x v="3"/>
    <d v="2020-05-05T00:00:00"/>
    <s v="300115"/>
    <s v="AUXILIAR CONSERVERA SA"/>
    <n v="39493.684999999998"/>
  </r>
  <r>
    <s v="Bon de commande"/>
    <m/>
    <x v="0"/>
    <s v="BCA200072"/>
    <x v="4"/>
    <d v="2020-05-09T00:00:00"/>
    <s v="300115"/>
    <s v="AUXILIAR CONSERVERA SA"/>
    <n v="27368.871200000001"/>
  </r>
  <r>
    <s v="Bon de commande"/>
    <m/>
    <x v="0"/>
    <s v="BCA200074"/>
    <x v="5"/>
    <d v="2020-05-12T00:00:00"/>
    <s v="300115"/>
    <s v="AUXILIAR CONSERVERA SA"/>
    <n v="4752"/>
  </r>
  <r>
    <s v="Bon de commande"/>
    <m/>
    <x v="0"/>
    <s v="BCA200077"/>
    <x v="6"/>
    <d v="2020-05-18T00:00:00"/>
    <s v="300115"/>
    <s v="AUXILIAR CONSERVERA SA"/>
    <n v="105655"/>
  </r>
  <r>
    <s v="Bon de commande"/>
    <m/>
    <x v="0"/>
    <s v="BCA200078"/>
    <x v="7"/>
    <d v="2020-05-18T00:00:00"/>
    <s v="300115"/>
    <s v="AUXILIAR CONSERVERA SA"/>
    <n v="386100"/>
  </r>
  <r>
    <s v="Bon de commande"/>
    <m/>
    <x v="0"/>
    <s v="BCA200080"/>
    <x v="8"/>
    <d v="2020-05-21T00:00:00"/>
    <s v="300115"/>
    <s v="AUXILIAR CONSERVERA SA"/>
    <n v="91193.337400000004"/>
  </r>
  <r>
    <s v="Bon de commande"/>
    <m/>
    <x v="0"/>
    <s v="BCA200082"/>
    <x v="9"/>
    <d v="2020-05-21T00:00:00"/>
    <s v="300115"/>
    <s v="AUXILIAR CONSERVERA SA"/>
    <n v="158664"/>
  </r>
  <r>
    <s v="Bon de commande"/>
    <m/>
    <x v="0"/>
    <s v="BCA200095"/>
    <x v="10"/>
    <d v="2020-06-12T00:00:00"/>
    <s v="300115"/>
    <s v="AUXILIAR CONSERVERA SA"/>
    <n v="85358.592000000004"/>
  </r>
  <r>
    <s v="Bon de commande"/>
    <m/>
    <x v="0"/>
    <s v="BCA200099"/>
    <x v="11"/>
    <d v="2020-06-22T00:00:00"/>
    <s v="300302"/>
    <s v="SOMME MAROC"/>
    <n v="6300"/>
  </r>
  <r>
    <s v="Bon de commande"/>
    <m/>
    <x v="0"/>
    <s v="BCA200105"/>
    <x v="3"/>
    <d v="2020-06-24T00:00:00"/>
    <s v="300115"/>
    <s v="AUXILIAR CONSERVERA SA"/>
    <n v="49335.752399999998"/>
  </r>
  <r>
    <s v="Bon de commande"/>
    <m/>
    <x v="0"/>
    <s v="BCA200108"/>
    <x v="12"/>
    <d v="2020-07-02T00:00:00"/>
    <s v="300115"/>
    <s v="AUXILIAR CONSERVERA SA"/>
    <n v="405107.40600000002"/>
  </r>
  <r>
    <s v="Bon de commande"/>
    <m/>
    <x v="0"/>
    <s v="BCA200113"/>
    <x v="13"/>
    <d v="2020-07-08T00:00:00"/>
    <s v="300115"/>
    <s v="AUXILIAR CONSERVERA SA"/>
    <n v="634800.44099999999"/>
  </r>
  <r>
    <s v="Bon de commande"/>
    <m/>
    <x v="0"/>
    <s v="BCA200125"/>
    <x v="12"/>
    <d v="2020-07-23T00:00:00"/>
    <s v="300115"/>
    <s v="AUXILIAR CONSERVERA SA"/>
    <n v="3091330.1275999998"/>
  </r>
  <r>
    <s v="Bon de commande"/>
    <m/>
    <x v="0"/>
    <s v="BCA200126"/>
    <x v="14"/>
    <d v="2020-07-24T00:00:00"/>
    <s v="300115"/>
    <s v="AUXILIAR CONSERVERA SA"/>
    <n v="16414.930400000001"/>
  </r>
  <r>
    <s v="Bon de commande"/>
    <m/>
    <x v="0"/>
    <s v="BCA200136"/>
    <x v="15"/>
    <d v="2020-08-28T00:00:00"/>
    <s v="300115"/>
    <s v="AUXILIAR CONSERVERA SA"/>
    <n v="74250"/>
  </r>
  <r>
    <s v="Bon de commande"/>
    <m/>
    <x v="0"/>
    <s v="BCA200140"/>
    <x v="12"/>
    <d v="2020-09-02T00:00:00"/>
    <s v="300115"/>
    <s v="AUXILIAR CONSERVERA SA"/>
    <n v="17183.832600000002"/>
  </r>
  <r>
    <s v="Bon de commande"/>
    <m/>
    <x v="0"/>
    <s v="BCA200148"/>
    <x v="16"/>
    <d v="2020-09-17T00:00:00"/>
    <s v="300115"/>
    <s v="AUXILIAR CONSERVERA SA"/>
    <n v="10175"/>
  </r>
  <r>
    <s v="Bon de commande"/>
    <m/>
    <x v="0"/>
    <s v="BCA200162"/>
    <x v="17"/>
    <d v="2020-10-06T00:00:00"/>
    <s v="300081"/>
    <s v="JIL EMBALLAGES"/>
    <n v="106750"/>
  </r>
  <r>
    <s v="Bon de commande"/>
    <m/>
    <x v="0"/>
    <s v="BCA200164"/>
    <x v="13"/>
    <d v="2020-10-13T00:00:00"/>
    <s v="300115"/>
    <s v="AUXILIAR CONSERVERA SA"/>
    <n v="100208.317"/>
  </r>
  <r>
    <s v="Bon de commande"/>
    <m/>
    <x v="0"/>
    <s v="BCA200165"/>
    <x v="18"/>
    <d v="2020-10-13T00:00:00"/>
    <s v="300115"/>
    <s v="AUXILIAR CONSERVERA SA"/>
    <n v="70547.399999999994"/>
  </r>
  <r>
    <s v="Bon de commande"/>
    <m/>
    <x v="0"/>
    <s v="BCA200167"/>
    <x v="1"/>
    <d v="2020-10-14T00:00:00"/>
    <s v="300115"/>
    <s v="AUXILIAR CONSERVERA SA"/>
    <n v="1207324.6680000001"/>
  </r>
  <r>
    <s v="Bon de commande"/>
    <m/>
    <x v="0"/>
    <s v="BCA200171"/>
    <x v="19"/>
    <d v="2020-10-17T00:00:00"/>
    <s v="300115"/>
    <s v="AUXILIAR CONSERVERA SA"/>
    <n v="2200"/>
  </r>
  <r>
    <s v="Bon de commande"/>
    <m/>
    <x v="0"/>
    <s v="BCA200179"/>
    <x v="20"/>
    <d v="2020-10-23T00:00:00"/>
    <s v="300076"/>
    <s v="SOCIETE CENTRALE D'EMBALLAGES"/>
    <n v="3000"/>
  </r>
  <r>
    <s v="Bon de commande"/>
    <m/>
    <x v="0"/>
    <s v="BCA200181"/>
    <x v="13"/>
    <d v="2020-11-02T00:00:00"/>
    <s v="300115"/>
    <s v="AUXILIAR CONSERVERA SA"/>
    <n v="417704.1"/>
  </r>
  <r>
    <s v="Bon de commande"/>
    <m/>
    <x v="0"/>
    <s v="BCA200184"/>
    <x v="8"/>
    <d v="2020-11-05T00:00:00"/>
    <s v="300115"/>
    <s v="AUXILIAR CONSERVERA SA"/>
    <n v="198659.0221"/>
  </r>
  <r>
    <s v="Bon de commande"/>
    <m/>
    <x v="0"/>
    <s v="BCA200185"/>
    <x v="13"/>
    <d v="2020-11-09T00:00:00"/>
    <s v="300115"/>
    <s v="AUXILIAR CONSERVERA SA"/>
    <n v="36301.65"/>
  </r>
  <r>
    <s v="Bon de commande"/>
    <m/>
    <x v="0"/>
    <s v="BCA200188"/>
    <x v="21"/>
    <d v="2020-11-13T00:00:00"/>
    <s v="300115"/>
    <s v="AUXILIAR CONSERVERA SA"/>
    <n v="434138.56199999998"/>
  </r>
  <r>
    <s v="Bon de commande"/>
    <m/>
    <x v="0"/>
    <s v="BCA200190"/>
    <x v="22"/>
    <d v="2020-11-19T00:00:00"/>
    <s v="300115"/>
    <s v="AUXILIAR CONSERVERA SA"/>
    <n v="8409.3768"/>
  </r>
  <r>
    <s v="Bon de commande"/>
    <m/>
    <x v="0"/>
    <s v="BCA200191"/>
    <x v="12"/>
    <d v="2020-11-19T00:00:00"/>
    <s v="300115"/>
    <s v="AUXILIAR CONSERVERA SA"/>
    <n v="523498.8616"/>
  </r>
  <r>
    <s v="Bon de commande"/>
    <m/>
    <x v="0"/>
    <s v="BCA200194"/>
    <x v="23"/>
    <d v="2020-11-25T00:00:00"/>
    <s v="300081"/>
    <s v="JIL EMBALLAGES"/>
    <n v="1041.67"/>
  </r>
  <r>
    <s v="Bon de commande"/>
    <m/>
    <x v="0"/>
    <s v="BCA200198"/>
    <x v="24"/>
    <d v="2020-12-10T00:00:00"/>
    <s v="300115"/>
    <s v="AUXILIAR CONSERVERA SA"/>
    <n v="14929.683999999999"/>
  </r>
  <r>
    <s v="Bon de commande"/>
    <m/>
    <x v="0"/>
    <s v="BCA200205"/>
    <x v="25"/>
    <d v="2020-12-24T00:00:00"/>
    <s v="300115"/>
    <s v="AUXILIAR CONSERVERA SA"/>
    <n v="612184.21"/>
  </r>
  <r>
    <s v="Bon de commande"/>
    <m/>
    <x v="0"/>
    <s v="BCA200206"/>
    <x v="26"/>
    <d v="2020-12-24T00:00:00"/>
    <s v="300115"/>
    <s v="AUXILIAR CONSERVERA SA"/>
    <n v="2297680"/>
  </r>
  <r>
    <s v="Bon de commande"/>
    <m/>
    <x v="0"/>
    <s v="BCA200207"/>
    <x v="27"/>
    <d v="2020-12-25T00:00:00"/>
    <s v="300115"/>
    <s v="AUXILIAR CONSERVERA SA"/>
    <n v="152130"/>
  </r>
  <r>
    <s v="Bon de commande"/>
    <m/>
    <x v="0"/>
    <s v="BCA200208"/>
    <x v="28"/>
    <d v="2020-12-25T00:00:00"/>
    <s v="300115"/>
    <s v="AUXILIAR CONSERVERA SA"/>
    <n v="76065"/>
  </r>
  <r>
    <s v="Bon de commande"/>
    <m/>
    <x v="0"/>
    <s v="BCA200209"/>
    <x v="29"/>
    <d v="2020-12-25T00:00:00"/>
    <s v="300115"/>
    <s v="AUXILIAR CONSERVERA SA"/>
    <n v="76065"/>
  </r>
  <r>
    <s v="Bon de commande"/>
    <m/>
    <x v="0"/>
    <s v="BCA200210"/>
    <x v="30"/>
    <d v="2020-12-31T00:00:00"/>
    <s v="300115"/>
    <s v="AUXILIAR CONSERVERA SA"/>
    <n v="13824.755999999999"/>
  </r>
  <r>
    <s v="Bon de commande"/>
    <m/>
    <x v="0"/>
    <s v="BCA210001"/>
    <x v="31"/>
    <d v="2021-01-07T00:00:00"/>
    <s v="300115"/>
    <s v="AUXILIAR CONSERVERA SA"/>
    <n v="91524.356"/>
  </r>
  <r>
    <s v="Bon de commande"/>
    <m/>
    <x v="0"/>
    <s v="BCA210003"/>
    <x v="32"/>
    <d v="2021-01-12T00:00:00"/>
    <s v="300115"/>
    <s v="AUXILIAR CONSERVERA SA"/>
    <n v="40225.68"/>
  </r>
  <r>
    <s v="Bon de commande"/>
    <m/>
    <x v="0"/>
    <s v="BCA210007"/>
    <x v="33"/>
    <d v="2021-01-14T00:00:00"/>
    <s v="300115"/>
    <s v="AUXILIAR CONSERVERA SA"/>
    <n v="1678501.2749999999"/>
  </r>
  <r>
    <s v="Bon de commande"/>
    <m/>
    <x v="0"/>
    <s v="BCA210008"/>
    <x v="1"/>
    <d v="2021-01-18T00:00:00"/>
    <s v="300115"/>
    <s v="AUXILIAR CONSERVERA SA"/>
    <n v="104346.39599999999"/>
  </r>
  <r>
    <s v="Bon de commande"/>
    <m/>
    <x v="0"/>
    <s v="BCA210009"/>
    <x v="1"/>
    <d v="2021-01-18T00:00:00"/>
    <s v="300115"/>
    <s v="AUXILIAR CONSERVERA SA"/>
    <n v="93401.066000000006"/>
  </r>
  <r>
    <s v="Bon de commande"/>
    <m/>
    <x v="0"/>
    <s v="BCA210011"/>
    <x v="34"/>
    <d v="2021-01-19T00:00:00"/>
    <s v="300115"/>
    <s v="AUXILIAR CONSERVERA SA"/>
    <n v="165749.76000000001"/>
  </r>
  <r>
    <s v="Bon de commande"/>
    <m/>
    <x v="0"/>
    <s v="BCA210019"/>
    <x v="35"/>
    <d v="2021-02-05T00:00:00"/>
    <s v="300115"/>
    <s v="AUXILIAR CONSERVERA SA"/>
    <n v="20328"/>
  </r>
  <r>
    <s v="Bon de commande"/>
    <m/>
    <x v="0"/>
    <s v="BCA210021"/>
    <x v="1"/>
    <d v="2021-02-08T00:00:00"/>
    <s v="300115"/>
    <s v="AUXILIAR CONSERVERA SA"/>
    <n v="9012.8279999999995"/>
  </r>
  <r>
    <s v="Bon de commande"/>
    <m/>
    <x v="0"/>
    <s v="BCA210022"/>
    <x v="14"/>
    <d v="2021-02-08T00:00:00"/>
    <s v="300115"/>
    <s v="AUXILIAR CONSERVERA SA"/>
    <n v="275838.55200000003"/>
  </r>
  <r>
    <s v="Bon de commande"/>
    <m/>
    <x v="0"/>
    <s v="BCA210024"/>
    <x v="36"/>
    <d v="2021-02-18T00:00:00"/>
    <s v="300115"/>
    <s v="AUXILIAR CONSERVERA SA"/>
    <n v="316169.56800000003"/>
  </r>
  <r>
    <s v="Bon de commande"/>
    <m/>
    <x v="0"/>
    <s v="BCA210025"/>
    <x v="1"/>
    <d v="2021-02-18T00:00:00"/>
    <s v="300115"/>
    <s v="AUXILIAR CONSERVERA SA"/>
    <n v="7929802.4960000003"/>
  </r>
  <r>
    <s v="Bon de commande"/>
    <m/>
    <x v="0"/>
    <s v="BCA210029"/>
    <x v="37"/>
    <d v="2021-03-02T00:00:00"/>
    <s v="300115"/>
    <s v="AUXILIAR CONSERVERA SA"/>
    <n v="60206.96"/>
  </r>
  <r>
    <s v="Bon de commande"/>
    <m/>
    <x v="0"/>
    <s v="BCA210034"/>
    <x v="38"/>
    <d v="2021-03-18T00:00:00"/>
    <s v="300115"/>
    <s v="AUXILIAR CONSERVERA SA"/>
    <n v="18771.768400000001"/>
  </r>
  <r>
    <s v="Bon de commande"/>
    <m/>
    <x v="0"/>
    <s v="BCA210035"/>
    <x v="38"/>
    <d v="2021-03-24T00:00:00"/>
    <s v="300115"/>
    <s v="AUXILIAR CONSERVERA SA"/>
    <n v="202840"/>
  </r>
  <r>
    <s v="Bon de commande"/>
    <m/>
    <x v="0"/>
    <s v="BCA210037"/>
    <x v="36"/>
    <d v="2021-03-26T00:00:00"/>
    <s v="300115"/>
    <s v="AUXILIAR CONSERVERA SA"/>
    <n v="474254.35200000001"/>
  </r>
  <r>
    <s v="Bon de commande"/>
    <m/>
    <x v="0"/>
    <s v="BCA210039"/>
    <x v="39"/>
    <d v="2021-04-03T00:00:00"/>
    <s v="300115"/>
    <s v="AUXILIAR CONSERVERA SA"/>
    <n v="202917"/>
  </r>
  <r>
    <s v="Bon de commande"/>
    <m/>
    <x v="0"/>
    <s v="BCA210043"/>
    <x v="40"/>
    <d v="2021-04-09T00:00:00"/>
    <s v="300115"/>
    <s v="AUXILIAR CONSERVERA SA"/>
    <n v="2339492.5641999999"/>
  </r>
  <r>
    <s v="Bon de commande"/>
    <m/>
    <x v="0"/>
    <s v="BCA210045"/>
    <x v="41"/>
    <d v="2021-04-12T00:00:00"/>
    <s v="300115"/>
    <s v="AUXILIAR CONSERVERA SA"/>
    <n v="54146.822399999997"/>
  </r>
  <r>
    <s v="Bon de commande"/>
    <m/>
    <x v="0"/>
    <s v="BCA210051"/>
    <x v="42"/>
    <d v="2021-04-21T00:00:00"/>
    <s v="300115"/>
    <s v="AUXILIAR CONSERVERA SA"/>
    <n v="66528"/>
  </r>
  <r>
    <s v="Bon de commande"/>
    <m/>
    <x v="0"/>
    <s v="BCA210053"/>
    <x v="13"/>
    <d v="2021-04-22T00:00:00"/>
    <s v="300115"/>
    <s v="AUXILIAR CONSERVERA SA"/>
    <n v="173061.21799999999"/>
  </r>
  <r>
    <s v="Bon de commande"/>
    <m/>
    <x v="0"/>
    <s v="BCA210063"/>
    <x v="43"/>
    <d v="2021-05-19T00:00:00"/>
    <s v="300115"/>
    <s v="AUXILIAR CONSERVERA SA"/>
    <n v="369600"/>
  </r>
  <r>
    <s v="Bon de commande"/>
    <m/>
    <x v="0"/>
    <s v="BCA210066"/>
    <x v="44"/>
    <d v="2021-05-25T00:00:00"/>
    <s v="300115"/>
    <s v="AUXILIAR CONSERVERA SA"/>
    <n v="32778.196000000004"/>
  </r>
  <r>
    <s v="Bon de commande"/>
    <m/>
    <x v="0"/>
    <s v="BCA210067"/>
    <x v="44"/>
    <d v="2021-05-25T00:00:00"/>
    <s v="300115"/>
    <s v="AUXILIAR CONSERVERA SA"/>
    <n v="45456.857600000003"/>
  </r>
  <r>
    <s v="Bon de commande"/>
    <m/>
    <x v="0"/>
    <s v="BCA210069"/>
    <x v="45"/>
    <d v="2021-05-28T00:00:00"/>
    <s v="300115"/>
    <s v="AUXILIAR CONSERVERA SA"/>
    <n v="619520"/>
  </r>
  <r>
    <s v="Bon de commande"/>
    <m/>
    <x v="0"/>
    <s v="BCA210070"/>
    <x v="45"/>
    <d v="2021-05-28T00:00:00"/>
    <s v="300115"/>
    <s v="AUXILIAR CONSERVERA SA"/>
    <n v="601677.82400000002"/>
  </r>
  <r>
    <s v="Bon de commande"/>
    <m/>
    <x v="0"/>
    <s v="BCA210071"/>
    <x v="1"/>
    <d v="2021-05-29T00:00:00"/>
    <s v="300115"/>
    <s v="AUXILIAR CONSERVERA SA"/>
    <n v="1759558.5083999999"/>
  </r>
  <r>
    <s v="Bon de commande"/>
    <m/>
    <x v="0"/>
    <s v="BCA210077"/>
    <x v="1"/>
    <d v="2021-06-08T00:00:00"/>
    <s v="300115"/>
    <s v="AUXILIAR CONSERVERA SA"/>
    <n v="9081.7628000000004"/>
  </r>
  <r>
    <s v="Bon de commande"/>
    <m/>
    <x v="0"/>
    <s v="BCA210080"/>
    <x v="34"/>
    <d v="2021-06-12T00:00:00"/>
    <s v="300115"/>
    <s v="AUXILIAR CONSERVERA SA"/>
    <n v="802204.84299999999"/>
  </r>
  <r>
    <s v="Bon de commande"/>
    <m/>
    <x v="0"/>
    <s v="BCA210082"/>
    <x v="1"/>
    <d v="2021-06-15T00:00:00"/>
    <s v="300115"/>
    <s v="AUXILIAR CONSERVERA SA"/>
    <n v="2052600"/>
  </r>
  <r>
    <s v="Bon de commande"/>
    <m/>
    <x v="0"/>
    <s v="BCA210083"/>
    <x v="12"/>
    <d v="2021-06-22T00:00:00"/>
    <s v="300115"/>
    <s v="AUXILIAR CONSERVERA SA"/>
    <n v="111936.84480000001"/>
  </r>
  <r>
    <s v="Bon de commande"/>
    <m/>
    <x v="0"/>
    <s v="BCA210090"/>
    <x v="46"/>
    <d v="2021-07-03T00:00:00"/>
    <s v="300115"/>
    <s v="AUXILIAR CONSERVERA SA"/>
    <n v="152277.84"/>
  </r>
  <r>
    <s v="Bon de commande"/>
    <m/>
    <x v="0"/>
    <s v="BCA210096"/>
    <x v="47"/>
    <d v="2021-08-24T00:00:00"/>
    <s v="300115"/>
    <s v="AUXILIAR CONSERVERA SA"/>
    <n v="133903.42240000001"/>
  </r>
  <r>
    <s v="Bon de commande"/>
    <m/>
    <x v="0"/>
    <s v="BCA210099"/>
    <x v="41"/>
    <d v="2021-09-07T00:00:00"/>
    <s v="300115"/>
    <s v="AUXILIAR CONSERVERA SA"/>
    <n v="203030.61900000001"/>
  </r>
  <r>
    <s v="Bon de commande"/>
    <m/>
    <x v="0"/>
    <s v="BCA210101"/>
    <x v="48"/>
    <d v="2021-09-21T00:00:00"/>
    <s v="300115"/>
    <s v="AUXILIAR CONSERVERA SA"/>
    <n v="1458170.1816"/>
  </r>
  <r>
    <s v="Bon de commande"/>
    <m/>
    <x v="0"/>
    <s v="BCA210103"/>
    <x v="49"/>
    <d v="2021-09-21T00:00:00"/>
    <s v="300115"/>
    <s v="AUXILIAR CONSERVERA SA"/>
    <n v="7117000"/>
  </r>
  <r>
    <s v="Bon de commande"/>
    <m/>
    <x v="0"/>
    <s v="BCA210105"/>
    <x v="50"/>
    <d v="2021-09-30T00:00:00"/>
    <s v="300076"/>
    <s v="SOCIETE CENTRALE D'EMBALLAGES"/>
    <n v="4200"/>
  </r>
  <r>
    <s v="Bon de commande"/>
    <m/>
    <x v="0"/>
    <s v="BCA210108"/>
    <x v="51"/>
    <d v="2021-10-15T00:00:00"/>
    <s v="300115"/>
    <s v="AUXILIAR CONSERVERA SA"/>
    <n v="188456.22289999999"/>
  </r>
  <r>
    <s v="Bon de commande"/>
    <m/>
    <x v="0"/>
    <s v="BCA210113"/>
    <x v="43"/>
    <d v="2021-10-28T00:00:00"/>
    <s v="300115"/>
    <s v="AUXILIAR CONSERVERA SA"/>
    <n v="202840"/>
  </r>
  <r>
    <s v="Bon de commande"/>
    <m/>
    <x v="0"/>
    <s v="BCA210116"/>
    <x v="12"/>
    <d v="2021-11-09T00:00:00"/>
    <s v="300115"/>
    <s v="AUXILIAR CONSERVERA SA"/>
    <n v="7623.6952000000001"/>
  </r>
  <r>
    <s v="Bon de commande"/>
    <m/>
    <x v="0"/>
    <s v="BCA210117"/>
    <x v="1"/>
    <d v="2021-11-10T00:00:00"/>
    <s v="300115"/>
    <s v="AUXILIAR CONSERVERA SA"/>
    <n v="368902.92560000002"/>
  </r>
  <r>
    <s v="Bon de commande"/>
    <m/>
    <x v="0"/>
    <s v="BCA210118"/>
    <x v="52"/>
    <d v="2021-11-15T00:00:00"/>
    <s v="300115"/>
    <s v="AUXILIAR CONSERVERA SA"/>
    <n v="317884.908"/>
  </r>
  <r>
    <s v="Bon de commande"/>
    <m/>
    <x v="0"/>
    <s v="BCA210124"/>
    <x v="53"/>
    <d v="2021-12-30T00:00:00"/>
    <s v="300312"/>
    <s v="ILIP S.r.l."/>
    <n v="15586.56"/>
  </r>
  <r>
    <s v="Bon de commande"/>
    <m/>
    <x v="0"/>
    <s v="BCA210125"/>
    <x v="54"/>
    <d v="2022-01-10T00:00:00"/>
    <s v="300081"/>
    <s v="JIL EMBALLAGES"/>
    <n v="121150.08"/>
  </r>
  <r>
    <s v="Bon de commande"/>
    <m/>
    <x v="0"/>
    <s v="BCA210126"/>
    <x v="55"/>
    <d v="2022-01-19T00:00:00"/>
    <s v="300115"/>
    <s v="AUXILIAR CONSERVERA SA"/>
    <n v="816512.46600000001"/>
  </r>
  <r>
    <s v="Bon de commande"/>
    <m/>
    <x v="0"/>
    <s v="BCA210128"/>
    <x v="33"/>
    <d v="2022-01-24T00:00:00"/>
    <s v="300115"/>
    <s v="AUXILIAR CONSERVERA SA"/>
    <n v="3335108.6252000001"/>
  </r>
  <r>
    <s v="Bon de commande"/>
    <m/>
    <x v="0"/>
    <s v="BCA210132"/>
    <x v="56"/>
    <d v="2022-03-26T00:00:00"/>
    <s v="300115"/>
    <s v="AUXILIAR CONSERVERA SA"/>
    <n v="0"/>
  </r>
  <r>
    <s v="Bon de commande"/>
    <m/>
    <x v="0"/>
    <s v="BCA210133"/>
    <x v="56"/>
    <d v="2022-03-31T00:00:00"/>
    <s v="300115"/>
    <s v="AUXILIAR CONSERVERA SA"/>
    <n v="105917.0442"/>
  </r>
  <r>
    <s v="Bon de commande"/>
    <m/>
    <x v="0"/>
    <s v="BCA210135"/>
    <x v="57"/>
    <d v="2022-04-19T00:00:00"/>
    <s v="300115"/>
    <s v="AUXILIAR CONSERVERA SA"/>
    <n v="1588087.5053999999"/>
  </r>
  <r>
    <s v="Bon de commande"/>
    <m/>
    <x v="0"/>
    <s v="BCA220011"/>
    <x v="12"/>
    <d v="2022-04-26T00:00:00"/>
    <s v="300115"/>
    <s v="AUXILIAR CONSERVERA SA"/>
    <n v="46779.612000000001"/>
  </r>
  <r>
    <s v="Bon de commande"/>
    <m/>
    <x v="0"/>
    <s v="BCA220013"/>
    <x v="10"/>
    <d v="2022-05-13T00:00:00"/>
    <s v="300115"/>
    <s v="AUXILIAR CONSERVERA SA"/>
    <n v="104018.80499999999"/>
  </r>
  <r>
    <s v="Bon de commande"/>
    <m/>
    <x v="0"/>
    <s v="BCA220019"/>
    <x v="58"/>
    <d v="2022-06-09T00:00:00"/>
    <s v="300115"/>
    <s v="AUXILIAR CONSERVERA SA"/>
    <n v="17769.5144"/>
  </r>
  <r>
    <s v="Bon de commande"/>
    <m/>
    <x v="0"/>
    <s v="BCA220021"/>
    <x v="59"/>
    <d v="2022-06-13T00:00:00"/>
    <s v="300115"/>
    <s v="AUXILIAR CONSERVERA SA"/>
    <n v="0"/>
  </r>
  <r>
    <s v="Bon de commande"/>
    <m/>
    <x v="0"/>
    <s v="BCA220022"/>
    <x v="60"/>
    <d v="2022-06-13T00:00:00"/>
    <s v="300115"/>
    <s v="AUXILIAR CONSERVERA SA"/>
    <n v="4079397.8412000001"/>
  </r>
  <r>
    <s v="Bon de commande"/>
    <m/>
    <x v="0"/>
    <s v="BCA220025"/>
    <x v="61"/>
    <d v="2022-07-25T00:00:00"/>
    <s v="300115"/>
    <s v="AUXILIAR CONSERVERA SA"/>
    <n v="660194.21710000001"/>
  </r>
  <r>
    <s v="Bon de commande"/>
    <m/>
    <x v="0"/>
    <s v="BCA220029"/>
    <x v="10"/>
    <d v="2022-08-11T00:00:00"/>
    <s v="300115"/>
    <s v="AUXILIAR CONSERVERA SA"/>
    <n v="129094.02"/>
  </r>
  <r>
    <s v="Bon de commande"/>
    <m/>
    <x v="0"/>
    <s v="BCA220032"/>
    <x v="48"/>
    <d v="2022-08-23T00:00:00"/>
    <s v="300115"/>
    <s v="AUXILIAR CONSERVERA SA"/>
    <n v="173934.54759999999"/>
  </r>
  <r>
    <s v="Bon de commande"/>
    <m/>
    <x v="0"/>
    <s v="BCA220033"/>
    <x v="45"/>
    <d v="2022-08-23T00:00:00"/>
    <s v="300115"/>
    <s v="AUXILIAR CONSERVERA SA"/>
    <n v="652520"/>
  </r>
  <r>
    <s v="Bon de commande"/>
    <m/>
    <x v="0"/>
    <s v="BCA220034"/>
    <x v="55"/>
    <d v="2022-08-26T00:00:00"/>
    <s v="300115"/>
    <s v="AUXILIAR CONSERVERA SA"/>
    <n v="762543.93599999999"/>
  </r>
  <r>
    <s v="Bon de commande"/>
    <m/>
    <x v="0"/>
    <s v="BCA220038"/>
    <x v="62"/>
    <d v="2022-09-02T00:00:00"/>
    <s v="300115"/>
    <s v="AUXILIAR CONSERVERA SA"/>
    <n v="154598.39999999999"/>
  </r>
  <r>
    <s v="Bon de commande"/>
    <m/>
    <x v="0"/>
    <s v="BCA220039"/>
    <x v="41"/>
    <d v="2022-09-09T00:00:00"/>
    <s v="300115"/>
    <s v="AUXILIAR CONSERVERA SA"/>
    <n v="108419.564"/>
  </r>
  <r>
    <s v="Bon de commande"/>
    <m/>
    <x v="0"/>
    <s v="BCA220044"/>
    <x v="41"/>
    <d v="2022-10-07T00:00:00"/>
    <s v="300115"/>
    <s v="AUXILIAR CONSERVERA SA"/>
    <n v="152056.88080000001"/>
  </r>
  <r>
    <s v="Bon de commande"/>
    <m/>
    <x v="0"/>
    <s v="BCA220045"/>
    <x v="63"/>
    <d v="2022-10-07T00:00:00"/>
    <s v="300115"/>
    <s v="AUXILIAR CONSERVERA SA"/>
    <n v="21210.6587"/>
  </r>
  <r>
    <s v="Bon de commande"/>
    <m/>
    <x v="0"/>
    <s v="BCA220046"/>
    <x v="33"/>
    <d v="2022-10-07T00:00:00"/>
    <s v="300115"/>
    <s v="AUXILIAR CONSERVERA SA"/>
    <n v="5582.94"/>
  </r>
  <r>
    <s v="Bon de commande"/>
    <m/>
    <x v="0"/>
    <s v="BCA220048"/>
    <x v="64"/>
    <d v="2022-10-17T00:00:00"/>
    <s v="300226"/>
    <s v="Sarten Ambalaj Sanayi ve Ticaret AS"/>
    <n v="2557.8000000000002"/>
  </r>
  <r>
    <s v="Bon de commande"/>
    <m/>
    <x v="0"/>
    <s v="BCA220049"/>
    <x v="65"/>
    <d v="2022-10-27T00:00:00"/>
    <s v="300115"/>
    <s v="AUXILIAR CONSERVERA SA"/>
    <n v="2266220"/>
  </r>
  <r>
    <s v="Bon de commande"/>
    <m/>
    <x v="0"/>
    <s v="BCA220053"/>
    <x v="66"/>
    <d v="2022-11-02T00:00:00"/>
    <s v="300115"/>
    <s v="AUXILIAR CONSERVERA SA"/>
    <n v="266443.07799999998"/>
  </r>
  <r>
    <s v="Bon de commande"/>
    <m/>
    <x v="0"/>
    <s v="BCA220055"/>
    <x v="33"/>
    <d v="2022-11-16T00:00:00"/>
    <s v="300115"/>
    <s v="AUXILIAR CONSERVERA SA"/>
    <n v="1289169.8160000001"/>
  </r>
  <r>
    <s v="Bon de commande"/>
    <m/>
    <x v="0"/>
    <s v="BCA220057"/>
    <x v="44"/>
    <d v="2022-11-30T00:00:00"/>
    <s v="300115"/>
    <s v="AUXILIAR CONSERVERA SA"/>
    <n v="144410.11199999999"/>
  </r>
  <r>
    <s v="Bon de commande"/>
    <m/>
    <x v="0"/>
    <s v="BCA220058"/>
    <x v="40"/>
    <d v="2022-12-05T00:00:00"/>
    <s v="300115"/>
    <s v="AUXILIAR CONSERVERA SA"/>
    <n v="250034.4"/>
  </r>
  <r>
    <s v="Bon de commande"/>
    <m/>
    <x v="0"/>
    <s v="BCA220061"/>
    <x v="48"/>
    <d v="2022-12-26T00:00:00"/>
    <s v="300115"/>
    <s v="AUXILIAR CONSERVERA SA"/>
    <n v="1343576.135"/>
  </r>
  <r>
    <s v="Bon de commande"/>
    <m/>
    <x v="0"/>
    <s v="BCA220062"/>
    <x v="67"/>
    <d v="2022-12-28T00:00:00"/>
    <s v="300115"/>
    <s v="AUXILIAR CONSERVERA SA"/>
    <n v="2364303.0070000002"/>
  </r>
  <r>
    <s v="Bon de commande"/>
    <m/>
    <x v="0"/>
    <s v="BCA220063"/>
    <x v="68"/>
    <d v="2022-12-28T00:00:00"/>
    <s v="300115"/>
    <s v="AUXILIAR CONSERVERA SA"/>
    <n v="6655000"/>
  </r>
  <r>
    <s v="Bon de commande"/>
    <m/>
    <x v="0"/>
    <s v="BCA220064"/>
    <x v="43"/>
    <d v="2022-12-28T00:00:00"/>
    <s v="300115"/>
    <s v="AUXILIAR CONSERVERA SA"/>
    <n v="298210"/>
  </r>
  <r>
    <s v="Bon de commande"/>
    <m/>
    <x v="0"/>
    <s v="BCA220065"/>
    <x v="48"/>
    <d v="2023-01-17T00:00:00"/>
    <s v="300115"/>
    <s v="AUXILIAR CONSERVERA SA"/>
    <n v="6874823.4720000001"/>
  </r>
  <r>
    <s v="Bon de commande"/>
    <m/>
    <x v="0"/>
    <s v="BCA230001"/>
    <x v="69"/>
    <d v="2023-01-17T00:00:00"/>
    <s v="300115"/>
    <s v="AUXILIAR CONSERVERA SA"/>
    <n v="2574179.1570000001"/>
  </r>
  <r>
    <s v="Bon de commande"/>
    <m/>
    <x v="0"/>
    <s v="BCA230004"/>
    <x v="70"/>
    <d v="2023-02-08T00:00:00"/>
    <s v="300220"/>
    <s v="ENVASES EUROPE"/>
    <n v="175717.212"/>
  </r>
  <r>
    <s v="Bon de commande"/>
    <m/>
    <x v="0"/>
    <s v="BCA230007"/>
    <x v="71"/>
    <d v="2023-02-16T00:00:00"/>
    <s v="300115"/>
    <s v="AUXILIAR CONSERVERA SA"/>
    <n v="0"/>
  </r>
  <r>
    <s v="Bon de commande"/>
    <m/>
    <x v="0"/>
    <s v="BCA230009"/>
    <x v="18"/>
    <d v="2023-02-27T00:00:00"/>
    <s v="300115"/>
    <s v="AUXILIAR CONSERVERA SA"/>
    <n v="10331.9931"/>
  </r>
  <r>
    <s v="Bon de commande"/>
    <m/>
    <x v="0"/>
    <s v="BCA230010"/>
    <x v="72"/>
    <d v="2023-03-03T00:00:00"/>
    <s v="300115"/>
    <s v="AUXILIAR CONSERVERA SA"/>
    <n v="2324.6761999999999"/>
  </r>
  <r>
    <s v="Bon de commande"/>
    <m/>
    <x v="0"/>
    <s v="BCA230011"/>
    <x v="73"/>
    <d v="2023-03-09T00:00:00"/>
    <s v="300115"/>
    <s v="AUXILIAR CONSERVERA SA"/>
    <n v="319000"/>
  </r>
  <r>
    <s v="Bon de commande"/>
    <m/>
    <x v="0"/>
    <s v="BCA230016"/>
    <x v="74"/>
    <d v="2023-04-07T00:00:00"/>
    <s v="300312"/>
    <s v="ILIP S.r.l."/>
    <n v="0"/>
  </r>
  <r>
    <s v="Bon de commande"/>
    <m/>
    <x v="0"/>
    <s v="BCA230021"/>
    <x v="70"/>
    <d v="2023-05-02T00:00:00"/>
    <s v="300220"/>
    <s v="ENVASES EUROPE"/>
    <n v="172923.2"/>
  </r>
  <r>
    <s v="Bon de commande"/>
    <m/>
    <x v="0"/>
    <s v="BCA230025"/>
    <x v="75"/>
    <d v="2023-05-18T00:00:00"/>
    <s v="300115"/>
    <s v="AUXILIAR CONSERVERA SA"/>
    <n v="616000"/>
  </r>
  <r>
    <s v="Bon de commande"/>
    <m/>
    <x v="0"/>
    <s v="BCA230028"/>
    <x v="76"/>
    <d v="2023-06-08T00:00:00"/>
    <s v="300115"/>
    <s v="AUXILIAR CONSERVERA SA"/>
    <n v="804482.11800000002"/>
  </r>
  <r>
    <s v="Bon de commande"/>
    <m/>
    <x v="0"/>
    <s v="BCA230031"/>
    <x v="48"/>
    <d v="2023-06-12T00:00:00"/>
    <s v="300115"/>
    <s v="AUXILIAR CONSERVERA SA"/>
    <n v="19581"/>
  </r>
  <r>
    <s v="Bon de commande"/>
    <m/>
    <x v="0"/>
    <s v="BCA230033"/>
    <x v="70"/>
    <d v="2023-07-12T00:00:00"/>
    <s v="300220"/>
    <s v="ENVASES EUROPE"/>
    <n v="2858570.9240000001"/>
  </r>
  <r>
    <s v="Bon de commande"/>
    <m/>
    <x v="0"/>
    <s v="BCA230034"/>
    <x v="77"/>
    <d v="2023-07-12T00:00:00"/>
    <s v="300220"/>
    <s v="ENVASES EUROPE"/>
    <n v="9588563.2479999997"/>
  </r>
  <r>
    <s v="Bon de commande"/>
    <m/>
    <x v="0"/>
    <s v="BCA230036"/>
    <x v="65"/>
    <d v="2023-07-20T00:00:00"/>
    <s v="300115"/>
    <s v="AUXILIAR CONSERVERA SA"/>
    <n v="1938407.504"/>
  </r>
  <r>
    <s v="Bon de commande"/>
    <m/>
    <x v="0"/>
    <s v="BCA230038"/>
    <x v="48"/>
    <d v="2023-07-28T00:00:00"/>
    <s v="300115"/>
    <s v="AUXILIAR CONSERVERA SA"/>
    <n v="5872.9946"/>
  </r>
  <r>
    <s v="Bon de commande"/>
    <m/>
    <x v="0"/>
    <s v="BCA230045"/>
    <x v="67"/>
    <d v="2023-09-07T00:00:00"/>
    <s v="300115"/>
    <s v="AUXILIAR CONSERVERA SA"/>
    <n v="275.26400000000001"/>
  </r>
  <r>
    <s v="Bon de commande"/>
    <m/>
    <x v="0"/>
    <s v="BCA230049"/>
    <x v="78"/>
    <d v="2023-09-21T00:00:00"/>
    <s v="300115"/>
    <s v="AUXILIAR CONSERVERA SA"/>
    <n v="37854.460599999999"/>
  </r>
  <r>
    <s v="Bon de commande"/>
    <m/>
    <x v="0"/>
    <s v="BCA230051"/>
    <x v="68"/>
    <d v="2023-10-16T00:00:00"/>
    <s v="300115"/>
    <s v="AUXILIAR CONSERVERA SA"/>
    <n v="3943500"/>
  </r>
  <r>
    <s v="Bon de commande"/>
    <m/>
    <x v="0"/>
    <s v="BCA230052"/>
    <x v="12"/>
    <d v="2023-10-26T00:00:00"/>
    <s v="300220"/>
    <s v="ENVASES EUROPE"/>
    <n v="242000"/>
  </r>
  <r>
    <s v="Bon de commande"/>
    <m/>
    <x v="0"/>
    <s v="BCA230056"/>
    <x v="78"/>
    <d v="2023-11-11T00:00:00"/>
    <s v="300115"/>
    <s v="AUXILIAR CONSERVERA SA"/>
    <n v="179968.03"/>
  </r>
  <r>
    <s v="Bon de commande"/>
    <m/>
    <x v="0"/>
    <s v="BCA230060"/>
    <x v="18"/>
    <d v="2023-11-30T00:00:00"/>
    <s v="300115"/>
    <s v="AUXILIAR CONSERVERA SA"/>
    <n v="3475.1651000000002"/>
  </r>
  <r>
    <s v="Bon de commande"/>
    <m/>
    <x v="0"/>
    <s v="BCA230063"/>
    <x v="79"/>
    <d v="2023-12-25T00:00:00"/>
    <s v="300220"/>
    <s v="ENVASES EUROPE"/>
    <n v="1084600"/>
  </r>
  <r>
    <s v="Bon de commande"/>
    <m/>
    <x v="0"/>
    <s v="BCA240002"/>
    <x v="67"/>
    <d v="2024-01-05T00:00:00"/>
    <s v="300115"/>
    <s v="AUXILIAR CONSERVERA SA"/>
    <n v="170805.69"/>
  </r>
  <r>
    <s v="Bon de commande"/>
    <m/>
    <x v="0"/>
    <s v="BCA240005"/>
    <x v="80"/>
    <d v="2024-01-17T00:00:00"/>
    <s v="300220"/>
    <s v="ENVASES EUROPE"/>
    <n v="311785.58399999997"/>
  </r>
  <r>
    <s v="Bon de commande"/>
    <m/>
    <x v="0"/>
    <s v="BCA240006"/>
    <x v="81"/>
    <d v="2024-02-08T00:00:00"/>
    <s v="300220"/>
    <s v="ENVASES EUROPE"/>
    <n v="1045000"/>
  </r>
  <r>
    <s v="Bon de commande"/>
    <m/>
    <x v="0"/>
    <s v="BCA240008"/>
    <x v="12"/>
    <d v="2024-02-15T00:00:00"/>
    <s v="300115"/>
    <s v="AUXILIAR CONSERVERA SA"/>
    <n v="52472.211000000003"/>
  </r>
  <r>
    <s v="Bon de commande"/>
    <m/>
    <x v="0"/>
    <s v="BCA240009"/>
    <x v="67"/>
    <d v="2024-02-19T00:00:00"/>
    <s v="300381"/>
    <s v="ENVASES IBERICA"/>
    <n v="726665.43729999999"/>
  </r>
  <r>
    <s v="Bon de commande"/>
    <m/>
    <x v="0"/>
    <s v="BCA240011"/>
    <x v="71"/>
    <d v="2024-02-23T00:00:00"/>
    <s v="300115"/>
    <s v="AUXILIAR CONSERVERA SA"/>
    <n v="9230.4519999999993"/>
  </r>
  <r>
    <s v="Bon de commande"/>
    <m/>
    <x v="0"/>
    <s v="BCA240015"/>
    <x v="82"/>
    <d v="2024-03-13T00:00:00"/>
    <s v="300356"/>
    <s v="MASSILY PORTUGAL"/>
    <n v="3291.2"/>
  </r>
  <r>
    <s v="Bon de commande"/>
    <m/>
    <x v="0"/>
    <s v="BCA240020"/>
    <x v="83"/>
    <d v="2024-03-26T00:00:00"/>
    <s v="300382"/>
    <s v="BA GLASS"/>
    <n v="625739.4"/>
  </r>
  <r>
    <s v="Bon de commande"/>
    <m/>
    <x v="0"/>
    <s v="BCA240026"/>
    <x v="84"/>
    <d v="2024-04-30T00:00:00"/>
    <s v="300220"/>
    <s v="ENVASES EUROPE"/>
    <n v="1094500"/>
  </r>
  <r>
    <s v="Bon de commande"/>
    <m/>
    <x v="0"/>
    <s v="BCA240027"/>
    <x v="85"/>
    <d v="2024-04-30T00:00:00"/>
    <s v="300220"/>
    <s v="ENVASES EUROPE"/>
    <n v="1144000"/>
  </r>
  <r>
    <s v="Bon de commande"/>
    <m/>
    <x v="0"/>
    <s v="BCA240028"/>
    <x v="7"/>
    <d v="2024-04-30T00:00:00"/>
    <s v="300356"/>
    <s v="MASSILY PORTUGAL"/>
    <n v="206844"/>
  </r>
  <r>
    <s v="Bon de commande"/>
    <m/>
    <x v="0"/>
    <s v="BCA240029"/>
    <x v="86"/>
    <d v="2024-04-30T00:00:00"/>
    <s v="300356"/>
    <s v="MASSILY PORTUGAL"/>
    <n v="197034.2"/>
  </r>
  <r>
    <s v="Bon de commande"/>
    <m/>
    <x v="0"/>
    <s v="BCA240031"/>
    <x v="70"/>
    <d v="2024-05-03T00:00:00"/>
    <s v="300220"/>
    <s v="ENVASES EUROPE"/>
    <n v="3834048.702"/>
  </r>
  <r>
    <s v="Bon de commande"/>
    <m/>
    <x v="0"/>
    <s v="BCA240035"/>
    <x v="87"/>
    <d v="2024-05-07T00:00:00"/>
    <s v="300115"/>
    <s v="AUXILIAR CONSERVERA SA"/>
    <n v="1089000"/>
  </r>
  <r>
    <s v="Bon de commande"/>
    <m/>
    <x v="0"/>
    <s v="BCA240037"/>
    <x v="88"/>
    <d v="2024-05-13T00:00:00"/>
    <s v="300220"/>
    <s v="ENVASES EUROPE"/>
    <n v="1187929.6000000001"/>
  </r>
  <r>
    <s v="Bon de commande"/>
    <m/>
    <x v="0"/>
    <s v="BCA240038"/>
    <x v="89"/>
    <d v="2024-05-20T00:00:00"/>
    <s v="300381"/>
    <s v="ENVASES IBERICA"/>
    <n v="1111000"/>
  </r>
  <r>
    <s v="Bon de commande"/>
    <m/>
    <x v="0"/>
    <s v="BCA240041"/>
    <x v="48"/>
    <d v="2024-05-27T00:00:00"/>
    <s v="300115"/>
    <s v="AUXILIAR CONSERVERA SA"/>
    <n v="2223332.1"/>
  </r>
  <r>
    <s v="Bon de commande"/>
    <m/>
    <x v="0"/>
    <s v="BCA240042"/>
    <x v="90"/>
    <d v="2024-05-27T00:00:00"/>
    <s v="300220"/>
    <s v="ENVASES EUROPE"/>
    <n v="502952.82400000002"/>
  </r>
  <r>
    <s v="Bon de commande"/>
    <m/>
    <x v="0"/>
    <s v="BCA240043"/>
    <x v="91"/>
    <d v="2024-05-28T00:00:00"/>
    <s v="300382"/>
    <s v="BA GLASS"/>
    <n v="171751.58"/>
  </r>
  <r>
    <s v="Bon de commande"/>
    <m/>
    <x v="0"/>
    <s v="BCA240044"/>
    <x v="92"/>
    <d v="2024-05-28T00:00:00"/>
    <s v="300382"/>
    <s v="BA GLASS"/>
    <n v="171751.58"/>
  </r>
  <r>
    <s v="Bon de commande"/>
    <m/>
    <x v="0"/>
    <s v="BCA240045"/>
    <x v="93"/>
    <d v="2024-05-28T00:00:00"/>
    <s v="300382"/>
    <s v="BA GLASS"/>
    <n v="171751.58"/>
  </r>
  <r>
    <s v="Bon de commande"/>
    <m/>
    <x v="0"/>
    <s v="BCA240046"/>
    <x v="94"/>
    <d v="2024-05-28T00:00:00"/>
    <s v="300382"/>
    <s v="BA GLASS"/>
    <n v="171751.58"/>
  </r>
  <r>
    <s v="Bon de commande"/>
    <m/>
    <x v="0"/>
    <s v="BCA240047"/>
    <x v="65"/>
    <d v="2024-05-30T00:00:00"/>
    <s v="300115"/>
    <s v="AUXILIAR CONSERVERA SA"/>
    <n v="1867800"/>
  </r>
  <r>
    <s v="Bon de commande"/>
    <m/>
    <x v="0"/>
    <s v="BCA240048"/>
    <x v="95"/>
    <d v="2024-06-04T00:00:00"/>
    <s v="300115"/>
    <s v="AUXILIAR CONSERVERA SA"/>
    <n v="4384.2150000000001"/>
  </r>
  <r>
    <s v="Bon de commande"/>
    <m/>
    <x v="0"/>
    <s v="BCA240049"/>
    <x v="96"/>
    <d v="2024-06-04T00:00:00"/>
    <s v="300115"/>
    <s v="AUXILIAR CONSERVERA SA"/>
    <n v="571160.93099999998"/>
  </r>
  <r>
    <s v="Bon de commande"/>
    <m/>
    <x v="0"/>
    <s v="BCA240055"/>
    <x v="12"/>
    <d v="2024-07-04T00:00:00"/>
    <s v="300115"/>
    <s v="AUXILIAR CONSERVERA SA"/>
    <n v="561937.95900000003"/>
  </r>
  <r>
    <s v="Bon de commande"/>
    <m/>
    <x v="0"/>
    <s v="BCA240054"/>
    <x v="97"/>
    <d v="2024-07-04T00:00:00"/>
    <s v="300220"/>
    <s v="ENVASES EUROPE"/>
    <n v="4488506.88"/>
  </r>
  <r>
    <s v="Bon de commande"/>
    <m/>
    <x v="0"/>
    <s v="BCA240056"/>
    <x v="98"/>
    <d v="2024-07-05T00:00:00"/>
    <s v="300115"/>
    <s v="AUXILIAR CONSERVERA SA"/>
    <n v="203686.56"/>
  </r>
  <r>
    <s v="Bon de commande"/>
    <m/>
    <x v="0"/>
    <s v="BCA240061"/>
    <x v="1"/>
    <d v="2024-07-15T00:00:00"/>
    <s v="300381"/>
    <s v="ENVASES IBERICA"/>
    <n v="1845950.2324999999"/>
  </r>
  <r>
    <s v="Bon de commande"/>
    <m/>
    <x v="0"/>
    <s v="BCA240062"/>
    <x v="41"/>
    <d v="2024-07-19T00:00:00"/>
    <s v="300381"/>
    <s v="ENVASES IBERICA"/>
    <n v="4708000"/>
  </r>
  <r>
    <s v="Bon de commande"/>
    <m/>
    <x v="0"/>
    <s v="BCA240066"/>
    <x v="99"/>
    <d v="2024-07-24T00:00:00"/>
    <s v="300381"/>
    <s v="ENVASES IBERICA"/>
    <n v="1047678.72"/>
  </r>
  <r>
    <s v="Bon de commande"/>
    <m/>
    <x v="0"/>
    <s v="BCA240067"/>
    <x v="100"/>
    <d v="2024-08-01T00:00:00"/>
    <s v="300381"/>
    <s v="ENVASES IBERICA"/>
    <n v="1580897.692"/>
  </r>
  <r>
    <s v="Bon de commande"/>
    <m/>
    <x v="0"/>
    <s v="BCA240068"/>
    <x v="7"/>
    <d v="2024-08-02T00:00:00"/>
    <s v="300115"/>
    <s v="AUXILIAR CONSERVERA SA"/>
    <n v="640179.54"/>
  </r>
  <r>
    <s v="Bon de commande"/>
    <m/>
    <x v="0"/>
    <s v="BCA240071"/>
    <x v="101"/>
    <d v="2024-09-11T00:00:00"/>
    <s v="300220"/>
    <s v="ENVASES EUROPE"/>
    <n v="5500000"/>
  </r>
  <r>
    <s v="Bon de commande"/>
    <m/>
    <x v="0"/>
    <s v="BCA240080"/>
    <x v="102"/>
    <d v="2024-09-11T00:00:00"/>
    <s v="300356"/>
    <s v="MASSILY PORTUGAL"/>
    <n v="15465.89"/>
  </r>
  <r>
    <s v="Bon de commande"/>
    <m/>
    <x v="0"/>
    <s v="BCA240084"/>
    <x v="70"/>
    <d v="2024-10-02T00:00:00"/>
    <s v="300115"/>
    <s v="AUXILIAR CONSERVERA SA"/>
    <n v="748440"/>
  </r>
  <r>
    <s v="Bon de commande"/>
    <m/>
    <x v="0"/>
    <s v="BCA240085"/>
    <x v="103"/>
    <d v="2024-10-02T00:00:00"/>
    <s v="300381"/>
    <s v="ENVASES IBERICA"/>
    <n v="320973.4363"/>
  </r>
  <r>
    <s v="Bon de commande"/>
    <m/>
    <x v="0"/>
    <s v="BCA240089"/>
    <x v="12"/>
    <d v="2024-10-11T00:00:00"/>
    <s v="300115"/>
    <s v="AUXILIAR CONSERVERA SA"/>
    <n v="915204.07"/>
  </r>
  <r>
    <s v="Bon de commande"/>
    <m/>
    <x v="0"/>
    <s v="BCA240091"/>
    <x v="104"/>
    <d v="2024-10-17T00:00:00"/>
    <s v="300115"/>
    <s v="AUXILIAR CONSERVERA SA"/>
    <n v="163713.44"/>
  </r>
  <r>
    <s v="Bon de commande"/>
    <m/>
    <x v="0"/>
    <s v="BCA240096"/>
    <x v="95"/>
    <d v="2024-11-12T00:00:00"/>
    <s v="300115"/>
    <s v="AUXILIAR CONSERVERA SA"/>
    <n v="9508.9500000000007"/>
  </r>
  <r>
    <s v="Bon de commande"/>
    <m/>
    <x v="0"/>
    <s v="BCA240098"/>
    <x v="12"/>
    <d v="2024-11-19T00:00:00"/>
    <s v="300115"/>
    <s v="AUXILIAR CONSERVERA SA"/>
    <n v="485304.6924"/>
  </r>
  <r>
    <s v="Bon de commande"/>
    <m/>
    <x v="0"/>
    <s v="BCA240099"/>
    <x v="105"/>
    <d v="2024-11-27T00:00:00"/>
    <s v="300115"/>
    <s v="AUXILIAR CONSERVERA SA"/>
    <n v="8800"/>
  </r>
  <r>
    <s v="Bon de commande"/>
    <m/>
    <x v="0"/>
    <s v="BCA240100"/>
    <x v="106"/>
    <d v="2024-11-27T00:00:00"/>
    <s v="300115"/>
    <s v="AUXILIAR CONSERVERA SA"/>
    <n v="118311.6"/>
  </r>
  <r>
    <s v="Bon de commande"/>
    <m/>
    <x v="0"/>
    <s v="BCA240102"/>
    <x v="107"/>
    <d v="2024-12-02T00:00:00"/>
    <s v="300115"/>
    <s v="AUXILIAR CONSERVERA SA"/>
    <n v="4627951.449"/>
  </r>
  <r>
    <s v="Bon de commande"/>
    <m/>
    <x v="0"/>
    <s v="BCA240107"/>
    <x v="105"/>
    <d v="2024-12-10T00:00:00"/>
    <s v="300115"/>
    <s v="AUXILIAR CONSERVERA SA"/>
    <n v="0"/>
  </r>
  <r>
    <s v="Bon de commande"/>
    <m/>
    <x v="0"/>
    <s v="BCA240108"/>
    <x v="12"/>
    <d v="2024-12-18T00:00:00"/>
    <s v="300381"/>
    <s v="ENVASES IBERICA"/>
    <n v="68028.104099999997"/>
  </r>
  <r>
    <s v="Bon de commande"/>
    <m/>
    <x v="0"/>
    <s v="BCA250001"/>
    <x v="41"/>
    <d v="2025-01-09T00:00:00"/>
    <s v="300381"/>
    <s v="ENVASES IBERICA"/>
    <n v="2119291.4270000001"/>
  </r>
  <r>
    <s v="Bon de commande"/>
    <m/>
    <x v="0"/>
    <s v="BCA250003"/>
    <x v="108"/>
    <d v="2025-01-15T00:00:00"/>
    <s v="300356"/>
    <s v="MASSILY PORTUGAL"/>
    <n v="7584.28"/>
  </r>
  <r>
    <s v="Bon de commande"/>
    <m/>
    <x v="0"/>
    <s v="BCA250007"/>
    <x v="48"/>
    <d v="2025-02-18T00:00:00"/>
    <s v="300115"/>
    <s v="AUXILIAR CONSERVERA SA"/>
    <n v="64643.040000000001"/>
  </r>
  <r>
    <s v="Bon de commande"/>
    <m/>
    <x v="0"/>
    <s v="BCA250008"/>
    <x v="103"/>
    <d v="2025-02-24T00:00:00"/>
    <s v="300381"/>
    <s v="ENVASES IBERICA"/>
    <n v="472557.3688"/>
  </r>
  <r>
    <s v="Bon de commande"/>
    <m/>
    <x v="0"/>
    <s v="BCA250011"/>
    <x v="109"/>
    <d v="2025-03-04T00:00:00"/>
    <s v="300220"/>
    <s v="ENVASES EUROPE"/>
    <n v="786254.96400000004"/>
  </r>
  <r>
    <s v="Bon de commande"/>
    <m/>
    <x v="0"/>
    <s v="BCA250013"/>
    <x v="110"/>
    <d v="2025-03-21T00:00:00"/>
    <s v="300220"/>
    <s v="ENVASES EUROPE"/>
    <n v="1745.1279999999999"/>
  </r>
  <r>
    <s v="Bon de commande"/>
    <m/>
    <x v="0"/>
    <s v="BCA250015"/>
    <x v="111"/>
    <d v="2025-03-27T00:00:00"/>
    <s v="300356"/>
    <s v="MASSILY PORTUGAL"/>
    <n v="191219.6"/>
  </r>
  <r>
    <s v="Bon de commande"/>
    <m/>
    <x v="0"/>
    <s v="BCA250016"/>
    <x v="41"/>
    <d v="2025-04-09T00:00:00"/>
    <s v="300381"/>
    <s v="ENVASES IBERICA"/>
    <n v="49406.038"/>
  </r>
  <r>
    <s v="Bon de commande"/>
    <m/>
    <x v="0"/>
    <s v="BCA250018"/>
    <x v="112"/>
    <d v="2025-04-15T00:00:00"/>
    <s v="300220"/>
    <s v="ENVASES EUROPE"/>
    <n v="224572.65599999999"/>
  </r>
  <r>
    <s v="Bon de commande"/>
    <m/>
    <x v="0"/>
    <s v="BCA250019"/>
    <x v="1"/>
    <d v="2025-04-17T00:00:00"/>
    <s v="300381"/>
    <s v="ENVASES IBERICA"/>
    <n v="2799363.6660000002"/>
  </r>
  <r>
    <s v="Bon de commande"/>
    <m/>
    <x v="0"/>
    <s v="BCA250020"/>
    <x v="7"/>
    <d v="2025-04-24T00:00:00"/>
    <s v="300154"/>
    <s v="VMM"/>
    <n v="223566.72"/>
  </r>
  <r>
    <s v="Bon de commande"/>
    <m/>
    <x v="0"/>
    <s v="BCA250021"/>
    <x v="113"/>
    <d v="2025-04-28T00:00:00"/>
    <s v="300220"/>
    <s v="ENVASES EUROPE"/>
    <n v="805.42"/>
  </r>
  <r>
    <s v="Bon de commande"/>
    <m/>
    <x v="0"/>
    <s v="BCA250024"/>
    <x v="114"/>
    <d v="2025-05-08T00:00:00"/>
    <s v="300220"/>
    <s v="ENVASES EUROPE"/>
    <n v="568569.40800000005"/>
  </r>
  <r>
    <s v="Bon de commande"/>
    <m/>
    <x v="0"/>
    <s v="BCA250026"/>
    <x v="115"/>
    <d v="2025-05-14T00:00:00"/>
    <s v="300220"/>
    <s v="ENVASES EUROPE"/>
    <n v="1329900"/>
  </r>
  <r>
    <s v="Bon de commande"/>
    <m/>
    <x v="0"/>
    <s v="BCA250027"/>
    <x v="116"/>
    <d v="2025-05-14T00:00:00"/>
    <s v="300220"/>
    <s v="ENVASES EUROPE"/>
    <n v="4672225.3600000003"/>
  </r>
  <r>
    <s v="Bon de commande"/>
    <m/>
    <x v="0"/>
    <s v="BCA250025"/>
    <x v="117"/>
    <d v="2025-05-14T00:00:00"/>
    <s v="300381"/>
    <s v="ENVASES IBERICA"/>
    <n v="1815000"/>
  </r>
  <r>
    <s v="Bon de commande"/>
    <m/>
    <x v="0"/>
    <s v="BCA250028"/>
    <x v="7"/>
    <d v="2025-05-19T00:00:00"/>
    <s v="300154"/>
    <s v="VMM"/>
    <n v="335350.08"/>
  </r>
  <r>
    <s v="Bon de commande"/>
    <m/>
    <x v="0"/>
    <s v="BCA250030"/>
    <x v="83"/>
    <d v="2025-06-02T00:00:00"/>
    <s v="300382"/>
    <s v="BA GLASS"/>
    <n v="153847.74239999999"/>
  </r>
  <r>
    <s v="Bon de commande"/>
    <m/>
    <x v="0"/>
    <s v="BCA250033"/>
    <x v="118"/>
    <d v="2025-06-04T00:00:00"/>
    <s v="300115"/>
    <s v="AUXILIAR CONSERVERA SA"/>
    <n v="11654.775"/>
  </r>
  <r>
    <s v="Bon de commande"/>
    <m/>
    <x v="0"/>
    <s v="BCA250034"/>
    <x v="41"/>
    <d v="2025-06-11T00:00:00"/>
    <s v="300381"/>
    <s v="ENVASES IBERICA"/>
    <n v="29627.576000000001"/>
  </r>
  <r>
    <s v="Bon de commande"/>
    <m/>
    <x v="0"/>
    <s v="BCA250036"/>
    <x v="119"/>
    <d v="2025-06-18T00:00:00"/>
    <s v="300115"/>
    <s v="AUXILIAR CONSERVERA SA"/>
    <n v="2103309.1683999998"/>
  </r>
  <r>
    <s v="Bon de commande"/>
    <m/>
    <x v="0"/>
    <s v="BCA250038"/>
    <x v="120"/>
    <d v="2025-06-20T00:00:00"/>
    <s v="300381"/>
    <s v="ENVASES IBERICA"/>
    <n v="1783202.52"/>
  </r>
  <r>
    <s v="Bon de commande"/>
    <m/>
    <x v="0"/>
    <s v="BCA250039"/>
    <x v="65"/>
    <d v="2025-06-23T00:00:00"/>
    <s v="300115"/>
    <s v="AUXILIAR CONSERVERA SA"/>
    <n v="3665028.4065999999"/>
  </r>
  <r>
    <s v="Bon de commande"/>
    <m/>
    <x v="0"/>
    <s v="BCA250045"/>
    <x v="121"/>
    <d v="2025-07-09T00:00:00"/>
    <s v="300115"/>
    <s v="AUXILIAR CONSERVERA SA"/>
    <n v="756784.49"/>
  </r>
  <r>
    <s v="Bon de commande"/>
    <m/>
    <x v="0"/>
    <s v="BCA250046"/>
    <x v="122"/>
    <d v="2025-07-10T00:00:00"/>
    <s v="300220"/>
    <s v="ENVASES EUROPE"/>
    <n v="536800"/>
  </r>
  <r>
    <s v="Bon de commande"/>
    <m/>
    <x v="0"/>
    <s v="BCA250048"/>
    <x v="123"/>
    <d v="2025-07-19T00:00:00"/>
    <s v="300220"/>
    <s v="ENVASES EUROPE"/>
    <n v="3152131.7729000002"/>
  </r>
  <r>
    <s v="Bon de commande"/>
    <m/>
    <x v="0"/>
    <s v="BCA250049"/>
    <x v="124"/>
    <d v="2025-07-28T00:00:00"/>
    <s v="300220"/>
    <s v="ENVASES EUROPE"/>
    <n v="431457.4"/>
  </r>
  <r>
    <s v="Bon de commande"/>
    <m/>
    <x v="0"/>
    <s v="BCA250053"/>
    <x v="44"/>
    <d v="2025-08-08T00:00:00"/>
    <s v="300115"/>
    <s v="AUXILIAR CONSERVERA SA"/>
    <n v="120114.32399999999"/>
  </r>
  <r>
    <s v="Bon de commande"/>
    <m/>
    <x v="0"/>
    <s v="BCA250052"/>
    <x v="120"/>
    <d v="2025-08-08T00:00:00"/>
    <s v="300381"/>
    <s v="ENVASES IBERICA"/>
    <n v="941600"/>
  </r>
  <r>
    <s v="Bon de commande"/>
    <m/>
    <x v="0"/>
    <s v="BCA250054"/>
    <x v="125"/>
    <d v="2025-08-15T00:00:00"/>
    <s v="300381"/>
    <s v="ENVASES IBERICA"/>
    <n v="1930014.1006"/>
  </r>
  <r>
    <s v="Bon de commande"/>
    <m/>
    <x v="0"/>
    <s v="BCA250055"/>
    <x v="107"/>
    <d v="2025-08-18T00:00:00"/>
    <s v="300220"/>
    <s v="ENVASES EUROPE"/>
    <n v="1045000"/>
  </r>
  <r>
    <s v="Bon de commande"/>
    <m/>
    <x v="0"/>
    <s v="BCA250056"/>
    <x v="120"/>
    <d v="2025-08-19T00:00:00"/>
    <s v="300381"/>
    <s v="ENVASES IBERICA"/>
    <n v="72341.275599999994"/>
  </r>
  <r>
    <s v="Bon de commande"/>
    <m/>
    <x v="0"/>
    <s v="BCA250057"/>
    <x v="85"/>
    <d v="2025-09-09T00:00:00"/>
    <s v="300220"/>
    <s v="ENVASES EUROPE"/>
    <n v="1048068.12"/>
  </r>
  <r>
    <s v="Bon de commande"/>
    <m/>
    <x v="0"/>
    <s v="BCA250058"/>
    <x v="126"/>
    <d v="2025-09-16T00:00:00"/>
    <s v="300381"/>
    <s v="ENVASES IBERICA"/>
    <n v="333907.20000000001"/>
  </r>
  <r>
    <s v="Bon de commande"/>
    <m/>
    <x v="0"/>
    <s v="BCA250060"/>
    <x v="98"/>
    <d v="2025-09-19T00:00:00"/>
    <s v="300115"/>
    <s v="AUXILIAR CONSERVERA SA"/>
    <n v="130517.01300000001"/>
  </r>
  <r>
    <s v="Bon de commande"/>
    <m/>
    <x v="0"/>
    <s v="BCA250061"/>
    <x v="127"/>
    <d v="2025-09-22T00:00:00"/>
    <s v="300115"/>
    <s v="AUXILIAR CONSERVERA SA"/>
    <n v="1067220"/>
  </r>
  <r>
    <s v="Bon de commande"/>
    <m/>
    <x v="0"/>
    <s v="BCA250062"/>
    <x v="128"/>
    <d v="2025-10-06T00:00:00"/>
    <s v="300381"/>
    <s v="ENVASES IBERICA"/>
    <n v="899800"/>
  </r>
  <r>
    <s v="Bon de commande"/>
    <m/>
    <x v="0"/>
    <s v="BCA250064"/>
    <x v="41"/>
    <d v="2025-10-13T00:00:00"/>
    <s v="300381"/>
    <s v="ENVASES IBERICA"/>
    <n v="183300.579"/>
  </r>
  <r>
    <s v="Bon de commande"/>
    <m/>
    <x v="0"/>
    <s v="BCA250067"/>
    <x v="107"/>
    <d v="2025-11-04T00:00:00"/>
    <s v="300220"/>
    <s v="ENVASES EUROPE"/>
    <n v="158721.37710000001"/>
  </r>
  <r>
    <s v="Bon de commande"/>
    <m/>
    <x v="0"/>
    <s v="BCA250071"/>
    <x v="41"/>
    <d v="2025-11-13T00:00:00"/>
    <s v="300381"/>
    <s v="ENVASES IBERICA"/>
    <n v="297330"/>
  </r>
  <r>
    <s v="Bon de commande"/>
    <m/>
    <x v="0"/>
    <s v="BCA250074"/>
    <x v="129"/>
    <d v="2025-11-26T00:00:00"/>
    <s v="300064"/>
    <s v="SONOCO Métal Packaging Maroc"/>
    <n v="10128"/>
  </r>
  <r>
    <s v="Bon de commande"/>
    <m/>
    <x v="0"/>
    <s v="BCA250073"/>
    <x v="125"/>
    <d v="2025-11-26T00:00:00"/>
    <s v="300381"/>
    <s v="ENVASES IBERICA"/>
    <n v="887558.1"/>
  </r>
  <r>
    <s v="Bon de commande"/>
    <m/>
    <x v="0"/>
    <s v="BCA260001"/>
    <x v="41"/>
    <d v="2026-01-06T00:00:00"/>
    <s v="300381"/>
    <s v="ENVASES IBERICA"/>
    <n v="1777809.4861999999"/>
  </r>
  <r>
    <s v="Bon de commande"/>
    <m/>
    <x v="0"/>
    <s v="BCA260009"/>
    <x v="41"/>
    <d v="2026-01-29T00:00:00"/>
    <s v="300381"/>
    <s v="ENVASES IBERICA"/>
    <n v="173491.7635"/>
  </r>
  <r>
    <s v="Bon de commande"/>
    <m/>
    <x v="0"/>
    <s v="BCA260013"/>
    <x v="107"/>
    <d v="2026-02-25T00:00:00"/>
    <s v="300115"/>
    <s v="AUXILIAR CONSERVERA SA"/>
    <n v="536310.027"/>
  </r>
  <r>
    <s v="Bon de commande"/>
    <m/>
    <x v="0"/>
    <s v="BCA260015"/>
    <x v="130"/>
    <d v="2026-03-04T00:00:00"/>
    <s v="300381"/>
    <s v="ENVASES IBERICA"/>
    <n v="3457484.7999999998"/>
  </r>
  <r>
    <s v="Bon de commande"/>
    <m/>
    <x v="0"/>
    <s v="BCA260016"/>
    <x v="131"/>
    <d v="2026-03-09T00:00:00"/>
    <s v="300133"/>
    <s v="OP BOX "/>
    <n v="26395.599999999999"/>
  </r>
  <r>
    <s v="Bon de commande"/>
    <m/>
    <x v="0"/>
    <s v="BCA260017"/>
    <x v="55"/>
    <d v="2026-03-23T00:00:00"/>
    <s v="300115"/>
    <s v="AUXILIAR CONSERVERA SA"/>
    <n v="367400"/>
  </r>
  <r>
    <s v="Bon de commande"/>
    <m/>
    <x v="0"/>
    <s v="BCA260021"/>
    <x v="132"/>
    <d v="2026-03-30T00:00:00"/>
    <s v="300133"/>
    <s v="OP BOX "/>
    <n v="202045.6"/>
  </r>
  <r>
    <s v="Bon de commande"/>
    <m/>
    <x v="0"/>
    <s v="BCA260023"/>
    <x v="133"/>
    <d v="2026-03-30T00:00:00"/>
    <s v="300220"/>
    <s v="ENVASES EUROPE"/>
    <n v="3366000"/>
  </r>
  <r>
    <s v="Bon de commande"/>
    <m/>
    <x v="0"/>
    <s v="BCA260024"/>
    <x v="134"/>
    <d v="2026-03-30T00:00:00"/>
    <s v="300220"/>
    <s v="ENVASES EUROPE"/>
    <n v="1679700"/>
  </r>
  <r>
    <s v="Bon de commande"/>
    <m/>
    <x v="0"/>
    <s v="BCA260022"/>
    <x v="135"/>
    <d v="2026-03-30T00:00:00"/>
    <s v="300381"/>
    <s v="ENVASES IBERICA"/>
    <n v="1567500"/>
  </r>
  <r>
    <s v="Bon de commande"/>
    <m/>
    <x v="0"/>
    <s v="BCA260028"/>
    <x v="136"/>
    <d v="2026-04-07T00:00:00"/>
    <s v="300064"/>
    <s v="SONOCO Métal Packaging Maroc"/>
    <n v="5"/>
  </r>
  <r>
    <s v="Bon de commande"/>
    <m/>
    <x v="0"/>
    <s v="BCA260025"/>
    <x v="137"/>
    <d v="2026-04-07T00:00:00"/>
    <s v="300220"/>
    <s v="ENVASES EUROPE"/>
    <n v="95000"/>
  </r>
  <r>
    <s v="Bon de commande"/>
    <m/>
    <x v="0"/>
    <s v="BCA260029"/>
    <x v="138"/>
    <d v="2026-04-13T00:00:00"/>
    <s v="300064"/>
    <s v="SONOCO Métal Packaging Maroc"/>
    <n v="170235.51999999999"/>
  </r>
  <r>
    <s v="Bon de commande"/>
    <m/>
    <x v="0"/>
    <s v="BCA260031"/>
    <x v="139"/>
    <d v="2026-04-23T00:00:00"/>
    <s v="300064"/>
    <s v="SONOCO Métal Packaging Maroc"/>
    <n v="196145.04"/>
  </r>
  <r>
    <s v="Bon de commande"/>
    <m/>
    <x v="0"/>
    <s v="BCA260027"/>
    <x v="140"/>
    <d v="2026-04-24T00:00:00"/>
    <s v="300381"/>
    <s v="ENVASES IBERICA"/>
    <n v="1221990.088"/>
  </r>
  <r>
    <s v="Bon de commande"/>
    <m/>
    <x v="0"/>
    <s v="BCA260032"/>
    <x v="141"/>
    <d v="2026-04-27T00:00:00"/>
    <s v="300133"/>
    <s v="OP BOX "/>
    <n v="38500"/>
  </r>
  <r>
    <s v="Bon de commande"/>
    <m/>
    <x v="0"/>
    <s v="BCA260034"/>
    <x v="85"/>
    <d v="2026-04-27T00:00:00"/>
    <s v="300220"/>
    <s v="ENVASES EUROPE"/>
    <n v="6050000"/>
  </r>
  <r>
    <s v="Bon de commande"/>
    <m/>
    <x v="0"/>
    <s v="BCA260035"/>
    <x v="142"/>
    <d v="2026-04-28T00:00:00"/>
    <s v="300115"/>
    <s v="AUXILIAR CONSERVERA SA"/>
    <n v="5830000"/>
  </r>
  <r>
    <s v="Bon de commande"/>
    <m/>
    <x v="0"/>
    <s v="BCA260033"/>
    <x v="68"/>
    <d v="2026-05-06T00:00:00"/>
    <s v="300080"/>
    <s v="MASSILLY"/>
    <n v="1200000"/>
  </r>
  <r>
    <s v="Bon de commande"/>
    <m/>
    <x v="0"/>
    <s v="BCA260036"/>
    <x v="143"/>
    <d v="2026-05-06T00:00:00"/>
    <s v="300133"/>
    <s v="OP BOX "/>
    <n v="58521.599999999999"/>
  </r>
  <r>
    <s v="Bon de commande"/>
    <m/>
    <x v="0"/>
    <s v="BCA260037"/>
    <x v="144"/>
    <d v="2026-05-11T00:00:00"/>
    <s v="300115"/>
    <s v="AUXILIAR CONSERVERA SA"/>
    <n v="214984"/>
  </r>
  <r>
    <s v="Bon de commande"/>
    <m/>
    <x v="0"/>
    <s v="BCA260038"/>
    <x v="145"/>
    <d v="2026-05-11T00:00:00"/>
    <s v="300588"/>
    <s v="SEVAM"/>
    <n v="1.0072000000000001"/>
  </r>
  <r>
    <s v="Bon de commande"/>
    <m/>
    <x v="0"/>
    <s v="BCA260039"/>
    <x v="143"/>
    <d v="2026-05-13T00:00:00"/>
    <s v="300133"/>
    <s v="OP BOX "/>
    <n v="73382.399999999994"/>
  </r>
  <r>
    <s v="Bon de commande"/>
    <m/>
    <x v="0"/>
    <s v="BCA260041"/>
    <x v="146"/>
    <d v="2026-06-04T00:00:00"/>
    <s v="300115"/>
    <s v="AUXILIAR CONSERVERA SA"/>
    <n v="4652.2475999999997"/>
  </r>
  <r>
    <s v="Bon de commande"/>
    <m/>
    <x v="0"/>
    <s v="BCA260040"/>
    <x v="147"/>
    <d v="2026-06-04T00:00:00"/>
    <s v="300133"/>
    <s v="OP BOX "/>
    <n v="83584.5"/>
  </r>
  <r>
    <m/>
    <m/>
    <x v="1"/>
    <m/>
    <x v="7"/>
    <m/>
    <m/>
    <m/>
    <m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89">
  <r>
    <s v="Facture comptabilisée"/>
    <m/>
    <x v="0"/>
    <x v="0"/>
    <s v="138/2019"/>
    <d v="2020-01-02T00:00:00"/>
    <s v="300043"/>
    <s v="DOUANE"/>
    <n v="1664"/>
  </r>
  <r>
    <s v="Facture comptabilisée"/>
    <m/>
    <x v="0"/>
    <x v="1"/>
    <s v="130/2019"/>
    <d v="2020-01-02T00:00:00"/>
    <s v="300043"/>
    <s v="DOUANE"/>
    <n v="1037"/>
  </r>
  <r>
    <s v="Facture comptabilisée"/>
    <m/>
    <x v="0"/>
    <x v="2"/>
    <s v="129/2019"/>
    <d v="2020-01-02T00:00:00"/>
    <s v="300043"/>
    <s v="DOUANE"/>
    <n v="456"/>
  </r>
  <r>
    <s v="Facture comptabilisée"/>
    <m/>
    <x v="0"/>
    <x v="3"/>
    <s v="124/2019"/>
    <d v="2020-01-02T00:00:00"/>
    <s v="300043"/>
    <s v="DOUANE"/>
    <n v="199"/>
  </r>
  <r>
    <s v="Facture comptabilisée"/>
    <m/>
    <x v="0"/>
    <x v="4"/>
    <s v="TO58 OR"/>
    <d v="2020-01-02T00:00:00"/>
    <s v="300080"/>
    <s v="MASSILLY"/>
    <n v="7995.9359999999997"/>
  </r>
  <r>
    <s v="Facture comptabilisée"/>
    <m/>
    <x v="0"/>
    <x v="5"/>
    <s v="001/2020"/>
    <d v="2020-01-02T00:00:00"/>
    <s v="300101"/>
    <s v="ASMAE FORWARDING EXPRESS"/>
    <n v="3476.92"/>
  </r>
  <r>
    <s v="Facture comptabilisée"/>
    <m/>
    <x v="0"/>
    <x v="6"/>
    <s v="1/2 HAUTE RET"/>
    <d v="2020-01-04T00:00:00"/>
    <s v="300080"/>
    <s v="MASSILLY"/>
    <n v="151236"/>
  </r>
  <r>
    <s v="Facture comptabilisée"/>
    <m/>
    <x v="0"/>
    <x v="7"/>
    <s v="MFI"/>
    <d v="2020-01-07T00:00:00"/>
    <s v="300115"/>
    <s v="AUXILIAR CONSERVERA SA"/>
    <n v="147162.76879999999"/>
  </r>
  <r>
    <s v="Facture comptabilisée"/>
    <m/>
    <x v="0"/>
    <x v="8"/>
    <s v="131/2019"/>
    <d v="2020-01-08T00:00:00"/>
    <s v="300043"/>
    <s v="DOUANE"/>
    <n v="3706"/>
  </r>
  <r>
    <s v="Facture comptabilisée"/>
    <m/>
    <x v="0"/>
    <x v="9"/>
    <s v="134/2019"/>
    <d v="2020-01-08T00:00:00"/>
    <s v="300043"/>
    <s v="DOUANE"/>
    <n v="1061"/>
  </r>
  <r>
    <s v="Facture comptabilisée"/>
    <m/>
    <x v="0"/>
    <x v="10"/>
    <s v="128/2019"/>
    <d v="2020-01-08T00:00:00"/>
    <s v="300043"/>
    <s v="DOUANE"/>
    <n v="1191"/>
  </r>
  <r>
    <s v="Facture comptabilisée"/>
    <m/>
    <x v="0"/>
    <x v="11"/>
    <s v="002/2020"/>
    <d v="2020-01-09T00:00:00"/>
    <s v="300101"/>
    <s v="ASMAE FORWARDING EXPRESS"/>
    <n v="3317.09"/>
  </r>
  <r>
    <s v="Facture comptabilisée"/>
    <m/>
    <x v="0"/>
    <x v="12"/>
    <s v="PLASTIQUE"/>
    <d v="2020-01-09T00:00:00"/>
    <s v="300133"/>
    <s v="OP BOX "/>
    <n v="53026"/>
  </r>
  <r>
    <s v="Facture comptabilisée"/>
    <m/>
    <x v="0"/>
    <x v="13"/>
    <s v="NEUTRE +VERNICOP"/>
    <d v="2020-01-10T00:00:00"/>
    <s v="300092"/>
    <s v="METALSCATOLA AFRIQUE"/>
    <n v="53870"/>
  </r>
  <r>
    <s v="Facture comptabilisée"/>
    <m/>
    <x v="0"/>
    <x v="14"/>
    <s v="MIEL DU MAROC*2*"/>
    <d v="2020-01-13T00:00:00"/>
    <s v="300115"/>
    <s v="AUXILIAR CONSERVERA SA"/>
    <n v="112646.3778"/>
  </r>
  <r>
    <s v="Facture comptabilisée"/>
    <m/>
    <x v="0"/>
    <x v="15"/>
    <s v="JIL PACK*1*"/>
    <d v="2020-01-13T00:00:00"/>
    <s v="300115"/>
    <s v="AUXILIAR CONSERVERA SA"/>
    <n v="49919.826000000001"/>
  </r>
  <r>
    <s v="Facture comptabilisée"/>
    <m/>
    <x v="0"/>
    <x v="16"/>
    <s v="132/2019"/>
    <d v="2020-01-14T00:00:00"/>
    <s v="300043"/>
    <s v="DOUANE"/>
    <n v="452"/>
  </r>
  <r>
    <s v="Facture comptabilisée"/>
    <m/>
    <x v="0"/>
    <x v="17"/>
    <s v="133/2019"/>
    <d v="2020-01-14T00:00:00"/>
    <s v="300043"/>
    <s v="DOUANE"/>
    <n v="456"/>
  </r>
  <r>
    <s v="Facture comptabilisée"/>
    <m/>
    <x v="0"/>
    <x v="18"/>
    <s v="ODASSIA"/>
    <d v="2020-01-14T00:00:00"/>
    <s v="300093"/>
    <s v="AVEZ SAS"/>
    <n v="162476.6"/>
  </r>
  <r>
    <s v="Facture comptabilisée"/>
    <m/>
    <x v="0"/>
    <x v="19"/>
    <s v="TO58 /82 /63 GOLD"/>
    <d v="2020-01-15T00:00:00"/>
    <s v="300080"/>
    <s v="MASSILLY"/>
    <n v="52555.4"/>
  </r>
  <r>
    <s v="Facture comptabilisée"/>
    <m/>
    <x v="0"/>
    <x v="20"/>
    <s v="4/4 OF+1/2H RET "/>
    <d v="2020-01-15T00:00:00"/>
    <s v="300080"/>
    <s v="MASSILLY"/>
    <n v="135738.6"/>
  </r>
  <r>
    <s v="Facture comptabilisée"/>
    <m/>
    <x v="0"/>
    <x v="21"/>
    <s v="008/2020"/>
    <d v="2020-01-15T00:00:00"/>
    <s v="300101"/>
    <s v="ASMAE FORWARDING EXPRESS"/>
    <n v="3766.74"/>
  </r>
  <r>
    <s v="Facture comptabilisée"/>
    <m/>
    <x v="0"/>
    <x v="22"/>
    <s v="ALICOMAR"/>
    <d v="2020-01-16T00:00:00"/>
    <s v="300115"/>
    <s v="AUXILIAR CONSERVERA SA"/>
    <n v="101741.024"/>
  </r>
  <r>
    <s v="Facture comptabilisée"/>
    <m/>
    <x v="0"/>
    <x v="23"/>
    <s v="COPAG VIANDES"/>
    <d v="2020-01-16T00:00:00"/>
    <s v="300115"/>
    <s v="AUXILIAR CONSERVERA SA"/>
    <n v="157751.484"/>
  </r>
  <r>
    <s v="Facture comptabilisée"/>
    <m/>
    <x v="0"/>
    <x v="24"/>
    <s v="135/2019"/>
    <d v="2020-01-20T00:00:00"/>
    <s v="300043"/>
    <s v="DOUANE"/>
    <n v="2012"/>
  </r>
  <r>
    <s v="Facture comptabilisée"/>
    <m/>
    <x v="0"/>
    <x v="25"/>
    <s v="136/2019"/>
    <d v="2020-01-20T00:00:00"/>
    <s v="300043"/>
    <s v="DOUANE"/>
    <n v="1140"/>
  </r>
  <r>
    <s v="Facture comptabilisée"/>
    <m/>
    <x v="0"/>
    <x v="26"/>
    <s v="009/2020"/>
    <d v="2020-01-20T00:00:00"/>
    <s v="300101"/>
    <s v="ASMAE FORWARDING EXPRESS"/>
    <n v="3766.91"/>
  </r>
  <r>
    <s v="Facture comptabilisée"/>
    <m/>
    <x v="0"/>
    <x v="27"/>
    <s v="010/2020"/>
    <d v="2020-01-20T00:00:00"/>
    <s v="300101"/>
    <s v="ASMAE FORWARDING EXPRESS"/>
    <n v="3611.68"/>
  </r>
  <r>
    <s v="Facture comptabilisée"/>
    <m/>
    <x v="0"/>
    <x v="28"/>
    <s v="SILVER FOOD"/>
    <d v="2020-01-20T00:00:00"/>
    <s v="300115"/>
    <s v="AUXILIAR CONSERVERA SA"/>
    <n v="184458.08369999999"/>
  </r>
  <r>
    <s v="Facture comptabilisée"/>
    <m/>
    <x v="0"/>
    <x v="29"/>
    <s v="8000361604"/>
    <d v="2020-01-20T00:00:00"/>
    <s v="300220"/>
    <s v="ENVASES EUROPE"/>
    <n v="957501.07200000004"/>
  </r>
  <r>
    <s v="Facture comptabilisée"/>
    <m/>
    <x v="0"/>
    <x v="30"/>
    <s v="2300 ML"/>
    <d v="2020-01-21T00:00:00"/>
    <s v="300133"/>
    <s v="OP BOX "/>
    <n v="30150"/>
  </r>
  <r>
    <s v="Facture comptabilisée"/>
    <m/>
    <x v="0"/>
    <x v="31"/>
    <s v="JIL PACK"/>
    <d v="2020-01-22T00:00:00"/>
    <s v="300115"/>
    <s v="AUXILIAR CONSERVERA SA"/>
    <n v="180967.82"/>
  </r>
  <r>
    <s v="Facture comptabilisée"/>
    <m/>
    <x v="0"/>
    <x v="32"/>
    <s v="007/2020"/>
    <d v="2020-01-23T00:00:00"/>
    <s v="300101"/>
    <s v="ASMAE FORWARDING EXPRESS"/>
    <n v="3301.86"/>
  </r>
  <r>
    <s v="Facture comptabilisée"/>
    <m/>
    <x v="0"/>
    <x v="33"/>
    <s v="DTC"/>
    <d v="2020-01-23T00:00:00"/>
    <s v="300115"/>
    <s v="AUXILIAR CONSERVERA SA"/>
    <n v="291615.88829999999"/>
  </r>
  <r>
    <s v="Facture comptabilisée"/>
    <m/>
    <x v="0"/>
    <x v="34"/>
    <s v="DTC"/>
    <d v="2020-01-23T00:00:00"/>
    <s v="300115"/>
    <s v="AUXILIAR CONSERVERA SA"/>
    <n v="281794.55699999997"/>
  </r>
  <r>
    <s v="Facture comptabilisée"/>
    <m/>
    <x v="0"/>
    <x v="35"/>
    <s v="CHARCUTRIE SAHEL"/>
    <d v="2020-01-24T00:00:00"/>
    <s v="300115"/>
    <s v="AUXILIAR CONSERVERA SA"/>
    <n v="158723.7432"/>
  </r>
  <r>
    <s v="Facture comptabilisée"/>
    <m/>
    <x v="0"/>
    <x v="36"/>
    <d v="2026-04-04T00:00:00"/>
    <d v="2020-01-27T00:00:00"/>
    <s v="300080"/>
    <s v="MASSILLY"/>
    <n v="127272.6"/>
  </r>
  <r>
    <s v="Facture comptabilisée"/>
    <m/>
    <x v="0"/>
    <x v="37"/>
    <d v="2026-04-04T00:00:00"/>
    <d v="2020-01-27T00:00:00"/>
    <s v="300080"/>
    <s v="MASSILLY"/>
    <n v="43570.8"/>
  </r>
  <r>
    <s v="Facture comptabilisée"/>
    <m/>
    <x v="0"/>
    <x v="38"/>
    <s v="006/2020"/>
    <d v="2020-01-27T00:00:00"/>
    <s v="300101"/>
    <s v="ASMAE FORWARDING EXPRESS"/>
    <n v="3765.66"/>
  </r>
  <r>
    <s v="Facture comptabilisée"/>
    <m/>
    <x v="0"/>
    <x v="39"/>
    <s v="011/2020"/>
    <d v="2020-01-27T00:00:00"/>
    <s v="300101"/>
    <s v="ASMAE FORWARDING EXPRESS"/>
    <n v="3295.03"/>
  </r>
  <r>
    <s v="Facture comptabilisée"/>
    <m/>
    <x v="0"/>
    <x v="40"/>
    <s v="COPAG VIANDES"/>
    <d v="2020-01-27T00:00:00"/>
    <s v="300115"/>
    <s v="AUXILIAR CONSERVERA SA"/>
    <n v="157751.484"/>
  </r>
  <r>
    <s v="Facture comptabilisée"/>
    <m/>
    <x v="0"/>
    <x v="41"/>
    <s v="AL MARAI VIANDES"/>
    <d v="2020-01-27T00:00:00"/>
    <s v="300115"/>
    <s v="AUXILIAR CONSERVERA SA"/>
    <n v="175610.21280000001"/>
  </r>
  <r>
    <s v="Facture comptabilisée"/>
    <m/>
    <x v="0"/>
    <x v="42"/>
    <s v="014/2020"/>
    <d v="2020-01-27T00:00:00"/>
    <s v="300235"/>
    <s v="TRO"/>
    <n v="5679.98"/>
  </r>
  <r>
    <s v="Facture comptabilisée"/>
    <m/>
    <x v="0"/>
    <x v="43"/>
    <s v="137/2019"/>
    <d v="2020-01-28T00:00:00"/>
    <s v="300043"/>
    <s v="DOUANE"/>
    <n v="455"/>
  </r>
  <r>
    <s v="Facture comptabilisée"/>
    <m/>
    <x v="0"/>
    <x v="44"/>
    <s v="001/2020"/>
    <d v="2020-01-28T00:00:00"/>
    <s v="300043"/>
    <s v="DOUANE"/>
    <n v="1472"/>
  </r>
  <r>
    <s v="Facture comptabilisée"/>
    <m/>
    <x v="0"/>
    <x v="45"/>
    <s v="003/2020"/>
    <d v="2020-01-28T00:00:00"/>
    <s v="300101"/>
    <s v="ASMAE FORWARDING EXPRESS"/>
    <n v="3449.78"/>
  </r>
  <r>
    <s v="Facture comptabilisée"/>
    <m/>
    <x v="0"/>
    <x v="46"/>
    <s v="SILVER FOOD"/>
    <d v="2020-01-28T00:00:00"/>
    <s v="300115"/>
    <s v="AUXILIAR CONSERVERA SA"/>
    <n v="269185.72560000001"/>
  </r>
  <r>
    <s v="Facture comptabilisée"/>
    <m/>
    <x v="0"/>
    <x v="47"/>
    <s v="014/2020"/>
    <d v="2020-01-29T00:00:00"/>
    <s v="300043"/>
    <s v="DOUANE"/>
    <n v="557"/>
  </r>
  <r>
    <s v="Facture comptabilisée"/>
    <m/>
    <x v="0"/>
    <x v="48"/>
    <s v="004/2020"/>
    <d v="2020-01-29T00:00:00"/>
    <s v="300101"/>
    <s v="ASMAE FORWARDING EXPRESS"/>
    <n v="3604.54"/>
  </r>
  <r>
    <s v="Facture comptabilisée"/>
    <m/>
    <x v="0"/>
    <x v="49"/>
    <s v="012/2020"/>
    <d v="2020-01-29T00:00:00"/>
    <s v="300101"/>
    <s v="ASMAE FORWARDING EXPRESS"/>
    <n v="3759.3"/>
  </r>
  <r>
    <s v="Facture comptabilisée"/>
    <m/>
    <x v="0"/>
    <x v="50"/>
    <s v="014/2020"/>
    <d v="2020-01-29T00:00:00"/>
    <s v="300101"/>
    <s v="ASMAE FORWARDING EXPRESS"/>
    <n v="4530"/>
  </r>
  <r>
    <s v="Facture comptabilisée"/>
    <m/>
    <x v="0"/>
    <x v="51"/>
    <s v="AVOIR 0020011772"/>
    <d v="2020-01-29T00:00:00"/>
    <s v="300115"/>
    <s v="AUXILIAR CONSERVERA SA"/>
    <n v="243101.9448"/>
  </r>
  <r>
    <s v="Facture comptabilisée"/>
    <m/>
    <x v="0"/>
    <x v="52"/>
    <s v="PLASTIQUE"/>
    <d v="2020-01-29T00:00:00"/>
    <s v="300133"/>
    <s v="OP BOX "/>
    <n v="41866"/>
  </r>
  <r>
    <s v="Facture comptabilisée"/>
    <m/>
    <x v="0"/>
    <x v="53"/>
    <s v="01/2020 REC JAC"/>
    <d v="2020-01-29T00:00:00"/>
    <s v="300234"/>
    <s v="MARGLORY"/>
    <n v="5038.3999999999996"/>
  </r>
  <r>
    <s v="Facture comptabilisée"/>
    <m/>
    <x v="0"/>
    <x v="54"/>
    <s v="43 TO GOLD"/>
    <d v="2020-01-30T00:00:00"/>
    <s v="300080"/>
    <s v="MASSILLY"/>
    <n v="12153.3"/>
  </r>
  <r>
    <s v="Facture comptabilisée"/>
    <m/>
    <x v="0"/>
    <x v="55"/>
    <s v="008/2020"/>
    <d v="2020-01-31T00:00:00"/>
    <s v="300043"/>
    <s v="DOUANE"/>
    <n v="691"/>
  </r>
  <r>
    <s v="Facture comptabilisée"/>
    <m/>
    <x v="0"/>
    <x v="56"/>
    <s v="002/2020"/>
    <d v="2020-01-31T00:00:00"/>
    <s v="300043"/>
    <s v="DOUANE"/>
    <n v="1639"/>
  </r>
  <r>
    <s v="Facture comptabilisée"/>
    <m/>
    <x v="0"/>
    <x v="57"/>
    <s v="005/2020"/>
    <d v="2020-01-31T00:00:00"/>
    <s v="300101"/>
    <s v="ASMAE FORWARDING EXPRESS"/>
    <n v="3604.54"/>
  </r>
  <r>
    <s v="Facture comptabilisée"/>
    <m/>
    <x v="0"/>
    <x v="58"/>
    <s v="254/2020/E"/>
    <d v="2020-01-31T00:00:00"/>
    <s v="300109"/>
    <s v="METALSCATOLA ITALIE"/>
    <n v="273045.99300000002"/>
  </r>
  <r>
    <s v="Facture comptabilisée"/>
    <m/>
    <x v="0"/>
    <x v="59"/>
    <s v="PLASTIQUE"/>
    <d v="2020-01-31T00:00:00"/>
    <s v="300133"/>
    <s v="OP BOX "/>
    <n v="17604"/>
  </r>
  <r>
    <s v="Facture comptabilisée"/>
    <m/>
    <x v="0"/>
    <x v="60"/>
    <s v="PLASTIQUE"/>
    <d v="2020-01-31T00:00:00"/>
    <s v="300133"/>
    <s v="OP BOX "/>
    <n v="40220"/>
  </r>
  <r>
    <s v="Facture comptabilisée"/>
    <m/>
    <x v="0"/>
    <x v="61"/>
    <s v="TO43/48/58/63/82"/>
    <d v="2020-01-31T00:00:00"/>
    <s v="300226"/>
    <s v="Sarten Ambalaj Sanayi ve Ticaret AS"/>
    <n v="308768"/>
  </r>
  <r>
    <s v="Facture comptabilisée"/>
    <m/>
    <x v="0"/>
    <x v="62"/>
    <s v="JIL PACK A"/>
    <d v="2020-02-03T00:00:00"/>
    <s v="300115"/>
    <s v="AUXILIAR CONSERVERA SA"/>
    <n v="283948.79700000002"/>
  </r>
  <r>
    <s v="Facture comptabilisée"/>
    <m/>
    <x v="0"/>
    <x v="63"/>
    <s v="JIL PACK*MIDAV*"/>
    <d v="2020-02-03T00:00:00"/>
    <s v="300115"/>
    <s v="AUXILIAR CONSERVERA SA"/>
    <n v="283948.79700000002"/>
  </r>
  <r>
    <s v="Facture comptabilisée"/>
    <m/>
    <x v="0"/>
    <x v="64"/>
    <s v="013/2020"/>
    <d v="2020-02-04T00:00:00"/>
    <s v="300101"/>
    <s v="ASMAE FORWARDING EXPRESS"/>
    <n v="3604.76"/>
  </r>
  <r>
    <s v="Facture comptabilisée"/>
    <m/>
    <x v="0"/>
    <x v="65"/>
    <s v="4000l inv"/>
    <d v="2020-02-04T00:00:00"/>
    <s v="300133"/>
    <s v="OP BOX "/>
    <n v="8352"/>
  </r>
  <r>
    <s v="Facture comptabilisée"/>
    <m/>
    <x v="0"/>
    <x v="66"/>
    <s v="010/2020"/>
    <d v="2020-02-05T00:00:00"/>
    <s v="300043"/>
    <s v="DOUANE"/>
    <n v="2503"/>
  </r>
  <r>
    <s v="Facture comptabilisée"/>
    <m/>
    <x v="0"/>
    <x v="67"/>
    <s v="009/2020"/>
    <d v="2020-02-05T00:00:00"/>
    <s v="300043"/>
    <s v="DOUANE"/>
    <n v="676"/>
  </r>
  <r>
    <s v="Facture comptabilisée"/>
    <m/>
    <x v="0"/>
    <x v="68"/>
    <s v="007/2020"/>
    <d v="2020-02-05T00:00:00"/>
    <s v="300043"/>
    <s v="DOUANE"/>
    <n v="761"/>
  </r>
  <r>
    <s v="Facture comptabilisée"/>
    <m/>
    <x v="0"/>
    <x v="69"/>
    <s v="006/2020"/>
    <d v="2020-02-05T00:00:00"/>
    <s v="300043"/>
    <s v="DOUANE"/>
    <n v="766"/>
  </r>
  <r>
    <s v="Facture comptabilisée"/>
    <m/>
    <x v="0"/>
    <x v="70"/>
    <s v="016/2020"/>
    <d v="2020-02-05T00:00:00"/>
    <s v="300101"/>
    <s v="ASMAE FORWARDING EXPRESS"/>
    <n v="3604.76"/>
  </r>
  <r>
    <s v="Facture comptabilisée"/>
    <m/>
    <x v="0"/>
    <x v="71"/>
    <s v="CONSERVAL"/>
    <d v="2020-02-05T00:00:00"/>
    <s v="300115"/>
    <s v="AUXILIAR CONSERVERA SA"/>
    <n v="270131.87300000002"/>
  </r>
  <r>
    <s v="Facture comptabilisée"/>
    <m/>
    <x v="0"/>
    <x v="72"/>
    <s v="015/2020"/>
    <d v="2020-02-06T00:00:00"/>
    <s v="300101"/>
    <s v="ASMAE FORWARDING EXPRESS"/>
    <n v="3449.99"/>
  </r>
  <r>
    <s v="Facture comptabilisée"/>
    <m/>
    <x v="0"/>
    <x v="73"/>
    <s v="NEUTRE"/>
    <d v="2020-02-07T00:00:00"/>
    <s v="300092"/>
    <s v="METALSCATOLA AFRIQUE"/>
    <n v="55350.15"/>
  </r>
  <r>
    <s v="Facture comptabilisée"/>
    <m/>
    <x v="0"/>
    <x v="74"/>
    <s v="011/2020"/>
    <d v="2020-02-07T00:00:00"/>
    <s v="300101"/>
    <s v="ASMAE FORWARDING EXPRESS"/>
    <n v="773.78"/>
  </r>
  <r>
    <s v="Facture comptabilisée"/>
    <m/>
    <x v="0"/>
    <x v="75"/>
    <s v="JIL PACK A"/>
    <d v="2020-02-07T00:00:00"/>
    <s v="300115"/>
    <s v="AUXILIAR CONSERVERA SA"/>
    <n v="283948.79700000002"/>
  </r>
  <r>
    <s v="Facture comptabilisée"/>
    <m/>
    <x v="0"/>
    <x v="76"/>
    <s v="SILVER FOOD"/>
    <d v="2020-02-07T00:00:00"/>
    <s v="300115"/>
    <s v="AUXILIAR CONSERVERA SA"/>
    <n v="281794.55699999997"/>
  </r>
  <r>
    <s v="Facture comptabilisée"/>
    <m/>
    <x v="0"/>
    <x v="77"/>
    <s v="JIL PACK A"/>
    <d v="2020-02-07T00:00:00"/>
    <s v="300115"/>
    <s v="AUXILIAR CONSERVERA SA"/>
    <n v="283948.79700000002"/>
  </r>
  <r>
    <s v="Facture comptabilisée"/>
    <m/>
    <x v="0"/>
    <x v="78"/>
    <s v="011/2020"/>
    <d v="2020-02-10T00:00:00"/>
    <s v="300043"/>
    <s v="DOUANE"/>
    <n v="1964"/>
  </r>
  <r>
    <s v="Facture comptabilisée"/>
    <m/>
    <x v="0"/>
    <x v="79"/>
    <s v="020/2020"/>
    <d v="2020-02-10T00:00:00"/>
    <s v="300101"/>
    <s v="ASMAE FORWARDING EXPRESS"/>
    <n v="3140.45"/>
  </r>
  <r>
    <s v="Facture comptabilisée"/>
    <m/>
    <x v="0"/>
    <x v="80"/>
    <s v="JIL PACK A"/>
    <d v="2020-02-10T00:00:00"/>
    <s v="300115"/>
    <s v="AUXILIAR CONSERVERA SA"/>
    <n v="283948.79700000002"/>
  </r>
  <r>
    <s v="Facture comptabilisée"/>
    <m/>
    <x v="0"/>
    <x v="81"/>
    <s v="JIL PACK A"/>
    <d v="2020-02-10T00:00:00"/>
    <s v="300115"/>
    <s v="AUXILIAR CONSERVERA SA"/>
    <n v="283948.79700000002"/>
  </r>
  <r>
    <s v="Facture comptabilisée"/>
    <m/>
    <x v="0"/>
    <x v="82"/>
    <s v="02/2020 REC JAC"/>
    <d v="2020-02-10T00:00:00"/>
    <s v="300118"/>
    <s v="ARKAS MAROC"/>
    <n v="4238.1499999999996"/>
  </r>
  <r>
    <s v="Facture comptabilisée"/>
    <m/>
    <x v="0"/>
    <x v="83"/>
    <s v="003/2020"/>
    <d v="2020-02-11T00:00:00"/>
    <s v="300043"/>
    <s v="DOUANE"/>
    <n v="677"/>
  </r>
  <r>
    <s v="Facture comptabilisée"/>
    <m/>
    <x v="0"/>
    <x v="84"/>
    <s v="012/2020"/>
    <d v="2020-02-11T00:00:00"/>
    <s v="300043"/>
    <s v="DOUANE"/>
    <n v="1109"/>
  </r>
  <r>
    <s v="Facture comptabilisée"/>
    <m/>
    <x v="0"/>
    <x v="85"/>
    <s v="004/2020"/>
    <d v="2020-02-11T00:00:00"/>
    <s v="300101"/>
    <s v="ASMAE FORWARDING EXPRESS"/>
    <n v="176.86"/>
  </r>
  <r>
    <s v="Facture comptabilisée"/>
    <m/>
    <x v="0"/>
    <x v="86"/>
    <s v="017/2020"/>
    <d v="2020-02-11T00:00:00"/>
    <s v="300101"/>
    <s v="ASMAE FORWARDING EXPRESS"/>
    <n v="3752.54"/>
  </r>
  <r>
    <s v="Facture comptabilisée"/>
    <m/>
    <x v="0"/>
    <x v="87"/>
    <s v="01/2020 REC JAC"/>
    <d v="2020-02-12T00:00:00"/>
    <s v="300043"/>
    <s v="DOUANE"/>
    <n v="2469"/>
  </r>
  <r>
    <s v="Facture comptabilisée"/>
    <m/>
    <x v="0"/>
    <x v="88"/>
    <s v="004/2020"/>
    <d v="2020-02-12T00:00:00"/>
    <s v="300043"/>
    <s v="DOUANE"/>
    <n v="729"/>
  </r>
  <r>
    <s v="Facture comptabilisée"/>
    <m/>
    <x v="0"/>
    <x v="89"/>
    <s v="005/2020"/>
    <d v="2020-02-12T00:00:00"/>
    <s v="300043"/>
    <s v="DOUANE"/>
    <n v="673"/>
  </r>
  <r>
    <s v="Facture comptabilisée"/>
    <m/>
    <x v="0"/>
    <x v="90"/>
    <s v="1456986"/>
    <d v="2020-02-12T00:00:00"/>
    <s v="300080"/>
    <s v="MASSILLY"/>
    <n v="125999.874"/>
  </r>
  <r>
    <s v="Facture comptabilisée"/>
    <m/>
    <x v="0"/>
    <x v="91"/>
    <s v="MIEL DU MAROC*1*"/>
    <d v="2020-02-12T00:00:00"/>
    <s v="300115"/>
    <s v="AUXILIAR CONSERVERA SA"/>
    <n v="125178.768"/>
  </r>
  <r>
    <s v="Facture comptabilisée"/>
    <m/>
    <x v="0"/>
    <x v="92"/>
    <s v="CHAR SAHEL*2*"/>
    <d v="2020-02-12T00:00:00"/>
    <s v="300115"/>
    <s v="AUXILIAR CONSERVERA SA"/>
    <n v="26912.971799999999"/>
  </r>
  <r>
    <s v="Facture comptabilisée"/>
    <m/>
    <x v="0"/>
    <x v="93"/>
    <s v="EXI20-290-038"/>
    <d v="2020-02-12T00:00:00"/>
    <s v="300237"/>
    <s v="Saribekir Ambalaj - SBK"/>
    <n v="225693"/>
  </r>
  <r>
    <s v="Facture comptabilisée"/>
    <m/>
    <x v="0"/>
    <x v="94"/>
    <s v="013/2020"/>
    <d v="2020-02-13T00:00:00"/>
    <s v="300043"/>
    <s v="DOUANE"/>
    <n v="1072"/>
  </r>
  <r>
    <s v="Facture comptabilisée"/>
    <m/>
    <x v="0"/>
    <x v="95"/>
    <s v="016/2020"/>
    <d v="2020-02-13T00:00:00"/>
    <s v="300043"/>
    <s v="DOUANE"/>
    <n v="1081"/>
  </r>
  <r>
    <s v="Facture comptabilisée"/>
    <m/>
    <x v="0"/>
    <x v="96"/>
    <s v="015/2020"/>
    <d v="2020-02-13T00:00:00"/>
    <s v="300043"/>
    <s v="DOUANE"/>
    <n v="1081"/>
  </r>
  <r>
    <s v="Facture comptabilisée"/>
    <m/>
    <x v="0"/>
    <x v="97"/>
    <s v="64235"/>
    <d v="2020-02-13T00:00:00"/>
    <s v="300093"/>
    <s v="AVEZ SAS"/>
    <n v="167130.11919999999"/>
  </r>
  <r>
    <s v="Facture comptabilisée"/>
    <m/>
    <x v="0"/>
    <x v="98"/>
    <s v="021/2020"/>
    <d v="2020-02-13T00:00:00"/>
    <s v="300101"/>
    <s v="ASMAE FORWARDING EXPRESS"/>
    <n v="3436"/>
  </r>
  <r>
    <s v="Facture comptabilisée"/>
    <m/>
    <x v="0"/>
    <x v="99"/>
    <s v="022/2020"/>
    <d v="2020-02-13T00:00:00"/>
    <s v="300101"/>
    <s v="ASMAE FORWARDING EXPRESS"/>
    <n v="3436"/>
  </r>
  <r>
    <s v="Facture comptabilisée"/>
    <m/>
    <x v="0"/>
    <x v="100"/>
    <s v="PLASTIQUE"/>
    <d v="2020-02-13T00:00:00"/>
    <s v="300133"/>
    <s v="OP BOX "/>
    <n v="12420"/>
  </r>
  <r>
    <s v="Facture comptabilisée"/>
    <m/>
    <x v="0"/>
    <x v="101"/>
    <s v="PLASTIQUE"/>
    <d v="2020-02-13T00:00:00"/>
    <s v="300133"/>
    <s v="OP BOX "/>
    <n v="9120"/>
  </r>
  <r>
    <s v="Facture comptabilisée"/>
    <m/>
    <x v="0"/>
    <x v="102"/>
    <s v="PLASTIQUE"/>
    <d v="2020-02-13T00:00:00"/>
    <s v="300133"/>
    <s v="OP BOX "/>
    <n v="17490"/>
  </r>
  <r>
    <s v="Facture comptabilisée"/>
    <m/>
    <x v="0"/>
    <x v="103"/>
    <s v="PLASTIQUE"/>
    <d v="2020-02-13T00:00:00"/>
    <s v="300133"/>
    <s v="OP BOX "/>
    <n v="2196"/>
  </r>
  <r>
    <s v="Facture comptabilisée"/>
    <m/>
    <x v="0"/>
    <x v="104"/>
    <s v="58 GOLD"/>
    <d v="2020-02-14T00:00:00"/>
    <s v="300080"/>
    <s v="MASSILLY"/>
    <n v="7995.9359999999997"/>
  </r>
  <r>
    <s v="Facture comptabilisée"/>
    <m/>
    <x v="0"/>
    <x v="105"/>
    <s v="22L EURO800"/>
    <d v="2020-02-14T00:00:00"/>
    <s v="300092"/>
    <s v="METALSCATOLA AFRIQUE"/>
    <n v="46980.5"/>
  </r>
  <r>
    <s v="Facture comptabilisée"/>
    <m/>
    <x v="0"/>
    <x v="106"/>
    <s v="018/2020"/>
    <d v="2020-02-14T00:00:00"/>
    <s v="300101"/>
    <s v="ASMAE FORWARDING EXPRESS"/>
    <n v="3589.87"/>
  </r>
  <r>
    <s v="Facture comptabilisée"/>
    <m/>
    <x v="0"/>
    <x v="107"/>
    <s v="019/2020"/>
    <d v="2020-02-14T00:00:00"/>
    <s v="300101"/>
    <s v="ASMAE FORWARDING EXPRESS"/>
    <n v="3743.74"/>
  </r>
  <r>
    <s v="Facture comptabilisée"/>
    <m/>
    <x v="0"/>
    <x v="108"/>
    <s v="03/2020 RE JAC"/>
    <d v="2020-02-15T00:00:00"/>
    <s v="300240"/>
    <s v="BDP INTERNATIONAL"/>
    <n v="5204.3999999999996"/>
  </r>
  <r>
    <s v="Facture comptabilisée"/>
    <m/>
    <x v="0"/>
    <x v="109"/>
    <s v="023/2020"/>
    <d v="2020-02-17T00:00:00"/>
    <s v="300101"/>
    <s v="ASMAE FORWARDING EXPRESS"/>
    <n v="3736.15"/>
  </r>
  <r>
    <s v="Facture comptabilisée"/>
    <m/>
    <x v="0"/>
    <x v="110"/>
    <s v="02/2020 REC JAC"/>
    <d v="2020-02-18T00:00:00"/>
    <s v="300043"/>
    <s v="DOUANE"/>
    <n v="828"/>
  </r>
  <r>
    <s v="Facture comptabilisée"/>
    <m/>
    <x v="0"/>
    <x v="111"/>
    <s v="JIL PACKA*MARINE*"/>
    <d v="2020-02-18T00:00:00"/>
    <s v="300115"/>
    <s v="AUXILIAR CONSERVERA SA"/>
    <n v="222575.0043"/>
  </r>
  <r>
    <s v="Facture comptabilisée"/>
    <m/>
    <x v="0"/>
    <x v="112"/>
    <s v="020/2020"/>
    <d v="2020-02-19T00:00:00"/>
    <s v="300043"/>
    <s v="DOUANE"/>
    <n v="1035"/>
  </r>
  <r>
    <s v="Facture comptabilisée"/>
    <m/>
    <x v="0"/>
    <x v="113"/>
    <s v="024/2020"/>
    <d v="2020-02-19T00:00:00"/>
    <s v="300101"/>
    <s v="ASMAE FORWARDING EXPRESS"/>
    <n v="3122.39"/>
  </r>
  <r>
    <s v="Facture comptabilisée"/>
    <m/>
    <x v="0"/>
    <x v="114"/>
    <s v="COPAG"/>
    <d v="2020-02-19T00:00:00"/>
    <s v="300115"/>
    <s v="AUXILIAR CONSERVERA SA"/>
    <n v="157751.484"/>
  </r>
  <r>
    <s v="Facture comptabilisée"/>
    <m/>
    <x v="0"/>
    <x v="115"/>
    <s v="017/2020"/>
    <d v="2020-02-20T00:00:00"/>
    <s v="300043"/>
    <s v="DOUANE"/>
    <n v="1080"/>
  </r>
  <r>
    <s v="Facture comptabilisée"/>
    <m/>
    <x v="0"/>
    <x v="116"/>
    <s v="03/2020 REC JAC"/>
    <d v="2020-02-21T00:00:00"/>
    <s v="300043"/>
    <s v="DOUANE"/>
    <n v="912"/>
  </r>
  <r>
    <s v="Facture comptabilisée"/>
    <m/>
    <x v="0"/>
    <x v="117"/>
    <s v="025/2020"/>
    <d v="2020-02-21T00:00:00"/>
    <s v="300101"/>
    <s v="ASMAE FORWARDING EXPRESS"/>
    <n v="3122.39"/>
  </r>
  <r>
    <s v="Facture comptabilisée"/>
    <m/>
    <x v="0"/>
    <x v="118"/>
    <s v="ALICOMAR"/>
    <d v="2020-02-21T00:00:00"/>
    <s v="300115"/>
    <s v="AUXILIAR CONSERVERA SA"/>
    <n v="85392.581999999995"/>
  </r>
  <r>
    <s v="Facture comptabilisée"/>
    <m/>
    <x v="0"/>
    <x v="119"/>
    <s v="JIL PACK A"/>
    <d v="2020-02-21T00:00:00"/>
    <s v="300115"/>
    <s v="AUXILIAR CONSERVERA SA"/>
    <n v="283948.79700000002"/>
  </r>
  <r>
    <s v="Facture comptabilisée"/>
    <m/>
    <x v="0"/>
    <x v="120"/>
    <s v="JIL PACK A*doha*"/>
    <d v="2020-02-21T00:00:00"/>
    <s v="300115"/>
    <s v="AUXILIAR CONSERVERA SA"/>
    <n v="283934.277"/>
  </r>
  <r>
    <s v="Facture comptabilisée"/>
    <m/>
    <x v="0"/>
    <x v="121"/>
    <s v="MUSTANG"/>
    <d v="2020-02-22T00:00:00"/>
    <s v="300092"/>
    <s v="METALSCATOLA AFRIQUE"/>
    <n v="22429.35"/>
  </r>
  <r>
    <s v="Facture comptabilisée"/>
    <m/>
    <x v="0"/>
    <x v="122"/>
    <s v="026/2020"/>
    <d v="2020-02-24T00:00:00"/>
    <s v="300101"/>
    <s v="ASMAE FORWARDING EXPRESS"/>
    <n v="3428.76"/>
  </r>
  <r>
    <s v="Facture comptabilisée"/>
    <m/>
    <x v="0"/>
    <x v="123"/>
    <s v="MFI"/>
    <d v="2020-02-24T00:00:00"/>
    <s v="300115"/>
    <s v="AUXILIAR CONSERVERA SA"/>
    <n v="90118.815600000002"/>
  </r>
  <r>
    <s v="Facture comptabilisée"/>
    <m/>
    <x v="0"/>
    <x v="124"/>
    <s v="BTE ROND COPAG"/>
    <d v="2020-02-24T00:00:00"/>
    <s v="300220"/>
    <s v="ENVASES EUROPE"/>
    <n v="421741.32"/>
  </r>
  <r>
    <s v="Facture comptabilisée"/>
    <m/>
    <x v="0"/>
    <x v="125"/>
    <s v="022/2020"/>
    <d v="2020-02-25T00:00:00"/>
    <s v="300043"/>
    <s v="DOUANE"/>
    <n v="1077"/>
  </r>
  <r>
    <s v="Facture comptabilisée"/>
    <m/>
    <x v="0"/>
    <x v="126"/>
    <s v="021/2020"/>
    <d v="2020-02-25T00:00:00"/>
    <s v="300043"/>
    <s v="DOUANE"/>
    <n v="1077"/>
  </r>
  <r>
    <s v="Facture comptabilisée"/>
    <m/>
    <x v="0"/>
    <x v="127"/>
    <s v="027/2020"/>
    <d v="2020-02-25T00:00:00"/>
    <s v="300101"/>
    <s v="ASMAE FORWARDING EXPRESS"/>
    <n v="3118.95"/>
  </r>
  <r>
    <s v="Facture comptabilisée"/>
    <m/>
    <x v="0"/>
    <x v="128"/>
    <s v="028/2020"/>
    <d v="2020-02-25T00:00:00"/>
    <s v="300101"/>
    <s v="ASMAE FORWARDING EXPRESS"/>
    <n v="3118.95"/>
  </r>
  <r>
    <s v="Facture comptabilisée"/>
    <m/>
    <x v="0"/>
    <x v="129"/>
    <s v="SEAUX 30L BLANC"/>
    <d v="2020-02-26T00:00:00"/>
    <s v="300090"/>
    <s v="GALION FRNS ETRG"/>
    <n v="6167.7"/>
  </r>
  <r>
    <s v="Facture comptabilisée"/>
    <m/>
    <x v="0"/>
    <x v="130"/>
    <s v="PLASTIQUE"/>
    <d v="2020-02-26T00:00:00"/>
    <s v="300133"/>
    <s v="OP BOX "/>
    <n v="42574.5"/>
  </r>
  <r>
    <s v="Facture comptabilisée"/>
    <m/>
    <x v="0"/>
    <x v="131"/>
    <s v="JIL PACK A*DOHA*"/>
    <d v="2020-02-27T00:00:00"/>
    <s v="300115"/>
    <s v="AUXILIAR CONSERVERA SA"/>
    <n v="283950.61200000002"/>
  </r>
  <r>
    <s v="Facture comptabilisée"/>
    <m/>
    <x v="0"/>
    <x v="132"/>
    <s v="029/2020"/>
    <d v="2020-02-28T00:00:00"/>
    <s v="300101"/>
    <s v="ASMAE FORWARDING EXPRESS"/>
    <n v="3431.01"/>
  </r>
  <r>
    <s v="Facture comptabilisée"/>
    <m/>
    <x v="0"/>
    <x v="133"/>
    <s v="JIL PACK A*AVEIRO"/>
    <d v="2020-02-28T00:00:00"/>
    <s v="300115"/>
    <s v="AUXILIAR CONSERVERA SA"/>
    <n v="283950.61200000002"/>
  </r>
  <r>
    <s v="Facture comptabilisée"/>
    <m/>
    <x v="0"/>
    <x v="134"/>
    <s v="STE YAHYA AL FIRD"/>
    <d v="2020-02-28T00:00:00"/>
    <s v="300115"/>
    <s v="AUXILIAR CONSERVERA SA"/>
    <n v="145109.14000000001"/>
  </r>
  <r>
    <s v="Facture comptabilisée"/>
    <m/>
    <x v="0"/>
    <x v="135"/>
    <s v="AL MARAI VIANDES"/>
    <d v="2020-02-28T00:00:00"/>
    <s v="300115"/>
    <s v="AUXILIAR CONSERVERA SA"/>
    <n v="145109.14000000001"/>
  </r>
  <r>
    <s v="Facture comptabilisée"/>
    <m/>
    <x v="0"/>
    <x v="136"/>
    <s v="019/2020"/>
    <d v="2020-02-29T00:00:00"/>
    <s v="300043"/>
    <s v="DOUANE"/>
    <n v="1071"/>
  </r>
  <r>
    <s v="Facture comptabilisée"/>
    <m/>
    <x v="0"/>
    <x v="137"/>
    <s v="018/2020"/>
    <d v="2020-03-02T00:00:00"/>
    <s v="300043"/>
    <s v="DOUANE"/>
    <n v="3147"/>
  </r>
  <r>
    <s v="Facture comptabilisée"/>
    <m/>
    <x v="0"/>
    <x v="138"/>
    <s v="023/2020"/>
    <d v="2020-03-02T00:00:00"/>
    <s v="300043"/>
    <s v="DOUANE"/>
    <n v="653"/>
  </r>
  <r>
    <s v="Facture comptabilisée"/>
    <m/>
    <x v="0"/>
    <x v="139"/>
    <s v="024/2020"/>
    <d v="2020-03-02T00:00:00"/>
    <s v="300043"/>
    <s v="DOUANE"/>
    <n v="875"/>
  </r>
  <r>
    <s v="Facture comptabilisée"/>
    <m/>
    <x v="0"/>
    <x v="140"/>
    <s v="030/2020"/>
    <d v="2020-03-02T00:00:00"/>
    <s v="300043"/>
    <s v="DOUANE"/>
    <n v="1077"/>
  </r>
  <r>
    <s v="Facture comptabilisée"/>
    <m/>
    <x v="0"/>
    <x v="141"/>
    <s v="030/2020"/>
    <d v="2020-03-02T00:00:00"/>
    <s v="300101"/>
    <s v="ASMAE FORWARDING EXPRESS"/>
    <n v="3431.01"/>
  </r>
  <r>
    <s v="Facture comptabilisée"/>
    <m/>
    <x v="0"/>
    <x v="142"/>
    <s v="035/2020"/>
    <d v="2020-03-02T00:00:00"/>
    <s v="300101"/>
    <s v="ASMAE FORWARDING EXPRESS"/>
    <n v="3605.52"/>
  </r>
  <r>
    <s v="Facture comptabilisée"/>
    <m/>
    <x v="0"/>
    <x v="143"/>
    <s v="JIL PACK A"/>
    <d v="2020-03-02T00:00:00"/>
    <s v="300115"/>
    <s v="AUXILIAR CONSERVERA SA"/>
    <n v="283950.61200000002"/>
  </r>
  <r>
    <s v="Facture comptabilisée"/>
    <m/>
    <x v="0"/>
    <x v="144"/>
    <s v="JIL PACK A"/>
    <d v="2020-03-02T00:00:00"/>
    <s v="300115"/>
    <s v="AUXILIAR CONSERVERA SA"/>
    <n v="283950.61200000002"/>
  </r>
  <r>
    <s v="Facture comptabilisée"/>
    <m/>
    <x v="0"/>
    <x v="145"/>
    <d v="2020-04-01T00:00:00"/>
    <d v="2020-03-02T00:00:00"/>
    <s v="300235"/>
    <s v="TRO"/>
    <n v="5679.98"/>
  </r>
  <r>
    <s v="Facture comptabilisée"/>
    <m/>
    <x v="0"/>
    <x v="146"/>
    <s v="026/2020"/>
    <d v="2020-03-03T00:00:00"/>
    <s v="300043"/>
    <s v="DOUANE"/>
    <n v="436"/>
  </r>
  <r>
    <s v="Facture comptabilisée"/>
    <m/>
    <x v="0"/>
    <x v="147"/>
    <s v="025/2020"/>
    <d v="2020-03-03T00:00:00"/>
    <s v="300043"/>
    <s v="DOUANE"/>
    <n v="669"/>
  </r>
  <r>
    <s v="Facture comptabilisée"/>
    <m/>
    <x v="0"/>
    <x v="148"/>
    <s v="01/2020 REC JAC"/>
    <d v="2020-03-03T00:00:00"/>
    <s v="300301"/>
    <s v="RECOING &amp; JACQUETY"/>
    <n v="4668.49"/>
  </r>
  <r>
    <s v="Facture comptabilisée"/>
    <m/>
    <x v="0"/>
    <x v="149"/>
    <s v="02/2020 REC JAC"/>
    <d v="2020-03-03T00:00:00"/>
    <s v="300301"/>
    <s v="RECOING &amp; JACQUETY"/>
    <n v="2914.01"/>
  </r>
  <r>
    <s v="Facture comptabilisée"/>
    <m/>
    <x v="0"/>
    <x v="150"/>
    <s v="027/2020"/>
    <d v="2020-03-04T00:00:00"/>
    <s v="300043"/>
    <s v="DOUANE"/>
    <n v="1072"/>
  </r>
  <r>
    <s v="Facture comptabilisée"/>
    <m/>
    <x v="0"/>
    <x v="151"/>
    <s v="4/4 G3"/>
    <d v="2020-03-04T00:00:00"/>
    <s v="300080"/>
    <s v="MASSILLY"/>
    <n v="125999.874"/>
  </r>
  <r>
    <s v="Facture comptabilisée"/>
    <m/>
    <x v="0"/>
    <x v="152"/>
    <s v="033/2020"/>
    <d v="2020-03-04T00:00:00"/>
    <s v="300101"/>
    <s v="ASMAE FORWARDING EXPRESS"/>
    <n v="3451.12"/>
  </r>
  <r>
    <s v="Facture comptabilisée"/>
    <m/>
    <x v="0"/>
    <x v="153"/>
    <s v="034/2020"/>
    <d v="2020-03-04T00:00:00"/>
    <s v="300101"/>
    <s v="ASMAE FORWARDING EXPRESS"/>
    <n v="3766.05"/>
  </r>
  <r>
    <s v="Facture comptabilisée"/>
    <m/>
    <x v="0"/>
    <x v="154"/>
    <s v="036/2020"/>
    <d v="2020-03-04T00:00:00"/>
    <s v="300101"/>
    <s v="ASMAE FORWARDING EXPRESS"/>
    <n v="3454.38"/>
  </r>
  <r>
    <s v="Facture comptabilisée"/>
    <m/>
    <x v="0"/>
    <x v="155"/>
    <s v="STE YAHYA AL FIRD"/>
    <d v="2020-03-04T00:00:00"/>
    <s v="300115"/>
    <s v="AUXILIAR CONSERVERA SA"/>
    <n v="145109.14000000001"/>
  </r>
  <r>
    <s v="Facture comptabilisée"/>
    <m/>
    <x v="0"/>
    <x v="156"/>
    <s v="028/2020"/>
    <d v="2020-03-05T00:00:00"/>
    <s v="300043"/>
    <s v="DOUANE"/>
    <n v="1072"/>
  </r>
  <r>
    <s v="Facture comptabilisée"/>
    <m/>
    <x v="0"/>
    <x v="157"/>
    <s v="04/2020 REC JAC"/>
    <d v="2020-03-05T00:00:00"/>
    <s v="300043"/>
    <s v="DOUANE"/>
    <n v="569"/>
  </r>
  <r>
    <s v="Facture comptabilisée"/>
    <m/>
    <x v="0"/>
    <x v="158"/>
    <s v="AL MARAI"/>
    <d v="2020-03-05T00:00:00"/>
    <s v="300115"/>
    <s v="AUXILIAR CONSERVERA SA"/>
    <n v="145109.14000000001"/>
  </r>
  <r>
    <s v="Facture comptabilisée"/>
    <m/>
    <x v="0"/>
    <x v="159"/>
    <s v="03/2020 REC JAC"/>
    <d v="2020-03-05T00:00:00"/>
    <s v="300301"/>
    <s v="RECOING &amp; JACQUETY"/>
    <n v="2107.5"/>
  </r>
  <r>
    <s v="Facture comptabilisée"/>
    <m/>
    <x v="0"/>
    <x v="160"/>
    <s v="020/2020"/>
    <d v="2020-03-06T00:00:00"/>
    <s v="300101"/>
    <s v="ASMAE FORWARDING EXPRESS"/>
    <n v="770.68"/>
  </r>
  <r>
    <s v="Facture comptabilisée"/>
    <m/>
    <x v="0"/>
    <x v="161"/>
    <s v="031/2020"/>
    <d v="2020-03-06T00:00:00"/>
    <s v="300101"/>
    <s v="ASMAE FORWARDING EXPRESS"/>
    <n v="3145.17"/>
  </r>
  <r>
    <s v="Facture comptabilisée"/>
    <m/>
    <x v="0"/>
    <x v="162"/>
    <s v="039/2020"/>
    <d v="2020-03-09T00:00:00"/>
    <s v="300101"/>
    <s v="ASMAE FORWARDING EXPRESS"/>
    <n v="3636.67"/>
  </r>
  <r>
    <s v="Facture comptabilisée"/>
    <m/>
    <x v="0"/>
    <x v="163"/>
    <s v="MIEL DU MAROC*1*"/>
    <d v="2020-03-09T00:00:00"/>
    <s v="300115"/>
    <s v="AUXILIAR CONSERVERA SA"/>
    <n v="98100.216499999995"/>
  </r>
  <r>
    <s v="Facture comptabilisée"/>
    <m/>
    <x v="0"/>
    <x v="164"/>
    <s v="NOTAM*2*"/>
    <d v="2020-03-09T00:00:00"/>
    <s v="300115"/>
    <s v="AUXILIAR CONSERVERA SA"/>
    <n v="43032.88"/>
  </r>
  <r>
    <s v="Facture comptabilisée"/>
    <m/>
    <x v="0"/>
    <x v="165"/>
    <s v="CONS AL ADARISSA"/>
    <d v="2020-03-09T00:00:00"/>
    <s v="300115"/>
    <s v="AUXILIAR CONSERVERA SA"/>
    <n v="85392.581999999995"/>
  </r>
  <r>
    <s v="Facture comptabilisée"/>
    <m/>
    <x v="0"/>
    <x v="166"/>
    <s v="029/2020"/>
    <d v="2020-03-10T00:00:00"/>
    <s v="300043"/>
    <s v="DOUANE"/>
    <n v="452"/>
  </r>
  <r>
    <s v="Facture comptabilisée"/>
    <m/>
    <x v="0"/>
    <x v="167"/>
    <s v="JIL PACK A"/>
    <d v="2020-03-10T00:00:00"/>
    <s v="300115"/>
    <s v="AUXILIAR CONSERVERA SA"/>
    <n v="283950.61200000002"/>
  </r>
  <r>
    <s v="Facture comptabilisée"/>
    <m/>
    <x v="0"/>
    <x v="168"/>
    <s v="ALICOMAR"/>
    <d v="2020-03-10T00:00:00"/>
    <s v="300115"/>
    <s v="AUXILIAR CONSERVERA SA"/>
    <n v="105398.7176"/>
  </r>
  <r>
    <s v="Facture comptabilisée"/>
    <m/>
    <x v="0"/>
    <x v="169"/>
    <s v="031/2020"/>
    <d v="2020-03-11T00:00:00"/>
    <s v="300043"/>
    <s v="DOUANE"/>
    <n v="633"/>
  </r>
  <r>
    <s v="Facture comptabilisée"/>
    <m/>
    <x v="0"/>
    <x v="170"/>
    <s v="037/2020"/>
    <d v="2020-03-11T00:00:00"/>
    <s v="300043"/>
    <s v="DOUANE"/>
    <n v="444"/>
  </r>
  <r>
    <s v="Facture comptabilisée"/>
    <m/>
    <x v="0"/>
    <x v="171"/>
    <s v="037/2020"/>
    <d v="2020-03-11T00:00:00"/>
    <s v="300101"/>
    <s v="ASMAE FORWARDING EXPRESS"/>
    <n v="3319.17"/>
  </r>
  <r>
    <s v="Facture comptabilisée"/>
    <m/>
    <x v="0"/>
    <x v="172"/>
    <s v="040/2020"/>
    <d v="2020-03-11T00:00:00"/>
    <s v="300101"/>
    <s v="ASMAE FORWARDING EXPRESS"/>
    <n v="3319.17"/>
  </r>
  <r>
    <s v="Facture comptabilisée"/>
    <m/>
    <x v="0"/>
    <x v="173"/>
    <s v="PLASTIQUE"/>
    <d v="2020-03-11T00:00:00"/>
    <s v="300133"/>
    <s v="OP BOX "/>
    <n v="58550"/>
  </r>
  <r>
    <s v="Facture comptabilisée"/>
    <m/>
    <x v="0"/>
    <x v="174"/>
    <s v="05/2020 REC JAC"/>
    <d v="2020-03-12T00:00:00"/>
    <s v="300043"/>
    <s v="DOUANE"/>
    <n v="693"/>
  </r>
  <r>
    <s v="Facture comptabilisée"/>
    <m/>
    <x v="0"/>
    <x v="175"/>
    <s v="108*131"/>
    <d v="2020-03-12T00:00:00"/>
    <s v="300092"/>
    <s v="METALSCATOLA AFRIQUE"/>
    <n v="39831.050000000003"/>
  </r>
  <r>
    <s v="Facture comptabilisée"/>
    <m/>
    <x v="0"/>
    <x v="176"/>
    <s v="032/2020"/>
    <d v="2020-03-12T00:00:00"/>
    <s v="300101"/>
    <s v="ASMAE FORWARDING EXPRESS"/>
    <n v="3281.33"/>
  </r>
  <r>
    <s v="Facture comptabilisée"/>
    <m/>
    <x v="0"/>
    <x v="177"/>
    <s v="043/2020"/>
    <d v="2020-03-12T00:00:00"/>
    <s v="300101"/>
    <s v="ASMAE FORWARDING EXPRESS"/>
    <n v="3938.21"/>
  </r>
  <r>
    <s v="Facture comptabilisée"/>
    <m/>
    <x v="0"/>
    <x v="178"/>
    <s v="JIL PACK A"/>
    <d v="2020-03-12T00:00:00"/>
    <s v="300115"/>
    <s v="AUXILIAR CONSERVERA SA"/>
    <n v="234283.4571"/>
  </r>
  <r>
    <s v="Facture comptabilisée"/>
    <m/>
    <x v="0"/>
    <x v="179"/>
    <s v="06/2020 REC JAC"/>
    <d v="2020-03-13T00:00:00"/>
    <s v="300043"/>
    <s v="DOUANE"/>
    <n v="1191"/>
  </r>
  <r>
    <s v="Facture comptabilisée"/>
    <m/>
    <x v="0"/>
    <x v="180"/>
    <s v="041/2020"/>
    <d v="2020-03-13T00:00:00"/>
    <s v="300101"/>
    <s v="ASMAE FORWARDING EXPRESS"/>
    <n v="4218.3599999999997"/>
  </r>
  <r>
    <s v="Facture comptabilisée"/>
    <m/>
    <x v="0"/>
    <x v="181"/>
    <s v="035/2020"/>
    <d v="2020-03-16T00:00:00"/>
    <s v="300043"/>
    <s v="DOUANE"/>
    <n v="1077"/>
  </r>
  <r>
    <s v="Facture comptabilisée"/>
    <m/>
    <x v="0"/>
    <x v="182"/>
    <s v="1KG700 AL MARAI"/>
    <d v="2020-03-16T00:00:00"/>
    <s v="300115"/>
    <s v="AUXILIAR CONSERVERA SA"/>
    <n v="145235.11199999999"/>
  </r>
  <r>
    <s v="Facture comptabilisée"/>
    <m/>
    <x v="0"/>
    <x v="183"/>
    <s v="NOTAM*JIL PACK*"/>
    <d v="2020-03-16T00:00:00"/>
    <s v="300115"/>
    <s v="AUXILIAR CONSERVERA SA"/>
    <n v="150602.1"/>
  </r>
  <r>
    <s v="Facture comptabilisée"/>
    <m/>
    <x v="0"/>
    <x v="184"/>
    <s v="041/2020"/>
    <d v="2020-03-17T00:00:00"/>
    <s v="300043"/>
    <s v="DOUANE"/>
    <n v="1093"/>
  </r>
  <r>
    <s v="Facture comptabilisée"/>
    <m/>
    <x v="0"/>
    <x v="185"/>
    <s v="038/2020"/>
    <d v="2020-03-17T00:00:00"/>
    <s v="300101"/>
    <s v="ASMAE FORWARDING EXPRESS"/>
    <n v="3767.52"/>
  </r>
  <r>
    <s v="Facture comptabilisée"/>
    <m/>
    <x v="0"/>
    <x v="186"/>
    <s v="3800 ML TRSP"/>
    <d v="2020-03-17T00:00:00"/>
    <s v="300133"/>
    <s v="OP BOX "/>
    <n v="5940"/>
  </r>
  <r>
    <s v="Facture comptabilisée"/>
    <m/>
    <x v="0"/>
    <x v="187"/>
    <d v="2020-08-01T00:00:00"/>
    <d v="2020-03-17T00:00:00"/>
    <s v="300241"/>
    <s v="VECTORYS"/>
    <n v="4497.26"/>
  </r>
  <r>
    <s v="Facture comptabilisée"/>
    <m/>
    <x v="0"/>
    <x v="188"/>
    <s v="033/2020"/>
    <d v="2020-03-18T00:00:00"/>
    <s v="300043"/>
    <s v="DOUANE"/>
    <n v="633"/>
  </r>
  <r>
    <s v="Facture comptabilisée"/>
    <m/>
    <x v="0"/>
    <x v="189"/>
    <s v="034/2020"/>
    <d v="2020-03-18T00:00:00"/>
    <s v="300043"/>
    <s v="DOUANE"/>
    <n v="633"/>
  </r>
  <r>
    <s v="Facture comptabilisée"/>
    <m/>
    <x v="0"/>
    <x v="190"/>
    <s v="NOTAM"/>
    <d v="2020-03-18T00:00:00"/>
    <s v="300115"/>
    <s v="AUXILIAR CONSERVERA SA"/>
    <n v="152365.70800000001"/>
  </r>
  <r>
    <s v="Facture comptabilisée"/>
    <m/>
    <x v="0"/>
    <x v="191"/>
    <s v="CONSERV AL ADARIS"/>
    <d v="2020-03-18T00:00:00"/>
    <s v="300115"/>
    <s v="AUXILIAR CONSERVERA SA"/>
    <n v="79732.831200000001"/>
  </r>
  <r>
    <s v="Facture comptabilisée"/>
    <m/>
    <x v="0"/>
    <x v="192"/>
    <s v="COPAG VIANDES"/>
    <d v="2020-03-18T00:00:00"/>
    <s v="300115"/>
    <s v="AUXILIAR CONSERVERA SA"/>
    <n v="157751.484"/>
  </r>
  <r>
    <s v="Facture comptabilisée"/>
    <m/>
    <x v="0"/>
    <x v="193"/>
    <s v="032/2020"/>
    <d v="2020-03-19T00:00:00"/>
    <s v="300043"/>
    <s v="DOUANE"/>
    <n v="1081"/>
  </r>
  <r>
    <s v="Facture comptabilisée"/>
    <m/>
    <x v="0"/>
    <x v="194"/>
    <s v="042/2020"/>
    <d v="2020-03-19T00:00:00"/>
    <s v="300101"/>
    <s v="ASMAE FORWARDING EXPRESS"/>
    <n v="3135.47"/>
  </r>
  <r>
    <s v="Facture comptabilisée"/>
    <m/>
    <x v="0"/>
    <x v="195"/>
    <s v="036/2020"/>
    <d v="2020-03-20T00:00:00"/>
    <s v="300043"/>
    <s v="DOUANE"/>
    <n v="1081"/>
  </r>
  <r>
    <s v="Facture comptabilisée"/>
    <m/>
    <x v="0"/>
    <x v="196"/>
    <s v="MIDI+22L*1*"/>
    <d v="2020-03-20T00:00:00"/>
    <s v="300093"/>
    <s v="AVEZ SAS"/>
    <n v="98414.293999999994"/>
  </r>
  <r>
    <s v="Facture comptabilisée"/>
    <m/>
    <x v="0"/>
    <x v="197"/>
    <s v="22L*2*"/>
    <d v="2020-03-20T00:00:00"/>
    <s v="300093"/>
    <s v="AVEZ SAS"/>
    <n v="70686"/>
  </r>
  <r>
    <s v="Facture comptabilisée"/>
    <m/>
    <x v="0"/>
    <x v="198"/>
    <s v="COPAG VIANDES"/>
    <d v="2020-03-20T00:00:00"/>
    <s v="300115"/>
    <s v="AUXILIAR CONSERVERA SA"/>
    <n v="185528.05919999999"/>
  </r>
  <r>
    <s v="Facture comptabilisée"/>
    <m/>
    <x v="0"/>
    <x v="199"/>
    <s v="04/2020 REC JAC"/>
    <d v="2020-03-20T00:00:00"/>
    <s v="300301"/>
    <s v="RECOING &amp; JACQUETY"/>
    <n v="2507.5300000000002"/>
  </r>
  <r>
    <s v="Facture comptabilisée"/>
    <m/>
    <x v="0"/>
    <x v="200"/>
    <s v="JIL PACK A*DOHA*"/>
    <d v="2020-03-21T00:00:00"/>
    <s v="300115"/>
    <s v="AUXILIAR CONSERVERA SA"/>
    <n v="263700.75599999999"/>
  </r>
  <r>
    <s v="Facture comptabilisée"/>
    <m/>
    <x v="0"/>
    <x v="201"/>
    <s v="044/2020"/>
    <d v="2020-03-23T00:00:00"/>
    <s v="300101"/>
    <s v="ASMAE FORWARDING EXPRESS"/>
    <n v="3583.59"/>
  </r>
  <r>
    <s v="Facture comptabilisée"/>
    <m/>
    <x v="0"/>
    <x v="202"/>
    <s v="046/2020"/>
    <d v="2020-03-23T00:00:00"/>
    <s v="300101"/>
    <s v="ASMAE FORWARDING EXPRESS"/>
    <n v="3735.32"/>
  </r>
  <r>
    <s v="Facture comptabilisée"/>
    <m/>
    <x v="0"/>
    <x v="203"/>
    <s v="047/2020"/>
    <d v="2020-03-23T00:00:00"/>
    <s v="300101"/>
    <s v="ASMAE FORWARDING EXPRESS"/>
    <n v="4045.47"/>
  </r>
  <r>
    <s v="Facture comptabilisée"/>
    <m/>
    <x v="0"/>
    <x v="204"/>
    <s v="048/2020"/>
    <d v="2020-03-23T00:00:00"/>
    <s v="300101"/>
    <s v="ASMAE FORWARDING EXPRESS"/>
    <n v="3430.19"/>
  </r>
  <r>
    <s v="Facture comptabilisée"/>
    <m/>
    <x v="0"/>
    <x v="205"/>
    <s v="LOGI FOOD MAROC*2"/>
    <d v="2020-03-23T00:00:00"/>
    <s v="300115"/>
    <s v="AUXILIAR CONSERVERA SA"/>
    <n v="128861.2512"/>
  </r>
  <r>
    <s v="Facture comptabilisée"/>
    <m/>
    <x v="0"/>
    <x v="206"/>
    <s v="JIL PACK *1*"/>
    <d v="2020-03-23T00:00:00"/>
    <s v="300115"/>
    <s v="AUXILIAR CONSERVERA SA"/>
    <n v="152982.56159999999"/>
  </r>
  <r>
    <s v="Facture comptabilisée"/>
    <m/>
    <x v="0"/>
    <x v="207"/>
    <s v="039/2020"/>
    <d v="2020-03-24T00:00:00"/>
    <s v="300043"/>
    <s v="DOUANE"/>
    <n v="637"/>
  </r>
  <r>
    <s v="Facture comptabilisée"/>
    <m/>
    <x v="0"/>
    <x v="208"/>
    <s v="040/2020"/>
    <d v="2020-03-24T00:00:00"/>
    <s v="300043"/>
    <s v="DOUANE"/>
    <n v="625"/>
  </r>
  <r>
    <s v="Facture comptabilisée"/>
    <m/>
    <x v="0"/>
    <x v="209"/>
    <s v="RO80"/>
    <d v="2020-03-24T00:00:00"/>
    <s v="300080"/>
    <s v="MASSILLY"/>
    <n v="277992"/>
  </r>
  <r>
    <s v="Facture comptabilisée"/>
    <m/>
    <x v="0"/>
    <x v="210"/>
    <s v="045/2020"/>
    <d v="2020-03-24T00:00:00"/>
    <s v="300101"/>
    <s v="ASMAE FORWARDING EXPRESS"/>
    <n v="3121.93"/>
  </r>
  <r>
    <s v="Facture comptabilisée"/>
    <m/>
    <x v="0"/>
    <x v="211"/>
    <s v="JIL PACKA*CONSTAN"/>
    <d v="2020-03-24T00:00:00"/>
    <s v="300115"/>
    <s v="AUXILIAR CONSERVERA SA"/>
    <n v="283950.61200000002"/>
  </r>
  <r>
    <s v="Facture comptabilisée"/>
    <m/>
    <x v="0"/>
    <x v="212"/>
    <s v="031/2020"/>
    <d v="2020-03-25T00:00:00"/>
    <s v="300101"/>
    <s v="ASMAE FORWARDING EXPRESS"/>
    <n v="781.46"/>
  </r>
  <r>
    <s v="Facture comptabilisée"/>
    <m/>
    <x v="0"/>
    <x v="213"/>
    <s v="032/2020"/>
    <d v="2020-03-25T00:00:00"/>
    <s v="300101"/>
    <s v="ASMAE FORWARDING EXPRESS"/>
    <n v="2163.7800000000002"/>
  </r>
  <r>
    <s v="Facture comptabilisée"/>
    <m/>
    <x v="0"/>
    <x v="214"/>
    <s v="049/2020"/>
    <d v="2020-03-25T00:00:00"/>
    <s v="300101"/>
    <s v="ASMAE FORWARDING EXPRESS"/>
    <n v="3141.48"/>
  </r>
  <r>
    <s v="Facture comptabilisée"/>
    <m/>
    <x v="0"/>
    <x v="215"/>
    <s v="052/2020"/>
    <d v="2020-03-26T00:00:00"/>
    <s v="300101"/>
    <s v="ASMAE FORWARDING EXPRESS"/>
    <n v="3331.2"/>
  </r>
  <r>
    <s v="Facture comptabilisée"/>
    <m/>
    <x v="0"/>
    <x v="216"/>
    <s v="JIL PACKA*DOHA*"/>
    <d v="2020-03-27T00:00:00"/>
    <s v="300115"/>
    <s v="AUXILIAR CONSERVERA SA"/>
    <n v="283561.86099999998"/>
  </r>
  <r>
    <s v="Facture comptabilisée"/>
    <m/>
    <x v="0"/>
    <x v="217"/>
    <s v="043/2020"/>
    <d v="2020-03-30T00:00:00"/>
    <s v="300043"/>
    <s v="DOUANE"/>
    <n v="2079"/>
  </r>
  <r>
    <s v="Facture comptabilisée"/>
    <m/>
    <x v="0"/>
    <x v="218"/>
    <s v="038/2020"/>
    <d v="2020-03-30T00:00:00"/>
    <s v="300043"/>
    <s v="DOUANE"/>
    <n v="927"/>
  </r>
  <r>
    <s v="Facture comptabilisée"/>
    <m/>
    <x v="0"/>
    <x v="219"/>
    <s v="047/2020"/>
    <d v="2020-03-30T00:00:00"/>
    <s v="300043"/>
    <s v="DOUANE"/>
    <n v="647"/>
  </r>
  <r>
    <s v="Facture comptabilisée"/>
    <m/>
    <x v="0"/>
    <x v="220"/>
    <s v="053/2020"/>
    <d v="2020-03-30T00:00:00"/>
    <s v="300101"/>
    <s v="ASMAE FORWARDING EXPRESS"/>
    <n v="4033.38"/>
  </r>
  <r>
    <s v="Facture comptabilisée"/>
    <m/>
    <x v="0"/>
    <x v="221"/>
    <s v="JIL PACK A"/>
    <d v="2020-03-30T00:00:00"/>
    <s v="300115"/>
    <s v="AUXILIAR CONSERVERA SA"/>
    <n v="283950.61200000002"/>
  </r>
  <r>
    <s v="Facture comptabilisée"/>
    <m/>
    <x v="0"/>
    <x v="222"/>
    <s v="050/2020"/>
    <d v="2020-04-01T00:00:00"/>
    <s v="300043"/>
    <s v="DOUANE"/>
    <n v="1122"/>
  </r>
  <r>
    <s v="Facture comptabilisée"/>
    <m/>
    <x v="0"/>
    <x v="223"/>
    <s v="042/2020"/>
    <d v="2020-04-01T00:00:00"/>
    <s v="300043"/>
    <s v="DOUANE"/>
    <n v="1846"/>
  </r>
  <r>
    <s v="Facture comptabilisée"/>
    <m/>
    <x v="0"/>
    <x v="224"/>
    <s v="046/2020"/>
    <d v="2020-04-01T00:00:00"/>
    <s v="300043"/>
    <s v="DOUANE"/>
    <n v="652"/>
  </r>
  <r>
    <s v="Facture comptabilisée"/>
    <m/>
    <x v="0"/>
    <x v="225"/>
    <s v="044/2020"/>
    <d v="2020-04-01T00:00:00"/>
    <s v="300043"/>
    <s v="DOUANE"/>
    <n v="421"/>
  </r>
  <r>
    <s v="Facture comptabilisée"/>
    <m/>
    <x v="0"/>
    <x v="226"/>
    <s v="050/2020"/>
    <d v="2020-04-01T00:00:00"/>
    <s v="300101"/>
    <s v="ASMAE FORWARDING EXPRESS"/>
    <n v="3394.06"/>
  </r>
  <r>
    <s v="Facture comptabilisée"/>
    <m/>
    <x v="0"/>
    <x v="227"/>
    <s v="JIL PACKA*AVEIRO*"/>
    <d v="2020-04-01T00:00:00"/>
    <s v="300115"/>
    <s v="AUXILIAR CONSERVERA SA"/>
    <n v="283950.61200000002"/>
  </r>
  <r>
    <s v="Facture comptabilisée"/>
    <m/>
    <x v="0"/>
    <x v="228"/>
    <s v="051/2020"/>
    <d v="2020-04-02T00:00:00"/>
    <s v="300101"/>
    <s v="ASMAE FORWARDING EXPRESS"/>
    <n v="3412"/>
  </r>
  <r>
    <s v="Facture comptabilisée"/>
    <m/>
    <x v="0"/>
    <x v="229"/>
    <s v="4/4 G3"/>
    <d v="2020-04-04T00:00:00"/>
    <s v="300080"/>
    <s v="MASSILLY"/>
    <n v="123902.96"/>
  </r>
  <r>
    <s v="Facture comptabilisée"/>
    <m/>
    <x v="0"/>
    <x v="230"/>
    <s v="048/2020"/>
    <d v="2020-04-06T00:00:00"/>
    <s v="300043"/>
    <s v="DOUANE"/>
    <n v="1795"/>
  </r>
  <r>
    <s v="Facture comptabilisée"/>
    <m/>
    <x v="0"/>
    <x v="231"/>
    <s v="045/2020"/>
    <d v="2020-04-06T00:00:00"/>
    <s v="300043"/>
    <s v="DOUANE"/>
    <n v="762"/>
  </r>
  <r>
    <s v="Facture comptabilisée"/>
    <m/>
    <x v="0"/>
    <x v="232"/>
    <s v="08/2020 REC JAC"/>
    <d v="2020-04-06T00:00:00"/>
    <s v="300043"/>
    <s v="DOUANE"/>
    <n v="253"/>
  </r>
  <r>
    <s v="Facture comptabilisée"/>
    <m/>
    <x v="0"/>
    <x v="233"/>
    <s v="045/2020"/>
    <d v="2020-04-06T00:00:00"/>
    <s v="300101"/>
    <s v="ASMAE FORWARDING EXPRESS"/>
    <n v="309.69"/>
  </r>
  <r>
    <s v="Facture comptabilisée"/>
    <m/>
    <x v="0"/>
    <x v="234"/>
    <s v="049/2020"/>
    <d v="2020-04-06T00:00:00"/>
    <s v="300101"/>
    <s v="ASMAE FORWARDING EXPRESS"/>
    <n v="314.48"/>
  </r>
  <r>
    <s v="Facture comptabilisée"/>
    <m/>
    <x v="0"/>
    <x v="235"/>
    <s v="054/2020"/>
    <d v="2020-04-06T00:00:00"/>
    <s v="300101"/>
    <s v="ASMAE FORWARDING EXPRESS"/>
    <n v="3685.11"/>
  </r>
  <r>
    <s v="Facture comptabilisée"/>
    <m/>
    <x v="0"/>
    <x v="236"/>
    <s v="JIL PACK A*DOHA*"/>
    <d v="2020-04-06T00:00:00"/>
    <s v="300115"/>
    <s v="AUXILIAR CONSERVERA SA"/>
    <n v="275583.429"/>
  </r>
  <r>
    <s v="Facture comptabilisée"/>
    <m/>
    <x v="0"/>
    <x v="237"/>
    <s v="JIL PACK *1*"/>
    <d v="2020-04-07T00:00:00"/>
    <s v="300115"/>
    <s v="AUXILIAR CONSERVERA SA"/>
    <n v="33353.627999999997"/>
  </r>
  <r>
    <s v="Facture comptabilisée"/>
    <m/>
    <x v="0"/>
    <x v="238"/>
    <s v="SILVER FOOD*2*"/>
    <d v="2020-04-07T00:00:00"/>
    <s v="300115"/>
    <s v="AUXILIAR CONSERVERA SA"/>
    <n v="164504.14420000001"/>
  </r>
  <r>
    <s v="Facture comptabilisée"/>
    <m/>
    <x v="0"/>
    <x v="239"/>
    <s v="07/2020 REC JAC"/>
    <d v="2020-04-07T00:00:00"/>
    <s v="300235"/>
    <s v="TRO"/>
    <n v="5679.98"/>
  </r>
  <r>
    <s v="Facture comptabilisée"/>
    <m/>
    <x v="0"/>
    <x v="240"/>
    <s v="07/2020 REC JAC"/>
    <d v="2020-04-08T00:00:00"/>
    <s v="300043"/>
    <s v="DOUANE"/>
    <n v="588"/>
  </r>
  <r>
    <s v="Facture comptabilisée"/>
    <m/>
    <x v="0"/>
    <x v="241"/>
    <s v="056/2020"/>
    <d v="2020-04-08T00:00:00"/>
    <s v="300101"/>
    <s v="ASMAE FORWARDING EXPRESS"/>
    <n v="3244.17"/>
  </r>
  <r>
    <s v="Facture comptabilisée"/>
    <m/>
    <x v="0"/>
    <x v="242"/>
    <s v="049/2020"/>
    <d v="2020-04-09T00:00:00"/>
    <s v="300043"/>
    <s v="DOUANE"/>
    <n v="2794"/>
  </r>
  <r>
    <s v="Facture comptabilisée"/>
    <m/>
    <x v="0"/>
    <x v="243"/>
    <s v="052/2020"/>
    <d v="2020-04-09T00:00:00"/>
    <s v="300043"/>
    <s v="DOUANE"/>
    <n v="1079"/>
  </r>
  <r>
    <s v="Facture comptabilisée"/>
    <m/>
    <x v="0"/>
    <x v="244"/>
    <s v="055/2020"/>
    <d v="2020-04-09T00:00:00"/>
    <s v="300101"/>
    <s v="ASMAE FORWARDING EXPRESS"/>
    <n v="3406.58"/>
  </r>
  <r>
    <s v="Facture comptabilisée"/>
    <m/>
    <x v="0"/>
    <x v="245"/>
    <s v="05/2020 REC JAC"/>
    <d v="2020-04-09T00:00:00"/>
    <s v="300301"/>
    <s v="RECOING &amp; JACQUETY"/>
    <n v="7328.8"/>
  </r>
  <r>
    <s v="Facture comptabilisée"/>
    <m/>
    <x v="0"/>
    <x v="246"/>
    <s v="PILJAR 100ML"/>
    <d v="2020-04-10T00:00:00"/>
    <s v="300081"/>
    <s v="JIL EMBALLAGES"/>
    <n v="91761.67"/>
  </r>
  <r>
    <s v="Facture comptabilisée"/>
    <m/>
    <x v="0"/>
    <x v="247"/>
    <s v="051/2020"/>
    <d v="2020-04-13T00:00:00"/>
    <s v="300101"/>
    <s v="ASMAE FORWARDING EXPRESS"/>
    <n v="488.05"/>
  </r>
  <r>
    <s v="Facture comptabilisée"/>
    <m/>
    <x v="0"/>
    <x v="248"/>
    <s v="06/2020 REC JAC"/>
    <d v="2020-04-13T00:00:00"/>
    <s v="300301"/>
    <s v="RECOING &amp; JACQUETY"/>
    <n v="9534.82"/>
  </r>
  <r>
    <s v="Facture comptabilisée"/>
    <m/>
    <x v="0"/>
    <x v="249"/>
    <s v="SILVER FOOD"/>
    <d v="2020-04-14T00:00:00"/>
    <s v="300115"/>
    <s v="AUXILIAR CONSERVERA SA"/>
    <n v="184458.08369999999"/>
  </r>
  <r>
    <s v="Facture comptabilisée"/>
    <m/>
    <x v="0"/>
    <x v="250"/>
    <s v="AVOIR SILVER FOOD"/>
    <d v="2020-04-14T00:00:00"/>
    <s v="300115"/>
    <s v="AUXILIAR CONSERVERA SA"/>
    <n v="1247.884"/>
  </r>
  <r>
    <s v="Facture comptabilisée"/>
    <m/>
    <x v="0"/>
    <x v="251"/>
    <s v="RO85 VMM"/>
    <d v="2020-04-15T00:00:00"/>
    <s v="300115"/>
    <s v="AUXILIAR CONSERVERA SA"/>
    <n v="305922.04499999998"/>
  </r>
  <r>
    <s v="Facture comptabilisée"/>
    <m/>
    <x v="0"/>
    <x v="252"/>
    <s v="BECHAR EL KHEIR"/>
    <d v="2020-04-15T00:00:00"/>
    <s v="300115"/>
    <s v="AUXILIAR CONSERVERA SA"/>
    <n v="176161.44039999999"/>
  </r>
  <r>
    <s v="Facture comptabilisée"/>
    <m/>
    <x v="0"/>
    <x v="253"/>
    <s v="AL MARAI"/>
    <d v="2020-04-16T00:00:00"/>
    <s v="300115"/>
    <s v="AUXILIAR CONSERVERA SA"/>
    <n v="150606.25140000001"/>
  </r>
  <r>
    <s v="Facture comptabilisée"/>
    <m/>
    <x v="0"/>
    <x v="254"/>
    <s v="RO 80 SILVER FOOD"/>
    <d v="2020-04-17T00:00:00"/>
    <s v="300115"/>
    <s v="AUXILIAR CONSERVERA SA"/>
    <n v="281794.55699999997"/>
  </r>
  <r>
    <s v="Facture comptabilisée"/>
    <m/>
    <x v="0"/>
    <x v="255"/>
    <s v="JIL PACK A"/>
    <d v="2020-04-17T00:00:00"/>
    <s v="300115"/>
    <s v="AUXILIAR CONSERVERA SA"/>
    <n v="275583.429"/>
  </r>
  <r>
    <s v="Facture comptabilisée"/>
    <m/>
    <x v="0"/>
    <x v="256"/>
    <s v="065/2020"/>
    <d v="2020-04-20T00:00:00"/>
    <s v="300101"/>
    <s v="ASMAE FORWARDING EXPRESS"/>
    <n v="4197.83"/>
  </r>
  <r>
    <s v="Facture comptabilisée"/>
    <m/>
    <x v="0"/>
    <x v="257"/>
    <s v="067/2020"/>
    <d v="2020-04-20T00:00:00"/>
    <s v="300101"/>
    <s v="ASMAE FORWARDING EXPRESS"/>
    <n v="3862.21"/>
  </r>
  <r>
    <s v="Facture comptabilisée"/>
    <m/>
    <x v="0"/>
    <x v="258"/>
    <s v="068/2020"/>
    <d v="2020-04-20T00:00:00"/>
    <s v="300101"/>
    <s v="ASMAE FORWARDING EXPRESS"/>
    <n v="3713.34"/>
  </r>
  <r>
    <s v="Facture comptabilisée"/>
    <m/>
    <x v="0"/>
    <x v="259"/>
    <s v="069/2020"/>
    <d v="2020-04-20T00:00:00"/>
    <s v="300101"/>
    <s v="ASMAE FORWARDING EXPRESS"/>
    <n v="3862.21"/>
  </r>
  <r>
    <s v="Facture comptabilisée"/>
    <m/>
    <x v="0"/>
    <x v="260"/>
    <s v="057/2020"/>
    <d v="2020-04-21T00:00:00"/>
    <s v="300101"/>
    <s v="ASMAE FORWARDING EXPRESS"/>
    <n v="3820.04"/>
  </r>
  <r>
    <s v="Facture comptabilisée"/>
    <m/>
    <x v="0"/>
    <x v="261"/>
    <s v="066/2020"/>
    <d v="2020-04-21T00:00:00"/>
    <s v="300101"/>
    <s v="ASMAE FORWARDING EXPRESS"/>
    <n v="3503.54"/>
  </r>
  <r>
    <s v="Facture comptabilisée"/>
    <m/>
    <x v="0"/>
    <x v="262"/>
    <s v="JIL PACK A"/>
    <d v="2020-04-21T00:00:00"/>
    <s v="300115"/>
    <s v="AUXILIAR CONSERVERA SA"/>
    <n v="275583.429"/>
  </r>
  <r>
    <s v="Facture comptabilisée"/>
    <m/>
    <x v="0"/>
    <x v="263"/>
    <s v="JIL PACK*1*"/>
    <d v="2020-04-21T00:00:00"/>
    <s v="300115"/>
    <s v="AUXILIAR CONSERVERA SA"/>
    <n v="95334.096000000005"/>
  </r>
  <r>
    <s v="Facture comptabilisée"/>
    <m/>
    <x v="0"/>
    <x v="264"/>
    <s v="QUALIAGRO*2*"/>
    <d v="2020-04-21T00:00:00"/>
    <s v="300115"/>
    <s v="AUXILIAR CONSERVERA SA"/>
    <n v="123606.38400000001"/>
  </r>
  <r>
    <s v="Facture comptabilisée"/>
    <m/>
    <x v="0"/>
    <x v="265"/>
    <s v="JIL PACK A"/>
    <d v="2020-04-21T00:00:00"/>
    <s v="300115"/>
    <s v="AUXILIAR CONSERVERA SA"/>
    <n v="238154.8389"/>
  </r>
  <r>
    <s v="Facture comptabilisée"/>
    <m/>
    <x v="0"/>
    <x v="266"/>
    <s v="MFI"/>
    <d v="2020-04-21T00:00:00"/>
    <s v="300115"/>
    <s v="AUXILIAR CONSERVERA SA"/>
    <n v="91662.384000000005"/>
  </r>
  <r>
    <s v="Facture comptabilisée"/>
    <m/>
    <x v="0"/>
    <x v="267"/>
    <s v="053/2020"/>
    <d v="2020-04-22T00:00:00"/>
    <s v="300043"/>
    <s v="DOUANE"/>
    <n v="2932"/>
  </r>
  <r>
    <s v="Facture comptabilisée"/>
    <m/>
    <x v="0"/>
    <x v="268"/>
    <s v="051/2020"/>
    <d v="2020-04-22T00:00:00"/>
    <s v="300043"/>
    <s v="DOUANE"/>
    <n v="1118"/>
  </r>
  <r>
    <s v="Facture comptabilisée"/>
    <m/>
    <x v="0"/>
    <x v="269"/>
    <s v="AVC20-00424"/>
    <d v="2020-04-22T00:00:00"/>
    <s v="300064"/>
    <s v="SONOCO Métal Packaging Maroc"/>
    <n v="45100"/>
  </r>
  <r>
    <s v="Facture comptabilisée"/>
    <m/>
    <x v="0"/>
    <x v="270"/>
    <s v="AVC20-00425"/>
    <d v="2020-04-22T00:00:00"/>
    <s v="300064"/>
    <s v="SONOCO Métal Packaging Maroc"/>
    <n v="18560"/>
  </r>
  <r>
    <s v="Facture comptabilisée"/>
    <m/>
    <x v="0"/>
    <x v="271"/>
    <s v="4/4 OF G3"/>
    <d v="2020-04-22T00:00:00"/>
    <s v="300064"/>
    <s v="SONOCO Métal Packaging Maroc"/>
    <n v="13083.6"/>
  </r>
  <r>
    <s v="Facture comptabilisée"/>
    <m/>
    <x v="0"/>
    <x v="272"/>
    <s v="RO 80 SILVER FOOD"/>
    <d v="2020-04-22T00:00:00"/>
    <s v="300115"/>
    <s v="AUXILIAR CONSERVERA SA"/>
    <n v="273492.549"/>
  </r>
  <r>
    <s v="Facture comptabilisée"/>
    <m/>
    <x v="0"/>
    <x v="273"/>
    <s v="057/2020"/>
    <d v="2020-04-23T00:00:00"/>
    <s v="300043"/>
    <s v="DOUANE"/>
    <n v="1093"/>
  </r>
  <r>
    <s v="Facture comptabilisée"/>
    <m/>
    <x v="0"/>
    <x v="274"/>
    <s v="061/2020"/>
    <d v="2020-04-23T00:00:00"/>
    <s v="300043"/>
    <s v="DOUANE"/>
    <n v="1073"/>
  </r>
  <r>
    <s v="Facture comptabilisée"/>
    <m/>
    <x v="0"/>
    <x v="275"/>
    <s v="061/2020"/>
    <d v="2020-04-23T00:00:00"/>
    <s v="300101"/>
    <s v="ASMAE FORWARDING EXPRESS"/>
    <n v="3956.35"/>
  </r>
  <r>
    <s v="Facture comptabilisée"/>
    <m/>
    <x v="0"/>
    <x v="276"/>
    <s v="4/4 ZEMZAMI"/>
    <d v="2020-04-23T00:00:00"/>
    <s v="300115"/>
    <s v="AUXILIAR CONSERVERA SA"/>
    <n v="150602.1"/>
  </r>
  <r>
    <s v="Facture comptabilisée"/>
    <m/>
    <x v="0"/>
    <x v="277"/>
    <s v="PLASTIQUE"/>
    <d v="2020-04-23T00:00:00"/>
    <s v="300133"/>
    <s v="OP BOX "/>
    <n v="48753"/>
  </r>
  <r>
    <s v="Facture comptabilisée"/>
    <m/>
    <x v="0"/>
    <x v="278"/>
    <s v="062/2020"/>
    <d v="2020-04-24T00:00:00"/>
    <s v="300043"/>
    <s v="DOUANE"/>
    <n v="956"/>
  </r>
  <r>
    <s v="Facture comptabilisée"/>
    <m/>
    <x v="0"/>
    <x v="279"/>
    <s v="064/2020"/>
    <d v="2020-04-24T00:00:00"/>
    <s v="300043"/>
    <s v="DOUANE"/>
    <n v="884"/>
  </r>
  <r>
    <s v="Facture comptabilisée"/>
    <m/>
    <x v="0"/>
    <x v="280"/>
    <s v="063/2020"/>
    <d v="2020-04-24T00:00:00"/>
    <s v="300043"/>
    <s v="DOUANE"/>
    <n v="465"/>
  </r>
  <r>
    <s v="Facture comptabilisée"/>
    <m/>
    <x v="0"/>
    <x v="281"/>
    <s v="059/2020"/>
    <d v="2020-04-24T00:00:00"/>
    <s v="300043"/>
    <s v="DOUANE"/>
    <n v="1058"/>
  </r>
  <r>
    <s v="Facture comptabilisée"/>
    <m/>
    <x v="0"/>
    <x v="282"/>
    <s v="054/2020"/>
    <d v="2020-04-24T00:00:00"/>
    <s v="300043"/>
    <s v="DOUANE"/>
    <n v="2974"/>
  </r>
  <r>
    <s v="Facture comptabilisée"/>
    <m/>
    <x v="0"/>
    <x v="283"/>
    <s v="055/2020"/>
    <d v="2020-04-24T00:00:00"/>
    <s v="300043"/>
    <s v="DOUANE"/>
    <n v="1097"/>
  </r>
  <r>
    <s v="Facture comptabilisée"/>
    <m/>
    <x v="0"/>
    <x v="284"/>
    <s v="059/2020"/>
    <d v="2020-04-24T00:00:00"/>
    <s v="300101"/>
    <s v="ASMAE FORWARDING EXPRESS"/>
    <n v="3641.12"/>
  </r>
  <r>
    <s v="Facture comptabilisée"/>
    <m/>
    <x v="0"/>
    <x v="285"/>
    <s v="062/2020"/>
    <d v="2020-04-24T00:00:00"/>
    <s v="300101"/>
    <s v="ASMAE FORWARDING EXPRESS"/>
    <n v="3482.16"/>
  </r>
  <r>
    <s v="Facture comptabilisée"/>
    <m/>
    <x v="0"/>
    <x v="286"/>
    <s v="063/2020"/>
    <d v="2020-04-24T00:00:00"/>
    <s v="300101"/>
    <s v="ASMAE FORWARDING EXPRESS"/>
    <n v="3168.23"/>
  </r>
  <r>
    <s v="Facture comptabilisée"/>
    <m/>
    <x v="0"/>
    <x v="287"/>
    <s v="064/2020"/>
    <d v="2020-04-24T00:00:00"/>
    <s v="300101"/>
    <s v="ASMAE FORWARDING EXPRESS"/>
    <n v="3796.09"/>
  </r>
  <r>
    <s v="Facture comptabilisée"/>
    <m/>
    <x v="0"/>
    <x v="288"/>
    <s v="MFI"/>
    <d v="2020-04-24T00:00:00"/>
    <s v="300115"/>
    <s v="AUXILIAR CONSERVERA SA"/>
    <n v="84284.067999999999"/>
  </r>
  <r>
    <s v="Facture comptabilisée"/>
    <m/>
    <x v="0"/>
    <x v="289"/>
    <s v="07/2020 REC JAC"/>
    <d v="2020-04-27T00:00:00"/>
    <s v="300301"/>
    <s v="RECOING &amp; JACQUETY"/>
    <n v="5912.23"/>
  </r>
  <r>
    <s v="Facture comptabilisée"/>
    <m/>
    <x v="0"/>
    <x v="290"/>
    <s v="08/2020 REC JAC"/>
    <d v="2020-04-27T00:00:00"/>
    <s v="300301"/>
    <s v="RECOING &amp; JACQUETY"/>
    <n v="3405"/>
  </r>
  <r>
    <s v="Facture comptabilisée"/>
    <m/>
    <x v="0"/>
    <x v="291"/>
    <s v="060/2020"/>
    <d v="2020-04-28T00:00:00"/>
    <s v="300043"/>
    <s v="DOUANE"/>
    <n v="655"/>
  </r>
  <r>
    <s v="Facture comptabilisée"/>
    <m/>
    <x v="0"/>
    <x v="292"/>
    <s v="058/2020"/>
    <d v="2020-04-28T00:00:00"/>
    <s v="300043"/>
    <s v="DOUANE"/>
    <n v="439"/>
  </r>
  <r>
    <s v="Facture comptabilisée"/>
    <m/>
    <x v="0"/>
    <x v="293"/>
    <s v="068/2020"/>
    <d v="2020-04-28T00:00:00"/>
    <s v="300043"/>
    <s v="DOUANE"/>
    <n v="2067"/>
  </r>
  <r>
    <s v="Facture comptabilisée"/>
    <m/>
    <x v="0"/>
    <x v="294"/>
    <s v="056/2020"/>
    <d v="2020-04-28T00:00:00"/>
    <s v="300043"/>
    <s v="DOUANE"/>
    <n v="842"/>
  </r>
  <r>
    <s v="Facture comptabilisée"/>
    <m/>
    <x v="0"/>
    <x v="295"/>
    <s v="4/4 NEUTRE"/>
    <d v="2020-04-28T00:00:00"/>
    <s v="300064"/>
    <s v="SONOCO Métal Packaging Maroc"/>
    <n v="8722.4"/>
  </r>
  <r>
    <s v="Facture comptabilisée"/>
    <m/>
    <x v="0"/>
    <x v="296"/>
    <s v="4/4 NEUTRE"/>
    <d v="2020-04-28T00:00:00"/>
    <s v="300064"/>
    <s v="SONOCO Métal Packaging Maroc"/>
    <n v="8722.4"/>
  </r>
  <r>
    <s v="Facture comptabilisée"/>
    <m/>
    <x v="0"/>
    <x v="297"/>
    <s v="058/2020"/>
    <d v="2020-04-28T00:00:00"/>
    <s v="300101"/>
    <s v="ASMAE FORWARDING EXPRESS"/>
    <n v="3488.19"/>
  </r>
  <r>
    <s v="Facture comptabilisée"/>
    <m/>
    <x v="0"/>
    <x v="298"/>
    <s v="060/2020"/>
    <d v="2020-04-28T00:00:00"/>
    <s v="300101"/>
    <s v="ASMAE FORWARDING EXPRESS"/>
    <n v="3173.74"/>
  </r>
  <r>
    <s v="Facture comptabilisée"/>
    <m/>
    <x v="0"/>
    <x v="299"/>
    <s v="TO43/58/63/82 OR"/>
    <d v="2020-04-29T00:00:00"/>
    <s v="300226"/>
    <s v="Sarten Ambalaj Sanayi ve Ticaret AS"/>
    <n v="171925"/>
  </r>
  <r>
    <s v="Facture comptabilisée"/>
    <m/>
    <x v="0"/>
    <x v="300"/>
    <s v="4/4 ZEMZAMI"/>
    <d v="2020-04-30T00:00:00"/>
    <s v="300115"/>
    <s v="AUXILIAR CONSERVERA SA"/>
    <n v="69513.193199999994"/>
  </r>
  <r>
    <s v="Facture comptabilisée"/>
    <m/>
    <x v="0"/>
    <x v="301"/>
    <s v="5/1 ABRICO MFI"/>
    <d v="2020-04-30T00:00:00"/>
    <s v="300115"/>
    <s v="AUXILIAR CONSERVERA SA"/>
    <n v="47445.620199999998"/>
  </r>
  <r>
    <s v="Facture comptabilisée"/>
    <m/>
    <x v="0"/>
    <x v="302"/>
    <s v="1700G YAHYA AL FI"/>
    <d v="2020-04-30T00:00:00"/>
    <s v="300115"/>
    <s v="AUXILIAR CONSERVERA SA"/>
    <n v="129796.1192"/>
  </r>
  <r>
    <s v="Facture comptabilisée"/>
    <m/>
    <x v="0"/>
    <x v="303"/>
    <s v="071/2020"/>
    <d v="2020-05-04T00:00:00"/>
    <s v="300043"/>
    <s v="DOUANE"/>
    <n v="587"/>
  </r>
  <r>
    <s v="Facture comptabilisée"/>
    <m/>
    <x v="0"/>
    <x v="304"/>
    <s v="070/2020"/>
    <d v="2020-05-04T00:00:00"/>
    <s v="300043"/>
    <s v="DOUANE"/>
    <n v="547"/>
  </r>
  <r>
    <s v="Facture comptabilisée"/>
    <m/>
    <x v="0"/>
    <x v="305"/>
    <s v="070/2020"/>
    <d v="2020-05-04T00:00:00"/>
    <s v="300101"/>
    <s v="ASMAE FORWARDING EXPRESS"/>
    <n v="3352.38"/>
  </r>
  <r>
    <s v="Facture comptabilisée"/>
    <m/>
    <x v="0"/>
    <x v="306"/>
    <s v="071/2020"/>
    <d v="2020-05-04T00:00:00"/>
    <s v="300101"/>
    <s v="ASMAE FORWARDING EXPRESS"/>
    <n v="3172.78"/>
  </r>
  <r>
    <s v="Facture comptabilisée"/>
    <m/>
    <x v="0"/>
    <x v="307"/>
    <s v="JIL PACK A"/>
    <d v="2020-05-04T00:00:00"/>
    <s v="300115"/>
    <s v="AUXILIAR CONSERVERA SA"/>
    <n v="282856.93699999998"/>
  </r>
  <r>
    <s v="Facture comptabilisée"/>
    <m/>
    <x v="0"/>
    <x v="308"/>
    <s v="2300 AP"/>
    <d v="2020-05-04T00:00:00"/>
    <s v="300133"/>
    <s v="OP BOX "/>
    <n v="25200"/>
  </r>
  <r>
    <s v="Facture comptabilisée"/>
    <m/>
    <x v="0"/>
    <x v="309"/>
    <s v="013/2020"/>
    <d v="2020-05-05T00:00:00"/>
    <s v="300242"/>
    <s v="TBG -TRANSPORT BEN EL GHALI"/>
    <n v="11000"/>
  </r>
  <r>
    <s v="Facture comptabilisée"/>
    <m/>
    <x v="0"/>
    <x v="310"/>
    <s v=" SILVER FOOD"/>
    <d v="2020-05-06T00:00:00"/>
    <s v="300115"/>
    <s v="AUXILIAR CONSERVERA SA"/>
    <n v="273492.549"/>
  </r>
  <r>
    <s v="Facture comptabilisée"/>
    <m/>
    <x v="0"/>
    <x v="311"/>
    <s v="073/2020"/>
    <d v="2020-05-07T00:00:00"/>
    <s v="300043"/>
    <s v="DOUANE"/>
    <n v="1083"/>
  </r>
  <r>
    <s v="Facture comptabilisée"/>
    <m/>
    <x v="0"/>
    <x v="312"/>
    <s v="065/2020"/>
    <d v="2020-05-07T00:00:00"/>
    <s v="300043"/>
    <s v="DOUANE"/>
    <n v="2184"/>
  </r>
  <r>
    <s v="Facture comptabilisée"/>
    <m/>
    <x v="0"/>
    <x v="313"/>
    <s v="067/2020"/>
    <d v="2020-05-07T00:00:00"/>
    <s v="300043"/>
    <s v="DOUANE"/>
    <n v="1201"/>
  </r>
  <r>
    <s v="Facture comptabilisée"/>
    <m/>
    <x v="0"/>
    <x v="314"/>
    <s v="4/4 G3"/>
    <d v="2020-05-07T00:00:00"/>
    <s v="300080"/>
    <s v="MASSILLY"/>
    <n v="125621.496"/>
  </r>
  <r>
    <s v="Facture comptabilisée"/>
    <m/>
    <x v="0"/>
    <x v="315"/>
    <s v="073/2020"/>
    <d v="2020-05-07T00:00:00"/>
    <s v="300101"/>
    <s v="ASMAE FORWARDING EXPRESS"/>
    <n v="3458.4"/>
  </r>
  <r>
    <s v="Facture comptabilisée"/>
    <m/>
    <x v="0"/>
    <x v="316"/>
    <s v="LOGI FOOD*1*"/>
    <d v="2020-05-07T00:00:00"/>
    <s v="300115"/>
    <s v="AUXILIAR CONSERVERA SA"/>
    <n v="115383.8763"/>
  </r>
  <r>
    <s v="Facture comptabilisée"/>
    <m/>
    <x v="0"/>
    <x v="317"/>
    <s v="JIL PACK A"/>
    <d v="2020-05-07T00:00:00"/>
    <s v="300115"/>
    <s v="AUXILIAR CONSERVERA SA"/>
    <n v="133635.348"/>
  </r>
  <r>
    <s v="Facture comptabilisée"/>
    <m/>
    <x v="0"/>
    <x v="318"/>
    <s v="JIL PACK A"/>
    <d v="2020-05-07T00:00:00"/>
    <s v="300115"/>
    <s v="AUXILIAR CONSERVERA SA"/>
    <n v="275583.429"/>
  </r>
  <r>
    <s v="Facture comptabilisée"/>
    <m/>
    <x v="0"/>
    <x v="319"/>
    <s v="10L ET 5.5 AM"/>
    <d v="2020-05-07T00:00:00"/>
    <s v="300133"/>
    <s v="OP BOX "/>
    <n v="15610"/>
  </r>
  <r>
    <s v="Facture comptabilisée"/>
    <m/>
    <x v="0"/>
    <x v="320"/>
    <s v="4/4 G3 C"/>
    <d v="2020-05-08T00:00:00"/>
    <s v="300064"/>
    <s v="SONOCO Métal Packaging Maroc"/>
    <n v="65738"/>
  </r>
  <r>
    <s v="Facture comptabilisée"/>
    <m/>
    <x v="0"/>
    <x v="321"/>
    <s v="JIL PACK A"/>
    <d v="2020-05-08T00:00:00"/>
    <s v="300115"/>
    <s v="AUXILIAR CONSERVERA SA"/>
    <n v="275583.429"/>
  </r>
  <r>
    <s v="Facture comptabilisée"/>
    <m/>
    <x v="0"/>
    <x v="322"/>
    <s v="SILVER FOOD"/>
    <d v="2020-05-08T00:00:00"/>
    <s v="300115"/>
    <s v="AUXILIAR CONSERVERA SA"/>
    <n v="184458.08369999999"/>
  </r>
  <r>
    <s v="Facture comptabilisée"/>
    <m/>
    <x v="0"/>
    <x v="323"/>
    <s v="074/2020"/>
    <d v="2020-05-11T00:00:00"/>
    <s v="300043"/>
    <s v="DOUANE"/>
    <n v="1055"/>
  </r>
  <r>
    <s v="Facture comptabilisée"/>
    <m/>
    <x v="0"/>
    <x v="324"/>
    <s v="066/2020"/>
    <d v="2020-05-11T00:00:00"/>
    <s v="300043"/>
    <s v="DOUANE"/>
    <n v="2628"/>
  </r>
  <r>
    <s v="Facture comptabilisée"/>
    <m/>
    <x v="0"/>
    <x v="325"/>
    <s v="069/2020"/>
    <d v="2020-05-11T00:00:00"/>
    <s v="300043"/>
    <s v="DOUANE"/>
    <n v="760"/>
  </r>
  <r>
    <s v="Facture comptabilisée"/>
    <m/>
    <x v="0"/>
    <x v="326"/>
    <s v="074/2020"/>
    <d v="2020-05-11T00:00:00"/>
    <s v="300101"/>
    <s v="ASMAE FORWARDING EXPRESS"/>
    <n v="3611.32"/>
  </r>
  <r>
    <s v="Facture comptabilisée"/>
    <m/>
    <x v="0"/>
    <x v="327"/>
    <s v="072/2020"/>
    <d v="2020-05-12T00:00:00"/>
    <s v="300043"/>
    <s v="DOUANE"/>
    <n v="976"/>
  </r>
  <r>
    <s v="Facture comptabilisée"/>
    <m/>
    <x v="0"/>
    <x v="328"/>
    <s v="108X125"/>
    <d v="2020-05-12T00:00:00"/>
    <s v="300092"/>
    <s v="METALSCATOLA AFRIQUE"/>
    <n v="38342"/>
  </r>
  <r>
    <s v="Facture comptabilisée"/>
    <m/>
    <x v="0"/>
    <x v="329"/>
    <s v="072/2020"/>
    <d v="2020-05-12T00:00:00"/>
    <s v="300101"/>
    <s v="ASMAE FORWARDING EXPRESS"/>
    <n v="3145.82"/>
  </r>
  <r>
    <s v="Facture comptabilisée"/>
    <m/>
    <x v="0"/>
    <x v="330"/>
    <s v="600ml transparent"/>
    <d v="2020-05-12T00:00:00"/>
    <s v="300133"/>
    <s v="OP BOX "/>
    <n v="2200"/>
  </r>
  <r>
    <s v="Facture comptabilisée"/>
    <m/>
    <x v="0"/>
    <x v="331"/>
    <s v="076/2020"/>
    <d v="2020-05-13T00:00:00"/>
    <s v="300043"/>
    <s v="DOUANE"/>
    <n v="761"/>
  </r>
  <r>
    <s v="Facture comptabilisée"/>
    <m/>
    <x v="0"/>
    <x v="332"/>
    <s v="076/2020"/>
    <d v="2020-05-13T00:00:00"/>
    <s v="300101"/>
    <s v="ASMAE FORWARDING EXPRESS"/>
    <n v="3773.27"/>
  </r>
  <r>
    <s v="Facture comptabilisée"/>
    <m/>
    <x v="0"/>
    <x v="333"/>
    <s v="075/2020"/>
    <d v="2020-05-14T00:00:00"/>
    <s v="300043"/>
    <s v="DOUANE"/>
    <n v="1058"/>
  </r>
  <r>
    <s v="Facture comptabilisée"/>
    <m/>
    <x v="0"/>
    <x v="334"/>
    <s v="AVC20-00512"/>
    <d v="2020-05-14T00:00:00"/>
    <s v="300064"/>
    <s v="SONOCO Métal Packaging Maroc"/>
    <n v="68480"/>
  </r>
  <r>
    <s v="Facture comptabilisée"/>
    <m/>
    <x v="0"/>
    <x v="335"/>
    <s v="64935"/>
    <d v="2020-05-14T00:00:00"/>
    <s v="300093"/>
    <s v="AVEZ SAS"/>
    <n v="103242.76270000001"/>
  </r>
  <r>
    <s v="Facture comptabilisée"/>
    <m/>
    <x v="0"/>
    <x v="336"/>
    <s v="64936"/>
    <d v="2020-05-14T00:00:00"/>
    <s v="300093"/>
    <s v="AVEZ SAS"/>
    <n v="67568.998200000002"/>
  </r>
  <r>
    <s v="Facture comptabilisée"/>
    <m/>
    <x v="0"/>
    <x v="337"/>
    <s v="071/2020"/>
    <d v="2020-05-14T00:00:00"/>
    <s v="300101"/>
    <s v="ASMAE FORWARDING EXPRESS"/>
    <n v="931.86"/>
  </r>
  <r>
    <s v="Facture comptabilisée"/>
    <m/>
    <x v="0"/>
    <x v="338"/>
    <s v="070/2020"/>
    <d v="2020-05-14T00:00:00"/>
    <s v="300101"/>
    <s v="ASMAE FORWARDING EXPRESS"/>
    <n v="931.86"/>
  </r>
  <r>
    <s v="Facture comptabilisée"/>
    <m/>
    <x v="0"/>
    <x v="339"/>
    <s v="075/2020"/>
    <d v="2020-05-14T00:00:00"/>
    <s v="300101"/>
    <s v="ASMAE FORWARDING EXPRESS"/>
    <n v="3145.82"/>
  </r>
  <r>
    <s v="Facture comptabilisée"/>
    <m/>
    <x v="0"/>
    <x v="340"/>
    <s v="JIL PACK A"/>
    <d v="2020-05-14T00:00:00"/>
    <s v="300115"/>
    <s v="AUXILIAR CONSERVERA SA"/>
    <n v="275387.80499999999"/>
  </r>
  <r>
    <s v="Facture comptabilisée"/>
    <m/>
    <x v="0"/>
    <x v="341"/>
    <s v="049/2020"/>
    <d v="2020-05-14T00:00:00"/>
    <s v="300242"/>
    <s v="TBG -TRANSPORT BEN EL GHALI"/>
    <n v="13000"/>
  </r>
  <r>
    <s v="Facture comptabilisée"/>
    <m/>
    <x v="0"/>
    <x v="342"/>
    <s v="JIL PACK A"/>
    <d v="2020-05-15T00:00:00"/>
    <s v="300115"/>
    <s v="AUXILIAR CONSERVERA SA"/>
    <n v="275583.429"/>
  </r>
  <r>
    <s v="Facture comptabilisée"/>
    <m/>
    <x v="0"/>
    <x v="343"/>
    <s v="5500+2300"/>
    <d v="2020-05-15T00:00:00"/>
    <s v="300133"/>
    <s v="OP BOX "/>
    <n v="20070"/>
  </r>
  <r>
    <s v="Facture comptabilisée"/>
    <m/>
    <x v="0"/>
    <x v="344"/>
    <s v="077/2020"/>
    <d v="2020-05-18T00:00:00"/>
    <s v="300043"/>
    <s v="DOUANE"/>
    <n v="1056"/>
  </r>
  <r>
    <s v="Facture comptabilisée"/>
    <m/>
    <x v="0"/>
    <x v="345"/>
    <s v="108X131"/>
    <d v="2020-05-18T00:00:00"/>
    <s v="300092"/>
    <s v="METALSCATOLA AFRIQUE"/>
    <n v="16740"/>
  </r>
  <r>
    <s v="Facture comptabilisée"/>
    <m/>
    <x v="0"/>
    <x v="346"/>
    <s v="072/2020"/>
    <d v="2020-05-18T00:00:00"/>
    <s v="300101"/>
    <s v="ASMAE FORWARDING EXPRESS"/>
    <n v="777.76"/>
  </r>
  <r>
    <s v="Facture comptabilisée"/>
    <m/>
    <x v="0"/>
    <x v="347"/>
    <s v="077/2020"/>
    <d v="2020-05-18T00:00:00"/>
    <s v="300101"/>
    <s v="ASMAE FORWARDING EXPRESS"/>
    <n v="4392.3900000000003"/>
  </r>
  <r>
    <s v="Facture comptabilisée"/>
    <m/>
    <x v="0"/>
    <x v="348"/>
    <s v="078/2020"/>
    <d v="2020-05-19T00:00:00"/>
    <s v="300043"/>
    <s v="DOUANE"/>
    <n v="1056"/>
  </r>
  <r>
    <s v="Facture comptabilisée"/>
    <m/>
    <x v="0"/>
    <x v="349"/>
    <s v="079/2020"/>
    <d v="2020-05-19T00:00:00"/>
    <s v="300043"/>
    <s v="DOUANE"/>
    <n v="1056"/>
  </r>
  <r>
    <s v="Facture comptabilisée"/>
    <m/>
    <x v="0"/>
    <x v="350"/>
    <s v="078/2020"/>
    <d v="2020-05-19T00:00:00"/>
    <s v="300101"/>
    <s v="ASMAE FORWARDING EXPRESS"/>
    <n v="3466.9"/>
  </r>
  <r>
    <s v="Facture comptabilisée"/>
    <m/>
    <x v="0"/>
    <x v="351"/>
    <s v="079/2020"/>
    <d v="2020-05-19T00:00:00"/>
    <s v="300101"/>
    <s v="ASMAE FORWARDING EXPRESS"/>
    <n v="3908.13"/>
  </r>
  <r>
    <s v="Facture comptabilisée"/>
    <m/>
    <x v="0"/>
    <x v="352"/>
    <s v="JIL PACK A"/>
    <d v="2020-05-20T00:00:00"/>
    <s v="300115"/>
    <s v="AUXILIAR CONSERVERA SA"/>
    <n v="275583.429"/>
  </r>
  <r>
    <s v="Facture comptabilisée"/>
    <m/>
    <x v="0"/>
    <x v="353"/>
    <s v="JIL PACK A"/>
    <d v="2020-05-20T00:00:00"/>
    <s v="300115"/>
    <s v="AUXILIAR CONSERVERA SA"/>
    <n v="275583.429"/>
  </r>
  <r>
    <s v="Facture comptabilisée"/>
    <m/>
    <x v="0"/>
    <x v="354"/>
    <s v="075/2020"/>
    <d v="2020-05-21T00:00:00"/>
    <s v="300101"/>
    <s v="ASMAE FORWARDING EXPRESS"/>
    <n v="775.33"/>
  </r>
  <r>
    <s v="Facture comptabilisée"/>
    <m/>
    <x v="0"/>
    <x v="355"/>
    <s v="4/4 ZEMZAMI"/>
    <d v="2020-05-21T00:00:00"/>
    <s v="300115"/>
    <s v="AUXILIAR CONSERVERA SA"/>
    <n v="150602.1"/>
  </r>
  <r>
    <s v="Facture comptabilisée"/>
    <m/>
    <x v="0"/>
    <x v="356"/>
    <s v="JIL PACK A"/>
    <d v="2020-05-21T00:00:00"/>
    <s v="300115"/>
    <s v="AUXILIAR CONSERVERA SA"/>
    <n v="275583.429"/>
  </r>
  <r>
    <s v="Facture comptabilisée"/>
    <m/>
    <x v="0"/>
    <x v="357"/>
    <s v="080/2020"/>
    <d v="2020-05-22T00:00:00"/>
    <s v="300043"/>
    <s v="DOUANE"/>
    <n v="1065"/>
  </r>
  <r>
    <s v="Facture comptabilisée"/>
    <m/>
    <x v="0"/>
    <x v="358"/>
    <s v="081/2020"/>
    <d v="2020-05-22T00:00:00"/>
    <s v="300043"/>
    <s v="DOUANE"/>
    <n v="1065"/>
  </r>
  <r>
    <s v="Facture comptabilisée"/>
    <m/>
    <x v="0"/>
    <x v="359"/>
    <s v="09/2020 REC JAC"/>
    <d v="2020-05-22T00:00:00"/>
    <s v="300043"/>
    <s v="DOUANE"/>
    <n v="581"/>
  </r>
  <r>
    <s v="Facture comptabilisée"/>
    <m/>
    <x v="0"/>
    <x v="360"/>
    <s v="080/2020"/>
    <d v="2020-05-22T00:00:00"/>
    <s v="300101"/>
    <s v="ASMAE FORWARDING EXPRESS"/>
    <n v="3171.87"/>
  </r>
  <r>
    <s v="Facture comptabilisée"/>
    <m/>
    <x v="0"/>
    <x v="361"/>
    <s v="081/2020"/>
    <d v="2020-05-22T00:00:00"/>
    <s v="300101"/>
    <s v="ASMAE FORWARDING EXPRESS"/>
    <n v="3328.72"/>
  </r>
  <r>
    <s v="Facture comptabilisée"/>
    <m/>
    <x v="0"/>
    <x v="362"/>
    <s v="JIL PACK A"/>
    <d v="2020-05-22T00:00:00"/>
    <s v="300115"/>
    <s v="AUXILIAR CONSERVERA SA"/>
    <n v="184273.584"/>
  </r>
  <r>
    <s v="Facture comptabilisée"/>
    <m/>
    <x v="0"/>
    <x v="363"/>
    <s v="JIL PACK A"/>
    <d v="2020-05-22T00:00:00"/>
    <s v="300115"/>
    <s v="AUXILIAR CONSERVERA SA"/>
    <n v="275583.429"/>
  </r>
  <r>
    <s v="Facture comptabilisée"/>
    <m/>
    <x v="0"/>
    <x v="364"/>
    <s v="1200ml 2300ml"/>
    <d v="2020-05-22T00:00:00"/>
    <s v="300133"/>
    <s v="OP BOX "/>
    <n v="34092"/>
  </r>
  <r>
    <s v="Facture comptabilisée"/>
    <m/>
    <x v="0"/>
    <x v="365"/>
    <s v="10000L TRANS"/>
    <d v="2020-05-22T00:00:00"/>
    <s v="300133"/>
    <s v="OP BOX "/>
    <n v="5330"/>
  </r>
  <r>
    <s v="Facture comptabilisée"/>
    <m/>
    <x v="0"/>
    <x v="366"/>
    <s v="083/2020"/>
    <d v="2020-05-26T00:00:00"/>
    <s v="300043"/>
    <s v="DOUANE"/>
    <n v="1068"/>
  </r>
  <r>
    <s v="Facture comptabilisée"/>
    <m/>
    <x v="0"/>
    <x v="367"/>
    <s v="083/2020"/>
    <d v="2020-05-26T00:00:00"/>
    <s v="300101"/>
    <s v="ASMAE FORWARDING EXPRESS"/>
    <n v="3796.14"/>
  </r>
  <r>
    <s v="Facture comptabilisée"/>
    <m/>
    <x v="0"/>
    <x v="368"/>
    <s v="800G YAHYA PIQUAN"/>
    <d v="2020-05-26T00:00:00"/>
    <s v="300115"/>
    <s v="AUXILIAR CONSERVERA SA"/>
    <n v="157847.18400000001"/>
  </r>
  <r>
    <s v="Facture comptabilisée"/>
    <m/>
    <x v="0"/>
    <x v="369"/>
    <s v="JIL PACK"/>
    <d v="2020-05-26T00:00:00"/>
    <s v="300115"/>
    <s v="AUXILIAR CONSERVERA SA"/>
    <n v="109521.44500000001"/>
  </r>
  <r>
    <s v="Facture comptabilisée"/>
    <m/>
    <x v="0"/>
    <x v="370"/>
    <s v="JIL EMBALLAGE"/>
    <d v="2020-05-26T00:00:00"/>
    <s v="300115"/>
    <s v="AUXILIAR CONSERVERA SA"/>
    <n v="119557.35"/>
  </r>
  <r>
    <s v="Facture comptabilisée"/>
    <m/>
    <x v="0"/>
    <x v="371"/>
    <s v="084/2020"/>
    <d v="2020-05-27T00:00:00"/>
    <s v="300043"/>
    <s v="DOUANE"/>
    <n v="656"/>
  </r>
  <r>
    <s v="Facture comptabilisée"/>
    <m/>
    <x v="0"/>
    <x v="372"/>
    <s v="082/2020"/>
    <d v="2020-05-27T00:00:00"/>
    <s v="300043"/>
    <s v="DOUANE"/>
    <n v="768"/>
  </r>
  <r>
    <s v="Facture comptabilisée"/>
    <m/>
    <x v="0"/>
    <x v="373"/>
    <s v="082/2020"/>
    <d v="2020-05-27T00:00:00"/>
    <s v="300101"/>
    <s v="ASMAE FORWARDING EXPRESS"/>
    <n v="3168.73"/>
  </r>
  <r>
    <s v="Facture comptabilisée"/>
    <m/>
    <x v="0"/>
    <x v="374"/>
    <s v="084/2020"/>
    <d v="2020-05-27T00:00:00"/>
    <s v="300101"/>
    <s v="ASMAE FORWARDING EXPRESS"/>
    <n v="3639.29"/>
  </r>
  <r>
    <s v="Facture comptabilisée"/>
    <m/>
    <x v="0"/>
    <x v="375"/>
    <s v="085/2020"/>
    <d v="2020-05-28T00:00:00"/>
    <s v="300043"/>
    <s v="DOUANE"/>
    <n v="1065"/>
  </r>
  <r>
    <s v="Facture comptabilisée"/>
    <m/>
    <x v="0"/>
    <x v="376"/>
    <s v="085/2020"/>
    <d v="2020-05-28T00:00:00"/>
    <s v="300101"/>
    <s v="ASMAE FORWARDING EXPRESS"/>
    <n v="3639.29"/>
  </r>
  <r>
    <s v="Facture comptabilisée"/>
    <m/>
    <x v="0"/>
    <x v="377"/>
    <s v="086/2020"/>
    <d v="2020-06-01T00:00:00"/>
    <s v="300043"/>
    <s v="DOUANE"/>
    <n v="923"/>
  </r>
  <r>
    <s v="Facture comptabilisée"/>
    <m/>
    <x v="0"/>
    <x v="378"/>
    <s v="5/1 NEUTRE*1*"/>
    <d v="2020-06-01T00:00:00"/>
    <s v="300064"/>
    <s v="SONOCO Métal Packaging Maroc"/>
    <n v="95940"/>
  </r>
  <r>
    <s v="Facture comptabilisée"/>
    <m/>
    <x v="0"/>
    <x v="379"/>
    <s v="5/1 NEUTRE*2*"/>
    <d v="2020-06-01T00:00:00"/>
    <s v="300064"/>
    <s v="SONOCO Métal Packaging Maroc"/>
    <n v="95940"/>
  </r>
  <r>
    <s v="Facture comptabilisée"/>
    <m/>
    <x v="0"/>
    <x v="380"/>
    <s v="5/1 NEUTRE*3*"/>
    <d v="2020-06-01T00:00:00"/>
    <s v="300064"/>
    <s v="SONOCO Métal Packaging Maroc"/>
    <n v="95940"/>
  </r>
  <r>
    <s v="Facture comptabilisée"/>
    <m/>
    <x v="0"/>
    <x v="381"/>
    <s v="5/1 NEUTRE*4*"/>
    <d v="2020-06-01T00:00:00"/>
    <s v="300064"/>
    <s v="SONOCO Métal Packaging Maroc"/>
    <n v="95940"/>
  </r>
  <r>
    <s v="Facture comptabilisée"/>
    <m/>
    <x v="0"/>
    <x v="382"/>
    <s v="4/4 AGADIR"/>
    <d v="2020-06-01T00:00:00"/>
    <s v="300080"/>
    <s v="MASSILLY"/>
    <n v="107146.46249999999"/>
  </r>
  <r>
    <s v="Facture comptabilisée"/>
    <m/>
    <x v="0"/>
    <x v="383"/>
    <s v="086/2020"/>
    <d v="2020-06-01T00:00:00"/>
    <s v="300101"/>
    <s v="ASMAE FORWARDING EXPRESS"/>
    <n v="4047.8"/>
  </r>
  <r>
    <s v="Facture comptabilisée"/>
    <m/>
    <x v="0"/>
    <x v="384"/>
    <s v="087/2020"/>
    <d v="2020-06-02T00:00:00"/>
    <s v="300043"/>
    <s v="DOUANE"/>
    <n v="684"/>
  </r>
  <r>
    <s v="Facture comptabilisée"/>
    <m/>
    <x v="0"/>
    <x v="385"/>
    <s v="22L DECOPIN"/>
    <d v="2020-06-02T00:00:00"/>
    <s v="300092"/>
    <s v="METALSCATOLA AFRIQUE"/>
    <n v="79275"/>
  </r>
  <r>
    <s v="Facture comptabilisée"/>
    <m/>
    <x v="0"/>
    <x v="386"/>
    <s v="087/2020"/>
    <d v="2020-06-02T00:00:00"/>
    <s v="300101"/>
    <s v="ASMAE FORWARDING EXPRESS"/>
    <n v="3504.72"/>
  </r>
  <r>
    <s v="Facture comptabilisée"/>
    <m/>
    <x v="0"/>
    <x v="387"/>
    <s v="010/2020 REC JAC"/>
    <d v="2020-06-03T00:00:00"/>
    <s v="300043"/>
    <s v="DOUANE"/>
    <n v="592"/>
  </r>
  <r>
    <s v="Facture comptabilisée"/>
    <m/>
    <x v="0"/>
    <x v="388"/>
    <s v="RO85 G4"/>
    <d v="2020-06-03T00:00:00"/>
    <s v="300115"/>
    <s v="AUXILIAR CONSERVERA SA"/>
    <n v="275583.429"/>
  </r>
  <r>
    <s v="Facture comptabilisée"/>
    <m/>
    <x v="0"/>
    <x v="389"/>
    <s v="JIL PACK A"/>
    <d v="2020-06-03T00:00:00"/>
    <s v="300115"/>
    <s v="AUXILIAR CONSERVERA SA"/>
    <n v="275583.429"/>
  </r>
  <r>
    <s v="Facture comptabilisée"/>
    <m/>
    <x v="0"/>
    <x v="390"/>
    <s v="088/2020"/>
    <d v="2020-06-04T00:00:00"/>
    <s v="300043"/>
    <s v="DOUANE"/>
    <n v="1076"/>
  </r>
  <r>
    <s v="Facture comptabilisée"/>
    <m/>
    <x v="0"/>
    <x v="391"/>
    <s v="092/2020"/>
    <d v="2020-06-04T00:00:00"/>
    <s v="300101"/>
    <s v="ASMAE FORWARDING EXPRESS"/>
    <n v="50"/>
  </r>
  <r>
    <s v="Facture comptabilisée"/>
    <m/>
    <x v="0"/>
    <x v="392"/>
    <s v="088/2020"/>
    <d v="2020-06-04T00:00:00"/>
    <s v="300101"/>
    <s v="ASMAE FORWARDING EXPRESS"/>
    <n v="3191.07"/>
  </r>
  <r>
    <s v="Facture comptabilisée"/>
    <m/>
    <x v="0"/>
    <x v="393"/>
    <s v="RO400"/>
    <d v="2020-06-04T00:00:00"/>
    <s v="300115"/>
    <s v="AUXILIAR CONSERVERA SA"/>
    <n v="225138.4333"/>
  </r>
  <r>
    <s v="Facture comptabilisée"/>
    <m/>
    <x v="0"/>
    <x v="394"/>
    <s v="280/870/3.8/4.6"/>
    <d v="2020-06-04T00:00:00"/>
    <s v="300133"/>
    <s v="OP BOX "/>
    <n v="37428"/>
  </r>
  <r>
    <s v="Facture comptabilisée"/>
    <m/>
    <x v="0"/>
    <x v="395"/>
    <s v="3.8 BLEU"/>
    <d v="2020-06-04T00:00:00"/>
    <s v="300133"/>
    <s v="OP BOX "/>
    <n v="6270"/>
  </r>
  <r>
    <s v="Facture comptabilisée"/>
    <m/>
    <x v="0"/>
    <x v="396"/>
    <s v="09/2020 REC JAC"/>
    <d v="2020-06-04T00:00:00"/>
    <s v="300301"/>
    <s v="RECOING &amp; JACQUETY"/>
    <n v="6748.13"/>
  </r>
  <r>
    <s v="Facture comptabilisée"/>
    <m/>
    <x v="0"/>
    <x v="397"/>
    <s v="089/2020"/>
    <d v="2020-06-05T00:00:00"/>
    <s v="300043"/>
    <s v="DOUANE"/>
    <n v="1076"/>
  </r>
  <r>
    <s v="Facture comptabilisée"/>
    <m/>
    <x v="0"/>
    <x v="398"/>
    <s v="085/2020"/>
    <d v="2020-06-05T00:00:00"/>
    <s v="300101"/>
    <s v="ASMAE FORWARDING EXPRESS"/>
    <n v="157.77000000000001"/>
  </r>
  <r>
    <s v="Facture comptabilisée"/>
    <m/>
    <x v="0"/>
    <x v="399"/>
    <s v="082/2020"/>
    <d v="2020-06-05T00:00:00"/>
    <s v="300101"/>
    <s v="ASMAE FORWARDING EXPRESS"/>
    <n v="315.54000000000002"/>
  </r>
  <r>
    <s v="Facture comptabilisée"/>
    <m/>
    <x v="0"/>
    <x v="400"/>
    <s v="089/2020"/>
    <d v="2020-06-05T00:00:00"/>
    <s v="300101"/>
    <s v="ASMAE FORWARDING EXPRESS"/>
    <n v="3191.71"/>
  </r>
  <r>
    <s v="Facture comptabilisée"/>
    <m/>
    <x v="0"/>
    <x v="401"/>
    <s v="RO85 G4"/>
    <d v="2020-06-05T00:00:00"/>
    <s v="300115"/>
    <s v="AUXILIAR CONSERVERA SA"/>
    <n v="275583.429"/>
  </r>
  <r>
    <s v="Facture comptabilisée"/>
    <m/>
    <x v="0"/>
    <x v="402"/>
    <s v="090/2020"/>
    <d v="2020-06-09T00:00:00"/>
    <s v="300043"/>
    <s v="DOUANE"/>
    <n v="1081"/>
  </r>
  <r>
    <s v="Facture comptabilisée"/>
    <m/>
    <x v="0"/>
    <x v="403"/>
    <s v="091/2020"/>
    <d v="2020-06-09T00:00:00"/>
    <s v="300043"/>
    <s v="DOUANE"/>
    <n v="913"/>
  </r>
  <r>
    <s v="Facture comptabilisée"/>
    <m/>
    <x v="0"/>
    <x v="404"/>
    <s v="090/2020"/>
    <d v="2020-06-09T00:00:00"/>
    <s v="300101"/>
    <s v="ASMAE FORWARDING EXPRESS"/>
    <n v="3520.73"/>
  </r>
  <r>
    <s v="Facture comptabilisée"/>
    <m/>
    <x v="0"/>
    <x v="405"/>
    <s v="5/1G4 SILVER"/>
    <d v="2020-06-10T00:00:00"/>
    <s v="300064"/>
    <s v="SONOCO Métal Packaging Maroc"/>
    <n v="95940"/>
  </r>
  <r>
    <s v="Facture comptabilisée"/>
    <m/>
    <x v="0"/>
    <x v="406"/>
    <s v="5/1G4 SILVER"/>
    <d v="2020-06-10T00:00:00"/>
    <s v="300064"/>
    <s v="SONOCO Métal Packaging Maroc"/>
    <n v="95940"/>
  </r>
  <r>
    <s v="Facture comptabilisée"/>
    <m/>
    <x v="0"/>
    <x v="407"/>
    <s v="TAMIMA 400G"/>
    <d v="2020-06-10T00:00:00"/>
    <s v="300115"/>
    <s v="AUXILIAR CONSERVERA SA"/>
    <n v="201741.88320000001"/>
  </r>
  <r>
    <s v="Facture comptabilisée"/>
    <m/>
    <x v="0"/>
    <x v="408"/>
    <s v="2KG BPANI"/>
    <d v="2020-06-11T00:00:00"/>
    <s v="300064"/>
    <s v="SONOCO Métal Packaging Maroc"/>
    <n v="18470"/>
  </r>
  <r>
    <s v="Facture comptabilisée"/>
    <m/>
    <x v="0"/>
    <x v="409"/>
    <s v="2KG BPANI"/>
    <d v="2020-06-11T00:00:00"/>
    <s v="300064"/>
    <s v="SONOCO Métal Packaging Maroc"/>
    <n v="10890"/>
  </r>
  <r>
    <s v="Facture comptabilisée"/>
    <m/>
    <x v="0"/>
    <x v="410"/>
    <s v="4/4 G3"/>
    <d v="2020-06-11T00:00:00"/>
    <s v="300080"/>
    <s v="MASSILLY"/>
    <n v="125621.496"/>
  </r>
  <r>
    <s v="Facture comptabilisée"/>
    <m/>
    <x v="0"/>
    <x v="411"/>
    <s v="PLASTIQUE"/>
    <d v="2020-06-12T00:00:00"/>
    <s v="300133"/>
    <s v="OP BOX "/>
    <n v="25228"/>
  </r>
  <r>
    <s v="Facture comptabilisée"/>
    <m/>
    <x v="0"/>
    <x v="412"/>
    <s v="PLASTIQUE"/>
    <d v="2020-06-12T00:00:00"/>
    <s v="300133"/>
    <s v="OP BOX "/>
    <n v="43236"/>
  </r>
  <r>
    <s v="Facture comptabilisée"/>
    <m/>
    <x v="0"/>
    <x v="413"/>
    <s v="010/2020 REC JAC"/>
    <d v="2020-06-12T00:00:00"/>
    <s v="300301"/>
    <s v="RECOING &amp; JACQUETY"/>
    <n v="7217.98"/>
  </r>
  <r>
    <s v="Facture comptabilisée"/>
    <m/>
    <x v="0"/>
    <x v="414"/>
    <s v="03/2020 REC JAC"/>
    <d v="2020-06-13T00:00:00"/>
    <s v="300301"/>
    <s v="RECOING &amp; JACQUETY"/>
    <n v="62.5"/>
  </r>
  <r>
    <s v="Facture comptabilisée"/>
    <m/>
    <x v="0"/>
    <x v="415"/>
    <s v="05/2020 REC JAC"/>
    <d v="2020-06-13T00:00:00"/>
    <s v="300301"/>
    <s v="RECOING &amp; JACQUETY"/>
    <n v="50"/>
  </r>
  <r>
    <s v="Facture comptabilisée"/>
    <m/>
    <x v="0"/>
    <x v="416"/>
    <s v="108*131"/>
    <d v="2020-06-15T00:00:00"/>
    <s v="300092"/>
    <s v="METALSCATOLA AFRIQUE"/>
    <n v="26100"/>
  </r>
  <r>
    <s v="Facture comptabilisée"/>
    <m/>
    <x v="0"/>
    <x v="417"/>
    <s v="092/2020"/>
    <d v="2020-06-16T00:00:00"/>
    <s v="300043"/>
    <s v="DOUANE"/>
    <n v="834"/>
  </r>
  <r>
    <s v="Facture comptabilisée"/>
    <m/>
    <x v="0"/>
    <x v="418"/>
    <s v="MIPA"/>
    <d v="2020-06-16T00:00:00"/>
    <s v="300092"/>
    <s v="METALSCATOLA AFRIQUE"/>
    <n v="55495"/>
  </r>
  <r>
    <s v="Facture comptabilisée"/>
    <m/>
    <x v="0"/>
    <x v="419"/>
    <s v="092/2020"/>
    <d v="2020-06-16T00:00:00"/>
    <s v="300101"/>
    <s v="ASMAE FORWARDING EXPRESS"/>
    <n v="3507.62"/>
  </r>
  <r>
    <s v="Facture comptabilisée"/>
    <m/>
    <x v="0"/>
    <x v="420"/>
    <s v="RO85 G4"/>
    <d v="2020-06-17T00:00:00"/>
    <s v="300115"/>
    <s v="AUXILIAR CONSERVERA SA"/>
    <n v="275583.429"/>
  </r>
  <r>
    <s v="Facture comptabilisée"/>
    <m/>
    <x v="0"/>
    <x v="421"/>
    <s v="091/2020"/>
    <d v="2020-06-18T00:00:00"/>
    <s v="300101"/>
    <s v="ASMAE FORWARDING EXPRESS"/>
    <n v="3675.46"/>
  </r>
  <r>
    <s v="Facture comptabilisée"/>
    <m/>
    <x v="0"/>
    <x v="422"/>
    <s v="RO400"/>
    <d v="2020-06-18T00:00:00"/>
    <s v="300115"/>
    <s v="AUXILIAR CONSERVERA SA"/>
    <n v="184308.696"/>
  </r>
  <r>
    <s v="Facture comptabilisée"/>
    <m/>
    <x v="0"/>
    <x v="423"/>
    <s v="1/4 CLUB"/>
    <d v="2020-06-18T00:00:00"/>
    <s v="300115"/>
    <s v="AUXILIAR CONSERVERA SA"/>
    <n v="270146.55800000002"/>
  </r>
  <r>
    <s v="Facture comptabilisée"/>
    <m/>
    <x v="0"/>
    <x v="424"/>
    <s v="RO80"/>
    <d v="2020-06-19T00:00:00"/>
    <s v="300080"/>
    <s v="MASSILLY"/>
    <n v="3564"/>
  </r>
  <r>
    <s v="Facture comptabilisée"/>
    <m/>
    <x v="0"/>
    <x v="425"/>
    <s v="4L OLINIA*1*"/>
    <d v="2020-06-19T00:00:00"/>
    <s v="300115"/>
    <s v="AUXILIAR CONSERVERA SA"/>
    <n v="93430.210500000001"/>
  </r>
  <r>
    <s v="Facture comptabilisée"/>
    <m/>
    <x v="0"/>
    <x v="426"/>
    <s v="1/4 CLUB*2*"/>
    <d v="2020-06-19T00:00:00"/>
    <s v="300115"/>
    <s v="AUXILIAR CONSERVERA SA"/>
    <n v="79445.08"/>
  </r>
  <r>
    <s v="Facture comptabilisée"/>
    <m/>
    <x v="0"/>
    <x v="427"/>
    <s v="4L +5500"/>
    <d v="2020-06-19T00:00:00"/>
    <s v="300133"/>
    <s v="OP BOX "/>
    <n v="9126"/>
  </r>
  <r>
    <s v="Facture comptabilisée"/>
    <m/>
    <x v="0"/>
    <x v="428"/>
    <s v="093/2020"/>
    <d v="2020-06-22T00:00:00"/>
    <s v="300043"/>
    <s v="DOUANE"/>
    <n v="772"/>
  </r>
  <r>
    <s v="Facture comptabilisée"/>
    <m/>
    <x v="0"/>
    <x v="429"/>
    <s v="093/2020"/>
    <d v="2020-06-22T00:00:00"/>
    <s v="300101"/>
    <s v="ASMAE FORWARDING EXPRESS"/>
    <n v="3494.76"/>
  </r>
  <r>
    <s v="Facture comptabilisée"/>
    <m/>
    <x v="0"/>
    <x v="430"/>
    <s v="RO85 G4"/>
    <d v="2020-06-22T00:00:00"/>
    <s v="300115"/>
    <s v="AUXILIAR CONSERVERA SA"/>
    <n v="275583.429"/>
  </r>
  <r>
    <s v="Facture comptabilisée"/>
    <m/>
    <x v="0"/>
    <x v="431"/>
    <s v="RO85 OF"/>
    <d v="2020-06-22T00:00:00"/>
    <s v="300115"/>
    <s v="AUXILIAR CONSERVERA SA"/>
    <n v="273243.82799999998"/>
  </r>
  <r>
    <s v="Facture comptabilisée"/>
    <m/>
    <x v="0"/>
    <x v="432"/>
    <s v="096/2020"/>
    <d v="2020-06-23T00:00:00"/>
    <s v="300043"/>
    <s v="DOUANE"/>
    <n v="734"/>
  </r>
  <r>
    <s v="Facture comptabilisée"/>
    <m/>
    <x v="0"/>
    <x v="433"/>
    <s v="097/2020"/>
    <d v="2020-06-23T00:00:00"/>
    <s v="300043"/>
    <s v="DOUANE"/>
    <n v="1055"/>
  </r>
  <r>
    <s v="Facture comptabilisée"/>
    <m/>
    <x v="0"/>
    <x v="434"/>
    <s v="096/2020"/>
    <d v="2020-06-23T00:00:00"/>
    <s v="300101"/>
    <s v="ASMAE FORWARDING EXPRESS"/>
    <n v="3995.76"/>
  </r>
  <r>
    <s v="Facture comptabilisée"/>
    <m/>
    <x v="0"/>
    <x v="435"/>
    <s v="097/2020"/>
    <d v="2020-06-23T00:00:00"/>
    <s v="300101"/>
    <s v="ASMAE FORWARDING EXPRESS"/>
    <n v="3344.46"/>
  </r>
  <r>
    <s v="Facture comptabilisée"/>
    <m/>
    <x v="0"/>
    <x v="436"/>
    <s v="DINDE AL FIRDAOUS"/>
    <d v="2020-06-23T00:00:00"/>
    <s v="300115"/>
    <s v="AUXILIAR CONSERVERA SA"/>
    <n v="151212.36679999999"/>
  </r>
  <r>
    <s v="Facture comptabilisée"/>
    <m/>
    <x v="0"/>
    <x v="437"/>
    <s v="miel 4/4+JIL"/>
    <d v="2020-06-23T00:00:00"/>
    <s v="300115"/>
    <s v="AUXILIAR CONSERVERA SA"/>
    <n v="150548.11199999999"/>
  </r>
  <r>
    <s v="Facture comptabilisée"/>
    <m/>
    <x v="0"/>
    <x v="438"/>
    <s v="FAC20-03624"/>
    <d v="2020-06-24T00:00:00"/>
    <s v="300064"/>
    <s v="SONOCO Métal Packaging Maroc"/>
    <n v="148102"/>
  </r>
  <r>
    <s v="Facture comptabilisée"/>
    <m/>
    <x v="0"/>
    <x v="439"/>
    <s v="RO80"/>
    <d v="2020-06-24T00:00:00"/>
    <s v="300080"/>
    <s v="MASSILLY"/>
    <n v="191268"/>
  </r>
  <r>
    <s v="Facture comptabilisée"/>
    <m/>
    <x v="0"/>
    <x v="440"/>
    <s v="095/2020"/>
    <d v="2020-06-25T00:00:00"/>
    <s v="300043"/>
    <s v="DOUANE"/>
    <n v="1065"/>
  </r>
  <r>
    <s v="Facture comptabilisée"/>
    <m/>
    <x v="0"/>
    <x v="441"/>
    <s v="1l / 1/2l"/>
    <d v="2020-06-25T00:00:00"/>
    <s v="300092"/>
    <s v="METALSCATOLA AFRIQUE"/>
    <n v="48499"/>
  </r>
  <r>
    <s v="Facture comptabilisée"/>
    <m/>
    <x v="0"/>
    <x v="442"/>
    <s v="095/2020"/>
    <d v="2020-06-25T00:00:00"/>
    <s v="300101"/>
    <s v="ASMAE FORWARDING EXPRESS"/>
    <n v="3350.13"/>
  </r>
  <r>
    <s v="Facture comptabilisée"/>
    <m/>
    <x v="0"/>
    <x v="443"/>
    <s v="PLASTIQUE"/>
    <d v="2020-06-25T00:00:00"/>
    <s v="300133"/>
    <s v="OP BOX "/>
    <n v="22992"/>
  </r>
  <r>
    <s v="Facture comptabilisée"/>
    <m/>
    <x v="0"/>
    <x v="444"/>
    <s v="094/2020"/>
    <d v="2020-06-26T00:00:00"/>
    <s v="300043"/>
    <s v="DOUANE"/>
    <n v="1076"/>
  </r>
  <r>
    <s v="Facture comptabilisée"/>
    <m/>
    <x v="0"/>
    <x v="445"/>
    <s v="099/2020"/>
    <d v="2020-06-26T00:00:00"/>
    <s v="300043"/>
    <s v="DOUANE"/>
    <n v="661"/>
  </r>
  <r>
    <s v="Facture comptabilisée"/>
    <m/>
    <x v="0"/>
    <x v="446"/>
    <s v="094/2020"/>
    <d v="2020-06-26T00:00:00"/>
    <s v="300101"/>
    <s v="ASMAE FORWARDING EXPRESS"/>
    <n v="3847.66"/>
  </r>
  <r>
    <s v="Facture comptabilisée"/>
    <m/>
    <x v="0"/>
    <x v="447"/>
    <s v="099/2020"/>
    <d v="2020-06-26T00:00:00"/>
    <s v="300101"/>
    <s v="ASMAE FORWARDING EXPRESS"/>
    <n v="3671.43"/>
  </r>
  <r>
    <s v="Facture comptabilisée"/>
    <m/>
    <x v="0"/>
    <x v="448"/>
    <s v="RO85 OF"/>
    <d v="2020-06-26T00:00:00"/>
    <s v="300115"/>
    <s v="AUXILIAR CONSERVERA SA"/>
    <n v="283934.277"/>
  </r>
  <r>
    <s v="Facture comptabilisée"/>
    <m/>
    <x v="0"/>
    <x v="449"/>
    <s v="1/4 CLUB*1*"/>
    <d v="2020-06-26T00:00:00"/>
    <s v="300115"/>
    <s v="AUXILIAR CONSERVERA SA"/>
    <n v="135073.27900000001"/>
  </r>
  <r>
    <s v="Facture comptabilisée"/>
    <m/>
    <x v="0"/>
    <x v="450"/>
    <s v="1/4 CLUB *2*"/>
    <d v="2020-06-26T00:00:00"/>
    <s v="300115"/>
    <s v="AUXILIAR CONSERVERA SA"/>
    <n v="135073.27900000001"/>
  </r>
  <r>
    <s v="Facture comptabilisée"/>
    <m/>
    <x v="0"/>
    <x v="451"/>
    <s v="2300TRANS+2300BLA"/>
    <d v="2020-06-26T00:00:00"/>
    <s v="300133"/>
    <s v="OP BOX "/>
    <n v="6048"/>
  </r>
  <r>
    <s v="Facture comptabilisée"/>
    <m/>
    <x v="0"/>
    <x v="452"/>
    <s v="098/2020"/>
    <d v="2020-06-29T00:00:00"/>
    <s v="300043"/>
    <s v="DOUANE"/>
    <n v="661"/>
  </r>
  <r>
    <s v="Facture comptabilisée"/>
    <m/>
    <x v="0"/>
    <x v="453"/>
    <s v="MIPA CELLO"/>
    <d v="2020-06-29T00:00:00"/>
    <s v="300092"/>
    <s v="METALSCATOLA AFRIQUE"/>
    <n v="8952"/>
  </r>
  <r>
    <s v="Facture comptabilisée"/>
    <m/>
    <x v="0"/>
    <x v="454"/>
    <s v="098/2020"/>
    <d v="2020-06-29T00:00:00"/>
    <s v="300101"/>
    <s v="ASMAE FORWARDING EXPRESS"/>
    <n v="3376.53"/>
  </r>
  <r>
    <s v="Facture comptabilisée"/>
    <m/>
    <x v="0"/>
    <x v="455"/>
    <s v="4/4 G3 ERREUR"/>
    <d v="2020-07-01T00:00:00"/>
    <s v="300080"/>
    <s v="MASSILLY"/>
    <n v="147.91999999999999"/>
  </r>
  <r>
    <s v="Facture comptabilisée"/>
    <m/>
    <x v="0"/>
    <x v="456"/>
    <s v="4/4 G3"/>
    <d v="2020-07-01T00:00:00"/>
    <s v="300080"/>
    <s v="MASSILLY"/>
    <n v="99931.067500000005"/>
  </r>
  <r>
    <s v="Facture comptabilisée"/>
    <m/>
    <x v="0"/>
    <x v="457"/>
    <s v="JIL PACK"/>
    <d v="2020-07-01T00:00:00"/>
    <s v="300115"/>
    <s v="AUXILIAR CONSERVERA SA"/>
    <n v="270146.55800000002"/>
  </r>
  <r>
    <s v="Facture comptabilisée"/>
    <m/>
    <x v="0"/>
    <x v="458"/>
    <s v="101/2020"/>
    <d v="2020-07-02T00:00:00"/>
    <s v="300043"/>
    <s v="DOUANE"/>
    <n v="1105"/>
  </r>
  <r>
    <s v="Facture comptabilisée"/>
    <m/>
    <x v="0"/>
    <x v="459"/>
    <s v="104/2020"/>
    <d v="2020-07-02T00:00:00"/>
    <s v="300043"/>
    <s v="DOUANE"/>
    <n v="1060"/>
  </r>
  <r>
    <s v="Facture comptabilisée"/>
    <m/>
    <x v="0"/>
    <x v="460"/>
    <s v="101/2020"/>
    <d v="2020-07-02T00:00:00"/>
    <s v="300101"/>
    <s v="ASMAE FORWARDING EXPRESS"/>
    <n v="3350.85"/>
  </r>
  <r>
    <s v="Facture comptabilisée"/>
    <m/>
    <x v="0"/>
    <x v="461"/>
    <s v="104/2020"/>
    <d v="2020-07-02T00:00:00"/>
    <s v="300101"/>
    <s v="ASMAE FORWARDING EXPRESS"/>
    <n v="3192.26"/>
  </r>
  <r>
    <s v="Facture comptabilisée"/>
    <m/>
    <x v="0"/>
    <x v="462"/>
    <s v="MFI"/>
    <d v="2020-07-02T00:00:00"/>
    <s v="300115"/>
    <s v="AUXILIAR CONSERVERA SA"/>
    <n v="91662.384000000005"/>
  </r>
  <r>
    <s v="Facture comptabilisée"/>
    <m/>
    <x v="0"/>
    <x v="463"/>
    <s v="100/2020"/>
    <d v="2020-07-03T00:00:00"/>
    <s v="300043"/>
    <s v="DOUANE"/>
    <n v="1070"/>
  </r>
  <r>
    <s v="Facture comptabilisée"/>
    <m/>
    <x v="0"/>
    <x v="464"/>
    <s v="100/2020"/>
    <d v="2020-07-03T00:00:00"/>
    <s v="300101"/>
    <s v="ASMAE FORWARDING EXPRESS"/>
    <n v="4460.53"/>
  </r>
  <r>
    <s v="Facture comptabilisée"/>
    <m/>
    <x v="0"/>
    <x v="465"/>
    <s v="5/1 ABR ET 5/1 FR"/>
    <d v="2020-07-03T00:00:00"/>
    <s v="300115"/>
    <s v="AUXILIAR CONSERVERA SA"/>
    <n v="99927.592600000004"/>
  </r>
  <r>
    <s v="Facture comptabilisée"/>
    <m/>
    <x v="0"/>
    <x v="466"/>
    <s v="1200/600/280"/>
    <d v="2020-07-03T00:00:00"/>
    <s v="300133"/>
    <s v="OP BOX "/>
    <n v="32100"/>
  </r>
  <r>
    <s v="Facture comptabilisée"/>
    <m/>
    <x v="0"/>
    <x v="467"/>
    <s v="2300 TRANSP"/>
    <d v="2020-07-03T00:00:00"/>
    <s v="300133"/>
    <s v="OP BOX "/>
    <n v="5040"/>
  </r>
  <r>
    <s v="Facture comptabilisée"/>
    <m/>
    <x v="0"/>
    <x v="468"/>
    <s v="103/2020"/>
    <d v="2020-07-06T00:00:00"/>
    <s v="300043"/>
    <s v="DOUANE"/>
    <n v="1059"/>
  </r>
  <r>
    <s v="Facture comptabilisée"/>
    <m/>
    <x v="0"/>
    <x v="469"/>
    <s v="5/1 NEUTRE"/>
    <d v="2020-07-06T00:00:00"/>
    <s v="300064"/>
    <s v="SONOCO Métal Packaging Maroc"/>
    <n v="95940"/>
  </r>
  <r>
    <s v="Facture comptabilisée"/>
    <m/>
    <x v="0"/>
    <x v="470"/>
    <s v="5L RECT"/>
    <d v="2020-07-06T00:00:00"/>
    <s v="300092"/>
    <s v="METALSCATOLA AFRIQUE"/>
    <n v="11520"/>
  </r>
  <r>
    <s v="Facture comptabilisée"/>
    <m/>
    <x v="0"/>
    <x v="471"/>
    <s v="103/2020"/>
    <d v="2020-07-06T00:00:00"/>
    <s v="300101"/>
    <s v="ASMAE FORWARDING EXPRESS"/>
    <n v="3668.98"/>
  </r>
  <r>
    <s v="Facture comptabilisée"/>
    <m/>
    <x v="0"/>
    <x v="472"/>
    <s v="JIL PACK"/>
    <d v="2020-07-06T00:00:00"/>
    <s v="300115"/>
    <s v="AUXILIAR CONSERVERA SA"/>
    <n v="187346.0325"/>
  </r>
  <r>
    <s v="Facture comptabilisée"/>
    <m/>
    <x v="0"/>
    <x v="473"/>
    <s v="102/2020"/>
    <d v="2020-07-07T00:00:00"/>
    <s v="300043"/>
    <s v="DOUANE"/>
    <n v="469"/>
  </r>
  <r>
    <s v="Facture comptabilisée"/>
    <m/>
    <x v="0"/>
    <x v="474"/>
    <s v="102/2020"/>
    <d v="2020-07-07T00:00:00"/>
    <s v="300101"/>
    <s v="ASMAE FORWARDING EXPRESS"/>
    <n v="3669.38"/>
  </r>
  <r>
    <s v="Facture comptabilisée"/>
    <m/>
    <x v="0"/>
    <x v="475"/>
    <s v="RO85 G4"/>
    <d v="2020-07-07T00:00:00"/>
    <s v="300115"/>
    <s v="AUXILIAR CONSERVERA SA"/>
    <n v="281999.35940000002"/>
  </r>
  <r>
    <s v="Facture comptabilisée"/>
    <m/>
    <x v="0"/>
    <x v="476"/>
    <s v="4/4 ZEMZAMI"/>
    <d v="2020-07-07T00:00:00"/>
    <s v="300115"/>
    <s v="AUXILIAR CONSERVERA SA"/>
    <n v="150602.1"/>
  </r>
  <r>
    <s v="Facture comptabilisée"/>
    <m/>
    <x v="0"/>
    <x v="477"/>
    <s v="RO85 VMM"/>
    <d v="2020-07-08T00:00:00"/>
    <s v="300115"/>
    <s v="AUXILIAR CONSERVERA SA"/>
    <n v="305923.86"/>
  </r>
  <r>
    <s v="Facture comptabilisée"/>
    <m/>
    <x v="0"/>
    <x v="478"/>
    <s v="600 ML"/>
    <d v="2020-07-08T00:00:00"/>
    <s v="300133"/>
    <s v="OP BOX "/>
    <n v="4400"/>
  </r>
  <r>
    <s v="Facture comptabilisée"/>
    <m/>
    <x v="0"/>
    <x v="479"/>
    <s v="mixte"/>
    <d v="2020-07-08T00:00:00"/>
    <s v="300133"/>
    <s v="OP BOX "/>
    <n v="11583"/>
  </r>
  <r>
    <s v="Facture comptabilisée"/>
    <m/>
    <x v="0"/>
    <x v="480"/>
    <s v="870/2.3/5.5/5L"/>
    <d v="2020-07-08T00:00:00"/>
    <s v="300133"/>
    <s v="OP BOX "/>
    <n v="47286"/>
  </r>
  <r>
    <s v="Facture comptabilisée"/>
    <m/>
    <x v="0"/>
    <x v="481"/>
    <s v="105/2020"/>
    <d v="2020-07-09T00:00:00"/>
    <s v="300043"/>
    <s v="DOUANE"/>
    <n v="495"/>
  </r>
  <r>
    <s v="Facture comptabilisée"/>
    <m/>
    <x v="0"/>
    <x v="482"/>
    <s v="106/2020"/>
    <d v="2020-07-09T00:00:00"/>
    <s v="300043"/>
    <s v="DOUANE"/>
    <n v="785"/>
  </r>
  <r>
    <s v="Facture comptabilisée"/>
    <m/>
    <x v="0"/>
    <x v="483"/>
    <s v="105/2020"/>
    <d v="2020-07-09T00:00:00"/>
    <s v="300101"/>
    <s v="ASMAE FORWARDING EXPRESS"/>
    <n v="3353.28"/>
  </r>
  <r>
    <s v="Facture comptabilisée"/>
    <m/>
    <x v="0"/>
    <x v="484"/>
    <s v="106/2020"/>
    <d v="2020-07-09T00:00:00"/>
    <s v="300101"/>
    <s v="ASMAE FORWARDING EXPRESS"/>
    <n v="3511.89"/>
  </r>
  <r>
    <s v="Facture comptabilisée"/>
    <m/>
    <x v="0"/>
    <x v="485"/>
    <s v="2300 AP BLANC"/>
    <d v="2020-07-09T00:00:00"/>
    <s v="300133"/>
    <s v="OP BOX "/>
    <n v="10080"/>
  </r>
  <r>
    <s v="Facture comptabilisée"/>
    <m/>
    <x v="0"/>
    <x v="486"/>
    <s v="10L TRANS"/>
    <d v="2020-07-09T00:00:00"/>
    <s v="300133"/>
    <s v="OP BOX "/>
    <n v="5330"/>
  </r>
  <r>
    <s v="Facture comptabilisée"/>
    <m/>
    <x v="0"/>
    <x v="487"/>
    <s v="2300 ML B"/>
    <d v="2020-07-10T00:00:00"/>
    <s v="300133"/>
    <s v="OP BOX "/>
    <n v="22680"/>
  </r>
  <r>
    <s v="Facture comptabilisée"/>
    <m/>
    <x v="0"/>
    <x v="488"/>
    <s v="02/2020 REC JAC"/>
    <d v="2020-07-10T00:00:00"/>
    <s v="300301"/>
    <s v="RECOING &amp; JACQUETY"/>
    <n v="472.5"/>
  </r>
  <r>
    <s v="Facture comptabilisée"/>
    <m/>
    <x v="0"/>
    <x v="489"/>
    <s v="5/1 G4 SILVER"/>
    <d v="2020-07-11T00:00:00"/>
    <s v="300064"/>
    <s v="SONOCO Métal Packaging Maroc"/>
    <n v="95940"/>
  </r>
  <r>
    <s v="Facture comptabilisée"/>
    <m/>
    <x v="0"/>
    <x v="490"/>
    <s v="5/1 G4 SILVER"/>
    <d v="2020-07-11T00:00:00"/>
    <s v="300064"/>
    <s v="SONOCO Métal Packaging Maroc"/>
    <n v="95940"/>
  </r>
  <r>
    <s v="Facture comptabilisée"/>
    <m/>
    <x v="0"/>
    <x v="491"/>
    <s v="RO85"/>
    <d v="2020-07-13T00:00:00"/>
    <s v="300115"/>
    <s v="AUXILIAR CONSERVERA SA"/>
    <n v="283950.61200000002"/>
  </r>
  <r>
    <s v="Facture comptabilisée"/>
    <m/>
    <x v="0"/>
    <x v="492"/>
    <s v="JIL PACK*DOHA"/>
    <d v="2020-07-13T00:00:00"/>
    <s v="300115"/>
    <s v="AUXILIAR CONSERVERA SA"/>
    <n v="283950.61200000002"/>
  </r>
  <r>
    <s v="Facture comptabilisée"/>
    <m/>
    <x v="0"/>
    <x v="493"/>
    <s v="2300ML B"/>
    <d v="2020-07-13T00:00:00"/>
    <s v="300133"/>
    <s v="OP BOX "/>
    <n v="17640"/>
  </r>
  <r>
    <s v="Facture comptabilisée"/>
    <m/>
    <x v="0"/>
    <x v="494"/>
    <s v="3.8 AM B"/>
    <d v="2020-07-13T00:00:00"/>
    <s v="300133"/>
    <s v="OP BOX "/>
    <n v="5940"/>
  </r>
  <r>
    <s v="Facture comptabilisée"/>
    <m/>
    <x v="0"/>
    <x v="495"/>
    <s v="107/2020"/>
    <d v="2020-07-14T00:00:00"/>
    <s v="300043"/>
    <s v="DOUANE"/>
    <n v="2087"/>
  </r>
  <r>
    <s v="Facture comptabilisée"/>
    <m/>
    <x v="0"/>
    <x v="496"/>
    <s v="107/2020"/>
    <d v="2020-07-14T00:00:00"/>
    <s v="300101"/>
    <s v="ASMAE FORWARDING EXPRESS"/>
    <n v="3832.96"/>
  </r>
  <r>
    <s v="Facture comptabilisée"/>
    <m/>
    <x v="0"/>
    <x v="497"/>
    <s v="2K500"/>
    <d v="2020-07-15T00:00:00"/>
    <s v="300064"/>
    <s v="SONOCO Métal Packaging Maroc"/>
    <n v="29360"/>
  </r>
  <r>
    <s v="Facture comptabilisée"/>
    <m/>
    <x v="0"/>
    <x v="498"/>
    <s v="D70"/>
    <d v="2020-07-15T00:00:00"/>
    <s v="300080"/>
    <s v="MASSILLY"/>
    <n v="13824"/>
  </r>
  <r>
    <s v="Facture comptabilisée"/>
    <m/>
    <x v="0"/>
    <x v="499"/>
    <s v="NEW PEPPERS"/>
    <d v="2020-07-15T00:00:00"/>
    <s v="300115"/>
    <s v="AUXILIAR CONSERVERA SA"/>
    <n v="82908.87"/>
  </r>
  <r>
    <s v="Facture comptabilisée"/>
    <m/>
    <x v="0"/>
    <x v="500"/>
    <s v="NEW PEPPERS"/>
    <d v="2020-07-15T00:00:00"/>
    <s v="300115"/>
    <s v="AUXILIAR CONSERVERA SA"/>
    <n v="81920.926999999996"/>
  </r>
  <r>
    <s v="Facture comptabilisée"/>
    <m/>
    <x v="0"/>
    <x v="501"/>
    <s v="2300 ML"/>
    <d v="2020-07-15T00:00:00"/>
    <s v="300133"/>
    <s v="OP BOX "/>
    <n v="10080"/>
  </r>
  <r>
    <s v="Facture comptabilisée"/>
    <m/>
    <x v="0"/>
    <x v="502"/>
    <s v="108/2020"/>
    <d v="2020-07-16T00:00:00"/>
    <s v="300043"/>
    <s v="DOUANE"/>
    <n v="1099"/>
  </r>
  <r>
    <s v="Facture comptabilisée"/>
    <m/>
    <x v="0"/>
    <x v="503"/>
    <s v="112/2020"/>
    <d v="2020-07-16T00:00:00"/>
    <s v="300043"/>
    <s v="DOUANE"/>
    <n v="1921"/>
  </r>
  <r>
    <s v="Facture comptabilisée"/>
    <m/>
    <x v="0"/>
    <x v="504"/>
    <s v="108/2020"/>
    <d v="2020-07-16T00:00:00"/>
    <s v="300101"/>
    <s v="ASMAE FORWARDING EXPRESS"/>
    <n v="4014.62"/>
  </r>
  <r>
    <s v="Facture comptabilisée"/>
    <m/>
    <x v="0"/>
    <x v="505"/>
    <s v="112/2020"/>
    <d v="2020-07-16T00:00:00"/>
    <s v="300101"/>
    <s v="ASMAE FORWARDING EXPRESS"/>
    <n v="4160.87"/>
  </r>
  <r>
    <s v="Facture comptabilisée"/>
    <m/>
    <x v="0"/>
    <x v="506"/>
    <s v="280ML"/>
    <d v="2020-07-16T00:00:00"/>
    <s v="300133"/>
    <s v="OP BOX "/>
    <n v="30672"/>
  </r>
  <r>
    <s v="Facture comptabilisée"/>
    <m/>
    <x v="0"/>
    <x v="507"/>
    <s v="110/2020"/>
    <d v="2020-07-17T00:00:00"/>
    <s v="300043"/>
    <s v="DOUANE"/>
    <n v="1146"/>
  </r>
  <r>
    <s v="Facture comptabilisée"/>
    <m/>
    <x v="0"/>
    <x v="508"/>
    <s v="111/2020"/>
    <d v="2020-07-17T00:00:00"/>
    <s v="300043"/>
    <s v="DOUANE"/>
    <n v="1144"/>
  </r>
  <r>
    <s v="Facture comptabilisée"/>
    <m/>
    <x v="0"/>
    <x v="509"/>
    <s v="114/2020"/>
    <d v="2020-07-17T00:00:00"/>
    <s v="300043"/>
    <s v="DOUANE"/>
    <n v="451"/>
  </r>
  <r>
    <s v="Facture comptabilisée"/>
    <m/>
    <x v="0"/>
    <x v="510"/>
    <s v="108/2020"/>
    <d v="2020-07-17T00:00:00"/>
    <s v="300101"/>
    <s v="ASMAE FORWARDING EXPRESS"/>
    <n v="159.28"/>
  </r>
  <r>
    <s v="Facture comptabilisée"/>
    <m/>
    <x v="0"/>
    <x v="511"/>
    <s v="110/2020"/>
    <d v="2020-07-17T00:00:00"/>
    <s v="300101"/>
    <s v="ASMAE FORWARDING EXPRESS"/>
    <n v="3360.89"/>
  </r>
  <r>
    <s v="Facture comptabilisée"/>
    <m/>
    <x v="0"/>
    <x v="512"/>
    <s v="111/2020"/>
    <d v="2020-07-17T00:00:00"/>
    <s v="300101"/>
    <s v="ASMAE FORWARDING EXPRESS"/>
    <n v="3201.61"/>
  </r>
  <r>
    <s v="Facture comptabilisée"/>
    <m/>
    <x v="0"/>
    <x v="513"/>
    <s v="114/2020"/>
    <d v="2020-07-17T00:00:00"/>
    <s v="300101"/>
    <s v="ASMAE FORWARDING EXPRESS"/>
    <n v="4180.12"/>
  </r>
  <r>
    <s v="Facture comptabilisée"/>
    <m/>
    <x v="0"/>
    <x v="514"/>
    <s v="2KG5"/>
    <d v="2020-07-20T00:00:00"/>
    <s v="300064"/>
    <s v="SONOCO Métal Packaging Maroc"/>
    <n v="29360"/>
  </r>
  <r>
    <s v="Facture comptabilisée"/>
    <m/>
    <x v="0"/>
    <x v="515"/>
    <s v="MFI"/>
    <d v="2020-07-20T00:00:00"/>
    <s v="300115"/>
    <s v="AUXILIAR CONSERVERA SA"/>
    <n v="105673.656"/>
  </r>
  <r>
    <s v="Facture comptabilisée"/>
    <m/>
    <x v="0"/>
    <x v="516"/>
    <s v="109/2020"/>
    <d v="2020-07-21T00:00:00"/>
    <s v="300043"/>
    <s v="DOUANE"/>
    <n v="437"/>
  </r>
  <r>
    <s v="Facture comptabilisée"/>
    <m/>
    <x v="0"/>
    <x v="517"/>
    <s v="AVC20-00899"/>
    <d v="2020-07-21T00:00:00"/>
    <s v="300064"/>
    <s v="SONOCO Métal Packaging Maroc"/>
    <n v="54560"/>
  </r>
  <r>
    <s v="Facture comptabilisée"/>
    <m/>
    <x v="0"/>
    <x v="518"/>
    <s v="AVC20-00900"/>
    <d v="2020-07-21T00:00:00"/>
    <s v="300064"/>
    <s v="SONOCO Métal Packaging Maroc"/>
    <n v="65120"/>
  </r>
  <r>
    <s v="Facture comptabilisée"/>
    <m/>
    <x v="0"/>
    <x v="519"/>
    <s v="5L RECT"/>
    <d v="2020-07-21T00:00:00"/>
    <s v="300092"/>
    <s v="METALSCATOLA AFRIQUE"/>
    <n v="36798.699999999997"/>
  </r>
  <r>
    <s v="Facture comptabilisée"/>
    <m/>
    <x v="0"/>
    <x v="520"/>
    <s v="109/2020"/>
    <d v="2020-07-21T00:00:00"/>
    <s v="300101"/>
    <s v="ASMAE FORWARDING EXPRESS"/>
    <n v="3840.59"/>
  </r>
  <r>
    <s v="Facture comptabilisée"/>
    <m/>
    <x v="0"/>
    <x v="521"/>
    <s v="4/4 G3"/>
    <d v="2020-07-22T00:00:00"/>
    <s v="300064"/>
    <s v="SONOCO Métal Packaging Maroc"/>
    <n v="17444.8"/>
  </r>
  <r>
    <s v="Facture comptabilisée"/>
    <m/>
    <x v="0"/>
    <x v="522"/>
    <s v="COPAG"/>
    <d v="2020-07-22T00:00:00"/>
    <s v="300115"/>
    <s v="AUXILIAR CONSERVERA SA"/>
    <n v="195427.60490000001"/>
  </r>
  <r>
    <s v="Facture comptabilisée"/>
    <m/>
    <x v="0"/>
    <x v="523"/>
    <s v="NEW PEPPERS"/>
    <d v="2020-07-22T00:00:00"/>
    <s v="300115"/>
    <s v="AUXILIAR CONSERVERA SA"/>
    <n v="82908.87"/>
  </r>
  <r>
    <s v="Facture comptabilisée"/>
    <m/>
    <x v="0"/>
    <x v="524"/>
    <s v="2300ml +1200ml"/>
    <d v="2020-07-22T00:00:00"/>
    <s v="300133"/>
    <s v="OP BOX "/>
    <n v="23208"/>
  </r>
  <r>
    <s v="Facture comptabilisée"/>
    <m/>
    <x v="0"/>
    <x v="525"/>
    <s v="3800 TRANS"/>
    <d v="2020-07-22T00:00:00"/>
    <s v="300133"/>
    <s v="OP BOX "/>
    <n v="2970"/>
  </r>
  <r>
    <s v="Facture comptabilisée"/>
    <m/>
    <x v="0"/>
    <x v="526"/>
    <s v="SOFALAC"/>
    <d v="2020-07-23T00:00:00"/>
    <s v="300092"/>
    <s v="METALSCATOLA AFRIQUE"/>
    <n v="47977.599999999999"/>
  </r>
  <r>
    <s v="Facture comptabilisée"/>
    <m/>
    <x v="0"/>
    <x v="527"/>
    <s v="113/2020"/>
    <d v="2020-07-24T00:00:00"/>
    <s v="300043"/>
    <s v="DOUANE"/>
    <n v="531"/>
  </r>
  <r>
    <s v="Facture comptabilisée"/>
    <m/>
    <x v="0"/>
    <x v="528"/>
    <s v="113/2020"/>
    <d v="2020-07-24T00:00:00"/>
    <s v="300101"/>
    <s v="ASMAE FORWARDING EXPRESS"/>
    <n v="3519.49"/>
  </r>
  <r>
    <s v="Facture comptabilisée"/>
    <m/>
    <x v="0"/>
    <x v="529"/>
    <s v="115/2020"/>
    <d v="2020-07-27T00:00:00"/>
    <s v="300043"/>
    <s v="DOUANE"/>
    <n v="1041"/>
  </r>
  <r>
    <s v="Facture comptabilisée"/>
    <m/>
    <x v="0"/>
    <x v="530"/>
    <s v="116/2020"/>
    <d v="2020-07-27T00:00:00"/>
    <s v="300043"/>
    <s v="DOUANE"/>
    <n v="813"/>
  </r>
  <r>
    <s v="Facture comptabilisée"/>
    <m/>
    <x v="0"/>
    <x v="531"/>
    <s v="AVC20-00928"/>
    <d v="2020-07-27T00:00:00"/>
    <s v="300064"/>
    <s v="SONOCO Métal Packaging Maroc"/>
    <n v="11840"/>
  </r>
  <r>
    <s v="Facture comptabilisée"/>
    <m/>
    <x v="0"/>
    <x v="532"/>
    <s v="4/4 G3"/>
    <d v="2020-07-27T00:00:00"/>
    <s v="300064"/>
    <s v="SONOCO Métal Packaging Maroc"/>
    <n v="122433.60000000001"/>
  </r>
  <r>
    <s v="Facture comptabilisée"/>
    <m/>
    <x v="0"/>
    <x v="533"/>
    <s v="100/2020"/>
    <d v="2020-07-27T00:00:00"/>
    <s v="300101"/>
    <s v="ASMAE FORWARDING EXPRESS"/>
    <n v="181.48"/>
  </r>
  <r>
    <s v="Facture comptabilisée"/>
    <m/>
    <x v="0"/>
    <x v="534"/>
    <s v="115/2020"/>
    <d v="2020-07-27T00:00:00"/>
    <s v="300101"/>
    <s v="ASMAE FORWARDING EXPRESS"/>
    <n v="3678.43"/>
  </r>
  <r>
    <s v="Facture comptabilisée"/>
    <m/>
    <x v="0"/>
    <x v="535"/>
    <s v="116/2020"/>
    <d v="2020-07-27T00:00:00"/>
    <s v="300101"/>
    <s v="ASMAE FORWARDING EXPRESS"/>
    <n v="3520.44"/>
  </r>
  <r>
    <s v="Facture comptabilisée"/>
    <m/>
    <x v="0"/>
    <x v="536"/>
    <s v="NEW PEPPERS"/>
    <d v="2020-08-03T00:00:00"/>
    <s v="300115"/>
    <s v="AUXILIAR CONSERVERA SA"/>
    <n v="82908.87"/>
  </r>
  <r>
    <s v="Facture comptabilisée"/>
    <m/>
    <x v="0"/>
    <x v="537"/>
    <s v="VMM 1"/>
    <d v="2020-08-03T00:00:00"/>
    <s v="300115"/>
    <s v="AUXILIAR CONSERVERA SA"/>
    <n v="271233.07199999999"/>
  </r>
  <r>
    <s v="Facture comptabilisée"/>
    <m/>
    <x v="0"/>
    <x v="538"/>
    <s v="VMM 2"/>
    <d v="2020-08-03T00:00:00"/>
    <s v="300115"/>
    <s v="AUXILIAR CONSERVERA SA"/>
    <n v="32475.861000000001"/>
  </r>
  <r>
    <s v="Facture comptabilisée"/>
    <m/>
    <x v="0"/>
    <x v="539"/>
    <s v="DINDE AL FIRDAOUS"/>
    <d v="2020-08-04T00:00:00"/>
    <s v="300115"/>
    <s v="AUXILIAR CONSERVERA SA"/>
    <n v="145111.948"/>
  </r>
  <r>
    <s v="Facture comptabilisée"/>
    <m/>
    <x v="0"/>
    <x v="540"/>
    <s v="UNIVERS FOOD"/>
    <d v="2020-08-04T00:00:00"/>
    <s v="300115"/>
    <s v="AUXILIAR CONSERVERA SA"/>
    <n v="82908.87"/>
  </r>
  <r>
    <s v="Facture comptabilisée"/>
    <m/>
    <x v="0"/>
    <x v="541"/>
    <s v="NEW PEPPERS"/>
    <d v="2020-08-04T00:00:00"/>
    <s v="300115"/>
    <s v="AUXILIAR CONSERVERA SA"/>
    <n v="82908.87"/>
  </r>
  <r>
    <s v="Facture comptabilisée"/>
    <m/>
    <x v="0"/>
    <x v="542"/>
    <s v="JIL PACK A"/>
    <d v="2020-08-04T00:00:00"/>
    <s v="300115"/>
    <s v="AUXILIAR CONSERVERA SA"/>
    <n v="284235.56699999998"/>
  </r>
  <r>
    <s v="Facture comptabilisée"/>
    <m/>
    <x v="0"/>
    <x v="543"/>
    <s v="JIL PACK A*DOHA*"/>
    <d v="2020-08-05T00:00:00"/>
    <s v="300115"/>
    <s v="AUXILIAR CONSERVERA SA"/>
    <n v="283950.61200000002"/>
  </r>
  <r>
    <s v="Facture comptabilisée"/>
    <m/>
    <x v="0"/>
    <x v="544"/>
    <s v="118/2020"/>
    <d v="2020-08-06T00:00:00"/>
    <s v="300043"/>
    <s v="DOUANE"/>
    <n v="1055"/>
  </r>
  <r>
    <s v="Facture comptabilisée"/>
    <m/>
    <x v="0"/>
    <x v="545"/>
    <s v="117/2020"/>
    <d v="2020-08-06T00:00:00"/>
    <s v="300043"/>
    <s v="DOUANE"/>
    <n v="1220"/>
  </r>
  <r>
    <s v="Facture comptabilisée"/>
    <m/>
    <x v="0"/>
    <x v="546"/>
    <s v="MIPA"/>
    <d v="2020-08-06T00:00:00"/>
    <s v="300092"/>
    <s v="METALSCATOLA AFRIQUE"/>
    <n v="58692.3"/>
  </r>
  <r>
    <s v="Facture comptabilisée"/>
    <m/>
    <x v="0"/>
    <x v="547"/>
    <s v="117/2020"/>
    <d v="2020-08-06T00:00:00"/>
    <s v="300101"/>
    <s v="ASMAE FORWARDING EXPRESS"/>
    <n v="3370.52"/>
  </r>
  <r>
    <s v="Facture comptabilisée"/>
    <m/>
    <x v="0"/>
    <x v="548"/>
    <s v="118/2020"/>
    <d v="2020-08-06T00:00:00"/>
    <s v="300101"/>
    <s v="ASMAE FORWARDING EXPRESS"/>
    <n v="3369.98"/>
  </r>
  <r>
    <s v="Facture comptabilisée"/>
    <m/>
    <x v="0"/>
    <x v="549"/>
    <s v="5/1 NU G4"/>
    <d v="2020-08-06T00:00:00"/>
    <s v="300115"/>
    <s v="AUXILIAR CONSERVERA SA"/>
    <n v="82908.87"/>
  </r>
  <r>
    <s v="Facture comptabilisée"/>
    <m/>
    <x v="0"/>
    <x v="550"/>
    <s v="120/2020"/>
    <d v="2020-08-07T00:00:00"/>
    <s v="300043"/>
    <s v="DOUANE"/>
    <n v="818"/>
  </r>
  <r>
    <s v="Facture comptabilisée"/>
    <m/>
    <x v="0"/>
    <x v="551"/>
    <s v="121/2020"/>
    <d v="2020-08-07T00:00:00"/>
    <s v="300043"/>
    <s v="DOUANE"/>
    <n v="674"/>
  </r>
  <r>
    <s v="Facture comptabilisée"/>
    <m/>
    <x v="0"/>
    <x v="552"/>
    <s v="120/2020"/>
    <d v="2020-08-07T00:00:00"/>
    <s v="300101"/>
    <s v="ASMAE FORWARDING EXPRESS"/>
    <n v="3996"/>
  </r>
  <r>
    <s v="Facture comptabilisée"/>
    <m/>
    <x v="0"/>
    <x v="553"/>
    <s v="121/2020"/>
    <d v="2020-08-07T00:00:00"/>
    <s v="300101"/>
    <s v="ASMAE FORWARDING EXPRESS"/>
    <n v="3954.96"/>
  </r>
  <r>
    <s v="Facture comptabilisée"/>
    <m/>
    <x v="0"/>
    <x v="554"/>
    <s v="119/2020"/>
    <d v="2020-08-10T00:00:00"/>
    <s v="300043"/>
    <s v="DOUANE"/>
    <n v="2276"/>
  </r>
  <r>
    <s v="Facture comptabilisée"/>
    <m/>
    <x v="0"/>
    <x v="555"/>
    <s v="119/2020"/>
    <d v="2020-08-10T00:00:00"/>
    <s v="300101"/>
    <s v="ASMAE FORWARDING EXPRESS"/>
    <n v="3482.17"/>
  </r>
  <r>
    <s v="Facture comptabilisée"/>
    <m/>
    <x v="0"/>
    <x v="556"/>
    <s v="1L RECT"/>
    <d v="2020-08-11T00:00:00"/>
    <s v="300092"/>
    <s v="METALSCATOLA AFRIQUE"/>
    <n v="2302"/>
  </r>
  <r>
    <s v="Facture comptabilisée"/>
    <m/>
    <x v="0"/>
    <x v="557"/>
    <s v="AVO20010"/>
    <d v="2020-08-11T00:00:00"/>
    <s v="300092"/>
    <s v="METALSCATOLA AFRIQUE"/>
    <n v="129"/>
  </r>
  <r>
    <s v="Facture comptabilisée"/>
    <m/>
    <x v="0"/>
    <x v="558"/>
    <s v="AVO20011"/>
    <d v="2020-08-11T00:00:00"/>
    <s v="300092"/>
    <s v="METALSCATOLA AFRIQUE"/>
    <n v="149.19999999999999"/>
  </r>
  <r>
    <s v="Facture comptabilisée"/>
    <m/>
    <x v="0"/>
    <x v="559"/>
    <s v="NEUTRE"/>
    <d v="2020-08-12T00:00:00"/>
    <s v="300064"/>
    <s v="SONOCO Métal Packaging Maroc"/>
    <n v="88250"/>
  </r>
  <r>
    <s v="Facture comptabilisée"/>
    <m/>
    <x v="0"/>
    <x v="560"/>
    <s v="22 L SOFACHIM"/>
    <d v="2020-08-12T00:00:00"/>
    <s v="300092"/>
    <s v="METALSCATOLA AFRIQUE"/>
    <n v="82309"/>
  </r>
  <r>
    <s v="Facture comptabilisée"/>
    <m/>
    <x v="0"/>
    <x v="561"/>
    <s v="SOFACHIM"/>
    <d v="2020-08-12T00:00:00"/>
    <s v="300092"/>
    <s v="METALSCATOLA AFRIQUE"/>
    <n v="29682.5"/>
  </r>
  <r>
    <s v="Facture comptabilisée"/>
    <m/>
    <x v="0"/>
    <x v="562"/>
    <s v="122/2020"/>
    <d v="2020-08-13T00:00:00"/>
    <s v="300043"/>
    <s v="DOUANE"/>
    <n v="439"/>
  </r>
  <r>
    <s v="Facture comptabilisée"/>
    <m/>
    <x v="0"/>
    <x v="563"/>
    <s v="122/2020"/>
    <d v="2020-08-13T00:00:00"/>
    <s v="300101"/>
    <s v="ASMAE FORWARDING EXPRESS"/>
    <n v="3351.74"/>
  </r>
  <r>
    <s v="Facture comptabilisée"/>
    <m/>
    <x v="0"/>
    <x v="564"/>
    <s v="123/2020"/>
    <d v="2020-08-17T00:00:00"/>
    <s v="300043"/>
    <s v="DOUANE"/>
    <n v="1109"/>
  </r>
  <r>
    <s v="Facture comptabilisée"/>
    <m/>
    <x v="0"/>
    <x v="565"/>
    <s v="SOFACHIM/OUSSOD"/>
    <d v="2020-08-17T00:00:00"/>
    <s v="300092"/>
    <s v="METALSCATOLA AFRIQUE"/>
    <n v="41743.599999999999"/>
  </r>
  <r>
    <s v="Facture comptabilisée"/>
    <m/>
    <x v="0"/>
    <x v="566"/>
    <s v="123/2020"/>
    <d v="2020-08-17T00:00:00"/>
    <s v="300101"/>
    <s v="ASMAE FORWARDING EXPRESS"/>
    <n v="4947.8999999999996"/>
  </r>
  <r>
    <s v="Facture comptabilisée"/>
    <m/>
    <x v="0"/>
    <x v="567"/>
    <s v="PLASTIQUE"/>
    <d v="2020-08-18T00:00:00"/>
    <s v="300133"/>
    <s v="OP BOX "/>
    <n v="46266"/>
  </r>
  <r>
    <s v="Facture comptabilisée"/>
    <m/>
    <x v="0"/>
    <x v="568"/>
    <s v="124/2020"/>
    <d v="2020-08-19T00:00:00"/>
    <s v="300043"/>
    <s v="DOUANE"/>
    <n v="1575"/>
  </r>
  <r>
    <s v="Facture comptabilisée"/>
    <m/>
    <x v="0"/>
    <x v="569"/>
    <s v="124/2020"/>
    <d v="2020-08-19T00:00:00"/>
    <s v="300101"/>
    <s v="ASMAE FORWARDING EXPRESS"/>
    <n v="5428.53"/>
  </r>
  <r>
    <s v="Facture comptabilisée"/>
    <m/>
    <x v="0"/>
    <x v="570"/>
    <s v="JIL PACK A*AMADIR"/>
    <d v="2020-08-24T00:00:00"/>
    <s v="300115"/>
    <s v="AUXILIAR CONSERVERA SA"/>
    <n v="15652.528399999999"/>
  </r>
  <r>
    <s v="Facture comptabilisée"/>
    <m/>
    <x v="0"/>
    <x v="571"/>
    <s v="RO85 G4"/>
    <d v="2020-08-24T00:00:00"/>
    <s v="300115"/>
    <s v="AUXILIAR CONSERVERA SA"/>
    <n v="321956.55800000002"/>
  </r>
  <r>
    <s v="Facture comptabilisée"/>
    <m/>
    <x v="0"/>
    <x v="572"/>
    <s v="UNIVERS FOOD"/>
    <d v="2020-08-25T00:00:00"/>
    <s v="300115"/>
    <s v="AUXILIAR CONSERVERA SA"/>
    <n v="80731.42"/>
  </r>
  <r>
    <s v="Facture comptabilisée"/>
    <m/>
    <x v="0"/>
    <x v="573"/>
    <s v="PLASTIQUE"/>
    <d v="2020-08-25T00:00:00"/>
    <s v="300133"/>
    <s v="OP BOX "/>
    <n v="35816"/>
  </r>
  <r>
    <s v="Facture comptabilisée"/>
    <m/>
    <x v="0"/>
    <x v="574"/>
    <s v="126/2020"/>
    <d v="2020-08-27T00:00:00"/>
    <s v="300043"/>
    <s v="DOUANE"/>
    <n v="1294"/>
  </r>
  <r>
    <s v="Facture comptabilisée"/>
    <m/>
    <x v="0"/>
    <x v="575"/>
    <s v="126/2020"/>
    <d v="2020-08-27T00:00:00"/>
    <s v="300101"/>
    <s v="ASMAE FORWARDING EXPRESS"/>
    <n v="3191.71"/>
  </r>
  <r>
    <s v="Facture comptabilisée"/>
    <m/>
    <x v="0"/>
    <x v="576"/>
    <s v="RO85 NEUTRE"/>
    <d v="2020-08-27T00:00:00"/>
    <s v="300115"/>
    <s v="AUXILIAR CONSERVERA SA"/>
    <n v="290803.61200000002"/>
  </r>
  <r>
    <s v="Facture comptabilisée"/>
    <m/>
    <x v="0"/>
    <x v="577"/>
    <s v="3800 ML"/>
    <d v="2020-08-27T00:00:00"/>
    <s v="300133"/>
    <s v="OP BOX "/>
    <n v="11880"/>
  </r>
  <r>
    <s v="Facture comptabilisée"/>
    <m/>
    <x v="0"/>
    <x v="578"/>
    <s v="127/2020"/>
    <d v="2020-08-28T00:00:00"/>
    <s v="300043"/>
    <s v="DOUANE"/>
    <n v="492"/>
  </r>
  <r>
    <s v="Facture comptabilisée"/>
    <m/>
    <x v="0"/>
    <x v="579"/>
    <s v="2K500"/>
    <d v="2020-08-28T00:00:00"/>
    <s v="300064"/>
    <s v="SONOCO Métal Packaging Maroc"/>
    <n v="29360"/>
  </r>
  <r>
    <s v="Facture comptabilisée"/>
    <m/>
    <x v="0"/>
    <x v="580"/>
    <s v="1/2 HAUT"/>
    <d v="2020-08-28T00:00:00"/>
    <s v="300080"/>
    <s v="MASSILLY"/>
    <n v="64800"/>
  </r>
  <r>
    <s v="Facture comptabilisée"/>
    <m/>
    <x v="0"/>
    <x v="581"/>
    <s v="127/2020"/>
    <d v="2020-08-28T00:00:00"/>
    <s v="300101"/>
    <s v="ASMAE FORWARDING EXPRESS"/>
    <n v="3348.87"/>
  </r>
  <r>
    <s v="Facture comptabilisée"/>
    <m/>
    <x v="0"/>
    <x v="582"/>
    <s v="1700 al firdaouss"/>
    <d v="2020-08-28T00:00:00"/>
    <s v="300115"/>
    <s v="AUXILIAR CONSERVERA SA"/>
    <n v="145109.14000000001"/>
  </r>
  <r>
    <s v="Facture comptabilisée"/>
    <m/>
    <x v="0"/>
    <x v="583"/>
    <s v="JIL PACK*1*"/>
    <d v="2020-08-28T00:00:00"/>
    <s v="300115"/>
    <s v="AUXILIAR CONSERVERA SA"/>
    <n v="124864.113"/>
  </r>
  <r>
    <s v="Facture comptabilisée"/>
    <m/>
    <x v="0"/>
    <x v="584"/>
    <s v="LOGI FOOD*2*"/>
    <d v="2020-08-28T00:00:00"/>
    <s v="300115"/>
    <s v="AUXILIAR CONSERVERA SA"/>
    <n v="137368.82610000001"/>
  </r>
  <r>
    <s v="Facture comptabilisée"/>
    <m/>
    <x v="0"/>
    <x v="585"/>
    <s v="10L"/>
    <d v="2020-08-28T00:00:00"/>
    <s v="300133"/>
    <s v="OP BOX "/>
    <n v="10660"/>
  </r>
  <r>
    <s v="Facture comptabilisée"/>
    <m/>
    <x v="0"/>
    <x v="586"/>
    <s v="LCDC"/>
    <d v="2020-08-29T00:00:00"/>
    <s v="300092"/>
    <s v="METALSCATOLA AFRIQUE"/>
    <n v="73615"/>
  </r>
  <r>
    <s v="Facture comptabilisée"/>
    <m/>
    <x v="0"/>
    <x v="587"/>
    <s v="125/2020"/>
    <d v="2020-08-31T00:00:00"/>
    <s v="300043"/>
    <s v="DOUANE"/>
    <n v="645"/>
  </r>
  <r>
    <s v="Facture comptabilisée"/>
    <m/>
    <x v="0"/>
    <x v="588"/>
    <s v="1/2 H"/>
    <d v="2020-08-31T00:00:00"/>
    <s v="300080"/>
    <s v="MASSILLY"/>
    <n v="31104"/>
  </r>
  <r>
    <s v="Facture comptabilisée"/>
    <m/>
    <x v="0"/>
    <x v="589"/>
    <s v="108*131"/>
    <d v="2020-08-31T00:00:00"/>
    <s v="300092"/>
    <s v="METALSCATOLA AFRIQUE"/>
    <n v="10440"/>
  </r>
  <r>
    <s v="Facture comptabilisée"/>
    <m/>
    <x v="0"/>
    <x v="590"/>
    <s v="125/2020"/>
    <d v="2020-08-31T00:00:00"/>
    <s v="300101"/>
    <s v="ASMAE FORWARDING EXPRESS"/>
    <n v="3351.4"/>
  </r>
  <r>
    <s v="Facture comptabilisée"/>
    <m/>
    <x v="0"/>
    <x v="591"/>
    <s v="128/2020"/>
    <d v="2020-09-01T00:00:00"/>
    <s v="300043"/>
    <s v="DOUANE"/>
    <n v="2475"/>
  </r>
  <r>
    <s v="Facture comptabilisée"/>
    <m/>
    <x v="0"/>
    <x v="592"/>
    <s v="128/2020"/>
    <d v="2020-09-01T00:00:00"/>
    <s v="300101"/>
    <s v="ASMAE FORWARDING EXPRESS"/>
    <n v="3669.73"/>
  </r>
  <r>
    <s v="Facture comptabilisée"/>
    <m/>
    <x v="0"/>
    <x v="593"/>
    <s v="PLASTIQUE"/>
    <d v="2020-09-01T00:00:00"/>
    <s v="300133"/>
    <s v="OP BOX "/>
    <n v="20652"/>
  </r>
  <r>
    <s v="Facture comptabilisée"/>
    <m/>
    <x v="0"/>
    <x v="594"/>
    <s v="130/2020"/>
    <d v="2020-09-02T00:00:00"/>
    <s v="300043"/>
    <s v="DOUANE"/>
    <n v="1036"/>
  </r>
  <r>
    <s v="Facture comptabilisée"/>
    <m/>
    <x v="0"/>
    <x v="595"/>
    <s v="1kg700 LOGI"/>
    <d v="2020-09-02T00:00:00"/>
    <s v="300064"/>
    <s v="SONOCO Métal Packaging Maroc"/>
    <n v="57376"/>
  </r>
  <r>
    <s v="Facture comptabilisée"/>
    <m/>
    <x v="0"/>
    <x v="596"/>
    <s v="130/2020"/>
    <d v="2020-09-02T00:00:00"/>
    <s v="300101"/>
    <s v="ASMAE FORWARDING EXPRESS"/>
    <n v="3352.69"/>
  </r>
  <r>
    <s v="Facture comptabilisée"/>
    <m/>
    <x v="0"/>
    <x v="597"/>
    <s v="COPAG VIANDES"/>
    <d v="2020-09-02T00:00:00"/>
    <s v="300115"/>
    <s v="AUXILIAR CONSERVERA SA"/>
    <n v="140969.22399999999"/>
  </r>
  <r>
    <s v="Facture comptabilisée"/>
    <m/>
    <x v="0"/>
    <x v="598"/>
    <s v="SILVER FOOD"/>
    <d v="2020-09-03T00:00:00"/>
    <s v="300115"/>
    <s v="AUXILIAR CONSERVERA SA"/>
    <n v="190426.88279999999"/>
  </r>
  <r>
    <s v="Facture comptabilisée"/>
    <m/>
    <x v="0"/>
    <x v="599"/>
    <s v="MIPA + 109X99"/>
    <d v="2020-09-04T00:00:00"/>
    <s v="300092"/>
    <s v="METALSCATOLA AFRIQUE"/>
    <n v="60986.1"/>
  </r>
  <r>
    <s v="Facture comptabilisée"/>
    <m/>
    <x v="0"/>
    <x v="600"/>
    <s v="RO85 NEUTRE"/>
    <d v="2020-09-04T00:00:00"/>
    <s v="300115"/>
    <s v="AUXILIAR CONSERVERA SA"/>
    <n v="283948.79700000002"/>
  </r>
  <r>
    <s v="Facture comptabilisée"/>
    <m/>
    <x v="0"/>
    <x v="601"/>
    <s v="129/2020"/>
    <d v="2020-09-07T00:00:00"/>
    <s v="300043"/>
    <s v="DOUANE"/>
    <n v="794"/>
  </r>
  <r>
    <s v="Facture comptabilisée"/>
    <m/>
    <x v="0"/>
    <x v="602"/>
    <s v="1kg700 "/>
    <d v="2020-09-07T00:00:00"/>
    <s v="300064"/>
    <s v="SONOCO Métal Packaging Maroc"/>
    <n v="47728.7"/>
  </r>
  <r>
    <s v="Facture comptabilisée"/>
    <m/>
    <x v="0"/>
    <x v="603"/>
    <s v="129/2020"/>
    <d v="2020-09-07T00:00:00"/>
    <s v="300101"/>
    <s v="ASMAE FORWARDING EXPRESS"/>
    <n v="3348.37"/>
  </r>
  <r>
    <s v="Facture comptabilisée"/>
    <m/>
    <x v="0"/>
    <x v="604"/>
    <s v="NEW PEPPERS"/>
    <d v="2020-09-07T00:00:00"/>
    <s v="300115"/>
    <s v="AUXILIAR CONSERVERA SA"/>
    <n v="82908.87"/>
  </r>
  <r>
    <s v="Facture comptabilisée"/>
    <m/>
    <x v="0"/>
    <x v="605"/>
    <s v="4/4 OVD"/>
    <d v="2020-09-07T00:00:00"/>
    <s v="300115"/>
    <s v="AUXILIAR CONSERVERA SA"/>
    <n v="150602.1"/>
  </r>
  <r>
    <s v="Facture comptabilisée"/>
    <m/>
    <x v="0"/>
    <x v="606"/>
    <s v="138/2020"/>
    <d v="2020-09-08T00:00:00"/>
    <s v="300043"/>
    <s v="DOUANE"/>
    <n v="641"/>
  </r>
  <r>
    <s v="Facture comptabilisée"/>
    <m/>
    <x v="0"/>
    <x v="607"/>
    <s v="133/2020"/>
    <d v="2020-09-08T00:00:00"/>
    <s v="300043"/>
    <s v="DOUANE"/>
    <n v="1104"/>
  </r>
  <r>
    <s v="Facture comptabilisée"/>
    <m/>
    <x v="0"/>
    <x v="608"/>
    <s v="MIPA"/>
    <d v="2020-09-08T00:00:00"/>
    <s v="300092"/>
    <s v="METALSCATOLA AFRIQUE"/>
    <n v="19675.349999999999"/>
  </r>
  <r>
    <s v="Facture comptabilisée"/>
    <m/>
    <x v="0"/>
    <x v="609"/>
    <s v="133/2020"/>
    <d v="2020-09-08T00:00:00"/>
    <s v="300101"/>
    <s v="ASMAE FORWARDING EXPRESS"/>
    <n v="3498.19"/>
  </r>
  <r>
    <s v="Facture comptabilisée"/>
    <m/>
    <x v="0"/>
    <x v="610"/>
    <s v="138/2020"/>
    <d v="2020-09-08T00:00:00"/>
    <s v="300101"/>
    <s v="ASMAE FORWARDING EXPRESS"/>
    <n v="3816.05"/>
  </r>
  <r>
    <s v="Facture comptabilisée"/>
    <m/>
    <x v="0"/>
    <x v="611"/>
    <s v="NEW PEPPERS"/>
    <d v="2020-09-08T00:00:00"/>
    <s v="300115"/>
    <s v="AUXILIAR CONSERVERA SA"/>
    <n v="82908.87"/>
  </r>
  <r>
    <s v="Facture comptabilisée"/>
    <m/>
    <x v="0"/>
    <x v="612"/>
    <s v="NOTAM"/>
    <d v="2020-09-08T00:00:00"/>
    <s v="300115"/>
    <s v="AUXILIAR CONSERVERA SA"/>
    <n v="203662.38639999999"/>
  </r>
  <r>
    <s v="Facture comptabilisée"/>
    <m/>
    <x v="0"/>
    <x v="613"/>
    <s v="5/1 G4 SILVER"/>
    <d v="2020-09-09T00:00:00"/>
    <s v="300064"/>
    <s v="SONOCO Métal Packaging Maroc"/>
    <n v="95940"/>
  </r>
  <r>
    <s v="Facture comptabilisée"/>
    <m/>
    <x v="0"/>
    <x v="614"/>
    <s v="4/4 SIL OF"/>
    <d v="2020-09-09T00:00:00"/>
    <s v="300115"/>
    <s v="AUXILIAR CONSERVERA SA"/>
    <n v="113655.8544"/>
  </r>
  <r>
    <s v="Facture comptabilisée"/>
    <m/>
    <x v="0"/>
    <x v="615"/>
    <s v="0020012173"/>
    <d v="2020-09-09T00:00:00"/>
    <s v="300115"/>
    <s v="AUXILIAR CONSERVERA SA"/>
    <n v="2634.5088000000001"/>
  </r>
  <r>
    <s v="Facture comptabilisée"/>
    <m/>
    <x v="0"/>
    <x v="616"/>
    <s v="135/2020"/>
    <d v="2020-09-10T00:00:00"/>
    <s v="300043"/>
    <s v="DOUANE"/>
    <n v="661"/>
  </r>
  <r>
    <s v="Facture comptabilisée"/>
    <m/>
    <x v="0"/>
    <x v="617"/>
    <s v="137/2020"/>
    <d v="2020-09-10T00:00:00"/>
    <s v="300043"/>
    <s v="DOUANE"/>
    <n v="438"/>
  </r>
  <r>
    <s v="Facture comptabilisée"/>
    <m/>
    <x v="0"/>
    <x v="618"/>
    <s v="131/2020"/>
    <d v="2020-09-10T00:00:00"/>
    <s v="300043"/>
    <s v="DOUANE"/>
    <n v="437"/>
  </r>
  <r>
    <s v="Facture comptabilisée"/>
    <m/>
    <x v="0"/>
    <x v="619"/>
    <s v="132/2020"/>
    <d v="2020-09-10T00:00:00"/>
    <s v="300043"/>
    <s v="DOUANE"/>
    <n v="835"/>
  </r>
  <r>
    <s v="Facture comptabilisée"/>
    <m/>
    <x v="0"/>
    <x v="620"/>
    <s v="131/2020"/>
    <d v="2020-09-10T00:00:00"/>
    <s v="300101"/>
    <s v="ASMAE FORWARDING EXPRESS"/>
    <n v="3812.75"/>
  </r>
  <r>
    <s v="Facture comptabilisée"/>
    <m/>
    <x v="0"/>
    <x v="621"/>
    <s v="132/2020"/>
    <d v="2020-09-10T00:00:00"/>
    <s v="300101"/>
    <s v="ASMAE FORWARDING EXPRESS"/>
    <n v="3496.17"/>
  </r>
  <r>
    <s v="Facture comptabilisée"/>
    <m/>
    <x v="0"/>
    <x v="622"/>
    <s v="135/2020"/>
    <d v="2020-09-10T00:00:00"/>
    <s v="300101"/>
    <s v="ASMAE FORWARDING EXPRESS"/>
    <n v="3179.59"/>
  </r>
  <r>
    <s v="Facture comptabilisée"/>
    <m/>
    <x v="0"/>
    <x v="623"/>
    <s v="137/2020"/>
    <d v="2020-09-10T00:00:00"/>
    <s v="300101"/>
    <s v="ASMAE FORWARDING EXPRESS"/>
    <n v="3179.59"/>
  </r>
  <r>
    <s v="Facture comptabilisée"/>
    <m/>
    <x v="0"/>
    <x v="624"/>
    <s v="YAHYA 800G"/>
    <d v="2020-09-10T00:00:00"/>
    <s v="300115"/>
    <s v="AUXILIAR CONSERVERA SA"/>
    <n v="155215.80799999999"/>
  </r>
  <r>
    <s v="Facture comptabilisée"/>
    <m/>
    <x v="0"/>
    <x v="625"/>
    <s v="1KG700 AL MARAI"/>
    <d v="2020-09-10T00:00:00"/>
    <s v="300115"/>
    <s v="AUXILIAR CONSERVERA SA"/>
    <n v="142786.16440000001"/>
  </r>
  <r>
    <s v="Facture comptabilisée"/>
    <m/>
    <x v="0"/>
    <x v="626"/>
    <s v="UNIVERS FOOD"/>
    <d v="2020-09-10T00:00:00"/>
    <s v="300115"/>
    <s v="AUXILIAR CONSERVERA SA"/>
    <n v="88247.372399999993"/>
  </r>
  <r>
    <s v="Facture comptabilisée"/>
    <m/>
    <x v="0"/>
    <x v="627"/>
    <s v="PLASTIQUE"/>
    <d v="2020-09-10T00:00:00"/>
    <s v="300133"/>
    <s v="OP BOX "/>
    <n v="10375.200000000001"/>
  </r>
  <r>
    <s v="Facture comptabilisée"/>
    <m/>
    <x v="0"/>
    <x v="628"/>
    <s v="134/2020"/>
    <d v="2020-09-11T00:00:00"/>
    <s v="300043"/>
    <s v="DOUANE"/>
    <n v="539"/>
  </r>
  <r>
    <s v="Facture comptabilisée"/>
    <m/>
    <x v="0"/>
    <x v="629"/>
    <s v="134/2020"/>
    <d v="2020-09-11T00:00:00"/>
    <s v="300101"/>
    <s v="ASMAE FORWARDING EXPRESS"/>
    <n v="3183.7"/>
  </r>
  <r>
    <s v="Facture comptabilisée"/>
    <m/>
    <x v="0"/>
    <x v="630"/>
    <s v="RO85 NEUTRE"/>
    <d v="2020-09-11T00:00:00"/>
    <s v="300115"/>
    <s v="AUXILIAR CONSERVERA SA"/>
    <n v="283948.79700000002"/>
  </r>
  <r>
    <s v="Facture comptabilisée"/>
    <m/>
    <x v="0"/>
    <x v="631"/>
    <s v="2300 TRS"/>
    <d v="2020-09-11T00:00:00"/>
    <s v="300133"/>
    <s v="OP BOX "/>
    <n v="11646"/>
  </r>
  <r>
    <s v="Facture comptabilisée"/>
    <m/>
    <x v="0"/>
    <x v="632"/>
    <s v="139/2020"/>
    <d v="2020-09-14T00:00:00"/>
    <s v="300043"/>
    <s v="DOUANE"/>
    <n v="455"/>
  </r>
  <r>
    <s v="Facture comptabilisée"/>
    <m/>
    <x v="0"/>
    <x v="633"/>
    <s v="5KG TRONC"/>
    <d v="2020-09-14T00:00:00"/>
    <s v="300093"/>
    <s v="AVEZ SAS"/>
    <n v="162635.5258"/>
  </r>
  <r>
    <s v="Facture comptabilisée"/>
    <m/>
    <x v="0"/>
    <x v="634"/>
    <s v="139/2020"/>
    <d v="2020-09-14T00:00:00"/>
    <s v="300101"/>
    <s v="ASMAE FORWARDING EXPRESS"/>
    <n v="3469.13"/>
  </r>
  <r>
    <s v="Facture comptabilisée"/>
    <m/>
    <x v="0"/>
    <x v="635"/>
    <s v="NEW PEPPERS"/>
    <d v="2020-09-14T00:00:00"/>
    <s v="300115"/>
    <s v="AUXILIAR CONSERVERA SA"/>
    <n v="82908.87"/>
  </r>
  <r>
    <s v="Facture comptabilisée"/>
    <m/>
    <x v="0"/>
    <x v="636"/>
    <s v="YAHYA 800G"/>
    <d v="2020-09-14T00:00:00"/>
    <s v="300115"/>
    <s v="AUXILIAR CONSERVERA SA"/>
    <n v="155731.7916"/>
  </r>
  <r>
    <s v="Facture comptabilisée"/>
    <m/>
    <x v="0"/>
    <x v="637"/>
    <s v="136/2020"/>
    <d v="2020-09-15T00:00:00"/>
    <s v="300043"/>
    <s v="DOUANE"/>
    <n v="635"/>
  </r>
  <r>
    <s v="Facture comptabilisée"/>
    <m/>
    <x v="0"/>
    <x v="638"/>
    <s v="4/4 G3"/>
    <d v="2020-09-15T00:00:00"/>
    <s v="300080"/>
    <s v="MASSILLY"/>
    <n v="195374.36799999999"/>
  </r>
  <r>
    <s v="Facture comptabilisée"/>
    <m/>
    <x v="0"/>
    <x v="639"/>
    <s v="136/2020"/>
    <d v="2020-09-15T00:00:00"/>
    <s v="300101"/>
    <s v="ASMAE FORWARDING EXPRESS"/>
    <n v="3507.3"/>
  </r>
  <r>
    <s v="Facture comptabilisée"/>
    <m/>
    <x v="0"/>
    <x v="640"/>
    <s v="141/2020"/>
    <d v="2020-09-16T00:00:00"/>
    <s v="300043"/>
    <s v="DOUANE"/>
    <n v="677"/>
  </r>
  <r>
    <s v="Facture comptabilisée"/>
    <m/>
    <x v="0"/>
    <x v="641"/>
    <s v="AVC20-01150"/>
    <d v="2020-09-16T00:00:00"/>
    <s v="300064"/>
    <s v="SONOCO Métal Packaging Maroc"/>
    <n v="25680"/>
  </r>
  <r>
    <s v="Facture comptabilisée"/>
    <m/>
    <x v="0"/>
    <x v="642"/>
    <s v="D73"/>
    <d v="2020-09-16T00:00:00"/>
    <s v="300080"/>
    <s v="MASSILLY"/>
    <n v="20736"/>
  </r>
  <r>
    <s v="Facture comptabilisée"/>
    <m/>
    <x v="0"/>
    <x v="643"/>
    <s v="1/2 H ET RO85"/>
    <d v="2020-09-16T00:00:00"/>
    <s v="300080"/>
    <s v="MASSILLY"/>
    <n v="202824"/>
  </r>
  <r>
    <s v="Facture comptabilisée"/>
    <m/>
    <x v="0"/>
    <x v="644"/>
    <s v="141/2020"/>
    <d v="2020-09-16T00:00:00"/>
    <s v="300101"/>
    <s v="ASMAE FORWARDING EXPRESS"/>
    <n v="3668.49"/>
  </r>
  <r>
    <s v="Facture comptabilisée"/>
    <m/>
    <x v="0"/>
    <x v="645"/>
    <s v="142/2020"/>
    <d v="2020-09-17T00:00:00"/>
    <s v="300043"/>
    <s v="DOUANE"/>
    <n v="1108"/>
  </r>
  <r>
    <s v="Facture comptabilisée"/>
    <m/>
    <x v="0"/>
    <x v="646"/>
    <s v="140/2020"/>
    <d v="2020-09-17T00:00:00"/>
    <s v="300043"/>
    <s v="DOUANE"/>
    <n v="440"/>
  </r>
  <r>
    <s v="Facture comptabilisée"/>
    <m/>
    <x v="0"/>
    <x v="647"/>
    <s v="143/2020"/>
    <d v="2020-09-17T00:00:00"/>
    <s v="300043"/>
    <s v="DOUANE"/>
    <n v="682"/>
  </r>
  <r>
    <s v="Facture comptabilisée"/>
    <m/>
    <x v="0"/>
    <x v="648"/>
    <s v="140/2020"/>
    <d v="2020-09-17T00:00:00"/>
    <s v="300101"/>
    <s v="ASMAE FORWARDING EXPRESS"/>
    <n v="3360.82"/>
  </r>
  <r>
    <s v="Facture comptabilisée"/>
    <m/>
    <x v="0"/>
    <x v="649"/>
    <s v="142/2020"/>
    <d v="2020-09-17T00:00:00"/>
    <s v="300101"/>
    <s v="ASMAE FORWARDING EXPRESS"/>
    <n v="3360.82"/>
  </r>
  <r>
    <s v="Facture comptabilisée"/>
    <m/>
    <x v="0"/>
    <x v="650"/>
    <s v="143/2020"/>
    <d v="2020-09-17T00:00:00"/>
    <s v="300101"/>
    <s v="ASMAE FORWARDING EXPRESS"/>
    <n v="3839.39"/>
  </r>
  <r>
    <s v="Facture comptabilisée"/>
    <m/>
    <x v="0"/>
    <x v="651"/>
    <s v="2K5"/>
    <d v="2020-09-18T00:00:00"/>
    <s v="300064"/>
    <s v="SONOCO Métal Packaging Maroc"/>
    <n v="120110"/>
  </r>
  <r>
    <s v="Facture comptabilisée"/>
    <m/>
    <x v="0"/>
    <x v="652"/>
    <s v="1/4 CLUB"/>
    <d v="2020-09-18T00:00:00"/>
    <s v="300064"/>
    <s v="SONOCO Métal Packaging Maroc"/>
    <n v="10386.1"/>
  </r>
  <r>
    <s v="Facture comptabilisée"/>
    <m/>
    <x v="0"/>
    <x v="653"/>
    <s v="PLASTIQUE"/>
    <d v="2020-09-21T00:00:00"/>
    <s v="300133"/>
    <s v="OP BOX "/>
    <n v="45123"/>
  </r>
  <r>
    <s v="Facture comptabilisée"/>
    <m/>
    <x v="0"/>
    <x v="654"/>
    <s v="JIL PACK*VMM*PPT"/>
    <d v="2020-09-22T00:00:00"/>
    <s v="300115"/>
    <s v="AUXILIAR CONSERVERA SA"/>
    <n v="275583.429"/>
  </r>
  <r>
    <s v="Facture comptabilisée"/>
    <m/>
    <x v="0"/>
    <x v="655"/>
    <s v="2300ML"/>
    <d v="2020-09-22T00:00:00"/>
    <s v="300133"/>
    <s v="OP BOX "/>
    <n v="61020"/>
  </r>
  <r>
    <s v="Facture comptabilisée"/>
    <m/>
    <x v="0"/>
    <x v="656"/>
    <d v="2026-01-05T00:00:00"/>
    <d v="2020-09-24T00:00:00"/>
    <s v="300064"/>
    <s v="SONOCO Métal Packaging Maroc"/>
    <n v="95940"/>
  </r>
  <r>
    <s v="Facture comptabilisée"/>
    <m/>
    <x v="0"/>
    <x v="657"/>
    <s v="YAHYA 800G"/>
    <d v="2020-09-24T00:00:00"/>
    <s v="300115"/>
    <s v="AUXILIAR CONSERVERA SA"/>
    <n v="145109.14000000001"/>
  </r>
  <r>
    <s v="Facture comptabilisée"/>
    <m/>
    <x v="0"/>
    <x v="658"/>
    <s v="145/2020"/>
    <d v="2020-09-25T00:00:00"/>
    <s v="300043"/>
    <s v="DOUANE"/>
    <n v="1081"/>
  </r>
  <r>
    <s v="Facture comptabilisée"/>
    <m/>
    <x v="0"/>
    <x v="659"/>
    <s v="11/2020 REC JAC"/>
    <d v="2020-09-25T00:00:00"/>
    <s v="300087"/>
    <s v="WEC LINES"/>
    <n v="4183.7299999999996"/>
  </r>
  <r>
    <s v="Facture comptabilisée"/>
    <m/>
    <x v="0"/>
    <x v="660"/>
    <s v="145/2020"/>
    <d v="2020-09-25T00:00:00"/>
    <s v="300101"/>
    <s v="ASMAE FORWARDING EXPRESS"/>
    <n v="3333.2"/>
  </r>
  <r>
    <s v="Facture comptabilisée"/>
    <m/>
    <x v="0"/>
    <x v="661"/>
    <s v="NEW PEPPERS"/>
    <d v="2020-09-25T00:00:00"/>
    <s v="300115"/>
    <s v="AUXILIAR CONSERVERA SA"/>
    <n v="82908.87"/>
  </r>
  <r>
    <s v="Facture comptabilisée"/>
    <m/>
    <x v="0"/>
    <x v="662"/>
    <s v="3800/18L ROUGE"/>
    <d v="2020-09-25T00:00:00"/>
    <s v="300133"/>
    <s v="OP BOX "/>
    <n v="16319.64"/>
  </r>
  <r>
    <s v="Facture comptabilisée"/>
    <m/>
    <x v="0"/>
    <x v="663"/>
    <s v="COPROCHIM ET OUSS"/>
    <d v="2020-09-26T00:00:00"/>
    <s v="300092"/>
    <s v="METALSCATOLA AFRIQUE"/>
    <n v="36683.9"/>
  </r>
  <r>
    <s v="Facture comptabilisée"/>
    <m/>
    <x v="0"/>
    <x v="664"/>
    <s v="146/2020"/>
    <d v="2020-09-28T00:00:00"/>
    <s v="300101"/>
    <s v="ASMAE FORWARDING EXPRESS"/>
    <n v="3806.95"/>
  </r>
  <r>
    <s v="Facture comptabilisée"/>
    <m/>
    <x v="0"/>
    <x v="665"/>
    <s v="141/2020"/>
    <d v="2020-09-28T00:00:00"/>
    <s v="300101"/>
    <s v="ASMAE FORWARDING EXPRESS"/>
    <n v="181.09"/>
  </r>
  <r>
    <s v="Facture comptabilisée"/>
    <m/>
    <x v="0"/>
    <x v="666"/>
    <s v="144/2020"/>
    <d v="2020-09-29T00:00:00"/>
    <s v="300043"/>
    <s v="DOUANE"/>
    <n v="436"/>
  </r>
  <r>
    <s v="Facture comptabilisée"/>
    <m/>
    <x v="0"/>
    <x v="667"/>
    <s v="146/2020"/>
    <d v="2020-09-29T00:00:00"/>
    <s v="300043"/>
    <s v="DOUANE"/>
    <n v="641"/>
  </r>
  <r>
    <s v="Facture comptabilisée"/>
    <m/>
    <x v="0"/>
    <x v="668"/>
    <s v="144/2020"/>
    <d v="2020-09-29T00:00:00"/>
    <s v="300101"/>
    <s v="ASMAE FORWARDING EXPRESS"/>
    <n v="3491.52"/>
  </r>
  <r>
    <s v="Facture comptabilisée"/>
    <m/>
    <x v="0"/>
    <x v="669"/>
    <s v="JIL PACK*1*"/>
    <d v="2020-09-29T00:00:00"/>
    <s v="300115"/>
    <s v="AUXILIAR CONSERVERA SA"/>
    <n v="34817.904000000002"/>
  </r>
  <r>
    <s v="Facture comptabilisée"/>
    <m/>
    <x v="0"/>
    <x v="670"/>
    <s v="CONS ADDARISA*2*"/>
    <d v="2020-09-29T00:00:00"/>
    <s v="300115"/>
    <s v="AUXILIAR CONSERVERA SA"/>
    <n v="79160.366999999998"/>
  </r>
  <r>
    <s v="Facture comptabilisée"/>
    <m/>
    <x v="0"/>
    <x v="671"/>
    <s v="4/4G3"/>
    <d v="2020-09-30T00:00:00"/>
    <s v="300064"/>
    <s v="SONOCO Métal Packaging Maroc"/>
    <n v="35209.599999999999"/>
  </r>
  <r>
    <s v="Facture comptabilisée"/>
    <m/>
    <x v="0"/>
    <x v="672"/>
    <s v="1K700"/>
    <d v="2020-09-30T00:00:00"/>
    <s v="300064"/>
    <s v="SONOCO Métal Packaging Maroc"/>
    <n v="67731.199999999997"/>
  </r>
  <r>
    <s v="Facture comptabilisée"/>
    <m/>
    <x v="0"/>
    <x v="673"/>
    <s v="AVOIR 220310188"/>
    <d v="2020-09-30T00:00:00"/>
    <s v="300080"/>
    <s v="MASSILLY"/>
    <n v="7776"/>
  </r>
  <r>
    <s v="Facture comptabilisée"/>
    <m/>
    <x v="0"/>
    <x v="674"/>
    <s v="NEUTRE"/>
    <d v="2020-09-30T00:00:00"/>
    <s v="300092"/>
    <s v="METALSCATOLA AFRIQUE"/>
    <n v="42900"/>
  </r>
  <r>
    <s v="Facture comptabilisée"/>
    <m/>
    <x v="0"/>
    <x v="675"/>
    <s v="1KG7"/>
    <d v="2020-10-01T00:00:00"/>
    <s v="300064"/>
    <s v="SONOCO Métal Packaging Maroc"/>
    <n v="63518"/>
  </r>
  <r>
    <s v="Facture comptabilisée"/>
    <m/>
    <x v="0"/>
    <x v="676"/>
    <s v="RO85 NEUTRE"/>
    <d v="2020-10-01T00:00:00"/>
    <s v="300115"/>
    <s v="AUXILIAR CONSERVERA SA"/>
    <n v="283948.79700000002"/>
  </r>
  <r>
    <s v="Facture comptabilisée"/>
    <m/>
    <x v="0"/>
    <x v="677"/>
    <s v="PLASTIQUE"/>
    <d v="2020-10-02T00:00:00"/>
    <s v="300133"/>
    <s v="OP BOX "/>
    <n v="26613"/>
  </r>
  <r>
    <s v="Facture comptabilisée"/>
    <m/>
    <x v="0"/>
    <x v="678"/>
    <s v="1200 TRS"/>
    <d v="2020-10-02T00:00:00"/>
    <s v="300133"/>
    <s v="OP BOX "/>
    <n v="10392"/>
  </r>
  <r>
    <s v="Facture comptabilisée"/>
    <m/>
    <x v="0"/>
    <x v="679"/>
    <s v="147/2020"/>
    <d v="2020-10-05T00:00:00"/>
    <s v="300043"/>
    <s v="DOUANE"/>
    <n v="1118"/>
  </r>
  <r>
    <s v="Facture comptabilisée"/>
    <m/>
    <x v="0"/>
    <x v="680"/>
    <s v="NEUTRE INDUST"/>
    <d v="2020-10-05T00:00:00"/>
    <s v="300064"/>
    <s v="SONOCO Métal Packaging Maroc"/>
    <n v="19362"/>
  </r>
  <r>
    <s v="Facture comptabilisée"/>
    <m/>
    <x v="0"/>
    <x v="681"/>
    <s v="AVOIR 220310189"/>
    <d v="2020-10-05T00:00:00"/>
    <s v="300080"/>
    <s v="MASSILLY"/>
    <n v="5184"/>
  </r>
  <r>
    <s v="Facture comptabilisée"/>
    <m/>
    <x v="0"/>
    <x v="682"/>
    <s v="147/2020"/>
    <d v="2020-10-05T00:00:00"/>
    <s v="300101"/>
    <s v="ASMAE FORWARDING EXPRESS"/>
    <n v="3190.07"/>
  </r>
  <r>
    <s v="Facture comptabilisée"/>
    <m/>
    <x v="0"/>
    <x v="683"/>
    <s v="JIL PACK"/>
    <d v="2020-10-05T00:00:00"/>
    <s v="300115"/>
    <s v="AUXILIAR CONSERVERA SA"/>
    <n v="111355.0515"/>
  </r>
  <r>
    <s v="Facture comptabilisée"/>
    <m/>
    <x v="0"/>
    <x v="684"/>
    <s v="10L"/>
    <d v="2020-10-05T00:00:00"/>
    <s v="300133"/>
    <s v="OP BOX "/>
    <n v="21564.68"/>
  </r>
  <r>
    <s v="Facture comptabilisée"/>
    <m/>
    <x v="0"/>
    <x v="685"/>
    <s v="COPAG"/>
    <d v="2020-10-06T00:00:00"/>
    <s v="300115"/>
    <s v="AUXILIAR CONSERVERA SA"/>
    <n v="194782.89600000001"/>
  </r>
  <r>
    <s v="Facture comptabilisée"/>
    <m/>
    <x v="0"/>
    <x v="686"/>
    <s v="MFI"/>
    <d v="2020-10-06T00:00:00"/>
    <s v="300115"/>
    <s v="AUXILIAR CONSERVERA SA"/>
    <n v="138061.57199999999"/>
  </r>
  <r>
    <s v="Facture comptabilisée"/>
    <m/>
    <x v="0"/>
    <x v="687"/>
    <s v="11/2020 REC JAC"/>
    <d v="2020-10-08T00:00:00"/>
    <s v="300043"/>
    <s v="DOUANE"/>
    <n v="561"/>
  </r>
  <r>
    <s v="Facture comptabilisée"/>
    <m/>
    <x v="0"/>
    <x v="688"/>
    <s v="NEUTRE INDUST"/>
    <d v="2020-10-08T00:00:00"/>
    <s v="300064"/>
    <s v="SONOCO Métal Packaging Maroc"/>
    <n v="21408"/>
  </r>
  <r>
    <s v="Facture comptabilisée"/>
    <m/>
    <x v="0"/>
    <x v="689"/>
    <s v="86*110"/>
    <d v="2020-10-08T00:00:00"/>
    <s v="300092"/>
    <s v="METALSCATOLA AFRIQUE"/>
    <n v="13522"/>
  </r>
  <r>
    <s v="Facture comptabilisée"/>
    <m/>
    <x v="0"/>
    <x v="690"/>
    <s v="143/2020"/>
    <d v="2020-10-08T00:00:00"/>
    <s v="300101"/>
    <s v="ASMAE FORWARDING EXPRESS"/>
    <n v="158.72"/>
  </r>
  <r>
    <s v="Facture comptabilisée"/>
    <m/>
    <x v="0"/>
    <x v="691"/>
    <s v="PLASTIQUE"/>
    <d v="2020-10-08T00:00:00"/>
    <s v="300133"/>
    <s v="OP BOX "/>
    <n v="23166"/>
  </r>
  <r>
    <s v="Facture comptabilisée"/>
    <m/>
    <x v="0"/>
    <x v="692"/>
    <s v="PLASTIQUE"/>
    <d v="2020-10-08T00:00:00"/>
    <s v="300133"/>
    <s v="OP BOX "/>
    <n v="53625.599999999999"/>
  </r>
  <r>
    <s v="Facture comptabilisée"/>
    <m/>
    <x v="0"/>
    <x v="693"/>
    <s v="151/2020"/>
    <d v="2020-10-09T00:00:00"/>
    <s v="300043"/>
    <s v="DOUANE"/>
    <n v="2552"/>
  </r>
  <r>
    <s v="Facture comptabilisée"/>
    <m/>
    <x v="0"/>
    <x v="694"/>
    <s v="149/2020"/>
    <d v="2020-10-09T00:00:00"/>
    <s v="300043"/>
    <s v="DOUANE"/>
    <n v="532"/>
  </r>
  <r>
    <s v="Facture comptabilisée"/>
    <m/>
    <x v="0"/>
    <x v="695"/>
    <s v="150/2020"/>
    <d v="2020-10-09T00:00:00"/>
    <s v="300043"/>
    <s v="DOUANE"/>
    <n v="621"/>
  </r>
  <r>
    <s v="Facture comptabilisée"/>
    <m/>
    <x v="0"/>
    <x v="696"/>
    <s v="149/2020"/>
    <d v="2020-10-09T00:00:00"/>
    <s v="300101"/>
    <s v="ASMAE FORWARDING EXPRESS"/>
    <n v="3346.56"/>
  </r>
  <r>
    <s v="Facture comptabilisée"/>
    <m/>
    <x v="0"/>
    <x v="697"/>
    <s v="150/2020"/>
    <d v="2020-10-09T00:00:00"/>
    <s v="300101"/>
    <s v="ASMAE FORWARDING EXPRESS"/>
    <n v="3346.56"/>
  </r>
  <r>
    <s v="Facture comptabilisée"/>
    <m/>
    <x v="0"/>
    <x v="698"/>
    <s v="151/2020"/>
    <d v="2020-10-09T00:00:00"/>
    <s v="300101"/>
    <s v="ASMAE FORWARDING EXPRESS"/>
    <n v="3346.56"/>
  </r>
  <r>
    <s v="Facture comptabilisée"/>
    <m/>
    <x v="0"/>
    <x v="699"/>
    <s v="148/2020"/>
    <d v="2020-10-12T00:00:00"/>
    <s v="300043"/>
    <s v="DOUANE"/>
    <n v="541"/>
  </r>
  <r>
    <s v="Facture comptabilisée"/>
    <m/>
    <x v="0"/>
    <x v="700"/>
    <s v="147/2020"/>
    <d v="2020-10-12T00:00:00"/>
    <s v="300101"/>
    <s v="ASMAE FORWARDING EXPRESS"/>
    <n v="475.53"/>
  </r>
  <r>
    <s v="Facture comptabilisée"/>
    <m/>
    <x v="0"/>
    <x v="701"/>
    <s v="148/2020"/>
    <d v="2020-10-12T00:00:00"/>
    <s v="300101"/>
    <s v="ASMAE FORWARDING EXPRESS"/>
    <n v="4922.0200000000004"/>
  </r>
  <r>
    <s v="Facture comptabilisée"/>
    <m/>
    <x v="0"/>
    <x v="702"/>
    <s v="5500 AM"/>
    <d v="2020-10-14T00:00:00"/>
    <s v="300133"/>
    <s v="OP BOX "/>
    <n v="27533"/>
  </r>
  <r>
    <s v="Facture comptabilisée"/>
    <m/>
    <x v="0"/>
    <x v="703"/>
    <s v="NEUTRE INDUST"/>
    <d v="2020-10-15T00:00:00"/>
    <s v="300064"/>
    <s v="SONOCO Métal Packaging Maroc"/>
    <n v="43080"/>
  </r>
  <r>
    <s v="Facture comptabilisée"/>
    <m/>
    <x v="0"/>
    <x v="704"/>
    <s v="4/4 G3"/>
    <d v="2020-10-16T00:00:00"/>
    <s v="300064"/>
    <s v="SONOCO Métal Packaging Maroc"/>
    <n v="75939.600000000006"/>
  </r>
  <r>
    <s v="Facture comptabilisée"/>
    <m/>
    <x v="0"/>
    <x v="705"/>
    <s v="5/1 G4"/>
    <d v="2020-10-16T00:00:00"/>
    <s v="300064"/>
    <s v="SONOCO Métal Packaging Maroc"/>
    <n v="44376"/>
  </r>
  <r>
    <s v="Facture comptabilisée"/>
    <m/>
    <x v="0"/>
    <x v="706"/>
    <s v="108*131"/>
    <d v="2020-10-16T00:00:00"/>
    <s v="300092"/>
    <s v="METALSCATOLA AFRIQUE"/>
    <n v="64225.4"/>
  </r>
  <r>
    <s v="Facture comptabilisée"/>
    <m/>
    <x v="0"/>
    <x v="707"/>
    <s v="131/2020"/>
    <d v="2020-10-16T00:00:00"/>
    <s v="300101"/>
    <s v="ASMAE FORWARDING EXPRESS"/>
    <n v="159.36000000000001"/>
  </r>
  <r>
    <s v="Facture comptabilisée"/>
    <m/>
    <x v="0"/>
    <x v="708"/>
    <s v="SILVER FOOD"/>
    <d v="2020-10-16T00:00:00"/>
    <s v="300115"/>
    <s v="AUXILIAR CONSERVERA SA"/>
    <n v="281794.55699999997"/>
  </r>
  <r>
    <s v="Facture comptabilisée"/>
    <m/>
    <x v="0"/>
    <x v="709"/>
    <s v="RO80PETIT PECH*1*"/>
    <d v="2020-10-16T00:00:00"/>
    <s v="300115"/>
    <s v="AUXILIAR CONSERVERA SA"/>
    <n v="176784.56400000001"/>
  </r>
  <r>
    <s v="Facture comptabilisée"/>
    <m/>
    <x v="0"/>
    <x v="710"/>
    <s v="RO80PETIT PECH*2*"/>
    <d v="2020-10-16T00:00:00"/>
    <s v="300115"/>
    <s v="AUXILIAR CONSERVERA SA"/>
    <n v="107981.77499999999"/>
  </r>
  <r>
    <s v="Facture comptabilisée"/>
    <m/>
    <x v="0"/>
    <x v="711"/>
    <s v="5/1G4"/>
    <d v="2020-10-19T00:00:00"/>
    <s v="300064"/>
    <s v="SONOCO Métal Packaging Maroc"/>
    <n v="91140"/>
  </r>
  <r>
    <s v="Facture comptabilisée"/>
    <m/>
    <x v="0"/>
    <x v="712"/>
    <s v="RO80 "/>
    <d v="2020-10-19T00:00:00"/>
    <s v="300080"/>
    <s v="MASSILLY"/>
    <n v="116424"/>
  </r>
  <r>
    <s v="Facture comptabilisée"/>
    <m/>
    <x v="0"/>
    <x v="713"/>
    <s v="SILVER FOOD"/>
    <d v="2020-10-19T00:00:00"/>
    <s v="300115"/>
    <s v="AUXILIAR CONSERVERA SA"/>
    <n v="281794.55699999997"/>
  </r>
  <r>
    <s v="Facture comptabilisée"/>
    <m/>
    <x v="0"/>
    <x v="714"/>
    <s v="NOTAM"/>
    <d v="2020-10-19T00:00:00"/>
    <s v="300115"/>
    <s v="AUXILIAR CONSERVERA SA"/>
    <n v="150602.1"/>
  </r>
  <r>
    <s v="Facture comptabilisée"/>
    <m/>
    <x v="0"/>
    <x v="715"/>
    <s v="152/2020"/>
    <d v="2020-10-20T00:00:00"/>
    <s v="300043"/>
    <s v="DOUANE"/>
    <n v="1089"/>
  </r>
  <r>
    <s v="Facture comptabilisée"/>
    <m/>
    <x v="0"/>
    <x v="716"/>
    <s v="152/2020"/>
    <d v="2020-10-20T00:00:00"/>
    <s v="300101"/>
    <s v="ASMAE FORWARDING EXPRESS"/>
    <n v="3333.64"/>
  </r>
  <r>
    <s v="Facture comptabilisée"/>
    <m/>
    <x v="0"/>
    <x v="717"/>
    <s v="153/2020"/>
    <d v="2020-10-21T00:00:00"/>
    <s v="300043"/>
    <s v="DOUANE"/>
    <n v="2805"/>
  </r>
  <r>
    <s v="Facture comptabilisée"/>
    <m/>
    <x v="0"/>
    <x v="718"/>
    <s v="153/2020"/>
    <d v="2020-10-21T00:00:00"/>
    <s v="300101"/>
    <s v="ASMAE FORWARDING EXPRESS"/>
    <n v="3336.88"/>
  </r>
  <r>
    <s v="Facture comptabilisée"/>
    <m/>
    <x v="0"/>
    <x v="719"/>
    <s v="NEW PEPPERS"/>
    <d v="2020-10-21T00:00:00"/>
    <s v="300115"/>
    <s v="AUXILIAR CONSERVERA SA"/>
    <n v="69822.720000000001"/>
  </r>
  <r>
    <s v="Facture comptabilisée"/>
    <m/>
    <x v="0"/>
    <x v="720"/>
    <s v="JIL PACK *1*"/>
    <d v="2020-10-21T00:00:00"/>
    <s v="300115"/>
    <s v="AUXILIAR CONSERVERA SA"/>
    <n v="135073.27900000001"/>
  </r>
  <r>
    <s v="Facture comptabilisée"/>
    <m/>
    <x v="0"/>
    <x v="721"/>
    <s v="JIL PACK A*2*"/>
    <d v="2020-10-21T00:00:00"/>
    <s v="300115"/>
    <s v="AUXILIAR CONSERVERA SA"/>
    <n v="135073.27900000001"/>
  </r>
  <r>
    <s v="Facture comptabilisée"/>
    <m/>
    <x v="0"/>
    <x v="722"/>
    <s v="870 AP"/>
    <d v="2020-10-21T00:00:00"/>
    <s v="300133"/>
    <s v="OP BOX "/>
    <n v="38240"/>
  </r>
  <r>
    <s v="Facture comptabilisée"/>
    <m/>
    <x v="0"/>
    <x v="723"/>
    <s v="154/2020"/>
    <d v="2020-10-22T00:00:00"/>
    <s v="300043"/>
    <s v="DOUANE"/>
    <n v="661"/>
  </r>
  <r>
    <s v="Facture comptabilisée"/>
    <m/>
    <x v="0"/>
    <x v="724"/>
    <s v="154/2020"/>
    <d v="2020-10-22T00:00:00"/>
    <s v="300101"/>
    <s v="ASMAE FORWARDING EXPRESS"/>
    <n v="3342.93"/>
  </r>
  <r>
    <s v="Facture comptabilisée"/>
    <m/>
    <x v="0"/>
    <x v="725"/>
    <s v="155/2020"/>
    <d v="2020-10-23T00:00:00"/>
    <s v="300043"/>
    <s v="DOUANE"/>
    <n v="3444"/>
  </r>
  <r>
    <s v="Facture comptabilisée"/>
    <m/>
    <x v="0"/>
    <x v="726"/>
    <s v="155/2020"/>
    <d v="2020-10-23T00:00:00"/>
    <s v="300101"/>
    <s v="ASMAE FORWARDING EXPRESS"/>
    <n v="3498.14"/>
  </r>
  <r>
    <s v="Facture comptabilisée"/>
    <m/>
    <x v="0"/>
    <x v="727"/>
    <s v="JIL PACK*1*"/>
    <d v="2020-10-23T00:00:00"/>
    <s v="300115"/>
    <s v="AUXILIAR CONSERVERA SA"/>
    <n v="132621.58799999999"/>
  </r>
  <r>
    <s v="Facture comptabilisée"/>
    <m/>
    <x v="0"/>
    <x v="728"/>
    <s v="SOMAFACO*2*"/>
    <d v="2020-10-23T00:00:00"/>
    <s v="300115"/>
    <s v="AUXILIAR CONSERVERA SA"/>
    <n v="81099.721999999994"/>
  </r>
  <r>
    <s v="Facture comptabilisée"/>
    <m/>
    <x v="0"/>
    <x v="729"/>
    <s v="20L"/>
    <d v="2020-10-23T00:00:00"/>
    <s v="300133"/>
    <s v="OP BOX "/>
    <n v="40339.5"/>
  </r>
  <r>
    <s v="Facture comptabilisée"/>
    <m/>
    <x v="0"/>
    <x v="730"/>
    <s v="870 AP"/>
    <d v="2020-10-23T00:00:00"/>
    <s v="300133"/>
    <s v="OP BOX "/>
    <n v="7200"/>
  </r>
  <r>
    <s v="Facture comptabilisée"/>
    <m/>
    <x v="0"/>
    <x v="731"/>
    <s v="11/2020 REC JAC"/>
    <d v="2020-10-23T00:00:00"/>
    <s v="300301"/>
    <s v="RECOING &amp; JACQUETY"/>
    <n v="4859.62"/>
  </r>
  <r>
    <s v="Facture comptabilisée"/>
    <m/>
    <x v="0"/>
    <x v="732"/>
    <s v="JIL PACK A"/>
    <d v="2020-10-24T00:00:00"/>
    <s v="300115"/>
    <s v="AUXILIAR CONSERVERA SA"/>
    <n v="341372.22899999999"/>
  </r>
  <r>
    <s v="Facture comptabilisée"/>
    <m/>
    <x v="0"/>
    <x v="733"/>
    <s v="160/2020"/>
    <d v="2020-10-26T00:00:00"/>
    <s v="300043"/>
    <s v="DOUANE"/>
    <n v="391"/>
  </r>
  <r>
    <s v="Facture comptabilisée"/>
    <m/>
    <x v="0"/>
    <x v="734"/>
    <s v="160/2020"/>
    <d v="2020-10-26T00:00:00"/>
    <s v="300101"/>
    <s v="ASMAE FORWARDING EXPRESS"/>
    <n v="3810.62"/>
  </r>
  <r>
    <s v="Facture comptabilisée"/>
    <m/>
    <x v="0"/>
    <x v="735"/>
    <s v="VMM*PPT*"/>
    <d v="2020-10-26T00:00:00"/>
    <s v="300115"/>
    <s v="AUXILIAR CONSERVERA SA"/>
    <n v="281794.55699999997"/>
  </r>
  <r>
    <s v="Facture comptabilisée"/>
    <m/>
    <x v="0"/>
    <x v="736"/>
    <s v="159/2020"/>
    <d v="2020-10-27T00:00:00"/>
    <s v="300043"/>
    <s v="DOUANE"/>
    <n v="1049"/>
  </r>
  <r>
    <s v="Facture comptabilisée"/>
    <m/>
    <x v="0"/>
    <x v="737"/>
    <s v="159/2020"/>
    <d v="2020-10-27T00:00:00"/>
    <s v="300101"/>
    <s v="ASMAE FORWARDING EXPRESS"/>
    <n v="3179.91"/>
  </r>
  <r>
    <s v="Facture comptabilisée"/>
    <m/>
    <x v="0"/>
    <x v="738"/>
    <s v="147/2020"/>
    <d v="2020-10-28T00:00:00"/>
    <s v="300043"/>
    <s v="DOUANE"/>
    <n v="1118"/>
  </r>
  <r>
    <s v="Facture comptabilisée"/>
    <m/>
    <x v="0"/>
    <x v="739"/>
    <s v="161/2020"/>
    <d v="2020-10-28T00:00:00"/>
    <s v="300043"/>
    <s v="DOUANE"/>
    <n v="868"/>
  </r>
  <r>
    <s v="Facture comptabilisée"/>
    <m/>
    <x v="0"/>
    <x v="740"/>
    <s v="156/2020"/>
    <d v="2020-10-28T00:00:00"/>
    <s v="300043"/>
    <s v="DOUANE"/>
    <n v="3186"/>
  </r>
  <r>
    <s v="Facture comptabilisée"/>
    <m/>
    <x v="0"/>
    <x v="741"/>
    <s v="157/2020"/>
    <d v="2020-10-28T00:00:00"/>
    <s v="300043"/>
    <s v="DOUANE"/>
    <n v="1090"/>
  </r>
  <r>
    <s v="Facture comptabilisée"/>
    <m/>
    <x v="0"/>
    <x v="742"/>
    <s v="156/2020"/>
    <d v="2020-10-28T00:00:00"/>
    <s v="300101"/>
    <s v="ASMAE FORWARDING EXPRESS"/>
    <n v="3135.86"/>
  </r>
  <r>
    <s v="Facture comptabilisée"/>
    <m/>
    <x v="0"/>
    <x v="743"/>
    <s v="157/2020"/>
    <d v="2020-10-28T00:00:00"/>
    <s v="300101"/>
    <s v="ASMAE FORWARDING EXPRESS"/>
    <n v="4434.92"/>
  </r>
  <r>
    <s v="Facture comptabilisée"/>
    <m/>
    <x v="0"/>
    <x v="744"/>
    <s v="161/2020"/>
    <d v="2020-10-28T00:00:00"/>
    <s v="300101"/>
    <s v="ASMAE FORWARDING EXPRESS"/>
    <n v="4115.49"/>
  </r>
  <r>
    <s v="Facture comptabilisée"/>
    <m/>
    <x v="0"/>
    <x v="745"/>
    <s v="JIL PACK A"/>
    <d v="2020-10-30T00:00:00"/>
    <s v="300115"/>
    <s v="AUXILIAR CONSERVERA SA"/>
    <n v="283948.79700000002"/>
  </r>
  <r>
    <s v="Facture comptabilisée"/>
    <m/>
    <x v="0"/>
    <x v="746"/>
    <d v="2026-01-05T00:00:00"/>
    <d v="2020-11-02T00:00:00"/>
    <s v="300064"/>
    <s v="SONOCO Métal Packaging Maroc"/>
    <n v="65160"/>
  </r>
  <r>
    <s v="Facture comptabilisée"/>
    <m/>
    <x v="0"/>
    <x v="747"/>
    <s v="A10"/>
    <d v="2020-11-02T00:00:00"/>
    <s v="300064"/>
    <s v="SONOCO Métal Packaging Maroc"/>
    <n v="28564"/>
  </r>
  <r>
    <s v="Facture comptabilisée"/>
    <m/>
    <x v="0"/>
    <x v="748"/>
    <s v="JIL PACK A"/>
    <d v="2020-11-02T00:00:00"/>
    <s v="300115"/>
    <s v="AUXILIAR CONSERVERA SA"/>
    <n v="283948.79700000002"/>
  </r>
  <r>
    <s v="Facture comptabilisée"/>
    <m/>
    <x v="0"/>
    <x v="749"/>
    <s v="YAHYA 800G"/>
    <d v="2020-11-02T00:00:00"/>
    <s v="300115"/>
    <s v="AUXILIAR CONSERVERA SA"/>
    <n v="145109.14000000001"/>
  </r>
  <r>
    <s v="Facture comptabilisée"/>
    <m/>
    <x v="0"/>
    <x v="750"/>
    <s v="AVO20021"/>
    <d v="2020-11-03T00:00:00"/>
    <s v="300092"/>
    <s v="METALSCATOLA AFRIQUE"/>
    <n v="480"/>
  </r>
  <r>
    <s v="Facture comptabilisée"/>
    <m/>
    <x v="0"/>
    <x v="751"/>
    <s v="10L"/>
    <d v="2020-11-03T00:00:00"/>
    <s v="300133"/>
    <s v="OP BOX "/>
    <n v="17750"/>
  </r>
  <r>
    <s v="Facture comptabilisée"/>
    <m/>
    <x v="0"/>
    <x v="752"/>
    <s v="SILVER FOOD"/>
    <d v="2020-11-04T00:00:00"/>
    <s v="300115"/>
    <s v="AUXILIAR CONSERVERA SA"/>
    <n v="301558.44400000002"/>
  </r>
  <r>
    <s v="Facture comptabilisée"/>
    <m/>
    <x v="0"/>
    <x v="753"/>
    <s v="SILVER FOOD"/>
    <d v="2020-11-04T00:00:00"/>
    <s v="300115"/>
    <s v="AUXILIAR CONSERVERA SA"/>
    <n v="301558.44400000002"/>
  </r>
  <r>
    <s v="Facture comptabilisée"/>
    <m/>
    <x v="0"/>
    <x v="754"/>
    <s v="163/2020"/>
    <d v="2020-11-05T00:00:00"/>
    <s v="300043"/>
    <s v="DOUANE"/>
    <n v="2809"/>
  </r>
  <r>
    <s v="Facture comptabilisée"/>
    <m/>
    <x v="0"/>
    <x v="755"/>
    <s v="158/2020"/>
    <d v="2020-11-05T00:00:00"/>
    <s v="300043"/>
    <s v="DOUANE"/>
    <n v="1093"/>
  </r>
  <r>
    <s v="Facture comptabilisée"/>
    <m/>
    <x v="0"/>
    <x v="756"/>
    <s v="162/2020"/>
    <d v="2020-11-05T00:00:00"/>
    <s v="300043"/>
    <s v="DOUANE"/>
    <n v="1093"/>
  </r>
  <r>
    <s v="Facture comptabilisée"/>
    <m/>
    <x v="0"/>
    <x v="757"/>
    <s v="158/2020"/>
    <d v="2020-11-05T00:00:00"/>
    <s v="300101"/>
    <s v="ASMAE FORWARDING EXPRESS"/>
    <n v="3955.81"/>
  </r>
  <r>
    <s v="Facture comptabilisée"/>
    <m/>
    <x v="0"/>
    <x v="758"/>
    <s v="162/2020"/>
    <d v="2020-11-05T00:00:00"/>
    <s v="300101"/>
    <s v="ASMAE FORWARDING EXPRESS"/>
    <n v="4434.96"/>
  </r>
  <r>
    <s v="Facture comptabilisée"/>
    <m/>
    <x v="0"/>
    <x v="759"/>
    <s v="163/2020"/>
    <d v="2020-11-05T00:00:00"/>
    <s v="300101"/>
    <s v="ASMAE FORWARDING EXPRESS"/>
    <n v="3601.05"/>
  </r>
  <r>
    <s v="Facture comptabilisée"/>
    <m/>
    <x v="0"/>
    <x v="760"/>
    <s v="ADDARISSA ET U.F"/>
    <d v="2020-11-05T00:00:00"/>
    <s v="300115"/>
    <s v="AUXILIAR CONSERVERA SA"/>
    <n v="83419.797999999995"/>
  </r>
  <r>
    <s v="Facture comptabilisée"/>
    <m/>
    <x v="0"/>
    <x v="761"/>
    <s v="JIL PACK A"/>
    <d v="2020-11-05T00:00:00"/>
    <s v="300115"/>
    <s v="AUXILIAR CONSERVERA SA"/>
    <n v="255703.8726"/>
  </r>
  <r>
    <s v="Facture comptabilisée"/>
    <m/>
    <x v="0"/>
    <x v="762"/>
    <s v="SILVER FOOD"/>
    <d v="2020-11-06T00:00:00"/>
    <s v="300115"/>
    <s v="AUXILIAR CONSERVERA SA"/>
    <n v="301558.44400000002"/>
  </r>
  <r>
    <s v="Facture comptabilisée"/>
    <m/>
    <x v="0"/>
    <x v="763"/>
    <s v="LOGI FOOD"/>
    <d v="2020-11-09T00:00:00"/>
    <s v="300115"/>
    <s v="AUXILIAR CONSERVERA SA"/>
    <n v="281794.55699999997"/>
  </r>
  <r>
    <s v="Facture comptabilisée"/>
    <m/>
    <x v="0"/>
    <x v="764"/>
    <s v="JIL PACK"/>
    <d v="2020-11-09T00:00:00"/>
    <s v="300115"/>
    <s v="AUXILIAR CONSERVERA SA"/>
    <n v="126289.02"/>
  </r>
  <r>
    <s v="Facture comptabilisée"/>
    <m/>
    <x v="0"/>
    <x v="765"/>
    <s v="165/2020"/>
    <d v="2020-11-10T00:00:00"/>
    <s v="300043"/>
    <s v="DOUANE"/>
    <n v="3793"/>
  </r>
  <r>
    <s v="Facture comptabilisée"/>
    <m/>
    <x v="0"/>
    <x v="766"/>
    <s v="01/2020 JALAL"/>
    <d v="2020-11-10T00:00:00"/>
    <s v="300043"/>
    <s v="DOUANE"/>
    <n v="1037"/>
  </r>
  <r>
    <s v="Facture comptabilisée"/>
    <m/>
    <x v="0"/>
    <x v="767"/>
    <s v="86*110"/>
    <d v="2020-11-10T00:00:00"/>
    <s v="300064"/>
    <s v="SONOCO Métal Packaging Maroc"/>
    <n v="13440"/>
  </r>
  <r>
    <s v="Facture comptabilisée"/>
    <m/>
    <x v="0"/>
    <x v="768"/>
    <s v="165/2020"/>
    <d v="2020-11-10T00:00:00"/>
    <s v="300101"/>
    <s v="ASMAE FORWARDING EXPRESS"/>
    <n v="3652.36"/>
  </r>
  <r>
    <s v="Facture comptabilisée"/>
    <m/>
    <x v="0"/>
    <x v="769"/>
    <s v="JIL PACK A"/>
    <d v="2020-11-10T00:00:00"/>
    <s v="300115"/>
    <s v="AUXILIAR CONSERVERA SA"/>
    <n v="259274.565"/>
  </r>
  <r>
    <s v="Facture comptabilisée"/>
    <m/>
    <x v="0"/>
    <x v="770"/>
    <s v="YAHYA *1*"/>
    <d v="2020-11-10T00:00:00"/>
    <s v="300115"/>
    <s v="AUXILIAR CONSERVERA SA"/>
    <n v="137744.046"/>
  </r>
  <r>
    <s v="Facture comptabilisée"/>
    <m/>
    <x v="0"/>
    <x v="771"/>
    <s v="YAHYA*2*"/>
    <d v="2020-11-10T00:00:00"/>
    <s v="300115"/>
    <s v="AUXILIAR CONSERVERA SA"/>
    <n v="16221.216"/>
  </r>
  <r>
    <s v="Facture comptabilisée"/>
    <m/>
    <x v="0"/>
    <x v="772"/>
    <s v="02/2020 JALAL"/>
    <d v="2020-11-11T00:00:00"/>
    <s v="300043"/>
    <s v="DOUANE"/>
    <n v="1048"/>
  </r>
  <r>
    <s v="Facture comptabilisée"/>
    <m/>
    <x v="0"/>
    <x v="773"/>
    <s v="171/2020"/>
    <d v="2020-11-11T00:00:00"/>
    <s v="300043"/>
    <s v="DOUANE"/>
    <n v="1090"/>
  </r>
  <r>
    <s v="Facture comptabilisée"/>
    <m/>
    <x v="0"/>
    <x v="774"/>
    <s v="172/2020"/>
    <d v="2020-11-11T00:00:00"/>
    <s v="300043"/>
    <s v="DOUANE"/>
    <n v="1154"/>
  </r>
  <r>
    <s v="Facture comptabilisée"/>
    <m/>
    <x v="0"/>
    <x v="775"/>
    <s v="171/2020"/>
    <d v="2020-11-11T00:00:00"/>
    <s v="300101"/>
    <s v="ASMAE FORWARDING EXPRESS"/>
    <n v="3489.89"/>
  </r>
  <r>
    <s v="Facture comptabilisée"/>
    <m/>
    <x v="0"/>
    <x v="776"/>
    <s v="172/2020"/>
    <d v="2020-11-11T00:00:00"/>
    <s v="300101"/>
    <s v="ASMAE FORWARDING EXPRESS"/>
    <n v="3489.89"/>
  </r>
  <r>
    <s v="Facture comptabilisée"/>
    <m/>
    <x v="0"/>
    <x v="777"/>
    <s v="ADDARISSA"/>
    <d v="2020-11-11T00:00:00"/>
    <s v="300115"/>
    <s v="AUXILIAR CONSERVERA SA"/>
    <n v="82908.87"/>
  </r>
  <r>
    <s v="Facture comptabilisée"/>
    <m/>
    <x v="0"/>
    <x v="778"/>
    <s v="170/2020"/>
    <d v="2020-11-12T00:00:00"/>
    <s v="300043"/>
    <s v="DOUANE"/>
    <n v="436"/>
  </r>
  <r>
    <s v="Facture comptabilisée"/>
    <m/>
    <x v="0"/>
    <x v="779"/>
    <s v="159/2020"/>
    <d v="2020-11-12T00:00:00"/>
    <s v="300101"/>
    <s v="ASMAE FORWARDING EXPRESS"/>
    <n v="630.71"/>
  </r>
  <r>
    <s v="Facture comptabilisée"/>
    <m/>
    <x v="0"/>
    <x v="780"/>
    <s v="170/2020"/>
    <d v="2020-11-12T00:00:00"/>
    <s v="300101"/>
    <s v="ASMAE FORWARDING EXPRESS"/>
    <n v="4277.47"/>
  </r>
  <r>
    <s v="Facture comptabilisée"/>
    <m/>
    <x v="0"/>
    <x v="781"/>
    <s v="JIL PACK A"/>
    <d v="2020-11-12T00:00:00"/>
    <s v="300115"/>
    <s v="AUXILIAR CONSERVERA SA"/>
    <n v="275583.429"/>
  </r>
  <r>
    <s v="Facture comptabilisée"/>
    <m/>
    <x v="0"/>
    <x v="782"/>
    <s v="164/2020"/>
    <d v="2020-11-13T00:00:00"/>
    <s v="300043"/>
    <s v="DOUANE"/>
    <n v="669"/>
  </r>
  <r>
    <s v="Facture comptabilisée"/>
    <m/>
    <x v="0"/>
    <x v="783"/>
    <s v="MIPA"/>
    <d v="2020-11-13T00:00:00"/>
    <s v="300092"/>
    <s v="METALSCATOLA AFRIQUE"/>
    <n v="48138"/>
  </r>
  <r>
    <s v="Facture comptabilisée"/>
    <m/>
    <x v="0"/>
    <x v="784"/>
    <s v="164/2020"/>
    <d v="2020-11-13T00:00:00"/>
    <s v="300101"/>
    <s v="ASMAE FORWARDING EXPRESS"/>
    <n v="3806.95"/>
  </r>
  <r>
    <s v="Facture comptabilisée"/>
    <m/>
    <x v="0"/>
    <x v="785"/>
    <s v="166/2020"/>
    <d v="2020-11-16T00:00:00"/>
    <s v="300043"/>
    <s v="DOUANE"/>
    <n v="2568"/>
  </r>
  <r>
    <s v="Facture comptabilisée"/>
    <m/>
    <x v="0"/>
    <x v="786"/>
    <s v="168/2020"/>
    <d v="2020-11-16T00:00:00"/>
    <s v="300043"/>
    <s v="DOUANE"/>
    <n v="850"/>
  </r>
  <r>
    <s v="Facture comptabilisée"/>
    <m/>
    <x v="0"/>
    <x v="787"/>
    <s v="166/2020"/>
    <d v="2020-11-16T00:00:00"/>
    <s v="300101"/>
    <s v="ASMAE FORWARDING EXPRESS"/>
    <n v="3335.93"/>
  </r>
  <r>
    <s v="Facture comptabilisée"/>
    <m/>
    <x v="0"/>
    <x v="788"/>
    <s v="168/2020"/>
    <d v="2020-11-16T00:00:00"/>
    <s v="300101"/>
    <s v="ASMAE FORWARDING EXPRESS"/>
    <n v="3964.41"/>
  </r>
  <r>
    <s v="Facture comptabilisée"/>
    <m/>
    <x v="0"/>
    <x v="789"/>
    <s v="167/2020"/>
    <d v="2020-11-17T00:00:00"/>
    <s v="300043"/>
    <s v="DOUANE"/>
    <n v="1156"/>
  </r>
  <r>
    <s v="Facture comptabilisée"/>
    <m/>
    <x v="0"/>
    <x v="790"/>
    <s v="169/2020"/>
    <d v="2020-11-17T00:00:00"/>
    <s v="300043"/>
    <s v="DOUANE"/>
    <n v="437"/>
  </r>
  <r>
    <s v="Facture comptabilisée"/>
    <m/>
    <x v="0"/>
    <x v="791"/>
    <s v="158/2020"/>
    <d v="2020-11-17T00:00:00"/>
    <s v="300101"/>
    <s v="ASMAE FORWARDING EXPRESS"/>
    <n v="157.63999999999999"/>
  </r>
  <r>
    <s v="Facture comptabilisée"/>
    <m/>
    <x v="0"/>
    <x v="792"/>
    <s v="167/2020"/>
    <d v="2020-11-17T00:00:00"/>
    <s v="300101"/>
    <s v="ASMAE FORWARDING EXPRESS"/>
    <n v="4754.01"/>
  </r>
  <r>
    <s v="Facture comptabilisée"/>
    <m/>
    <x v="0"/>
    <x v="793"/>
    <s v="169/2020"/>
    <d v="2020-11-17T00:00:00"/>
    <s v="300101"/>
    <s v="ASMAE FORWARDING EXPRESS"/>
    <n v="4125.63"/>
  </r>
  <r>
    <s v="Facture comptabilisée"/>
    <m/>
    <x v="0"/>
    <x v="794"/>
    <s v="JIL PACK*1*"/>
    <d v="2020-11-17T00:00:00"/>
    <s v="300115"/>
    <s v="AUXILIAR CONSERVERA SA"/>
    <n v="102700.0436"/>
  </r>
  <r>
    <s v="Facture comptabilisée"/>
    <m/>
    <x v="0"/>
    <x v="795"/>
    <s v="JIL PACK A *2*"/>
    <d v="2020-11-17T00:00:00"/>
    <s v="300115"/>
    <s v="AUXILIAR CONSERVERA SA"/>
    <n v="102700.0436"/>
  </r>
  <r>
    <s v="Facture comptabilisée"/>
    <m/>
    <x v="0"/>
    <x v="796"/>
    <s v="03/2020 JALAL"/>
    <d v="2020-11-19T00:00:00"/>
    <s v="300043"/>
    <s v="DOUANE"/>
    <n v="3427"/>
  </r>
  <r>
    <s v="Facture comptabilisée"/>
    <m/>
    <x v="0"/>
    <x v="797"/>
    <s v="108*131"/>
    <d v="2020-11-19T00:00:00"/>
    <s v="300064"/>
    <s v="SONOCO Métal Packaging Maroc"/>
    <n v="10823.25"/>
  </r>
  <r>
    <s v="Facture comptabilisée"/>
    <m/>
    <x v="0"/>
    <x v="798"/>
    <s v="RO85 G4"/>
    <d v="2020-11-19T00:00:00"/>
    <s v="300115"/>
    <s v="AUXILIAR CONSERVERA SA"/>
    <n v="259274.565"/>
  </r>
  <r>
    <s v="Facture comptabilisée"/>
    <m/>
    <x v="0"/>
    <x v="799"/>
    <s v="01/2020 JALAL"/>
    <d v="2020-11-19T00:00:00"/>
    <s v="300191"/>
    <s v="JTTL"/>
    <n v="3498.22"/>
  </r>
  <r>
    <s v="Facture comptabilisée"/>
    <m/>
    <x v="0"/>
    <x v="800"/>
    <s v="02/2020 JALAL"/>
    <d v="2020-11-19T00:00:00"/>
    <s v="300191"/>
    <s v="JTTL"/>
    <n v="3178.11"/>
  </r>
  <r>
    <s v="Facture comptabilisée"/>
    <m/>
    <x v="0"/>
    <x v="801"/>
    <s v="1/4 CLUB SILVER R"/>
    <d v="2020-11-20T00:00:00"/>
    <s v="300115"/>
    <s v="AUXILIAR CONSERVERA SA"/>
    <n v="301558.44400000002"/>
  </r>
  <r>
    <s v="Facture comptabilisée"/>
    <m/>
    <x v="0"/>
    <x v="802"/>
    <s v="RO85 G4"/>
    <d v="2020-11-20T00:00:00"/>
    <s v="300115"/>
    <s v="AUXILIAR CONSERVERA SA"/>
    <n v="259274.565"/>
  </r>
  <r>
    <s v="Facture comptabilisée"/>
    <m/>
    <x v="0"/>
    <x v="803"/>
    <s v="870ML"/>
    <d v="2020-11-20T00:00:00"/>
    <s v="300133"/>
    <s v="OP BOX "/>
    <n v="24786"/>
  </r>
  <r>
    <s v="Facture comptabilisée"/>
    <m/>
    <x v="0"/>
    <x v="804"/>
    <s v="18L"/>
    <d v="2020-11-20T00:00:00"/>
    <s v="300133"/>
    <s v="OP BOX "/>
    <n v="11664"/>
  </r>
  <r>
    <s v="Facture comptabilisée"/>
    <m/>
    <x v="0"/>
    <x v="805"/>
    <s v="5500ML"/>
    <d v="2020-11-20T00:00:00"/>
    <s v="300133"/>
    <s v="OP BOX "/>
    <n v="38772.400000000001"/>
  </r>
  <r>
    <s v="Facture comptabilisée"/>
    <m/>
    <x v="0"/>
    <x v="806"/>
    <s v="05/2020 JALAL"/>
    <d v="2020-11-23T00:00:00"/>
    <s v="300043"/>
    <s v="DOUANE"/>
    <n v="1049"/>
  </r>
  <r>
    <s v="Facture comptabilisée"/>
    <m/>
    <x v="0"/>
    <x v="807"/>
    <s v="AVC20-01411"/>
    <d v="2020-11-23T00:00:00"/>
    <s v="300064"/>
    <s v="SONOCO Métal Packaging Maroc"/>
    <n v="35600"/>
  </r>
  <r>
    <s v="Facture comptabilisée"/>
    <m/>
    <x v="0"/>
    <x v="808"/>
    <s v="108*125"/>
    <d v="2020-11-23T00:00:00"/>
    <s v="300092"/>
    <s v="METALSCATOLA AFRIQUE"/>
    <n v="41192.199999999997"/>
  </r>
  <r>
    <s v="Facture comptabilisée"/>
    <m/>
    <x v="0"/>
    <x v="809"/>
    <s v="MFI"/>
    <d v="2020-11-23T00:00:00"/>
    <s v="300115"/>
    <s v="AUXILIAR CONSERVERA SA"/>
    <n v="137608.54800000001"/>
  </r>
  <r>
    <s v="Facture comptabilisée"/>
    <m/>
    <x v="0"/>
    <x v="810"/>
    <s v="1/4 CLUB SILVER R"/>
    <d v="2020-11-23T00:00:00"/>
    <s v="300115"/>
    <s v="AUXILIAR CONSERVERA SA"/>
    <n v="301558.44400000002"/>
  </r>
  <r>
    <s v="Facture comptabilisée"/>
    <m/>
    <x v="0"/>
    <x v="811"/>
    <s v="04/2020 JALAL"/>
    <d v="2020-11-24T00:00:00"/>
    <s v="300043"/>
    <s v="DOUANE"/>
    <n v="1049"/>
  </r>
  <r>
    <s v="Facture comptabilisée"/>
    <m/>
    <x v="0"/>
    <x v="812"/>
    <s v="173/2020"/>
    <d v="2020-11-25T00:00:00"/>
    <s v="300043"/>
    <s v="DOUANE"/>
    <n v="1156"/>
  </r>
  <r>
    <s v="Facture comptabilisée"/>
    <m/>
    <x v="0"/>
    <x v="813"/>
    <s v="173/2020"/>
    <d v="2020-11-25T00:00:00"/>
    <s v="300101"/>
    <s v="ASMAE FORWARDING EXPRESS"/>
    <n v="3650.32"/>
  </r>
  <r>
    <s v="Facture comptabilisée"/>
    <m/>
    <x v="0"/>
    <x v="814"/>
    <s v="3800 /2300"/>
    <d v="2020-11-25T00:00:00"/>
    <s v="300133"/>
    <s v="OP BOX "/>
    <n v="51393.599999999999"/>
  </r>
  <r>
    <s v="Facture comptabilisée"/>
    <m/>
    <x v="0"/>
    <x v="815"/>
    <s v="600 ML"/>
    <d v="2020-11-25T00:00:00"/>
    <s v="300133"/>
    <s v="OP BOX "/>
    <n v="6050"/>
  </r>
  <r>
    <s v="Facture comptabilisée"/>
    <m/>
    <x v="0"/>
    <x v="816"/>
    <s v="JIL PACK*1*"/>
    <d v="2020-11-26T00:00:00"/>
    <s v="300115"/>
    <s v="AUXILIAR CONSERVERA SA"/>
    <n v="46166.23"/>
  </r>
  <r>
    <s v="Facture comptabilisée"/>
    <m/>
    <x v="0"/>
    <x v="817"/>
    <s v="MFI*2*"/>
    <d v="2020-11-26T00:00:00"/>
    <s v="300115"/>
    <s v="AUXILIAR CONSERVERA SA"/>
    <n v="60725.299800000001"/>
  </r>
  <r>
    <s v="Facture comptabilisée"/>
    <m/>
    <x v="0"/>
    <x v="818"/>
    <s v="03/2020 JALAL"/>
    <d v="2020-11-26T00:00:00"/>
    <s v="300191"/>
    <s v="JTTL"/>
    <n v="3183.43"/>
  </r>
  <r>
    <s v="Facture comptabilisée"/>
    <m/>
    <x v="0"/>
    <x v="819"/>
    <s v="178/2020"/>
    <d v="2020-11-27T00:00:00"/>
    <s v="300043"/>
    <s v="DOUANE"/>
    <n v="617"/>
  </r>
  <r>
    <s v="Facture comptabilisée"/>
    <m/>
    <x v="0"/>
    <x v="820"/>
    <s v="177/2020"/>
    <d v="2020-11-27T00:00:00"/>
    <s v="300043"/>
    <s v="DOUANE"/>
    <n v="1156"/>
  </r>
  <r>
    <s v="Facture comptabilisée"/>
    <m/>
    <x v="0"/>
    <x v="821"/>
    <s v="AVC20-01440"/>
    <d v="2020-11-27T00:00:00"/>
    <s v="300064"/>
    <s v="SONOCO Métal Packaging Maroc"/>
    <n v="15790"/>
  </r>
  <r>
    <s v="Facture comptabilisée"/>
    <m/>
    <x v="0"/>
    <x v="822"/>
    <s v="177/2020"/>
    <d v="2020-11-27T00:00:00"/>
    <s v="300101"/>
    <s v="ASMAE FORWARDING EXPRESS"/>
    <n v="3436.98"/>
  </r>
  <r>
    <s v="Facture comptabilisée"/>
    <m/>
    <x v="0"/>
    <x v="823"/>
    <s v="178/2020"/>
    <d v="2020-11-27T00:00:00"/>
    <s v="300101"/>
    <s v="ASMAE FORWARDING EXPRESS"/>
    <n v="3752.69"/>
  </r>
  <r>
    <s v="Facture comptabilisée"/>
    <m/>
    <x v="0"/>
    <x v="824"/>
    <s v="SILVER FOOD"/>
    <d v="2020-11-27T00:00:00"/>
    <s v="300115"/>
    <s v="AUXILIAR CONSERVERA SA"/>
    <n v="273492.549"/>
  </r>
  <r>
    <s v="Facture comptabilisée"/>
    <m/>
    <x v="0"/>
    <x v="825"/>
    <s v="SILVER FOOD"/>
    <d v="2020-11-27T00:00:00"/>
    <s v="300115"/>
    <s v="AUXILIAR CONSERVERA SA"/>
    <n v="301558.44400000002"/>
  </r>
  <r>
    <s v="Facture comptabilisée"/>
    <m/>
    <x v="0"/>
    <x v="826"/>
    <s v="SILVER FOOD"/>
    <d v="2020-11-27T00:00:00"/>
    <s v="300115"/>
    <s v="AUXILIAR CONSERVERA SA"/>
    <n v="283681.46399999998"/>
  </r>
  <r>
    <s v="Facture comptabilisée"/>
    <m/>
    <x v="0"/>
    <x v="827"/>
    <s v="180/2020"/>
    <d v="2020-11-30T00:00:00"/>
    <s v="300043"/>
    <s v="DOUANE"/>
    <n v="1156"/>
  </r>
  <r>
    <s v="Facture comptabilisée"/>
    <m/>
    <x v="0"/>
    <x v="828"/>
    <s v="108*131"/>
    <d v="2020-11-30T00:00:00"/>
    <s v="300080"/>
    <s v="MASSILLY"/>
    <n v="19602"/>
  </r>
  <r>
    <s v="Facture comptabilisée"/>
    <m/>
    <x v="0"/>
    <x v="829"/>
    <s v="180/2020"/>
    <d v="2020-11-30T00:00:00"/>
    <s v="300101"/>
    <s v="ASMAE FORWARDING EXPRESS"/>
    <n v="3339.67"/>
  </r>
  <r>
    <s v="Facture comptabilisée"/>
    <m/>
    <x v="0"/>
    <x v="830"/>
    <s v="20L"/>
    <d v="2020-11-30T00:00:00"/>
    <s v="300133"/>
    <s v="OP BOX "/>
    <n v="28957.5"/>
  </r>
  <r>
    <s v="Facture comptabilisée"/>
    <m/>
    <x v="0"/>
    <x v="831"/>
    <s v="04/2020 JALAL"/>
    <d v="2020-11-30T00:00:00"/>
    <s v="300191"/>
    <s v="JTTL"/>
    <n v="3158.54"/>
  </r>
  <r>
    <s v="Facture comptabilisée"/>
    <m/>
    <x v="0"/>
    <x v="832"/>
    <s v="05/2020 JALAL"/>
    <d v="2020-11-30T00:00:00"/>
    <s v="300191"/>
    <s v="JTTL"/>
    <n v="3473.43"/>
  </r>
  <r>
    <s v="Facture comptabilisée"/>
    <m/>
    <x v="0"/>
    <x v="833"/>
    <s v="179/2020"/>
    <d v="2020-12-01T00:00:00"/>
    <s v="300043"/>
    <s v="DOUANE"/>
    <n v="1102"/>
  </r>
  <r>
    <s v="Facture comptabilisée"/>
    <m/>
    <x v="0"/>
    <x v="834"/>
    <s v="22L"/>
    <d v="2020-12-01T00:00:00"/>
    <s v="300092"/>
    <s v="METALSCATOLA AFRIQUE"/>
    <n v="13500"/>
  </r>
  <r>
    <s v="Facture comptabilisée"/>
    <m/>
    <x v="0"/>
    <x v="835"/>
    <s v="179/2020"/>
    <d v="2020-12-01T00:00:00"/>
    <s v="300101"/>
    <s v="ASMAE FORWARDING EXPRESS"/>
    <n v="3188.9"/>
  </r>
  <r>
    <s v="Facture comptabilisée"/>
    <m/>
    <x v="0"/>
    <x v="836"/>
    <s v="JIL PACK A"/>
    <d v="2020-12-01T00:00:00"/>
    <s v="300115"/>
    <s v="AUXILIAR CONSERVERA SA"/>
    <n v="259274.565"/>
  </r>
  <r>
    <s v="Facture comptabilisée"/>
    <m/>
    <x v="0"/>
    <x v="837"/>
    <s v="01/2020 JALAL"/>
    <d v="2020-12-01T00:00:00"/>
    <s v="300192"/>
    <s v="CAP-AOUYAL-FRICO TRANSPORT"/>
    <n v="12500"/>
  </r>
  <r>
    <s v="Facture comptabilisée"/>
    <m/>
    <x v="0"/>
    <x v="838"/>
    <s v="02/2020 JALAL "/>
    <d v="2020-12-01T00:00:00"/>
    <s v="300192"/>
    <s v="CAP-AOUYAL-FRICO TRANSPORT"/>
    <n v="12500"/>
  </r>
  <r>
    <s v="Facture comptabilisée"/>
    <m/>
    <x v="0"/>
    <x v="839"/>
    <s v="03/2020 JALAL"/>
    <d v="2020-12-01T00:00:00"/>
    <s v="300192"/>
    <s v="CAP-AOUYAL-FRICO TRANSPORT"/>
    <n v="13000"/>
  </r>
  <r>
    <s v="Facture comptabilisée"/>
    <m/>
    <x v="0"/>
    <x v="840"/>
    <s v="05/2020 JALAL"/>
    <d v="2020-12-01T00:00:00"/>
    <s v="300192"/>
    <s v="CAP-AOUYAL-FRICO TRANSPORT"/>
    <n v="12500"/>
  </r>
  <r>
    <s v="Facture comptabilisée"/>
    <m/>
    <x v="0"/>
    <x v="841"/>
    <s v="04/2020 JALAL"/>
    <d v="2020-12-01T00:00:00"/>
    <s v="300192"/>
    <s v="CAP-AOUYAL-FRICO TRANSPORT"/>
    <n v="11000"/>
  </r>
  <r>
    <s v="Facture comptabilisée"/>
    <m/>
    <x v="0"/>
    <x v="842"/>
    <s v="181/2020"/>
    <d v="2020-12-02T00:00:00"/>
    <s v="300043"/>
    <s v="DOUANE"/>
    <n v="1065"/>
  </r>
  <r>
    <s v="Facture comptabilisée"/>
    <m/>
    <x v="0"/>
    <x v="843"/>
    <s v="06/2020 JALAL"/>
    <d v="2020-12-02T00:00:00"/>
    <s v="300043"/>
    <s v="DOUANE"/>
    <n v="1053"/>
  </r>
  <r>
    <s v="Facture comptabilisée"/>
    <m/>
    <x v="0"/>
    <x v="844"/>
    <s v="181/2020"/>
    <d v="2020-12-02T00:00:00"/>
    <s v="300101"/>
    <s v="ASMAE FORWARDING EXPRESS"/>
    <n v="3822.65"/>
  </r>
  <r>
    <s v="Facture comptabilisée"/>
    <m/>
    <x v="0"/>
    <x v="845"/>
    <s v="SILVER FOOD"/>
    <d v="2020-12-02T00:00:00"/>
    <s v="300115"/>
    <s v="AUXILIAR CONSERVERA SA"/>
    <n v="178902.6844"/>
  </r>
  <r>
    <s v="Facture comptabilisée"/>
    <m/>
    <x v="0"/>
    <x v="846"/>
    <s v="4000L"/>
    <d v="2020-12-02T00:00:00"/>
    <s v="300133"/>
    <s v="OP BOX "/>
    <n v="43104"/>
  </r>
  <r>
    <s v="Facture comptabilisée"/>
    <m/>
    <x v="0"/>
    <x v="847"/>
    <s v="176/2020"/>
    <d v="2020-12-04T00:00:00"/>
    <s v="300043"/>
    <s v="DOUANE"/>
    <n v="517"/>
  </r>
  <r>
    <s v="Facture comptabilisée"/>
    <m/>
    <x v="0"/>
    <x v="848"/>
    <s v="AVC20-01454"/>
    <d v="2020-12-04T00:00:00"/>
    <s v="300064"/>
    <s v="SONOCO Métal Packaging Maroc"/>
    <n v="13480"/>
  </r>
  <r>
    <s v="Facture comptabilisée"/>
    <m/>
    <x v="0"/>
    <x v="849"/>
    <d v="2026-04-04T00:00:00"/>
    <d v="2020-12-04T00:00:00"/>
    <s v="300064"/>
    <s v="SONOCO Métal Packaging Maroc"/>
    <n v="106221.12"/>
  </r>
  <r>
    <s v="Facture comptabilisée"/>
    <m/>
    <x v="0"/>
    <x v="850"/>
    <d v="2026-01-05T00:00:00"/>
    <d v="2020-12-04T00:00:00"/>
    <s v="300064"/>
    <s v="SONOCO Métal Packaging Maroc"/>
    <n v="12990"/>
  </r>
  <r>
    <s v="Facture comptabilisée"/>
    <m/>
    <x v="0"/>
    <x v="851"/>
    <s v="176/2020"/>
    <d v="2020-12-04T00:00:00"/>
    <s v="300101"/>
    <s v="ASMAE FORWARDING EXPRESS"/>
    <n v="4261"/>
  </r>
  <r>
    <s v="Facture comptabilisée"/>
    <m/>
    <x v="0"/>
    <x v="852"/>
    <s v="SILVER FOOD"/>
    <d v="2020-12-04T00:00:00"/>
    <s v="300115"/>
    <s v="AUXILIAR CONSERVERA SA"/>
    <n v="301558.44400000002"/>
  </r>
  <r>
    <s v="Facture comptabilisée"/>
    <m/>
    <x v="0"/>
    <x v="853"/>
    <s v="SILVER FOOD"/>
    <d v="2020-12-04T00:00:00"/>
    <s v="300115"/>
    <s v="AUXILIAR CONSERVERA SA"/>
    <n v="301558.44400000002"/>
  </r>
  <r>
    <s v="Facture comptabilisée"/>
    <m/>
    <x v="0"/>
    <x v="854"/>
    <s v="183/2020"/>
    <d v="2020-12-07T00:00:00"/>
    <s v="300043"/>
    <s v="DOUANE"/>
    <n v="757"/>
  </r>
  <r>
    <s v="Facture comptabilisée"/>
    <m/>
    <x v="0"/>
    <x v="855"/>
    <s v="183/2020"/>
    <d v="2020-12-07T00:00:00"/>
    <s v="300101"/>
    <s v="ASMAE FORWARDING EXPRESS"/>
    <n v="3829.07"/>
  </r>
  <r>
    <s v="Facture comptabilisée"/>
    <m/>
    <x v="0"/>
    <x v="856"/>
    <s v="1L RECT"/>
    <d v="2020-12-08T00:00:00"/>
    <s v="300092"/>
    <s v="METALSCATOLA AFRIQUE"/>
    <n v="15552"/>
  </r>
  <r>
    <s v="Facture comptabilisée"/>
    <m/>
    <x v="0"/>
    <x v="857"/>
    <s v="182/2020"/>
    <d v="2020-12-09T00:00:00"/>
    <s v="300043"/>
    <s v="DOUANE"/>
    <n v="1164"/>
  </r>
  <r>
    <s v="Facture comptabilisée"/>
    <m/>
    <x v="0"/>
    <x v="858"/>
    <s v="175/2020"/>
    <d v="2020-12-09T00:00:00"/>
    <s v="300043"/>
    <s v="DOUANE"/>
    <n v="1162"/>
  </r>
  <r>
    <s v="Facture comptabilisée"/>
    <m/>
    <x v="0"/>
    <x v="859"/>
    <s v="175/2020"/>
    <d v="2020-12-09T00:00:00"/>
    <s v="300101"/>
    <s v="ASMAE FORWARDING EXPRESS"/>
    <n v="3193.52"/>
  </r>
  <r>
    <s v="Facture comptabilisée"/>
    <m/>
    <x v="0"/>
    <x v="860"/>
    <s v="182/2020"/>
    <d v="2020-12-09T00:00:00"/>
    <s v="300101"/>
    <s v="ASMAE FORWARDING EXPRESS"/>
    <n v="3352.84"/>
  </r>
  <r>
    <s v="Facture comptabilisée"/>
    <m/>
    <x v="0"/>
    <x v="861"/>
    <s v="COPAG"/>
    <d v="2020-12-09T00:00:00"/>
    <s v="300115"/>
    <s v="AUXILIAR CONSERVERA SA"/>
    <n v="187989.7371"/>
  </r>
  <r>
    <s v="Facture comptabilisée"/>
    <m/>
    <x v="0"/>
    <x v="862"/>
    <s v="SILVER FOOD"/>
    <d v="2020-12-09T00:00:00"/>
    <s v="300115"/>
    <s v="AUXILIAR CONSERVERA SA"/>
    <n v="301558.44400000002"/>
  </r>
  <r>
    <s v="Facture comptabilisée"/>
    <m/>
    <x v="0"/>
    <x v="863"/>
    <s v="173/2020"/>
    <d v="2020-12-10T00:00:00"/>
    <s v="300101"/>
    <s v="ASMAE FORWARDING EXPRESS"/>
    <n v="157.55000000000001"/>
  </r>
  <r>
    <s v="Facture comptabilisée"/>
    <m/>
    <x v="0"/>
    <x v="864"/>
    <s v="JIL PACK*1*"/>
    <d v="2020-12-10T00:00:00"/>
    <s v="300115"/>
    <s v="AUXILIAR CONSERVERA SA"/>
    <n v="136509.12"/>
  </r>
  <r>
    <s v="Facture comptabilisée"/>
    <m/>
    <x v="0"/>
    <x v="865"/>
    <s v="QUALIAGRO*2*"/>
    <d v="2020-12-10T00:00:00"/>
    <s v="300115"/>
    <s v="AUXILIAR CONSERVERA SA"/>
    <n v="101962.0668"/>
  </r>
  <r>
    <s v="Facture comptabilisée"/>
    <m/>
    <x v="0"/>
    <x v="866"/>
    <s v="NOTAM"/>
    <d v="2020-12-10T00:00:00"/>
    <s v="300115"/>
    <s v="AUXILIAR CONSERVERA SA"/>
    <n v="150602.1"/>
  </r>
  <r>
    <s v="Facture comptabilisée"/>
    <m/>
    <x v="0"/>
    <x v="867"/>
    <s v="174/2020"/>
    <d v="2020-12-11T00:00:00"/>
    <s v="300043"/>
    <s v="DOUANE"/>
    <n v="787"/>
  </r>
  <r>
    <s v="Facture comptabilisée"/>
    <m/>
    <x v="0"/>
    <x v="868"/>
    <s v="2KG5"/>
    <d v="2020-12-11T00:00:00"/>
    <s v="300064"/>
    <s v="SONOCO Métal Packaging Maroc"/>
    <n v="28018"/>
  </r>
  <r>
    <s v="Facture comptabilisée"/>
    <m/>
    <x v="0"/>
    <x v="869"/>
    <s v="22L"/>
    <d v="2020-12-11T00:00:00"/>
    <s v="300092"/>
    <s v="METALSCATOLA AFRIQUE"/>
    <n v="13500"/>
  </r>
  <r>
    <s v="Facture comptabilisée"/>
    <m/>
    <x v="0"/>
    <x v="870"/>
    <s v="174/2020"/>
    <d v="2020-12-11T00:00:00"/>
    <s v="300101"/>
    <s v="ASMAE FORWARDING EXPRESS"/>
    <n v="3349.75"/>
  </r>
  <r>
    <s v="Facture comptabilisée"/>
    <m/>
    <x v="0"/>
    <x v="871"/>
    <s v="JIL PACK A"/>
    <d v="2020-12-11T00:00:00"/>
    <s v="300115"/>
    <s v="AUXILIAR CONSERVERA SA"/>
    <n v="259274.565"/>
  </r>
  <r>
    <s v="Facture comptabilisée"/>
    <m/>
    <x v="0"/>
    <x v="872"/>
    <s v="COPAG"/>
    <d v="2020-12-11T00:00:00"/>
    <s v="300115"/>
    <s v="AUXILIAR CONSERVERA SA"/>
    <n v="194782.89600000001"/>
  </r>
  <r>
    <s v="Facture comptabilisée"/>
    <m/>
    <x v="0"/>
    <x v="873"/>
    <s v="PILJAR"/>
    <d v="2020-12-12T00:00:00"/>
    <s v="300081"/>
    <s v="JIL EMBALLAGES"/>
    <n v="136069.0968"/>
  </r>
  <r>
    <s v="Facture comptabilisée"/>
    <m/>
    <x v="0"/>
    <x v="874"/>
    <s v="186/2020"/>
    <d v="2020-12-12T00:00:00"/>
    <s v="300101"/>
    <s v="ASMAE FORWARDING EXPRESS"/>
    <n v="3670.92"/>
  </r>
  <r>
    <s v="Facture comptabilisée"/>
    <m/>
    <x v="0"/>
    <x v="875"/>
    <s v="07/2020 JALAL"/>
    <d v="2020-12-14T00:00:00"/>
    <s v="300043"/>
    <s v="DOUANE"/>
    <n v="1056"/>
  </r>
  <r>
    <s v="Facture comptabilisée"/>
    <m/>
    <x v="0"/>
    <x v="876"/>
    <s v="185/2020"/>
    <d v="2020-12-14T00:00:00"/>
    <s v="300043"/>
    <s v="DOUANE"/>
    <n v="663"/>
  </r>
  <r>
    <s v="Facture comptabilisée"/>
    <m/>
    <x v="0"/>
    <x v="877"/>
    <s v="185/2020"/>
    <d v="2020-12-14T00:00:00"/>
    <s v="300101"/>
    <s v="ASMAE FORWARDING EXPRESS"/>
    <n v="3512.15"/>
  </r>
  <r>
    <s v="Facture comptabilisée"/>
    <m/>
    <x v="0"/>
    <x v="878"/>
    <s v="600ML"/>
    <d v="2020-12-14T00:00:00"/>
    <s v="300133"/>
    <s v="OP BOX "/>
    <n v="20318"/>
  </r>
  <r>
    <s v="Facture comptabilisée"/>
    <m/>
    <x v="0"/>
    <x v="879"/>
    <s v="06/2020 JALAL"/>
    <d v="2020-12-14T00:00:00"/>
    <s v="300191"/>
    <s v="JTTL"/>
    <n v="3169.64"/>
  </r>
  <r>
    <s v="Facture comptabilisée"/>
    <m/>
    <x v="0"/>
    <x v="880"/>
    <s v="186/2020"/>
    <d v="2020-12-15T00:00:00"/>
    <s v="300043"/>
    <s v="DOUANE"/>
    <n v="954"/>
  </r>
  <r>
    <s v="Facture comptabilisée"/>
    <m/>
    <x v="0"/>
    <x v="881"/>
    <s v="190/2020"/>
    <d v="2020-12-16T00:00:00"/>
    <s v="300043"/>
    <s v="DOUANE"/>
    <n v="1164"/>
  </r>
  <r>
    <s v="Facture comptabilisée"/>
    <m/>
    <x v="0"/>
    <x v="882"/>
    <s v="1/2 CY"/>
    <d v="2020-12-16T00:00:00"/>
    <s v="300064"/>
    <s v="SONOCO Métal Packaging Maroc"/>
    <n v="39787"/>
  </r>
  <r>
    <s v="Facture comptabilisée"/>
    <m/>
    <x v="0"/>
    <x v="883"/>
    <s v="86*110"/>
    <d v="2020-12-16T00:00:00"/>
    <s v="300064"/>
    <s v="SONOCO Métal Packaging Maroc"/>
    <n v="16625"/>
  </r>
  <r>
    <s v="Facture comptabilisée"/>
    <m/>
    <x v="0"/>
    <x v="884"/>
    <s v="190/2020"/>
    <d v="2020-12-16T00:00:00"/>
    <s v="300101"/>
    <s v="ASMAE FORWARDING EXPRESS"/>
    <n v="3828.5"/>
  </r>
  <r>
    <s v="Facture comptabilisée"/>
    <m/>
    <x v="0"/>
    <x v="885"/>
    <s v="184/2020"/>
    <d v="2020-12-17T00:00:00"/>
    <s v="300043"/>
    <s v="DOUANE"/>
    <n v="809"/>
  </r>
  <r>
    <s v="Facture comptabilisée"/>
    <m/>
    <x v="0"/>
    <x v="886"/>
    <s v="184/2020"/>
    <d v="2020-12-17T00:00:00"/>
    <s v="300101"/>
    <s v="ASMAE FORWARDING EXPRESS"/>
    <n v="3348.64"/>
  </r>
  <r>
    <s v="Facture comptabilisée"/>
    <m/>
    <x v="0"/>
    <x v="887"/>
    <s v="MFI TFS"/>
    <d v="2020-12-17T00:00:00"/>
    <s v="300115"/>
    <s v="AUXILIAR CONSERVERA SA"/>
    <n v="137382.03599999999"/>
  </r>
  <r>
    <s v="Facture comptabilisée"/>
    <m/>
    <x v="0"/>
    <x v="888"/>
    <s v="4/4 EPOXY"/>
    <d v="2020-12-17T00:00:00"/>
    <s v="300115"/>
    <s v="AUXILIAR CONSERVERA SA"/>
    <n v="138123.348"/>
  </r>
  <r>
    <s v="Facture comptabilisée"/>
    <m/>
    <x v="0"/>
    <x v="889"/>
    <s v="JIL PACK A"/>
    <d v="2020-12-17T00:00:00"/>
    <s v="300115"/>
    <s v="AUXILIAR CONSERVERA SA"/>
    <n v="259274.565"/>
  </r>
  <r>
    <s v="Facture comptabilisée"/>
    <m/>
    <x v="0"/>
    <x v="890"/>
    <s v="SILVER FOOD"/>
    <d v="2020-12-17T00:00:00"/>
    <s v="300115"/>
    <s v="AUXILIAR CONSERVERA SA"/>
    <n v="275114.27899999998"/>
  </r>
  <r>
    <s v="Facture comptabilisée"/>
    <m/>
    <x v="0"/>
    <x v="891"/>
    <s v="07/2020 JALAL"/>
    <d v="2020-12-17T00:00:00"/>
    <s v="300191"/>
    <s v="JTTL"/>
    <n v="3174.15"/>
  </r>
  <r>
    <s v="Facture comptabilisée"/>
    <m/>
    <x v="0"/>
    <x v="892"/>
    <s v="08/2020 JALAL"/>
    <d v="2020-12-18T00:00:00"/>
    <s v="300043"/>
    <s v="DOUANE"/>
    <n v="828"/>
  </r>
  <r>
    <s v="Facture comptabilisée"/>
    <m/>
    <x v="0"/>
    <x v="893"/>
    <s v="AVC20-01583"/>
    <d v="2020-12-18T00:00:00"/>
    <s v="300064"/>
    <s v="SONOCO Métal Packaging Maroc"/>
    <n v="26130"/>
  </r>
  <r>
    <s v="Facture comptabilisée"/>
    <m/>
    <x v="0"/>
    <x v="894"/>
    <s v="2KG5"/>
    <d v="2020-12-18T00:00:00"/>
    <s v="300064"/>
    <s v="SONOCO Métal Packaging Maroc"/>
    <n v="41922"/>
  </r>
  <r>
    <s v="Facture comptabilisée"/>
    <m/>
    <x v="0"/>
    <x v="895"/>
    <s v="1/4 CLUB"/>
    <d v="2020-12-18T00:00:00"/>
    <s v="300115"/>
    <s v="AUXILIAR CONSERVERA SA"/>
    <n v="249414.3916"/>
  </r>
  <r>
    <s v="Facture comptabilisée"/>
    <m/>
    <x v="0"/>
    <x v="896"/>
    <s v="09/2020 JALAL"/>
    <d v="2020-12-21T00:00:00"/>
    <s v="300043"/>
    <s v="DOUANE"/>
    <n v="1024"/>
  </r>
  <r>
    <s v="Facture comptabilisée"/>
    <m/>
    <x v="0"/>
    <x v="897"/>
    <s v="189/2020"/>
    <d v="2020-12-21T00:00:00"/>
    <s v="300043"/>
    <s v="DOUANE"/>
    <n v="617"/>
  </r>
  <r>
    <s v="Facture comptabilisée"/>
    <m/>
    <x v="0"/>
    <x v="898"/>
    <s v="189/2020"/>
    <d v="2020-12-21T00:00:00"/>
    <s v="300101"/>
    <s v="ASMAE FORWARDING EXPRESS"/>
    <n v="3509.55"/>
  </r>
  <r>
    <s v="Facture comptabilisée"/>
    <m/>
    <x v="0"/>
    <x v="899"/>
    <s v="188/2020"/>
    <d v="2020-12-22T00:00:00"/>
    <s v="300043"/>
    <s v="DOUANE"/>
    <n v="620"/>
  </r>
  <r>
    <s v="Facture comptabilisée"/>
    <m/>
    <x v="0"/>
    <x v="900"/>
    <s v="187/2020"/>
    <d v="2020-12-22T00:00:00"/>
    <s v="300043"/>
    <s v="DOUANE"/>
    <n v="1074"/>
  </r>
  <r>
    <s v="Facture comptabilisée"/>
    <m/>
    <x v="0"/>
    <x v="901"/>
    <s v="187/2020"/>
    <d v="2020-12-22T00:00:00"/>
    <s v="300101"/>
    <s v="ASMAE FORWARDING EXPRESS"/>
    <n v="3519.82"/>
  </r>
  <r>
    <s v="Facture comptabilisée"/>
    <m/>
    <x v="0"/>
    <x v="902"/>
    <s v="188/2020"/>
    <d v="2020-12-22T00:00:00"/>
    <s v="300101"/>
    <s v="ASMAE FORWARDING EXPRESS"/>
    <n v="3679.07"/>
  </r>
  <r>
    <s v="Facture comptabilisée"/>
    <m/>
    <x v="0"/>
    <x v="903"/>
    <s v="FOODIS"/>
    <d v="2020-12-22T00:00:00"/>
    <s v="300115"/>
    <s v="AUXILIAR CONSERVERA SA"/>
    <n v="143323.62880000001"/>
  </r>
  <r>
    <s v="Facture comptabilisée"/>
    <m/>
    <x v="0"/>
    <x v="904"/>
    <s v="191/2020"/>
    <d v="2020-12-24T00:00:00"/>
    <s v="300043"/>
    <s v="DOUANE"/>
    <n v="641"/>
  </r>
  <r>
    <s v="Facture comptabilisée"/>
    <m/>
    <x v="0"/>
    <x v="905"/>
    <s v="191/2020"/>
    <d v="2020-12-24T00:00:00"/>
    <s v="300101"/>
    <s v="ASMAE FORWARDING EXPRESS"/>
    <n v="3359.91"/>
  </r>
  <r>
    <s v="Facture comptabilisée"/>
    <m/>
    <x v="0"/>
    <x v="906"/>
    <s v="08/2020 JALAL"/>
    <d v="2020-12-28T00:00:00"/>
    <s v="300191"/>
    <s v="JTTL"/>
    <n v="3171.95"/>
  </r>
  <r>
    <s v="Facture comptabilisée"/>
    <m/>
    <x v="0"/>
    <x v="907"/>
    <s v="NOTAM"/>
    <d v="2020-12-29T00:00:00"/>
    <s v="300115"/>
    <s v="AUXILIAR CONSERVERA SA"/>
    <n v="150602.1"/>
  </r>
  <r>
    <s v="Facture comptabilisée"/>
    <m/>
    <x v="0"/>
    <x v="908"/>
    <s v="09/2020 JALAL"/>
    <d v="2020-12-29T00:00:00"/>
    <s v="300191"/>
    <s v="JTTL"/>
    <n v="3332.7"/>
  </r>
  <r>
    <s v="Facture comptabilisée"/>
    <m/>
    <x v="0"/>
    <x v="909"/>
    <s v="192/2020"/>
    <d v="2020-12-30T00:00:00"/>
    <s v="300043"/>
    <s v="DOUANE"/>
    <n v="664"/>
  </r>
  <r>
    <s v="Facture comptabilisée"/>
    <m/>
    <x v="0"/>
    <x v="910"/>
    <s v="191/2020"/>
    <d v="2020-12-30T00:00:00"/>
    <s v="300101"/>
    <s v="ASMAE FORWARDING EXPRESS"/>
    <n v="477.63"/>
  </r>
  <r>
    <s v="Facture comptabilisée"/>
    <m/>
    <x v="0"/>
    <x v="911"/>
    <s v="192/2020"/>
    <d v="2020-12-30T00:00:00"/>
    <s v="300101"/>
    <s v="ASMAE FORWARDING EXPRESS"/>
    <n v="3201.41"/>
  </r>
  <r>
    <s v="Facture comptabilisée"/>
    <m/>
    <x v="0"/>
    <x v="912"/>
    <s v="MFI"/>
    <d v="2020-12-30T00:00:00"/>
    <s v="300115"/>
    <s v="AUXILIAR CONSERVERA SA"/>
    <n v="137380.4289"/>
  </r>
  <r>
    <s v="Facture comptabilisée"/>
    <m/>
    <x v="0"/>
    <x v="913"/>
    <s v="07/2020 JALAL"/>
    <d v="2020-12-31T00:00:00"/>
    <s v="300192"/>
    <s v="CAP-AOUYAL-FRICO TRANSPORT"/>
    <n v="12500"/>
  </r>
  <r>
    <s v="Facture comptabilisée"/>
    <m/>
    <x v="0"/>
    <x v="914"/>
    <s v="08/2020 JALAL"/>
    <d v="2020-12-31T00:00:00"/>
    <s v="300192"/>
    <s v="CAP-AOUYAL-FRICO TRANSPORT"/>
    <n v="12500"/>
  </r>
  <r>
    <s v="Facture comptabilisée"/>
    <m/>
    <x v="0"/>
    <x v="915"/>
    <s v="09/2020 JALAL"/>
    <d v="2020-12-31T00:00:00"/>
    <s v="300192"/>
    <s v="CAP-AOUYAL-FRICO TRANSPORT"/>
    <n v="12500"/>
  </r>
  <r>
    <s v="Facture comptabilisée"/>
    <m/>
    <x v="0"/>
    <x v="916"/>
    <d v="2021-01-01T00:00:00"/>
    <d v="2021-01-04T00:00:00"/>
    <s v="300043"/>
    <s v="DOUANE"/>
    <n v="621"/>
  </r>
  <r>
    <s v="Facture comptabilisée"/>
    <m/>
    <x v="0"/>
    <x v="917"/>
    <d v="2021-01-01T00:00:00"/>
    <d v="2021-01-04T00:00:00"/>
    <s v="300101"/>
    <s v="ASMAE FORWARDING EXPRESS"/>
    <n v="3678.43"/>
  </r>
  <r>
    <s v="Facture comptabilisée"/>
    <m/>
    <x v="0"/>
    <x v="918"/>
    <s v="JIL PACK A"/>
    <d v="2021-01-05T00:00:00"/>
    <s v="300115"/>
    <s v="AUXILIAR CONSERVERA SA"/>
    <n v="278418.712"/>
  </r>
  <r>
    <s v="Facture comptabilisée"/>
    <m/>
    <x v="0"/>
    <x v="919"/>
    <s v="5500 ML M2"/>
    <d v="2021-01-05T00:00:00"/>
    <s v="300133"/>
    <s v="OP BOX "/>
    <n v="48828"/>
  </r>
  <r>
    <s v="Facture comptabilisée"/>
    <m/>
    <x v="0"/>
    <x v="920"/>
    <s v="18L"/>
    <d v="2021-01-05T00:00:00"/>
    <s v="300133"/>
    <s v="OP BOX "/>
    <n v="27756"/>
  </r>
  <r>
    <s v="Facture comptabilisée"/>
    <m/>
    <x v="0"/>
    <x v="921"/>
    <s v="600ML"/>
    <d v="2021-01-05T00:00:00"/>
    <s v="300133"/>
    <s v="OP BOX "/>
    <n v="20936"/>
  </r>
  <r>
    <s v="Facture comptabilisée"/>
    <m/>
    <x v="0"/>
    <x v="922"/>
    <s v="02/2021 JALAL"/>
    <d v="2021-01-06T00:00:00"/>
    <s v="300043"/>
    <s v="DOUANE"/>
    <n v="1113"/>
  </r>
  <r>
    <s v="Facture comptabilisée"/>
    <m/>
    <x v="0"/>
    <x v="923"/>
    <s v="JIL PACK A "/>
    <d v="2021-01-07T00:00:00"/>
    <s v="300115"/>
    <s v="AUXILIAR CONSERVERA SA"/>
    <n v="249728.4768"/>
  </r>
  <r>
    <s v="Facture comptabilisée"/>
    <m/>
    <x v="0"/>
    <x v="924"/>
    <s v="01/2021 JALAL"/>
    <d v="2021-01-08T00:00:00"/>
    <s v="300043"/>
    <s v="DOUANE"/>
    <n v="1016"/>
  </r>
  <r>
    <s v="Facture comptabilisée"/>
    <m/>
    <x v="0"/>
    <x v="925"/>
    <s v="3.8 TRANS"/>
    <d v="2021-01-08T00:00:00"/>
    <s v="300133"/>
    <s v="OP BOX "/>
    <n v="5940"/>
  </r>
  <r>
    <s v="Facture comptabilisée"/>
    <m/>
    <x v="0"/>
    <x v="926"/>
    <s v="JIL PACK A*SILVER"/>
    <d v="2021-01-12T00:00:00"/>
    <s v="300115"/>
    <s v="AUXILIAR CONSERVERA SA"/>
    <n v="259692.74100000001"/>
  </r>
  <r>
    <s v="Facture comptabilisée"/>
    <m/>
    <x v="0"/>
    <x v="927"/>
    <s v="JIL PACK A*SILVER"/>
    <d v="2021-01-12T00:00:00"/>
    <s v="300115"/>
    <s v="AUXILIAR CONSERVERA SA"/>
    <n v="259692.74100000001"/>
  </r>
  <r>
    <s v="Facture comptabilisée"/>
    <m/>
    <x v="0"/>
    <x v="928"/>
    <s v="210038"/>
    <d v="2021-01-13T00:00:00"/>
    <s v="300092"/>
    <s v="METALSCATOLA AFRIQUE"/>
    <n v="41548"/>
  </r>
  <r>
    <s v="Facture comptabilisée"/>
    <m/>
    <x v="0"/>
    <x v="929"/>
    <s v="JIL PACK"/>
    <d v="2021-01-13T00:00:00"/>
    <s v="300115"/>
    <s v="AUXILIAR CONSERVERA SA"/>
    <n v="126182.463"/>
  </r>
  <r>
    <s v="Facture comptabilisée"/>
    <m/>
    <x v="0"/>
    <x v="930"/>
    <s v="LOGI FOOD"/>
    <d v="2021-01-13T00:00:00"/>
    <s v="300115"/>
    <s v="AUXILIAR CONSERVERA SA"/>
    <n v="155691.52830000001"/>
  </r>
  <r>
    <s v="Facture comptabilisée"/>
    <m/>
    <x v="0"/>
    <x v="931"/>
    <s v="04/2021 JALAL"/>
    <d v="2021-01-14T00:00:00"/>
    <s v="300043"/>
    <s v="DOUANE"/>
    <n v="1047"/>
  </r>
  <r>
    <s v="Facture comptabilisée"/>
    <m/>
    <x v="0"/>
    <x v="932"/>
    <s v="03/2021 JALAL"/>
    <d v="2021-01-14T00:00:00"/>
    <s v="300043"/>
    <s v="DOUANE"/>
    <n v="1047"/>
  </r>
  <r>
    <s v="Facture comptabilisée"/>
    <m/>
    <x v="0"/>
    <x v="933"/>
    <s v="4/4 G3"/>
    <d v="2021-01-14T00:00:00"/>
    <s v="300080"/>
    <s v="MASSILLY"/>
    <n v="64702.637999999999"/>
  </r>
  <r>
    <s v="Facture comptabilisée"/>
    <m/>
    <x v="0"/>
    <x v="934"/>
    <s v="1/2 RECT"/>
    <d v="2021-01-14T00:00:00"/>
    <s v="300092"/>
    <s v="METALSCATOLA AFRIQUE"/>
    <n v="56037.8"/>
  </r>
  <r>
    <s v="Facture comptabilisée"/>
    <m/>
    <x v="0"/>
    <x v="935"/>
    <s v="MFI"/>
    <d v="2021-01-14T00:00:00"/>
    <s v="300115"/>
    <s v="AUXILIAR CONSERVERA SA"/>
    <n v="137382.03599999999"/>
  </r>
  <r>
    <s v="Facture comptabilisée"/>
    <m/>
    <x v="0"/>
    <x v="936"/>
    <s v="TWIST OFF"/>
    <d v="2021-01-14T00:00:00"/>
    <s v="300226"/>
    <s v="Sarten Ambalaj Sanayi ve Ticaret AS"/>
    <n v="97259"/>
  </r>
  <r>
    <s v="Facture comptabilisée"/>
    <m/>
    <x v="0"/>
    <x v="937"/>
    <s v="CVC 2300"/>
    <d v="2021-01-15T00:00:00"/>
    <s v="300133"/>
    <s v="OP BOX "/>
    <n v="5108.3999999999996"/>
  </r>
  <r>
    <s v="Facture comptabilisée"/>
    <m/>
    <x v="0"/>
    <x v="938"/>
    <s v="20L"/>
    <d v="2021-01-15T00:00:00"/>
    <s v="300133"/>
    <s v="OP BOX "/>
    <n v="22243"/>
  </r>
  <r>
    <s v="Facture comptabilisée"/>
    <m/>
    <x v="0"/>
    <x v="939"/>
    <s v="01/2021 JALAL"/>
    <d v="2021-01-15T00:00:00"/>
    <s v="300191"/>
    <s v="JTTL"/>
    <n v="3178.17"/>
  </r>
  <r>
    <s v="Facture comptabilisée"/>
    <m/>
    <x v="0"/>
    <x v="940"/>
    <s v="02/2021 JALAL"/>
    <d v="2021-01-15T00:00:00"/>
    <s v="300191"/>
    <s v="JTTL"/>
    <n v="3162.21"/>
  </r>
  <r>
    <s v="Facture comptabilisée"/>
    <m/>
    <x v="0"/>
    <x v="941"/>
    <d v="2021-03-01T00:00:00"/>
    <d v="2021-01-18T00:00:00"/>
    <s v="300043"/>
    <s v="DOUANE"/>
    <n v="614"/>
  </r>
  <r>
    <s v="Facture comptabilisée"/>
    <m/>
    <x v="0"/>
    <x v="942"/>
    <d v="2021-02-01T00:00:00"/>
    <d v="2021-01-18T00:00:00"/>
    <s v="300043"/>
    <s v="DOUANE"/>
    <n v="1089"/>
  </r>
  <r>
    <s v="Facture comptabilisée"/>
    <m/>
    <x v="0"/>
    <x v="943"/>
    <d v="2021-02-01T00:00:00"/>
    <d v="2021-01-18T00:00:00"/>
    <s v="300101"/>
    <s v="ASMAE FORWARDING EXPRESS"/>
    <n v="3488.21"/>
  </r>
  <r>
    <s v="Facture comptabilisée"/>
    <m/>
    <x v="0"/>
    <x v="944"/>
    <d v="2021-03-01T00:00:00"/>
    <d v="2021-01-18T00:00:00"/>
    <s v="300101"/>
    <s v="ASMAE FORWARDING EXPRESS"/>
    <n v="3488.42"/>
  </r>
  <r>
    <s v="Facture comptabilisée"/>
    <m/>
    <x v="0"/>
    <x v="945"/>
    <s v="03/2021 JALAL"/>
    <d v="2021-01-18T00:00:00"/>
    <s v="300191"/>
    <s v="JTTL"/>
    <n v="3153.77"/>
  </r>
  <r>
    <s v="Facture comptabilisée"/>
    <m/>
    <x v="0"/>
    <x v="946"/>
    <s v="04/2021 JALAL"/>
    <d v="2021-01-18T00:00:00"/>
    <s v="300191"/>
    <s v="JTTL"/>
    <n v="3153.77"/>
  </r>
  <r>
    <s v="Facture comptabilisée"/>
    <m/>
    <x v="0"/>
    <x v="947"/>
    <s v="4L NOIRE"/>
    <d v="2021-01-20T00:00:00"/>
    <s v="300133"/>
    <s v="OP BOX "/>
    <n v="10448.34"/>
  </r>
  <r>
    <s v="Facture comptabilisée"/>
    <m/>
    <x v="0"/>
    <x v="948"/>
    <s v="20L"/>
    <d v="2021-01-20T00:00:00"/>
    <s v="300133"/>
    <s v="OP BOX "/>
    <n v="11583"/>
  </r>
  <r>
    <s v="Facture comptabilisée"/>
    <m/>
    <x v="0"/>
    <x v="949"/>
    <s v="RAF"/>
    <d v="2021-01-21T00:00:00"/>
    <s v="300115"/>
    <s v="AUXILIAR CONSERVERA SA"/>
    <n v="693492.03"/>
  </r>
  <r>
    <s v="Facture comptabilisée"/>
    <m/>
    <x v="0"/>
    <x v="950"/>
    <s v="2100387"/>
    <d v="2021-01-22T00:00:00"/>
    <s v="300064"/>
    <s v="SONOCO Métal Packaging Maroc"/>
    <n v="56986.8"/>
  </r>
  <r>
    <s v="Facture comptabilisée"/>
    <m/>
    <x v="0"/>
    <x v="951"/>
    <s v="2100388"/>
    <d v="2021-01-22T00:00:00"/>
    <s v="300064"/>
    <s v="SONOCO Métal Packaging Maroc"/>
    <n v="5319.12"/>
  </r>
  <r>
    <s v="Facture comptabilisée"/>
    <m/>
    <x v="0"/>
    <x v="952"/>
    <s v="JIL PACK"/>
    <d v="2021-01-22T00:00:00"/>
    <s v="300093"/>
    <s v="AVEZ SAS"/>
    <n v="172605.31200000001"/>
  </r>
  <r>
    <s v="Facture comptabilisée"/>
    <m/>
    <x v="0"/>
    <x v="953"/>
    <s v="2100482"/>
    <d v="2021-01-26T00:00:00"/>
    <s v="300064"/>
    <s v="SONOCO Métal Packaging Maroc"/>
    <n v="81234"/>
  </r>
  <r>
    <s v="Facture comptabilisée"/>
    <m/>
    <x v="0"/>
    <x v="954"/>
    <s v="221310020"/>
    <d v="2021-01-27T00:00:00"/>
    <s v="300080"/>
    <s v="MASSILLY"/>
    <n v="11320"/>
  </r>
  <r>
    <s v="Facture comptabilisée"/>
    <m/>
    <x v="0"/>
    <x v="955"/>
    <s v="1/2 RECT"/>
    <d v="2021-01-27T00:00:00"/>
    <s v="300092"/>
    <s v="METALSCATOLA AFRIQUE"/>
    <n v="42138.5"/>
  </r>
  <r>
    <s v="Facture comptabilisée"/>
    <m/>
    <x v="0"/>
    <x v="956"/>
    <s v="NOTAM"/>
    <d v="2021-01-27T00:00:00"/>
    <s v="300115"/>
    <s v="AUXILIAR CONSERVERA SA"/>
    <n v="156200.4664"/>
  </r>
  <r>
    <s v="Facture comptabilisée"/>
    <m/>
    <x v="0"/>
    <x v="957"/>
    <s v="JIL PACK A"/>
    <d v="2021-01-28T00:00:00"/>
    <s v="300115"/>
    <s v="AUXILIAR CONSERVERA SA"/>
    <n v="277741.66749999998"/>
  </r>
  <r>
    <s v="Facture comptabilisée"/>
    <m/>
    <x v="0"/>
    <x v="958"/>
    <s v="1200AP"/>
    <d v="2021-01-28T00:00:00"/>
    <s v="300133"/>
    <s v="OP BOX "/>
    <n v="28986"/>
  </r>
  <r>
    <s v="Facture comptabilisée"/>
    <m/>
    <x v="0"/>
    <x v="959"/>
    <s v="210117"/>
    <d v="2021-01-29T00:00:00"/>
    <s v="300092"/>
    <s v="METALSCATOLA AFRIQUE"/>
    <n v="79131.3"/>
  </r>
  <r>
    <s v="Facture comptabilisée"/>
    <m/>
    <x v="0"/>
    <x v="960"/>
    <s v="10L"/>
    <d v="2021-01-29T00:00:00"/>
    <s v="300133"/>
    <s v="OP BOX "/>
    <n v="15990"/>
  </r>
  <r>
    <s v="Facture comptabilisée"/>
    <m/>
    <x v="0"/>
    <x v="961"/>
    <s v="05/2021 JALAL"/>
    <d v="2021-02-01T00:00:00"/>
    <s v="300043"/>
    <s v="DOUANE"/>
    <n v="1114"/>
  </r>
  <r>
    <s v="Facture comptabilisée"/>
    <m/>
    <x v="0"/>
    <x v="962"/>
    <s v="EURO800"/>
    <d v="2021-02-01T00:00:00"/>
    <s v="300092"/>
    <s v="METALSCATOLA AFRIQUE"/>
    <n v="28080.5"/>
  </r>
  <r>
    <s v="Facture comptabilisée"/>
    <m/>
    <x v="0"/>
    <x v="963"/>
    <s v="SILVER FOOD"/>
    <d v="2021-02-01T00:00:00"/>
    <s v="300115"/>
    <s v="AUXILIAR CONSERVERA SA"/>
    <n v="184563.1029"/>
  </r>
  <r>
    <s v="Facture comptabilisée"/>
    <m/>
    <x v="0"/>
    <x v="964"/>
    <s v="VMM "/>
    <d v="2021-02-02T00:00:00"/>
    <s v="300115"/>
    <s v="AUXILIAR CONSERVERA SA"/>
    <n v="306352.89299999998"/>
  </r>
  <r>
    <s v="Facture comptabilisée"/>
    <m/>
    <x v="0"/>
    <x v="965"/>
    <s v="SILVER FOOD"/>
    <d v="2021-02-02T00:00:00"/>
    <s v="300115"/>
    <s v="AUXILIAR CONSERVERA SA"/>
    <n v="249728.4768"/>
  </r>
  <r>
    <s v="Facture comptabilisée"/>
    <m/>
    <x v="0"/>
    <x v="966"/>
    <s v="MFI"/>
    <d v="2021-02-02T00:00:00"/>
    <s v="300115"/>
    <s v="AUXILIAR CONSERVERA SA"/>
    <n v="133517.87899999999"/>
  </r>
  <r>
    <s v="Facture comptabilisée"/>
    <m/>
    <x v="0"/>
    <x v="967"/>
    <s v="JIL PACK"/>
    <d v="2021-02-02T00:00:00"/>
    <s v="300115"/>
    <s v="AUXILIAR CONSERVERA SA"/>
    <n v="248414.573"/>
  </r>
  <r>
    <s v="Facture comptabilisée"/>
    <m/>
    <x v="0"/>
    <x v="968"/>
    <s v="MFI"/>
    <d v="2021-02-02T00:00:00"/>
    <s v="300115"/>
    <s v="AUXILIAR CONSERVERA SA"/>
    <n v="133517.87899999999"/>
  </r>
  <r>
    <s v="Facture comptabilisée"/>
    <m/>
    <x v="0"/>
    <x v="969"/>
    <s v="VMM "/>
    <d v="2021-02-02T00:00:00"/>
    <s v="300115"/>
    <s v="AUXILIAR CONSERVERA SA"/>
    <n v="306352.89299999998"/>
  </r>
  <r>
    <s v="Facture comptabilisée"/>
    <m/>
    <x v="0"/>
    <x v="970"/>
    <s v="JIL PACK A"/>
    <d v="2021-02-02T00:00:00"/>
    <s v="300115"/>
    <s v="AUXILIAR CONSERVERA SA"/>
    <n v="243450.0552"/>
  </r>
  <r>
    <s v="Facture comptabilisée"/>
    <m/>
    <x v="0"/>
    <x v="971"/>
    <s v="JIL PACK A"/>
    <d v="2021-02-02T00:00:00"/>
    <s v="300115"/>
    <s v="AUXILIAR CONSERVERA SA"/>
    <n v="249446.60399999999"/>
  </r>
  <r>
    <s v="Facture comptabilisée"/>
    <m/>
    <x v="0"/>
    <x v="972"/>
    <s v="02/2021 JALAL"/>
    <d v="2021-02-02T00:00:00"/>
    <s v="300192"/>
    <s v="CAP-AOUYAL-FRICO TRANSPORT"/>
    <n v="12500"/>
  </r>
  <r>
    <s v="Facture comptabilisée"/>
    <m/>
    <x v="0"/>
    <x v="973"/>
    <s v="01/2021 JALAL"/>
    <d v="2021-02-02T00:00:00"/>
    <s v="300192"/>
    <s v="CAP-AOUYAL-FRICO TRANSPORT"/>
    <n v="12500"/>
  </r>
  <r>
    <s v="Facture comptabilisée"/>
    <m/>
    <x v="0"/>
    <x v="974"/>
    <s v="03/2021 JALAL"/>
    <d v="2021-02-02T00:00:00"/>
    <s v="300192"/>
    <s v="CAP-AOUYAL-FRICO TRANSPORT"/>
    <n v="11000"/>
  </r>
  <r>
    <s v="Facture comptabilisée"/>
    <m/>
    <x v="0"/>
    <x v="975"/>
    <s v="04/2021 JALAL"/>
    <d v="2021-02-02T00:00:00"/>
    <s v="300192"/>
    <s v="CAP-AOUYAL-FRICO TRANSPORT"/>
    <n v="11000"/>
  </r>
  <r>
    <s v="Facture comptabilisée"/>
    <m/>
    <x v="0"/>
    <x v="976"/>
    <s v="05/2021 JALAL"/>
    <d v="2021-02-02T00:00:00"/>
    <s v="300192"/>
    <s v="CAP-AOUYAL-FRICO TRANSPORT"/>
    <n v="12500"/>
  </r>
  <r>
    <s v="Facture comptabilisée"/>
    <m/>
    <x v="0"/>
    <x v="977"/>
    <d v="2021-08-01T00:00:00"/>
    <d v="2021-02-03T00:00:00"/>
    <s v="300043"/>
    <s v="DOUANE"/>
    <n v="680"/>
  </r>
  <r>
    <s v="Facture comptabilisée"/>
    <m/>
    <x v="0"/>
    <x v="978"/>
    <s v="10/2021 JALAL"/>
    <d v="2021-02-03T00:00:00"/>
    <s v="300043"/>
    <s v="DOUANE"/>
    <n v="1016"/>
  </r>
  <r>
    <s v="Facture comptabilisée"/>
    <m/>
    <x v="0"/>
    <x v="979"/>
    <s v="09/2021 JALAL"/>
    <d v="2021-02-03T00:00:00"/>
    <s v="300043"/>
    <s v="DOUANE"/>
    <n v="1014"/>
  </r>
  <r>
    <s v="Facture comptabilisée"/>
    <m/>
    <x v="0"/>
    <x v="980"/>
    <s v="2100728"/>
    <d v="2021-02-03T00:00:00"/>
    <s v="300064"/>
    <s v="SONOCO Métal Packaging Maroc"/>
    <n v="91140"/>
  </r>
  <r>
    <s v="Facture comptabilisée"/>
    <m/>
    <x v="0"/>
    <x v="981"/>
    <d v="2021-08-01T00:00:00"/>
    <d v="2021-02-03T00:00:00"/>
    <s v="300101"/>
    <s v="ASMAE FORWARDING EXPRESS"/>
    <n v="3963.75"/>
  </r>
  <r>
    <s v="Facture comptabilisée"/>
    <m/>
    <x v="0"/>
    <x v="982"/>
    <s v="13/2021"/>
    <d v="2021-02-04T00:00:00"/>
    <s v="300043"/>
    <s v="DOUANE"/>
    <n v="771"/>
  </r>
  <r>
    <s v="Facture comptabilisée"/>
    <m/>
    <x v="0"/>
    <x v="983"/>
    <d v="2021-06-01T00:00:00"/>
    <d v="2021-02-04T00:00:00"/>
    <s v="300043"/>
    <s v="DOUANE"/>
    <n v="612"/>
  </r>
  <r>
    <s v="Facture comptabilisée"/>
    <m/>
    <x v="0"/>
    <x v="984"/>
    <s v="01/2021 REC JAC"/>
    <d v="2021-02-04T00:00:00"/>
    <s v="300043"/>
    <s v="DOUANE"/>
    <n v="381"/>
  </r>
  <r>
    <s v="Facture comptabilisée"/>
    <m/>
    <x v="0"/>
    <x v="985"/>
    <s v="11/2021 JALAL"/>
    <d v="2021-02-04T00:00:00"/>
    <s v="300043"/>
    <s v="DOUANE"/>
    <n v="1015"/>
  </r>
  <r>
    <s v="Facture comptabilisée"/>
    <m/>
    <x v="0"/>
    <x v="986"/>
    <d v="2021-06-01T00:00:00"/>
    <d v="2021-02-04T00:00:00"/>
    <s v="300101"/>
    <s v="ASMAE FORWARDING EXPRESS"/>
    <n v="3486.01"/>
  </r>
  <r>
    <s v="Facture comptabilisée"/>
    <m/>
    <x v="0"/>
    <x v="987"/>
    <s v="13/2021"/>
    <d v="2021-02-04T00:00:00"/>
    <s v="300101"/>
    <s v="ASMAE FORWARDING EXPRESS"/>
    <n v="3485.84"/>
  </r>
  <r>
    <s v="Facture comptabilisée"/>
    <m/>
    <x v="0"/>
    <x v="988"/>
    <s v="JIL PACK A"/>
    <d v="2021-02-04T00:00:00"/>
    <s v="300115"/>
    <s v="AUXILIAR CONSERVERA SA"/>
    <n v="235038.56640000001"/>
  </r>
  <r>
    <s v="Facture comptabilisée"/>
    <m/>
    <x v="0"/>
    <x v="989"/>
    <d v="2021-11-01T00:00:00"/>
    <d v="2021-02-05T00:00:00"/>
    <s v="300043"/>
    <s v="DOUANE"/>
    <n v="1167"/>
  </r>
  <r>
    <s v="Facture comptabilisée"/>
    <m/>
    <x v="0"/>
    <x v="990"/>
    <d v="2021-05-01T00:00:00"/>
    <d v="2021-02-05T00:00:00"/>
    <s v="300043"/>
    <s v="DOUANE"/>
    <n v="613"/>
  </r>
  <r>
    <s v="Facture comptabilisée"/>
    <m/>
    <x v="0"/>
    <x v="991"/>
    <d v="2021-11-01T00:00:00"/>
    <d v="2021-02-05T00:00:00"/>
    <s v="300101"/>
    <s v="ASMAE FORWARDING EXPRESS"/>
    <n v="3486.01"/>
  </r>
  <r>
    <s v="Facture comptabilisée"/>
    <m/>
    <x v="0"/>
    <x v="992"/>
    <s v="14/2021"/>
    <d v="2021-02-05T00:00:00"/>
    <s v="300101"/>
    <s v="ASMAE FORWARDING EXPRESS"/>
    <n v="3957.54"/>
  </r>
  <r>
    <s v="Facture comptabilisée"/>
    <m/>
    <x v="0"/>
    <x v="993"/>
    <s v="JIL PACK"/>
    <d v="2021-02-05T00:00:00"/>
    <s v="300115"/>
    <s v="AUXILIAR CONSERVERA SA"/>
    <n v="94215.018700000001"/>
  </r>
  <r>
    <s v="Facture comptabilisée"/>
    <m/>
    <x v="0"/>
    <x v="994"/>
    <s v="05/2021 JALAL"/>
    <d v="2021-02-05T00:00:00"/>
    <s v="300191"/>
    <s v="JTTL"/>
    <n v="3349.15"/>
  </r>
  <r>
    <s v="Facture comptabilisée"/>
    <m/>
    <x v="0"/>
    <x v="995"/>
    <s v="14/2021"/>
    <d v="2021-02-08T00:00:00"/>
    <s v="300043"/>
    <s v="DOUANE"/>
    <n v="1170"/>
  </r>
  <r>
    <s v="Facture comptabilisée"/>
    <m/>
    <x v="0"/>
    <x v="996"/>
    <s v="07/2021 JALAL"/>
    <d v="2021-02-08T00:00:00"/>
    <s v="300043"/>
    <s v="DOUANE"/>
    <n v="1013"/>
  </r>
  <r>
    <s v="Facture comptabilisée"/>
    <m/>
    <x v="0"/>
    <x v="997"/>
    <s v="08/2021 JALAL"/>
    <d v="2021-02-08T00:00:00"/>
    <s v="300043"/>
    <s v="DOUANE"/>
    <n v="968"/>
  </r>
  <r>
    <s v="Facture comptabilisée"/>
    <m/>
    <x v="0"/>
    <x v="998"/>
    <d v="2021-05-01T00:00:00"/>
    <d v="2021-02-08T00:00:00"/>
    <s v="300101"/>
    <s v="ASMAE FORWARDING EXPRESS"/>
    <n v="3958.91"/>
  </r>
  <r>
    <s v="Facture comptabilisée"/>
    <m/>
    <x v="0"/>
    <x v="999"/>
    <s v="SILVER FOOD"/>
    <d v="2021-02-08T00:00:00"/>
    <s v="300115"/>
    <s v="AUXILIAR CONSERVERA SA"/>
    <n v="259692.74100000001"/>
  </r>
  <r>
    <s v="Facture comptabilisée"/>
    <m/>
    <x v="0"/>
    <x v="1000"/>
    <s v="06/2021 JALAL"/>
    <d v="2021-02-08T00:00:00"/>
    <s v="300198"/>
    <s v="YMMI TRANS"/>
    <n v="11000"/>
  </r>
  <r>
    <s v="Facture comptabilisée"/>
    <m/>
    <x v="0"/>
    <x v="1001"/>
    <s v="06/2021 JALAL"/>
    <d v="2021-02-09T00:00:00"/>
    <s v="300043"/>
    <s v="DOUANE"/>
    <n v="1048"/>
  </r>
  <r>
    <s v="Facture comptabilisée"/>
    <m/>
    <x v="0"/>
    <x v="1002"/>
    <s v="02/2021 REC JAC"/>
    <d v="2021-02-09T00:00:00"/>
    <s v="300087"/>
    <s v="WEC LINES"/>
    <n v="4232.28"/>
  </r>
  <r>
    <s v="Facture comptabilisée"/>
    <m/>
    <x v="0"/>
    <x v="1003"/>
    <s v="NOTAM"/>
    <d v="2021-02-10T00:00:00"/>
    <s v="300115"/>
    <s v="AUXILIAR CONSERVERA SA"/>
    <n v="57202.103199999998"/>
  </r>
  <r>
    <s v="Facture comptabilisée"/>
    <m/>
    <x v="0"/>
    <x v="1004"/>
    <s v="1/2 H OF BPANI"/>
    <d v="2021-02-10T00:00:00"/>
    <s v="300115"/>
    <s v="AUXILIAR CONSERVERA SA"/>
    <n v="108274.32"/>
  </r>
  <r>
    <s v="Facture comptabilisée"/>
    <m/>
    <x v="0"/>
    <x v="1005"/>
    <s v="BL1613217"/>
    <d v="2021-02-10T00:00:00"/>
    <s v="300133"/>
    <s v="OP BOX "/>
    <n v="66490"/>
  </r>
  <r>
    <s v="Facture comptabilisée"/>
    <m/>
    <x v="0"/>
    <x v="1006"/>
    <d v="2021-12-01T00:00:00"/>
    <d v="2021-02-11T00:00:00"/>
    <s v="300043"/>
    <s v="DOUANE"/>
    <n v="473"/>
  </r>
  <r>
    <s v="Facture comptabilisée"/>
    <m/>
    <x v="0"/>
    <x v="1007"/>
    <d v="2021-12-01T00:00:00"/>
    <d v="2021-02-11T00:00:00"/>
    <s v="300101"/>
    <s v="ASMAE FORWARDING EXPRESS"/>
    <n v="3813.02"/>
  </r>
  <r>
    <s v="Facture comptabilisée"/>
    <m/>
    <x v="0"/>
    <x v="1008"/>
    <s v="BL1613217"/>
    <d v="2021-02-11T00:00:00"/>
    <s v="300133"/>
    <s v="OP BOX "/>
    <n v="21042"/>
  </r>
  <r>
    <s v="Facture comptabilisée"/>
    <m/>
    <x v="0"/>
    <x v="1009"/>
    <s v="JIL PACK"/>
    <d v="2021-02-12T00:00:00"/>
    <s v="300093"/>
    <s v="AVEZ SAS"/>
    <n v="167409.77220000001"/>
  </r>
  <r>
    <s v="Facture comptabilisée"/>
    <m/>
    <x v="0"/>
    <x v="1010"/>
    <s v="JIL PACK A"/>
    <d v="2021-02-12T00:00:00"/>
    <s v="300115"/>
    <s v="AUXILIAR CONSERVERA SA"/>
    <n v="252644.44260000001"/>
  </r>
  <r>
    <s v="Facture comptabilisée"/>
    <m/>
    <x v="0"/>
    <x v="1011"/>
    <s v="JIL PACK A"/>
    <d v="2021-02-12T00:00:00"/>
    <s v="300115"/>
    <s v="AUXILIAR CONSERVERA SA"/>
    <n v="259274.565"/>
  </r>
  <r>
    <s v="Facture comptabilisée"/>
    <m/>
    <x v="0"/>
    <x v="1012"/>
    <s v="06/2021 JALAL"/>
    <d v="2021-02-12T00:00:00"/>
    <s v="300191"/>
    <s v="JTTL"/>
    <n v="3332.83"/>
  </r>
  <r>
    <s v="Facture comptabilisée"/>
    <m/>
    <x v="0"/>
    <x v="1013"/>
    <s v="07/2021 JALAL"/>
    <d v="2021-02-12T00:00:00"/>
    <s v="300191"/>
    <s v="JTTL"/>
    <n v="3677.04"/>
  </r>
  <r>
    <s v="Facture comptabilisée"/>
    <m/>
    <x v="0"/>
    <x v="1014"/>
    <s v="08/2021 JALAL"/>
    <d v="2021-02-12T00:00:00"/>
    <s v="300191"/>
    <s v="JTTL"/>
    <n v="3465.31"/>
  </r>
  <r>
    <s v="Facture comptabilisée"/>
    <m/>
    <x v="0"/>
    <x v="1015"/>
    <s v="09/2021 JALAL"/>
    <d v="2021-02-13T00:00:00"/>
    <s v="300191"/>
    <s v="JTTL"/>
    <n v="3158.34"/>
  </r>
  <r>
    <s v="Facture comptabilisée"/>
    <m/>
    <x v="0"/>
    <x v="1016"/>
    <s v="10/2021 JALAL"/>
    <d v="2021-02-13T00:00:00"/>
    <s v="300191"/>
    <s v="JTTL"/>
    <n v="3158.34"/>
  </r>
  <r>
    <s v="Facture comptabilisée"/>
    <m/>
    <x v="0"/>
    <x v="1017"/>
    <s v="11/2021 JALAL"/>
    <d v="2021-02-13T00:00:00"/>
    <s v="300191"/>
    <s v="JTTL"/>
    <n v="3156.26"/>
  </r>
  <r>
    <s v="Facture comptabilisée"/>
    <m/>
    <x v="0"/>
    <x v="1018"/>
    <d v="2021-02-01T00:00:00"/>
    <d v="2021-02-15T00:00:00"/>
    <s v="300043"/>
    <s v="DOUANE"/>
    <n v="584"/>
  </r>
  <r>
    <s v="Facture comptabilisée"/>
    <m/>
    <x v="0"/>
    <x v="1019"/>
    <s v="13/2021 JALAL "/>
    <d v="2021-02-15T00:00:00"/>
    <s v="300043"/>
    <s v="DOUANE"/>
    <n v="1029"/>
  </r>
  <r>
    <s v="Facture comptabilisée"/>
    <m/>
    <x v="0"/>
    <x v="1020"/>
    <s v="12/2021 JALAL"/>
    <d v="2021-02-15T00:00:00"/>
    <s v="300043"/>
    <s v="DOUANE"/>
    <n v="1052"/>
  </r>
  <r>
    <s v="Facture comptabilisée"/>
    <m/>
    <x v="0"/>
    <x v="1021"/>
    <s v="SILVER FOOD"/>
    <d v="2021-02-15T00:00:00"/>
    <s v="300115"/>
    <s v="AUXILIAR CONSERVERA SA"/>
    <n v="301558.44400000002"/>
  </r>
  <r>
    <s v="Facture comptabilisée"/>
    <m/>
    <x v="0"/>
    <x v="1022"/>
    <s v="SOFACHIM"/>
    <d v="2021-02-16T00:00:00"/>
    <s v="300092"/>
    <s v="METALSCATOLA AFRIQUE"/>
    <n v="21373"/>
  </r>
  <r>
    <s v="Facture comptabilisée"/>
    <m/>
    <x v="0"/>
    <x v="1023"/>
    <s v="NEUTRE"/>
    <d v="2021-02-16T00:00:00"/>
    <s v="300092"/>
    <s v="METALSCATOLA AFRIQUE"/>
    <n v="24500"/>
  </r>
  <r>
    <s v="Facture comptabilisée"/>
    <m/>
    <x v="0"/>
    <x v="1024"/>
    <s v="SILVER FOOD"/>
    <d v="2021-02-16T00:00:00"/>
    <s v="300115"/>
    <s v="AUXILIAR CONSERVERA SA"/>
    <n v="301558.44400000002"/>
  </r>
  <r>
    <s v="Facture comptabilisée"/>
    <m/>
    <x v="0"/>
    <x v="1025"/>
    <d v="2021-04-01T00:00:00"/>
    <d v="2021-02-17T00:00:00"/>
    <s v="300043"/>
    <s v="DOUANE"/>
    <n v="1158"/>
  </r>
  <r>
    <s v="Facture comptabilisée"/>
    <m/>
    <x v="0"/>
    <x v="1026"/>
    <d v="2021-04-01T00:00:00"/>
    <d v="2021-02-17T00:00:00"/>
    <s v="300101"/>
    <s v="ASMAE FORWARDING EXPRESS"/>
    <n v="3331.76"/>
  </r>
  <r>
    <s v="Facture comptabilisée"/>
    <m/>
    <x v="0"/>
    <x v="1027"/>
    <s v="NOTAM"/>
    <d v="2021-02-17T00:00:00"/>
    <s v="300115"/>
    <s v="AUXILIAR CONSERVERA SA"/>
    <n v="150602.1"/>
  </r>
  <r>
    <s v="Facture comptabilisée"/>
    <m/>
    <x v="0"/>
    <x v="1028"/>
    <s v="NOTAM"/>
    <d v="2021-02-17T00:00:00"/>
    <s v="300115"/>
    <s v="AUXILIAR CONSERVERA SA"/>
    <n v="150602.1"/>
  </r>
  <r>
    <s v="Facture comptabilisée"/>
    <m/>
    <x v="0"/>
    <x v="1029"/>
    <d v="2021-07-01T00:00:00"/>
    <d v="2021-02-18T00:00:00"/>
    <s v="300043"/>
    <s v="DOUANE"/>
    <n v="1145"/>
  </r>
  <r>
    <s v="Facture comptabilisée"/>
    <m/>
    <x v="0"/>
    <x v="1030"/>
    <d v="2021-07-01T00:00:00"/>
    <d v="2021-02-18T00:00:00"/>
    <s v="300101"/>
    <s v="ASMAE FORWARDING EXPRESS"/>
    <n v="3174.48"/>
  </r>
  <r>
    <s v="Facture comptabilisée"/>
    <m/>
    <x v="0"/>
    <x v="1031"/>
    <s v="NOTAM"/>
    <d v="2021-02-18T00:00:00"/>
    <s v="300115"/>
    <s v="AUXILIAR CONSERVERA SA"/>
    <n v="174156.99840000001"/>
  </r>
  <r>
    <s v="Facture comptabilisée"/>
    <m/>
    <x v="0"/>
    <x v="1032"/>
    <s v="12/2021 JALAL"/>
    <d v="2021-02-18T00:00:00"/>
    <s v="300191"/>
    <s v="JTTL"/>
    <n v="3345.56"/>
  </r>
  <r>
    <s v="Facture comptabilisée"/>
    <m/>
    <x v="0"/>
    <x v="1033"/>
    <s v="13/2021 JALAL"/>
    <d v="2021-02-18T00:00:00"/>
    <s v="300191"/>
    <s v="JTTL"/>
    <n v="3503.55"/>
  </r>
  <r>
    <s v="Facture comptabilisée"/>
    <m/>
    <x v="0"/>
    <x v="1034"/>
    <s v="15/2021"/>
    <d v="2021-02-19T00:00:00"/>
    <s v="300043"/>
    <s v="DOUANE"/>
    <n v="649"/>
  </r>
  <r>
    <s v="Facture comptabilisée"/>
    <m/>
    <x v="0"/>
    <x v="1035"/>
    <d v="2021-09-01T00:00:00"/>
    <d v="2021-02-19T00:00:00"/>
    <s v="300043"/>
    <s v="DOUANE"/>
    <n v="657"/>
  </r>
  <r>
    <s v="Facture comptabilisée"/>
    <m/>
    <x v="0"/>
    <x v="1036"/>
    <d v="2021-10-01T00:00:00"/>
    <d v="2021-02-19T00:00:00"/>
    <s v="300043"/>
    <s v="DOUANE"/>
    <n v="709"/>
  </r>
  <r>
    <s v="Facture comptabilisée"/>
    <m/>
    <x v="0"/>
    <x v="1037"/>
    <d v="2021-09-01T00:00:00"/>
    <d v="2021-02-19T00:00:00"/>
    <s v="300101"/>
    <s v="ASMAE FORWARDING EXPRESS"/>
    <n v="3640.7"/>
  </r>
  <r>
    <s v="Facture comptabilisée"/>
    <m/>
    <x v="0"/>
    <x v="1038"/>
    <d v="2021-10-01T00:00:00"/>
    <d v="2021-02-19T00:00:00"/>
    <s v="300101"/>
    <s v="ASMAE FORWARDING EXPRESS"/>
    <n v="4426.93"/>
  </r>
  <r>
    <s v="Facture comptabilisée"/>
    <m/>
    <x v="0"/>
    <x v="1039"/>
    <s v="15/2021"/>
    <d v="2021-02-19T00:00:00"/>
    <s v="300101"/>
    <s v="ASMAE FORWARDING EXPRESS"/>
    <n v="3977.84"/>
  </r>
  <r>
    <s v="Facture comptabilisée"/>
    <m/>
    <x v="0"/>
    <x v="1040"/>
    <s v="JIL PACK A"/>
    <d v="2021-02-22T00:00:00"/>
    <s v="300115"/>
    <s v="AUXILIAR CONSERVERA SA"/>
    <n v="249728.4768"/>
  </r>
  <r>
    <s v="Facture comptabilisée"/>
    <m/>
    <x v="0"/>
    <x v="1041"/>
    <s v="JIL PACK A"/>
    <d v="2021-02-22T00:00:00"/>
    <s v="300115"/>
    <s v="AUXILIAR CONSERVERA SA"/>
    <n v="275007.74400000001"/>
  </r>
  <r>
    <s v="Facture comptabilisée"/>
    <m/>
    <x v="0"/>
    <x v="1042"/>
    <s v="NOTAM"/>
    <d v="2021-02-22T00:00:00"/>
    <s v="300115"/>
    <s v="AUXILIAR CONSERVERA SA"/>
    <n v="142253.54879999999"/>
  </r>
  <r>
    <s v="Facture comptabilisée"/>
    <m/>
    <x v="0"/>
    <x v="1043"/>
    <s v="JIL PACK"/>
    <d v="2021-02-22T00:00:00"/>
    <s v="300115"/>
    <s v="AUXILIAR CONSERVERA SA"/>
    <n v="23343.108800000002"/>
  </r>
  <r>
    <s v="Facture comptabilisée"/>
    <m/>
    <x v="0"/>
    <x v="1044"/>
    <s v="VMM 1"/>
    <d v="2021-02-22T00:00:00"/>
    <s v="300115"/>
    <s v="AUXILIAR CONSERVERA SA"/>
    <n v="305922.04499999998"/>
  </r>
  <r>
    <s v="Facture comptabilisée"/>
    <m/>
    <x v="0"/>
    <x v="1045"/>
    <s v="BL1613313"/>
    <d v="2021-02-22T00:00:00"/>
    <s v="300133"/>
    <s v="OP BOX "/>
    <n v="43194"/>
  </r>
  <r>
    <s v="Facture comptabilisée"/>
    <m/>
    <x v="0"/>
    <x v="1046"/>
    <s v="16/2021"/>
    <d v="2021-02-23T00:00:00"/>
    <s v="300043"/>
    <s v="DOUANE"/>
    <n v="736"/>
  </r>
  <r>
    <s v="Facture comptabilisée"/>
    <m/>
    <x v="0"/>
    <x v="1047"/>
    <s v="15/2021 JALAL"/>
    <d v="2021-02-23T00:00:00"/>
    <s v="300043"/>
    <s v="DOUANE"/>
    <n v="1017"/>
  </r>
  <r>
    <s v="Facture comptabilisée"/>
    <m/>
    <x v="0"/>
    <x v="1048"/>
    <s v="14/2021 JALAL"/>
    <d v="2021-02-23T00:00:00"/>
    <s v="300043"/>
    <s v="DOUANE"/>
    <n v="1099"/>
  </r>
  <r>
    <s v="Facture comptabilisée"/>
    <m/>
    <x v="0"/>
    <x v="1049"/>
    <s v="16/2021"/>
    <d v="2021-02-23T00:00:00"/>
    <s v="300101"/>
    <s v="ASMAE FORWARDING EXPRESS"/>
    <n v="3963.82"/>
  </r>
  <r>
    <s v="Facture comptabilisée"/>
    <m/>
    <x v="0"/>
    <x v="1050"/>
    <s v="SILVER FOOD"/>
    <d v="2021-02-23T00:00:00"/>
    <s v="300115"/>
    <s v="AUXILIAR CONSERVERA SA"/>
    <n v="301558.44400000002"/>
  </r>
  <r>
    <s v="Facture comptabilisée"/>
    <m/>
    <x v="0"/>
    <x v="1051"/>
    <s v="JIL PACK A"/>
    <d v="2021-02-23T00:00:00"/>
    <s v="300115"/>
    <s v="AUXILIAR CONSERVERA SA"/>
    <n v="259274.565"/>
  </r>
  <r>
    <s v="Facture comptabilisée"/>
    <m/>
    <x v="0"/>
    <x v="1052"/>
    <s v="SILVER FOOD"/>
    <d v="2021-02-24T00:00:00"/>
    <s v="300115"/>
    <s v="AUXILIAR CONSERVERA SA"/>
    <n v="292319.65399999998"/>
  </r>
  <r>
    <s v="Facture comptabilisée"/>
    <m/>
    <x v="0"/>
    <x v="1053"/>
    <s v="FA1613105"/>
    <d v="2021-02-24T00:00:00"/>
    <s v="300133"/>
    <s v="OP BOX "/>
    <n v="7068"/>
  </r>
  <r>
    <s v="Facture comptabilisée"/>
    <m/>
    <x v="0"/>
    <x v="1054"/>
    <s v="16/2021 JALAL"/>
    <d v="2021-02-25T00:00:00"/>
    <s v="300043"/>
    <s v="DOUANE"/>
    <n v="1051"/>
  </r>
  <r>
    <s v="Facture comptabilisée"/>
    <m/>
    <x v="0"/>
    <x v="1055"/>
    <s v="21/2021"/>
    <d v="2021-02-25T00:00:00"/>
    <s v="300043"/>
    <s v="DOUANE"/>
    <n v="1170"/>
  </r>
  <r>
    <s v="Facture comptabilisée"/>
    <m/>
    <x v="0"/>
    <x v="1056"/>
    <s v="22/2021"/>
    <d v="2021-02-25T00:00:00"/>
    <s v="300043"/>
    <s v="DOUANE"/>
    <n v="697"/>
  </r>
  <r>
    <s v="Facture comptabilisée"/>
    <m/>
    <x v="0"/>
    <x v="1057"/>
    <s v="23/2021"/>
    <d v="2021-02-25T00:00:00"/>
    <s v="300043"/>
    <s v="DOUANE"/>
    <n v="1157"/>
  </r>
  <r>
    <s v="Facture comptabilisée"/>
    <m/>
    <x v="0"/>
    <x v="1058"/>
    <s v="21/2021"/>
    <d v="2021-02-25T00:00:00"/>
    <s v="300101"/>
    <s v="ASMAE FORWARDING EXPRESS"/>
    <n v="3497.56"/>
  </r>
  <r>
    <s v="Facture comptabilisée"/>
    <m/>
    <x v="0"/>
    <x v="1059"/>
    <s v="22/2021"/>
    <d v="2021-02-25T00:00:00"/>
    <s v="300101"/>
    <s v="ASMAE FORWARDING EXPRESS"/>
    <n v="3655.2"/>
  </r>
  <r>
    <s v="Facture comptabilisée"/>
    <m/>
    <x v="0"/>
    <x v="1060"/>
    <s v="23/2021"/>
    <d v="2021-02-25T00:00:00"/>
    <s v="300101"/>
    <s v="ASMAE FORWARDING EXPRESS"/>
    <n v="3339.42"/>
  </r>
  <r>
    <s v="Facture comptabilisée"/>
    <m/>
    <x v="0"/>
    <x v="1061"/>
    <s v="MIPA"/>
    <d v="2021-02-26T00:00:00"/>
    <s v="300092"/>
    <s v="METALSCATOLA AFRIQUE"/>
    <n v="32175"/>
  </r>
  <r>
    <s v="Facture comptabilisée"/>
    <m/>
    <x v="0"/>
    <x v="1062"/>
    <s v="MFI"/>
    <d v="2021-02-26T00:00:00"/>
    <s v="300115"/>
    <s v="AUXILIAR CONSERVERA SA"/>
    <n v="102744.477"/>
  </r>
  <r>
    <s v="Facture comptabilisée"/>
    <m/>
    <x v="0"/>
    <x v="1063"/>
    <s v="YAHYA AL FIR"/>
    <d v="2021-02-26T00:00:00"/>
    <s v="300115"/>
    <s v="AUXILIAR CONSERVERA SA"/>
    <n v="143720.6232"/>
  </r>
  <r>
    <s v="Facture comptabilisée"/>
    <m/>
    <x v="0"/>
    <x v="1064"/>
    <s v="JIL PACK A"/>
    <d v="2021-02-26T00:00:00"/>
    <s v="300115"/>
    <s v="AUXILIAR CONSERVERA SA"/>
    <n v="184563.32620000001"/>
  </r>
  <r>
    <s v="Facture comptabilisée"/>
    <m/>
    <x v="0"/>
    <x v="1065"/>
    <s v="01/2021 REC JAC"/>
    <d v="2021-02-26T00:00:00"/>
    <s v="300301"/>
    <s v="RECOING &amp; JACQUETY"/>
    <n v="8478.8799999999992"/>
  </r>
  <r>
    <s v="Facture comptabilisée"/>
    <m/>
    <x v="0"/>
    <x v="1066"/>
    <s v="02/2021 REC JAC"/>
    <d v="2021-02-26T00:00:00"/>
    <s v="300301"/>
    <s v="RECOING &amp; JACQUETY"/>
    <n v="2107.5"/>
  </r>
  <r>
    <s v="Facture comptabilisée"/>
    <m/>
    <x v="0"/>
    <x v="1067"/>
    <s v="15/2021 JALAL"/>
    <d v="2021-02-27T00:00:00"/>
    <s v="300191"/>
    <s v="JTTL"/>
    <n v="3179.64"/>
  </r>
  <r>
    <s v="Facture comptabilisée"/>
    <m/>
    <x v="0"/>
    <x v="1068"/>
    <s v="14/2021 JALAL"/>
    <d v="2021-02-27T00:00:00"/>
    <s v="300191"/>
    <s v="JTTL"/>
    <n v="3179.64"/>
  </r>
  <r>
    <s v="Facture comptabilisée"/>
    <m/>
    <x v="0"/>
    <x v="1069"/>
    <s v="16/2021 JALAL"/>
    <d v="2021-02-27T00:00:00"/>
    <s v="300191"/>
    <s v="JTTL"/>
    <n v="3163.02"/>
  </r>
  <r>
    <s v="Facture comptabilisée"/>
    <m/>
    <x v="0"/>
    <x v="1070"/>
    <s v="3.8 AM"/>
    <d v="2021-03-01T00:00:00"/>
    <s v="300133"/>
    <s v="OP BOX "/>
    <n v="87231.6"/>
  </r>
  <r>
    <s v="Facture comptabilisée"/>
    <m/>
    <x v="0"/>
    <x v="1071"/>
    <s v="24/2021"/>
    <d v="2021-03-02T00:00:00"/>
    <s v="300043"/>
    <s v="DOUANE"/>
    <n v="1121"/>
  </r>
  <r>
    <s v="Facture comptabilisée"/>
    <m/>
    <x v="0"/>
    <x v="1072"/>
    <s v="5/1 G4"/>
    <d v="2021-03-02T00:00:00"/>
    <s v="300064"/>
    <s v="SONOCO Métal Packaging Maroc"/>
    <n v="91140"/>
  </r>
  <r>
    <s v="Facture comptabilisée"/>
    <m/>
    <x v="0"/>
    <x v="1073"/>
    <s v="24/2021"/>
    <d v="2021-03-02T00:00:00"/>
    <s v="300101"/>
    <s v="ASMAE FORWARDING EXPRESS"/>
    <n v="3951.32"/>
  </r>
  <r>
    <s v="Facture comptabilisée"/>
    <m/>
    <x v="0"/>
    <x v="1074"/>
    <s v="25/2021"/>
    <d v="2021-03-03T00:00:00"/>
    <s v="300043"/>
    <s v="DOUANE"/>
    <n v="503"/>
  </r>
  <r>
    <s v="Facture comptabilisée"/>
    <m/>
    <x v="0"/>
    <x v="1075"/>
    <s v="17/2021"/>
    <d v="2021-03-03T00:00:00"/>
    <s v="300043"/>
    <s v="DOUANE"/>
    <n v="637"/>
  </r>
  <r>
    <s v="Facture comptabilisée"/>
    <m/>
    <x v="0"/>
    <x v="1076"/>
    <s v="18/2021"/>
    <d v="2021-03-03T00:00:00"/>
    <s v="300043"/>
    <s v="DOUANE"/>
    <n v="768"/>
  </r>
  <r>
    <s v="Facture comptabilisée"/>
    <m/>
    <x v="0"/>
    <x v="1077"/>
    <s v="17/2021"/>
    <d v="2021-03-03T00:00:00"/>
    <s v="300101"/>
    <s v="ASMAE FORWARDING EXPRESS"/>
    <n v="3635.13"/>
  </r>
  <r>
    <s v="Facture comptabilisée"/>
    <m/>
    <x v="0"/>
    <x v="1078"/>
    <s v="18/2021"/>
    <d v="2021-03-03T00:00:00"/>
    <s v="300101"/>
    <s v="ASMAE FORWARDING EXPRESS"/>
    <n v="3321.97"/>
  </r>
  <r>
    <s v="Facture comptabilisée"/>
    <m/>
    <x v="0"/>
    <x v="1079"/>
    <s v="25/2021"/>
    <d v="2021-03-03T00:00:00"/>
    <s v="300101"/>
    <s v="ASMAE FORWARDING EXPRESS"/>
    <n v="3792.92"/>
  </r>
  <r>
    <s v="Facture comptabilisée"/>
    <m/>
    <x v="0"/>
    <x v="1080"/>
    <d v="2021-03-01T00:00:00"/>
    <d v="2021-03-04T00:00:00"/>
    <s v="300043"/>
    <s v="DOUANE"/>
    <n v="569"/>
  </r>
  <r>
    <s v="Facture comptabilisée"/>
    <m/>
    <x v="0"/>
    <x v="1081"/>
    <s v="JIL PACK A"/>
    <d v="2021-03-04T00:00:00"/>
    <s v="300115"/>
    <s v="AUXILIAR CONSERVERA SA"/>
    <n v="270565.54800000001"/>
  </r>
  <r>
    <s v="Facture comptabilisée"/>
    <m/>
    <x v="0"/>
    <x v="1082"/>
    <s v="07/2021 JALAL"/>
    <d v="2021-03-04T00:00:00"/>
    <s v="300192"/>
    <s v="CAP-AOUYAL-FRICO TRANSPORT"/>
    <n v="12500"/>
  </r>
  <r>
    <s v="Facture comptabilisée"/>
    <m/>
    <x v="0"/>
    <x v="1083"/>
    <s v="10/2021 JALAL"/>
    <d v="2021-03-04T00:00:00"/>
    <s v="300192"/>
    <s v="CAP-AOUYAL-FRICO TRANSPORT"/>
    <n v="11000"/>
  </r>
  <r>
    <s v="Facture comptabilisée"/>
    <m/>
    <x v="0"/>
    <x v="1084"/>
    <s v="11/2021 JALAL"/>
    <d v="2021-03-04T00:00:00"/>
    <s v="300192"/>
    <s v="CAP-AOUYAL-FRICO TRANSPORT"/>
    <n v="12500"/>
  </r>
  <r>
    <s v="Facture comptabilisée"/>
    <m/>
    <x v="0"/>
    <x v="1085"/>
    <s v="09/2021 JALAL"/>
    <d v="2021-03-04T00:00:00"/>
    <s v="300192"/>
    <s v="CAP-AOUYAL-FRICO TRANSPORT"/>
    <n v="11000"/>
  </r>
  <r>
    <s v="Facture comptabilisée"/>
    <m/>
    <x v="0"/>
    <x v="1086"/>
    <s v="08/2021 JALAL"/>
    <d v="2021-03-04T00:00:00"/>
    <s v="300192"/>
    <s v="CAP-AOUYAL-FRICO TRANSPORT"/>
    <n v="12500"/>
  </r>
  <r>
    <s v="Facture comptabilisée"/>
    <m/>
    <x v="0"/>
    <x v="1087"/>
    <s v="12/2021 JALAL"/>
    <d v="2021-03-04T00:00:00"/>
    <s v="300192"/>
    <s v="CAP-AOUYAL-FRICO TRANSPORT"/>
    <n v="11000"/>
  </r>
  <r>
    <s v="Facture comptabilisée"/>
    <m/>
    <x v="0"/>
    <x v="1088"/>
    <s v="13/2021 JALAL"/>
    <d v="2021-03-04T00:00:00"/>
    <s v="300192"/>
    <s v="CAP-AOUYAL-FRICO TRANSPORT"/>
    <n v="11000"/>
  </r>
  <r>
    <s v="Facture comptabilisée"/>
    <m/>
    <x v="0"/>
    <x v="1089"/>
    <s v="15/2021 JALAL"/>
    <d v="2021-03-04T00:00:00"/>
    <s v="300192"/>
    <s v="CAP-AOUYAL-FRICO TRANSPORT"/>
    <n v="12500"/>
  </r>
  <r>
    <s v="Facture comptabilisée"/>
    <m/>
    <x v="0"/>
    <x v="1090"/>
    <s v="14/2021 JALAL"/>
    <d v="2021-03-04T00:00:00"/>
    <s v="300192"/>
    <s v="CAP-AOUYAL-FRICO TRANSPORT"/>
    <n v="12500"/>
  </r>
  <r>
    <s v="Facture comptabilisée"/>
    <m/>
    <x v="0"/>
    <x v="1091"/>
    <s v="16/2021 JALAL"/>
    <d v="2021-03-04T00:00:00"/>
    <s v="300192"/>
    <s v="CAP-AOUYAL-FRICO TRANSPORT"/>
    <n v="12500"/>
  </r>
  <r>
    <s v="Facture comptabilisée"/>
    <m/>
    <x v="0"/>
    <x v="1092"/>
    <s v="19/2021 JALAL"/>
    <d v="2021-03-05T00:00:00"/>
    <s v="300043"/>
    <s v="DOUANE"/>
    <n v="1082"/>
  </r>
  <r>
    <s v="Facture comptabilisée"/>
    <m/>
    <x v="0"/>
    <x v="1093"/>
    <s v="JIL PACK A"/>
    <d v="2021-03-05T00:00:00"/>
    <s v="300115"/>
    <s v="AUXILIAR CONSERVERA SA"/>
    <n v="270565.54800000001"/>
  </r>
  <r>
    <s v="Facture comptabilisée"/>
    <m/>
    <x v="0"/>
    <x v="1094"/>
    <s v="SILVER FOOD"/>
    <d v="2021-03-05T00:00:00"/>
    <s v="300115"/>
    <s v="AUXILIAR CONSERVERA SA"/>
    <n v="301558.44400000002"/>
  </r>
  <r>
    <s v="Facture comptabilisée"/>
    <m/>
    <x v="0"/>
    <x v="1095"/>
    <s v="JIL PACK A"/>
    <d v="2021-03-05T00:00:00"/>
    <s v="300115"/>
    <s v="AUXILIAR CONSERVERA SA"/>
    <n v="270565.54800000001"/>
  </r>
  <r>
    <s v="Facture comptabilisée"/>
    <m/>
    <x v="0"/>
    <x v="1096"/>
    <s v="20/2021 JALAL"/>
    <d v="2021-03-06T00:00:00"/>
    <s v="300191"/>
    <s v="JTTL"/>
    <n v="3163.53"/>
  </r>
  <r>
    <s v="Facture comptabilisée"/>
    <m/>
    <x v="0"/>
    <x v="1097"/>
    <s v="17/2021 JALAL"/>
    <d v="2021-03-08T00:00:00"/>
    <s v="300043"/>
    <s v="DOUANE"/>
    <n v="1080"/>
  </r>
  <r>
    <s v="Facture comptabilisée"/>
    <m/>
    <x v="0"/>
    <x v="1098"/>
    <s v="18/2021 JALAL"/>
    <d v="2021-03-08T00:00:00"/>
    <s v="300043"/>
    <s v="DOUANE"/>
    <n v="1080"/>
  </r>
  <r>
    <s v="Facture comptabilisée"/>
    <m/>
    <x v="0"/>
    <x v="1099"/>
    <s v="JIL PACK A"/>
    <d v="2021-03-08T00:00:00"/>
    <s v="300115"/>
    <s v="AUXILIAR CONSERVERA SA"/>
    <n v="270565.54800000001"/>
  </r>
  <r>
    <s v="Facture comptabilisée"/>
    <m/>
    <x v="0"/>
    <x v="1100"/>
    <s v="1/4 CLUB BPANI"/>
    <d v="2021-03-08T00:00:00"/>
    <s v="300115"/>
    <s v="AUXILIAR CONSERVERA SA"/>
    <n v="260408.72"/>
  </r>
  <r>
    <s v="Facture comptabilisée"/>
    <m/>
    <x v="0"/>
    <x v="1101"/>
    <s v="20/2021 JALAL"/>
    <d v="2021-03-09T00:00:00"/>
    <s v="300043"/>
    <s v="DOUANE"/>
    <n v="1079"/>
  </r>
  <r>
    <s v="Facture comptabilisée"/>
    <m/>
    <x v="0"/>
    <x v="1102"/>
    <s v="22/2021 JALAL"/>
    <d v="2021-03-09T00:00:00"/>
    <s v="300043"/>
    <s v="DOUANE"/>
    <n v="1045"/>
  </r>
  <r>
    <s v="Facture comptabilisée"/>
    <m/>
    <x v="0"/>
    <x v="1103"/>
    <s v="20/2021"/>
    <d v="2021-03-10T00:00:00"/>
    <s v="300043"/>
    <s v="DOUANE"/>
    <n v="1148"/>
  </r>
  <r>
    <s v="Facture comptabilisée"/>
    <m/>
    <x v="0"/>
    <x v="1104"/>
    <s v="20/2021"/>
    <d v="2021-03-10T00:00:00"/>
    <s v="300101"/>
    <s v="ASMAE FORWARDING EXPRESS"/>
    <n v="3787.64"/>
  </r>
  <r>
    <s v="Facture comptabilisée"/>
    <m/>
    <x v="0"/>
    <x v="1105"/>
    <s v="SILVER FOOD"/>
    <d v="2021-03-10T00:00:00"/>
    <s v="300115"/>
    <s v="AUXILIAR CONSERVERA SA"/>
    <n v="301558.44400000002"/>
  </r>
  <r>
    <s v="Facture comptabilisée"/>
    <m/>
    <x v="0"/>
    <x v="1106"/>
    <s v="SILVER FOOD"/>
    <d v="2021-03-10T00:00:00"/>
    <s v="300115"/>
    <s v="AUXILIAR CONSERVERA SA"/>
    <n v="301558.44400000002"/>
  </r>
  <r>
    <s v="Facture comptabilisée"/>
    <m/>
    <x v="0"/>
    <x v="1107"/>
    <s v="17/2021 JALAL"/>
    <d v="2021-03-10T00:00:00"/>
    <s v="300304"/>
    <s v="GIUSEPPE LOGISTIKA"/>
    <n v="12000"/>
  </r>
  <r>
    <s v="Facture comptabilisée"/>
    <m/>
    <x v="0"/>
    <x v="1108"/>
    <s v="19/2021"/>
    <d v="2021-03-11T00:00:00"/>
    <s v="300043"/>
    <s v="DOUANE"/>
    <n v="1148"/>
  </r>
  <r>
    <s v="Facture comptabilisée"/>
    <m/>
    <x v="0"/>
    <x v="1109"/>
    <s v="19/2021"/>
    <d v="2021-03-11T00:00:00"/>
    <s v="300101"/>
    <s v="ASMAE FORWARDING EXPRESS"/>
    <n v="3161.89"/>
  </r>
  <r>
    <s v="Facture comptabilisée"/>
    <m/>
    <x v="0"/>
    <x v="1110"/>
    <s v="JIL PACK AGADIR"/>
    <d v="2021-03-11T00:00:00"/>
    <s v="300115"/>
    <s v="AUXILIAR CONSERVERA SA"/>
    <n v="270565.54800000001"/>
  </r>
  <r>
    <s v="Facture comptabilisée"/>
    <m/>
    <x v="0"/>
    <x v="1111"/>
    <s v="SILVER FOOD"/>
    <d v="2021-03-11T00:00:00"/>
    <s v="300115"/>
    <s v="AUXILIAR CONSERVERA SA"/>
    <n v="270565.54800000001"/>
  </r>
  <r>
    <s v="Facture comptabilisée"/>
    <m/>
    <x v="0"/>
    <x v="1112"/>
    <s v="17/2021 JALAL"/>
    <d v="2021-03-11T00:00:00"/>
    <s v="300191"/>
    <s v="JTTL"/>
    <n v="3457.18"/>
  </r>
  <r>
    <s v="Facture comptabilisée"/>
    <m/>
    <x v="0"/>
    <x v="1113"/>
    <s v="18/2021 JALAL"/>
    <d v="2021-03-11T00:00:00"/>
    <s v="300191"/>
    <s v="JTTL"/>
    <n v="3300.97"/>
  </r>
  <r>
    <s v="Facture comptabilisée"/>
    <m/>
    <x v="0"/>
    <x v="1114"/>
    <s v="19/2021 JALAL"/>
    <d v="2021-03-11T00:00:00"/>
    <s v="300191"/>
    <s v="JTTL"/>
    <n v="3150.63"/>
  </r>
  <r>
    <s v="Facture comptabilisée"/>
    <m/>
    <x v="0"/>
    <x v="1115"/>
    <s v="23/2021 JALAL"/>
    <d v="2021-03-11T00:00:00"/>
    <s v="300198"/>
    <s v="YMMI TRANS"/>
    <n v="11000"/>
  </r>
  <r>
    <s v="Facture comptabilisée"/>
    <m/>
    <x v="0"/>
    <x v="1116"/>
    <s v="21/2021 JALAL"/>
    <d v="2021-03-12T00:00:00"/>
    <s v="300043"/>
    <s v="DOUANE"/>
    <n v="1081"/>
  </r>
  <r>
    <s v="Facture comptabilisée"/>
    <m/>
    <x v="0"/>
    <x v="1117"/>
    <s v="SILVER FOOD"/>
    <d v="2021-03-12T00:00:00"/>
    <s v="300115"/>
    <s v="AUXILIAR CONSERVERA SA"/>
    <n v="270565.54800000001"/>
  </r>
  <r>
    <s v="Facture comptabilisée"/>
    <m/>
    <x v="0"/>
    <x v="1118"/>
    <s v="4/4 ZEMZAMI"/>
    <d v="2021-03-12T00:00:00"/>
    <s v="300115"/>
    <s v="AUXILIAR CONSERVERA SA"/>
    <n v="152678.46"/>
  </r>
  <r>
    <s v="Facture comptabilisée"/>
    <m/>
    <x v="0"/>
    <x v="1119"/>
    <s v="24/2021 JALAL"/>
    <d v="2021-03-12T00:00:00"/>
    <s v="300198"/>
    <s v="YMMI TRANS"/>
    <n v="11000"/>
  </r>
  <r>
    <s v="Facture comptabilisée"/>
    <m/>
    <x v="0"/>
    <x v="1120"/>
    <s v="23/2021 JALAL"/>
    <d v="2021-03-15T00:00:00"/>
    <s v="300043"/>
    <s v="DOUANE"/>
    <n v="1076"/>
  </r>
  <r>
    <s v="Facture comptabilisée"/>
    <m/>
    <x v="0"/>
    <x v="1121"/>
    <s v="JIL PACK A*SMARCO"/>
    <d v="2021-03-15T00:00:00"/>
    <s v="300115"/>
    <s v="AUXILIAR CONSERVERA SA"/>
    <n v="87018.623999999996"/>
  </r>
  <r>
    <s v="Facture comptabilisée"/>
    <m/>
    <x v="0"/>
    <x v="1122"/>
    <s v="JIL PACK A"/>
    <d v="2021-03-15T00:00:00"/>
    <s v="300115"/>
    <s v="AUXILIAR CONSERVERA SA"/>
    <n v="86436.810899999997"/>
  </r>
  <r>
    <s v="Facture comptabilisée"/>
    <m/>
    <x v="0"/>
    <x v="1123"/>
    <s v="26/2021"/>
    <d v="2021-03-16T00:00:00"/>
    <s v="300043"/>
    <s v="DOUANE"/>
    <n v="1148"/>
  </r>
  <r>
    <s v="Facture comptabilisée"/>
    <m/>
    <x v="0"/>
    <x v="1124"/>
    <s v="24/2021 JALAL "/>
    <d v="2021-03-16T00:00:00"/>
    <s v="300043"/>
    <s v="DOUANE"/>
    <n v="1079"/>
  </r>
  <r>
    <s v="Facture comptabilisée"/>
    <m/>
    <x v="0"/>
    <x v="1125"/>
    <s v="TO"/>
    <d v="2021-03-16T00:00:00"/>
    <s v="300080"/>
    <s v="MASSILLY"/>
    <n v="41978.858200000002"/>
  </r>
  <r>
    <s v="Facture comptabilisée"/>
    <m/>
    <x v="0"/>
    <x v="1126"/>
    <s v="26/2021"/>
    <d v="2021-03-16T00:00:00"/>
    <s v="300101"/>
    <s v="ASMAE FORWARDING EXPRESS"/>
    <n v="3787.31"/>
  </r>
  <r>
    <s v="Facture comptabilisée"/>
    <m/>
    <x v="0"/>
    <x v="1127"/>
    <s v="SILVER FOOD"/>
    <d v="2021-03-16T00:00:00"/>
    <s v="300115"/>
    <s v="AUXILIAR CONSERVERA SA"/>
    <n v="301558.44400000002"/>
  </r>
  <r>
    <s v="Facture comptabilisée"/>
    <m/>
    <x v="0"/>
    <x v="1128"/>
    <s v="21/2021 JALAL"/>
    <d v="2021-03-16T00:00:00"/>
    <s v="300191"/>
    <s v="JTTL"/>
    <n v="3169.18"/>
  </r>
  <r>
    <s v="Facture comptabilisée"/>
    <m/>
    <x v="0"/>
    <x v="1129"/>
    <s v="22/2021 JALAL"/>
    <d v="2021-03-16T00:00:00"/>
    <s v="300191"/>
    <s v="JTTL"/>
    <n v="3163.53"/>
  </r>
  <r>
    <s v="Facture comptabilisée"/>
    <m/>
    <x v="0"/>
    <x v="1130"/>
    <s v="42/2021"/>
    <d v="2021-03-17T00:00:00"/>
    <s v="300043"/>
    <s v="DOUANE"/>
    <n v="1148"/>
  </r>
  <r>
    <s v="Facture comptabilisée"/>
    <m/>
    <x v="0"/>
    <x v="1131"/>
    <s v="42/2021"/>
    <d v="2021-03-17T00:00:00"/>
    <s v="300101"/>
    <s v="ASMAE FORWARDING EXPRESS"/>
    <n v="3158.85"/>
  </r>
  <r>
    <s v="Facture comptabilisée"/>
    <m/>
    <x v="0"/>
    <x v="1132"/>
    <s v="JIL PACK A"/>
    <d v="2021-03-17T00:00:00"/>
    <s v="300115"/>
    <s v="AUXILIAR CONSERVERA SA"/>
    <n v="276399.17359999998"/>
  </r>
  <r>
    <s v="Facture comptabilisée"/>
    <m/>
    <x v="0"/>
    <x v="1133"/>
    <s v="27/2021 "/>
    <d v="2021-03-18T00:00:00"/>
    <s v="300043"/>
    <s v="DOUANE"/>
    <n v="448"/>
  </r>
  <r>
    <s v="Facture comptabilisée"/>
    <m/>
    <x v="0"/>
    <x v="1134"/>
    <s v="41/2021"/>
    <d v="2021-03-18T00:00:00"/>
    <s v="300043"/>
    <s v="DOUANE"/>
    <n v="663"/>
  </r>
  <r>
    <s v="Facture comptabilisée"/>
    <m/>
    <x v="0"/>
    <x v="1135"/>
    <s v="28/2021"/>
    <d v="2021-03-18T00:00:00"/>
    <s v="300043"/>
    <s v="DOUANE"/>
    <n v="446"/>
  </r>
  <r>
    <s v="Facture comptabilisée"/>
    <m/>
    <x v="0"/>
    <x v="1136"/>
    <s v="MIPA"/>
    <d v="2021-03-18T00:00:00"/>
    <s v="300092"/>
    <s v="METALSCATOLA AFRIQUE"/>
    <n v="60227.25"/>
  </r>
  <r>
    <s v="Facture comptabilisée"/>
    <m/>
    <x v="0"/>
    <x v="1137"/>
    <s v="27/2021 "/>
    <d v="2021-03-18T00:00:00"/>
    <s v="300101"/>
    <s v="ASMAE FORWARDING EXPRESS"/>
    <n v="3314.98"/>
  </r>
  <r>
    <s v="Facture comptabilisée"/>
    <m/>
    <x v="0"/>
    <x v="1138"/>
    <s v="28/2021"/>
    <d v="2021-03-18T00:00:00"/>
    <s v="300101"/>
    <s v="ASMAE FORWARDING EXPRESS"/>
    <n v="3318.33"/>
  </r>
  <r>
    <s v="Facture comptabilisée"/>
    <m/>
    <x v="0"/>
    <x v="1139"/>
    <s v="41/2021"/>
    <d v="2021-03-18T00:00:00"/>
    <s v="300101"/>
    <s v="ASMAE FORWARDING EXPRESS"/>
    <n v="3471.56"/>
  </r>
  <r>
    <s v="Facture comptabilisée"/>
    <m/>
    <x v="0"/>
    <x v="1140"/>
    <s v="5500"/>
    <d v="2021-03-18T00:00:00"/>
    <s v="300133"/>
    <s v="OP BOX "/>
    <n v="26856"/>
  </r>
  <r>
    <s v="Facture comptabilisée"/>
    <m/>
    <x v="0"/>
    <x v="1141"/>
    <s v="25/2021 JALAL"/>
    <d v="2021-03-19T00:00:00"/>
    <s v="300043"/>
    <s v="DOUANE"/>
    <n v="1098"/>
  </r>
  <r>
    <s v="Facture comptabilisée"/>
    <m/>
    <x v="0"/>
    <x v="1142"/>
    <s v="25/2021 JALAL"/>
    <d v="2021-03-20T00:00:00"/>
    <s v="300304"/>
    <s v="GIUSEPPE LOGISTIKA"/>
    <n v="12000"/>
  </r>
  <r>
    <s v="Facture comptabilisée"/>
    <m/>
    <x v="0"/>
    <x v="1143"/>
    <s v="4/4 ZEMZAMI"/>
    <d v="2021-03-22T00:00:00"/>
    <s v="300115"/>
    <s v="AUXILIAR CONSERVERA SA"/>
    <n v="154548.24"/>
  </r>
  <r>
    <s v="Facture comptabilisée"/>
    <m/>
    <x v="0"/>
    <x v="1144"/>
    <s v="SILVER FOOD"/>
    <d v="2021-03-23T00:00:00"/>
    <s v="300115"/>
    <s v="AUXILIAR CONSERVERA SA"/>
    <n v="301558.44400000002"/>
  </r>
  <r>
    <s v="Facture comptabilisée"/>
    <m/>
    <x v="0"/>
    <x v="1145"/>
    <s v="SILVER FOOD"/>
    <d v="2021-03-23T00:00:00"/>
    <s v="300115"/>
    <s v="AUXILIAR CONSERVERA SA"/>
    <n v="301558.44400000002"/>
  </r>
  <r>
    <s v="Facture comptabilisée"/>
    <m/>
    <x v="0"/>
    <x v="1146"/>
    <s v="4/4 ZEMZAMI"/>
    <d v="2021-03-23T00:00:00"/>
    <s v="300115"/>
    <s v="AUXILIAR CONSERVERA SA"/>
    <n v="158079.636"/>
  </r>
  <r>
    <s v="Facture comptabilisée"/>
    <m/>
    <x v="0"/>
    <x v="1147"/>
    <s v="23/2021 JALAL"/>
    <d v="2021-03-23T00:00:00"/>
    <s v="300191"/>
    <s v="JTTL"/>
    <n v="3478.38"/>
  </r>
  <r>
    <s v="Facture comptabilisée"/>
    <m/>
    <x v="0"/>
    <x v="1148"/>
    <s v="24/2021 JALAL"/>
    <d v="2021-03-23T00:00:00"/>
    <s v="300191"/>
    <s v="JTTL"/>
    <n v="3299.16"/>
  </r>
  <r>
    <s v="Facture comptabilisée"/>
    <m/>
    <x v="0"/>
    <x v="1149"/>
    <s v="25/2021 JALAL"/>
    <d v="2021-03-23T00:00:00"/>
    <s v="300191"/>
    <s v="JTTL"/>
    <n v="3143.72"/>
  </r>
  <r>
    <s v="Facture comptabilisée"/>
    <m/>
    <x v="0"/>
    <x v="1150"/>
    <s v="SILVER FOOD"/>
    <d v="2021-03-24T00:00:00"/>
    <s v="300115"/>
    <s v="AUXILIAR CONSERVERA SA"/>
    <n v="270565.54800000001"/>
  </r>
  <r>
    <s v="Facture comptabilisée"/>
    <m/>
    <x v="0"/>
    <x v="1151"/>
    <s v="SILVER FOOD"/>
    <d v="2021-03-24T00:00:00"/>
    <s v="300115"/>
    <s v="AUXILIAR CONSERVERA SA"/>
    <n v="270565.54800000001"/>
  </r>
  <r>
    <s v="Facture comptabilisée"/>
    <m/>
    <x v="0"/>
    <x v="1152"/>
    <s v="SILVER FOOD"/>
    <d v="2021-03-24T00:00:00"/>
    <s v="300115"/>
    <s v="AUXILIAR CONSERVERA SA"/>
    <n v="193812.3847"/>
  </r>
  <r>
    <s v="Facture comptabilisée"/>
    <m/>
    <x v="0"/>
    <x v="1153"/>
    <s v="26/2021 JALAL"/>
    <d v="2021-03-25T00:00:00"/>
    <s v="300043"/>
    <s v="DOUANE"/>
    <n v="1069"/>
  </r>
  <r>
    <s v="Facture comptabilisée"/>
    <m/>
    <x v="0"/>
    <x v="1154"/>
    <s v="27/2021 JALAL"/>
    <d v="2021-03-25T00:00:00"/>
    <s v="300043"/>
    <s v="DOUANE"/>
    <n v="1066"/>
  </r>
  <r>
    <s v="Facture comptabilisée"/>
    <m/>
    <x v="0"/>
    <x v="1155"/>
    <s v="4/4 G3"/>
    <d v="2021-03-25T00:00:00"/>
    <s v="300080"/>
    <s v="MASSILLY"/>
    <n v="192100.12770000001"/>
  </r>
  <r>
    <s v="Facture comptabilisée"/>
    <m/>
    <x v="0"/>
    <x v="1156"/>
    <s v="MIPA"/>
    <d v="2021-03-25T00:00:00"/>
    <s v="300092"/>
    <s v="METALSCATOLA AFRIQUE"/>
    <n v="59295"/>
  </r>
  <r>
    <s v="Facture comptabilisée"/>
    <m/>
    <x v="0"/>
    <x v="1157"/>
    <s v="JIL PACK"/>
    <d v="2021-03-25T00:00:00"/>
    <s v="300115"/>
    <s v="AUXILIAR CONSERVERA SA"/>
    <n v="269621.52799999999"/>
  </r>
  <r>
    <s v="Facture comptabilisée"/>
    <m/>
    <x v="0"/>
    <x v="1158"/>
    <s v="JIL PACK A*SMARCO"/>
    <d v="2021-03-25T00:00:00"/>
    <s v="300115"/>
    <s v="AUXILIAR CONSERVERA SA"/>
    <n v="87163.56"/>
  </r>
  <r>
    <s v="Facture comptabilisée"/>
    <m/>
    <x v="0"/>
    <x v="1159"/>
    <s v="29/2021"/>
    <d v="2021-03-26T00:00:00"/>
    <s v="300043"/>
    <s v="DOUANE"/>
    <n v="1144"/>
  </r>
  <r>
    <s v="Facture comptabilisée"/>
    <m/>
    <x v="0"/>
    <x v="1160"/>
    <s v="2KG5 BPANI"/>
    <d v="2021-03-26T00:00:00"/>
    <s v="300064"/>
    <s v="SONOCO Métal Packaging Maroc"/>
    <n v="55230"/>
  </r>
  <r>
    <s v="Facture comptabilisée"/>
    <m/>
    <x v="0"/>
    <x v="1161"/>
    <s v="29/2021"/>
    <d v="2021-03-26T00:00:00"/>
    <s v="300101"/>
    <s v="ASMAE FORWARDING EXPRESS"/>
    <n v="3306.63"/>
  </r>
  <r>
    <s v="Facture comptabilisée"/>
    <m/>
    <x v="0"/>
    <x v="1162"/>
    <s v="VMM "/>
    <d v="2021-03-26T00:00:00"/>
    <s v="300115"/>
    <s v="AUXILIAR CONSERVERA SA"/>
    <n v="297328.58100000001"/>
  </r>
  <r>
    <s v="Facture comptabilisée"/>
    <m/>
    <x v="0"/>
    <x v="1163"/>
    <s v="27/2021 JALAL"/>
    <d v="2021-03-26T00:00:00"/>
    <s v="300304"/>
    <s v="GIUSEPPE LOGISTIKA"/>
    <n v="10000"/>
  </r>
  <r>
    <s v="Facture comptabilisée"/>
    <m/>
    <x v="0"/>
    <x v="1164"/>
    <s v="31/2021"/>
    <d v="2021-03-27T00:00:00"/>
    <s v="300043"/>
    <s v="DOUANE"/>
    <n v="536"/>
  </r>
  <r>
    <s v="Facture comptabilisée"/>
    <m/>
    <x v="0"/>
    <x v="1165"/>
    <s v="31/2021"/>
    <d v="2021-03-27T00:00:00"/>
    <s v="300101"/>
    <s v="ASMAE FORWARDING EXPRESS"/>
    <n v="3769.2"/>
  </r>
  <r>
    <s v="Facture comptabilisée"/>
    <m/>
    <x v="0"/>
    <x v="1166"/>
    <s v="VICTUS"/>
    <d v="2021-03-27T00:00:00"/>
    <s v="300115"/>
    <s v="AUXILIAR CONSERVERA SA"/>
    <n v="146433.76"/>
  </r>
  <r>
    <s v="Facture comptabilisée"/>
    <m/>
    <x v="0"/>
    <x v="1167"/>
    <s v="JIL PACK A*SMARCO"/>
    <d v="2021-03-27T00:00:00"/>
    <s v="300115"/>
    <s v="AUXILIAR CONSERVERA SA"/>
    <n v="87163.56"/>
  </r>
  <r>
    <s v="Facture comptabilisée"/>
    <m/>
    <x v="0"/>
    <x v="1168"/>
    <s v="30/2021"/>
    <d v="2021-03-29T00:00:00"/>
    <s v="300043"/>
    <s v="DOUANE"/>
    <n v="676"/>
  </r>
  <r>
    <s v="Facture comptabilisée"/>
    <m/>
    <x v="0"/>
    <x v="1169"/>
    <s v="35/2021"/>
    <d v="2021-03-29T00:00:00"/>
    <s v="300043"/>
    <s v="DOUANE"/>
    <n v="1142"/>
  </r>
  <r>
    <s v="Facture comptabilisée"/>
    <m/>
    <x v="0"/>
    <x v="1170"/>
    <s v="29/2021 JALAL"/>
    <d v="2021-03-29T00:00:00"/>
    <s v="300043"/>
    <s v="DOUANE"/>
    <n v="1068"/>
  </r>
  <r>
    <s v="Facture comptabilisée"/>
    <m/>
    <x v="0"/>
    <x v="1171"/>
    <s v="38/2021"/>
    <d v="2021-03-29T00:00:00"/>
    <s v="300043"/>
    <s v="DOUANE"/>
    <n v="792"/>
  </r>
  <r>
    <s v="Facture comptabilisée"/>
    <m/>
    <x v="0"/>
    <x v="1172"/>
    <s v="30/2021"/>
    <d v="2021-03-29T00:00:00"/>
    <s v="300101"/>
    <s v="ASMAE FORWARDING EXPRESS"/>
    <n v="3613.88"/>
  </r>
  <r>
    <s v="Facture comptabilisée"/>
    <m/>
    <x v="0"/>
    <x v="1173"/>
    <s v="35/2021"/>
    <d v="2021-03-29T00:00:00"/>
    <s v="300101"/>
    <s v="ASMAE FORWARDING EXPRESS"/>
    <n v="3769.2"/>
  </r>
  <r>
    <s v="Facture comptabilisée"/>
    <m/>
    <x v="0"/>
    <x v="1174"/>
    <s v="38/2021"/>
    <d v="2021-03-29T00:00:00"/>
    <s v="300101"/>
    <s v="ASMAE FORWARDING EXPRESS"/>
    <n v="3613.88"/>
  </r>
  <r>
    <s v="Facture comptabilisée"/>
    <m/>
    <x v="0"/>
    <x v="1175"/>
    <s v="SILVER FOOD"/>
    <d v="2021-03-29T00:00:00"/>
    <s v="300115"/>
    <s v="AUXILIAR CONSERVERA SA"/>
    <n v="301558.44400000002"/>
  </r>
  <r>
    <s v="Facture comptabilisée"/>
    <m/>
    <x v="0"/>
    <x v="1176"/>
    <s v="4/4 OF EPOXY*1*"/>
    <d v="2021-03-29T00:00:00"/>
    <s v="300115"/>
    <s v="AUXILIAR CONSERVERA SA"/>
    <n v="178104.03599999999"/>
  </r>
  <r>
    <s v="Facture comptabilisée"/>
    <m/>
    <x v="0"/>
    <x v="1177"/>
    <s v="LOGI FOOD"/>
    <d v="2021-03-29T00:00:00"/>
    <s v="300115"/>
    <s v="AUXILIAR CONSERVERA SA"/>
    <n v="45651.813900000001"/>
  </r>
  <r>
    <s v="Facture comptabilisée"/>
    <m/>
    <x v="0"/>
    <x v="1178"/>
    <s v="SILVER FOOD"/>
    <d v="2021-03-29T00:00:00"/>
    <s v="300115"/>
    <s v="AUXILIAR CONSERVERA SA"/>
    <n v="301558.44400000002"/>
  </r>
  <r>
    <s v="Facture comptabilisée"/>
    <m/>
    <x v="0"/>
    <x v="1179"/>
    <s v="20L"/>
    <d v="2021-03-29T00:00:00"/>
    <s v="300133"/>
    <s v="OP BOX "/>
    <n v="44012.43"/>
  </r>
  <r>
    <s v="Facture comptabilisée"/>
    <m/>
    <x v="0"/>
    <x v="1180"/>
    <s v="18L ET 2.3"/>
    <d v="2021-03-29T00:00:00"/>
    <s v="300133"/>
    <s v="OP BOX "/>
    <n v="34765.919999999998"/>
  </r>
  <r>
    <s v="Facture comptabilisée"/>
    <m/>
    <x v="0"/>
    <x v="1181"/>
    <s v="34/2021"/>
    <d v="2021-03-30T00:00:00"/>
    <s v="300043"/>
    <s v="DOUANE"/>
    <n v="1496"/>
  </r>
  <r>
    <s v="Facture comptabilisée"/>
    <m/>
    <x v="0"/>
    <x v="1182"/>
    <s v="34/2021"/>
    <d v="2021-03-30T00:00:00"/>
    <s v="300101"/>
    <s v="ASMAE FORWARDING EXPRESS"/>
    <n v="3761.49"/>
  </r>
  <r>
    <s v="Facture comptabilisée"/>
    <m/>
    <x v="0"/>
    <x v="1183"/>
    <s v="JIL PACK A*SMARCO"/>
    <d v="2021-03-30T00:00:00"/>
    <s v="300115"/>
    <s v="AUXILIAR CONSERVERA SA"/>
    <n v="87163.56"/>
  </r>
  <r>
    <s v="Facture comptabilisée"/>
    <m/>
    <x v="0"/>
    <x v="1184"/>
    <s v="VMM "/>
    <d v="2021-03-30T00:00:00"/>
    <s v="300115"/>
    <s v="AUXILIAR CONSERVERA SA"/>
    <n v="272823.88099999999"/>
  </r>
  <r>
    <s v="Facture comptabilisée"/>
    <m/>
    <x v="0"/>
    <x v="1185"/>
    <s v="26/2021 JALAL"/>
    <d v="2021-03-30T00:00:00"/>
    <s v="300191"/>
    <s v="JTTL"/>
    <n v="3150.41"/>
  </r>
  <r>
    <s v="Facture comptabilisée"/>
    <m/>
    <x v="0"/>
    <x v="1186"/>
    <s v="40/2021"/>
    <d v="2021-03-31T00:00:00"/>
    <s v="300043"/>
    <s v="DOUANE"/>
    <n v="1127"/>
  </r>
  <r>
    <s v="Facture comptabilisée"/>
    <m/>
    <x v="0"/>
    <x v="1187"/>
    <s v="33/2021"/>
    <d v="2021-03-31T00:00:00"/>
    <s v="300043"/>
    <s v="DOUANE"/>
    <n v="445"/>
  </r>
  <r>
    <s v="Facture comptabilisée"/>
    <m/>
    <x v="0"/>
    <x v="1188"/>
    <s v="32/2021"/>
    <d v="2021-03-31T00:00:00"/>
    <s v="300043"/>
    <s v="DOUANE"/>
    <n v="639"/>
  </r>
  <r>
    <s v="Facture comptabilisée"/>
    <m/>
    <x v="0"/>
    <x v="1189"/>
    <s v="39/2021"/>
    <d v="2021-03-31T00:00:00"/>
    <s v="300043"/>
    <s v="DOUANE"/>
    <n v="1141"/>
  </r>
  <r>
    <s v="Facture comptabilisée"/>
    <m/>
    <x v="0"/>
    <x v="1190"/>
    <s v="32/2021"/>
    <d v="2021-03-31T00:00:00"/>
    <s v="300101"/>
    <s v="ASMAE FORWARDING EXPRESS"/>
    <n v="3296.84"/>
  </r>
  <r>
    <s v="Facture comptabilisée"/>
    <m/>
    <x v="0"/>
    <x v="1191"/>
    <s v="33/2021"/>
    <d v="2021-03-31T00:00:00"/>
    <s v="300101"/>
    <s v="ASMAE FORWARDING EXPRESS"/>
    <n v="3296.84"/>
  </r>
  <r>
    <s v="Facture comptabilisée"/>
    <m/>
    <x v="0"/>
    <x v="1192"/>
    <s v="40/2021"/>
    <d v="2021-03-31T00:00:00"/>
    <s v="300101"/>
    <s v="ASMAE FORWARDING EXPRESS"/>
    <n v="3296.87"/>
  </r>
  <r>
    <s v="Facture comptabilisée"/>
    <m/>
    <x v="0"/>
    <x v="1193"/>
    <s v="39/2021"/>
    <d v="2021-03-31T00:00:00"/>
    <s v="300101"/>
    <s v="ASMAE FORWARDING EXPRESS"/>
    <n v="3296.84"/>
  </r>
  <r>
    <s v="Facture comptabilisée"/>
    <m/>
    <x v="0"/>
    <x v="1194"/>
    <s v="27/2021 JALAL"/>
    <d v="2021-03-31T00:00:00"/>
    <s v="300191"/>
    <s v="JTTL"/>
    <n v="3128.66"/>
  </r>
  <r>
    <s v="Facture comptabilisée"/>
    <m/>
    <x v="0"/>
    <x v="1195"/>
    <s v="28/2021 JALAL"/>
    <d v="2021-03-31T00:00:00"/>
    <s v="300192"/>
    <s v="CAP-AOUYAL-FRICO TRANSPORT"/>
    <n v="12500"/>
  </r>
  <r>
    <s v="Facture comptabilisée"/>
    <m/>
    <x v="0"/>
    <x v="1196"/>
    <s v="18/2021 JALAL"/>
    <d v="2021-03-31T00:00:00"/>
    <s v="300192"/>
    <s v="CAP-AOUYAL-FRICO TRANSPORT"/>
    <n v="12500"/>
  </r>
  <r>
    <s v="Facture comptabilisée"/>
    <m/>
    <x v="0"/>
    <x v="1197"/>
    <s v="22/2021 JALAL"/>
    <d v="2021-03-31T00:00:00"/>
    <s v="300192"/>
    <s v="CAP-AOUYAL-FRICO TRANSPORT"/>
    <n v="12500"/>
  </r>
  <r>
    <s v="Facture comptabilisée"/>
    <m/>
    <x v="0"/>
    <x v="1198"/>
    <s v="29/2021 JALAL"/>
    <d v="2021-03-31T00:00:00"/>
    <s v="300192"/>
    <s v="CAP-AOUYAL-FRICO TRANSPORT"/>
    <n v="12500"/>
  </r>
  <r>
    <s v="Facture comptabilisée"/>
    <m/>
    <x v="0"/>
    <x v="1199"/>
    <s v="21/2021 JALAL"/>
    <d v="2021-03-31T00:00:00"/>
    <s v="300192"/>
    <s v="CAP-AOUYAL-FRICO TRANSPORT"/>
    <n v="12500"/>
  </r>
  <r>
    <s v="Facture comptabilisée"/>
    <m/>
    <x v="0"/>
    <x v="1200"/>
    <s v="26/2021 JALAL"/>
    <d v="2021-03-31T00:00:00"/>
    <s v="300192"/>
    <s v="CAP-AOUYAL-FRICO TRANSPORT"/>
    <n v="11000"/>
  </r>
  <r>
    <s v="Facture comptabilisée"/>
    <m/>
    <x v="0"/>
    <x v="1201"/>
    <s v="20/2021 JALAL"/>
    <d v="2021-03-31T00:00:00"/>
    <s v="300192"/>
    <s v="CAP-AOUYAL-FRICO TRANSPORT"/>
    <n v="11000"/>
  </r>
  <r>
    <s v="Facture comptabilisée"/>
    <m/>
    <x v="0"/>
    <x v="1202"/>
    <s v="19/2021 JALAL"/>
    <d v="2021-03-31T00:00:00"/>
    <s v="300192"/>
    <s v="CAP-AOUYAL-FRICO TRANSPORT"/>
    <n v="11000"/>
  </r>
  <r>
    <s v="Facture comptabilisée"/>
    <m/>
    <x v="0"/>
    <x v="1203"/>
    <s v="28/2021 JALAL"/>
    <d v="2021-04-01T00:00:00"/>
    <s v="300043"/>
    <s v="DOUANE"/>
    <n v="1076"/>
  </r>
  <r>
    <s v="Facture comptabilisée"/>
    <m/>
    <x v="0"/>
    <x v="1204"/>
    <s v="36/2021"/>
    <d v="2021-04-01T00:00:00"/>
    <s v="300043"/>
    <s v="DOUANE"/>
    <n v="1141"/>
  </r>
  <r>
    <s v="Facture comptabilisée"/>
    <m/>
    <x v="0"/>
    <x v="1205"/>
    <s v="37/2021"/>
    <d v="2021-04-01T00:00:00"/>
    <s v="300043"/>
    <s v="DOUANE"/>
    <n v="445"/>
  </r>
  <r>
    <s v="Facture comptabilisée"/>
    <m/>
    <x v="0"/>
    <x v="1206"/>
    <s v="36/2021"/>
    <d v="2021-04-01T00:00:00"/>
    <s v="300101"/>
    <s v="ASMAE FORWARDING EXPRESS"/>
    <n v="3296.39"/>
  </r>
  <r>
    <s v="Facture comptabilisée"/>
    <m/>
    <x v="0"/>
    <x v="1207"/>
    <s v="37/2021"/>
    <d v="2021-04-01T00:00:00"/>
    <s v="300101"/>
    <s v="ASMAE FORWARDING EXPRESS"/>
    <n v="3296.4"/>
  </r>
  <r>
    <s v="Facture comptabilisée"/>
    <m/>
    <x v="0"/>
    <x v="1208"/>
    <s v="3.8 AM"/>
    <d v="2021-04-01T00:00:00"/>
    <s v="300133"/>
    <s v="OP BOX "/>
    <n v="12724.8"/>
  </r>
  <r>
    <s v="Facture comptabilisée"/>
    <m/>
    <x v="0"/>
    <x v="1209"/>
    <s v="CVC1200 BLANC"/>
    <d v="2021-04-01T00:00:00"/>
    <s v="300133"/>
    <s v="OP BOX "/>
    <n v="480.7"/>
  </r>
  <r>
    <s v="Facture comptabilisée"/>
    <m/>
    <x v="0"/>
    <x v="1210"/>
    <s v="ATTED AVOIR OP BO"/>
    <d v="2021-04-02T00:00:00"/>
    <s v="300133"/>
    <s v="OP BOX "/>
    <n v="480.7"/>
  </r>
  <r>
    <s v="Facture comptabilisée"/>
    <m/>
    <x v="0"/>
    <x v="1211"/>
    <s v="29/2021 JALAL"/>
    <d v="2021-04-04T00:00:00"/>
    <s v="300191"/>
    <s v="JTTL"/>
    <n v="3462.06"/>
  </r>
  <r>
    <s v="Facture comptabilisée"/>
    <m/>
    <x v="0"/>
    <x v="1212"/>
    <s v="108*131"/>
    <d v="2021-04-05T00:00:00"/>
    <s v="300092"/>
    <s v="METALSCATOLA AFRIQUE"/>
    <n v="9003.2999999999993"/>
  </r>
  <r>
    <s v="Facture comptabilisée"/>
    <m/>
    <x v="0"/>
    <x v="1213"/>
    <s v="SILVER FOOD"/>
    <d v="2021-04-05T00:00:00"/>
    <s v="300115"/>
    <s v="AUXILIAR CONSERVERA SA"/>
    <n v="301558.44400000002"/>
  </r>
  <r>
    <s v="Facture comptabilisée"/>
    <m/>
    <x v="0"/>
    <x v="1214"/>
    <s v="JIL PACK A*SMARCO"/>
    <d v="2021-04-05T00:00:00"/>
    <s v="300115"/>
    <s v="AUXILIAR CONSERVERA SA"/>
    <n v="87125.543999999994"/>
  </r>
  <r>
    <s v="Facture comptabilisée"/>
    <m/>
    <x v="0"/>
    <x v="1215"/>
    <s v="45/2021"/>
    <d v="2021-04-07T00:00:00"/>
    <s v="300043"/>
    <s v="DOUANE"/>
    <n v="1140"/>
  </r>
  <r>
    <s v="Facture comptabilisée"/>
    <m/>
    <x v="0"/>
    <x v="1216"/>
    <s v="44/2021"/>
    <d v="2021-04-07T00:00:00"/>
    <s v="300043"/>
    <s v="DOUANE"/>
    <n v="889"/>
  </r>
  <r>
    <s v="Facture comptabilisée"/>
    <m/>
    <x v="0"/>
    <x v="1217"/>
    <s v="44/2021"/>
    <d v="2021-04-07T00:00:00"/>
    <s v="300101"/>
    <s v="ASMAE FORWARDING EXPRESS"/>
    <n v="4392.29"/>
  </r>
  <r>
    <s v="Facture comptabilisée"/>
    <m/>
    <x v="0"/>
    <x v="1218"/>
    <s v="45/2021"/>
    <d v="2021-04-07T00:00:00"/>
    <s v="300101"/>
    <s v="ASMAE FORWARDING EXPRESS"/>
    <n v="3147.32"/>
  </r>
  <r>
    <s v="Facture comptabilisée"/>
    <m/>
    <x v="0"/>
    <x v="1219"/>
    <s v="28/2021 JALAL"/>
    <d v="2021-04-07T00:00:00"/>
    <s v="300191"/>
    <s v="JTTL"/>
    <n v="3145.04"/>
  </r>
  <r>
    <s v="Facture comptabilisée"/>
    <m/>
    <x v="0"/>
    <x v="1220"/>
    <s v="43/2021"/>
    <d v="2021-04-08T00:00:00"/>
    <s v="300043"/>
    <s v="DOUANE"/>
    <n v="446"/>
  </r>
  <r>
    <s v="Facture comptabilisée"/>
    <m/>
    <x v="0"/>
    <x v="1221"/>
    <s v="43/2021"/>
    <d v="2021-04-08T00:00:00"/>
    <s v="300101"/>
    <s v="ASMAE FORWARDING EXPRESS"/>
    <n v="3302.04"/>
  </r>
  <r>
    <s v="Facture comptabilisée"/>
    <m/>
    <x v="0"/>
    <x v="1222"/>
    <s v="JIL PACK"/>
    <d v="2021-04-08T00:00:00"/>
    <s v="300115"/>
    <s v="AUXILIAR CONSERVERA SA"/>
    <n v="258407.204"/>
  </r>
  <r>
    <s v="Facture comptabilisée"/>
    <m/>
    <x v="0"/>
    <x v="1223"/>
    <s v="1/2 H"/>
    <d v="2021-04-09T00:00:00"/>
    <s v="300080"/>
    <s v="MASSILLY"/>
    <n v="159138"/>
  </r>
  <r>
    <s v="Facture comptabilisée"/>
    <m/>
    <x v="0"/>
    <x v="1224"/>
    <s v="30/2021 JALAL"/>
    <d v="2021-04-12T00:00:00"/>
    <s v="300043"/>
    <s v="DOUANE"/>
    <n v="1031"/>
  </r>
  <r>
    <s v="Facture comptabilisée"/>
    <m/>
    <x v="0"/>
    <x v="1225"/>
    <s v="JIL PACK A"/>
    <d v="2021-04-12T00:00:00"/>
    <s v="300115"/>
    <s v="AUXILIAR CONSERVERA SA"/>
    <n v="270565.54800000001"/>
  </r>
  <r>
    <s v="Facture comptabilisée"/>
    <m/>
    <x v="0"/>
    <x v="1226"/>
    <s v="4L NOIR"/>
    <d v="2021-04-13T00:00:00"/>
    <s v="300133"/>
    <s v="OP BOX "/>
    <n v="5544"/>
  </r>
  <r>
    <s v="Facture comptabilisée"/>
    <m/>
    <x v="0"/>
    <x v="1227"/>
    <s v="2300"/>
    <d v="2021-04-13T00:00:00"/>
    <s v="300133"/>
    <s v="OP BOX "/>
    <n v="5068.8"/>
  </r>
  <r>
    <s v="Facture comptabilisée"/>
    <m/>
    <x v="0"/>
    <x v="1228"/>
    <s v="31/2021 JALAL"/>
    <d v="2021-04-14T00:00:00"/>
    <s v="300043"/>
    <s v="DOUANE"/>
    <n v="1076"/>
  </r>
  <r>
    <s v="Facture comptabilisée"/>
    <m/>
    <x v="0"/>
    <x v="1229"/>
    <s v="JIL PACK A"/>
    <d v="2021-04-14T00:00:00"/>
    <s v="300115"/>
    <s v="AUXILIAR CONSERVERA SA"/>
    <n v="270565.54800000001"/>
  </r>
  <r>
    <s v="Facture comptabilisée"/>
    <m/>
    <x v="0"/>
    <x v="1230"/>
    <s v="2300ML"/>
    <d v="2021-04-14T00:00:00"/>
    <s v="300133"/>
    <s v="OP BOX "/>
    <n v="10687.2"/>
  </r>
  <r>
    <s v="Facture comptabilisée"/>
    <m/>
    <x v="0"/>
    <x v="1231"/>
    <s v="3800 TRANSP"/>
    <d v="2021-04-14T00:00:00"/>
    <s v="300133"/>
    <s v="OP BOX "/>
    <n v="22182.6"/>
  </r>
  <r>
    <s v="Facture comptabilisée"/>
    <m/>
    <x v="0"/>
    <x v="1232"/>
    <s v="03/2021 REC JAC"/>
    <d v="2021-04-14T00:00:00"/>
    <s v="300301"/>
    <s v="RECOING &amp; JACQUETY"/>
    <n v="7691.23"/>
  </r>
  <r>
    <s v="Facture comptabilisée"/>
    <m/>
    <x v="0"/>
    <x v="1233"/>
    <s v="1200 TRANSP"/>
    <d v="2021-04-15T00:00:00"/>
    <s v="300133"/>
    <s v="OP BOX "/>
    <n v="9256.7999999999993"/>
  </r>
  <r>
    <s v="Facture comptabilisée"/>
    <m/>
    <x v="0"/>
    <x v="1234"/>
    <s v="30/2021 JALAL"/>
    <d v="2021-04-15T00:00:00"/>
    <s v="300191"/>
    <s v="JTTL"/>
    <n v="3285.65"/>
  </r>
  <r>
    <s v="Facture comptabilisée"/>
    <m/>
    <x v="0"/>
    <x v="1235"/>
    <s v="32/2021 JALAL"/>
    <d v="2021-04-16T00:00:00"/>
    <s v="300043"/>
    <s v="DOUANE"/>
    <n v="1076"/>
  </r>
  <r>
    <s v="Facture comptabilisée"/>
    <m/>
    <x v="0"/>
    <x v="1236"/>
    <d v="2026-04-04T00:00:00"/>
    <d v="2021-04-16T00:00:00"/>
    <s v="300064"/>
    <s v="SONOCO Métal Packaging Maroc"/>
    <n v="4443.0720000000001"/>
  </r>
  <r>
    <s v="Facture comptabilisée"/>
    <m/>
    <x v="0"/>
    <x v="1237"/>
    <s v="22L"/>
    <d v="2021-04-16T00:00:00"/>
    <s v="300093"/>
    <s v="AVEZ SAS"/>
    <n v="184572.54199999999"/>
  </r>
  <r>
    <s v="Facture comptabilisée"/>
    <m/>
    <x v="0"/>
    <x v="1238"/>
    <s v="43/2021"/>
    <d v="2021-04-16T00:00:00"/>
    <s v="300101"/>
    <s v="ASMAE FORWARDING EXPRESS"/>
    <n v="155.22999999999999"/>
  </r>
  <r>
    <s v="Facture comptabilisée"/>
    <m/>
    <x v="0"/>
    <x v="1239"/>
    <s v="TAM*JIL PACK"/>
    <d v="2021-04-16T00:00:00"/>
    <s v="300115"/>
    <s v="AUXILIAR CONSERVERA SA"/>
    <n v="96989.322100000005"/>
  </r>
  <r>
    <s v="Facture comptabilisée"/>
    <m/>
    <x v="0"/>
    <x v="1240"/>
    <s v="SILVER FOOD"/>
    <d v="2021-04-16T00:00:00"/>
    <s v="300115"/>
    <s v="AUXILIAR CONSERVERA SA"/>
    <n v="95956.270300000004"/>
  </r>
  <r>
    <s v="Facture comptabilisée"/>
    <m/>
    <x v="0"/>
    <x v="1241"/>
    <s v="32/2021 JALAL"/>
    <d v="2021-04-17T00:00:00"/>
    <s v="300304"/>
    <s v="GIUSEPPE LOGISTIKA"/>
    <n v="12000"/>
  </r>
  <r>
    <s v="Facture comptabilisée"/>
    <m/>
    <x v="0"/>
    <x v="1242"/>
    <s v="JIL PACK A"/>
    <d v="2021-04-19T00:00:00"/>
    <s v="300115"/>
    <s v="AUXILIAR CONSERVERA SA"/>
    <n v="270565.54800000001"/>
  </r>
  <r>
    <s v="Facture comptabilisée"/>
    <m/>
    <x v="0"/>
    <x v="1243"/>
    <s v="33/2021 JALAL"/>
    <d v="2021-04-20T00:00:00"/>
    <s v="300043"/>
    <s v="DOUANE"/>
    <n v="1081"/>
  </r>
  <r>
    <s v="Facture comptabilisée"/>
    <m/>
    <x v="0"/>
    <x v="1244"/>
    <s v="46/2021"/>
    <d v="2021-04-21T00:00:00"/>
    <s v="300043"/>
    <s v="DOUANE"/>
    <n v="792"/>
  </r>
  <r>
    <s v="Facture comptabilisée"/>
    <m/>
    <x v="0"/>
    <x v="1245"/>
    <s v="2k500 "/>
    <d v="2021-04-21T00:00:00"/>
    <s v="300064"/>
    <s v="SONOCO Métal Packaging Maroc"/>
    <n v="52350"/>
  </r>
  <r>
    <s v="Facture comptabilisée"/>
    <m/>
    <x v="0"/>
    <x v="1246"/>
    <s v="46/2021"/>
    <d v="2021-04-21T00:00:00"/>
    <s v="300101"/>
    <s v="ASMAE FORWARDING EXPRESS"/>
    <n v="3475.03"/>
  </r>
  <r>
    <s v="Facture comptabilisée"/>
    <m/>
    <x v="0"/>
    <x v="1247"/>
    <s v="JIL PACK A"/>
    <d v="2021-04-21T00:00:00"/>
    <s v="300115"/>
    <s v="AUXILIAR CONSERVERA SA"/>
    <n v="270565.54800000001"/>
  </r>
  <r>
    <s v="Facture comptabilisée"/>
    <m/>
    <x v="0"/>
    <x v="1248"/>
    <s v="31/2021 JALAL"/>
    <d v="2021-04-21T00:00:00"/>
    <s v="300191"/>
    <s v="JTTL"/>
    <n v="3285.78"/>
  </r>
  <r>
    <s v="Facture comptabilisée"/>
    <m/>
    <x v="0"/>
    <x v="1249"/>
    <s v="40/2021 JALAL"/>
    <d v="2021-04-21T00:00:00"/>
    <s v="300307"/>
    <s v="RAY CARGO"/>
    <n v="12000"/>
  </r>
  <r>
    <s v="Facture comptabilisée"/>
    <m/>
    <x v="0"/>
    <x v="1250"/>
    <s v="20L"/>
    <d v="2021-04-22T00:00:00"/>
    <s v="300133"/>
    <s v="OP BOX "/>
    <n v="36382.5"/>
  </r>
  <r>
    <s v="Facture comptabilisée"/>
    <m/>
    <x v="0"/>
    <x v="1251"/>
    <s v="32/2021 JALAL"/>
    <d v="2021-04-22T00:00:00"/>
    <s v="300191"/>
    <s v="JTTL"/>
    <n v="3135.48"/>
  </r>
  <r>
    <s v="Facture comptabilisée"/>
    <m/>
    <x v="0"/>
    <x v="1252"/>
    <s v="35/2021 JALAL"/>
    <d v="2021-04-23T00:00:00"/>
    <s v="300043"/>
    <s v="DOUANE"/>
    <n v="1079"/>
  </r>
  <r>
    <s v="Facture comptabilisée"/>
    <m/>
    <x v="0"/>
    <x v="1253"/>
    <s v="1/2 H OF"/>
    <d v="2021-04-23T00:00:00"/>
    <s v="300064"/>
    <s v="SONOCO Métal Packaging Maroc"/>
    <n v="79996.800000000003"/>
  </r>
  <r>
    <s v="Facture comptabilisée"/>
    <m/>
    <x v="0"/>
    <x v="1254"/>
    <s v="04/2021 REC JAC"/>
    <d v="2021-04-23T00:00:00"/>
    <s v="300087"/>
    <s v="WEC LINES"/>
    <n v="4232.28"/>
  </r>
  <r>
    <s v="Facture comptabilisée"/>
    <m/>
    <x v="0"/>
    <x v="1255"/>
    <s v="JIL PACK A"/>
    <d v="2021-04-23T00:00:00"/>
    <s v="300115"/>
    <s v="AUXILIAR CONSERVERA SA"/>
    <n v="270565.54800000001"/>
  </r>
  <r>
    <s v="Facture comptabilisée"/>
    <m/>
    <x v="0"/>
    <x v="1256"/>
    <s v="SILVER FOOD"/>
    <d v="2021-04-23T00:00:00"/>
    <s v="300115"/>
    <s v="AUXILIAR CONSERVERA SA"/>
    <n v="301558.44400000002"/>
  </r>
  <r>
    <s v="Facture comptabilisée"/>
    <m/>
    <x v="0"/>
    <x v="1257"/>
    <s v="SILVER FOOD"/>
    <d v="2021-04-23T00:00:00"/>
    <s v="300115"/>
    <s v="AUXILIAR CONSERVERA SA"/>
    <n v="301558.44400000002"/>
  </r>
  <r>
    <s v="Facture comptabilisée"/>
    <m/>
    <x v="0"/>
    <x v="1258"/>
    <s v="34/2021 JALAL"/>
    <d v="2021-04-26T00:00:00"/>
    <s v="300043"/>
    <s v="DOUANE"/>
    <n v="1081"/>
  </r>
  <r>
    <s v="Facture comptabilisée"/>
    <m/>
    <x v="0"/>
    <x v="1259"/>
    <s v="04/2021 REC JAC"/>
    <d v="2021-04-27T00:00:00"/>
    <s v="300043"/>
    <s v="DOUANE"/>
    <n v="610"/>
  </r>
  <r>
    <s v="Facture comptabilisée"/>
    <m/>
    <x v="0"/>
    <x v="1260"/>
    <s v="RETOUR 4/4 "/>
    <d v="2021-04-27T00:00:00"/>
    <s v="300064"/>
    <s v="SONOCO Métal Packaging Maroc"/>
    <n v="4443.0720000000001"/>
  </r>
  <r>
    <s v="Facture comptabilisée"/>
    <m/>
    <x v="0"/>
    <x v="1261"/>
    <s v="VMM"/>
    <d v="2021-04-27T00:00:00"/>
    <s v="300115"/>
    <s v="AUXILIAR CONSERVERA SA"/>
    <n v="305922.04499999998"/>
  </r>
  <r>
    <s v="Facture comptabilisée"/>
    <m/>
    <x v="0"/>
    <x v="1262"/>
    <s v="33/2021 JALAL"/>
    <d v="2021-04-27T00:00:00"/>
    <s v="300191"/>
    <s v="JTTL"/>
    <n v="3164.2"/>
  </r>
  <r>
    <s v="Facture comptabilisée"/>
    <m/>
    <x v="0"/>
    <x v="1263"/>
    <s v="47/2021"/>
    <d v="2021-04-28T00:00:00"/>
    <s v="300043"/>
    <s v="DOUANE"/>
    <n v="1148"/>
  </r>
  <r>
    <s v="Facture comptabilisée"/>
    <m/>
    <x v="0"/>
    <x v="1264"/>
    <s v="49/2021"/>
    <d v="2021-04-28T00:00:00"/>
    <s v="300043"/>
    <s v="DOUANE"/>
    <n v="1148"/>
  </r>
  <r>
    <s v="Facture comptabilisée"/>
    <m/>
    <x v="0"/>
    <x v="1265"/>
    <s v="47/2021"/>
    <d v="2021-04-28T00:00:00"/>
    <s v="300101"/>
    <s v="ASMAE FORWARDING EXPRESS"/>
    <n v="5602.62"/>
  </r>
  <r>
    <s v="Facture comptabilisée"/>
    <m/>
    <x v="0"/>
    <x v="1266"/>
    <s v="49/2021"/>
    <d v="2021-04-28T00:00:00"/>
    <s v="300101"/>
    <s v="ASMAE FORWARDING EXPRESS"/>
    <n v="3321.46"/>
  </r>
  <r>
    <s v="Facture comptabilisée"/>
    <m/>
    <x v="0"/>
    <x v="1267"/>
    <s v="108*125"/>
    <d v="2021-04-29T00:00:00"/>
    <s v="300092"/>
    <s v="METALSCATOLA AFRIQUE"/>
    <n v="38200"/>
  </r>
  <r>
    <s v="Facture comptabilisée"/>
    <m/>
    <x v="0"/>
    <x v="1268"/>
    <s v="JILPACK+JIL PACKA"/>
    <d v="2021-04-29T00:00:00"/>
    <s v="300115"/>
    <s v="AUXILIAR CONSERVERA SA"/>
    <n v="260094.56"/>
  </r>
  <r>
    <s v="Facture comptabilisée"/>
    <m/>
    <x v="0"/>
    <x v="1269"/>
    <s v="10L"/>
    <d v="2021-04-29T00:00:00"/>
    <s v="300133"/>
    <s v="OP BOX "/>
    <n v="26117"/>
  </r>
  <r>
    <s v="Facture comptabilisée"/>
    <m/>
    <x v="0"/>
    <x v="1270"/>
    <s v="36/2021 JALAL"/>
    <d v="2021-04-30T00:00:00"/>
    <s v="300043"/>
    <s v="DOUANE"/>
    <n v="1049"/>
  </r>
  <r>
    <s v="Facture comptabilisée"/>
    <m/>
    <x v="0"/>
    <x v="1271"/>
    <s v="1/2 H"/>
    <d v="2021-04-30T00:00:00"/>
    <s v="300080"/>
    <s v="MASSILLY"/>
    <n v="93297.600000000006"/>
  </r>
  <r>
    <s v="Facture comptabilisée"/>
    <m/>
    <x v="0"/>
    <x v="1272"/>
    <s v="JIL PACK*1*"/>
    <d v="2021-04-30T00:00:00"/>
    <s v="300115"/>
    <s v="AUXILIAR CONSERVERA SA"/>
    <n v="177735.23240000001"/>
  </r>
  <r>
    <s v="Facture comptabilisée"/>
    <m/>
    <x v="0"/>
    <x v="1273"/>
    <s v="LOGI*JIL PACK*2*"/>
    <d v="2021-04-30T00:00:00"/>
    <s v="300115"/>
    <s v="AUXILIAR CONSERVERA SA"/>
    <n v="107382.52800000001"/>
  </r>
  <r>
    <s v="Facture comptabilisée"/>
    <m/>
    <x v="0"/>
    <x v="1274"/>
    <s v="34/2021 JALAL"/>
    <d v="2021-04-30T00:00:00"/>
    <s v="300191"/>
    <s v="JTTL"/>
    <n v="3166.12"/>
  </r>
  <r>
    <s v="Facture comptabilisée"/>
    <m/>
    <x v="0"/>
    <x v="1275"/>
    <s v="35/2021 JALAL"/>
    <d v="2021-04-30T00:00:00"/>
    <s v="300191"/>
    <s v="JTTL"/>
    <n v="3143.99"/>
  </r>
  <r>
    <s v="Facture comptabilisée"/>
    <m/>
    <x v="0"/>
    <x v="1276"/>
    <s v="48/2021"/>
    <d v="2021-05-03T00:00:00"/>
    <s v="300043"/>
    <s v="DOUANE"/>
    <n v="2009"/>
  </r>
  <r>
    <s v="Facture comptabilisée"/>
    <m/>
    <x v="0"/>
    <x v="1277"/>
    <s v="48/2021"/>
    <d v="2021-05-03T00:00:00"/>
    <s v="300101"/>
    <s v="ASMAE FORWARDING EXPRESS"/>
    <n v="3796.16"/>
  </r>
  <r>
    <s v="Facture comptabilisée"/>
    <m/>
    <x v="0"/>
    <x v="1278"/>
    <s v="600ML"/>
    <d v="2021-05-03T00:00:00"/>
    <s v="300133"/>
    <s v="OP BOX "/>
    <n v="13800"/>
  </r>
  <r>
    <s v="Facture comptabilisée"/>
    <m/>
    <x v="0"/>
    <x v="1279"/>
    <s v="SILVER FOOD"/>
    <d v="2021-05-04T00:00:00"/>
    <s v="300115"/>
    <s v="AUXILIAR CONSERVERA SA"/>
    <n v="270565.54800000001"/>
  </r>
  <r>
    <s v="Facture comptabilisée"/>
    <m/>
    <x v="0"/>
    <x v="1280"/>
    <s v="4L"/>
    <d v="2021-05-04T00:00:00"/>
    <s v="300133"/>
    <s v="OP BOX "/>
    <n v="32083.85"/>
  </r>
  <r>
    <s v="Facture comptabilisée"/>
    <m/>
    <x v="0"/>
    <x v="1281"/>
    <s v="37/2021 JALAL"/>
    <d v="2021-05-04T00:00:00"/>
    <s v="300307"/>
    <s v="RAY CARGO"/>
    <n v="10000"/>
  </r>
  <r>
    <s v="Facture comptabilisée"/>
    <m/>
    <x v="0"/>
    <x v="1282"/>
    <s v="52/2021"/>
    <d v="2021-05-05T00:00:00"/>
    <s v="300043"/>
    <s v="DOUANE"/>
    <n v="1093"/>
  </r>
  <r>
    <s v="Facture comptabilisée"/>
    <m/>
    <x v="0"/>
    <x v="1283"/>
    <s v="37/2021 JALAL"/>
    <d v="2021-05-05T00:00:00"/>
    <s v="300043"/>
    <s v="DOUANE"/>
    <n v="1072"/>
  </r>
  <r>
    <s v="Facture comptabilisée"/>
    <m/>
    <x v="0"/>
    <x v="1284"/>
    <d v="2026-01-05T00:00:00"/>
    <d v="2021-05-05T00:00:00"/>
    <s v="300064"/>
    <s v="SONOCO Métal Packaging Maroc"/>
    <n v="96079.2"/>
  </r>
  <r>
    <s v="Facture comptabilisée"/>
    <m/>
    <x v="0"/>
    <x v="1285"/>
    <s v="52/2021"/>
    <d v="2021-05-05T00:00:00"/>
    <s v="300101"/>
    <s v="ASMAE FORWARDING EXPRESS"/>
    <n v="3471.83"/>
  </r>
  <r>
    <s v="Facture comptabilisée"/>
    <m/>
    <x v="0"/>
    <x v="1286"/>
    <s v="SILVER FOOD"/>
    <d v="2021-05-05T00:00:00"/>
    <s v="300115"/>
    <s v="AUXILIAR CONSERVERA SA"/>
    <n v="301558.44400000002"/>
  </r>
  <r>
    <s v="Facture comptabilisée"/>
    <m/>
    <x v="0"/>
    <x v="1287"/>
    <s v="36/2021 JALAL"/>
    <d v="2021-05-05T00:00:00"/>
    <s v="300191"/>
    <s v="JTTL"/>
    <n v="3178.84"/>
  </r>
  <r>
    <s v="Facture comptabilisée"/>
    <m/>
    <x v="0"/>
    <x v="1288"/>
    <s v="30/2021 JALAL"/>
    <d v="2021-05-05T00:00:00"/>
    <s v="300192"/>
    <s v="CAP-AOUYAL-FRICO TRANSPORT"/>
    <n v="11000"/>
  </r>
  <r>
    <s v="Facture comptabilisée"/>
    <m/>
    <x v="0"/>
    <x v="1289"/>
    <s v="31/2021 JALAL"/>
    <d v="2021-05-05T00:00:00"/>
    <s v="300192"/>
    <s v="CAP-AOUYAL-FRICO TRANSPORT"/>
    <n v="12500"/>
  </r>
  <r>
    <s v="Facture comptabilisée"/>
    <m/>
    <x v="0"/>
    <x v="1290"/>
    <s v="34/2021 JALAL"/>
    <d v="2021-05-05T00:00:00"/>
    <s v="300192"/>
    <s v="CAP-AOUYAL-FRICO TRANSPORT"/>
    <n v="12500"/>
  </r>
  <r>
    <s v="Facture comptabilisée"/>
    <m/>
    <x v="0"/>
    <x v="1291"/>
    <s v="36/2021 JALAL"/>
    <d v="2021-05-05T00:00:00"/>
    <s v="300192"/>
    <s v="CAP-AOUYAL-FRICO TRANSPORT"/>
    <n v="13000"/>
  </r>
  <r>
    <s v="Facture comptabilisée"/>
    <m/>
    <x v="0"/>
    <x v="1292"/>
    <s v="33/2021 JALAL"/>
    <d v="2021-05-05T00:00:00"/>
    <s v="300192"/>
    <s v="CAP-AOUYAL-FRICO TRANSPORT"/>
    <n v="12500"/>
  </r>
  <r>
    <s v="Facture comptabilisée"/>
    <m/>
    <x v="0"/>
    <x v="1293"/>
    <s v="51/2021"/>
    <d v="2021-05-06T00:00:00"/>
    <s v="300043"/>
    <s v="DOUANE"/>
    <n v="1145"/>
  </r>
  <r>
    <s v="Facture comptabilisée"/>
    <m/>
    <x v="0"/>
    <x v="1294"/>
    <s v="51/2021"/>
    <d v="2021-05-06T00:00:00"/>
    <s v="300101"/>
    <s v="ASMAE FORWARDING EXPRESS"/>
    <n v="3155.8"/>
  </r>
  <r>
    <s v="Facture comptabilisée"/>
    <m/>
    <x v="0"/>
    <x v="1295"/>
    <s v="JIL PACK A"/>
    <d v="2021-05-06T00:00:00"/>
    <s v="300115"/>
    <s v="AUXILIAR CONSERVERA SA"/>
    <n v="270565.54800000001"/>
  </r>
  <r>
    <s v="Facture comptabilisée"/>
    <m/>
    <x v="0"/>
    <x v="1296"/>
    <s v="JIL PACK"/>
    <d v="2021-05-06T00:00:00"/>
    <s v="300115"/>
    <s v="AUXILIAR CONSERVERA SA"/>
    <n v="96989.322100000005"/>
  </r>
  <r>
    <s v="Facture comptabilisée"/>
    <m/>
    <x v="0"/>
    <x v="1297"/>
    <s v="JIL PACK"/>
    <d v="2021-05-06T00:00:00"/>
    <s v="300115"/>
    <s v="AUXILIAR CONSERVERA SA"/>
    <n v="96989.322100000005"/>
  </r>
  <r>
    <s v="Facture comptabilisée"/>
    <m/>
    <x v="0"/>
    <x v="1298"/>
    <s v="38/2021 JALAL"/>
    <d v="2021-05-07T00:00:00"/>
    <s v="300043"/>
    <s v="DOUANE"/>
    <n v="1078"/>
  </r>
  <r>
    <s v="Facture comptabilisée"/>
    <m/>
    <x v="0"/>
    <x v="1299"/>
    <s v="JIL PACK*1*"/>
    <d v="2021-05-07T00:00:00"/>
    <s v="300115"/>
    <s v="AUXILIAR CONSERVERA SA"/>
    <n v="96989.322100000005"/>
  </r>
  <r>
    <s v="Facture comptabilisée"/>
    <m/>
    <x v="0"/>
    <x v="1300"/>
    <s v="LOGI FOOD*2*"/>
    <d v="2021-05-07T00:00:00"/>
    <s v="300115"/>
    <s v="AUXILIAR CONSERVERA SA"/>
    <n v="96989.322100000005"/>
  </r>
  <r>
    <s v="Facture comptabilisée"/>
    <m/>
    <x v="0"/>
    <x v="1301"/>
    <s v="50/2021"/>
    <d v="2021-05-10T00:00:00"/>
    <s v="300043"/>
    <s v="DOUANE"/>
    <n v="796"/>
  </r>
  <r>
    <s v="Facture comptabilisée"/>
    <m/>
    <x v="0"/>
    <x v="1302"/>
    <s v="50/2021"/>
    <d v="2021-05-10T00:00:00"/>
    <s v="300101"/>
    <s v="ASMAE FORWARDING EXPRESS"/>
    <n v="3626.79"/>
  </r>
  <r>
    <s v="Facture comptabilisée"/>
    <m/>
    <x v="0"/>
    <x v="1303"/>
    <s v="JIL PACK A"/>
    <d v="2021-05-10T00:00:00"/>
    <s v="300115"/>
    <s v="AUXILIAR CONSERVERA SA"/>
    <n v="260094.56"/>
  </r>
  <r>
    <s v="Facture comptabilisée"/>
    <m/>
    <x v="0"/>
    <x v="1304"/>
    <s v="SILVER FOOD"/>
    <d v="2021-05-10T00:00:00"/>
    <s v="300115"/>
    <s v="AUXILIAR CONSERVERA SA"/>
    <n v="219575.70800000001"/>
  </r>
  <r>
    <s v="Facture comptabilisée"/>
    <m/>
    <x v="0"/>
    <x v="1305"/>
    <s v="37/2021 JALAL"/>
    <d v="2021-05-10T00:00:00"/>
    <s v="300191"/>
    <s v="JTTL"/>
    <n v="3141.54"/>
  </r>
  <r>
    <s v="Facture comptabilisée"/>
    <m/>
    <x v="0"/>
    <x v="1306"/>
    <s v="03/2021 REC JAC"/>
    <d v="2021-05-10T00:00:00"/>
    <s v="300301"/>
    <s v="RECOING &amp; JACQUETY"/>
    <n v="63.75"/>
  </r>
  <r>
    <s v="Facture comptabilisée"/>
    <m/>
    <x v="0"/>
    <x v="1307"/>
    <s v="35/2021 JALAL"/>
    <d v="2021-05-10T00:00:00"/>
    <s v="300307"/>
    <s v="RAY CARGO"/>
    <n v="5000"/>
  </r>
  <r>
    <s v="Facture comptabilisée"/>
    <m/>
    <x v="0"/>
    <x v="1308"/>
    <s v="40/2021 JALAL"/>
    <d v="2021-05-11T00:00:00"/>
    <s v="300043"/>
    <s v="DOUANE"/>
    <n v="907"/>
  </r>
  <r>
    <s v="Facture comptabilisée"/>
    <m/>
    <x v="0"/>
    <x v="1309"/>
    <s v="41/2021 JALAL"/>
    <d v="2021-05-11T00:00:00"/>
    <s v="300043"/>
    <s v="DOUANE"/>
    <n v="1048"/>
  </r>
  <r>
    <s v="Facture comptabilisée"/>
    <m/>
    <x v="0"/>
    <x v="1310"/>
    <s v="53/2021"/>
    <d v="2021-05-11T00:00:00"/>
    <s v="300043"/>
    <s v="DOUANE"/>
    <n v="796"/>
  </r>
  <r>
    <s v="Facture comptabilisée"/>
    <m/>
    <x v="0"/>
    <x v="1311"/>
    <s v="53/2021"/>
    <d v="2021-05-11T00:00:00"/>
    <s v="300101"/>
    <s v="ASMAE FORWARDING EXPRESS"/>
    <n v="3163.17"/>
  </r>
  <r>
    <s v="Facture comptabilisée"/>
    <m/>
    <x v="0"/>
    <x v="1312"/>
    <s v="SILVER FOOD*1*"/>
    <d v="2021-05-11T00:00:00"/>
    <s v="300115"/>
    <s v="AUXILIAR CONSERVERA SA"/>
    <n v="50786.559999999998"/>
  </r>
  <r>
    <s v="Facture comptabilisée"/>
    <m/>
    <x v="0"/>
    <x v="1313"/>
    <s v="SILVER FOOD*2*"/>
    <d v="2021-05-11T00:00:00"/>
    <s v="300115"/>
    <s v="AUXILIAR CONSERVERA SA"/>
    <n v="188590.95199999999"/>
  </r>
  <r>
    <s v="Facture comptabilisée"/>
    <m/>
    <x v="0"/>
    <x v="1314"/>
    <s v="39/2021 JALAL"/>
    <d v="2021-05-11T00:00:00"/>
    <s v="300307"/>
    <s v="RAY CARGO"/>
    <n v="5000"/>
  </r>
  <r>
    <s v="Facture comptabilisée"/>
    <m/>
    <x v="0"/>
    <x v="1315"/>
    <s v="39/2021 JALAL"/>
    <d v="2021-05-12T00:00:00"/>
    <s v="300043"/>
    <s v="DOUANE"/>
    <n v="972"/>
  </r>
  <r>
    <s v="Facture comptabilisée"/>
    <m/>
    <x v="0"/>
    <x v="1316"/>
    <s v="38/2021 JALAL"/>
    <d v="2021-05-12T00:00:00"/>
    <s v="300191"/>
    <s v="JTTL"/>
    <n v="3159.3"/>
  </r>
  <r>
    <s v="Facture comptabilisée"/>
    <m/>
    <x v="0"/>
    <x v="1317"/>
    <s v="JIL PACK *SILVER*"/>
    <d v="2021-05-17T00:00:00"/>
    <s v="300115"/>
    <s v="AUXILIAR CONSERVERA SA"/>
    <n v="248181.85920000001"/>
  </r>
  <r>
    <s v="Facture comptabilisée"/>
    <m/>
    <x v="0"/>
    <x v="1318"/>
    <s v="JIL PACK A *MARIN"/>
    <d v="2021-05-17T00:00:00"/>
    <s v="300115"/>
    <s v="AUXILIAR CONSERVERA SA"/>
    <n v="195474.9797"/>
  </r>
  <r>
    <s v="Facture comptabilisée"/>
    <m/>
    <x v="0"/>
    <x v="1319"/>
    <s v="42/2021 JALAL"/>
    <d v="2021-05-18T00:00:00"/>
    <s v="300043"/>
    <s v="DOUANE"/>
    <n v="1004"/>
  </r>
  <r>
    <s v="Facture comptabilisée"/>
    <m/>
    <x v="0"/>
    <x v="1320"/>
    <s v="SILVER FOOD"/>
    <d v="2021-05-18T00:00:00"/>
    <s v="300115"/>
    <s v="AUXILIAR CONSERVERA SA"/>
    <n v="299482.48"/>
  </r>
  <r>
    <s v="Facture comptabilisée"/>
    <m/>
    <x v="0"/>
    <x v="1321"/>
    <s v="280ML"/>
    <d v="2021-05-18T00:00:00"/>
    <s v="300133"/>
    <s v="OP BOX "/>
    <n v="15516"/>
  </r>
  <r>
    <s v="Facture comptabilisée"/>
    <m/>
    <x v="0"/>
    <x v="1322"/>
    <s v="04/2021 REC JAC"/>
    <d v="2021-05-18T00:00:00"/>
    <s v="300301"/>
    <s v="RECOING &amp; JACQUETY"/>
    <n v="2622.5"/>
  </r>
  <r>
    <s v="Facture comptabilisée"/>
    <m/>
    <x v="0"/>
    <x v="1323"/>
    <s v="54/2021"/>
    <d v="2021-05-19T00:00:00"/>
    <s v="300043"/>
    <s v="DOUANE"/>
    <n v="803"/>
  </r>
  <r>
    <s v="Facture comptabilisée"/>
    <m/>
    <x v="0"/>
    <x v="1324"/>
    <s v="TO58 OR"/>
    <d v="2021-05-19T00:00:00"/>
    <s v="300080"/>
    <s v="MASSILLY"/>
    <n v="12712.175999999999"/>
  </r>
  <r>
    <s v="Facture comptabilisée"/>
    <m/>
    <x v="0"/>
    <x v="1325"/>
    <s v="CERA"/>
    <d v="2021-05-19T00:00:00"/>
    <s v="300092"/>
    <s v="METALSCATOLA AFRIQUE"/>
    <n v="10140.464"/>
  </r>
  <r>
    <s v="Facture comptabilisée"/>
    <m/>
    <x v="0"/>
    <x v="1326"/>
    <s v="CAP 42 "/>
    <d v="2021-05-19T00:00:00"/>
    <s v="300092"/>
    <s v="METALSCATOLA AFRIQUE"/>
    <n v="1430"/>
  </r>
  <r>
    <s v="Facture comptabilisée"/>
    <m/>
    <x v="0"/>
    <x v="1327"/>
    <s v="53/2021"/>
    <d v="2021-05-19T00:00:00"/>
    <s v="300101"/>
    <s v="ASMAE FORWARDING EXPRESS"/>
    <n v="312.89"/>
  </r>
  <r>
    <s v="Facture comptabilisée"/>
    <m/>
    <x v="0"/>
    <x v="1328"/>
    <s v="54/2021"/>
    <d v="2021-05-19T00:00:00"/>
    <s v="300101"/>
    <s v="ASMAE FORWARDING EXPRESS"/>
    <n v="3323.09"/>
  </r>
  <r>
    <s v="Facture comptabilisée"/>
    <m/>
    <x v="0"/>
    <x v="1329"/>
    <s v="4L"/>
    <d v="2021-05-19T00:00:00"/>
    <s v="300133"/>
    <s v="OP BOX "/>
    <n v="11520"/>
  </r>
  <r>
    <s v="Facture comptabilisée"/>
    <m/>
    <x v="0"/>
    <x v="1330"/>
    <s v="58/2021"/>
    <d v="2021-05-20T00:00:00"/>
    <s v="300043"/>
    <s v="DOUANE"/>
    <n v="1144"/>
  </r>
  <r>
    <s v="Facture comptabilisée"/>
    <m/>
    <x v="0"/>
    <x v="1331"/>
    <s v="58/2021"/>
    <d v="2021-05-20T00:00:00"/>
    <s v="300101"/>
    <s v="ASMAE FORWARDING EXPRESS"/>
    <n v="3324.16"/>
  </r>
  <r>
    <s v="Facture comptabilisée"/>
    <m/>
    <x v="0"/>
    <x v="1332"/>
    <s v="JIL PACK A"/>
    <d v="2021-05-20T00:00:00"/>
    <s v="300115"/>
    <s v="AUXILIAR CONSERVERA SA"/>
    <n v="270565.54800000001"/>
  </r>
  <r>
    <s v="Facture comptabilisée"/>
    <m/>
    <x v="0"/>
    <x v="1333"/>
    <s v="39/2021 JALAL"/>
    <d v="2021-05-20T00:00:00"/>
    <s v="300191"/>
    <s v="JTTL"/>
    <n v="3146.17"/>
  </r>
  <r>
    <s v="Facture comptabilisée"/>
    <m/>
    <x v="0"/>
    <x v="1334"/>
    <s v="40/2021 JALAL"/>
    <d v="2021-05-20T00:00:00"/>
    <s v="300191"/>
    <s v="JTTL"/>
    <n v="3144.92"/>
  </r>
  <r>
    <s v="Facture comptabilisée"/>
    <m/>
    <x v="0"/>
    <x v="1335"/>
    <s v="41/2021 JALAL"/>
    <d v="2021-05-20T00:00:00"/>
    <s v="300191"/>
    <s v="JTTL"/>
    <n v="3166.67"/>
  </r>
  <r>
    <s v="Facture comptabilisée"/>
    <m/>
    <x v="0"/>
    <x v="1336"/>
    <s v="43/2021 JALAL"/>
    <d v="2021-05-20T00:00:00"/>
    <s v="300307"/>
    <s v="RAY CARGO"/>
    <n v="12000"/>
  </r>
  <r>
    <s v="Facture comptabilisée"/>
    <m/>
    <x v="0"/>
    <x v="1337"/>
    <s v="43/2021 JALAL"/>
    <d v="2021-05-21T00:00:00"/>
    <s v="300043"/>
    <s v="DOUANE"/>
    <n v="1081"/>
  </r>
  <r>
    <s v="Facture comptabilisée"/>
    <m/>
    <x v="0"/>
    <x v="1338"/>
    <s v="1200ML"/>
    <d v="2021-05-21T00:00:00"/>
    <s v="300133"/>
    <s v="OP BOX "/>
    <n v="12790.8"/>
  </r>
  <r>
    <s v="Facture comptabilisée"/>
    <m/>
    <x v="0"/>
    <x v="1339"/>
    <s v="42/2021 JALAL"/>
    <d v="2021-05-21T00:00:00"/>
    <s v="300191"/>
    <s v="JTTL"/>
    <n v="3148.12"/>
  </r>
  <r>
    <s v="Facture comptabilisée"/>
    <m/>
    <x v="0"/>
    <x v="1340"/>
    <s v="JIL PACK A"/>
    <d v="2021-05-24T00:00:00"/>
    <s v="300115"/>
    <s v="AUXILIAR CONSERVERA SA"/>
    <n v="212881.9"/>
  </r>
  <r>
    <s v="Facture comptabilisée"/>
    <m/>
    <x v="0"/>
    <x v="1341"/>
    <s v="JIL PACK"/>
    <d v="2021-05-24T00:00:00"/>
    <s v="300115"/>
    <s v="AUXILIAR CONSERVERA SA"/>
    <n v="53777.944000000003"/>
  </r>
  <r>
    <s v="Facture comptabilisée"/>
    <m/>
    <x v="0"/>
    <x v="1342"/>
    <s v="1/2 HAUTE"/>
    <d v="2021-05-25T00:00:00"/>
    <s v="300064"/>
    <s v="SONOCO Métal Packaging Maroc"/>
    <n v="79996.800000000003"/>
  </r>
  <r>
    <s v="Facture comptabilisée"/>
    <m/>
    <x v="0"/>
    <x v="1343"/>
    <s v="LES DEUX DOMAINES"/>
    <d v="2021-05-25T00:00:00"/>
    <s v="300115"/>
    <s v="AUXILIAR CONSERVERA SA"/>
    <n v="145917.93040000001"/>
  </r>
  <r>
    <s v="Facture comptabilisée"/>
    <m/>
    <x v="0"/>
    <x v="1344"/>
    <s v="JIL PACK A"/>
    <d v="2021-05-25T00:00:00"/>
    <s v="300115"/>
    <s v="AUXILIAR CONSERVERA SA"/>
    <n v="270565.54800000001"/>
  </r>
  <r>
    <s v="Facture comptabilisée"/>
    <m/>
    <x v="0"/>
    <x v="1345"/>
    <s v="1/4 CLUB VIVE"/>
    <d v="2021-05-25T00:00:00"/>
    <s v="300115"/>
    <s v="AUXILIAR CONSERVERA SA"/>
    <n v="2143.3191999999999"/>
  </r>
  <r>
    <s v="Facture comptabilisée"/>
    <m/>
    <x v="0"/>
    <x v="1346"/>
    <s v="18L"/>
    <d v="2021-05-25T00:00:00"/>
    <s v="300133"/>
    <s v="OP BOX "/>
    <n v="14904"/>
  </r>
  <r>
    <s v="Facture comptabilisée"/>
    <m/>
    <x v="0"/>
    <x v="1347"/>
    <s v="45/2021 JALAL"/>
    <d v="2021-05-26T00:00:00"/>
    <s v="300043"/>
    <s v="DOUANE"/>
    <n v="1073"/>
  </r>
  <r>
    <s v="Facture comptabilisée"/>
    <m/>
    <x v="0"/>
    <x v="1348"/>
    <s v="57/2021"/>
    <d v="2021-05-26T00:00:00"/>
    <s v="300043"/>
    <s v="DOUANE"/>
    <n v="641"/>
  </r>
  <r>
    <s v="Facture comptabilisée"/>
    <m/>
    <x v="0"/>
    <x v="1349"/>
    <s v="44/2021 JALAL"/>
    <d v="2021-05-26T00:00:00"/>
    <s v="300043"/>
    <s v="DOUANE"/>
    <n v="1084"/>
  </r>
  <r>
    <s v="Facture comptabilisée"/>
    <m/>
    <x v="0"/>
    <x v="1350"/>
    <s v="57/2021"/>
    <d v="2021-05-26T00:00:00"/>
    <s v="300101"/>
    <s v="ASMAE FORWARDING EXPRESS"/>
    <n v="3328.17"/>
  </r>
  <r>
    <s v="Facture comptabilisée"/>
    <m/>
    <x v="0"/>
    <x v="1351"/>
    <s v="SILVER FOOD"/>
    <d v="2021-05-26T00:00:00"/>
    <s v="300115"/>
    <s v="AUXILIAR CONSERVERA SA"/>
    <n v="270565.54800000001"/>
  </r>
  <r>
    <s v="Facture comptabilisée"/>
    <m/>
    <x v="0"/>
    <x v="1352"/>
    <s v="SILVER FOOD"/>
    <d v="2021-05-26T00:00:00"/>
    <s v="300115"/>
    <s v="AUXILIAR CONSERVERA SA"/>
    <n v="207492.736"/>
  </r>
  <r>
    <s v="Facture comptabilisée"/>
    <m/>
    <x v="0"/>
    <x v="1353"/>
    <s v="ALICOMAR"/>
    <d v="2021-05-26T00:00:00"/>
    <s v="300115"/>
    <s v="AUXILIAR CONSERVERA SA"/>
    <n v="87072.084000000003"/>
  </r>
  <r>
    <s v="Facture comptabilisée"/>
    <m/>
    <x v="0"/>
    <x v="1354"/>
    <s v="48/2021 JALAL"/>
    <d v="2021-05-26T00:00:00"/>
    <s v="300307"/>
    <s v="RAY CARGO"/>
    <n v="10000"/>
  </r>
  <r>
    <s v="Facture comptabilisée"/>
    <m/>
    <x v="0"/>
    <x v="1355"/>
    <s v="48/2021 JALAL"/>
    <d v="2021-05-27T00:00:00"/>
    <s v="300043"/>
    <s v="DOUANE"/>
    <n v="1077"/>
  </r>
  <r>
    <s v="Facture comptabilisée"/>
    <m/>
    <x v="0"/>
    <x v="1356"/>
    <s v="108*131"/>
    <d v="2021-05-27T00:00:00"/>
    <s v="300092"/>
    <s v="METALSCATOLA AFRIQUE"/>
    <n v="54672.3"/>
  </r>
  <r>
    <s v="Facture comptabilisée"/>
    <m/>
    <x v="0"/>
    <x v="1357"/>
    <s v="VMM "/>
    <d v="2021-05-27T00:00:00"/>
    <s v="300115"/>
    <s v="AUXILIAR CONSERVERA SA"/>
    <n v="305922.04499999998"/>
  </r>
  <r>
    <s v="Facture comptabilisée"/>
    <m/>
    <x v="0"/>
    <x v="1358"/>
    <s v="JIL PACK A"/>
    <d v="2021-05-27T00:00:00"/>
    <s v="300115"/>
    <s v="AUXILIAR CONSERVERA SA"/>
    <n v="270565.54800000001"/>
  </r>
  <r>
    <s v="Facture comptabilisée"/>
    <m/>
    <x v="0"/>
    <x v="1359"/>
    <s v="1200ML"/>
    <d v="2021-05-27T00:00:00"/>
    <s v="300133"/>
    <s v="OP BOX "/>
    <n v="80602.2"/>
  </r>
  <r>
    <s v="Facture comptabilisée"/>
    <m/>
    <x v="0"/>
    <x v="1360"/>
    <s v="46/2021 JALAL"/>
    <d v="2021-05-27T00:00:00"/>
    <s v="300307"/>
    <s v="RAY CARGO"/>
    <n v="10000"/>
  </r>
  <r>
    <s v="Facture comptabilisée"/>
    <m/>
    <x v="0"/>
    <x v="1361"/>
    <s v="46/2021 JALAL"/>
    <d v="2021-05-28T00:00:00"/>
    <s v="300043"/>
    <s v="DOUANE"/>
    <n v="869"/>
  </r>
  <r>
    <s v="Facture comptabilisée"/>
    <m/>
    <x v="0"/>
    <x v="1362"/>
    <s v="56/2021"/>
    <d v="2021-05-28T00:00:00"/>
    <s v="300043"/>
    <s v="DOUANE"/>
    <n v="449"/>
  </r>
  <r>
    <s v="Facture comptabilisée"/>
    <m/>
    <x v="0"/>
    <x v="1363"/>
    <s v="47/2021 JALAL"/>
    <d v="2021-05-28T00:00:00"/>
    <s v="300043"/>
    <s v="DOUANE"/>
    <n v="1085"/>
  </r>
  <r>
    <s v="Facture comptabilisée"/>
    <m/>
    <x v="0"/>
    <x v="1364"/>
    <s v="56/2021"/>
    <d v="2021-05-28T00:00:00"/>
    <s v="300101"/>
    <s v="ASMAE FORWARDING EXPRESS"/>
    <n v="3171.51"/>
  </r>
  <r>
    <s v="Facture comptabilisée"/>
    <m/>
    <x v="0"/>
    <x v="1365"/>
    <s v="5500AP"/>
    <d v="2021-05-28T00:00:00"/>
    <s v="300133"/>
    <s v="OP BOX "/>
    <n v="7209"/>
  </r>
  <r>
    <s v="Facture comptabilisée"/>
    <m/>
    <x v="0"/>
    <x v="1366"/>
    <s v="55/2021"/>
    <d v="2021-05-31T00:00:00"/>
    <s v="300043"/>
    <s v="DOUANE"/>
    <n v="1167"/>
  </r>
  <r>
    <s v="Facture comptabilisée"/>
    <m/>
    <x v="0"/>
    <x v="1367"/>
    <s v="22L"/>
    <d v="2021-05-31T00:00:00"/>
    <s v="300092"/>
    <s v="METALSCATOLA AFRIQUE"/>
    <n v="84000"/>
  </r>
  <r>
    <s v="Facture comptabilisée"/>
    <m/>
    <x v="0"/>
    <x v="1368"/>
    <s v="55/2021"/>
    <d v="2021-05-31T00:00:00"/>
    <s v="300101"/>
    <s v="ASMAE FORWARDING EXPRESS"/>
    <n v="3327.46"/>
  </r>
  <r>
    <s v="Facture comptabilisée"/>
    <m/>
    <x v="0"/>
    <x v="1369"/>
    <s v="43/2021 JALAL"/>
    <d v="2021-05-31T00:00:00"/>
    <s v="300191"/>
    <s v="JTTL"/>
    <n v="3149.15"/>
  </r>
  <r>
    <s v="Facture comptabilisée"/>
    <m/>
    <x v="0"/>
    <x v="1370"/>
    <s v="44/2021 JALAL"/>
    <d v="2021-05-31T00:00:00"/>
    <s v="300191"/>
    <s v="JTTL"/>
    <n v="3152.87"/>
  </r>
  <r>
    <s v="Facture comptabilisée"/>
    <m/>
    <x v="0"/>
    <x v="1371"/>
    <s v="45/2021 JALAL"/>
    <d v="2021-05-31T00:00:00"/>
    <s v="300191"/>
    <s v="JTTL"/>
    <n v="3152.87"/>
  </r>
  <r>
    <s v="Facture comptabilisée"/>
    <m/>
    <x v="0"/>
    <x v="1372"/>
    <s v="46/2021 JALAL"/>
    <d v="2021-05-31T00:00:00"/>
    <s v="300191"/>
    <s v="JTTL"/>
    <n v="3153.26"/>
  </r>
  <r>
    <s v="Facture comptabilisée"/>
    <m/>
    <x v="0"/>
    <x v="1373"/>
    <s v="47/2021 JALAL"/>
    <d v="2021-05-31T00:00:00"/>
    <s v="300191"/>
    <s v="JTTL"/>
    <n v="3175.01"/>
  </r>
  <r>
    <s v="Facture comptabilisée"/>
    <m/>
    <x v="0"/>
    <x v="1374"/>
    <s v="48/2021 JALAL"/>
    <d v="2021-05-31T00:00:00"/>
    <s v="300191"/>
    <s v="JTTL"/>
    <n v="3153.1"/>
  </r>
  <r>
    <s v="Facture comptabilisée"/>
    <m/>
    <x v="0"/>
    <x v="1375"/>
    <s v="JIL PACK A"/>
    <d v="2021-06-01T00:00:00"/>
    <s v="300115"/>
    <s v="AUXILIAR CONSERVERA SA"/>
    <n v="270565.54800000001"/>
  </r>
  <r>
    <s v="Facture comptabilisée"/>
    <m/>
    <x v="0"/>
    <x v="1376"/>
    <s v="JIL PACK"/>
    <d v="2021-06-01T00:00:00"/>
    <s v="300115"/>
    <s v="AUXILIAR CONSERVERA SA"/>
    <n v="142799.272"/>
  </r>
  <r>
    <s v="Facture comptabilisée"/>
    <m/>
    <x v="0"/>
    <x v="1377"/>
    <s v="41/2021 JALAL"/>
    <d v="2021-06-01T00:00:00"/>
    <s v="300192"/>
    <s v="CAP-AOUYAL-FRICO TRANSPORT"/>
    <n v="12500"/>
  </r>
  <r>
    <s v="Facture comptabilisée"/>
    <m/>
    <x v="0"/>
    <x v="1378"/>
    <s v="38/2021 JALAL"/>
    <d v="2021-06-01T00:00:00"/>
    <s v="300192"/>
    <s v="CAP-AOUYAL-FRICO TRANSPORT"/>
    <n v="12500"/>
  </r>
  <r>
    <s v="Facture comptabilisée"/>
    <m/>
    <x v="0"/>
    <x v="1379"/>
    <s v="42/2021 JALAL"/>
    <d v="2021-06-01T00:00:00"/>
    <s v="300192"/>
    <s v="CAP-AOUYAL-FRICO TRANSPORT"/>
    <n v="11000"/>
  </r>
  <r>
    <s v="Facture comptabilisée"/>
    <m/>
    <x v="0"/>
    <x v="1380"/>
    <s v="45/2021 JALAL"/>
    <d v="2021-06-01T00:00:00"/>
    <s v="300192"/>
    <s v="CAP-AOUYAL-FRICO TRANSPORT"/>
    <n v="13000"/>
  </r>
  <r>
    <s v="Facture comptabilisée"/>
    <m/>
    <x v="0"/>
    <x v="1381"/>
    <s v="44/2021 JALAL"/>
    <d v="2021-06-01T00:00:00"/>
    <s v="300192"/>
    <s v="CAP-AOUYAL-FRICO TRANSPORT"/>
    <n v="12500"/>
  </r>
  <r>
    <s v="Facture comptabilisée"/>
    <m/>
    <x v="0"/>
    <x v="1382"/>
    <s v="47/2021 JALAL"/>
    <d v="2021-06-01T00:00:00"/>
    <s v="300192"/>
    <s v="CAP-AOUYAL-FRICO TRANSPORT"/>
    <n v="12500"/>
  </r>
  <r>
    <s v="Facture comptabilisée"/>
    <m/>
    <x v="0"/>
    <x v="1383"/>
    <s v="49/2021 JALAL"/>
    <d v="2021-06-02T00:00:00"/>
    <s v="300043"/>
    <s v="DOUANE"/>
    <n v="1084"/>
  </r>
  <r>
    <s v="Facture comptabilisée"/>
    <m/>
    <x v="0"/>
    <x v="1384"/>
    <s v="JIL PACK"/>
    <d v="2021-06-02T00:00:00"/>
    <s v="300115"/>
    <s v="AUXILIAR CONSERVERA SA"/>
    <n v="214443.9"/>
  </r>
  <r>
    <s v="Facture comptabilisée"/>
    <m/>
    <x v="0"/>
    <x v="1385"/>
    <s v="JIL PACK A"/>
    <d v="2021-06-02T00:00:00"/>
    <s v="300115"/>
    <s v="AUXILIAR CONSERVERA SA"/>
    <n v="76010.263999999996"/>
  </r>
  <r>
    <s v="Facture comptabilisée"/>
    <m/>
    <x v="0"/>
    <x v="1386"/>
    <s v="52/2021 JALAL"/>
    <d v="2021-06-03T00:00:00"/>
    <s v="300043"/>
    <s v="DOUANE"/>
    <n v="1149"/>
  </r>
  <r>
    <s v="Facture comptabilisée"/>
    <m/>
    <x v="0"/>
    <x v="1387"/>
    <s v="59/2021"/>
    <d v="2021-06-04T00:00:00"/>
    <s v="300043"/>
    <s v="DOUANE"/>
    <n v="633"/>
  </r>
  <r>
    <s v="Facture comptabilisée"/>
    <m/>
    <x v="0"/>
    <x v="1388"/>
    <s v="59/2021"/>
    <d v="2021-06-04T00:00:00"/>
    <s v="300101"/>
    <s v="ASMAE FORWARDING EXPRESS"/>
    <n v="3322.96"/>
  </r>
  <r>
    <s v="Facture comptabilisée"/>
    <m/>
    <x v="0"/>
    <x v="1389"/>
    <s v="ALICOMAR"/>
    <d v="2021-06-04T00:00:00"/>
    <s v="300115"/>
    <s v="AUXILIAR CONSERVERA SA"/>
    <n v="116433.9264"/>
  </r>
  <r>
    <s v="Facture comptabilisée"/>
    <m/>
    <x v="0"/>
    <x v="1390"/>
    <s v="SILVER*CONSTANCE*"/>
    <d v="2021-06-04T00:00:00"/>
    <s v="300115"/>
    <s v="AUXILIAR CONSERVERA SA"/>
    <n v="270565.54800000001"/>
  </r>
  <r>
    <s v="Facture comptabilisée"/>
    <m/>
    <x v="0"/>
    <x v="1391"/>
    <s v="JIL PACK A"/>
    <d v="2021-06-04T00:00:00"/>
    <s v="300115"/>
    <s v="AUXILIAR CONSERVERA SA"/>
    <n v="270565.54800000001"/>
  </r>
  <r>
    <s v="Facture comptabilisée"/>
    <m/>
    <x v="0"/>
    <x v="1392"/>
    <s v="50/2021 JALAL"/>
    <d v="2021-06-04T00:00:00"/>
    <s v="300307"/>
    <s v="RAY CARGO"/>
    <n v="12000"/>
  </r>
  <r>
    <s v="Facture comptabilisée"/>
    <m/>
    <x v="0"/>
    <x v="1393"/>
    <s v="51/2021 JALAL"/>
    <d v="2021-06-04T00:00:00"/>
    <s v="300307"/>
    <s v="RAY CARGO"/>
    <n v="10000"/>
  </r>
  <r>
    <s v="Facture comptabilisée"/>
    <m/>
    <x v="0"/>
    <x v="1394"/>
    <s v="50/2021 JALAL"/>
    <d v="2021-06-07T00:00:00"/>
    <s v="300043"/>
    <s v="DOUANE"/>
    <n v="1079"/>
  </r>
  <r>
    <s v="Facture comptabilisée"/>
    <m/>
    <x v="0"/>
    <x v="1395"/>
    <s v="51/2021 JALAL"/>
    <d v="2021-06-07T00:00:00"/>
    <s v="300043"/>
    <s v="DOUANE"/>
    <n v="1072"/>
  </r>
  <r>
    <s v="Facture comptabilisée"/>
    <m/>
    <x v="0"/>
    <x v="1396"/>
    <s v="60/2021"/>
    <d v="2021-06-07T00:00:00"/>
    <s v="300043"/>
    <s v="DOUANE"/>
    <n v="544"/>
  </r>
  <r>
    <s v="Facture comptabilisée"/>
    <m/>
    <x v="0"/>
    <x v="1397"/>
    <s v="60/2021"/>
    <d v="2021-06-07T00:00:00"/>
    <s v="300101"/>
    <s v="ASMAE FORWARDING EXPRESS"/>
    <n v="3317.01"/>
  </r>
  <r>
    <s v="Facture comptabilisée"/>
    <m/>
    <x v="0"/>
    <x v="1398"/>
    <s v="86*110"/>
    <d v="2021-06-09T00:00:00"/>
    <s v="300092"/>
    <s v="METALSCATOLA AFRIQUE"/>
    <n v="53353.8"/>
  </r>
  <r>
    <s v="Facture comptabilisée"/>
    <m/>
    <x v="0"/>
    <x v="1399"/>
    <s v="1/2 H OF"/>
    <d v="2021-06-10T00:00:00"/>
    <s v="300064"/>
    <s v="SONOCO Métal Packaging Maroc"/>
    <n v="79996.800000000003"/>
  </r>
  <r>
    <s v="Facture comptabilisée"/>
    <m/>
    <x v="0"/>
    <x v="1400"/>
    <s v="20L"/>
    <d v="2021-06-10T00:00:00"/>
    <s v="300133"/>
    <s v="OP BOX "/>
    <n v="50935.5"/>
  </r>
  <r>
    <s v="Facture comptabilisée"/>
    <m/>
    <x v="0"/>
    <x v="1401"/>
    <s v="49/2021 JALAL"/>
    <d v="2021-06-10T00:00:00"/>
    <s v="300191"/>
    <s v="JTTL"/>
    <n v="3173.35"/>
  </r>
  <r>
    <s v="Facture comptabilisée"/>
    <m/>
    <x v="0"/>
    <x v="1402"/>
    <s v="50/2021 JALAL"/>
    <d v="2021-06-10T00:00:00"/>
    <s v="300191"/>
    <s v="JTTL"/>
    <n v="3320.51"/>
  </r>
  <r>
    <s v="Facture comptabilisée"/>
    <m/>
    <x v="0"/>
    <x v="1403"/>
    <s v="51/2021 JALAL"/>
    <d v="2021-06-10T00:00:00"/>
    <s v="300191"/>
    <s v="JTTL"/>
    <n v="3320.51"/>
  </r>
  <r>
    <s v="Facture comptabilisée"/>
    <m/>
    <x v="0"/>
    <x v="1404"/>
    <s v="SILVER FOOD"/>
    <d v="2021-06-14T00:00:00"/>
    <s v="300115"/>
    <s v="AUXILIAR CONSERVERA SA"/>
    <n v="270565.54800000001"/>
  </r>
  <r>
    <s v="Facture comptabilisée"/>
    <m/>
    <x v="0"/>
    <x v="1405"/>
    <s v="JIL PACK A"/>
    <d v="2021-06-14T00:00:00"/>
    <s v="300115"/>
    <s v="AUXILIAR CONSERVERA SA"/>
    <n v="270565.54800000001"/>
  </r>
  <r>
    <s v="Facture comptabilisée"/>
    <m/>
    <x v="0"/>
    <x v="1406"/>
    <s v="52/2021 JALAL"/>
    <d v="2021-06-14T00:00:00"/>
    <s v="300191"/>
    <s v="JTTL"/>
    <n v="3147.99"/>
  </r>
  <r>
    <s v="Facture comptabilisée"/>
    <m/>
    <x v="0"/>
    <x v="1407"/>
    <s v="54/2021 JALAL"/>
    <d v="2021-06-14T00:00:00"/>
    <s v="300307"/>
    <s v="RAY CARGO"/>
    <n v="10000"/>
  </r>
  <r>
    <s v="Facture comptabilisée"/>
    <m/>
    <x v="0"/>
    <x v="1408"/>
    <s v="53/2021 JALAL"/>
    <d v="2021-06-15T00:00:00"/>
    <s v="300043"/>
    <s v="DOUANE"/>
    <n v="1079"/>
  </r>
  <r>
    <s v="Facture comptabilisée"/>
    <m/>
    <x v="0"/>
    <x v="1409"/>
    <s v="COPAG VIANDES"/>
    <d v="2021-06-15T00:00:00"/>
    <s v="300115"/>
    <s v="AUXILIAR CONSERVERA SA"/>
    <n v="198577.8432"/>
  </r>
  <r>
    <s v="Facture comptabilisée"/>
    <m/>
    <x v="0"/>
    <x v="1410"/>
    <s v="COPAG VIANDES"/>
    <d v="2021-06-16T00:00:00"/>
    <s v="300115"/>
    <s v="AUXILIAR CONSERVERA SA"/>
    <n v="195929.3952"/>
  </r>
  <r>
    <s v="Facture comptabilisée"/>
    <m/>
    <x v="0"/>
    <x v="1411"/>
    <s v="JIL PACK A"/>
    <d v="2021-06-16T00:00:00"/>
    <s v="300115"/>
    <s v="AUXILIAR CONSERVERA SA"/>
    <n v="96332.002800000002"/>
  </r>
  <r>
    <s v="Facture comptabilisée"/>
    <m/>
    <x v="0"/>
    <x v="1412"/>
    <s v="SILVER FOOD"/>
    <d v="2021-06-16T00:00:00"/>
    <s v="300115"/>
    <s v="AUXILIAR CONSERVERA SA"/>
    <n v="161828.601"/>
  </r>
  <r>
    <s v="Facture comptabilisée"/>
    <m/>
    <x v="0"/>
    <x v="1413"/>
    <s v="2.3"/>
    <d v="2021-06-17T00:00:00"/>
    <s v="300133"/>
    <s v="OP BOX "/>
    <n v="60480"/>
  </r>
  <r>
    <s v="Facture comptabilisée"/>
    <m/>
    <x v="0"/>
    <x v="1414"/>
    <s v="54/2021 JALAL"/>
    <d v="2021-06-18T00:00:00"/>
    <s v="300043"/>
    <s v="DOUANE"/>
    <n v="1069"/>
  </r>
  <r>
    <s v="Facture comptabilisée"/>
    <m/>
    <x v="0"/>
    <x v="1415"/>
    <s v="64/2021"/>
    <d v="2021-06-18T00:00:00"/>
    <s v="300043"/>
    <s v="DOUANE"/>
    <n v="804"/>
  </r>
  <r>
    <s v="Facture comptabilisée"/>
    <m/>
    <x v="0"/>
    <x v="1416"/>
    <s v="63/2021"/>
    <d v="2021-06-18T00:00:00"/>
    <s v="300043"/>
    <s v="DOUANE"/>
    <n v="807"/>
  </r>
  <r>
    <s v="Facture comptabilisée"/>
    <m/>
    <x v="0"/>
    <x v="1417"/>
    <s v="63/2021"/>
    <d v="2021-06-18T00:00:00"/>
    <s v="300101"/>
    <s v="ASMAE FORWARDING EXPRESS"/>
    <n v="3293.41"/>
  </r>
  <r>
    <s v="Facture comptabilisée"/>
    <m/>
    <x v="0"/>
    <x v="1418"/>
    <s v="64/2021"/>
    <d v="2021-06-18T00:00:00"/>
    <s v="300101"/>
    <s v="ASMAE FORWARDING EXPRESS"/>
    <n v="3138.77"/>
  </r>
  <r>
    <s v="Facture comptabilisée"/>
    <m/>
    <x v="0"/>
    <x v="1419"/>
    <s v="2300"/>
    <d v="2021-06-18T00:00:00"/>
    <s v="300133"/>
    <s v="OP BOX "/>
    <n v="60480"/>
  </r>
  <r>
    <s v="Facture comptabilisée"/>
    <m/>
    <x v="0"/>
    <x v="1420"/>
    <s v="62/2021"/>
    <d v="2021-06-21T00:00:00"/>
    <s v="300043"/>
    <s v="DOUANE"/>
    <n v="997"/>
  </r>
  <r>
    <s v="Facture comptabilisée"/>
    <m/>
    <x v="0"/>
    <x v="1421"/>
    <s v="CONSI AVC21-00625"/>
    <d v="2021-06-21T00:00:00"/>
    <s v="300064"/>
    <s v="SONOCO Métal Packaging Maroc"/>
    <n v="25050"/>
  </r>
  <r>
    <s v="Facture comptabilisée"/>
    <m/>
    <x v="0"/>
    <x v="1422"/>
    <s v="62/2021"/>
    <d v="2021-06-21T00:00:00"/>
    <s v="300101"/>
    <s v="ASMAE FORWARDING EXPRESS"/>
    <n v="3602.37"/>
  </r>
  <r>
    <s v="Facture comptabilisée"/>
    <m/>
    <x v="0"/>
    <x v="1423"/>
    <s v="53/2021 JALAL"/>
    <d v="2021-06-21T00:00:00"/>
    <s v="300191"/>
    <s v="JTTL"/>
    <n v="3160.49"/>
  </r>
  <r>
    <s v="Facture comptabilisée"/>
    <m/>
    <x v="0"/>
    <x v="1424"/>
    <s v="1KG7"/>
    <d v="2021-06-22T00:00:00"/>
    <s v="300064"/>
    <s v="SONOCO Métal Packaging Maroc"/>
    <n v="23846.400000000001"/>
  </r>
  <r>
    <s v="Facture comptabilisée"/>
    <m/>
    <x v="0"/>
    <x v="1425"/>
    <s v="2KG BPANI"/>
    <d v="2021-06-22T00:00:00"/>
    <s v="300064"/>
    <s v="SONOCO Métal Packaging Maroc"/>
    <n v="21066"/>
  </r>
  <r>
    <s v="Facture comptabilisée"/>
    <m/>
    <x v="0"/>
    <x v="1426"/>
    <s v="JIL PACK"/>
    <d v="2021-06-22T00:00:00"/>
    <s v="300093"/>
    <s v="AVEZ SAS"/>
    <n v="127498.1202"/>
  </r>
  <r>
    <s v="Facture comptabilisée"/>
    <m/>
    <x v="0"/>
    <x v="1427"/>
    <s v="COPAG"/>
    <d v="2021-06-22T00:00:00"/>
    <s v="300115"/>
    <s v="AUXILIAR CONSERVERA SA"/>
    <n v="206479.5128"/>
  </r>
  <r>
    <s v="Facture comptabilisée"/>
    <m/>
    <x v="0"/>
    <x v="1428"/>
    <s v="JIL PACK"/>
    <d v="2021-06-22T00:00:00"/>
    <s v="300226"/>
    <s v="Sarten Ambalaj Sanayi ve Ticaret AS"/>
    <n v="605643.5"/>
  </r>
  <r>
    <s v="Facture comptabilisée"/>
    <m/>
    <x v="0"/>
    <x v="1429"/>
    <s v="JIL PACK*MEAT COP"/>
    <d v="2021-06-23T00:00:00"/>
    <s v="300115"/>
    <s v="AUXILIAR CONSERVERA SA"/>
    <n v="139417.16800000001"/>
  </r>
  <r>
    <s v="Facture comptabilisée"/>
    <m/>
    <x v="0"/>
    <x v="1430"/>
    <s v="JIL PACK A"/>
    <d v="2021-06-23T00:00:00"/>
    <s v="300115"/>
    <s v="AUXILIAR CONSERVERA SA"/>
    <n v="101184.072"/>
  </r>
  <r>
    <s v="Facture comptabilisée"/>
    <m/>
    <x v="0"/>
    <x v="1431"/>
    <s v="56/2021 JALAL"/>
    <d v="2021-06-23T00:00:00"/>
    <s v="300307"/>
    <s v="RAY CARGO"/>
    <n v="10000"/>
  </r>
  <r>
    <s v="Facture comptabilisée"/>
    <m/>
    <x v="0"/>
    <x v="1432"/>
    <s v="65/2021"/>
    <d v="2021-06-24T00:00:00"/>
    <s v="300043"/>
    <s v="DOUANE"/>
    <n v="831"/>
  </r>
  <r>
    <s v="Facture comptabilisée"/>
    <m/>
    <x v="0"/>
    <x v="1433"/>
    <s v="65/2021"/>
    <d v="2021-06-24T00:00:00"/>
    <s v="300101"/>
    <s v="ASMAE FORWARDING EXPRESS"/>
    <n v="3293.98"/>
  </r>
  <r>
    <s v="Facture comptabilisée"/>
    <m/>
    <x v="0"/>
    <x v="1434"/>
    <s v="RO85"/>
    <d v="2021-06-24T00:00:00"/>
    <s v="300115"/>
    <s v="AUXILIAR CONSERVERA SA"/>
    <n v="270565.54800000001"/>
  </r>
  <r>
    <s v="Facture comptabilisée"/>
    <m/>
    <x v="0"/>
    <x v="1435"/>
    <s v="55/2021 JALAL"/>
    <d v="2021-06-24T00:00:00"/>
    <s v="300307"/>
    <s v="RAY CARGO"/>
    <n v="12000"/>
  </r>
  <r>
    <s v="Facture comptabilisée"/>
    <m/>
    <x v="0"/>
    <x v="1436"/>
    <s v="55/2021 JALAL"/>
    <d v="2021-06-25T00:00:00"/>
    <s v="300043"/>
    <s v="DOUANE"/>
    <n v="973"/>
  </r>
  <r>
    <s v="Facture comptabilisée"/>
    <m/>
    <x v="0"/>
    <x v="1437"/>
    <s v="56/2021 JALAL"/>
    <d v="2021-06-25T00:00:00"/>
    <s v="300043"/>
    <s v="DOUANE"/>
    <n v="1064"/>
  </r>
  <r>
    <s v="Facture comptabilisée"/>
    <m/>
    <x v="0"/>
    <x v="1438"/>
    <s v="1/2 H"/>
    <d v="2021-06-25T00:00:00"/>
    <s v="300064"/>
    <s v="SONOCO Métal Packaging Maroc"/>
    <n v="95954.16"/>
  </r>
  <r>
    <s v="Facture comptabilisée"/>
    <m/>
    <x v="0"/>
    <x v="1439"/>
    <s v="2.3AP"/>
    <d v="2021-06-25T00:00:00"/>
    <s v="300133"/>
    <s v="OP BOX "/>
    <n v="60480"/>
  </r>
  <r>
    <s v="Facture comptabilisée"/>
    <m/>
    <x v="0"/>
    <x v="1440"/>
    <s v="D122-VIVE"/>
    <d v="2021-06-28T00:00:00"/>
    <s v="300064"/>
    <s v="SONOCO Métal Packaging Maroc"/>
    <n v="1051.6500000000001"/>
  </r>
  <r>
    <s v="Facture comptabilisée"/>
    <m/>
    <x v="0"/>
    <x v="1441"/>
    <s v="MIPA"/>
    <d v="2021-06-28T00:00:00"/>
    <s v="300092"/>
    <s v="METALSCATOLA AFRIQUE"/>
    <n v="63906.19"/>
  </r>
  <r>
    <s v="Facture comptabilisée"/>
    <m/>
    <x v="0"/>
    <x v="1442"/>
    <s v="JIL PACK A"/>
    <d v="2021-06-28T00:00:00"/>
    <s v="300115"/>
    <s v="AUXILIAR CONSERVERA SA"/>
    <n v="294874.62400000001"/>
  </r>
  <r>
    <s v="Facture comptabilisée"/>
    <m/>
    <x v="0"/>
    <x v="1443"/>
    <s v="VMM"/>
    <d v="2021-06-28T00:00:00"/>
    <s v="300115"/>
    <s v="AUXILIAR CONSERVERA SA"/>
    <n v="296910.40500000003"/>
  </r>
  <r>
    <s v="Facture comptabilisée"/>
    <m/>
    <x v="0"/>
    <x v="1444"/>
    <s v="54/2021 JALAL"/>
    <d v="2021-06-28T00:00:00"/>
    <s v="300191"/>
    <s v="JTTL"/>
    <n v="3622.51"/>
  </r>
  <r>
    <s v="Facture comptabilisée"/>
    <m/>
    <x v="0"/>
    <x v="1445"/>
    <s v="57/2021 JALAL"/>
    <d v="2021-06-29T00:00:00"/>
    <s v="300043"/>
    <s v="DOUANE"/>
    <n v="1149"/>
  </r>
  <r>
    <s v="Facture comptabilisée"/>
    <m/>
    <x v="0"/>
    <x v="1446"/>
    <s v="JIL PACK*1*"/>
    <d v="2021-06-29T00:00:00"/>
    <s v="300115"/>
    <s v="AUXILIAR CONSERVERA SA"/>
    <n v="59722.904999999999"/>
  </r>
  <r>
    <s v="Facture comptabilisée"/>
    <m/>
    <x v="0"/>
    <x v="1447"/>
    <s v="COPAG*2*"/>
    <d v="2021-06-29T00:00:00"/>
    <s v="300115"/>
    <s v="AUXILIAR CONSERVERA SA"/>
    <n v="122651.0208"/>
  </r>
  <r>
    <s v="Facture comptabilisée"/>
    <m/>
    <x v="0"/>
    <x v="1448"/>
    <s v="61/2021"/>
    <d v="2021-06-30T00:00:00"/>
    <s v="300043"/>
    <s v="DOUANE"/>
    <n v="1122"/>
  </r>
  <r>
    <s v="Facture comptabilisée"/>
    <m/>
    <x v="0"/>
    <x v="1449"/>
    <s v="AVC21-00706"/>
    <d v="2021-06-30T00:00:00"/>
    <s v="300064"/>
    <s v="SONOCO Métal Packaging Maroc"/>
    <n v="14190"/>
  </r>
  <r>
    <s v="Facture comptabilisée"/>
    <m/>
    <x v="0"/>
    <x v="1450"/>
    <s v="61/2021"/>
    <d v="2021-06-30T00:00:00"/>
    <s v="300101"/>
    <s v="ASMAE FORWARDING EXPRESS"/>
    <n v="3288.47"/>
  </r>
  <r>
    <s v="Facture comptabilisée"/>
    <m/>
    <x v="0"/>
    <x v="1451"/>
    <s v="JIL PACK*1*"/>
    <d v="2021-06-30T00:00:00"/>
    <s v="300115"/>
    <s v="AUXILIAR CONSERVERA SA"/>
    <n v="115938.427"/>
  </r>
  <r>
    <s v="Facture comptabilisée"/>
    <m/>
    <x v="0"/>
    <x v="1452"/>
    <s v="FOODIS*2*"/>
    <d v="2021-06-30T00:00:00"/>
    <s v="300115"/>
    <s v="AUXILIAR CONSERVERA SA"/>
    <n v="93472.335000000006"/>
  </r>
  <r>
    <s v="Facture comptabilisée"/>
    <m/>
    <x v="0"/>
    <x v="1453"/>
    <s v="55/2021 JALAL"/>
    <d v="2021-06-30T00:00:00"/>
    <s v="300191"/>
    <s v="JTTL"/>
    <n v="3121.82"/>
  </r>
  <r>
    <s v="Facture comptabilisée"/>
    <m/>
    <x v="0"/>
    <x v="1454"/>
    <s v="56/2021 JALAL"/>
    <d v="2021-06-30T00:00:00"/>
    <s v="300191"/>
    <s v="JTTL"/>
    <n v="3121.82"/>
  </r>
  <r>
    <s v="Facture comptabilisée"/>
    <m/>
    <x v="0"/>
    <x v="1455"/>
    <s v="49/2021 JALAL"/>
    <d v="2021-06-30T00:00:00"/>
    <s v="300192"/>
    <s v="CAP-AOUYAL-FRICO TRANSPORT"/>
    <n v="12500"/>
  </r>
  <r>
    <s v="Facture comptabilisée"/>
    <m/>
    <x v="0"/>
    <x v="1456"/>
    <s v="52/2021 JALAL"/>
    <d v="2021-06-30T00:00:00"/>
    <s v="300192"/>
    <s v="CAP-AOUYAL-FRICO TRANSPORT"/>
    <n v="13000"/>
  </r>
  <r>
    <s v="Facture comptabilisée"/>
    <m/>
    <x v="0"/>
    <x v="1457"/>
    <s v="53/2021 JALAL"/>
    <d v="2021-06-30T00:00:00"/>
    <s v="300192"/>
    <s v="CAP-AOUYAL-FRICO TRANSPORT"/>
    <n v="12500"/>
  </r>
  <r>
    <s v="Facture comptabilisée"/>
    <m/>
    <x v="0"/>
    <x v="1458"/>
    <s v="57/2021 JALAL"/>
    <d v="2021-06-30T00:00:00"/>
    <s v="300192"/>
    <s v="CAP-AOUYAL-FRICO TRANSPORT"/>
    <n v="12500"/>
  </r>
  <r>
    <s v="Facture comptabilisée"/>
    <m/>
    <x v="0"/>
    <x v="1459"/>
    <s v="PLASTIQUE"/>
    <d v="2021-07-01T00:00:00"/>
    <s v="300133"/>
    <s v="OP BOX "/>
    <n v="58180.800000000003"/>
  </r>
  <r>
    <s v="Facture comptabilisée"/>
    <m/>
    <x v="0"/>
    <x v="1460"/>
    <s v="SMARCOS"/>
    <d v="2021-07-02T00:00:00"/>
    <s v="300115"/>
    <s v="AUXILIAR CONSERVERA SA"/>
    <n v="87125.543999999994"/>
  </r>
  <r>
    <s v="Facture comptabilisée"/>
    <m/>
    <x v="0"/>
    <x v="1461"/>
    <s v="SMARCOS"/>
    <d v="2021-07-02T00:00:00"/>
    <s v="300115"/>
    <s v="AUXILIAR CONSERVERA SA"/>
    <n v="87125.543999999994"/>
  </r>
  <r>
    <s v="Facture comptabilisée"/>
    <m/>
    <x v="0"/>
    <x v="1462"/>
    <s v="67/2021"/>
    <d v="2021-07-05T00:00:00"/>
    <s v="300043"/>
    <s v="DOUANE"/>
    <n v="838"/>
  </r>
  <r>
    <s v="Facture comptabilisée"/>
    <m/>
    <x v="0"/>
    <x v="1463"/>
    <s v="67/2021"/>
    <d v="2021-07-05T00:00:00"/>
    <s v="300101"/>
    <s v="ASMAE FORWARDING EXPRESS"/>
    <n v="3751.14"/>
  </r>
  <r>
    <s v="Facture comptabilisée"/>
    <m/>
    <x v="0"/>
    <x v="1464"/>
    <s v="SILVER FOOD"/>
    <d v="2021-07-05T00:00:00"/>
    <s v="300115"/>
    <s v="AUXILIAR CONSERVERA SA"/>
    <n v="176584.1"/>
  </r>
  <r>
    <s v="Facture comptabilisée"/>
    <m/>
    <x v="0"/>
    <x v="1465"/>
    <s v="SMARCOS"/>
    <d v="2021-07-05T00:00:00"/>
    <s v="300115"/>
    <s v="AUXILIAR CONSERVERA SA"/>
    <n v="87125.543999999994"/>
  </r>
  <r>
    <s v="Facture comptabilisée"/>
    <m/>
    <x v="0"/>
    <x v="1466"/>
    <s v="57/2021 JALAL"/>
    <d v="2021-07-05T00:00:00"/>
    <s v="300191"/>
    <s v="JTTL"/>
    <n v="3140.27"/>
  </r>
  <r>
    <s v="Facture comptabilisée"/>
    <m/>
    <x v="0"/>
    <x v="1467"/>
    <s v="58/2021 JALAL"/>
    <d v="2021-07-05T00:00:00"/>
    <s v="300307"/>
    <s v="RAY CARGO"/>
    <n v="10000"/>
  </r>
  <r>
    <s v="Facture comptabilisée"/>
    <m/>
    <x v="0"/>
    <x v="1468"/>
    <s v="66/2021"/>
    <d v="2021-07-06T00:00:00"/>
    <s v="300043"/>
    <s v="DOUANE"/>
    <n v="727"/>
  </r>
  <r>
    <s v="Facture comptabilisée"/>
    <m/>
    <x v="0"/>
    <x v="1469"/>
    <s v="47/2021 "/>
    <d v="2021-07-06T00:00:00"/>
    <s v="300101"/>
    <s v="ASMAE FORWARDING EXPRESS"/>
    <n v="2124.91"/>
  </r>
  <r>
    <s v="Facture comptabilisée"/>
    <m/>
    <x v="0"/>
    <x v="1470"/>
    <s v="66/2021"/>
    <d v="2021-07-06T00:00:00"/>
    <s v="300101"/>
    <s v="ASMAE FORWARDING EXPRESS"/>
    <n v="5536.14"/>
  </r>
  <r>
    <s v="Facture comptabilisée"/>
    <m/>
    <x v="0"/>
    <x v="1471"/>
    <s v="69/2021"/>
    <d v="2021-07-07T00:00:00"/>
    <s v="300043"/>
    <s v="DOUANE"/>
    <n v="752"/>
  </r>
  <r>
    <s v="Facture comptabilisée"/>
    <m/>
    <x v="0"/>
    <x v="1472"/>
    <s v="58/2021 JALAL"/>
    <d v="2021-07-07T00:00:00"/>
    <s v="300043"/>
    <s v="DOUANE"/>
    <n v="759"/>
  </r>
  <r>
    <s v="Facture comptabilisée"/>
    <m/>
    <x v="0"/>
    <x v="1473"/>
    <s v="68/2021"/>
    <d v="2021-07-07T00:00:00"/>
    <s v="300043"/>
    <s v="DOUANE"/>
    <n v="444"/>
  </r>
  <r>
    <s v="Facture comptabilisée"/>
    <m/>
    <x v="0"/>
    <x v="1474"/>
    <s v="68/2021"/>
    <d v="2021-07-07T00:00:00"/>
    <s v="300101"/>
    <s v="ASMAE FORWARDING EXPRESS"/>
    <n v="3284.08"/>
  </r>
  <r>
    <s v="Facture comptabilisée"/>
    <m/>
    <x v="0"/>
    <x v="1475"/>
    <s v="69/2021"/>
    <d v="2021-07-07T00:00:00"/>
    <s v="300101"/>
    <s v="ASMAE FORWARDING EXPRESS"/>
    <n v="4055.93"/>
  </r>
  <r>
    <s v="Facture comptabilisée"/>
    <m/>
    <x v="0"/>
    <x v="1476"/>
    <s v="05/2021 JALAL"/>
    <d v="2021-07-09T00:00:00"/>
    <s v="300043"/>
    <s v="DOUANE"/>
    <n v="464"/>
  </r>
  <r>
    <s v="Facture comptabilisée"/>
    <m/>
    <x v="0"/>
    <x v="1477"/>
    <s v="1L CYL"/>
    <d v="2021-07-09T00:00:00"/>
    <s v="300092"/>
    <s v="METALSCATOLA AFRIQUE"/>
    <n v="34073.919999999998"/>
  </r>
  <r>
    <s v="Facture comptabilisée"/>
    <m/>
    <x v="0"/>
    <x v="1478"/>
    <s v="58/2021 JALAL"/>
    <d v="2021-07-12T00:00:00"/>
    <s v="300191"/>
    <s v="JTTL"/>
    <n v="3113.09"/>
  </r>
  <r>
    <s v="Facture comptabilisée"/>
    <m/>
    <x v="0"/>
    <x v="1479"/>
    <s v="JIL PACK A"/>
    <d v="2021-07-13T00:00:00"/>
    <s v="300115"/>
    <s v="AUXILIAR CONSERVERA SA"/>
    <n v="270565.54800000001"/>
  </r>
  <r>
    <s v="Facture comptabilisée"/>
    <m/>
    <x v="0"/>
    <x v="1480"/>
    <s v="JIL PACK A"/>
    <d v="2021-07-13T00:00:00"/>
    <s v="300115"/>
    <s v="AUXILIAR CONSERVERA SA"/>
    <n v="262406.49599999998"/>
  </r>
  <r>
    <s v="Facture comptabilisée"/>
    <m/>
    <x v="0"/>
    <x v="1481"/>
    <s v="59/2021 JALAL"/>
    <d v="2021-07-14T00:00:00"/>
    <s v="300043"/>
    <s v="DOUANE"/>
    <n v="1068"/>
  </r>
  <r>
    <s v="Facture comptabilisée"/>
    <m/>
    <x v="0"/>
    <x v="1482"/>
    <s v="60/2021 JALAL"/>
    <d v="2021-07-15T00:00:00"/>
    <s v="300043"/>
    <s v="DOUANE"/>
    <n v="1095"/>
  </r>
  <r>
    <s v="Facture comptabilisée"/>
    <m/>
    <x v="0"/>
    <x v="1483"/>
    <s v="06/2021 REC JAC"/>
    <d v="2021-07-16T00:00:00"/>
    <s v="300043"/>
    <s v="DOUANE"/>
    <n v="1980"/>
  </r>
  <r>
    <s v="Facture comptabilisée"/>
    <m/>
    <x v="0"/>
    <x v="1484"/>
    <s v="4/4 G3"/>
    <d v="2021-07-20T00:00:00"/>
    <s v="300080"/>
    <s v="MASSILLY"/>
    <n v="192100.12770000001"/>
  </r>
  <r>
    <s v="Facture comptabilisée"/>
    <m/>
    <x v="0"/>
    <x v="1485"/>
    <s v="59/2021 JALAL"/>
    <d v="2021-07-20T00:00:00"/>
    <s v="300191"/>
    <s v="JTTL"/>
    <n v="3135.02"/>
  </r>
  <r>
    <s v="Facture comptabilisée"/>
    <m/>
    <x v="0"/>
    <x v="1486"/>
    <s v="60/2021 JALAL"/>
    <d v="2021-07-20T00:00:00"/>
    <s v="300191"/>
    <s v="JTTL"/>
    <n v="3132.19"/>
  </r>
  <r>
    <s v="Facture comptabilisée"/>
    <m/>
    <x v="0"/>
    <x v="1487"/>
    <s v="AVC21-00778"/>
    <d v="2021-07-26T00:00:00"/>
    <s v="300064"/>
    <s v="SONOCO Métal Packaging Maroc"/>
    <n v="29610"/>
  </r>
  <r>
    <s v="Facture comptabilisée"/>
    <m/>
    <x v="0"/>
    <x v="1488"/>
    <s v="NOTAM"/>
    <d v="2021-07-26T00:00:00"/>
    <s v="300115"/>
    <s v="AUXILIAR CONSERVERA SA"/>
    <n v="158079.636"/>
  </r>
  <r>
    <s v="Facture comptabilisée"/>
    <m/>
    <x v="0"/>
    <x v="1489"/>
    <s v="05/2021 RAC JAC"/>
    <d v="2021-07-27T00:00:00"/>
    <s v="300301"/>
    <s v="RECOING &amp; JACQUETY"/>
    <n v="7176.25"/>
  </r>
  <r>
    <s v="Facture comptabilisée"/>
    <m/>
    <x v="0"/>
    <x v="1490"/>
    <s v="70/2021"/>
    <d v="2021-07-28T00:00:00"/>
    <s v="300043"/>
    <s v="DOUANE"/>
    <n v="672"/>
  </r>
  <r>
    <s v="Facture comptabilisée"/>
    <m/>
    <x v="0"/>
    <x v="1491"/>
    <s v="70/2021"/>
    <d v="2021-07-28T00:00:00"/>
    <s v="300101"/>
    <s v="ASMAE FORWARDING EXPRESS"/>
    <n v="3435.45"/>
  </r>
  <r>
    <s v="Facture comptabilisée"/>
    <m/>
    <x v="0"/>
    <x v="1492"/>
    <s v="VMM"/>
    <d v="2021-07-28T00:00:00"/>
    <s v="300115"/>
    <s v="AUXILIAR CONSERVERA SA"/>
    <n v="321433.54100000003"/>
  </r>
  <r>
    <s v="Facture comptabilisée"/>
    <m/>
    <x v="0"/>
    <x v="1493"/>
    <s v="JIL PACK A"/>
    <d v="2021-07-28T00:00:00"/>
    <s v="300115"/>
    <s v="AUXILIAR CONSERVERA SA"/>
    <n v="270565.54800000001"/>
  </r>
  <r>
    <s v="Facture comptabilisée"/>
    <m/>
    <x v="0"/>
    <x v="1494"/>
    <s v="VMM"/>
    <d v="2021-07-28T00:00:00"/>
    <s v="300115"/>
    <s v="AUXILIAR CONSERVERA SA"/>
    <n v="321435.44400000002"/>
  </r>
  <r>
    <s v="Facture comptabilisée"/>
    <m/>
    <x v="0"/>
    <x v="1495"/>
    <s v="280 ML"/>
    <d v="2021-07-29T00:00:00"/>
    <s v="300133"/>
    <s v="OP BOX "/>
    <n v="14040"/>
  </r>
  <r>
    <s v="Facture comptabilisée"/>
    <m/>
    <x v="0"/>
    <x v="1496"/>
    <s v="CONSTANCE DISTR"/>
    <d v="2021-07-30T00:00:00"/>
    <s v="300115"/>
    <s v="AUXILIAR CONSERVERA SA"/>
    <n v="293849.68800000002"/>
  </r>
  <r>
    <s v="Facture comptabilisée"/>
    <m/>
    <x v="0"/>
    <x v="1497"/>
    <s v="61/2021 JALAL"/>
    <d v="2021-08-02T00:00:00"/>
    <s v="300043"/>
    <s v="DOUANE"/>
    <n v="1077"/>
  </r>
  <r>
    <s v="Facture comptabilisée"/>
    <m/>
    <x v="0"/>
    <x v="1498"/>
    <s v="72/2021"/>
    <d v="2021-08-02T00:00:00"/>
    <s v="300043"/>
    <s v="DOUANE"/>
    <n v="1200"/>
  </r>
  <r>
    <s v="Facture comptabilisée"/>
    <m/>
    <x v="0"/>
    <x v="1499"/>
    <s v="71/2021"/>
    <d v="2021-08-03T00:00:00"/>
    <s v="300043"/>
    <s v="DOUANE"/>
    <n v="1200"/>
  </r>
  <r>
    <s v="Facture comptabilisée"/>
    <m/>
    <x v="0"/>
    <x v="1500"/>
    <s v="73/2021"/>
    <d v="2021-08-03T00:00:00"/>
    <s v="300043"/>
    <s v="DOUANE"/>
    <n v="1110"/>
  </r>
  <r>
    <s v="Facture comptabilisée"/>
    <m/>
    <x v="0"/>
    <x v="1501"/>
    <s v="71/2021"/>
    <d v="2021-08-03T00:00:00"/>
    <s v="300101"/>
    <s v="ASMAE FORWARDING EXPRESS"/>
    <n v="3133.02"/>
  </r>
  <r>
    <s v="Facture comptabilisée"/>
    <m/>
    <x v="0"/>
    <x v="1502"/>
    <s v="72/2021"/>
    <d v="2021-08-03T00:00:00"/>
    <s v="300101"/>
    <s v="ASMAE FORWARDING EXPRESS"/>
    <n v="3133.02"/>
  </r>
  <r>
    <s v="Facture comptabilisée"/>
    <m/>
    <x v="0"/>
    <x v="1503"/>
    <s v="73/2021"/>
    <d v="2021-08-03T00:00:00"/>
    <s v="300101"/>
    <s v="ASMAE FORWARDING EXPRESS"/>
    <n v="3134.16"/>
  </r>
  <r>
    <s v="Facture comptabilisée"/>
    <m/>
    <x v="0"/>
    <x v="1504"/>
    <s v="71/2021"/>
    <d v="2021-08-04T00:00:00"/>
    <s v="300101"/>
    <s v="ASMAE FORWARDING EXPRESS"/>
    <n v="462.92"/>
  </r>
  <r>
    <s v="Facture comptabilisée"/>
    <m/>
    <x v="0"/>
    <x v="1505"/>
    <s v="72/2021"/>
    <d v="2021-08-04T00:00:00"/>
    <s v="300101"/>
    <s v="ASMAE FORWARDING EXPRESS"/>
    <n v="617.23"/>
  </r>
  <r>
    <s v="Facture comptabilisée"/>
    <m/>
    <x v="0"/>
    <x v="1506"/>
    <s v="60/2021 JALAL"/>
    <d v="2021-08-04T00:00:00"/>
    <s v="300192"/>
    <s v="CAP-AOUYAL-FRICO TRANSPORT"/>
    <n v="15000"/>
  </r>
  <r>
    <s v="Facture comptabilisée"/>
    <m/>
    <x v="0"/>
    <x v="1507"/>
    <s v="59/2021 JALAL"/>
    <d v="2021-08-04T00:00:00"/>
    <s v="300192"/>
    <s v="CAP-AOUYAL-FRICO TRANSPORT"/>
    <n v="15000"/>
  </r>
  <r>
    <s v="Facture comptabilisée"/>
    <m/>
    <x v="0"/>
    <x v="1508"/>
    <s v="61/2021 JALAL"/>
    <d v="2021-08-04T00:00:00"/>
    <s v="300192"/>
    <s v="CAP-AOUYAL-FRICO TRANSPORT"/>
    <n v="15000"/>
  </r>
  <r>
    <s v="Facture comptabilisée"/>
    <m/>
    <x v="0"/>
    <x v="1509"/>
    <s v="72/2021"/>
    <d v="2021-08-05T00:00:00"/>
    <s v="300101"/>
    <s v="ASMAE FORWARDING EXPRESS"/>
    <n v="154.32"/>
  </r>
  <r>
    <s v="Facture comptabilisée"/>
    <m/>
    <x v="0"/>
    <x v="1510"/>
    <s v="71/2021"/>
    <d v="2021-08-05T00:00:00"/>
    <s v="300101"/>
    <s v="ASMAE FORWARDING EXPRESS"/>
    <n v="154.32"/>
  </r>
  <r>
    <s v="Facture comptabilisée"/>
    <m/>
    <x v="0"/>
    <x v="1511"/>
    <s v="06/2021 JALAL"/>
    <d v="2021-08-05T00:00:00"/>
    <s v="300301"/>
    <s v="RECOING &amp; JACQUETY"/>
    <n v="15360.62"/>
  </r>
  <r>
    <s v="Facture comptabilisée"/>
    <m/>
    <x v="0"/>
    <x v="1512"/>
    <s v="JIL PACK A"/>
    <d v="2021-08-09T00:00:00"/>
    <s v="300115"/>
    <s v="AUXILIAR CONSERVERA SA"/>
    <n v="285201.70799999998"/>
  </r>
  <r>
    <s v="Facture comptabilisée"/>
    <m/>
    <x v="0"/>
    <x v="1513"/>
    <s v="AZUR FISH"/>
    <d v="2021-08-09T00:00:00"/>
    <s v="300115"/>
    <s v="AUXILIAR CONSERVERA SA"/>
    <n v="281138.2684"/>
  </r>
  <r>
    <s v="Facture comptabilisée"/>
    <m/>
    <x v="0"/>
    <x v="1514"/>
    <s v="JIL PACK"/>
    <d v="2021-08-09T00:00:00"/>
    <s v="300115"/>
    <s v="AUXILIAR CONSERVERA SA"/>
    <n v="172897.62599999999"/>
  </r>
  <r>
    <s v="Facture comptabilisée"/>
    <m/>
    <x v="0"/>
    <x v="1515"/>
    <s v="JIL PACK"/>
    <d v="2021-08-09T00:00:00"/>
    <s v="300115"/>
    <s v="AUXILIAR CONSERVERA SA"/>
    <n v="144277.628"/>
  </r>
  <r>
    <s v="Facture comptabilisée"/>
    <m/>
    <x v="0"/>
    <x v="1516"/>
    <s v="AVO210015"/>
    <d v="2021-08-11T00:00:00"/>
    <s v="300092"/>
    <s v="METALSCATOLA AFRIQUE"/>
    <n v="1120"/>
  </r>
  <r>
    <s v="Facture comptabilisée"/>
    <m/>
    <x v="0"/>
    <x v="1517"/>
    <s v="73/2021"/>
    <d v="2021-08-11T00:00:00"/>
    <s v="300101"/>
    <s v="ASMAE FORWARDING EXPRESS"/>
    <n v="154.13999999999999"/>
  </r>
  <r>
    <s v="Facture comptabilisée"/>
    <m/>
    <x v="0"/>
    <x v="1518"/>
    <s v="72/2021"/>
    <d v="2021-08-11T00:00:00"/>
    <s v="300101"/>
    <s v="ASMAE FORWARDING EXPRESS"/>
    <n v="2094.38"/>
  </r>
  <r>
    <s v="Facture comptabilisée"/>
    <m/>
    <x v="0"/>
    <x v="1519"/>
    <s v="75/2021"/>
    <d v="2021-08-12T00:00:00"/>
    <s v="300043"/>
    <s v="DOUANE"/>
    <n v="1068"/>
  </r>
  <r>
    <s v="Facture comptabilisée"/>
    <m/>
    <x v="0"/>
    <x v="1520"/>
    <s v="77/2021"/>
    <d v="2021-08-12T00:00:00"/>
    <s v="300043"/>
    <s v="DOUANE"/>
    <n v="627"/>
  </r>
  <r>
    <s v="Facture comptabilisée"/>
    <m/>
    <x v="0"/>
    <x v="1521"/>
    <s v="74/2021"/>
    <d v="2021-08-12T00:00:00"/>
    <s v="300043"/>
    <s v="DOUANE"/>
    <n v="720"/>
  </r>
  <r>
    <s v="Facture comptabilisée"/>
    <m/>
    <x v="0"/>
    <x v="1522"/>
    <s v="76/2021"/>
    <d v="2021-08-12T00:00:00"/>
    <s v="300043"/>
    <s v="DOUANE"/>
    <n v="1080"/>
  </r>
  <r>
    <s v="Facture comptabilisée"/>
    <m/>
    <x v="0"/>
    <x v="1523"/>
    <s v="1L RECT"/>
    <d v="2021-08-12T00:00:00"/>
    <s v="300092"/>
    <s v="METALSCATOLA AFRIQUE"/>
    <n v="52018.2"/>
  </r>
  <r>
    <s v="Facture comptabilisée"/>
    <m/>
    <x v="0"/>
    <x v="1524"/>
    <s v="74/2021"/>
    <d v="2021-08-12T00:00:00"/>
    <s v="300101"/>
    <s v="ASMAE FORWARDING EXPRESS"/>
    <n v="3277.44"/>
  </r>
  <r>
    <s v="Facture comptabilisée"/>
    <m/>
    <x v="0"/>
    <x v="1525"/>
    <s v="75/2021 "/>
    <d v="2021-08-12T00:00:00"/>
    <s v="300101"/>
    <s v="ASMAE FORWARDING EXPRESS"/>
    <n v="3430.99"/>
  </r>
  <r>
    <s v="Facture comptabilisée"/>
    <m/>
    <x v="0"/>
    <x v="1526"/>
    <s v="76/2021"/>
    <d v="2021-08-12T00:00:00"/>
    <s v="300101"/>
    <s v="ASMAE FORWARDING EXPRESS"/>
    <n v="3430.99"/>
  </r>
  <r>
    <s v="Facture comptabilisée"/>
    <m/>
    <x v="0"/>
    <x v="1527"/>
    <s v="77/2021"/>
    <d v="2021-08-12T00:00:00"/>
    <s v="300101"/>
    <s v="ASMAE FORWARDING EXPRESS"/>
    <n v="3277.44"/>
  </r>
  <r>
    <s v="Facture comptabilisée"/>
    <m/>
    <x v="0"/>
    <x v="1528"/>
    <s v="JIL PACK A*2*"/>
    <d v="2021-08-12T00:00:00"/>
    <s v="300115"/>
    <s v="AUXILIAR CONSERVERA SA"/>
    <n v="145411.20000000001"/>
  </r>
  <r>
    <s v="Facture comptabilisée"/>
    <m/>
    <x v="0"/>
    <x v="1529"/>
    <s v="JIL PACK*1*"/>
    <d v="2021-08-12T00:00:00"/>
    <s v="300115"/>
    <s v="AUXILIAR CONSERVERA SA"/>
    <n v="146957.008"/>
  </r>
  <r>
    <s v="Facture comptabilisée"/>
    <m/>
    <x v="0"/>
    <x v="1530"/>
    <s v="61/2021 JALAL"/>
    <d v="2021-08-12T00:00:00"/>
    <s v="300191"/>
    <s v="JTTL"/>
    <n v="3577.44"/>
  </r>
  <r>
    <s v="Facture comptabilisée"/>
    <m/>
    <x v="0"/>
    <x v="1531"/>
    <s v="2KG5"/>
    <d v="2021-08-13T00:00:00"/>
    <s v="300064"/>
    <s v="SONOCO Métal Packaging Maroc"/>
    <n v="122080"/>
  </r>
  <r>
    <s v="Facture comptabilisée"/>
    <m/>
    <x v="0"/>
    <x v="1532"/>
    <s v="78/2021"/>
    <d v="2021-08-16T00:00:00"/>
    <s v="300043"/>
    <s v="DOUANE"/>
    <n v="1105"/>
  </r>
  <r>
    <s v="Facture comptabilisée"/>
    <m/>
    <x v="0"/>
    <x v="1533"/>
    <s v="78/2021"/>
    <d v="2021-08-16T00:00:00"/>
    <s v="300101"/>
    <s v="ASMAE FORWARDING EXPRESS"/>
    <n v="3433.94"/>
  </r>
  <r>
    <s v="Facture comptabilisée"/>
    <m/>
    <x v="0"/>
    <x v="1534"/>
    <s v="5/1 G4+BIDON"/>
    <d v="2021-08-16T00:00:00"/>
    <s v="300115"/>
    <s v="AUXILIAR CONSERVERA SA"/>
    <n v="94923.476999999999"/>
  </r>
  <r>
    <s v="Facture comptabilisée"/>
    <m/>
    <x v="0"/>
    <x v="1535"/>
    <s v="1KG7"/>
    <d v="2021-08-18T00:00:00"/>
    <s v="300064"/>
    <s v="SONOCO Métal Packaging Maroc"/>
    <n v="119442"/>
  </r>
  <r>
    <s v="Facture comptabilisée"/>
    <m/>
    <x v="0"/>
    <x v="1536"/>
    <s v="1/2 HAUTE OF"/>
    <d v="2021-08-18T00:00:00"/>
    <s v="300064"/>
    <s v="SONOCO Métal Packaging Maroc"/>
    <n v="21486.48"/>
  </r>
  <r>
    <s v="Facture comptabilisée"/>
    <m/>
    <x v="0"/>
    <x v="1537"/>
    <s v="FBN"/>
    <d v="2021-08-18T00:00:00"/>
    <s v="300092"/>
    <s v="METALSCATOLA AFRIQUE"/>
    <n v="52842.18"/>
  </r>
  <r>
    <s v="Facture comptabilisée"/>
    <m/>
    <x v="0"/>
    <x v="1538"/>
    <s v="METAL"/>
    <d v="2021-08-19T00:00:00"/>
    <s v="300092"/>
    <s v="METALSCATOLA AFRIQUE"/>
    <n v="64444.47"/>
  </r>
  <r>
    <s v="Facture comptabilisée"/>
    <m/>
    <x v="0"/>
    <x v="1539"/>
    <s v="TAMIMA RO 80"/>
    <d v="2021-08-20T00:00:00"/>
    <s v="300115"/>
    <s v="AUXILIAR CONSERVERA SA"/>
    <n v="296596.3"/>
  </r>
  <r>
    <s v="Facture comptabilisée"/>
    <m/>
    <x v="0"/>
    <x v="1540"/>
    <s v="81/2021"/>
    <d v="2021-08-23T00:00:00"/>
    <s v="300043"/>
    <s v="DOUANE"/>
    <n v="468"/>
  </r>
  <r>
    <s v="Facture comptabilisée"/>
    <m/>
    <x v="0"/>
    <x v="1541"/>
    <s v="62/2021 JALAL"/>
    <d v="2021-08-23T00:00:00"/>
    <s v="300043"/>
    <s v="DOUANE"/>
    <n v="1157"/>
  </r>
  <r>
    <s v="Facture comptabilisée"/>
    <m/>
    <x v="0"/>
    <x v="1542"/>
    <s v="81/2021"/>
    <d v="2021-08-23T00:00:00"/>
    <s v="300101"/>
    <s v="ASMAE FORWARDING EXPRESS"/>
    <n v="3888.45"/>
  </r>
  <r>
    <s v="Facture comptabilisée"/>
    <m/>
    <x v="0"/>
    <x v="1543"/>
    <s v="PESCADA"/>
    <d v="2021-08-23T00:00:00"/>
    <s v="300115"/>
    <s v="AUXILIAR CONSERVERA SA"/>
    <n v="311965.005"/>
  </r>
  <r>
    <s v="Facture comptabilisée"/>
    <m/>
    <x v="0"/>
    <x v="1544"/>
    <s v="OUSSOUD+86X110"/>
    <d v="2021-08-24T00:00:00"/>
    <s v="300092"/>
    <s v="METALSCATOLA AFRIQUE"/>
    <n v="90016.26"/>
  </r>
  <r>
    <s v="Facture comptabilisée"/>
    <m/>
    <x v="0"/>
    <x v="1545"/>
    <s v="PLASTIQUE"/>
    <d v="2021-08-24T00:00:00"/>
    <s v="300133"/>
    <s v="OP BOX "/>
    <n v="41950.65"/>
  </r>
  <r>
    <s v="Facture comptabilisée"/>
    <m/>
    <x v="0"/>
    <x v="1546"/>
    <s v="PLASTIQUE"/>
    <d v="2021-08-24T00:00:00"/>
    <s v="300133"/>
    <s v="OP BOX "/>
    <n v="54072.4"/>
  </r>
  <r>
    <s v="Facture comptabilisée"/>
    <m/>
    <x v="0"/>
    <x v="1547"/>
    <s v="85/2021"/>
    <d v="2021-08-25T00:00:00"/>
    <s v="300043"/>
    <s v="DOUANE"/>
    <n v="1164"/>
  </r>
  <r>
    <s v="Facture comptabilisée"/>
    <m/>
    <x v="0"/>
    <x v="1548"/>
    <s v="85/2021"/>
    <d v="2021-08-25T00:00:00"/>
    <s v="300101"/>
    <s v="ASMAE FORWARDING EXPRESS"/>
    <n v="3124.54"/>
  </r>
  <r>
    <s v="Facture comptabilisée"/>
    <m/>
    <x v="0"/>
    <x v="1549"/>
    <s v="JIL PACK A"/>
    <d v="2021-08-25T00:00:00"/>
    <s v="300115"/>
    <s v="AUXILIAR CONSERVERA SA"/>
    <n v="265787.35149999999"/>
  </r>
  <r>
    <s v="Facture comptabilisée"/>
    <m/>
    <x v="0"/>
    <x v="1550"/>
    <s v="ALICOMAR"/>
    <d v="2021-08-26T00:00:00"/>
    <s v="300115"/>
    <s v="AUXILIAR CONSERVERA SA"/>
    <n v="90673.502699999997"/>
  </r>
  <r>
    <s v="Facture comptabilisée"/>
    <m/>
    <x v="0"/>
    <x v="1551"/>
    <s v="62/2021 JALAL"/>
    <d v="2021-08-27T00:00:00"/>
    <s v="300191"/>
    <s v="JTTL"/>
    <n v="3278.44"/>
  </r>
  <r>
    <s v="Facture comptabilisée"/>
    <m/>
    <x v="0"/>
    <x v="1552"/>
    <s v="88/2021"/>
    <d v="2021-08-30T00:00:00"/>
    <s v="300043"/>
    <s v="DOUANE"/>
    <n v="455"/>
  </r>
  <r>
    <s v="Facture comptabilisée"/>
    <m/>
    <x v="0"/>
    <x v="1553"/>
    <s v="88/2021"/>
    <d v="2021-08-30T00:00:00"/>
    <s v="300101"/>
    <s v="ASMAE FORWARDING EXPRESS"/>
    <n v="3432.73"/>
  </r>
  <r>
    <s v="Facture comptabilisée"/>
    <m/>
    <x v="0"/>
    <x v="1554"/>
    <s v="JIL PACK"/>
    <d v="2021-08-30T00:00:00"/>
    <s v="300115"/>
    <s v="AUXILIAR CONSERVERA SA"/>
    <n v="281733.56640000001"/>
  </r>
  <r>
    <s v="Facture comptabilisée"/>
    <m/>
    <x v="0"/>
    <x v="1555"/>
    <s v="RO85 NEUTRE"/>
    <d v="2021-08-30T00:00:00"/>
    <s v="300115"/>
    <s v="AUXILIAR CONSERVERA SA"/>
    <n v="293859.14799999999"/>
  </r>
  <r>
    <s v="Facture comptabilisée"/>
    <m/>
    <x v="0"/>
    <x v="1556"/>
    <s v="90/2021"/>
    <d v="2021-08-31T00:00:00"/>
    <s v="300043"/>
    <s v="DOUANE"/>
    <n v="1017"/>
  </r>
  <r>
    <s v="Facture comptabilisée"/>
    <m/>
    <x v="0"/>
    <x v="1557"/>
    <s v="90/2021"/>
    <d v="2021-08-31T00:00:00"/>
    <s v="300101"/>
    <s v="ASMAE FORWARDING EXPRESS"/>
    <n v="3743"/>
  </r>
  <r>
    <s v="Facture comptabilisée"/>
    <m/>
    <x v="0"/>
    <x v="1558"/>
    <s v="JIL PACK A"/>
    <d v="2021-08-31T00:00:00"/>
    <s v="300115"/>
    <s v="AUXILIAR CONSERVERA SA"/>
    <n v="281766.51360000001"/>
  </r>
  <r>
    <s v="Facture comptabilisée"/>
    <m/>
    <x v="0"/>
    <x v="1559"/>
    <s v="86/2021"/>
    <d v="2021-09-01T00:00:00"/>
    <s v="300043"/>
    <s v="DOUANE"/>
    <n v="1110"/>
  </r>
  <r>
    <s v="Facture comptabilisée"/>
    <m/>
    <x v="0"/>
    <x v="1560"/>
    <s v="87/2021"/>
    <d v="2021-09-01T00:00:00"/>
    <s v="300043"/>
    <s v="DOUANE"/>
    <n v="1068"/>
  </r>
  <r>
    <s v="Facture comptabilisée"/>
    <m/>
    <x v="0"/>
    <x v="1561"/>
    <s v="72/2021"/>
    <d v="2021-09-01T00:00:00"/>
    <s v="300101"/>
    <s v="ASMAE FORWARDING EXPRESS"/>
    <n v="2093.02"/>
  </r>
  <r>
    <s v="Facture comptabilisée"/>
    <m/>
    <x v="0"/>
    <x v="1562"/>
    <s v="86/2021"/>
    <d v="2021-09-01T00:00:00"/>
    <s v="300101"/>
    <s v="ASMAE FORWARDING EXPRESS"/>
    <n v="3286.09"/>
  </r>
  <r>
    <s v="Facture comptabilisée"/>
    <m/>
    <x v="0"/>
    <x v="1563"/>
    <s v="87/2021"/>
    <d v="2021-09-01T00:00:00"/>
    <s v="300101"/>
    <s v="ASMAE FORWARDING EXPRESS"/>
    <n v="3132.11"/>
  </r>
  <r>
    <s v="Facture comptabilisée"/>
    <m/>
    <x v="0"/>
    <x v="1564"/>
    <s v="62/2021 JALAL"/>
    <d v="2021-09-01T00:00:00"/>
    <s v="300192"/>
    <s v="CAP-AOUYAL-FRICO TRANSPORT"/>
    <n v="15000"/>
  </r>
  <r>
    <s v="Facture comptabilisée"/>
    <m/>
    <x v="0"/>
    <x v="1565"/>
    <s v="89/2021"/>
    <d v="2021-09-02T00:00:00"/>
    <s v="300043"/>
    <s v="DOUANE"/>
    <n v="1069"/>
  </r>
  <r>
    <s v="Facture comptabilisée"/>
    <m/>
    <x v="0"/>
    <x v="1566"/>
    <s v="89/2021"/>
    <d v="2021-09-02T00:00:00"/>
    <s v="300101"/>
    <s v="ASMAE FORWARDING EXPRESS"/>
    <n v="3129.78"/>
  </r>
  <r>
    <s v="Facture comptabilisée"/>
    <m/>
    <x v="0"/>
    <x v="1567"/>
    <s v="JIL PACK A"/>
    <d v="2021-09-02T00:00:00"/>
    <s v="300115"/>
    <s v="AUXILIAR CONSERVERA SA"/>
    <n v="293859.14799999999"/>
  </r>
  <r>
    <s v="Facture comptabilisée"/>
    <m/>
    <x v="0"/>
    <x v="1568"/>
    <s v="JIL PACK A"/>
    <d v="2021-09-03T00:00:00"/>
    <s v="300115"/>
    <s v="AUXILIAR CONSERVERA SA"/>
    <n v="293859.14799999999"/>
  </r>
  <r>
    <s v="Facture comptabilisée"/>
    <m/>
    <x v="0"/>
    <x v="1569"/>
    <s v="91/2021"/>
    <d v="2021-09-06T00:00:00"/>
    <s v="300043"/>
    <s v="DOUANE"/>
    <n v="1110"/>
  </r>
  <r>
    <s v="Facture comptabilisée"/>
    <m/>
    <x v="0"/>
    <x v="1570"/>
    <s v="91/2021"/>
    <d v="2021-09-06T00:00:00"/>
    <s v="300101"/>
    <s v="ASMAE FORWARDING EXPRESS"/>
    <n v="3287.01"/>
  </r>
  <r>
    <s v="Facture comptabilisée"/>
    <m/>
    <x v="0"/>
    <x v="1571"/>
    <s v="JIL PACK A"/>
    <d v="2021-09-06T00:00:00"/>
    <s v="300115"/>
    <s v="AUXILIAR CONSERVERA SA"/>
    <n v="281452.35359999997"/>
  </r>
  <r>
    <s v="Facture comptabilisée"/>
    <m/>
    <x v="0"/>
    <x v="1572"/>
    <s v="JIL PACK A"/>
    <d v="2021-09-07T00:00:00"/>
    <s v="300115"/>
    <s v="AUXILIAR CONSERVERA SA"/>
    <n v="287333.64"/>
  </r>
  <r>
    <s v="Facture comptabilisée"/>
    <m/>
    <x v="0"/>
    <x v="1573"/>
    <s v="83/2021"/>
    <d v="2021-09-08T00:00:00"/>
    <s v="300043"/>
    <s v="DOUANE"/>
    <n v="1070"/>
  </r>
  <r>
    <s v="Facture comptabilisée"/>
    <m/>
    <x v="0"/>
    <x v="1574"/>
    <s v="82/2021"/>
    <d v="2021-09-08T00:00:00"/>
    <s v="300043"/>
    <s v="DOUANE"/>
    <n v="1110"/>
  </r>
  <r>
    <s v="Facture comptabilisée"/>
    <m/>
    <x v="0"/>
    <x v="1575"/>
    <s v="82/2021"/>
    <d v="2021-09-08T00:00:00"/>
    <s v="300101"/>
    <s v="ASMAE FORWARDING EXPRESS"/>
    <n v="3286.9"/>
  </r>
  <r>
    <s v="Facture comptabilisée"/>
    <m/>
    <x v="0"/>
    <x v="1576"/>
    <s v="83/2021"/>
    <d v="2021-09-08T00:00:00"/>
    <s v="300101"/>
    <s v="ASMAE FORWARDING EXPRESS"/>
    <n v="3102.7"/>
  </r>
  <r>
    <s v="Facture comptabilisée"/>
    <m/>
    <x v="0"/>
    <x v="1577"/>
    <s v="JIL PACK *SILVER*"/>
    <d v="2021-09-08T00:00:00"/>
    <s v="300115"/>
    <s v="AUXILIAR CONSERVERA SA"/>
    <n v="293879.96000000002"/>
  </r>
  <r>
    <s v="Facture comptabilisée"/>
    <m/>
    <x v="0"/>
    <x v="1578"/>
    <s v="84/2021"/>
    <d v="2021-09-09T00:00:00"/>
    <s v="300043"/>
    <s v="DOUANE"/>
    <n v="1089"/>
  </r>
  <r>
    <s v="Facture comptabilisée"/>
    <m/>
    <x v="0"/>
    <x v="1579"/>
    <s v="MUSTANG"/>
    <d v="2021-09-09T00:00:00"/>
    <s v="300092"/>
    <s v="METALSCATOLA AFRIQUE"/>
    <n v="88000"/>
  </r>
  <r>
    <s v="Facture comptabilisée"/>
    <m/>
    <x v="0"/>
    <x v="1580"/>
    <s v="84/2021"/>
    <d v="2021-09-09T00:00:00"/>
    <s v="300101"/>
    <s v="ASMAE FORWARDING EXPRESS"/>
    <n v="3129.7"/>
  </r>
  <r>
    <s v="Facture comptabilisée"/>
    <m/>
    <x v="0"/>
    <x v="1581"/>
    <s v="80/2021"/>
    <d v="2021-09-10T00:00:00"/>
    <s v="300043"/>
    <s v="DOUANE"/>
    <n v="1110"/>
  </r>
  <r>
    <s v="Facture comptabilisée"/>
    <m/>
    <x v="0"/>
    <x v="1582"/>
    <s v="MUSTANG"/>
    <d v="2021-09-10T00:00:00"/>
    <s v="300092"/>
    <s v="METALSCATOLA AFRIQUE"/>
    <n v="64267.5"/>
  </r>
  <r>
    <s v="Facture comptabilisée"/>
    <m/>
    <x v="0"/>
    <x v="1583"/>
    <s v="80/2021"/>
    <d v="2021-09-10T00:00:00"/>
    <s v="300101"/>
    <s v="ASMAE FORWARDING EXPRESS"/>
    <n v="3284.17"/>
  </r>
  <r>
    <s v="Facture comptabilisée"/>
    <m/>
    <x v="0"/>
    <x v="1584"/>
    <s v="JIL PACK"/>
    <d v="2021-09-10T00:00:00"/>
    <s v="300115"/>
    <s v="AUXILIAR CONSERVERA SA"/>
    <n v="86965.164000000004"/>
  </r>
  <r>
    <s v="Facture comptabilisée"/>
    <m/>
    <x v="0"/>
    <x v="1585"/>
    <s v="JIL PACK"/>
    <d v="2021-09-13T00:00:00"/>
    <s v="300115"/>
    <s v="AUXILIAR CONSERVERA SA"/>
    <n v="285249.00799999997"/>
  </r>
  <r>
    <s v="Facture comptabilisée"/>
    <m/>
    <x v="0"/>
    <x v="1586"/>
    <s v="EUROMAR"/>
    <d v="2021-09-13T00:00:00"/>
    <s v="300115"/>
    <s v="AUXILIAR CONSERVERA SA"/>
    <n v="148064.62"/>
  </r>
  <r>
    <s v="Facture comptabilisée"/>
    <m/>
    <x v="0"/>
    <x v="1587"/>
    <s v="79/2021"/>
    <d v="2021-09-14T00:00:00"/>
    <s v="300043"/>
    <s v="DOUANE"/>
    <n v="444"/>
  </r>
  <r>
    <s v="Facture comptabilisée"/>
    <m/>
    <x v="0"/>
    <x v="1588"/>
    <s v="2KG5"/>
    <d v="2021-09-14T00:00:00"/>
    <s v="300064"/>
    <s v="SONOCO Métal Packaging Maroc"/>
    <n v="62778"/>
  </r>
  <r>
    <s v="Facture comptabilisée"/>
    <m/>
    <x v="0"/>
    <x v="1589"/>
    <s v="1KG7"/>
    <d v="2021-09-14T00:00:00"/>
    <s v="300064"/>
    <s v="SONOCO Métal Packaging Maroc"/>
    <n v="67774.8"/>
  </r>
  <r>
    <s v="Facture comptabilisée"/>
    <m/>
    <x v="0"/>
    <x v="1590"/>
    <s v="79/2021"/>
    <d v="2021-09-14T00:00:00"/>
    <s v="300101"/>
    <s v="ASMAE FORWARDING EXPRESS"/>
    <n v="3284.05"/>
  </r>
  <r>
    <s v="Facture comptabilisée"/>
    <m/>
    <x v="0"/>
    <x v="1591"/>
    <s v="1/2 HAUTE"/>
    <d v="2021-09-15T00:00:00"/>
    <s v="300064"/>
    <s v="SONOCO Métal Packaging Maroc"/>
    <n v="79996.800000000003"/>
  </r>
  <r>
    <s v="Facture comptabilisée"/>
    <m/>
    <x v="0"/>
    <x v="1592"/>
    <s v="4/4 G3"/>
    <d v="2021-09-15T00:00:00"/>
    <s v="300080"/>
    <s v="MASSILLY"/>
    <n v="131898.68640000001"/>
  </r>
  <r>
    <s v="Facture comptabilisée"/>
    <m/>
    <x v="0"/>
    <x v="1593"/>
    <s v="JIL PACK*SILVER*"/>
    <d v="2021-09-15T00:00:00"/>
    <s v="300115"/>
    <s v="AUXILIAR CONSERVERA SA"/>
    <n v="281766.51360000001"/>
  </r>
  <r>
    <s v="Facture comptabilisée"/>
    <m/>
    <x v="0"/>
    <x v="1594"/>
    <s v="98/2021"/>
    <d v="2021-09-16T00:00:00"/>
    <s v="300043"/>
    <s v="DOUANE"/>
    <n v="1081"/>
  </r>
  <r>
    <s v="Facture comptabilisée"/>
    <m/>
    <x v="0"/>
    <x v="1595"/>
    <s v="94/2021"/>
    <d v="2021-09-16T00:00:00"/>
    <s v="300043"/>
    <s v="DOUANE"/>
    <n v="640"/>
  </r>
  <r>
    <s v="Facture comptabilisée"/>
    <m/>
    <x v="0"/>
    <x v="1596"/>
    <s v="94/2021"/>
    <d v="2021-09-16T00:00:00"/>
    <s v="300101"/>
    <s v="ASMAE FORWARDING EXPRESS"/>
    <n v="3283.99"/>
  </r>
  <r>
    <s v="Facture comptabilisée"/>
    <m/>
    <x v="0"/>
    <x v="1597"/>
    <s v="98/2021"/>
    <d v="2021-09-16T00:00:00"/>
    <s v="300101"/>
    <s v="ASMAE FORWARDING EXPRESS"/>
    <n v="3130.27"/>
  </r>
  <r>
    <s v="Facture comptabilisée"/>
    <m/>
    <x v="0"/>
    <x v="1598"/>
    <s v="JIL PACK 1+2"/>
    <d v="2021-09-16T00:00:00"/>
    <s v="300115"/>
    <s v="AUXILIAR CONSERVERA SA"/>
    <n v="215852.84049999999"/>
  </r>
  <r>
    <s v="Facture comptabilisée"/>
    <m/>
    <x v="0"/>
    <x v="1599"/>
    <s v="JIL PACK 1+2"/>
    <d v="2021-09-16T00:00:00"/>
    <s v="300115"/>
    <s v="AUXILIAR CONSERVERA SA"/>
    <n v="92324.506999999998"/>
  </r>
  <r>
    <s v="Facture comptabilisée"/>
    <m/>
    <x v="0"/>
    <x v="1600"/>
    <s v="1/2 HAUTE OF"/>
    <d v="2021-09-17T00:00:00"/>
    <s v="300064"/>
    <s v="SONOCO Métal Packaging Maroc"/>
    <n v="79996.800000000003"/>
  </r>
  <r>
    <s v="Facture comptabilisée"/>
    <m/>
    <x v="0"/>
    <x v="1601"/>
    <s v="1KG7"/>
    <d v="2021-09-17T00:00:00"/>
    <s v="300064"/>
    <s v="SONOCO Métal Packaging Maroc"/>
    <n v="28030.799999999999"/>
  </r>
  <r>
    <s v="Facture comptabilisée"/>
    <m/>
    <x v="0"/>
    <x v="1602"/>
    <s v="20L"/>
    <d v="2021-09-17T00:00:00"/>
    <s v="300133"/>
    <s v="OP BOX "/>
    <n v="19777.05"/>
  </r>
  <r>
    <s v="Facture comptabilisée"/>
    <m/>
    <x v="0"/>
    <x v="1603"/>
    <s v="93/2021"/>
    <d v="2021-09-18T00:00:00"/>
    <s v="300043"/>
    <s v="DOUANE"/>
    <n v="1068"/>
  </r>
  <r>
    <s v="Facture comptabilisée"/>
    <m/>
    <x v="0"/>
    <x v="1604"/>
    <s v="95/2021"/>
    <d v="2021-09-20T00:00:00"/>
    <s v="300043"/>
    <s v="DOUANE"/>
    <n v="1155"/>
  </r>
  <r>
    <s v="Facture comptabilisée"/>
    <m/>
    <x v="0"/>
    <x v="1605"/>
    <s v="5KG TRONC"/>
    <d v="2021-09-20T00:00:00"/>
    <s v="300092"/>
    <s v="METALSCATOLA AFRIQUE"/>
    <n v="28820.880000000001"/>
  </r>
  <r>
    <s v="Facture comptabilisée"/>
    <m/>
    <x v="0"/>
    <x v="1606"/>
    <s v="95/2021"/>
    <d v="2021-09-20T00:00:00"/>
    <s v="300101"/>
    <s v="ASMAE FORWARDING EXPRESS"/>
    <n v="3587.59"/>
  </r>
  <r>
    <s v="Facture comptabilisée"/>
    <m/>
    <x v="0"/>
    <x v="1607"/>
    <s v="JIL PACK"/>
    <d v="2021-09-20T00:00:00"/>
    <s v="300115"/>
    <s v="AUXILIAR CONSERVERA SA"/>
    <n v="293859.14799999999"/>
  </r>
  <r>
    <s v="Facture comptabilisée"/>
    <m/>
    <x v="0"/>
    <x v="1608"/>
    <s v="JIL PACK"/>
    <d v="2021-09-20T00:00:00"/>
    <s v="300115"/>
    <s v="AUXILIAR CONSERVERA SA"/>
    <n v="177965.52840000001"/>
  </r>
  <r>
    <s v="Facture comptabilisée"/>
    <m/>
    <x v="0"/>
    <x v="1609"/>
    <s v="JIL PACK A"/>
    <d v="2021-09-20T00:00:00"/>
    <s v="300115"/>
    <s v="AUXILIAR CONSERVERA SA"/>
    <n v="281766.51360000001"/>
  </r>
  <r>
    <s v="Facture comptabilisée"/>
    <m/>
    <x v="0"/>
    <x v="1610"/>
    <s v="JIL PACK A"/>
    <d v="2021-09-20T00:00:00"/>
    <s v="300115"/>
    <s v="AUXILIAR CONSERVERA SA"/>
    <n v="285201.70799999998"/>
  </r>
  <r>
    <s v="Facture comptabilisée"/>
    <m/>
    <x v="0"/>
    <x v="1611"/>
    <s v="18L"/>
    <d v="2021-09-20T00:00:00"/>
    <s v="300133"/>
    <s v="OP BOX "/>
    <n v="43689.599999999999"/>
  </r>
  <r>
    <s v="Facture comptabilisée"/>
    <m/>
    <x v="0"/>
    <x v="1612"/>
    <s v="93/2021"/>
    <d v="2021-09-21T00:00:00"/>
    <s v="300101"/>
    <s v="ASMAE FORWARDING EXPRESS"/>
    <n v="3587.95"/>
  </r>
  <r>
    <s v="Facture comptabilisée"/>
    <m/>
    <x v="0"/>
    <x v="1613"/>
    <s v="99/2021"/>
    <d v="2021-09-22T00:00:00"/>
    <s v="300043"/>
    <s v="DOUANE"/>
    <n v="1065"/>
  </r>
  <r>
    <s v="Facture comptabilisée"/>
    <m/>
    <x v="0"/>
    <x v="1614"/>
    <s v="97/2021"/>
    <d v="2021-09-22T00:00:00"/>
    <s v="300043"/>
    <s v="DOUANE"/>
    <n v="1078"/>
  </r>
  <r>
    <s v="Facture comptabilisée"/>
    <m/>
    <x v="0"/>
    <x v="1615"/>
    <s v="100/2021"/>
    <d v="2021-09-22T00:00:00"/>
    <s v="300043"/>
    <s v="DOUANE"/>
    <n v="734"/>
  </r>
  <r>
    <s v="Facture comptabilisée"/>
    <m/>
    <x v="0"/>
    <x v="1616"/>
    <s v="96/2021"/>
    <d v="2021-09-22T00:00:00"/>
    <s v="300043"/>
    <s v="DOUANE"/>
    <n v="1105"/>
  </r>
  <r>
    <s v="Facture comptabilisée"/>
    <m/>
    <x v="0"/>
    <x v="1617"/>
    <s v="96/2021"/>
    <d v="2021-09-22T00:00:00"/>
    <s v="300101"/>
    <s v="ASMAE FORWARDING EXPRESS"/>
    <n v="3277.37"/>
  </r>
  <r>
    <s v="Facture comptabilisée"/>
    <m/>
    <x v="0"/>
    <x v="1618"/>
    <s v="97/2021"/>
    <d v="2021-09-22T00:00:00"/>
    <s v="300101"/>
    <s v="ASMAE FORWARDING EXPRESS"/>
    <n v="3277.37"/>
  </r>
  <r>
    <s v="Facture comptabilisée"/>
    <m/>
    <x v="0"/>
    <x v="1619"/>
    <s v="99/2021"/>
    <d v="2021-09-22T00:00:00"/>
    <s v="300101"/>
    <s v="ASMAE FORWARDING EXPRESS"/>
    <n v="3277.37"/>
  </r>
  <r>
    <s v="Facture comptabilisée"/>
    <m/>
    <x v="0"/>
    <x v="1620"/>
    <s v="100/2021"/>
    <d v="2021-09-22T00:00:00"/>
    <s v="300101"/>
    <s v="ASMAE FORWARDING EXPRESS"/>
    <n v="3277.37"/>
  </r>
  <r>
    <s v="Facture comptabilisée"/>
    <m/>
    <x v="0"/>
    <x v="1621"/>
    <s v="280ML"/>
    <d v="2021-09-23T00:00:00"/>
    <s v="300133"/>
    <s v="OP BOX "/>
    <n v="23400"/>
  </r>
  <r>
    <s v="Facture comptabilisée"/>
    <m/>
    <x v="0"/>
    <x v="1622"/>
    <s v="91/2021"/>
    <d v="2021-09-27T00:00:00"/>
    <s v="300101"/>
    <s v="ASMAE FORWARDING EXPRESS"/>
    <n v="154.21"/>
  </r>
  <r>
    <s v="Facture comptabilisée"/>
    <m/>
    <x v="0"/>
    <x v="1623"/>
    <s v="JIL PACK A"/>
    <d v="2021-09-27T00:00:00"/>
    <s v="300115"/>
    <s v="AUXILIAR CONSERVERA SA"/>
    <n v="278235.815"/>
  </r>
  <r>
    <s v="Facture comptabilisée"/>
    <m/>
    <x v="0"/>
    <x v="1624"/>
    <s v="5.5 AM"/>
    <d v="2021-09-27T00:00:00"/>
    <s v="300133"/>
    <s v="OP BOX "/>
    <n v="12780"/>
  </r>
  <r>
    <s v="Facture comptabilisée"/>
    <m/>
    <x v="0"/>
    <x v="1625"/>
    <s v="AVC21-010033"/>
    <d v="2021-09-28T00:00:00"/>
    <s v="300064"/>
    <s v="SONOCO Métal Packaging Maroc"/>
    <n v="7800"/>
  </r>
  <r>
    <s v="Facture comptabilisée"/>
    <m/>
    <x v="0"/>
    <x v="1626"/>
    <s v="1KG7"/>
    <d v="2021-09-28T00:00:00"/>
    <s v="300064"/>
    <s v="SONOCO Métal Packaging Maroc"/>
    <n v="6952"/>
  </r>
  <r>
    <s v="Facture comptabilisée"/>
    <m/>
    <x v="0"/>
    <x v="1627"/>
    <s v="JIL PACK"/>
    <d v="2021-09-28T00:00:00"/>
    <s v="300115"/>
    <s v="AUXILIAR CONSERVERA SA"/>
    <n v="226478.85920000001"/>
  </r>
  <r>
    <s v="Facture comptabilisée"/>
    <m/>
    <x v="0"/>
    <x v="1628"/>
    <s v="63/2021 JALAL"/>
    <d v="2021-09-29T00:00:00"/>
    <s v="300043"/>
    <s v="DOUANE"/>
    <n v="1096"/>
  </r>
  <r>
    <s v="Facture comptabilisée"/>
    <m/>
    <x v="0"/>
    <x v="1629"/>
    <s v="JIL PACK A"/>
    <d v="2021-09-29T00:00:00"/>
    <s v="300115"/>
    <s v="AUXILIAR CONSERVERA SA"/>
    <n v="270605.28000000003"/>
  </r>
  <r>
    <s v="Facture comptabilisée"/>
    <m/>
    <x v="0"/>
    <x v="1630"/>
    <s v="AVC21-01109"/>
    <d v="2021-09-30T00:00:00"/>
    <s v="300064"/>
    <s v="SONOCO Métal Packaging Maroc"/>
    <n v="29610"/>
  </r>
  <r>
    <s v="Facture comptabilisée"/>
    <m/>
    <x v="0"/>
    <x v="1631"/>
    <s v="AVO210023"/>
    <d v="2021-09-30T00:00:00"/>
    <s v="300092"/>
    <s v="METALSCATOLA AFRIQUE"/>
    <n v="2779.32"/>
  </r>
  <r>
    <s v="Facture comptabilisée"/>
    <m/>
    <x v="0"/>
    <x v="1632"/>
    <s v="VMM"/>
    <d v="2021-09-30T00:00:00"/>
    <s v="300115"/>
    <s v="AUXILIAR CONSERVERA SA"/>
    <n v="294859.75199999998"/>
  </r>
  <r>
    <s v="Facture comptabilisée"/>
    <m/>
    <x v="0"/>
    <x v="1633"/>
    <s v="67/2021 JALAL"/>
    <d v="2021-09-30T00:00:00"/>
    <s v="300235"/>
    <s v="TRO"/>
    <n v="1502"/>
  </r>
  <r>
    <s v="Facture comptabilisée"/>
    <m/>
    <x v="0"/>
    <x v="1634"/>
    <s v="64/2021 JALAL"/>
    <d v="2021-10-01T00:00:00"/>
    <s v="300043"/>
    <s v="DOUANE"/>
    <n v="1066"/>
  </r>
  <r>
    <s v="Facture comptabilisée"/>
    <m/>
    <x v="0"/>
    <x v="1635"/>
    <s v="92/2021"/>
    <d v="2021-10-01T00:00:00"/>
    <s v="300043"/>
    <s v="DOUANE"/>
    <n v="886"/>
  </r>
  <r>
    <s v="Facture comptabilisée"/>
    <m/>
    <x v="0"/>
    <x v="1636"/>
    <s v="2KG5"/>
    <d v="2021-10-01T00:00:00"/>
    <s v="300064"/>
    <s v="SONOCO Métal Packaging Maroc"/>
    <n v="6952"/>
  </r>
  <r>
    <s v="Facture comptabilisée"/>
    <m/>
    <x v="0"/>
    <x v="1637"/>
    <s v="92/2021"/>
    <d v="2021-10-01T00:00:00"/>
    <s v="300101"/>
    <s v="ASMAE FORWARDING EXPRESS"/>
    <n v="3112.96"/>
  </r>
  <r>
    <s v="Facture comptabilisée"/>
    <m/>
    <x v="0"/>
    <x v="1638"/>
    <s v="VMM"/>
    <d v="2021-10-01T00:00:00"/>
    <s v="300115"/>
    <s v="AUXILIAR CONSERVERA SA"/>
    <n v="321435.44400000002"/>
  </r>
  <r>
    <s v="Facture comptabilisée"/>
    <m/>
    <x v="0"/>
    <x v="1639"/>
    <s v="20L"/>
    <d v="2021-10-02T00:00:00"/>
    <s v="300133"/>
    <s v="OP BOX "/>
    <n v="27561.599999999999"/>
  </r>
  <r>
    <s v="Facture comptabilisée"/>
    <m/>
    <x v="0"/>
    <x v="1640"/>
    <s v="JIL PACK"/>
    <d v="2021-10-04T00:00:00"/>
    <s v="300115"/>
    <s v="AUXILIAR CONSERVERA SA"/>
    <n v="245985.96"/>
  </r>
  <r>
    <s v="Facture comptabilisée"/>
    <m/>
    <x v="0"/>
    <x v="1641"/>
    <s v="65/2021 JALAL"/>
    <d v="2021-10-04T00:00:00"/>
    <s v="300191"/>
    <s v="JTTL"/>
    <n v="1143"/>
  </r>
  <r>
    <s v="Facture comptabilisée"/>
    <m/>
    <x v="0"/>
    <x v="1642"/>
    <s v="63/2021 JALAL"/>
    <d v="2021-10-04T00:00:00"/>
    <s v="300192"/>
    <s v="CAP-AOUYAL-FRICO TRANSPORT"/>
    <n v="15000"/>
  </r>
  <r>
    <s v="Facture comptabilisée"/>
    <m/>
    <x v="0"/>
    <x v="1643"/>
    <s v="64/2021 JALAL"/>
    <d v="2021-10-04T00:00:00"/>
    <s v="300192"/>
    <s v="CAP-AOUYAL-FRICO TRANSPORT"/>
    <n v="15000"/>
  </r>
  <r>
    <s v="Facture comptabilisée"/>
    <m/>
    <x v="0"/>
    <x v="1644"/>
    <s v="65/2021 JALAL"/>
    <d v="2021-10-04T00:00:00"/>
    <s v="300192"/>
    <s v="CAP-AOUYAL-FRICO TRANSPORT"/>
    <n v="14000"/>
  </r>
  <r>
    <s v="Facture comptabilisée"/>
    <m/>
    <x v="0"/>
    <x v="1645"/>
    <s v="103/2021"/>
    <d v="2021-10-06T00:00:00"/>
    <s v="300043"/>
    <s v="DOUANE"/>
    <n v="1189"/>
  </r>
  <r>
    <s v="Facture comptabilisée"/>
    <m/>
    <x v="0"/>
    <x v="1646"/>
    <s v="66/2021 JALAL"/>
    <d v="2021-10-06T00:00:00"/>
    <s v="300043"/>
    <s v="DOUANE"/>
    <n v="989"/>
  </r>
  <r>
    <s v="Facture comptabilisée"/>
    <m/>
    <x v="0"/>
    <x v="1647"/>
    <s v="103/2021"/>
    <d v="2021-10-06T00:00:00"/>
    <s v="300101"/>
    <s v="ASMAE FORWARDING EXPRESS"/>
    <n v="3268.27"/>
  </r>
  <r>
    <s v="Facture comptabilisée"/>
    <m/>
    <x v="0"/>
    <x v="1648"/>
    <s v="2KG5"/>
    <d v="2021-10-07T00:00:00"/>
    <s v="300064"/>
    <s v="SONOCO Métal Packaging Maroc"/>
    <n v="34970"/>
  </r>
  <r>
    <s v="Facture comptabilisée"/>
    <m/>
    <x v="0"/>
    <x v="1649"/>
    <s v="1KG7"/>
    <d v="2021-10-07T00:00:00"/>
    <s v="300064"/>
    <s v="SONOCO Métal Packaging Maroc"/>
    <n v="11923.2"/>
  </r>
  <r>
    <s v="Facture comptabilisée"/>
    <m/>
    <x v="0"/>
    <x v="1650"/>
    <s v="63/2021 JALAL"/>
    <d v="2021-10-07T00:00:00"/>
    <s v="300191"/>
    <s v="JTTL"/>
    <n v="3123.89"/>
  </r>
  <r>
    <s v="Facture comptabilisée"/>
    <m/>
    <x v="0"/>
    <x v="1651"/>
    <s v="64/2021 JALAL"/>
    <d v="2021-10-07T00:00:00"/>
    <s v="300191"/>
    <s v="JTTL"/>
    <n v="3116.46"/>
  </r>
  <r>
    <s v="Facture comptabilisée"/>
    <m/>
    <x v="0"/>
    <x v="1652"/>
    <s v="10135108"/>
    <d v="2021-10-11T00:00:00"/>
    <s v="300115"/>
    <s v="AUXILIAR CONSERVERA SA"/>
    <n v="314123.87160000001"/>
  </r>
  <r>
    <s v="Facture comptabilisée"/>
    <m/>
    <x v="0"/>
    <x v="1653"/>
    <s v="10135109"/>
    <d v="2021-10-11T00:00:00"/>
    <s v="300115"/>
    <s v="AUXILIAR CONSERVERA SA"/>
    <n v="314123.87160000001"/>
  </r>
  <r>
    <s v="Facture comptabilisée"/>
    <m/>
    <x v="0"/>
    <x v="1654"/>
    <s v="65/2021 JALAL"/>
    <d v="2021-10-13T00:00:00"/>
    <s v="300191"/>
    <s v="JTTL"/>
    <n v="3270.63"/>
  </r>
  <r>
    <s v="Facture comptabilisée"/>
    <m/>
    <x v="0"/>
    <x v="1655"/>
    <s v="66/2021 JALAL"/>
    <d v="2021-10-13T00:00:00"/>
    <s v="300191"/>
    <s v="JTTL"/>
    <n v="3118.85"/>
  </r>
  <r>
    <s v="Facture comptabilisée"/>
    <m/>
    <x v="0"/>
    <x v="1656"/>
    <s v="102/2021 "/>
    <d v="2021-10-14T00:00:00"/>
    <s v="300043"/>
    <s v="DOUANE"/>
    <n v="1165"/>
  </r>
  <r>
    <s v="Facture comptabilisée"/>
    <m/>
    <x v="0"/>
    <x v="1657"/>
    <s v="67/2021 JALAL"/>
    <d v="2021-10-14T00:00:00"/>
    <s v="300043"/>
    <s v="DOUANE"/>
    <n v="2110"/>
  </r>
  <r>
    <s v="Facture comptabilisée"/>
    <m/>
    <x v="0"/>
    <x v="1658"/>
    <s v="102/2021"/>
    <d v="2021-10-14T00:00:00"/>
    <s v="300101"/>
    <s v="ASMAE FORWARDING EXPRESS"/>
    <n v="3111.8"/>
  </r>
  <r>
    <s v="Facture comptabilisée"/>
    <m/>
    <x v="0"/>
    <x v="1659"/>
    <s v="SILVER FOOD"/>
    <d v="2021-10-14T00:00:00"/>
    <s v="300115"/>
    <s v="AUXILIAR CONSERVERA SA"/>
    <n v="314438.03159999999"/>
  </r>
  <r>
    <s v="Facture comptabilisée"/>
    <m/>
    <x v="0"/>
    <x v="1660"/>
    <s v="67/2021 JALAL"/>
    <d v="2021-10-14T00:00:00"/>
    <s v="300191"/>
    <s v="JTTL"/>
    <n v="1780.3"/>
  </r>
  <r>
    <s v="Facture comptabilisée"/>
    <m/>
    <x v="0"/>
    <x v="1661"/>
    <s v="101/2021"/>
    <d v="2021-10-15T00:00:00"/>
    <s v="300043"/>
    <s v="DOUANE"/>
    <n v="1165"/>
  </r>
  <r>
    <s v="Facture comptabilisée"/>
    <m/>
    <x v="0"/>
    <x v="1662"/>
    <s v="101/2021"/>
    <d v="2021-10-15T00:00:00"/>
    <s v="300101"/>
    <s v="ASMAE FORWARDING EXPRESS"/>
    <n v="3116.03"/>
  </r>
  <r>
    <s v="Facture comptabilisée"/>
    <m/>
    <x v="0"/>
    <x v="1663"/>
    <s v="JIL PACK*MEAT COR"/>
    <d v="2021-10-15T00:00:00"/>
    <s v="300115"/>
    <s v="AUXILIAR CONSERVERA SA"/>
    <n v="287698.35600000003"/>
  </r>
  <r>
    <s v="Facture comptabilisée"/>
    <m/>
    <x v="0"/>
    <x v="1664"/>
    <s v="1200 TRSP"/>
    <d v="2021-10-15T00:00:00"/>
    <s v="300133"/>
    <s v="OP BOX "/>
    <n v="8162.4"/>
  </r>
  <r>
    <s v="Facture comptabilisée"/>
    <m/>
    <x v="0"/>
    <x v="1665"/>
    <s v="3800+4600"/>
    <d v="2021-10-15T00:00:00"/>
    <s v="300133"/>
    <s v="OP BOX "/>
    <n v="58608"/>
  </r>
  <r>
    <s v="Facture comptabilisée"/>
    <m/>
    <x v="0"/>
    <x v="1666"/>
    <s v="10l+5.5l"/>
    <d v="2021-10-15T00:00:00"/>
    <s v="300133"/>
    <s v="OP BOX "/>
    <n v="49545"/>
  </r>
  <r>
    <s v="Facture comptabilisée"/>
    <m/>
    <x v="0"/>
    <x v="1667"/>
    <s v="112/2021"/>
    <d v="2021-10-18T00:00:00"/>
    <s v="300043"/>
    <s v="DOUANE"/>
    <n v="1168"/>
  </r>
  <r>
    <s v="Facture comptabilisée"/>
    <m/>
    <x v="0"/>
    <x v="1668"/>
    <s v="112/2021"/>
    <d v="2021-10-18T00:00:00"/>
    <s v="300101"/>
    <s v="ASMAE FORWARDING EXPRESS"/>
    <n v="3726.74"/>
  </r>
  <r>
    <s v="Facture comptabilisée"/>
    <m/>
    <x v="0"/>
    <x v="1669"/>
    <s v="SILVER FOOD"/>
    <d v="2021-10-18T00:00:00"/>
    <s v="300115"/>
    <s v="AUXILIAR CONSERVERA SA"/>
    <n v="285201.70799999998"/>
  </r>
  <r>
    <s v="Facture comptabilisée"/>
    <m/>
    <x v="0"/>
    <x v="1670"/>
    <s v="JIL PACK A"/>
    <d v="2021-10-18T00:00:00"/>
    <s v="300115"/>
    <s v="AUXILIAR CONSERVERA SA"/>
    <n v="312019.84000000003"/>
  </r>
  <r>
    <s v="Facture comptabilisée"/>
    <m/>
    <x v="0"/>
    <x v="1671"/>
    <s v="JIL PACK"/>
    <d v="2021-10-18T00:00:00"/>
    <s v="300115"/>
    <s v="AUXILIAR CONSERVERA SA"/>
    <n v="319334.04800000001"/>
  </r>
  <r>
    <s v="Facture comptabilisée"/>
    <m/>
    <x v="0"/>
    <x v="1672"/>
    <s v="JIL PACK A"/>
    <d v="2021-10-18T00:00:00"/>
    <s v="300115"/>
    <s v="AUXILIAR CONSERVERA SA"/>
    <n v="293859.14799999999"/>
  </r>
  <r>
    <s v="Facture comptabilisée"/>
    <m/>
    <x v="0"/>
    <x v="1673"/>
    <s v="JIL PACK A"/>
    <d v="2021-10-20T00:00:00"/>
    <s v="300115"/>
    <s v="AUXILIAR CONSERVERA SA"/>
    <n v="177965.52840000001"/>
  </r>
  <r>
    <s v="Facture comptabilisée"/>
    <m/>
    <x v="0"/>
    <x v="1674"/>
    <s v="JIL PACK A"/>
    <d v="2021-10-20T00:00:00"/>
    <s v="300115"/>
    <s v="AUXILIAR CONSERVERA SA"/>
    <n v="177840.07560000001"/>
  </r>
  <r>
    <s v="Facture comptabilisée"/>
    <m/>
    <x v="0"/>
    <x v="1675"/>
    <s v="PLASTIQUE"/>
    <d v="2021-10-20T00:00:00"/>
    <s v="300133"/>
    <s v="OP BOX "/>
    <n v="37903.199999999997"/>
  </r>
  <r>
    <s v="Facture comptabilisée"/>
    <m/>
    <x v="0"/>
    <x v="1676"/>
    <s v="1200/1800"/>
    <d v="2021-10-20T00:00:00"/>
    <s v="300133"/>
    <s v="OP BOX "/>
    <n v="23400"/>
  </r>
  <r>
    <s v="Facture comptabilisée"/>
    <m/>
    <x v="0"/>
    <x v="1677"/>
    <s v="600ML"/>
    <d v="2021-10-20T00:00:00"/>
    <s v="300133"/>
    <s v="OP BOX "/>
    <n v="31200"/>
  </r>
  <r>
    <s v="Facture comptabilisée"/>
    <m/>
    <x v="0"/>
    <x v="1678"/>
    <s v="111/2021"/>
    <d v="2021-10-21T00:00:00"/>
    <s v="300043"/>
    <s v="DOUANE"/>
    <n v="1160"/>
  </r>
  <r>
    <s v="Facture comptabilisée"/>
    <m/>
    <x v="0"/>
    <x v="1679"/>
    <s v="2K5"/>
    <d v="2021-10-21T00:00:00"/>
    <s v="300064"/>
    <s v="SONOCO Métal Packaging Maroc"/>
    <n v="24332"/>
  </r>
  <r>
    <s v="Facture comptabilisée"/>
    <m/>
    <x v="0"/>
    <x v="1680"/>
    <s v="1KG7"/>
    <d v="2021-10-21T00:00:00"/>
    <s v="300064"/>
    <s v="SONOCO Métal Packaging Maroc"/>
    <n v="32005.200000000001"/>
  </r>
  <r>
    <s v="Facture comptabilisée"/>
    <m/>
    <x v="0"/>
    <x v="1681"/>
    <s v="111/2021"/>
    <d v="2021-10-21T00:00:00"/>
    <s v="300101"/>
    <s v="ASMAE FORWARDING EXPRESS"/>
    <n v="3420.66"/>
  </r>
  <r>
    <s v="Facture comptabilisée"/>
    <m/>
    <x v="0"/>
    <x v="1682"/>
    <s v="JIL PACK A"/>
    <d v="2021-10-21T00:00:00"/>
    <s v="300115"/>
    <s v="AUXILIAR CONSERVERA SA"/>
    <n v="246899.84"/>
  </r>
  <r>
    <s v="Facture comptabilisée"/>
    <m/>
    <x v="0"/>
    <x v="1683"/>
    <s v="JIL PACK A"/>
    <d v="2021-10-21T00:00:00"/>
    <s v="300115"/>
    <s v="AUXILIAR CONSERVERA SA"/>
    <n v="246899.84"/>
  </r>
  <r>
    <s v="Facture comptabilisée"/>
    <m/>
    <x v="0"/>
    <x v="1684"/>
    <s v="JIL PACK"/>
    <d v="2021-10-21T00:00:00"/>
    <s v="300115"/>
    <s v="AUXILIAR CONSERVERA SA"/>
    <n v="268257.6336"/>
  </r>
  <r>
    <s v="Facture comptabilisée"/>
    <m/>
    <x v="0"/>
    <x v="1685"/>
    <s v="JIL PACK +LOGI"/>
    <d v="2021-10-21T00:00:00"/>
    <s v="300115"/>
    <s v="AUXILIAR CONSERVERA SA"/>
    <n v="260515.64"/>
  </r>
  <r>
    <s v="Facture comptabilisée"/>
    <m/>
    <x v="0"/>
    <x v="1686"/>
    <s v="113/2021"/>
    <d v="2021-10-22T00:00:00"/>
    <s v="300043"/>
    <s v="DOUANE"/>
    <n v="1082"/>
  </r>
  <r>
    <s v="Facture comptabilisée"/>
    <m/>
    <x v="0"/>
    <x v="1687"/>
    <s v="114/2021"/>
    <d v="2021-10-22T00:00:00"/>
    <s v="300043"/>
    <s v="DOUANE"/>
    <n v="1104"/>
  </r>
  <r>
    <s v="Facture comptabilisée"/>
    <m/>
    <x v="0"/>
    <x v="1688"/>
    <s v="68/2021 JALAL"/>
    <d v="2021-10-22T00:00:00"/>
    <s v="300043"/>
    <s v="DOUANE"/>
    <n v="996"/>
  </r>
  <r>
    <s v="Facture comptabilisée"/>
    <m/>
    <x v="0"/>
    <x v="1689"/>
    <s v="70/2021 JALAL"/>
    <d v="2021-10-22T00:00:00"/>
    <s v="300043"/>
    <s v="DOUANE"/>
    <n v="996"/>
  </r>
  <r>
    <s v="Facture comptabilisée"/>
    <m/>
    <x v="0"/>
    <x v="1690"/>
    <s v="113/2021"/>
    <d v="2021-10-22T00:00:00"/>
    <s v="300101"/>
    <s v="ASMAE FORWARDING EXPRESS"/>
    <n v="3573.1"/>
  </r>
  <r>
    <s v="Facture comptabilisée"/>
    <m/>
    <x v="0"/>
    <x v="1691"/>
    <s v="114/2021"/>
    <d v="2021-10-22T00:00:00"/>
    <s v="300101"/>
    <s v="ASMAE FORWARDING EXPRESS"/>
    <n v="3272.92"/>
  </r>
  <r>
    <s v="Facture comptabilisée"/>
    <m/>
    <x v="0"/>
    <x v="1692"/>
    <s v="JIL PACK "/>
    <d v="2021-10-22T00:00:00"/>
    <s v="300115"/>
    <s v="AUXILIAR CONSERVERA SA"/>
    <n v="270565.54800000001"/>
  </r>
  <r>
    <s v="Facture comptabilisée"/>
    <m/>
    <x v="0"/>
    <x v="1693"/>
    <s v="VMM"/>
    <d v="2021-10-22T00:00:00"/>
    <s v="300115"/>
    <s v="AUXILIAR CONSERVERA SA"/>
    <n v="311965.005"/>
  </r>
  <r>
    <s v="Facture comptabilisée"/>
    <m/>
    <x v="0"/>
    <x v="1694"/>
    <s v="69/2021 JALAL"/>
    <d v="2021-10-25T00:00:00"/>
    <s v="300043"/>
    <s v="DOUANE"/>
    <n v="1069"/>
  </r>
  <r>
    <s v="Facture comptabilisée"/>
    <m/>
    <x v="0"/>
    <x v="1695"/>
    <s v="115/2021"/>
    <d v="2021-10-25T00:00:00"/>
    <s v="300043"/>
    <s v="DOUANE"/>
    <n v="1023"/>
  </r>
  <r>
    <s v="Facture comptabilisée"/>
    <m/>
    <x v="0"/>
    <x v="1696"/>
    <s v="109/2021"/>
    <d v="2021-10-25T00:00:00"/>
    <s v="300043"/>
    <s v="DOUANE"/>
    <n v="997"/>
  </r>
  <r>
    <s v="Facture comptabilisée"/>
    <m/>
    <x v="0"/>
    <x v="1697"/>
    <s v="110/2021 "/>
    <d v="2021-10-25T00:00:00"/>
    <s v="300043"/>
    <s v="DOUANE"/>
    <n v="1182"/>
  </r>
  <r>
    <s v="Facture comptabilisée"/>
    <m/>
    <x v="0"/>
    <x v="1698"/>
    <s v="107/2021"/>
    <d v="2021-10-25T00:00:00"/>
    <s v="300101"/>
    <s v="ASMAE FORWARDING EXPRESS"/>
    <n v="3582.83"/>
  </r>
  <r>
    <s v="Facture comptabilisée"/>
    <m/>
    <x v="0"/>
    <x v="1699"/>
    <s v="108/2021"/>
    <d v="2021-10-25T00:00:00"/>
    <s v="300101"/>
    <s v="ASMAE FORWARDING EXPRESS"/>
    <n v="3582.96"/>
  </r>
  <r>
    <s v="Facture comptabilisée"/>
    <m/>
    <x v="0"/>
    <x v="1700"/>
    <s v="109/2021"/>
    <d v="2021-10-25T00:00:00"/>
    <s v="300101"/>
    <s v="ASMAE FORWARDING EXPRESS"/>
    <n v="3582"/>
  </r>
  <r>
    <s v="Facture comptabilisée"/>
    <m/>
    <x v="0"/>
    <x v="1701"/>
    <s v="110/2021"/>
    <d v="2021-10-25T00:00:00"/>
    <s v="300101"/>
    <s v="ASMAE FORWARDING EXPRESS"/>
    <n v="3889.93"/>
  </r>
  <r>
    <s v="Facture comptabilisée"/>
    <m/>
    <x v="0"/>
    <x v="1702"/>
    <s v="115/2021"/>
    <d v="2021-10-25T00:00:00"/>
    <s v="300101"/>
    <s v="ASMAE FORWARDING EXPRESS"/>
    <n v="3582.96"/>
  </r>
  <r>
    <s v="Facture comptabilisée"/>
    <m/>
    <x v="0"/>
    <x v="1703"/>
    <s v="JIL PACK A"/>
    <d v="2021-10-25T00:00:00"/>
    <s v="300115"/>
    <s v="AUXILIAR CONSERVERA SA"/>
    <n v="285201.70799999998"/>
  </r>
  <r>
    <s v="Facture comptabilisée"/>
    <m/>
    <x v="0"/>
    <x v="1704"/>
    <s v="107/2021"/>
    <d v="2021-10-26T00:00:00"/>
    <s v="300043"/>
    <s v="DOUANE"/>
    <n v="731"/>
  </r>
  <r>
    <s v="Facture comptabilisée"/>
    <m/>
    <x v="0"/>
    <x v="1705"/>
    <s v="108/2021"/>
    <d v="2021-10-26T00:00:00"/>
    <s v="300043"/>
    <s v="DOUANE"/>
    <n v="734"/>
  </r>
  <r>
    <s v="Facture comptabilisée"/>
    <m/>
    <x v="0"/>
    <x v="1706"/>
    <s v="1KG7"/>
    <d v="2021-10-26T00:00:00"/>
    <s v="300064"/>
    <s v="SONOCO Métal Packaging Maroc"/>
    <n v="15897.6"/>
  </r>
  <r>
    <s v="Facture comptabilisée"/>
    <m/>
    <x v="0"/>
    <x v="1707"/>
    <s v="104/2021"/>
    <d v="2021-10-27T00:00:00"/>
    <s v="300043"/>
    <s v="DOUANE"/>
    <n v="1074"/>
  </r>
  <r>
    <s v="Facture comptabilisée"/>
    <m/>
    <x v="0"/>
    <x v="1708"/>
    <s v="106/2021"/>
    <d v="2021-10-27T00:00:00"/>
    <s v="300043"/>
    <s v="DOUANE"/>
    <n v="1164"/>
  </r>
  <r>
    <s v="Facture comptabilisée"/>
    <m/>
    <x v="0"/>
    <x v="1709"/>
    <s v="104/2021"/>
    <d v="2021-10-27T00:00:00"/>
    <s v="300101"/>
    <s v="ASMAE FORWARDING EXPRESS"/>
    <n v="4348.75"/>
  </r>
  <r>
    <s v="Facture comptabilisée"/>
    <m/>
    <x v="0"/>
    <x v="1710"/>
    <s v="105/2021"/>
    <d v="2021-10-27T00:00:00"/>
    <s v="300101"/>
    <s v="ASMAE FORWARDING EXPRESS"/>
    <n v="3274.97"/>
  </r>
  <r>
    <s v="Facture comptabilisée"/>
    <m/>
    <x v="0"/>
    <x v="1711"/>
    <s v="106/2021"/>
    <d v="2021-10-27T00:00:00"/>
    <s v="300101"/>
    <s v="ASMAE FORWARDING EXPRESS"/>
    <n v="3274.97"/>
  </r>
  <r>
    <s v="Facture comptabilisée"/>
    <m/>
    <x v="0"/>
    <x v="1712"/>
    <s v="68/2021 JALAL"/>
    <d v="2021-10-27T00:00:00"/>
    <s v="300191"/>
    <s v="JTTL"/>
    <n v="3122.96"/>
  </r>
  <r>
    <s v="Facture comptabilisée"/>
    <m/>
    <x v="0"/>
    <x v="1713"/>
    <s v="69/2021 JALAL"/>
    <d v="2021-10-27T00:00:00"/>
    <s v="300191"/>
    <s v="JTTL"/>
    <n v="3279.6"/>
  </r>
  <r>
    <s v="Facture comptabilisée"/>
    <m/>
    <x v="0"/>
    <x v="1714"/>
    <s v="70/2021 JALAL"/>
    <d v="2021-10-27T00:00:00"/>
    <s v="300191"/>
    <s v="JTTL"/>
    <n v="3122.96"/>
  </r>
  <r>
    <s v="Facture comptabilisée"/>
    <m/>
    <x v="0"/>
    <x v="1715"/>
    <s v="105/2021"/>
    <d v="2021-10-28T00:00:00"/>
    <s v="300043"/>
    <s v="DOUANE"/>
    <n v="1078"/>
  </r>
  <r>
    <s v="Facture comptabilisée"/>
    <m/>
    <x v="0"/>
    <x v="1716"/>
    <s v="1KG7"/>
    <d v="2021-10-28T00:00:00"/>
    <s v="300064"/>
    <s v="SONOCO Métal Packaging Maroc"/>
    <n v="39954"/>
  </r>
  <r>
    <s v="Facture comptabilisée"/>
    <m/>
    <x v="0"/>
    <x v="1717"/>
    <s v="ALICOMAR"/>
    <d v="2021-10-28T00:00:00"/>
    <s v="300115"/>
    <s v="AUXILIAR CONSERVERA SA"/>
    <n v="88993.555200000003"/>
  </r>
  <r>
    <s v="Facture comptabilisée"/>
    <m/>
    <x v="0"/>
    <x v="1718"/>
    <s v="66/2021 JALAL"/>
    <d v="2021-11-01T00:00:00"/>
    <s v="300192"/>
    <s v="CAP-AOUYAL-FRICO TRANSPORT"/>
    <n v="14000"/>
  </r>
  <r>
    <s v="Facture comptabilisée"/>
    <m/>
    <x v="0"/>
    <x v="1719"/>
    <s v="68/2021 JALAL"/>
    <d v="2021-11-01T00:00:00"/>
    <s v="300192"/>
    <s v="CAP-AOUYAL-FRICO TRANSPORT"/>
    <n v="15000"/>
  </r>
  <r>
    <s v="Facture comptabilisée"/>
    <m/>
    <x v="0"/>
    <x v="1720"/>
    <s v="70/2021 JALAL"/>
    <d v="2021-11-01T00:00:00"/>
    <s v="300192"/>
    <s v="CAP-AOUYAL-FRICO TRANSPORT"/>
    <n v="15000"/>
  </r>
  <r>
    <s v="Facture comptabilisée"/>
    <m/>
    <x v="0"/>
    <x v="1721"/>
    <s v="69/2021 JALAL"/>
    <d v="2021-11-01T00:00:00"/>
    <s v="300192"/>
    <s v="CAP-AOUYAL-FRICO TRANSPORT"/>
    <n v="14000"/>
  </r>
  <r>
    <s v="Facture comptabilisée"/>
    <m/>
    <x v="0"/>
    <x v="1722"/>
    <s v="120/2021"/>
    <d v="2021-11-02T00:00:00"/>
    <s v="300043"/>
    <s v="DOUANE"/>
    <n v="448"/>
  </r>
  <r>
    <s v="Facture comptabilisée"/>
    <m/>
    <x v="0"/>
    <x v="1723"/>
    <s v="120/2021"/>
    <d v="2021-11-02T00:00:00"/>
    <s v="300101"/>
    <s v="ASMAE FORWARDING EXPRESS"/>
    <n v="3882.1"/>
  </r>
  <r>
    <s v="Facture comptabilisée"/>
    <m/>
    <x v="0"/>
    <x v="1724"/>
    <s v="VMM"/>
    <d v="2021-11-02T00:00:00"/>
    <s v="300115"/>
    <s v="AUXILIAR CONSERVERA SA"/>
    <n v="311965.005"/>
  </r>
  <r>
    <s v="Facture comptabilisée"/>
    <m/>
    <x v="0"/>
    <x v="1725"/>
    <s v="JIL PACK A"/>
    <d v="2021-11-02T00:00:00"/>
    <s v="300115"/>
    <s v="AUXILIAR CONSERVERA SA"/>
    <n v="204663.11360000001"/>
  </r>
  <r>
    <s v="Facture comptabilisée"/>
    <m/>
    <x v="0"/>
    <x v="1726"/>
    <s v="116/2021"/>
    <d v="2021-11-03T00:00:00"/>
    <s v="300043"/>
    <s v="DOUANE"/>
    <n v="1160"/>
  </r>
  <r>
    <s v="Facture comptabilisée"/>
    <m/>
    <x v="0"/>
    <x v="1727"/>
    <s v="116/2021"/>
    <d v="2021-11-03T00:00:00"/>
    <s v="300101"/>
    <s v="ASMAE FORWARDING EXPRESS"/>
    <n v="3078.75"/>
  </r>
  <r>
    <s v="Facture comptabilisée"/>
    <m/>
    <x v="0"/>
    <x v="1728"/>
    <s v="JIL PACK"/>
    <d v="2021-11-03T00:00:00"/>
    <s v="300115"/>
    <s v="AUXILIAR CONSERVERA SA"/>
    <n v="87163.56"/>
  </r>
  <r>
    <s v="Facture comptabilisée"/>
    <m/>
    <x v="0"/>
    <x v="1729"/>
    <s v="CONSTANCE"/>
    <d v="2021-11-03T00:00:00"/>
    <s v="300115"/>
    <s v="AUXILIAR CONSERVERA SA"/>
    <n v="270565.54800000001"/>
  </r>
  <r>
    <s v="Facture comptabilisée"/>
    <m/>
    <x v="0"/>
    <x v="1730"/>
    <s v="4L"/>
    <d v="2021-11-03T00:00:00"/>
    <s v="300133"/>
    <s v="OP BOX "/>
    <n v="44370"/>
  </r>
  <r>
    <s v="Facture comptabilisée"/>
    <m/>
    <x v="0"/>
    <x v="1731"/>
    <s v="71/2021 JALAL"/>
    <d v="2021-11-03T00:00:00"/>
    <s v="300321"/>
    <s v="JIL LOGISTIQUE"/>
    <n v="13500"/>
  </r>
  <r>
    <s v="Facture comptabilisée"/>
    <m/>
    <x v="0"/>
    <x v="1732"/>
    <s v="JIL PACK A"/>
    <d v="2021-11-04T00:00:00"/>
    <s v="300115"/>
    <s v="AUXILIAR CONSERVERA SA"/>
    <n v="285201.70799999998"/>
  </r>
  <r>
    <s v="Facture comptabilisée"/>
    <m/>
    <x v="0"/>
    <x v="1733"/>
    <s v="71/2021 JALAL"/>
    <d v="2021-11-05T00:00:00"/>
    <s v="300043"/>
    <s v="DOUANE"/>
    <n v="1054"/>
  </r>
  <r>
    <s v="Facture comptabilisée"/>
    <m/>
    <x v="0"/>
    <x v="1734"/>
    <s v="18L"/>
    <d v="2021-11-05T00:00:00"/>
    <s v="300133"/>
    <s v="OP BOX "/>
    <n v="46418.400000000001"/>
  </r>
  <r>
    <s v="Facture comptabilisée"/>
    <m/>
    <x v="0"/>
    <x v="1735"/>
    <s v="20L"/>
    <d v="2021-11-05T00:00:00"/>
    <s v="300133"/>
    <s v="OP BOX "/>
    <n v="27561.599999999999"/>
  </r>
  <r>
    <s v="Facture comptabilisée"/>
    <m/>
    <x v="0"/>
    <x v="1736"/>
    <s v="119/2021"/>
    <d v="2021-11-08T00:00:00"/>
    <s v="300043"/>
    <s v="DOUANE"/>
    <n v="819"/>
  </r>
  <r>
    <s v="Facture comptabilisée"/>
    <m/>
    <x v="0"/>
    <x v="1737"/>
    <s v="121/2021"/>
    <d v="2021-11-08T00:00:00"/>
    <s v="300043"/>
    <s v="DOUANE"/>
    <n v="1074"/>
  </r>
  <r>
    <s v="Facture comptabilisée"/>
    <m/>
    <x v="0"/>
    <x v="1738"/>
    <s v="119/2021"/>
    <d v="2021-11-08T00:00:00"/>
    <s v="300101"/>
    <s v="ASMAE FORWARDING EXPRESS"/>
    <n v="3876.6"/>
  </r>
  <r>
    <s v="Facture comptabilisée"/>
    <m/>
    <x v="0"/>
    <x v="1739"/>
    <s v="121/2021"/>
    <d v="2021-11-08T00:00:00"/>
    <s v="300101"/>
    <s v="ASMAE FORWARDING EXPRESS"/>
    <n v="3418.44"/>
  </r>
  <r>
    <s v="Facture comptabilisée"/>
    <m/>
    <x v="0"/>
    <x v="1740"/>
    <s v="SILVER FOOD"/>
    <d v="2021-11-08T00:00:00"/>
    <s v="300115"/>
    <s v="AUXILIAR CONSERVERA SA"/>
    <n v="193812.3847"/>
  </r>
  <r>
    <s v="Facture comptabilisée"/>
    <m/>
    <x v="0"/>
    <x v="1741"/>
    <s v="118/2021"/>
    <d v="2021-11-09T00:00:00"/>
    <s v="300043"/>
    <s v="DOUANE"/>
    <n v="443"/>
  </r>
  <r>
    <s v="Facture comptabilisée"/>
    <m/>
    <x v="0"/>
    <x v="1742"/>
    <s v="118/2021"/>
    <d v="2021-11-09T00:00:00"/>
    <s v="300101"/>
    <s v="ASMAE FORWARDING EXPRESS"/>
    <n v="3877.53"/>
  </r>
  <r>
    <s v="Facture comptabilisée"/>
    <m/>
    <x v="0"/>
    <x v="1743"/>
    <s v="122/2021"/>
    <d v="2021-11-10T00:00:00"/>
    <s v="300043"/>
    <s v="DOUANE"/>
    <n v="782"/>
  </r>
  <r>
    <s v="Facture comptabilisée"/>
    <m/>
    <x v="0"/>
    <x v="1744"/>
    <s v="122/2021"/>
    <d v="2021-11-10T00:00:00"/>
    <s v="300101"/>
    <s v="ASMAE FORWARDING EXPRESS"/>
    <n v="3266.68"/>
  </r>
  <r>
    <s v="Facture comptabilisée"/>
    <m/>
    <x v="0"/>
    <x v="1745"/>
    <s v="71/2021 JALAL"/>
    <d v="2021-11-11T00:00:00"/>
    <s v="300191"/>
    <s v="JTTL"/>
    <n v="3117.61"/>
  </r>
  <r>
    <s v="Facture comptabilisée"/>
    <m/>
    <x v="0"/>
    <x v="1746"/>
    <s v="INDUSTRIEL"/>
    <d v="2021-11-12T00:00:00"/>
    <s v="300080"/>
    <s v="MASSILLY"/>
    <n v="112266"/>
  </r>
  <r>
    <s v="Facture comptabilisée"/>
    <m/>
    <x v="0"/>
    <x v="1747"/>
    <s v="JIL PACK A"/>
    <d v="2021-11-12T00:00:00"/>
    <s v="300115"/>
    <s v="AUXILIAR CONSERVERA SA"/>
    <n v="270565.54800000001"/>
  </r>
  <r>
    <s v="Facture comptabilisée"/>
    <m/>
    <x v="0"/>
    <x v="1748"/>
    <s v="72/2021 JALAL"/>
    <d v="2021-11-12T00:00:00"/>
    <s v="300321"/>
    <s v="JIL LOGISTIQUE"/>
    <n v="15500"/>
  </r>
  <r>
    <s v="Facture comptabilisée"/>
    <m/>
    <x v="0"/>
    <x v="1749"/>
    <s v="72/2021 JALAL"/>
    <d v="2021-11-15T00:00:00"/>
    <s v="300043"/>
    <s v="DOUANE"/>
    <n v="1057"/>
  </r>
  <r>
    <s v="Facture comptabilisée"/>
    <m/>
    <x v="0"/>
    <x v="1750"/>
    <s v="JIL PACK*CAPREL*"/>
    <d v="2021-11-15T00:00:00"/>
    <s v="300115"/>
    <s v="AUXILIAR CONSERVERA SA"/>
    <n v="87125.543999999994"/>
  </r>
  <r>
    <s v="Facture comptabilisée"/>
    <m/>
    <x v="0"/>
    <x v="1751"/>
    <s v="SILVER FOOD"/>
    <d v="2021-11-15T00:00:00"/>
    <s v="300115"/>
    <s v="AUXILIAR CONSERVERA SA"/>
    <n v="270565.54800000001"/>
  </r>
  <r>
    <s v="Facture comptabilisée"/>
    <m/>
    <x v="0"/>
    <x v="1752"/>
    <s v="74/2021 JALAL"/>
    <d v="2021-11-16T00:00:00"/>
    <s v="300321"/>
    <s v="JIL LOGISTIQUE"/>
    <n v="13500"/>
  </r>
  <r>
    <s v="Facture comptabilisée"/>
    <m/>
    <x v="0"/>
    <x v="1753"/>
    <s v="74/2021 JALAL"/>
    <d v="2021-11-17T00:00:00"/>
    <s v="300043"/>
    <s v="DOUANE"/>
    <n v="1049"/>
  </r>
  <r>
    <s v="Facture comptabilisée"/>
    <m/>
    <x v="0"/>
    <x v="1754"/>
    <s v="117/2021"/>
    <d v="2021-11-17T00:00:00"/>
    <s v="300043"/>
    <s v="DOUANE"/>
    <n v="441"/>
  </r>
  <r>
    <s v="Facture comptabilisée"/>
    <m/>
    <x v="0"/>
    <x v="1755"/>
    <s v="MIPA"/>
    <d v="2021-11-17T00:00:00"/>
    <s v="300092"/>
    <s v="METALSCATOLA AFRIQUE"/>
    <n v="32585"/>
  </r>
  <r>
    <s v="Facture comptabilisée"/>
    <m/>
    <x v="0"/>
    <x v="1756"/>
    <s v="117/2021"/>
    <d v="2021-11-17T00:00:00"/>
    <s v="300101"/>
    <s v="ASMAE FORWARDING EXPRESS"/>
    <n v="3401.66"/>
  </r>
  <r>
    <s v="Facture comptabilisée"/>
    <m/>
    <x v="0"/>
    <x v="1757"/>
    <s v="JIL PACK A"/>
    <d v="2021-11-19T00:00:00"/>
    <s v="300115"/>
    <s v="AUXILIAR CONSERVERA SA"/>
    <n v="271627.95"/>
  </r>
  <r>
    <s v="Facture comptabilisée"/>
    <m/>
    <x v="0"/>
    <x v="1758"/>
    <s v="LOGI FOOD"/>
    <d v="2021-11-19T00:00:00"/>
    <s v="300115"/>
    <s v="AUXILIAR CONSERVERA SA"/>
    <n v="270565.54800000001"/>
  </r>
  <r>
    <s v="Facture comptabilisée"/>
    <m/>
    <x v="0"/>
    <x v="1759"/>
    <s v="73/2021 JALAL"/>
    <d v="2021-11-19T00:00:00"/>
    <s v="300321"/>
    <s v="JIL LOGISTIQUE"/>
    <n v="13500"/>
  </r>
  <r>
    <s v="Facture comptabilisée"/>
    <m/>
    <x v="0"/>
    <x v="1760"/>
    <s v="75/2021 JALAL"/>
    <d v="2021-11-19T00:00:00"/>
    <s v="300321"/>
    <s v="JIL LOGISTIQUE"/>
    <n v="15500"/>
  </r>
  <r>
    <s v="Facture comptabilisée"/>
    <m/>
    <x v="0"/>
    <x v="1761"/>
    <s v="73/2021 JALAL"/>
    <d v="2021-11-22T00:00:00"/>
    <s v="300043"/>
    <s v="DOUANE"/>
    <n v="1048"/>
  </r>
  <r>
    <s v="Facture comptabilisée"/>
    <m/>
    <x v="0"/>
    <x v="1762"/>
    <s v="75/2021 JALAL"/>
    <d v="2021-11-22T00:00:00"/>
    <s v="300043"/>
    <s v="DOUANE"/>
    <n v="1056"/>
  </r>
  <r>
    <s v="Facture comptabilisée"/>
    <m/>
    <x v="0"/>
    <x v="1763"/>
    <s v="JIL PACK A"/>
    <d v="2021-11-22T00:00:00"/>
    <s v="300115"/>
    <s v="AUXILIAR CONSERVERA SA"/>
    <n v="260408.72"/>
  </r>
  <r>
    <s v="Facture comptabilisée"/>
    <m/>
    <x v="0"/>
    <x v="1764"/>
    <s v="72/2021 JALAL"/>
    <d v="2021-11-22T00:00:00"/>
    <s v="300191"/>
    <s v="JTTL"/>
    <n v="3260.89"/>
  </r>
  <r>
    <s v="Facture comptabilisée"/>
    <m/>
    <x v="0"/>
    <x v="1765"/>
    <s v="76/2021 JALAL"/>
    <d v="2021-11-22T00:00:00"/>
    <s v="300321"/>
    <s v="JIL LOGISTIQUE"/>
    <n v="15500"/>
  </r>
  <r>
    <s v="Facture comptabilisée"/>
    <m/>
    <x v="0"/>
    <x v="1766"/>
    <s v="76/2021 JALAL"/>
    <d v="2021-11-23T00:00:00"/>
    <s v="300043"/>
    <s v="DOUANE"/>
    <n v="1017"/>
  </r>
  <r>
    <s v="Facture comptabilisée"/>
    <m/>
    <x v="0"/>
    <x v="1767"/>
    <s v="JI PACK A"/>
    <d v="2021-11-23T00:00:00"/>
    <s v="300115"/>
    <s v="AUXILIAR CONSERVERA SA"/>
    <n v="260408.72"/>
  </r>
  <r>
    <s v="Facture comptabilisée"/>
    <m/>
    <x v="0"/>
    <x v="1768"/>
    <s v="JIL PACK A"/>
    <d v="2021-11-23T00:00:00"/>
    <s v="300115"/>
    <s v="AUXILIAR CONSERVERA SA"/>
    <n v="252730.764"/>
  </r>
  <r>
    <s v="Facture comptabilisée"/>
    <m/>
    <x v="0"/>
    <x v="1769"/>
    <s v="JIL PACK A"/>
    <d v="2021-11-23T00:00:00"/>
    <s v="300115"/>
    <s v="AUXILIAR CONSERVERA SA"/>
    <n v="270696.27860000002"/>
  </r>
  <r>
    <s v="Facture comptabilisée"/>
    <m/>
    <x v="0"/>
    <x v="1770"/>
    <s v="78/2021 JALAL"/>
    <d v="2021-11-23T00:00:00"/>
    <s v="300321"/>
    <s v="JIL LOGISTIQUE"/>
    <n v="15500"/>
  </r>
  <r>
    <s v="Facture comptabilisée"/>
    <m/>
    <x v="0"/>
    <x v="1771"/>
    <s v="77/2021 JALAL"/>
    <d v="2021-11-23T00:00:00"/>
    <s v="300321"/>
    <s v="JIL LOGISTIQUE"/>
    <n v="15500"/>
  </r>
  <r>
    <s v="Facture comptabilisée"/>
    <m/>
    <x v="0"/>
    <x v="1772"/>
    <s v="79/2021 JALAL"/>
    <d v="2021-11-23T00:00:00"/>
    <s v="300321"/>
    <s v="JIL LOGISTIQUE"/>
    <n v="15500"/>
  </r>
  <r>
    <s v="Facture comptabilisée"/>
    <m/>
    <x v="0"/>
    <x v="1773"/>
    <s v="78/2021 JALAL"/>
    <d v="2021-11-24T00:00:00"/>
    <s v="300043"/>
    <s v="DOUANE"/>
    <n v="1020"/>
  </r>
  <r>
    <s v="Facture comptabilisée"/>
    <m/>
    <x v="0"/>
    <x v="1774"/>
    <s v="LOGI FOOD"/>
    <d v="2021-11-24T00:00:00"/>
    <s v="300115"/>
    <s v="AUXILIAR CONSERVERA SA"/>
    <n v="221555.7971"/>
  </r>
  <r>
    <s v="Facture comptabilisée"/>
    <m/>
    <x v="0"/>
    <x v="1775"/>
    <s v="77/2021 JALAL"/>
    <d v="2021-11-25T00:00:00"/>
    <s v="300043"/>
    <s v="DOUANE"/>
    <n v="993"/>
  </r>
  <r>
    <s v="Facture comptabilisée"/>
    <m/>
    <x v="0"/>
    <x v="1776"/>
    <s v="79/2021 JALAL"/>
    <d v="2021-11-25T00:00:00"/>
    <s v="300043"/>
    <s v="DOUANE"/>
    <n v="1055"/>
  </r>
  <r>
    <s v="Facture comptabilisée"/>
    <m/>
    <x v="0"/>
    <x v="1777"/>
    <s v="MFI"/>
    <d v="2021-11-26T00:00:00"/>
    <s v="300115"/>
    <s v="AUXILIAR CONSERVERA SA"/>
    <n v="88427.592000000004"/>
  </r>
  <r>
    <s v="Facture comptabilisée"/>
    <m/>
    <x v="0"/>
    <x v="1778"/>
    <s v="COPAG"/>
    <d v="2021-11-26T00:00:00"/>
    <s v="300115"/>
    <s v="AUXILIAR CONSERVERA SA"/>
    <n v="145138.92800000001"/>
  </r>
  <r>
    <s v="Facture comptabilisée"/>
    <m/>
    <x v="0"/>
    <x v="1779"/>
    <s v="1200ML"/>
    <d v="2021-11-26T00:00:00"/>
    <s v="300133"/>
    <s v="OP BOX "/>
    <n v="48028.800000000003"/>
  </r>
  <r>
    <s v="Facture comptabilisée"/>
    <m/>
    <x v="0"/>
    <x v="1780"/>
    <s v="280ML"/>
    <d v="2021-11-26T00:00:00"/>
    <s v="300133"/>
    <s v="OP BOX "/>
    <n v="49864"/>
  </r>
  <r>
    <s v="Facture comptabilisée"/>
    <m/>
    <x v="0"/>
    <x v="1781"/>
    <s v="73/2021 JALAL"/>
    <d v="2021-11-26T00:00:00"/>
    <s v="300191"/>
    <s v="JTTL"/>
    <n v="3250.6"/>
  </r>
  <r>
    <s v="Facture comptabilisée"/>
    <m/>
    <x v="0"/>
    <x v="1782"/>
    <s v="74/2021 JALAL"/>
    <d v="2021-11-26T00:00:00"/>
    <s v="300191"/>
    <s v="JTTL"/>
    <n v="3102.29"/>
  </r>
  <r>
    <s v="Facture comptabilisée"/>
    <m/>
    <x v="0"/>
    <x v="1783"/>
    <s v="75/2021 JALAL"/>
    <d v="2021-11-26T00:00:00"/>
    <s v="300191"/>
    <s v="JTTL"/>
    <n v="3250.6"/>
  </r>
  <r>
    <s v="Facture comptabilisée"/>
    <m/>
    <x v="0"/>
    <x v="1784"/>
    <s v="123/2021"/>
    <d v="2021-11-29T00:00:00"/>
    <s v="300043"/>
    <s v="DOUANE"/>
    <n v="866"/>
  </r>
  <r>
    <s v="Facture comptabilisée"/>
    <m/>
    <x v="0"/>
    <x v="1785"/>
    <s v="123/2021"/>
    <d v="2021-11-29T00:00:00"/>
    <s v="300101"/>
    <s v="ASMAE FORWARDING EXPRESS"/>
    <n v="3557.37"/>
  </r>
  <r>
    <s v="Facture comptabilisée"/>
    <m/>
    <x v="0"/>
    <x v="1786"/>
    <s v="VMM"/>
    <d v="2021-11-30T00:00:00"/>
    <s v="300115"/>
    <s v="AUXILIAR CONSERVERA SA"/>
    <n v="297917.48800000001"/>
  </r>
  <r>
    <s v="Facture comptabilisée"/>
    <m/>
    <x v="0"/>
    <x v="1787"/>
    <s v="126/2021"/>
    <d v="2021-12-02T00:00:00"/>
    <s v="300043"/>
    <s v="DOUANE"/>
    <n v="445"/>
  </r>
  <r>
    <s v="Facture comptabilisée"/>
    <m/>
    <x v="0"/>
    <x v="1788"/>
    <s v="128/2021"/>
    <d v="2021-12-02T00:00:00"/>
    <s v="300043"/>
    <s v="DOUANE"/>
    <n v="626"/>
  </r>
  <r>
    <s v="Facture comptabilisée"/>
    <m/>
    <x v="0"/>
    <x v="1789"/>
    <s v="127/2021"/>
    <d v="2021-12-02T00:00:00"/>
    <s v="300043"/>
    <s v="DOUANE"/>
    <n v="1113"/>
  </r>
  <r>
    <s v="Facture comptabilisée"/>
    <m/>
    <x v="0"/>
    <x v="1790"/>
    <s v="126/2021"/>
    <d v="2021-12-02T00:00:00"/>
    <s v="300101"/>
    <s v="ASMAE FORWARDING EXPRESS"/>
    <n v="3408.85"/>
  </r>
  <r>
    <s v="Facture comptabilisée"/>
    <m/>
    <x v="0"/>
    <x v="1791"/>
    <s v="127/2021"/>
    <d v="2021-12-02T00:00:00"/>
    <s v="300101"/>
    <s v="ASMAE FORWARDING EXPRESS"/>
    <n v="3256.88"/>
  </r>
  <r>
    <s v="Facture comptabilisée"/>
    <m/>
    <x v="0"/>
    <x v="1792"/>
    <s v="128/2021"/>
    <d v="2021-12-02T00:00:00"/>
    <s v="300101"/>
    <s v="ASMAE FORWARDING EXPRESS"/>
    <n v="3409.03"/>
  </r>
  <r>
    <s v="Facture comptabilisée"/>
    <m/>
    <x v="0"/>
    <x v="1793"/>
    <s v="COPAG"/>
    <d v="2021-12-03T00:00:00"/>
    <s v="300115"/>
    <s v="AUXILIAR CONSERVERA SA"/>
    <n v="143489.5484"/>
  </r>
  <r>
    <s v="Facture comptabilisée"/>
    <m/>
    <x v="0"/>
    <x v="1794"/>
    <s v="76/2021 JALAL"/>
    <d v="2021-12-03T00:00:00"/>
    <s v="300191"/>
    <s v="JTTL"/>
    <n v="3098.52"/>
  </r>
  <r>
    <s v="Facture comptabilisée"/>
    <m/>
    <x v="0"/>
    <x v="1795"/>
    <s v="77/2021 JALAL"/>
    <d v="2021-12-03T00:00:00"/>
    <s v="300191"/>
    <s v="JTTL"/>
    <n v="3094.35"/>
  </r>
  <r>
    <s v="Facture comptabilisée"/>
    <m/>
    <x v="0"/>
    <x v="1796"/>
    <s v="75/2021 JALAL"/>
    <d v="2021-12-03T00:00:00"/>
    <s v="300191"/>
    <s v="JTTL"/>
    <n v="151.41999999999999"/>
  </r>
  <r>
    <s v="Facture comptabilisée"/>
    <m/>
    <x v="0"/>
    <x v="1797"/>
    <s v="78/2021 JALAL"/>
    <d v="2021-12-03T00:00:00"/>
    <s v="300191"/>
    <s v="JTTL"/>
    <n v="3096.6"/>
  </r>
  <r>
    <s v="Facture comptabilisée"/>
    <m/>
    <x v="0"/>
    <x v="1798"/>
    <s v="79/2021 JALAL"/>
    <d v="2021-12-03T00:00:00"/>
    <s v="300191"/>
    <s v="JTTL"/>
    <n v="3094.35"/>
  </r>
  <r>
    <s v="Facture comptabilisée"/>
    <m/>
    <x v="0"/>
    <x v="1799"/>
    <s v="JIL PACK CASA+AGA"/>
    <d v="2021-12-03T00:00:00"/>
    <s v="300220"/>
    <s v="ENVASES EUROPE"/>
    <n v="1303045.392"/>
  </r>
  <r>
    <s v="Facture comptabilisée"/>
    <m/>
    <x v="0"/>
    <x v="1800"/>
    <s v="80/2021 JALAL"/>
    <d v="2021-12-03T00:00:00"/>
    <s v="300321"/>
    <s v="JIL LOGISTIQUE"/>
    <n v="48000"/>
  </r>
  <r>
    <s v="Facture comptabilisée"/>
    <m/>
    <x v="0"/>
    <x v="1801"/>
    <s v="129/2021"/>
    <d v="2021-12-06T00:00:00"/>
    <s v="300043"/>
    <s v="DOUANE"/>
    <n v="620"/>
  </r>
  <r>
    <s v="Facture comptabilisée"/>
    <m/>
    <x v="0"/>
    <x v="1802"/>
    <s v="129/2021"/>
    <d v="2021-12-06T00:00:00"/>
    <s v="300101"/>
    <s v="ASMAE FORWARDING EXPRESS"/>
    <n v="3398.14"/>
  </r>
  <r>
    <s v="Facture comptabilisée"/>
    <m/>
    <x v="0"/>
    <x v="1803"/>
    <s v="18L"/>
    <d v="2021-12-07T00:00:00"/>
    <s v="300133"/>
    <s v="OP BOX "/>
    <n v="50349.599999999999"/>
  </r>
  <r>
    <s v="Facture comptabilisée"/>
    <m/>
    <x v="0"/>
    <x v="1804"/>
    <s v="20L"/>
    <d v="2021-12-07T00:00:00"/>
    <s v="300133"/>
    <s v="OP BOX "/>
    <n v="48232.800000000003"/>
  </r>
  <r>
    <s v="Facture comptabilisée"/>
    <m/>
    <x v="0"/>
    <x v="1805"/>
    <s v="80/2021 JALAL"/>
    <d v="2021-12-08T00:00:00"/>
    <s v="300043"/>
    <s v="DOUANE"/>
    <n v="5127"/>
  </r>
  <r>
    <s v="Facture comptabilisée"/>
    <m/>
    <x v="0"/>
    <x v="1806"/>
    <s v="2300"/>
    <d v="2021-12-09T00:00:00"/>
    <s v="300133"/>
    <s v="OP BOX "/>
    <n v="58260"/>
  </r>
  <r>
    <s v="Facture comptabilisée"/>
    <m/>
    <x v="0"/>
    <x v="1807"/>
    <s v="2300"/>
    <d v="2021-12-09T00:00:00"/>
    <s v="300133"/>
    <s v="OP BOX "/>
    <n v="49680"/>
  </r>
  <r>
    <s v="Facture comptabilisée"/>
    <m/>
    <x v="0"/>
    <x v="1808"/>
    <s v="SILVER"/>
    <d v="2021-12-10T00:00:00"/>
    <s v="300115"/>
    <s v="AUXILIAR CONSERVERA SA"/>
    <n v="288892.67219999997"/>
  </r>
  <r>
    <s v="Facture comptabilisée"/>
    <m/>
    <x v="0"/>
    <x v="1809"/>
    <s v="SILVER FOOD"/>
    <d v="2021-12-10T00:00:00"/>
    <s v="300115"/>
    <s v="AUXILIAR CONSERVERA SA"/>
    <n v="284447.41820000001"/>
  </r>
  <r>
    <s v="Facture comptabilisée"/>
    <m/>
    <x v="0"/>
    <x v="1810"/>
    <s v="COPAG"/>
    <d v="2021-12-10T00:00:00"/>
    <s v="300115"/>
    <s v="AUXILIAR CONSERVERA SA"/>
    <n v="145138.92800000001"/>
  </r>
  <r>
    <s v="Facture comptabilisée"/>
    <m/>
    <x v="0"/>
    <x v="1811"/>
    <s v="82/2021 JALAL"/>
    <d v="2021-12-10T00:00:00"/>
    <s v="300321"/>
    <s v="JIL LOGISTIQUE"/>
    <n v="13500"/>
  </r>
  <r>
    <s v="Facture comptabilisée"/>
    <m/>
    <x v="0"/>
    <x v="1812"/>
    <s v="81/2021 JALAL"/>
    <d v="2021-12-10T00:00:00"/>
    <s v="300321"/>
    <s v="JIL LOGISTIQUE"/>
    <n v="13500"/>
  </r>
  <r>
    <s v="Facture comptabilisée"/>
    <m/>
    <x v="0"/>
    <x v="1813"/>
    <s v="81/2021 JALAL"/>
    <d v="2021-12-13T00:00:00"/>
    <s v="300043"/>
    <s v="DOUANE"/>
    <n v="1109"/>
  </r>
  <r>
    <s v="Facture comptabilisée"/>
    <m/>
    <x v="0"/>
    <x v="1814"/>
    <s v="82/2021 JALAL"/>
    <d v="2021-12-13T00:00:00"/>
    <s v="300043"/>
    <s v="DOUANE"/>
    <n v="1095"/>
  </r>
  <r>
    <s v="Facture comptabilisée"/>
    <m/>
    <x v="0"/>
    <x v="1815"/>
    <s v="125/2021"/>
    <d v="2021-12-13T00:00:00"/>
    <s v="300043"/>
    <s v="DOUANE"/>
    <n v="624"/>
  </r>
  <r>
    <s v="Facture comptabilisée"/>
    <m/>
    <x v="0"/>
    <x v="1816"/>
    <s v="125/2021"/>
    <d v="2021-12-13T00:00:00"/>
    <s v="300101"/>
    <s v="ASMAE FORWARDING EXPRESS"/>
    <n v="3407.25"/>
  </r>
  <r>
    <s v="Facture comptabilisée"/>
    <m/>
    <x v="0"/>
    <x v="1817"/>
    <s v="3.8 ROUGE"/>
    <d v="2021-12-13T00:00:00"/>
    <s v="300133"/>
    <s v="OP BOX "/>
    <n v="14388"/>
  </r>
  <r>
    <s v="Facture comptabilisée"/>
    <m/>
    <x v="0"/>
    <x v="1818"/>
    <s v="COPAG"/>
    <d v="2021-12-14T00:00:00"/>
    <s v="300115"/>
    <s v="AUXILIAR CONSERVERA SA"/>
    <n v="141456.39199999999"/>
  </r>
  <r>
    <s v="Facture comptabilisée"/>
    <m/>
    <x v="0"/>
    <x v="1819"/>
    <s v="80/2021 JALAL"/>
    <d v="2021-12-14T00:00:00"/>
    <s v="300191"/>
    <s v="JTTL"/>
    <n v="3121.18"/>
  </r>
  <r>
    <s v="Facture comptabilisée"/>
    <m/>
    <x v="0"/>
    <x v="1820"/>
    <s v="SILVER FOOD"/>
    <d v="2021-12-15T00:00:00"/>
    <s v="300115"/>
    <s v="AUXILIAR CONSERVERA SA"/>
    <n v="293077.39559999999"/>
  </r>
  <r>
    <s v="Facture comptabilisée"/>
    <m/>
    <x v="0"/>
    <x v="1821"/>
    <s v="SILVER FOOD"/>
    <d v="2021-12-15T00:00:00"/>
    <s v="300115"/>
    <s v="AUXILIAR CONSERVERA SA"/>
    <n v="293078.14360000001"/>
  </r>
  <r>
    <s v="Facture comptabilisée"/>
    <m/>
    <x v="0"/>
    <x v="1822"/>
    <s v="83/2021 JALAL"/>
    <d v="2021-12-15T00:00:00"/>
    <s v="300321"/>
    <s v="JIL LOGISTIQUE"/>
    <n v="13500"/>
  </r>
  <r>
    <s v="Facture comptabilisée"/>
    <m/>
    <x v="0"/>
    <x v="1823"/>
    <s v="84/2021 JALAL"/>
    <d v="2021-12-15T00:00:00"/>
    <s v="300321"/>
    <s v="JIL LOGISTIQUE"/>
    <n v="13500"/>
  </r>
  <r>
    <s v="Facture comptabilisée"/>
    <m/>
    <x v="0"/>
    <x v="1824"/>
    <s v="124/2021"/>
    <d v="2021-12-17T00:00:00"/>
    <s v="300043"/>
    <s v="DOUANE"/>
    <n v="613"/>
  </r>
  <r>
    <s v="Facture comptabilisée"/>
    <m/>
    <x v="0"/>
    <x v="1825"/>
    <s v="124/2021"/>
    <d v="2021-12-17T00:00:00"/>
    <s v="300101"/>
    <s v="ASMAE FORWARDING EXPRESS"/>
    <n v="3260.69"/>
  </r>
  <r>
    <s v="Facture comptabilisée"/>
    <m/>
    <x v="0"/>
    <x v="1826"/>
    <s v="SILVER FOOD"/>
    <d v="2021-12-17T00:00:00"/>
    <s v="300115"/>
    <s v="AUXILIAR CONSERVERA SA"/>
    <n v="293078.14360000001"/>
  </r>
  <r>
    <s v="Facture comptabilisée"/>
    <m/>
    <x v="0"/>
    <x v="1827"/>
    <s v="85/2021 JALAL"/>
    <d v="2021-12-17T00:00:00"/>
    <s v="300321"/>
    <s v="JIL LOGISTIQUE"/>
    <n v="13500"/>
  </r>
  <r>
    <s v="Facture comptabilisée"/>
    <m/>
    <x v="0"/>
    <x v="1828"/>
    <s v="84/2021 JALAL"/>
    <d v="2021-12-20T00:00:00"/>
    <s v="300043"/>
    <s v="DOUANE"/>
    <n v="1123"/>
  </r>
  <r>
    <s v="Facture comptabilisée"/>
    <m/>
    <x v="0"/>
    <x v="1829"/>
    <s v="83/2021 JALAL"/>
    <d v="2021-12-20T00:00:00"/>
    <s v="300043"/>
    <s v="DOUANE"/>
    <n v="1123"/>
  </r>
  <r>
    <s v="Facture comptabilisée"/>
    <m/>
    <x v="0"/>
    <x v="1830"/>
    <s v="85/2021 JALAL"/>
    <d v="2021-12-20T00:00:00"/>
    <s v="300043"/>
    <s v="DOUANE"/>
    <n v="1125"/>
  </r>
  <r>
    <s v="Facture comptabilisée"/>
    <m/>
    <x v="0"/>
    <x v="1831"/>
    <s v="COPAG VIANDES"/>
    <d v="2021-12-20T00:00:00"/>
    <s v="300115"/>
    <s v="AUXILIAR CONSERVERA SA"/>
    <n v="156127.3406"/>
  </r>
  <r>
    <s v="Facture comptabilisée"/>
    <m/>
    <x v="0"/>
    <x v="1832"/>
    <s v="81/2021 JALAL"/>
    <d v="2021-12-20T00:00:00"/>
    <s v="300191"/>
    <s v="JTTL"/>
    <n v="3106.8"/>
  </r>
  <r>
    <s v="Facture comptabilisée"/>
    <m/>
    <x v="0"/>
    <x v="1833"/>
    <s v="82/2021 JALAL"/>
    <d v="2021-12-20T00:00:00"/>
    <s v="300191"/>
    <s v="JTTL"/>
    <n v="3106.8"/>
  </r>
  <r>
    <s v="Facture comptabilisée"/>
    <m/>
    <x v="0"/>
    <x v="1834"/>
    <s v="AVEIRO"/>
    <d v="2021-12-21T00:00:00"/>
    <s v="300220"/>
    <s v="ENVASES EUROPE"/>
    <n v="1016381.52"/>
  </r>
  <r>
    <s v="Facture comptabilisée"/>
    <m/>
    <x v="0"/>
    <x v="1835"/>
    <s v="86/2021 JALAL"/>
    <d v="2021-12-21T00:00:00"/>
    <s v="300321"/>
    <s v="JIL LOGISTIQUE"/>
    <n v="48000"/>
  </r>
  <r>
    <s v="Facture comptabilisée"/>
    <m/>
    <x v="0"/>
    <x v="1836"/>
    <s v="JIL PACK A"/>
    <d v="2021-12-22T00:00:00"/>
    <s v="300115"/>
    <s v="AUXILIAR CONSERVERA SA"/>
    <n v="195216.30480000001"/>
  </r>
  <r>
    <s v="Facture comptabilisée"/>
    <m/>
    <x v="0"/>
    <x v="1837"/>
    <s v="0020013009"/>
    <d v="2021-12-23T00:00:00"/>
    <s v="300115"/>
    <s v="AUXILIAR CONSERVERA SA"/>
    <n v="23953.615399999999"/>
  </r>
  <r>
    <s v="Facture comptabilisée"/>
    <m/>
    <x v="0"/>
    <x v="1838"/>
    <s v="131/2021"/>
    <d v="2021-12-24T00:00:00"/>
    <s v="300043"/>
    <s v="DOUANE"/>
    <n v="661"/>
  </r>
  <r>
    <s v="Facture comptabilisée"/>
    <m/>
    <x v="0"/>
    <x v="1839"/>
    <s v="130/2021"/>
    <d v="2021-12-24T00:00:00"/>
    <s v="300043"/>
    <s v="DOUANE"/>
    <n v="785"/>
  </r>
  <r>
    <s v="Facture comptabilisée"/>
    <m/>
    <x v="0"/>
    <x v="1840"/>
    <s v="NOTAM"/>
    <d v="2021-12-24T00:00:00"/>
    <s v="300092"/>
    <s v="METALSCATOLA AFRIQUE"/>
    <n v="22671"/>
  </r>
  <r>
    <s v="Facture comptabilisée"/>
    <m/>
    <x v="0"/>
    <x v="1841"/>
    <s v="130/2021"/>
    <d v="2021-12-24T00:00:00"/>
    <s v="300101"/>
    <s v="ASMAE FORWARDING EXPRESS"/>
    <n v="3264.37"/>
  </r>
  <r>
    <s v="Facture comptabilisée"/>
    <m/>
    <x v="0"/>
    <x v="1842"/>
    <s v="131/2021"/>
    <d v="2021-12-24T00:00:00"/>
    <s v="300101"/>
    <s v="ASMAE FORWARDING EXPRESS"/>
    <n v="3264.29"/>
  </r>
  <r>
    <s v="Facture comptabilisée"/>
    <m/>
    <x v="0"/>
    <x v="1843"/>
    <s v="280 ML"/>
    <d v="2021-12-24T00:00:00"/>
    <s v="300133"/>
    <s v="OP BOX "/>
    <n v="47073"/>
  </r>
  <r>
    <s v="Facture comptabilisée"/>
    <m/>
    <x v="0"/>
    <x v="1844"/>
    <s v="86/2021 JALAL"/>
    <d v="2021-12-27T00:00:00"/>
    <s v="300043"/>
    <s v="DOUANE"/>
    <n v="3535"/>
  </r>
  <r>
    <s v="Facture comptabilisée"/>
    <m/>
    <x v="0"/>
    <x v="1845"/>
    <s v="83/2021 JALAL"/>
    <d v="2021-12-28T00:00:00"/>
    <s v="300191"/>
    <s v="JTTL"/>
    <n v="3267.21"/>
  </r>
  <r>
    <s v="Facture comptabilisée"/>
    <m/>
    <x v="0"/>
    <x v="1846"/>
    <s v="84/2021 JALAL"/>
    <d v="2021-12-28T00:00:00"/>
    <s v="300191"/>
    <s v="JTTL"/>
    <n v="3398.07"/>
  </r>
  <r>
    <s v="Facture comptabilisée"/>
    <m/>
    <x v="0"/>
    <x v="1847"/>
    <s v="85/2021 JALAL"/>
    <d v="2021-12-28T00:00:00"/>
    <s v="300191"/>
    <s v="JTTL"/>
    <n v="3114.6"/>
  </r>
  <r>
    <s v="Facture comptabilisée"/>
    <m/>
    <x v="0"/>
    <x v="1848"/>
    <s v="86/2021 JALAL"/>
    <d v="2021-12-30T00:00:00"/>
    <s v="300191"/>
    <s v="JTTL"/>
    <n v="3269.03"/>
  </r>
  <r>
    <s v="Facture comptabilisée"/>
    <m/>
    <x v="0"/>
    <x v="1849"/>
    <s v="RFA"/>
    <d v="2022-01-03T00:00:00"/>
    <s v="300115"/>
    <s v="AUXILIAR CONSERVERA SA"/>
    <n v="1187084.03"/>
  </r>
  <r>
    <s v="Facture comptabilisée"/>
    <m/>
    <x v="0"/>
    <x v="1850"/>
    <s v="MIPA"/>
    <d v="2022-01-04T00:00:00"/>
    <s v="300092"/>
    <s v="METALSCATOLA AFRIQUE"/>
    <n v="56295"/>
  </r>
  <r>
    <s v="Facture comptabilisée"/>
    <m/>
    <x v="0"/>
    <x v="1851"/>
    <s v="SILVER FOO"/>
    <d v="2022-01-04T00:00:00"/>
    <s v="300115"/>
    <s v="AUXILIAR CONSERVERA SA"/>
    <n v="293077.39559999999"/>
  </r>
  <r>
    <s v="Facture comptabilisée"/>
    <m/>
    <x v="0"/>
    <x v="1852"/>
    <s v="01/2022 JALAL"/>
    <d v="2022-01-04T00:00:00"/>
    <s v="300321"/>
    <s v="JIL LOGISTIQUE"/>
    <n v="13500"/>
  </r>
  <r>
    <s v="Facture comptabilisée"/>
    <m/>
    <x v="0"/>
    <x v="1853"/>
    <s v="01/2022 JALAL"/>
    <d v="2022-01-05T00:00:00"/>
    <s v="300043"/>
    <s v="DOUANE"/>
    <n v="1121"/>
  </r>
  <r>
    <s v="Facture comptabilisée"/>
    <m/>
    <x v="0"/>
    <x v="1854"/>
    <s v="SILVER FOOD"/>
    <d v="2022-01-10T00:00:00"/>
    <s v="300115"/>
    <s v="AUXILIAR CONSERVERA SA"/>
    <n v="284560.32329999999"/>
  </r>
  <r>
    <s v="Facture comptabilisée"/>
    <m/>
    <x v="0"/>
    <x v="1855"/>
    <s v="COPAG"/>
    <d v="2022-01-10T00:00:00"/>
    <s v="300115"/>
    <s v="AUXILIAR CONSERVERA SA"/>
    <n v="162282.91200000001"/>
  </r>
  <r>
    <s v="Facture comptabilisée"/>
    <m/>
    <x v="0"/>
    <x v="1856"/>
    <s v="02/2022 JALAL"/>
    <d v="2022-01-10T00:00:00"/>
    <s v="300321"/>
    <s v="JIL LOGISTIQUE"/>
    <n v="13500"/>
  </r>
  <r>
    <s v="Facture comptabilisée"/>
    <m/>
    <x v="0"/>
    <x v="1857"/>
    <s v="02/2022 JALAL"/>
    <d v="2022-01-12T00:00:00"/>
    <s v="300043"/>
    <s v="DOUANE"/>
    <n v="1101"/>
  </r>
  <r>
    <s v="Facture comptabilisée"/>
    <m/>
    <x v="0"/>
    <x v="1858"/>
    <s v="01/2022 JALAL"/>
    <d v="2022-01-12T00:00:00"/>
    <s v="300191"/>
    <s v="JTTL"/>
    <n v="3110.73"/>
  </r>
  <r>
    <s v="Facture comptabilisée"/>
    <m/>
    <x v="0"/>
    <x v="1859"/>
    <s v="MIPA"/>
    <d v="2022-01-13T00:00:00"/>
    <s v="300092"/>
    <s v="METALSCATOLA AFRIQUE"/>
    <n v="39508"/>
  </r>
  <r>
    <s v="Facture comptabilisée"/>
    <m/>
    <x v="0"/>
    <x v="1860"/>
    <s v="JL PACK*MEAT CORP"/>
    <d v="2022-01-14T00:00:00"/>
    <s v="300115"/>
    <s v="AUXILIAR CONSERVERA SA"/>
    <n v="270565.54800000001"/>
  </r>
  <r>
    <s v="Facture comptabilisée"/>
    <m/>
    <x v="0"/>
    <x v="1861"/>
    <s v="03/2022 JALAL"/>
    <d v="2022-01-14T00:00:00"/>
    <s v="300321"/>
    <s v="JIL LOGISTIQUE"/>
    <n v="13500"/>
  </r>
  <r>
    <s v="Facture comptabilisée"/>
    <m/>
    <x v="0"/>
    <x v="1862"/>
    <d v="2022-01-01T00:00:00"/>
    <d v="2022-01-17T00:00:00"/>
    <s v="300043"/>
    <s v="DOUANE"/>
    <n v="683"/>
  </r>
  <r>
    <s v="Facture comptabilisée"/>
    <m/>
    <x v="0"/>
    <x v="1863"/>
    <d v="2022-01-01T00:00:00"/>
    <d v="2022-01-17T00:00:00"/>
    <s v="300101"/>
    <s v="ASMAE FORWARDING EXPRESS"/>
    <n v="3432.04"/>
  </r>
  <r>
    <s v="Facture comptabilisée"/>
    <m/>
    <x v="0"/>
    <x v="1864"/>
    <s v="03/2022 JALAL"/>
    <d v="2022-01-18T00:00:00"/>
    <s v="300043"/>
    <s v="DOUANE"/>
    <n v="1061"/>
  </r>
  <r>
    <s v="Facture comptabilisée"/>
    <m/>
    <x v="0"/>
    <x v="1865"/>
    <s v="JIL PACK"/>
    <d v="2022-01-19T00:00:00"/>
    <s v="300226"/>
    <s v="Sarten Ambalaj Sanayi ve Ticaret AS"/>
    <n v="371992.3"/>
  </r>
  <r>
    <s v="Facture comptabilisée"/>
    <m/>
    <x v="0"/>
    <x v="1866"/>
    <s v="02/2022 JALAL"/>
    <d v="2022-01-20T00:00:00"/>
    <s v="300191"/>
    <s v="JTTL"/>
    <n v="3119.7"/>
  </r>
  <r>
    <s v="Facture comptabilisée"/>
    <m/>
    <x v="0"/>
    <x v="1867"/>
    <s v="03/2022 JALAL"/>
    <d v="2022-01-20T00:00:00"/>
    <s v="300191"/>
    <s v="JTTL"/>
    <n v="3279.73"/>
  </r>
  <r>
    <s v="Facture comptabilisée"/>
    <m/>
    <x v="0"/>
    <x v="1868"/>
    <s v="INDUSTRIEL"/>
    <d v="2022-01-21T00:00:00"/>
    <s v="300080"/>
    <s v="MASSILLY"/>
    <n v="124110"/>
  </r>
  <r>
    <s v="Facture comptabilisée"/>
    <m/>
    <x v="0"/>
    <x v="1869"/>
    <s v="INDUSTRIEL"/>
    <d v="2022-01-25T00:00:00"/>
    <s v="300080"/>
    <s v="MASSILLY"/>
    <n v="38976"/>
  </r>
  <r>
    <s v="Facture comptabilisée"/>
    <m/>
    <x v="0"/>
    <x v="1870"/>
    <s v="JIL PACK A"/>
    <d v="2022-01-25T00:00:00"/>
    <s v="300115"/>
    <s v="AUXILIAR CONSERVERA SA"/>
    <n v="232061.1557"/>
  </r>
  <r>
    <s v="Facture comptabilisée"/>
    <m/>
    <x v="0"/>
    <x v="1871"/>
    <s v="CUMAREX"/>
    <d v="2022-01-26T00:00:00"/>
    <s v="300115"/>
    <s v="AUXILIAR CONSERVERA SA"/>
    <n v="270565.54800000001"/>
  </r>
  <r>
    <s v="Facture comptabilisée"/>
    <m/>
    <x v="0"/>
    <x v="1872"/>
    <s v="04/2022 JALAL"/>
    <d v="2022-01-26T00:00:00"/>
    <s v="300321"/>
    <s v="JIL LOGISTIQUE"/>
    <n v="12000"/>
  </r>
  <r>
    <s v="Facture comptabilisée"/>
    <m/>
    <x v="0"/>
    <x v="1873"/>
    <d v="2022-02-01T00:00:00"/>
    <d v="2022-01-27T00:00:00"/>
    <s v="300043"/>
    <s v="DOUANE"/>
    <n v="906"/>
  </r>
  <r>
    <s v="Facture comptabilisée"/>
    <m/>
    <x v="0"/>
    <x v="1874"/>
    <d v="2022-02-01T00:00:00"/>
    <d v="2022-01-27T00:00:00"/>
    <s v="300101"/>
    <s v="ASMAE FORWARDING EXPRESS"/>
    <n v="3270.71"/>
  </r>
  <r>
    <s v="Facture comptabilisée"/>
    <m/>
    <x v="0"/>
    <x v="1875"/>
    <s v="04/2022 JALAL"/>
    <d v="2022-01-28T00:00:00"/>
    <s v="300043"/>
    <s v="DOUANE"/>
    <n v="1053"/>
  </r>
  <r>
    <s v="Facture comptabilisée"/>
    <m/>
    <x v="0"/>
    <x v="1876"/>
    <s v="JIL PACK A"/>
    <d v="2022-01-28T00:00:00"/>
    <s v="300115"/>
    <s v="AUXILIAR CONSERVERA SA"/>
    <n v="270565.54800000001"/>
  </r>
  <r>
    <s v="Facture comptabilisée"/>
    <m/>
    <x v="0"/>
    <x v="1877"/>
    <s v="280ML"/>
    <d v="2022-01-28T00:00:00"/>
    <s v="300133"/>
    <s v="OP BOX "/>
    <n v="9360"/>
  </r>
  <r>
    <s v="Facture comptabilisée"/>
    <m/>
    <x v="0"/>
    <x v="1878"/>
    <s v="20L"/>
    <d v="2022-01-28T00:00:00"/>
    <s v="300133"/>
    <s v="OP BOX "/>
    <n v="41342.400000000001"/>
  </r>
  <r>
    <s v="Facture comptabilisée"/>
    <m/>
    <x v="0"/>
    <x v="1879"/>
    <s v="06/2022 JALAL"/>
    <d v="2022-01-28T00:00:00"/>
    <s v="300321"/>
    <s v="JIL LOGISTIQUE"/>
    <n v="15500"/>
  </r>
  <r>
    <s v="Facture comptabilisée"/>
    <m/>
    <x v="0"/>
    <x v="1880"/>
    <s v="SILVER FOOD"/>
    <d v="2022-01-31T00:00:00"/>
    <s v="300115"/>
    <s v="AUXILIAR CONSERVERA SA"/>
    <n v="193968.06880000001"/>
  </r>
  <r>
    <s v="Facture comptabilisée"/>
    <m/>
    <x v="0"/>
    <x v="1881"/>
    <s v="JIL PACK A"/>
    <d v="2022-01-31T00:00:00"/>
    <s v="300115"/>
    <s v="AUXILIAR CONSERVERA SA"/>
    <n v="270565.54800000001"/>
  </r>
  <r>
    <s v="Facture comptabilisée"/>
    <m/>
    <x v="0"/>
    <x v="1882"/>
    <s v="04/2022 JALAL"/>
    <d v="2022-01-31T00:00:00"/>
    <s v="300191"/>
    <s v="JTTL"/>
    <n v="3118.91"/>
  </r>
  <r>
    <s v="Facture comptabilisée"/>
    <m/>
    <x v="0"/>
    <x v="1883"/>
    <s v="JIL PACK A"/>
    <d v="2022-01-31T00:00:00"/>
    <s v="300220"/>
    <s v="ENVASES EUROPE"/>
    <n v="1164893.1359999999"/>
  </r>
  <r>
    <s v="Facture comptabilisée"/>
    <m/>
    <x v="0"/>
    <x v="1884"/>
    <s v="05/2022 JALAL"/>
    <d v="2022-01-31T00:00:00"/>
    <s v="300321"/>
    <s v="JIL LOGISTIQUE"/>
    <n v="15500"/>
  </r>
  <r>
    <s v="Facture comptabilisée"/>
    <m/>
    <x v="0"/>
    <x v="1885"/>
    <s v="07/2022 JALAL"/>
    <d v="2022-01-31T00:00:00"/>
    <s v="300321"/>
    <s v="JIL LOGISTIQUE"/>
    <n v="48000"/>
  </r>
  <r>
    <s v="Facture comptabilisée"/>
    <m/>
    <x v="0"/>
    <x v="1886"/>
    <s v="06/2022 JALAL"/>
    <d v="2022-02-01T00:00:00"/>
    <s v="300043"/>
    <s v="DOUANE"/>
    <n v="1063"/>
  </r>
  <r>
    <s v="Facture comptabilisée"/>
    <m/>
    <x v="0"/>
    <x v="1887"/>
    <s v="05/2022 JALAL"/>
    <d v="2022-02-02T00:00:00"/>
    <s v="300043"/>
    <s v="DOUANE"/>
    <n v="1064"/>
  </r>
  <r>
    <s v="Facture comptabilisée"/>
    <m/>
    <x v="0"/>
    <x v="1888"/>
    <d v="2022-03-01T00:00:00"/>
    <d v="2022-02-02T00:00:00"/>
    <s v="300043"/>
    <s v="DOUANE"/>
    <n v="788"/>
  </r>
  <r>
    <s v="Facture comptabilisée"/>
    <m/>
    <x v="0"/>
    <x v="1889"/>
    <d v="2022-03-01T00:00:00"/>
    <d v="2022-02-02T00:00:00"/>
    <s v="300101"/>
    <s v="ASMAE FORWARDING EXPRESS"/>
    <n v="3128.97"/>
  </r>
  <r>
    <s v="Facture comptabilisée"/>
    <m/>
    <x v="0"/>
    <x v="1890"/>
    <s v="JIL PACK"/>
    <d v="2022-02-02T00:00:00"/>
    <s v="300115"/>
    <s v="AUXILIAR CONSERVERA SA"/>
    <n v="193807.2488"/>
  </r>
  <r>
    <s v="Facture comptabilisée"/>
    <m/>
    <x v="0"/>
    <x v="1891"/>
    <s v="3.8  TRANS"/>
    <d v="2022-02-02T00:00:00"/>
    <s v="300133"/>
    <s v="OP BOX "/>
    <n v="6864"/>
  </r>
  <r>
    <s v="Facture comptabilisée"/>
    <m/>
    <x v="0"/>
    <x v="1892"/>
    <s v="ALVEOL 30x50 NOIR"/>
    <d v="2022-02-04T00:00:00"/>
    <s v="300312"/>
    <s v="ILIP S.r.l."/>
    <n v="389664"/>
  </r>
  <r>
    <s v="Facture comptabilisée"/>
    <m/>
    <x v="0"/>
    <x v="1893"/>
    <s v="19/2022 JALAL"/>
    <d v="2022-02-04T00:00:00"/>
    <s v="300321"/>
    <s v="JIL LOGISTIQUE"/>
    <n v="13500"/>
  </r>
  <r>
    <s v="Facture comptabilisée"/>
    <m/>
    <x v="0"/>
    <x v="1894"/>
    <s v="07/2022 JALAL"/>
    <d v="2022-02-07T00:00:00"/>
    <s v="300043"/>
    <s v="DOUANE"/>
    <n v="4052"/>
  </r>
  <r>
    <s v="Facture comptabilisée"/>
    <m/>
    <x v="0"/>
    <x v="1895"/>
    <s v="07/2022 JALAL"/>
    <d v="2022-02-07T00:00:00"/>
    <s v="300043"/>
    <s v="DOUANE"/>
    <n v="2303"/>
  </r>
  <r>
    <s v="Facture comptabilisée"/>
    <m/>
    <x v="0"/>
    <x v="1896"/>
    <s v="LOGI FOOD"/>
    <d v="2022-02-07T00:00:00"/>
    <s v="300115"/>
    <s v="AUXILIAR CONSERVERA SA"/>
    <n v="270565.54800000001"/>
  </r>
  <r>
    <s v="Facture comptabilisée"/>
    <m/>
    <x v="0"/>
    <x v="1897"/>
    <s v="JIL PACK A"/>
    <d v="2022-02-07T00:00:00"/>
    <s v="300115"/>
    <s v="AUXILIAR CONSERVERA SA"/>
    <n v="270565.54800000001"/>
  </r>
  <r>
    <s v="Facture comptabilisée"/>
    <m/>
    <x v="0"/>
    <x v="1898"/>
    <s v="JIL PACK A"/>
    <d v="2022-02-07T00:00:00"/>
    <s v="300115"/>
    <s v="AUXILIAR CONSERVERA SA"/>
    <n v="172950.62400000001"/>
  </r>
  <r>
    <s v="Facture comptabilisée"/>
    <m/>
    <x v="0"/>
    <x v="1899"/>
    <s v="05/2022 JALAL"/>
    <d v="2022-02-07T00:00:00"/>
    <s v="300191"/>
    <s v="JTTL"/>
    <n v="3132.47"/>
  </r>
  <r>
    <s v="Facture comptabilisée"/>
    <m/>
    <x v="0"/>
    <x v="1900"/>
    <s v="06/2022 JALAL"/>
    <d v="2022-02-07T00:00:00"/>
    <s v="300191"/>
    <s v="JTTL"/>
    <n v="3125.3"/>
  </r>
  <r>
    <s v="Facture comptabilisée"/>
    <m/>
    <x v="0"/>
    <x v="1901"/>
    <s v="08/2022 JALAL"/>
    <d v="2022-02-07T00:00:00"/>
    <s v="300321"/>
    <s v="JIL LOGISTIQUE"/>
    <n v="15500"/>
  </r>
  <r>
    <s v="Facture comptabilisée"/>
    <m/>
    <x v="0"/>
    <x v="1902"/>
    <s v="09/2022 JALAL"/>
    <d v="2022-02-07T00:00:00"/>
    <s v="300321"/>
    <s v="JIL LOGISTIQUE"/>
    <n v="13500"/>
  </r>
  <r>
    <s v="Facture comptabilisée"/>
    <m/>
    <x v="0"/>
    <x v="1903"/>
    <d v="2022-04-01T00:00:00"/>
    <d v="2022-02-08T00:00:00"/>
    <s v="300043"/>
    <s v="DOUANE"/>
    <n v="792"/>
  </r>
  <r>
    <s v="Facture comptabilisée"/>
    <m/>
    <x v="0"/>
    <x v="1904"/>
    <s v="09/2022 JALAL"/>
    <d v="2022-02-08T00:00:00"/>
    <s v="300043"/>
    <s v="DOUANE"/>
    <n v="1068"/>
  </r>
  <r>
    <s v="Facture comptabilisée"/>
    <m/>
    <x v="0"/>
    <x v="1905"/>
    <s v="08/2022 JALAL"/>
    <d v="2022-02-08T00:00:00"/>
    <s v="300043"/>
    <s v="DOUANE"/>
    <n v="1073"/>
  </r>
  <r>
    <s v="Facture comptabilisée"/>
    <m/>
    <x v="0"/>
    <x v="1906"/>
    <s v="09/2022 JALAL"/>
    <d v="2022-02-08T00:00:00"/>
    <s v="300043"/>
    <s v="DOUANE"/>
    <n v="2277"/>
  </r>
  <r>
    <s v="Facture comptabilisée"/>
    <m/>
    <x v="0"/>
    <x v="1907"/>
    <s v="22L"/>
    <d v="2022-02-08T00:00:00"/>
    <s v="300080"/>
    <s v="MASSILLY"/>
    <n v="63568"/>
  </r>
  <r>
    <s v="Facture comptabilisée"/>
    <m/>
    <x v="0"/>
    <x v="1908"/>
    <d v="2022-04-01T00:00:00"/>
    <d v="2022-02-08T00:00:00"/>
    <s v="300101"/>
    <s v="ASMAE FORWARDING EXPRESS"/>
    <n v="3766.52"/>
  </r>
  <r>
    <s v="Facture comptabilisée"/>
    <m/>
    <x v="0"/>
    <x v="1909"/>
    <s v="JIL PACK"/>
    <d v="2022-02-08T00:00:00"/>
    <s v="300115"/>
    <s v="AUXILIAR CONSERVERA SA"/>
    <n v="145042.26"/>
  </r>
  <r>
    <s v="Facture comptabilisée"/>
    <m/>
    <x v="0"/>
    <x v="1910"/>
    <s v="19/2022 JALAL"/>
    <d v="2022-02-09T00:00:00"/>
    <s v="300043"/>
    <s v="DOUANE"/>
    <n v="5372"/>
  </r>
  <r>
    <s v="Facture comptabilisée"/>
    <m/>
    <x v="0"/>
    <x v="1911"/>
    <d v="2022-05-01T00:00:00"/>
    <d v="2022-02-09T00:00:00"/>
    <s v="300043"/>
    <s v="DOUANE"/>
    <n v="724"/>
  </r>
  <r>
    <s v="Facture comptabilisée"/>
    <m/>
    <x v="0"/>
    <x v="1912"/>
    <d v="2022-05-01T00:00:00"/>
    <d v="2022-02-09T00:00:00"/>
    <s v="300101"/>
    <s v="ASMAE FORWARDING EXPRESS"/>
    <n v="3144.93"/>
  </r>
  <r>
    <s v="Facture comptabilisée"/>
    <m/>
    <x v="0"/>
    <x v="1913"/>
    <s v="SILVER FOOD"/>
    <d v="2022-02-10T00:00:00"/>
    <s v="300115"/>
    <s v="AUXILIAR CONSERVERA SA"/>
    <n v="270565.54800000001"/>
  </r>
  <r>
    <s v="Facture comptabilisée"/>
    <m/>
    <x v="0"/>
    <x v="1914"/>
    <s v="13/2022 JALAL"/>
    <d v="2022-02-10T00:00:00"/>
    <s v="300321"/>
    <s v="JIL LOGISTIQUE"/>
    <n v="13500"/>
  </r>
  <r>
    <s v="Facture comptabilisée"/>
    <m/>
    <x v="0"/>
    <x v="1915"/>
    <d v="2022-06-01T00:00:00"/>
    <d v="2022-02-11T00:00:00"/>
    <s v="300043"/>
    <s v="DOUANE"/>
    <n v="634"/>
  </r>
  <r>
    <s v="Facture comptabilisée"/>
    <m/>
    <x v="0"/>
    <x v="1916"/>
    <s v="13/2022 JALAL"/>
    <d v="2022-02-11T00:00:00"/>
    <s v="300043"/>
    <s v="DOUANE"/>
    <n v="1069"/>
  </r>
  <r>
    <s v="Facture comptabilisée"/>
    <m/>
    <x v="0"/>
    <x v="1917"/>
    <d v="2022-06-01T00:00:00"/>
    <d v="2022-02-11T00:00:00"/>
    <s v="300101"/>
    <s v="ASMAE FORWARDING EXPRESS"/>
    <n v="3105.37"/>
  </r>
  <r>
    <s v="Facture comptabilisée"/>
    <m/>
    <x v="0"/>
    <x v="1918"/>
    <s v="MIDAV"/>
    <d v="2022-02-11T00:00:00"/>
    <s v="300115"/>
    <s v="AUXILIAR CONSERVERA SA"/>
    <n v="270565.54800000001"/>
  </r>
  <r>
    <s v="Facture comptabilisée"/>
    <m/>
    <x v="0"/>
    <x v="1919"/>
    <s v="07/2022 JALAL"/>
    <d v="2022-02-11T00:00:00"/>
    <s v="300191"/>
    <s v="JTTL"/>
    <n v="3439.61"/>
  </r>
  <r>
    <s v="Facture comptabilisée"/>
    <m/>
    <x v="0"/>
    <x v="1920"/>
    <s v="08/2022 JALAL"/>
    <d v="2022-02-11T00:00:00"/>
    <s v="300191"/>
    <s v="JTTL"/>
    <n v="3149.36"/>
  </r>
  <r>
    <s v="Facture comptabilisée"/>
    <m/>
    <x v="0"/>
    <x v="1921"/>
    <s v="09/2022 JALAL"/>
    <d v="2022-02-11T00:00:00"/>
    <s v="300191"/>
    <s v="JTTL"/>
    <n v="3149.36"/>
  </r>
  <r>
    <s v="Facture comptabilisée"/>
    <m/>
    <x v="0"/>
    <x v="1922"/>
    <s v="12/2022 JALAL"/>
    <d v="2022-02-11T00:00:00"/>
    <s v="300321"/>
    <s v="JIL LOGISTIQUE"/>
    <n v="15500"/>
  </r>
  <r>
    <s v="Facture comptabilisée"/>
    <m/>
    <x v="0"/>
    <x v="1923"/>
    <s v="JIL PACK A"/>
    <d v="2022-02-14T00:00:00"/>
    <s v="300115"/>
    <s v="AUXILIAR CONSERVERA SA"/>
    <n v="172950.62400000001"/>
  </r>
  <r>
    <s v="Facture comptabilisée"/>
    <m/>
    <x v="0"/>
    <x v="1924"/>
    <s v="LOGI FOOD"/>
    <d v="2022-02-14T00:00:00"/>
    <s v="300115"/>
    <s v="AUXILIAR CONSERVERA SA"/>
    <n v="270565.54800000001"/>
  </r>
  <r>
    <s v="Facture comptabilisée"/>
    <m/>
    <x v="0"/>
    <x v="1925"/>
    <s v="10/2022 JALAL"/>
    <d v="2022-02-14T00:00:00"/>
    <s v="300321"/>
    <s v="JIL LOGISTIQUE"/>
    <n v="13500"/>
  </r>
  <r>
    <s v="Facture comptabilisée"/>
    <m/>
    <x v="0"/>
    <x v="1926"/>
    <s v="12/2022 JALAL"/>
    <d v="2022-02-15T00:00:00"/>
    <s v="300043"/>
    <s v="DOUANE"/>
    <n v="1069"/>
  </r>
  <r>
    <s v="Facture comptabilisée"/>
    <m/>
    <x v="0"/>
    <x v="1927"/>
    <s v="12/2022 JALAL"/>
    <d v="2022-02-15T00:00:00"/>
    <s v="300043"/>
    <s v="DOUANE"/>
    <n v="1434"/>
  </r>
  <r>
    <s v="Facture comptabilisée"/>
    <m/>
    <x v="0"/>
    <x v="1928"/>
    <s v="10/2022 JALAL"/>
    <d v="2022-02-16T00:00:00"/>
    <s v="300043"/>
    <s v="DOUANE"/>
    <n v="1066"/>
  </r>
  <r>
    <s v="Facture comptabilisée"/>
    <m/>
    <x v="0"/>
    <x v="1929"/>
    <s v="JIL PACK A"/>
    <d v="2022-02-16T00:00:00"/>
    <s v="300115"/>
    <s v="AUXILIAR CONSERVERA SA"/>
    <n v="270565.54800000001"/>
  </r>
  <r>
    <s v="Facture comptabilisée"/>
    <m/>
    <x v="0"/>
    <x v="1930"/>
    <s v="11/2022 JALAL"/>
    <d v="2022-02-16T00:00:00"/>
    <s v="300321"/>
    <s v="JIL LOGISTIQUE"/>
    <n v="15500"/>
  </r>
  <r>
    <s v="Facture comptabilisée"/>
    <m/>
    <x v="0"/>
    <x v="1931"/>
    <d v="2022-07-01T00:00:00"/>
    <d v="2022-02-17T00:00:00"/>
    <s v="300043"/>
    <s v="DOUANE"/>
    <n v="722"/>
  </r>
  <r>
    <s v="Facture comptabilisée"/>
    <m/>
    <x v="0"/>
    <x v="1932"/>
    <s v="11/2022 JALAL"/>
    <d v="2022-02-17T00:00:00"/>
    <s v="300043"/>
    <s v="DOUANE"/>
    <n v="1073"/>
  </r>
  <r>
    <s v="Facture comptabilisée"/>
    <m/>
    <x v="0"/>
    <x v="1933"/>
    <s v="01/2022 REC JAC"/>
    <d v="2022-02-17T00:00:00"/>
    <s v="300043"/>
    <s v="DOUANE"/>
    <n v="1337"/>
  </r>
  <r>
    <s v="Facture comptabilisée"/>
    <m/>
    <x v="0"/>
    <x v="1934"/>
    <s v="01/2022 RECJAC"/>
    <d v="2022-02-17T00:00:00"/>
    <s v="300043"/>
    <s v="DOUANE"/>
    <n v="1801"/>
  </r>
  <r>
    <s v="Facture comptabilisée"/>
    <m/>
    <x v="0"/>
    <x v="1935"/>
    <d v="2022-07-01T00:00:00"/>
    <d v="2022-02-17T00:00:00"/>
    <s v="300101"/>
    <s v="ASMAE FORWARDING EXPRESS"/>
    <n v="3299.91"/>
  </r>
  <r>
    <s v="Facture comptabilisée"/>
    <m/>
    <x v="0"/>
    <x v="1936"/>
    <s v="SILVER FOOD"/>
    <d v="2022-02-17T00:00:00"/>
    <s v="300115"/>
    <s v="AUXILIAR CONSERVERA SA"/>
    <n v="270565.54800000001"/>
  </r>
  <r>
    <s v="Facture comptabilisée"/>
    <m/>
    <x v="0"/>
    <x v="1937"/>
    <s v="14/2022 JALAL"/>
    <d v="2022-02-17T00:00:00"/>
    <s v="300321"/>
    <s v="JIL LOGISTIQUE"/>
    <n v="13500"/>
  </r>
  <r>
    <s v="Facture comptabilisée"/>
    <m/>
    <x v="0"/>
    <x v="1938"/>
    <s v="14/2022 JALAL"/>
    <d v="2022-02-18T00:00:00"/>
    <s v="300043"/>
    <s v="DOUANE"/>
    <n v="1068"/>
  </r>
  <r>
    <s v="Facture comptabilisée"/>
    <m/>
    <x v="0"/>
    <x v="1939"/>
    <s v="3.80AP"/>
    <d v="2022-02-18T00:00:00"/>
    <s v="300133"/>
    <s v="OP BOX "/>
    <n v="15444"/>
  </r>
  <r>
    <s v="Facture comptabilisée"/>
    <m/>
    <x v="0"/>
    <x v="1940"/>
    <s v="280ML"/>
    <d v="2022-02-18T00:00:00"/>
    <s v="300133"/>
    <s v="OP BOX "/>
    <n v="9360"/>
  </r>
  <r>
    <s v="Facture comptabilisée"/>
    <m/>
    <x v="0"/>
    <x v="1941"/>
    <s v="10L"/>
    <d v="2022-02-18T00:00:00"/>
    <s v="300133"/>
    <s v="OP BOX "/>
    <n v="23985"/>
  </r>
  <r>
    <s v="Facture comptabilisée"/>
    <m/>
    <x v="0"/>
    <x v="1942"/>
    <s v="COPAG VIANDES"/>
    <d v="2022-02-21T00:00:00"/>
    <s v="300115"/>
    <s v="AUXILIAR CONSERVERA SA"/>
    <n v="3682.5360000000001"/>
  </r>
  <r>
    <s v="Facture comptabilisée"/>
    <m/>
    <x v="0"/>
    <x v="1943"/>
    <s v="10/2022 JALAL"/>
    <d v="2022-02-21T00:00:00"/>
    <s v="300191"/>
    <s v="JTTL"/>
    <n v="3144.21"/>
  </r>
  <r>
    <s v="Facture comptabilisée"/>
    <m/>
    <x v="0"/>
    <x v="1944"/>
    <s v="11/2022 JALAL"/>
    <d v="2022-02-21T00:00:00"/>
    <s v="300191"/>
    <s v="JTTL"/>
    <n v="3148.26"/>
  </r>
  <r>
    <s v="Facture comptabilisée"/>
    <m/>
    <x v="0"/>
    <x v="1945"/>
    <s v="12/2022 JALAL"/>
    <d v="2022-02-21T00:00:00"/>
    <s v="300191"/>
    <s v="JTTL"/>
    <n v="3273.17"/>
  </r>
  <r>
    <s v="Facture comptabilisée"/>
    <m/>
    <x v="0"/>
    <x v="1946"/>
    <s v="13/2022 JALAL"/>
    <d v="2022-02-21T00:00:00"/>
    <s v="300191"/>
    <s v="JTTL"/>
    <n v="3148.87"/>
  </r>
  <r>
    <s v="Facture comptabilisée"/>
    <m/>
    <x v="0"/>
    <x v="1947"/>
    <s v="JIL PACK"/>
    <d v="2022-02-22T00:00:00"/>
    <s v="300115"/>
    <s v="AUXILIAR CONSERVERA SA"/>
    <n v="368883.25760000001"/>
  </r>
  <r>
    <s v="Facture comptabilisée"/>
    <m/>
    <x v="0"/>
    <x v="1948"/>
    <s v="VMM"/>
    <d v="2022-02-22T00:00:00"/>
    <s v="300115"/>
    <s v="AUXILIAR CONSERVERA SA"/>
    <n v="321433.54100000003"/>
  </r>
  <r>
    <s v="Facture comptabilisée"/>
    <m/>
    <x v="0"/>
    <x v="1949"/>
    <s v="1200ML/870ML/280M"/>
    <d v="2022-02-22T00:00:00"/>
    <s v="300133"/>
    <s v="OP BOX "/>
    <n v="16550.400000000001"/>
  </r>
  <r>
    <s v="Facture comptabilisée"/>
    <m/>
    <x v="0"/>
    <x v="1950"/>
    <s v="14/2022 JALAL"/>
    <d v="2022-02-22T00:00:00"/>
    <s v="300191"/>
    <s v="JTTL"/>
    <n v="3149.15"/>
  </r>
  <r>
    <s v="Facture comptabilisée"/>
    <m/>
    <x v="0"/>
    <x v="1951"/>
    <s v="16/2022 JALAL"/>
    <d v="2022-02-22T00:00:00"/>
    <s v="300321"/>
    <s v="JIL LOGISTIQUE"/>
    <n v="13500"/>
  </r>
  <r>
    <s v="Facture comptabilisée"/>
    <m/>
    <x v="0"/>
    <x v="1952"/>
    <s v="16/2022 JALAL"/>
    <d v="2022-02-23T00:00:00"/>
    <s v="300043"/>
    <s v="DOUANE"/>
    <n v="1394"/>
  </r>
  <r>
    <s v="Facture comptabilisée"/>
    <m/>
    <x v="0"/>
    <x v="1953"/>
    <s v="JIL PACK*LOGI PPT"/>
    <d v="2022-02-23T00:00:00"/>
    <s v="300115"/>
    <s v="AUXILIAR CONSERVERA SA"/>
    <n v="270565.54800000001"/>
  </r>
  <r>
    <s v="Facture comptabilisée"/>
    <m/>
    <x v="0"/>
    <x v="1954"/>
    <s v="15/2022 JALAL"/>
    <d v="2022-02-23T00:00:00"/>
    <s v="300321"/>
    <s v="JIL LOGISTIQUE"/>
    <n v="13500"/>
  </r>
  <r>
    <s v="Facture comptabilisée"/>
    <m/>
    <x v="0"/>
    <x v="1955"/>
    <d v="2022-09-01T00:00:00"/>
    <d v="2022-02-25T00:00:00"/>
    <s v="300043"/>
    <s v="DOUANE"/>
    <n v="1200"/>
  </r>
  <r>
    <s v="Facture comptabilisée"/>
    <m/>
    <x v="0"/>
    <x v="1956"/>
    <s v="15/2022 JALAL"/>
    <d v="2022-02-25T00:00:00"/>
    <s v="300043"/>
    <s v="DOUANE"/>
    <n v="1063"/>
  </r>
  <r>
    <s v="Facture comptabilisée"/>
    <m/>
    <x v="0"/>
    <x v="1957"/>
    <d v="2022-09-01T00:00:00"/>
    <d v="2022-02-25T00:00:00"/>
    <s v="300043"/>
    <s v="DOUANE"/>
    <n v="1908"/>
  </r>
  <r>
    <s v="Facture comptabilisée"/>
    <m/>
    <x v="0"/>
    <x v="1958"/>
    <d v="2022-09-01T00:00:00"/>
    <d v="2022-02-25T00:00:00"/>
    <s v="300101"/>
    <s v="ASMAE FORWARDING EXPRESS"/>
    <n v="3289.83"/>
  </r>
  <r>
    <s v="Facture comptabilisée"/>
    <m/>
    <x v="0"/>
    <x v="1959"/>
    <s v="JIL PACK A"/>
    <d v="2022-02-25T00:00:00"/>
    <s v="300115"/>
    <s v="AUXILIAR CONSERVERA SA"/>
    <n v="368883.25760000001"/>
  </r>
  <r>
    <s v="Facture comptabilisée"/>
    <m/>
    <x v="0"/>
    <x v="1960"/>
    <s v="18/2022 JALAL"/>
    <d v="2022-02-25T00:00:00"/>
    <s v="300321"/>
    <s v="JIL LOGISTIQUE"/>
    <n v="15500"/>
  </r>
  <r>
    <s v="Facture comptabilisée"/>
    <m/>
    <x v="0"/>
    <x v="1961"/>
    <s v="RO85 FBN /PELADA"/>
    <d v="2022-02-28T00:00:00"/>
    <s v="300115"/>
    <s v="AUXILIAR CONSERVERA SA"/>
    <n v="270565.54800000001"/>
  </r>
  <r>
    <s v="Facture comptabilisée"/>
    <m/>
    <x v="0"/>
    <x v="1962"/>
    <s v="JIL PACK"/>
    <d v="2022-02-28T00:00:00"/>
    <s v="300115"/>
    <s v="AUXILIAR CONSERVERA SA"/>
    <n v="270565.54800000001"/>
  </r>
  <r>
    <s v="Facture comptabilisée"/>
    <m/>
    <x v="0"/>
    <x v="1963"/>
    <s v="15/2022 JALAL"/>
    <d v="2022-02-28T00:00:00"/>
    <s v="300191"/>
    <s v="JTTL"/>
    <n v="3116.67"/>
  </r>
  <r>
    <s v="Facture comptabilisée"/>
    <m/>
    <x v="0"/>
    <x v="1964"/>
    <s v="16/2022 JALAL"/>
    <d v="2022-02-28T00:00:00"/>
    <s v="300191"/>
    <s v="JTTL"/>
    <n v="3136.39"/>
  </r>
  <r>
    <s v="Facture comptabilisée"/>
    <m/>
    <x v="0"/>
    <x v="1965"/>
    <s v="01/2022 REC JAC"/>
    <d v="2022-02-28T00:00:00"/>
    <s v="300301"/>
    <s v="RECOING &amp; JACQUETY"/>
    <n v="8782.09"/>
  </r>
  <r>
    <s v="Facture comptabilisée"/>
    <m/>
    <x v="0"/>
    <x v="1966"/>
    <s v="20/2022 JALAL"/>
    <d v="2022-02-28T00:00:00"/>
    <s v="300321"/>
    <s v="JIL LOGISTIQUE"/>
    <n v="15500"/>
  </r>
  <r>
    <s v="Facture comptabilisée"/>
    <m/>
    <x v="0"/>
    <x v="1967"/>
    <s v="17/2022 JALAL"/>
    <d v="2022-02-28T00:00:00"/>
    <s v="300321"/>
    <s v="JIL LOGISTIQUE"/>
    <n v="13500"/>
  </r>
  <r>
    <s v="Facture comptabilisée"/>
    <m/>
    <x v="0"/>
    <x v="1968"/>
    <s v="20/2022 JALAL"/>
    <d v="2022-03-01T00:00:00"/>
    <s v="300043"/>
    <s v="DOUANE"/>
    <n v="1073"/>
  </r>
  <r>
    <s v="Facture comptabilisée"/>
    <m/>
    <x v="0"/>
    <x v="1969"/>
    <s v="18/2022 JALAL"/>
    <d v="2022-03-01T00:00:00"/>
    <s v="300043"/>
    <s v="DOUANE"/>
    <n v="1399"/>
  </r>
  <r>
    <s v="Facture comptabilisée"/>
    <m/>
    <x v="0"/>
    <x v="1970"/>
    <s v="17/2022 JALAL"/>
    <d v="2022-03-01T00:00:00"/>
    <s v="300043"/>
    <s v="DOUANE"/>
    <n v="1072"/>
  </r>
  <r>
    <s v="Facture comptabilisée"/>
    <m/>
    <x v="0"/>
    <x v="1971"/>
    <s v="17/2022 JALAL"/>
    <d v="2022-03-01T00:00:00"/>
    <s v="300043"/>
    <s v="DOUANE"/>
    <n v="1922"/>
  </r>
  <r>
    <s v="Facture comptabilisée"/>
    <m/>
    <x v="0"/>
    <x v="1972"/>
    <s v="MFI"/>
    <d v="2022-03-01T00:00:00"/>
    <s v="300115"/>
    <s v="AUXILIAR CONSERVERA SA"/>
    <n v="133277.639"/>
  </r>
  <r>
    <s v="Facture comptabilisée"/>
    <m/>
    <x v="0"/>
    <x v="1973"/>
    <m/>
    <d v="2022-03-01T00:00:00"/>
    <s v="300224"/>
    <s v="MALLARD FERRIERE"/>
    <n v="36813.480000000003"/>
  </r>
  <r>
    <s v="Facture comptabilisée"/>
    <m/>
    <x v="0"/>
    <x v="1974"/>
    <s v="JIL PACK A"/>
    <d v="2022-03-02T00:00:00"/>
    <s v="300115"/>
    <s v="AUXILIAR CONSERVERA SA"/>
    <n v="270429.69799999997"/>
  </r>
  <r>
    <s v="Facture comptabilisée"/>
    <m/>
    <x v="0"/>
    <x v="1975"/>
    <s v="JIL PACK A"/>
    <d v="2022-03-02T00:00:00"/>
    <s v="300115"/>
    <s v="AUXILIAR CONSERVERA SA"/>
    <n v="368883.25760000001"/>
  </r>
  <r>
    <s v="Facture comptabilisée"/>
    <m/>
    <x v="0"/>
    <x v="1976"/>
    <s v="23/2022 JALAL"/>
    <d v="2022-03-02T00:00:00"/>
    <s v="300321"/>
    <s v="JIL LOGISTIQUE"/>
    <n v="15500"/>
  </r>
  <r>
    <s v="Facture comptabilisée"/>
    <m/>
    <x v="0"/>
    <x v="1977"/>
    <d v="2022-08-01T00:00:00"/>
    <d v="2022-03-03T00:00:00"/>
    <s v="300043"/>
    <s v="DOUANE"/>
    <n v="609"/>
  </r>
  <r>
    <s v="Facture comptabilisée"/>
    <m/>
    <x v="0"/>
    <x v="1978"/>
    <d v="2022-08-01T00:00:00"/>
    <d v="2022-03-03T00:00:00"/>
    <s v="300101"/>
    <s v="ASMAE FORWARDING EXPRESS"/>
    <n v="3299.75"/>
  </r>
  <r>
    <s v="Facture comptabilisée"/>
    <m/>
    <x v="0"/>
    <x v="1979"/>
    <s v="JIL PACK A"/>
    <d v="2022-03-03T00:00:00"/>
    <s v="300115"/>
    <s v="AUXILIAR CONSERVERA SA"/>
    <n v="368883.25760000001"/>
  </r>
  <r>
    <s v="Facture comptabilisée"/>
    <m/>
    <x v="0"/>
    <x v="1980"/>
    <s v="VMM*2*"/>
    <d v="2022-03-03T00:00:00"/>
    <s v="300115"/>
    <s v="AUXILIAR CONSERVERA SA"/>
    <n v="226913.742"/>
  </r>
  <r>
    <s v="Facture comptabilisée"/>
    <m/>
    <x v="0"/>
    <x v="1981"/>
    <s v="JIL PACK"/>
    <d v="2022-03-03T00:00:00"/>
    <s v="300115"/>
    <s v="AUXILIAR CONSERVERA SA"/>
    <n v="77808.301999999996"/>
  </r>
  <r>
    <s v="Facture comptabilisée"/>
    <m/>
    <x v="0"/>
    <x v="1982"/>
    <s v="22/2022 JALAL"/>
    <d v="2022-03-03T00:00:00"/>
    <s v="300321"/>
    <s v="JIL LOGISTIQUE"/>
    <n v="15500"/>
  </r>
  <r>
    <s v="Facture comptabilisée"/>
    <m/>
    <x v="0"/>
    <x v="1983"/>
    <s v="21/2022 JALAL"/>
    <d v="2022-03-03T00:00:00"/>
    <s v="300321"/>
    <s v="JIL LOGISTIQUE"/>
    <n v="15500"/>
  </r>
  <r>
    <s v="Facture comptabilisée"/>
    <m/>
    <x v="0"/>
    <x v="1984"/>
    <s v="23/2022 JALAL"/>
    <d v="2022-03-04T00:00:00"/>
    <s v="300043"/>
    <s v="DOUANE"/>
    <n v="1073"/>
  </r>
  <r>
    <s v="Facture comptabilisée"/>
    <m/>
    <x v="0"/>
    <x v="1985"/>
    <s v="21/2022 JALAL"/>
    <d v="2022-03-04T00:00:00"/>
    <s v="300043"/>
    <s v="DOUANE"/>
    <n v="1393"/>
  </r>
  <r>
    <s v="Facture comptabilisée"/>
    <m/>
    <x v="0"/>
    <x v="1986"/>
    <s v="22/2022 JALAL"/>
    <d v="2022-03-04T00:00:00"/>
    <s v="300043"/>
    <s v="DOUANE"/>
    <n v="1393"/>
  </r>
  <r>
    <s v="Facture comptabilisée"/>
    <m/>
    <x v="0"/>
    <x v="1987"/>
    <s v="21/2022 JALAL"/>
    <d v="2022-03-04T00:00:00"/>
    <s v="300043"/>
    <s v="DOUANE"/>
    <n v="1896"/>
  </r>
  <r>
    <s v="Facture comptabilisée"/>
    <m/>
    <x v="0"/>
    <x v="1988"/>
    <s v="JIL PACK A"/>
    <d v="2022-03-07T00:00:00"/>
    <s v="300115"/>
    <s v="AUXILIAR CONSERVERA SA"/>
    <n v="270565.54800000001"/>
  </r>
  <r>
    <s v="Facture comptabilisée"/>
    <m/>
    <x v="0"/>
    <x v="1989"/>
    <s v="17/2022 JALAL"/>
    <d v="2022-03-07T00:00:00"/>
    <s v="300191"/>
    <s v="JTTL"/>
    <n v="3161.24"/>
  </r>
  <r>
    <s v="Facture comptabilisée"/>
    <m/>
    <x v="0"/>
    <x v="1990"/>
    <s v="18/2022 JALAL"/>
    <d v="2022-03-07T00:00:00"/>
    <s v="300191"/>
    <s v="JTTL"/>
    <n v="3161.24"/>
  </r>
  <r>
    <s v="Facture comptabilisée"/>
    <m/>
    <x v="0"/>
    <x v="1991"/>
    <s v="19/2022 JALAL"/>
    <d v="2022-03-07T00:00:00"/>
    <s v="300191"/>
    <s v="JTTL"/>
    <n v="11234.89"/>
  </r>
  <r>
    <s v="Facture comptabilisée"/>
    <m/>
    <x v="0"/>
    <x v="1992"/>
    <s v="20/2022 JALAL"/>
    <d v="2022-03-07T00:00:00"/>
    <s v="300191"/>
    <s v="JTTL"/>
    <n v="3161.24"/>
  </r>
  <r>
    <s v="Facture comptabilisée"/>
    <m/>
    <x v="0"/>
    <x v="1993"/>
    <s v="TO"/>
    <d v="2022-03-07T00:00:00"/>
    <s v="300226"/>
    <s v="Sarten Ambalaj Sanayi ve Ticaret AS"/>
    <n v="85050"/>
  </r>
  <r>
    <s v="Facture comptabilisée"/>
    <m/>
    <x v="0"/>
    <x v="1994"/>
    <s v="25/2022 JALAL"/>
    <d v="2022-03-07T00:00:00"/>
    <s v="300321"/>
    <s v="JIL LOGISTIQUE"/>
    <n v="15500"/>
  </r>
  <r>
    <s v="Facture comptabilisée"/>
    <m/>
    <x v="0"/>
    <x v="1995"/>
    <d v="2022-10-01T00:00:00"/>
    <d v="2022-03-08T00:00:00"/>
    <s v="300043"/>
    <s v="DOUANE"/>
    <n v="1151"/>
  </r>
  <r>
    <s v="Facture comptabilisée"/>
    <m/>
    <x v="0"/>
    <x v="1996"/>
    <d v="2022-10-01T00:00:00"/>
    <d v="2022-03-08T00:00:00"/>
    <s v="300101"/>
    <s v="ASMAE FORWARDING EXPRESS"/>
    <n v="3610.98"/>
  </r>
  <r>
    <s v="Facture comptabilisée"/>
    <m/>
    <x v="0"/>
    <x v="1997"/>
    <s v="JIL PACK A"/>
    <d v="2022-03-08T00:00:00"/>
    <s v="300115"/>
    <s v="AUXILIAR CONSERVERA SA"/>
    <n v="345087.56699999998"/>
  </r>
  <r>
    <s v="Facture comptabilisée"/>
    <m/>
    <x v="0"/>
    <x v="1998"/>
    <s v="JIL PACK A*PELADA"/>
    <d v="2022-03-08T00:00:00"/>
    <s v="300115"/>
    <s v="AUXILIAR CONSERVERA SA"/>
    <n v="270565.54800000001"/>
  </r>
  <r>
    <s v="Facture comptabilisée"/>
    <m/>
    <x v="0"/>
    <x v="1999"/>
    <s v="10L"/>
    <d v="2022-03-08T00:00:00"/>
    <s v="300133"/>
    <s v="OP BOX "/>
    <n v="11992.5"/>
  </r>
  <r>
    <s v="Facture comptabilisée"/>
    <m/>
    <x v="0"/>
    <x v="2000"/>
    <s v="280ML"/>
    <d v="2022-03-08T00:00:00"/>
    <s v="300133"/>
    <s v="OP BOX "/>
    <n v="28592.400000000001"/>
  </r>
  <r>
    <s v="Facture comptabilisée"/>
    <m/>
    <x v="0"/>
    <x v="2001"/>
    <s v="26/2022 JALAL"/>
    <d v="2022-03-08T00:00:00"/>
    <s v="300321"/>
    <s v="JIL LOGISTIQUE"/>
    <n v="15500"/>
  </r>
  <r>
    <s v="Facture comptabilisée"/>
    <m/>
    <x v="0"/>
    <x v="2002"/>
    <s v="24/2022 JALAL"/>
    <d v="2022-03-08T00:00:00"/>
    <s v="300321"/>
    <s v="JIL LOGISTIQUE"/>
    <n v="15500"/>
  </r>
  <r>
    <s v="Facture comptabilisée"/>
    <m/>
    <x v="0"/>
    <x v="2003"/>
    <s v="25/2022 JALAL"/>
    <d v="2022-03-09T00:00:00"/>
    <s v="300043"/>
    <s v="DOUANE"/>
    <n v="1093"/>
  </r>
  <r>
    <s v="Facture comptabilisée"/>
    <m/>
    <x v="0"/>
    <x v="2004"/>
    <s v="26/2022 JALAL"/>
    <d v="2022-03-09T00:00:00"/>
    <s v="300043"/>
    <s v="DOUANE"/>
    <n v="1093"/>
  </r>
  <r>
    <s v="Facture comptabilisée"/>
    <m/>
    <x v="0"/>
    <x v="2005"/>
    <s v="24/2022 JALAL"/>
    <d v="2022-03-09T00:00:00"/>
    <s v="300043"/>
    <s v="DOUANE"/>
    <n v="1337"/>
  </r>
  <r>
    <s v="Facture comptabilisée"/>
    <m/>
    <x v="0"/>
    <x v="2006"/>
    <s v="24/2022 JALAL"/>
    <d v="2022-03-09T00:00:00"/>
    <s v="300043"/>
    <s v="DOUANE"/>
    <n v="1443"/>
  </r>
  <r>
    <s v="Facture comptabilisée"/>
    <m/>
    <x v="0"/>
    <x v="2007"/>
    <s v="26/2022 JALAL"/>
    <d v="2022-03-09T00:00:00"/>
    <s v="300043"/>
    <s v="DOUANE"/>
    <n v="1678"/>
  </r>
  <r>
    <s v="Facture comptabilisée"/>
    <m/>
    <x v="0"/>
    <x v="2008"/>
    <s v="21/2022 JALAL"/>
    <d v="2022-03-09T00:00:00"/>
    <s v="300191"/>
    <s v="JTTL"/>
    <n v="3150.75"/>
  </r>
  <r>
    <s v="Facture comptabilisée"/>
    <m/>
    <x v="0"/>
    <x v="2009"/>
    <s v="22/2022 JALAL"/>
    <d v="2022-03-09T00:00:00"/>
    <s v="300191"/>
    <s v="JTTL"/>
    <n v="3150.75"/>
  </r>
  <r>
    <s v="Facture comptabilisée"/>
    <m/>
    <x v="0"/>
    <x v="2010"/>
    <s v="23/2022 JALAL"/>
    <d v="2022-03-09T00:00:00"/>
    <s v="300191"/>
    <s v="JTTL"/>
    <n v="3150.75"/>
  </r>
  <r>
    <s v="Facture comptabilisée"/>
    <m/>
    <x v="0"/>
    <x v="2011"/>
    <s v="SILVER FOOD"/>
    <d v="2022-03-10T00:00:00"/>
    <s v="300115"/>
    <s v="AUXILIAR CONSERVERA SA"/>
    <n v="270565.54800000001"/>
  </r>
  <r>
    <s v="Facture comptabilisée"/>
    <m/>
    <x v="0"/>
    <x v="2012"/>
    <s v="SILVER FOOD"/>
    <d v="2022-03-10T00:00:00"/>
    <s v="300115"/>
    <s v="AUXILIAR CONSERVERA SA"/>
    <n v="273303.03769999999"/>
  </r>
  <r>
    <s v="Facture comptabilisée"/>
    <m/>
    <x v="0"/>
    <x v="2013"/>
    <s v="870ML"/>
    <d v="2022-03-10T00:00:00"/>
    <s v="300133"/>
    <s v="OP BOX "/>
    <n v="40516.800000000003"/>
  </r>
  <r>
    <s v="Facture comptabilisée"/>
    <m/>
    <x v="0"/>
    <x v="2014"/>
    <s v="28/2022 JALAL"/>
    <d v="2022-03-10T00:00:00"/>
    <s v="300321"/>
    <s v="JIL LOGISTIQUE"/>
    <n v="13500"/>
  </r>
  <r>
    <s v="Facture comptabilisée"/>
    <m/>
    <x v="0"/>
    <x v="2015"/>
    <s v="27/2022 JALAL"/>
    <d v="2022-03-10T00:00:00"/>
    <s v="300321"/>
    <s v="JIL LOGISTIQUE"/>
    <n v="13500"/>
  </r>
  <r>
    <s v="Facture comptabilisée"/>
    <m/>
    <x v="0"/>
    <x v="2016"/>
    <m/>
    <d v="2022-03-10T00:00:00"/>
    <s v="300337"/>
    <s v="SALVA INDUSTRIAL"/>
    <n v="61078.16"/>
  </r>
  <r>
    <s v="Facture comptabilisée"/>
    <m/>
    <x v="0"/>
    <x v="2017"/>
    <s v="28/2022 JALAL"/>
    <d v="2022-03-11T00:00:00"/>
    <s v="300043"/>
    <s v="DOUANE"/>
    <n v="1093"/>
  </r>
  <r>
    <s v="Facture comptabilisée"/>
    <m/>
    <x v="0"/>
    <x v="2018"/>
    <s v="27/2022 JALAL"/>
    <d v="2022-03-11T00:00:00"/>
    <s v="300043"/>
    <s v="DOUANE"/>
    <n v="1084"/>
  </r>
  <r>
    <s v="Facture comptabilisée"/>
    <m/>
    <x v="0"/>
    <x v="2019"/>
    <s v="MFI"/>
    <d v="2022-03-11T00:00:00"/>
    <s v="300115"/>
    <s v="AUXILIAR CONSERVERA SA"/>
    <n v="132859.4663"/>
  </r>
  <r>
    <s v="Facture comptabilisée"/>
    <m/>
    <x v="0"/>
    <x v="2020"/>
    <s v="3800ML"/>
    <d v="2022-03-11T00:00:00"/>
    <s v="300133"/>
    <s v="OP BOX "/>
    <n v="55017.599999999999"/>
  </r>
  <r>
    <s v="Facture comptabilisée"/>
    <m/>
    <x v="0"/>
    <x v="2021"/>
    <m/>
    <d v="2022-03-11T00:00:00"/>
    <s v="300337"/>
    <s v="SALVA INDUSTRIAL"/>
    <n v="61268.13"/>
  </r>
  <r>
    <s v="Facture comptabilisée"/>
    <m/>
    <x v="0"/>
    <x v="2022"/>
    <s v="25/2022 JALAL"/>
    <d v="2022-03-14T00:00:00"/>
    <s v="300191"/>
    <s v="JTTL"/>
    <n v="3197.26"/>
  </r>
  <r>
    <s v="Facture comptabilisée"/>
    <m/>
    <x v="0"/>
    <x v="2023"/>
    <s v="24/2022 JALAL"/>
    <d v="2022-03-14T00:00:00"/>
    <s v="300191"/>
    <s v="JTTL"/>
    <n v="3197.26"/>
  </r>
  <r>
    <s v="Facture comptabilisée"/>
    <m/>
    <x v="0"/>
    <x v="2024"/>
    <s v="26/2022 JALAL"/>
    <d v="2022-03-14T00:00:00"/>
    <s v="300191"/>
    <s v="JTTL"/>
    <n v="3153.76"/>
  </r>
  <r>
    <s v="Facture comptabilisée"/>
    <m/>
    <x v="0"/>
    <x v="2025"/>
    <s v="1/4 CLUB BPANI"/>
    <d v="2022-03-15T00:00:00"/>
    <s v="300115"/>
    <s v="AUXILIAR CONSERVERA SA"/>
    <n v="368883.25760000001"/>
  </r>
  <r>
    <s v="Facture comptabilisée"/>
    <m/>
    <x v="0"/>
    <x v="2026"/>
    <s v="29/2022 JALAL"/>
    <d v="2022-03-15T00:00:00"/>
    <s v="300321"/>
    <s v="JIL LOGISTIQUE"/>
    <n v="15500"/>
  </r>
  <r>
    <s v="Facture comptabilisée"/>
    <m/>
    <x v="0"/>
    <x v="2027"/>
    <d v="2022-11-01T00:00:00"/>
    <d v="2022-03-16T00:00:00"/>
    <s v="300043"/>
    <s v="DOUANE"/>
    <n v="601"/>
  </r>
  <r>
    <s v="Facture comptabilisée"/>
    <m/>
    <x v="0"/>
    <x v="2028"/>
    <s v="29/2022 JALAL"/>
    <d v="2022-03-17T00:00:00"/>
    <s v="300043"/>
    <s v="DOUANE"/>
    <n v="1408"/>
  </r>
  <r>
    <s v="Facture comptabilisée"/>
    <m/>
    <x v="0"/>
    <x v="2029"/>
    <s v="26/2022 JALAL"/>
    <d v="2022-03-17T00:00:00"/>
    <s v="300043"/>
    <s v="DOUANE"/>
    <n v="2344"/>
  </r>
  <r>
    <s v="Facture comptabilisée"/>
    <m/>
    <x v="0"/>
    <x v="2030"/>
    <s v="27/2022 JALAL"/>
    <d v="2022-03-17T00:00:00"/>
    <s v="300191"/>
    <s v="JTTL"/>
    <n v="3184.36"/>
  </r>
  <r>
    <s v="Facture comptabilisée"/>
    <m/>
    <x v="0"/>
    <x v="2031"/>
    <s v="28/2022 JALAL"/>
    <d v="2022-03-17T00:00:00"/>
    <s v="300191"/>
    <s v="JTTL"/>
    <n v="3184.36"/>
  </r>
  <r>
    <s v="Facture comptabilisée"/>
    <m/>
    <x v="0"/>
    <x v="2032"/>
    <s v="10L"/>
    <d v="2022-03-18T00:00:00"/>
    <s v="300133"/>
    <s v="OP BOX "/>
    <n v="48757.5"/>
  </r>
  <r>
    <s v="Facture comptabilisée"/>
    <m/>
    <x v="0"/>
    <x v="2033"/>
    <s v="JIL PACK A"/>
    <d v="2022-03-21T00:00:00"/>
    <s v="300115"/>
    <s v="AUXILIAR CONSERVERA SA"/>
    <n v="270565.54800000001"/>
  </r>
  <r>
    <s v="Facture comptabilisée"/>
    <m/>
    <x v="0"/>
    <x v="2034"/>
    <s v="CONSTANCE"/>
    <d v="2022-03-21T00:00:00"/>
    <s v="300115"/>
    <s v="AUXILIAR CONSERVERA SA"/>
    <n v="385566.32400000002"/>
  </r>
  <r>
    <s v="Facture comptabilisée"/>
    <m/>
    <x v="0"/>
    <x v="2035"/>
    <s v="30/2022 JALAL"/>
    <d v="2022-03-21T00:00:00"/>
    <s v="300321"/>
    <s v="JIL LOGISTIQUE"/>
    <n v="15500"/>
  </r>
  <r>
    <s v="Facture comptabilisée"/>
    <m/>
    <x v="0"/>
    <x v="2036"/>
    <s v="31/2022 JALAL"/>
    <d v="2022-03-21T00:00:00"/>
    <s v="300321"/>
    <s v="JIL LOGISTIQUE"/>
    <n v="13500"/>
  </r>
  <r>
    <s v="Facture comptabilisée"/>
    <m/>
    <x v="0"/>
    <x v="2037"/>
    <s v="30/2022 JALAL"/>
    <d v="2022-03-22T00:00:00"/>
    <s v="300043"/>
    <s v="DOUANE"/>
    <n v="1077"/>
  </r>
  <r>
    <s v="Facture comptabilisée"/>
    <m/>
    <x v="0"/>
    <x v="2038"/>
    <s v="31/2022 JALAL"/>
    <d v="2022-03-23T00:00:00"/>
    <s v="300043"/>
    <s v="DOUANE"/>
    <n v="1444"/>
  </r>
  <r>
    <s v="Facture comptabilisée"/>
    <m/>
    <x v="0"/>
    <x v="2039"/>
    <s v="29/2022 JALAL"/>
    <d v="2022-03-24T00:00:00"/>
    <s v="300191"/>
    <s v="JTTL"/>
    <n v="3177.26"/>
  </r>
  <r>
    <s v="Facture comptabilisée"/>
    <m/>
    <x v="0"/>
    <x v="2040"/>
    <s v="30/2022 JALAL"/>
    <d v="2022-03-24T00:00:00"/>
    <s v="300191"/>
    <s v="JTTL"/>
    <n v="3165.27"/>
  </r>
  <r>
    <s v="Facture comptabilisée"/>
    <m/>
    <x v="0"/>
    <x v="2041"/>
    <d v="2022-11-01T00:00:00"/>
    <d v="2022-03-25T00:00:00"/>
    <s v="300101"/>
    <s v="ASMAE FORWARDING EXPRESS"/>
    <n v="3312.09"/>
  </r>
  <r>
    <s v="Facture comptabilisée"/>
    <m/>
    <x v="0"/>
    <x v="2042"/>
    <s v="JIL PACK"/>
    <d v="2022-03-25T00:00:00"/>
    <s v="300115"/>
    <s v="AUXILIAR CONSERVERA SA"/>
    <n v="138948.0092"/>
  </r>
  <r>
    <s v="Facture comptabilisée"/>
    <m/>
    <x v="0"/>
    <x v="2043"/>
    <s v="JIL PACK "/>
    <d v="2022-03-28T00:00:00"/>
    <s v="300115"/>
    <s v="AUXILIAR CONSERVERA SA"/>
    <n v="96984.034400000004"/>
  </r>
  <r>
    <s v="Facture comptabilisée"/>
    <m/>
    <x v="0"/>
    <x v="2044"/>
    <s v="JIL PACK A"/>
    <d v="2022-03-28T00:00:00"/>
    <s v="300115"/>
    <s v="AUXILIAR CONSERVERA SA"/>
    <n v="96984.034400000004"/>
  </r>
  <r>
    <s v="Facture comptabilisée"/>
    <m/>
    <x v="0"/>
    <x v="2045"/>
    <s v="JIL PACK A"/>
    <d v="2022-03-28T00:00:00"/>
    <s v="300115"/>
    <s v="AUXILIAR CONSERVERA SA"/>
    <n v="384311.79599999997"/>
  </r>
  <r>
    <s v="Facture comptabilisée"/>
    <m/>
    <x v="0"/>
    <x v="2046"/>
    <s v="JIL PACK A"/>
    <d v="2022-03-28T00:00:00"/>
    <s v="300115"/>
    <s v="AUXILIAR CONSERVERA SA"/>
    <n v="384311.79599999997"/>
  </r>
  <r>
    <s v="Facture comptabilisée"/>
    <m/>
    <x v="0"/>
    <x v="2047"/>
    <m/>
    <d v="2022-03-28T00:00:00"/>
    <s v="300338"/>
    <s v="PANEM INTERNATIONAL SAS"/>
    <n v="38307.5"/>
  </r>
  <r>
    <s v="Facture comptabilisée"/>
    <m/>
    <x v="0"/>
    <x v="2048"/>
    <s v="33/2022 JALAL"/>
    <d v="2022-03-29T00:00:00"/>
    <s v="300321"/>
    <s v="JIL LOGISTIQUE"/>
    <n v="15500"/>
  </r>
  <r>
    <s v="Facture comptabilisée"/>
    <m/>
    <x v="0"/>
    <x v="2049"/>
    <s v="32/2022 JALAL"/>
    <d v="2022-03-29T00:00:00"/>
    <s v="300321"/>
    <s v="JIL LOGISTIQUE"/>
    <n v="15500"/>
  </r>
  <r>
    <s v="Facture comptabilisée"/>
    <m/>
    <x v="0"/>
    <x v="2050"/>
    <s v="33/2022 JALAL"/>
    <d v="2022-03-30T00:00:00"/>
    <s v="300043"/>
    <s v="DOUANE"/>
    <n v="1451"/>
  </r>
  <r>
    <s v="Facture comptabilisée"/>
    <m/>
    <x v="0"/>
    <x v="2051"/>
    <s v="32/2022 JALAL"/>
    <d v="2022-03-30T00:00:00"/>
    <s v="300043"/>
    <s v="DOUANE"/>
    <n v="1451"/>
  </r>
  <r>
    <s v="Facture comptabilisée"/>
    <m/>
    <x v="0"/>
    <x v="2052"/>
    <d v="2022-12-01T00:00:00"/>
    <d v="2022-03-30T00:00:00"/>
    <s v="300043"/>
    <s v="DOUANE"/>
    <n v="613"/>
  </r>
  <r>
    <s v="Facture comptabilisée"/>
    <m/>
    <x v="0"/>
    <x v="2053"/>
    <s v="32/2022 JALAL"/>
    <d v="2022-03-30T00:00:00"/>
    <s v="300043"/>
    <s v="DOUANE"/>
    <n v="2287"/>
  </r>
  <r>
    <s v="Facture comptabilisée"/>
    <m/>
    <x v="0"/>
    <x v="2054"/>
    <d v="2022-12-01T00:00:00"/>
    <d v="2022-03-30T00:00:00"/>
    <s v="300101"/>
    <s v="ASMAE FORWARDING EXPRESS"/>
    <n v="3473.09"/>
  </r>
  <r>
    <s v="Facture comptabilisée"/>
    <m/>
    <x v="0"/>
    <x v="2055"/>
    <s v="JIL PACK A"/>
    <d v="2022-03-30T00:00:00"/>
    <s v="300115"/>
    <s v="AUXILIAR CONSERVERA SA"/>
    <n v="368883.25760000001"/>
  </r>
  <r>
    <s v="Facture comptabilisée"/>
    <m/>
    <x v="0"/>
    <x v="2056"/>
    <s v="JIL PACK"/>
    <d v="2022-03-30T00:00:00"/>
    <s v="300115"/>
    <s v="AUXILIAR CONSERVERA SA"/>
    <n v="321385.9264"/>
  </r>
  <r>
    <s v="Facture comptabilisée"/>
    <m/>
    <x v="0"/>
    <x v="2057"/>
    <s v="OP BOX"/>
    <d v="2022-03-30T00:00:00"/>
    <s v="300133"/>
    <s v="OP BOX "/>
    <n v="49835.199999999997"/>
  </r>
  <r>
    <s v="Facture comptabilisée"/>
    <m/>
    <x v="0"/>
    <x v="2058"/>
    <s v="35/2022 JALA"/>
    <d v="2022-03-30T00:00:00"/>
    <s v="300321"/>
    <s v="JIL LOGISTIQUE"/>
    <n v="13500"/>
  </r>
  <r>
    <s v="Facture comptabilisée"/>
    <m/>
    <x v="0"/>
    <x v="2059"/>
    <s v="36/2022 JALAL"/>
    <d v="2022-03-30T00:00:00"/>
    <s v="300321"/>
    <s v="JIL LOGISTIQUE"/>
    <n v="15500"/>
  </r>
  <r>
    <s v="Facture comptabilisée"/>
    <m/>
    <x v="0"/>
    <x v="2060"/>
    <s v="36/2022 JALAL"/>
    <d v="2022-03-31T00:00:00"/>
    <s v="300043"/>
    <s v="DOUANE"/>
    <n v="1402"/>
  </r>
  <r>
    <s v="Facture comptabilisée"/>
    <m/>
    <x v="0"/>
    <x v="2061"/>
    <s v="13/2022"/>
    <d v="2022-03-31T00:00:00"/>
    <s v="300043"/>
    <s v="DOUANE"/>
    <n v="799"/>
  </r>
  <r>
    <s v="Facture comptabilisée"/>
    <m/>
    <x v="0"/>
    <x v="2062"/>
    <s v="35/2022 JALAL"/>
    <d v="2022-03-31T00:00:00"/>
    <s v="300043"/>
    <s v="DOUANE"/>
    <n v="1240"/>
  </r>
  <r>
    <s v="Facture comptabilisée"/>
    <m/>
    <x v="0"/>
    <x v="2063"/>
    <s v="13/2022"/>
    <d v="2022-03-31T00:00:00"/>
    <s v="300043"/>
    <s v="DOUANE"/>
    <n v="2295"/>
  </r>
  <r>
    <s v="Facture comptabilisée"/>
    <m/>
    <x v="0"/>
    <x v="2064"/>
    <s v="13/2022"/>
    <d v="2022-03-31T00:00:00"/>
    <s v="300101"/>
    <s v="ASMAE FORWARDING EXPRESS"/>
    <n v="3479.11"/>
  </r>
  <r>
    <s v="Facture comptabilisée"/>
    <m/>
    <x v="0"/>
    <x v="2065"/>
    <s v="JIL PACK A"/>
    <d v="2022-03-31T00:00:00"/>
    <s v="300115"/>
    <s v="AUXILIAR CONSERVERA SA"/>
    <n v="368883.25760000001"/>
  </r>
  <r>
    <s v="Facture comptabilisée"/>
    <m/>
    <x v="0"/>
    <x v="2066"/>
    <s v="COPAG"/>
    <d v="2022-03-31T00:00:00"/>
    <s v="300115"/>
    <s v="AUXILIAR CONSERVERA SA"/>
    <n v="204418.36799999999"/>
  </r>
  <r>
    <s v="Facture comptabilisée"/>
    <m/>
    <x v="0"/>
    <x v="2067"/>
    <s v="OP BOX"/>
    <d v="2022-03-31T00:00:00"/>
    <s v="300133"/>
    <s v="OP BOX "/>
    <n v="54244.800000000003"/>
  </r>
  <r>
    <s v="Facture comptabilisée"/>
    <m/>
    <x v="0"/>
    <x v="2068"/>
    <s v="OP BOX"/>
    <d v="2022-03-31T00:00:00"/>
    <s v="300133"/>
    <s v="OP BOX "/>
    <n v="60225.3"/>
  </r>
  <r>
    <s v="Facture comptabilisée"/>
    <m/>
    <x v="0"/>
    <x v="2069"/>
    <s v="33/2022 JALAL"/>
    <d v="2022-03-31T00:00:00"/>
    <s v="300191"/>
    <s v="JTTL"/>
    <n v="3163.77"/>
  </r>
  <r>
    <s v="Facture comptabilisée"/>
    <m/>
    <x v="0"/>
    <x v="2070"/>
    <s v="31/2022 JALAL"/>
    <d v="2022-03-31T00:00:00"/>
    <s v="300191"/>
    <s v="JTTL"/>
    <n v="3159.42"/>
  </r>
  <r>
    <s v="Facture comptabilisée"/>
    <m/>
    <x v="0"/>
    <x v="2071"/>
    <s v="32/2022 JALAL"/>
    <d v="2022-03-31T00:00:00"/>
    <s v="300191"/>
    <s v="JTTL"/>
    <n v="3163.77"/>
  </r>
  <r>
    <s v="Facture comptabilisée"/>
    <m/>
    <x v="0"/>
    <x v="2072"/>
    <s v="34/2022 JALAL"/>
    <d v="2022-03-31T00:00:00"/>
    <s v="300321"/>
    <s v="JIL LOGISTIQUE"/>
    <n v="15500"/>
  </r>
  <r>
    <s v="Facture comptabilisée"/>
    <m/>
    <x v="0"/>
    <x v="2073"/>
    <s v="34/2022 JALAL"/>
    <d v="2022-04-01T00:00:00"/>
    <s v="300043"/>
    <s v="DOUANE"/>
    <n v="1396"/>
  </r>
  <r>
    <s v="Facture comptabilisée"/>
    <m/>
    <x v="0"/>
    <x v="2074"/>
    <s v="47/2022 JALAL"/>
    <d v="2022-04-04T00:00:00"/>
    <s v="300335"/>
    <s v="DB SCHENKER MAROC"/>
    <n v="4650.2299999999996"/>
  </r>
  <r>
    <s v="Facture comptabilisée"/>
    <m/>
    <x v="0"/>
    <x v="2075"/>
    <s v="14/2022"/>
    <d v="2022-04-05T00:00:00"/>
    <s v="300043"/>
    <s v="DOUANE"/>
    <n v="832"/>
  </r>
  <r>
    <s v="Facture comptabilisée"/>
    <m/>
    <x v="0"/>
    <x v="2076"/>
    <s v="14/2022"/>
    <d v="2022-04-05T00:00:00"/>
    <s v="300101"/>
    <s v="ASMAE FORWARDING EXPRESS"/>
    <n v="3782.32"/>
  </r>
  <r>
    <s v="Facture comptabilisée"/>
    <m/>
    <x v="0"/>
    <x v="2077"/>
    <s v="RO80"/>
    <d v="2022-04-05T00:00:00"/>
    <s v="300115"/>
    <s v="AUXILIAR CONSERVERA SA"/>
    <n v="383893.62"/>
  </r>
  <r>
    <s v="Facture comptabilisée"/>
    <m/>
    <x v="0"/>
    <x v="2078"/>
    <s v="38/2022 JALAL"/>
    <d v="2022-04-05T00:00:00"/>
    <s v="300321"/>
    <s v="JIL LOGISTIQUE"/>
    <n v="15500"/>
  </r>
  <r>
    <s v="Facture comptabilisée"/>
    <m/>
    <x v="0"/>
    <x v="2079"/>
    <s v="COPAG"/>
    <d v="2022-04-06T00:00:00"/>
    <s v="300115"/>
    <s v="AUXILIAR CONSERVERA SA"/>
    <n v="204418.36799999999"/>
  </r>
  <r>
    <s v="Facture comptabilisée"/>
    <m/>
    <x v="0"/>
    <x v="2080"/>
    <s v="280+1200"/>
    <d v="2022-04-07T00:00:00"/>
    <s v="300133"/>
    <s v="OP BOX "/>
    <n v="26283.599999999999"/>
  </r>
  <r>
    <s v="Facture comptabilisée"/>
    <m/>
    <x v="0"/>
    <x v="2081"/>
    <s v="2300"/>
    <d v="2022-04-08T00:00:00"/>
    <s v="300133"/>
    <s v="OP BOX "/>
    <n v="51120"/>
  </r>
  <r>
    <s v="Facture comptabilisée"/>
    <m/>
    <x v="0"/>
    <x v="2082"/>
    <s v="38/2022 JALAL"/>
    <d v="2022-04-11T00:00:00"/>
    <s v="300043"/>
    <s v="DOUANE"/>
    <n v="1433"/>
  </r>
  <r>
    <s v="Facture comptabilisée"/>
    <m/>
    <x v="0"/>
    <x v="2083"/>
    <s v="1/4 CLUB BPANI**"/>
    <d v="2022-04-11T00:00:00"/>
    <s v="300115"/>
    <s v="AUXILIAR CONSERVERA SA"/>
    <n v="368883.25760000001"/>
  </r>
  <r>
    <s v="Facture comptabilisée"/>
    <m/>
    <x v="0"/>
    <x v="2084"/>
    <s v="RO 85 NEUTRE"/>
    <d v="2022-04-11T00:00:00"/>
    <s v="300115"/>
    <s v="AUXILIAR CONSERVERA SA"/>
    <n v="383893.62"/>
  </r>
  <r>
    <s v="Facture comptabilisée"/>
    <m/>
    <x v="0"/>
    <x v="2085"/>
    <s v="10L"/>
    <d v="2022-04-11T00:00:00"/>
    <s v="300133"/>
    <s v="OP BOX "/>
    <n v="29981.25"/>
  </r>
  <r>
    <s v="Facture comptabilisée"/>
    <m/>
    <x v="0"/>
    <x v="2086"/>
    <s v="40/2022 JALAL"/>
    <d v="2022-04-11T00:00:00"/>
    <s v="300321"/>
    <s v="JIL LOGISTIQUE"/>
    <n v="15500"/>
  </r>
  <r>
    <s v="Facture comptabilisée"/>
    <m/>
    <x v="0"/>
    <x v="2087"/>
    <s v="37/2022 JALAL"/>
    <d v="2022-04-11T00:00:00"/>
    <s v="300321"/>
    <s v="JIL LOGISTIQUE"/>
    <n v="13500"/>
  </r>
  <r>
    <s v="Facture comptabilisée"/>
    <m/>
    <x v="0"/>
    <x v="2088"/>
    <s v="15/2022"/>
    <d v="2022-04-12T00:00:00"/>
    <s v="300043"/>
    <s v="DOUANE"/>
    <n v="824"/>
  </r>
  <r>
    <s v="Facture comptabilisée"/>
    <m/>
    <x v="0"/>
    <x v="2089"/>
    <s v="15/2022"/>
    <d v="2022-04-12T00:00:00"/>
    <s v="300101"/>
    <s v="ASMAE FORWARDING EXPRESS"/>
    <n v="3288.26"/>
  </r>
  <r>
    <s v="Facture comptabilisée"/>
    <m/>
    <x v="0"/>
    <x v="2090"/>
    <s v="RO 85 NEUTRE"/>
    <d v="2022-04-12T00:00:00"/>
    <s v="300115"/>
    <s v="AUXILIAR CONSERVERA SA"/>
    <n v="383893.62"/>
  </r>
  <r>
    <s v="Facture comptabilisée"/>
    <m/>
    <x v="0"/>
    <x v="2091"/>
    <s v="1/4 CLUB BPANI"/>
    <d v="2022-04-12T00:00:00"/>
    <s v="300115"/>
    <s v="AUXILIAR CONSERVERA SA"/>
    <n v="368883.25760000001"/>
  </r>
  <r>
    <s v="Facture comptabilisée"/>
    <m/>
    <x v="0"/>
    <x v="2092"/>
    <s v="RO 85 NEUTRE"/>
    <d v="2022-04-12T00:00:00"/>
    <s v="300115"/>
    <s v="AUXILIAR CONSERVERA SA"/>
    <n v="384311.79599999997"/>
  </r>
  <r>
    <s v="Facture comptabilisée"/>
    <m/>
    <x v="0"/>
    <x v="2093"/>
    <s v="34/2022 JALAL"/>
    <d v="2022-04-12T00:00:00"/>
    <s v="300191"/>
    <s v="JTTL"/>
    <n v="3162.42"/>
  </r>
  <r>
    <s v="Facture comptabilisée"/>
    <m/>
    <x v="0"/>
    <x v="2094"/>
    <s v="35/2022 JALAL"/>
    <d v="2022-04-12T00:00:00"/>
    <s v="300191"/>
    <s v="JTTL"/>
    <n v="3170.05"/>
  </r>
  <r>
    <s v="Facture comptabilisée"/>
    <m/>
    <x v="0"/>
    <x v="2095"/>
    <s v="36/2022 JALAL"/>
    <d v="2022-04-12T00:00:00"/>
    <s v="300191"/>
    <s v="JTTL"/>
    <n v="3170.05"/>
  </r>
  <r>
    <s v="Facture comptabilisée"/>
    <m/>
    <x v="0"/>
    <x v="2096"/>
    <s v="41/2022 JALAL"/>
    <d v="2022-04-12T00:00:00"/>
    <s v="300321"/>
    <s v="JIL LOGISTIQUE"/>
    <n v="15500"/>
  </r>
  <r>
    <s v="Facture comptabilisée"/>
    <m/>
    <x v="0"/>
    <x v="2097"/>
    <s v="39/2022 JALAL"/>
    <d v="2022-04-12T00:00:00"/>
    <s v="300321"/>
    <s v="JIL LOGISTIQUE"/>
    <n v="15500"/>
  </r>
  <r>
    <s v="Facture comptabilisée"/>
    <m/>
    <x v="0"/>
    <x v="2098"/>
    <s v="44/2022 JALAL"/>
    <d v="2022-04-12T00:00:00"/>
    <s v="300335"/>
    <s v="DB SCHENKER MAROC"/>
    <n v="5369.16"/>
  </r>
  <r>
    <s v="Facture comptabilisée"/>
    <m/>
    <x v="0"/>
    <x v="2099"/>
    <s v="40/2022 JALAL"/>
    <d v="2022-04-13T00:00:00"/>
    <s v="300043"/>
    <s v="DOUANE"/>
    <n v="1390"/>
  </r>
  <r>
    <s v="Facture comptabilisée"/>
    <m/>
    <x v="0"/>
    <x v="2100"/>
    <s v="39/2022 JALAL"/>
    <d v="2022-04-13T00:00:00"/>
    <s v="300043"/>
    <s v="DOUANE"/>
    <n v="1448"/>
  </r>
  <r>
    <s v="Facture comptabilisée"/>
    <m/>
    <x v="0"/>
    <x v="2101"/>
    <s v="37/2022 JALAL"/>
    <d v="2022-04-13T00:00:00"/>
    <s v="300043"/>
    <s v="DOUANE"/>
    <n v="1435"/>
  </r>
  <r>
    <s v="Facture comptabilisée"/>
    <m/>
    <x v="0"/>
    <x v="2102"/>
    <s v="37/2022 JALA"/>
    <d v="2022-04-13T00:00:00"/>
    <s v="300043"/>
    <s v="DOUANE"/>
    <n v="2269"/>
  </r>
  <r>
    <s v="Facture comptabilisée"/>
    <m/>
    <x v="0"/>
    <x v="2103"/>
    <s v="42/2022 JALAL"/>
    <d v="2022-04-13T00:00:00"/>
    <s v="300321"/>
    <s v="JIL LOGISTIQUE"/>
    <n v="15500"/>
  </r>
  <r>
    <s v="Facture comptabilisée"/>
    <m/>
    <x v="0"/>
    <x v="2104"/>
    <s v="42/2022 JALAL"/>
    <d v="2022-04-14T00:00:00"/>
    <s v="300043"/>
    <s v="DOUANE"/>
    <n v="1444"/>
  </r>
  <r>
    <s v="Facture comptabilisée"/>
    <m/>
    <x v="0"/>
    <x v="2105"/>
    <s v="42/2022 JALAL"/>
    <d v="2022-04-14T00:00:00"/>
    <s v="300043"/>
    <s v="DOUANE"/>
    <n v="1952"/>
  </r>
  <r>
    <s v="Facture comptabilisée"/>
    <m/>
    <x v="0"/>
    <x v="2106"/>
    <s v="49/2022 JALAL"/>
    <d v="2022-04-14T00:00:00"/>
    <s v="300335"/>
    <s v="DB SCHENKER MAROC"/>
    <n v="2885.63"/>
  </r>
  <r>
    <s v="Facture comptabilisée"/>
    <m/>
    <x v="0"/>
    <x v="2107"/>
    <s v="41/2022 JALAL"/>
    <d v="2022-04-15T00:00:00"/>
    <s v="300043"/>
    <s v="DOUANE"/>
    <n v="1390"/>
  </r>
  <r>
    <s v="Facture comptabilisée"/>
    <m/>
    <x v="0"/>
    <x v="2108"/>
    <s v="37/2022 JALAL"/>
    <d v="2022-04-18T00:00:00"/>
    <s v="300191"/>
    <s v="JTTL"/>
    <n v="3151.85"/>
  </r>
  <r>
    <s v="Facture comptabilisée"/>
    <m/>
    <x v="0"/>
    <x v="2109"/>
    <s v="38/2022 JALAL"/>
    <d v="2022-04-18T00:00:00"/>
    <s v="300191"/>
    <s v="JTTL"/>
    <n v="3754.4"/>
  </r>
  <r>
    <s v="Facture comptabilisée"/>
    <m/>
    <x v="0"/>
    <x v="2110"/>
    <s v="39/2022 JALAL"/>
    <d v="2022-04-18T00:00:00"/>
    <s v="300191"/>
    <s v="JTTL"/>
    <n v="3151.85"/>
  </r>
  <r>
    <s v="Facture comptabilisée"/>
    <m/>
    <x v="0"/>
    <x v="2111"/>
    <s v="40/2022 JALAL"/>
    <d v="2022-04-18T00:00:00"/>
    <s v="300191"/>
    <s v="JTTL"/>
    <n v="3307.2"/>
  </r>
  <r>
    <s v="Facture comptabilisée"/>
    <m/>
    <x v="0"/>
    <x v="2112"/>
    <s v="41/2022 JALAL"/>
    <d v="2022-04-18T00:00:00"/>
    <s v="300191"/>
    <s v="JTTL"/>
    <n v="3146.08"/>
  </r>
  <r>
    <s v="Facture comptabilisée"/>
    <m/>
    <x v="0"/>
    <x v="2113"/>
    <s v="RO 85 NEUTRE"/>
    <d v="2022-04-19T00:00:00"/>
    <s v="300115"/>
    <s v="AUXILIAR CONSERVERA SA"/>
    <n v="384311.79599999997"/>
  </r>
  <r>
    <s v="Facture comptabilisée"/>
    <m/>
    <x v="0"/>
    <x v="2114"/>
    <s v="1/10 MARINE"/>
    <d v="2022-04-19T00:00:00"/>
    <s v="300115"/>
    <s v="AUXILIAR CONSERVERA SA"/>
    <n v="384311.79599999997"/>
  </r>
  <r>
    <s v="Facture comptabilisée"/>
    <m/>
    <x v="0"/>
    <x v="2115"/>
    <s v="42/2022 JALAL"/>
    <d v="2022-04-19T00:00:00"/>
    <s v="300191"/>
    <s v="JTTL"/>
    <n v="3149.91"/>
  </r>
  <r>
    <s v="Facture comptabilisée"/>
    <m/>
    <x v="0"/>
    <x v="2116"/>
    <s v="43/2022 JALAL"/>
    <d v="2022-04-19T00:00:00"/>
    <s v="300321"/>
    <s v="JIL LOGISTIQUE"/>
    <n v="15500"/>
  </r>
  <r>
    <s v="Facture comptabilisée"/>
    <m/>
    <x v="0"/>
    <x v="2117"/>
    <s v="46/2022 JALAL"/>
    <d v="2022-04-19T00:00:00"/>
    <s v="300321"/>
    <s v="JIL LOGISTIQUE"/>
    <n v="15500"/>
  </r>
  <r>
    <s v="Facture comptabilisée"/>
    <m/>
    <x v="0"/>
    <x v="2118"/>
    <s v="43/2022 JALAL"/>
    <d v="2022-04-20T00:00:00"/>
    <s v="300043"/>
    <s v="DOUANE"/>
    <n v="1437"/>
  </r>
  <r>
    <s v="Facture comptabilisée"/>
    <m/>
    <x v="0"/>
    <x v="2119"/>
    <s v="02/2022 RECJAC"/>
    <d v="2022-04-20T00:00:00"/>
    <s v="300043"/>
    <s v="DOUANE"/>
    <n v="370"/>
  </r>
  <r>
    <s v="Facture comptabilisée"/>
    <m/>
    <x v="0"/>
    <x v="2120"/>
    <s v="SILVER"/>
    <d v="2022-04-20T00:00:00"/>
    <s v="300115"/>
    <s v="AUXILIAR CONSERVERA SA"/>
    <n v="376104.86099999998"/>
  </r>
  <r>
    <s v="Facture comptabilisée"/>
    <m/>
    <x v="0"/>
    <x v="2121"/>
    <s v="45/2022 JALAL"/>
    <d v="2022-04-20T00:00:00"/>
    <s v="300321"/>
    <s v="JIL LOGISTIQUE"/>
    <n v="13500"/>
  </r>
  <r>
    <s v="Facture comptabilisée"/>
    <m/>
    <x v="0"/>
    <x v="2122"/>
    <d v="2026-10-01T00:00:00"/>
    <d v="2022-04-21T00:00:00"/>
    <s v="300115"/>
    <s v="AUXILIAR CONSERVERA SA"/>
    <n v="384311.79599999997"/>
  </r>
  <r>
    <s v="Facture comptabilisée"/>
    <m/>
    <x v="0"/>
    <x v="2123"/>
    <s v="48/2022 JALAL"/>
    <d v="2022-04-21T00:00:00"/>
    <s v="300321"/>
    <s v="JIL LOGISTIQUE"/>
    <n v="15500"/>
  </r>
  <r>
    <s v="Facture comptabilisée"/>
    <m/>
    <x v="0"/>
    <x v="2124"/>
    <s v="46/2022 JALAL"/>
    <d v="2022-04-22T00:00:00"/>
    <s v="300043"/>
    <s v="DOUANE"/>
    <n v="1444"/>
  </r>
  <r>
    <s v="Facture comptabilisée"/>
    <m/>
    <x v="0"/>
    <x v="2125"/>
    <s v="45/2022 JALAL"/>
    <d v="2022-04-22T00:00:00"/>
    <s v="300043"/>
    <s v="DOUANE"/>
    <n v="1404"/>
  </r>
  <r>
    <s v="Facture comptabilisée"/>
    <m/>
    <x v="0"/>
    <x v="2126"/>
    <s v="45/2022 JALAL"/>
    <d v="2022-04-22T00:00:00"/>
    <s v="300043"/>
    <s v="DOUANE"/>
    <n v="2542"/>
  </r>
  <r>
    <s v="Facture comptabilisée"/>
    <m/>
    <x v="0"/>
    <x v="2127"/>
    <d v="2026-01-05T00:00:00"/>
    <d v="2022-04-22T00:00:00"/>
    <s v="300115"/>
    <s v="AUXILIAR CONSERVERA SA"/>
    <n v="130657.23"/>
  </r>
  <r>
    <s v="Facture comptabilisée"/>
    <m/>
    <x v="0"/>
    <x v="2128"/>
    <s v="43/2022 JALAL"/>
    <d v="2022-04-22T00:00:00"/>
    <s v="300191"/>
    <s v="JTTL"/>
    <n v="3143.22"/>
  </r>
  <r>
    <s v="Facture comptabilisée"/>
    <m/>
    <x v="0"/>
    <x v="2129"/>
    <s v="48/2022 JALAL"/>
    <d v="2022-04-25T00:00:00"/>
    <s v="300043"/>
    <s v="DOUANE"/>
    <n v="1445"/>
  </r>
  <r>
    <s v="Facture comptabilisée"/>
    <m/>
    <x v="0"/>
    <x v="2130"/>
    <s v="16/2022"/>
    <d v="2022-04-25T00:00:00"/>
    <s v="300043"/>
    <s v="DOUANE"/>
    <n v="587"/>
  </r>
  <r>
    <s v="Facture comptabilisée"/>
    <m/>
    <x v="0"/>
    <x v="2131"/>
    <s v="44/2022 JALAL"/>
    <d v="2022-04-25T00:00:00"/>
    <s v="300043"/>
    <s v="DOUANE"/>
    <n v="860"/>
  </r>
  <r>
    <s v="Facture comptabilisée"/>
    <m/>
    <x v="0"/>
    <x v="2132"/>
    <s v="16/2022"/>
    <d v="2022-04-25T00:00:00"/>
    <s v="300101"/>
    <s v="ASMAE FORWARDING EXPRESS"/>
    <n v="3449.29"/>
  </r>
  <r>
    <s v="Facture comptabilisée"/>
    <m/>
    <x v="0"/>
    <x v="2133"/>
    <s v="44/2022 JALAL"/>
    <d v="2022-04-25T00:00:00"/>
    <s v="300191"/>
    <s v="JTTL"/>
    <n v="2680.63"/>
  </r>
  <r>
    <s v="Facture comptabilisée"/>
    <m/>
    <x v="0"/>
    <x v="2134"/>
    <s v="45/2022 JALAL"/>
    <d v="2022-04-25T00:00:00"/>
    <s v="300191"/>
    <s v="JTTL"/>
    <n v="3146.93"/>
  </r>
  <r>
    <s v="Facture comptabilisée"/>
    <m/>
    <x v="0"/>
    <x v="2135"/>
    <s v="46/2022 JALAL"/>
    <d v="2022-04-25T00:00:00"/>
    <s v="300191"/>
    <s v="JTTL"/>
    <n v="3143.12"/>
  </r>
  <r>
    <s v="Facture comptabilisée"/>
    <m/>
    <x v="0"/>
    <x v="2136"/>
    <s v="47/2022 JALAL"/>
    <d v="2022-04-26T00:00:00"/>
    <s v="300043"/>
    <s v="DOUANE"/>
    <n v="185"/>
  </r>
  <r>
    <s v="Facture comptabilisée"/>
    <m/>
    <x v="0"/>
    <x v="2137"/>
    <s v="47/2022 JALAL"/>
    <d v="2022-04-26T00:00:00"/>
    <s v="300191"/>
    <s v="JTTL"/>
    <n v="3892.63"/>
  </r>
  <r>
    <s v="Facture comptabilisée"/>
    <m/>
    <x v="0"/>
    <x v="2138"/>
    <s v="49/2022 JALAL"/>
    <d v="2022-04-27T00:00:00"/>
    <s v="300043"/>
    <s v="DOUANE"/>
    <n v="250"/>
  </r>
  <r>
    <s v="Facture comptabilisée"/>
    <m/>
    <x v="0"/>
    <x v="2139"/>
    <s v="VMM"/>
    <d v="2022-04-27T00:00:00"/>
    <s v="300115"/>
    <s v="AUXILIAR CONSERVERA SA"/>
    <n v="293083.12"/>
  </r>
  <r>
    <s v="Facture comptabilisée"/>
    <m/>
    <x v="0"/>
    <x v="2140"/>
    <s v="48/2022 JALAL"/>
    <d v="2022-04-27T00:00:00"/>
    <s v="300191"/>
    <s v="JTTL"/>
    <n v="3433.23"/>
  </r>
  <r>
    <s v="Facture comptabilisée"/>
    <m/>
    <x v="0"/>
    <x v="2141"/>
    <m/>
    <d v="2022-04-28T00:00:00"/>
    <s v="300064"/>
    <s v="SONOCO Métal Packaging Maroc"/>
    <n v="30030"/>
  </r>
  <r>
    <s v="Facture comptabilisée"/>
    <m/>
    <x v="0"/>
    <x v="2142"/>
    <s v="49/2022 JALAL"/>
    <d v="2022-04-28T00:00:00"/>
    <s v="300191"/>
    <s v="JTTL"/>
    <n v="2836.63"/>
  </r>
  <r>
    <s v="Facture comptabilisée"/>
    <m/>
    <x v="0"/>
    <x v="2143"/>
    <d v="2026-01-05T00:00:00"/>
    <d v="2022-05-04T00:00:00"/>
    <s v="300115"/>
    <s v="AUXILIAR CONSERVERA SA"/>
    <n v="130657.23"/>
  </r>
  <r>
    <s v="Facture comptabilisée"/>
    <m/>
    <x v="0"/>
    <x v="2144"/>
    <s v="18/2022"/>
    <d v="2022-05-05T00:00:00"/>
    <s v="300043"/>
    <s v="DOUANE"/>
    <n v="1103"/>
  </r>
  <r>
    <s v="Facture comptabilisée"/>
    <m/>
    <x v="0"/>
    <x v="2145"/>
    <s v="15/2022"/>
    <d v="2022-05-05T00:00:00"/>
    <s v="300043"/>
    <s v="DOUANE"/>
    <n v="1592"/>
  </r>
  <r>
    <s v="Facture comptabilisée"/>
    <m/>
    <x v="0"/>
    <x v="2146"/>
    <s v="18/2022"/>
    <d v="2022-05-05T00:00:00"/>
    <s v="300101"/>
    <s v="ASMAE FORWARDING EXPRESS"/>
    <n v="4192.2299999999996"/>
  </r>
  <r>
    <s v="Facture comptabilisée"/>
    <m/>
    <x v="0"/>
    <x v="2147"/>
    <s v="17/2022"/>
    <d v="2022-05-09T00:00:00"/>
    <s v="300043"/>
    <s v="DOUANE"/>
    <n v="584"/>
  </r>
  <r>
    <s v="Facture comptabilisée"/>
    <m/>
    <x v="0"/>
    <x v="2148"/>
    <s v="17/2022"/>
    <d v="2022-05-09T00:00:00"/>
    <s v="300101"/>
    <s v="ASMAE FORWARDING EXPRESS"/>
    <n v="3588.51"/>
  </r>
  <r>
    <s v="Facture comptabilisée"/>
    <m/>
    <x v="0"/>
    <x v="2149"/>
    <s v="1/10**CONSTANCE"/>
    <d v="2022-05-10T00:00:00"/>
    <s v="300115"/>
    <s v="AUXILIAR CONSERVERA SA"/>
    <n v="384311.79599999997"/>
  </r>
  <r>
    <s v="Facture comptabilisée"/>
    <m/>
    <x v="0"/>
    <x v="2150"/>
    <s v="50/2022 JALAL"/>
    <d v="2022-05-10T00:00:00"/>
    <s v="300321"/>
    <s v="JIL LOGISTIQUE"/>
    <n v="13500"/>
  </r>
  <r>
    <s v="Facture comptabilisée"/>
    <m/>
    <x v="0"/>
    <x v="2151"/>
    <s v="50/2022 JALAL"/>
    <d v="2022-05-11T00:00:00"/>
    <s v="300043"/>
    <s v="DOUANE"/>
    <n v="1438"/>
  </r>
  <r>
    <s v="Facture comptabilisée"/>
    <m/>
    <x v="0"/>
    <x v="2152"/>
    <s v="10L"/>
    <d v="2022-05-11T00:00:00"/>
    <s v="300133"/>
    <s v="OP BOX "/>
    <n v="41973.75"/>
  </r>
  <r>
    <s v="Facture comptabilisée"/>
    <m/>
    <x v="0"/>
    <x v="2153"/>
    <s v="CONSIG"/>
    <d v="2022-05-12T00:00:00"/>
    <s v="300064"/>
    <s v="SONOCO Métal Packaging Maroc"/>
    <n v="38460"/>
  </r>
  <r>
    <s v="Facture comptabilisée"/>
    <m/>
    <x v="0"/>
    <x v="2154"/>
    <s v="50/2022 JALAL"/>
    <d v="2022-05-13T00:00:00"/>
    <s v="300191"/>
    <s v="JTTL"/>
    <n v="3135.63"/>
  </r>
  <r>
    <s v="Facture comptabilisée"/>
    <m/>
    <x v="0"/>
    <x v="2155"/>
    <s v="1/4 CLUB"/>
    <d v="2022-05-18T00:00:00"/>
    <s v="300115"/>
    <s v="AUXILIAR CONSERVERA SA"/>
    <n v="368883.25760000001"/>
  </r>
  <r>
    <s v="Facture comptabilisée"/>
    <m/>
    <x v="0"/>
    <x v="2156"/>
    <s v="52/2022 JALAL"/>
    <d v="2022-05-18T00:00:00"/>
    <s v="300321"/>
    <s v="JIL LOGISTIQUE"/>
    <n v="15500"/>
  </r>
  <r>
    <s v="Facture comptabilisée"/>
    <m/>
    <x v="0"/>
    <x v="2157"/>
    <s v="1/4 CLUB"/>
    <d v="2022-05-19T00:00:00"/>
    <s v="300115"/>
    <s v="AUXILIAR CONSERVERA SA"/>
    <n v="326453.59999999998"/>
  </r>
  <r>
    <s v="Facture comptabilisée"/>
    <m/>
    <x v="0"/>
    <x v="2158"/>
    <s v="YAHYA AL FIRDAOUS"/>
    <d v="2022-05-19T00:00:00"/>
    <s v="300115"/>
    <s v="AUXILIAR CONSERVERA SA"/>
    <n v="243471.64600000001"/>
  </r>
  <r>
    <s v="Facture comptabilisée"/>
    <m/>
    <x v="0"/>
    <x v="2159"/>
    <s v="51/2022 JALAL"/>
    <d v="2022-05-19T00:00:00"/>
    <s v="300321"/>
    <s v="JIL LOGISTIQUE"/>
    <n v="15500"/>
  </r>
  <r>
    <s v="Facture comptabilisée"/>
    <m/>
    <x v="0"/>
    <x v="2160"/>
    <s v="52/2022 JALAL"/>
    <d v="2022-05-20T00:00:00"/>
    <s v="300043"/>
    <s v="DOUANE"/>
    <n v="1389"/>
  </r>
  <r>
    <s v="Facture comptabilisée"/>
    <m/>
    <x v="0"/>
    <x v="2161"/>
    <s v="51/2022 JALAL"/>
    <d v="2022-05-20T00:00:00"/>
    <s v="300043"/>
    <s v="DOUANE"/>
    <n v="1246"/>
  </r>
  <r>
    <s v="Facture comptabilisée"/>
    <m/>
    <x v="0"/>
    <x v="2162"/>
    <s v="52/2022 JALAL"/>
    <d v="2022-05-20T00:00:00"/>
    <s v="300043"/>
    <s v="DOUANE"/>
    <n v="1861"/>
  </r>
  <r>
    <s v="Facture comptabilisée"/>
    <m/>
    <x v="0"/>
    <x v="2163"/>
    <s v="COPAG"/>
    <d v="2022-05-20T00:00:00"/>
    <s v="300115"/>
    <s v="AUXILIAR CONSERVERA SA"/>
    <n v="201540.65359999999"/>
  </r>
  <r>
    <s v="Facture comptabilisée"/>
    <m/>
    <x v="0"/>
    <x v="2164"/>
    <s v="19/2022"/>
    <d v="2022-05-23T00:00:00"/>
    <s v="300043"/>
    <s v="DOUANE"/>
    <n v="816"/>
  </r>
  <r>
    <s v="Facture comptabilisée"/>
    <m/>
    <x v="0"/>
    <x v="2165"/>
    <s v="21/2022"/>
    <d v="2022-05-23T00:00:00"/>
    <s v="300043"/>
    <s v="DOUANE"/>
    <n v="948"/>
  </r>
  <r>
    <s v="Facture comptabilisée"/>
    <m/>
    <x v="0"/>
    <x v="2166"/>
    <s v="19/2022"/>
    <d v="2022-05-23T00:00:00"/>
    <s v="300101"/>
    <s v="ASMAE FORWARDING EXPRESS"/>
    <n v="3445.12"/>
  </r>
  <r>
    <s v="Facture comptabilisée"/>
    <m/>
    <x v="0"/>
    <x v="2167"/>
    <s v="21/2022"/>
    <d v="2022-05-23T00:00:00"/>
    <s v="300101"/>
    <s v="ASMAE FORWARDING EXPRESS"/>
    <n v="3751.12"/>
  </r>
  <r>
    <s v="Facture comptabilisée"/>
    <m/>
    <x v="0"/>
    <x v="2168"/>
    <s v="YAHYA AL FIRDAOUS"/>
    <d v="2022-05-23T00:00:00"/>
    <s v="300115"/>
    <s v="AUXILIAR CONSERVERA SA"/>
    <n v="243471.64600000001"/>
  </r>
  <r>
    <s v="Facture comptabilisée"/>
    <m/>
    <x v="0"/>
    <x v="2169"/>
    <s v="51/2022 JALAL"/>
    <d v="2022-05-23T00:00:00"/>
    <s v="300191"/>
    <s v="JTTL"/>
    <n v="3114.2"/>
  </r>
  <r>
    <s v="Facture comptabilisée"/>
    <m/>
    <x v="0"/>
    <x v="2170"/>
    <d v="2026-10-01T00:00:00"/>
    <d v="2022-05-24T00:00:00"/>
    <s v="300115"/>
    <s v="AUXILIAR CONSERVERA SA"/>
    <n v="335437.56400000001"/>
  </r>
  <r>
    <s v="Facture comptabilisée"/>
    <m/>
    <x v="0"/>
    <x v="2171"/>
    <s v="53/2022 JALAL"/>
    <d v="2022-05-24T00:00:00"/>
    <s v="300321"/>
    <s v="JIL LOGISTIQUE"/>
    <n v="15500"/>
  </r>
  <r>
    <s v="Facture comptabilisée"/>
    <m/>
    <x v="0"/>
    <x v="2172"/>
    <s v="20/2022"/>
    <d v="2022-05-25T00:00:00"/>
    <s v="300043"/>
    <s v="DOUANE"/>
    <n v="954"/>
  </r>
  <r>
    <s v="Facture comptabilisée"/>
    <m/>
    <x v="0"/>
    <x v="2173"/>
    <s v="FBCB"/>
    <d v="2022-05-25T00:00:00"/>
    <s v="300093"/>
    <s v="AVEZ SAS"/>
    <n v="281279.5392"/>
  </r>
  <r>
    <s v="Facture comptabilisée"/>
    <m/>
    <x v="0"/>
    <x v="2174"/>
    <s v="20/2022"/>
    <d v="2022-05-25T00:00:00"/>
    <s v="300101"/>
    <s v="ASMAE FORWARDING EXPRESS"/>
    <n v="3304.52"/>
  </r>
  <r>
    <s v="Facture comptabilisée"/>
    <m/>
    <x v="0"/>
    <x v="2175"/>
    <s v="52/2022 JALAL"/>
    <d v="2022-05-25T00:00:00"/>
    <s v="300191"/>
    <s v="JTTL"/>
    <n v="3114.2"/>
  </r>
  <r>
    <s v="Facture comptabilisée"/>
    <m/>
    <x v="0"/>
    <x v="2176"/>
    <s v="53/2022 JALAL"/>
    <d v="2022-05-26T00:00:00"/>
    <s v="300043"/>
    <s v="DOUANE"/>
    <n v="1276"/>
  </r>
  <r>
    <s v="Facture comptabilisée"/>
    <m/>
    <x v="0"/>
    <x v="2177"/>
    <s v="53/2022 JALAL"/>
    <d v="2022-05-26T00:00:00"/>
    <s v="300043"/>
    <s v="DOUANE"/>
    <n v="2136"/>
  </r>
  <r>
    <s v="Facture comptabilisée"/>
    <m/>
    <x v="0"/>
    <x v="2178"/>
    <s v="FCA"/>
    <d v="2022-05-27T00:00:00"/>
    <s v="300115"/>
    <s v="AUXILIAR CONSERVERA SA"/>
    <n v="384311.79599999997"/>
  </r>
  <r>
    <s v="Facture comptabilisée"/>
    <m/>
    <x v="0"/>
    <x v="2179"/>
    <s v="PLASTIQUE"/>
    <d v="2022-05-27T00:00:00"/>
    <s v="300133"/>
    <s v="OP BOX "/>
    <n v="55570"/>
  </r>
  <r>
    <s v="Facture comptabilisée"/>
    <m/>
    <x v="0"/>
    <x v="2180"/>
    <s v="02/2022 REC JAC"/>
    <d v="2022-05-27T00:00:00"/>
    <s v="300301"/>
    <s v="RECOING &amp; JACQUETY"/>
    <n v="7258.26"/>
  </r>
  <r>
    <s v="Facture comptabilisée"/>
    <m/>
    <x v="0"/>
    <x v="2181"/>
    <s v="54/2022 JALAL"/>
    <d v="2022-05-27T00:00:00"/>
    <s v="300321"/>
    <s v="JIL LOGISTIQUE"/>
    <n v="13500"/>
  </r>
  <r>
    <s v="Facture comptabilisée"/>
    <m/>
    <x v="0"/>
    <x v="2182"/>
    <s v="CONSIGNATION"/>
    <d v="2022-05-30T00:00:00"/>
    <s v="300064"/>
    <s v="SONOCO Métal Packaging Maroc"/>
    <n v="19230"/>
  </r>
  <r>
    <s v="Facture comptabilisée"/>
    <m/>
    <x v="0"/>
    <x v="2183"/>
    <s v="10L"/>
    <d v="2022-05-30T00:00:00"/>
    <s v="300133"/>
    <s v="OP BOX "/>
    <n v="35977.5"/>
  </r>
  <r>
    <s v="Facture comptabilisée"/>
    <m/>
    <x v="0"/>
    <x v="2184"/>
    <s v="10L"/>
    <d v="2022-05-30T00:00:00"/>
    <s v="300133"/>
    <s v="OP BOX "/>
    <n v="11992.5"/>
  </r>
  <r>
    <s v="Facture comptabilisée"/>
    <m/>
    <x v="0"/>
    <x v="2185"/>
    <s v="53/2022 JALAL"/>
    <d v="2022-05-30T00:00:00"/>
    <s v="300191"/>
    <s v="JTTL"/>
    <n v="3115.12"/>
  </r>
  <r>
    <s v="Facture comptabilisée"/>
    <m/>
    <x v="0"/>
    <x v="2186"/>
    <s v="54/2022 JALAL"/>
    <d v="2022-05-31T00:00:00"/>
    <s v="300043"/>
    <s v="DOUANE"/>
    <n v="1429"/>
  </r>
  <r>
    <s v="Facture comptabilisée"/>
    <m/>
    <x v="0"/>
    <x v="2187"/>
    <s v="VMM"/>
    <d v="2022-05-31T00:00:00"/>
    <s v="300115"/>
    <s v="AUXILIAR CONSERVERA SA"/>
    <n v="99388.311000000002"/>
  </r>
  <r>
    <s v="Facture comptabilisée"/>
    <m/>
    <x v="0"/>
    <x v="2188"/>
    <s v="RO80"/>
    <d v="2022-05-31T00:00:00"/>
    <s v="300115"/>
    <s v="AUXILIAR CONSERVERA SA"/>
    <n v="256207.864"/>
  </r>
  <r>
    <s v="Facture comptabilisée"/>
    <m/>
    <x v="0"/>
    <x v="2189"/>
    <s v="54/2022 JALAL"/>
    <d v="2022-05-31T00:00:00"/>
    <s v="300191"/>
    <s v="JTTL"/>
    <n v="3139.07"/>
  </r>
  <r>
    <s v="Facture comptabilisée"/>
    <m/>
    <x v="0"/>
    <x v="2190"/>
    <s v="R80"/>
    <d v="2022-06-01T00:00:00"/>
    <s v="300115"/>
    <s v="AUXILIAR CONSERVERA SA"/>
    <n v="384311.79599999997"/>
  </r>
  <r>
    <s v="Facture comptabilisée"/>
    <m/>
    <x v="0"/>
    <x v="2191"/>
    <s v="VMM"/>
    <d v="2022-06-01T00:00:00"/>
    <s v="300115"/>
    <s v="AUXILIAR CONSERVERA SA"/>
    <n v="311965.005"/>
  </r>
  <r>
    <s v="Facture comptabilisée"/>
    <m/>
    <x v="0"/>
    <x v="2192"/>
    <d v="2026-10-01T00:00:00"/>
    <d v="2022-06-01T00:00:00"/>
    <s v="300115"/>
    <s v="AUXILIAR CONSERVERA SA"/>
    <n v="384311.79599999997"/>
  </r>
  <r>
    <s v="Facture comptabilisée"/>
    <m/>
    <x v="0"/>
    <x v="2193"/>
    <s v="JIL PACK A"/>
    <d v="2022-06-01T00:00:00"/>
    <s v="300115"/>
    <s v="AUXILIAR CONSERVERA SA"/>
    <n v="384311.79599999997"/>
  </r>
  <r>
    <s v="Facture comptabilisée"/>
    <m/>
    <x v="0"/>
    <x v="2194"/>
    <m/>
    <d v="2022-06-01T00:00:00"/>
    <s v="300133"/>
    <s v="OP BOX "/>
    <n v="36763.199999999997"/>
  </r>
  <r>
    <s v="Facture comptabilisée"/>
    <m/>
    <x v="0"/>
    <x v="2195"/>
    <m/>
    <d v="2022-06-01T00:00:00"/>
    <s v="300133"/>
    <s v="OP BOX "/>
    <n v="43548.75"/>
  </r>
  <r>
    <s v="Facture comptabilisée"/>
    <m/>
    <x v="0"/>
    <x v="2196"/>
    <m/>
    <d v="2022-06-01T00:00:00"/>
    <s v="300133"/>
    <s v="OP BOX "/>
    <n v="5996.25"/>
  </r>
  <r>
    <s v="Facture comptabilisée"/>
    <m/>
    <x v="0"/>
    <x v="2197"/>
    <s v="55/2022 JALAL"/>
    <d v="2022-06-01T00:00:00"/>
    <s v="300321"/>
    <s v="JIL LOGISTIQUE"/>
    <n v="15500"/>
  </r>
  <r>
    <s v="Facture comptabilisée"/>
    <m/>
    <x v="0"/>
    <x v="2198"/>
    <s v="57/2022 JALAL"/>
    <d v="2022-06-01T00:00:00"/>
    <s v="300321"/>
    <s v="JIL LOGISTIQUE"/>
    <n v="15500"/>
  </r>
  <r>
    <s v="Facture comptabilisée"/>
    <m/>
    <x v="0"/>
    <x v="2199"/>
    <s v="56/2022 JALAL"/>
    <d v="2022-06-01T00:00:00"/>
    <s v="300321"/>
    <s v="JIL LOGISTIQUE"/>
    <n v="15500"/>
  </r>
  <r>
    <s v="Facture comptabilisée"/>
    <m/>
    <x v="0"/>
    <x v="2200"/>
    <s v="58/2022 JALAL"/>
    <d v="2022-06-01T00:00:00"/>
    <s v="300321"/>
    <s v="JIL LOGISTIQUE"/>
    <n v="15500"/>
  </r>
  <r>
    <s v="Facture comptabilisée"/>
    <m/>
    <x v="0"/>
    <x v="2201"/>
    <s v="55/2022 JALAL"/>
    <d v="2022-06-02T00:00:00"/>
    <s v="300043"/>
    <s v="DOUANE"/>
    <n v="1345"/>
  </r>
  <r>
    <s v="Facture comptabilisée"/>
    <m/>
    <x v="0"/>
    <x v="2202"/>
    <s v="58/2022 JALAL"/>
    <d v="2022-06-02T00:00:00"/>
    <s v="300043"/>
    <s v="DOUANE"/>
    <n v="1436"/>
  </r>
  <r>
    <s v="Facture comptabilisée"/>
    <m/>
    <x v="0"/>
    <x v="2203"/>
    <s v="57/2022 JALAL"/>
    <d v="2022-06-02T00:00:00"/>
    <s v="300043"/>
    <s v="DOUANE"/>
    <n v="1428"/>
  </r>
  <r>
    <s v="Facture comptabilisée"/>
    <m/>
    <x v="0"/>
    <x v="2204"/>
    <s v="56/2022 JALAL"/>
    <d v="2022-06-03T00:00:00"/>
    <s v="300043"/>
    <s v="DOUANE"/>
    <n v="1428"/>
  </r>
  <r>
    <s v="Facture comptabilisée"/>
    <m/>
    <x v="0"/>
    <x v="2205"/>
    <s v="22/2022"/>
    <d v="2022-06-06T00:00:00"/>
    <s v="300043"/>
    <s v="DOUANE"/>
    <n v="1168"/>
  </r>
  <r>
    <s v="Facture comptabilisée"/>
    <m/>
    <x v="0"/>
    <x v="2206"/>
    <s v="22/2022"/>
    <d v="2022-06-06T00:00:00"/>
    <s v="300043"/>
    <s v="DOUANE"/>
    <n v="1761"/>
  </r>
  <r>
    <s v="Facture comptabilisée"/>
    <m/>
    <x v="0"/>
    <x v="2207"/>
    <s v="22/2022"/>
    <d v="2022-06-06T00:00:00"/>
    <s v="300101"/>
    <s v="ASMAE FORWARDING EXPRESS"/>
    <n v="3594.7"/>
  </r>
  <r>
    <s v="Facture comptabilisée"/>
    <m/>
    <x v="0"/>
    <x v="2208"/>
    <s v="55/2022 JALAL"/>
    <d v="2022-06-08T00:00:00"/>
    <s v="300191"/>
    <s v="JTTL"/>
    <n v="3130.79"/>
  </r>
  <r>
    <s v="Facture comptabilisée"/>
    <m/>
    <x v="0"/>
    <x v="2209"/>
    <s v="56/2022 JALAL"/>
    <d v="2022-06-08T00:00:00"/>
    <s v="300191"/>
    <s v="JTTL"/>
    <n v="3126.3"/>
  </r>
  <r>
    <s v="Facture comptabilisée"/>
    <m/>
    <x v="0"/>
    <x v="2210"/>
    <s v="57/2022 JALAL"/>
    <d v="2022-06-08T00:00:00"/>
    <s v="300191"/>
    <s v="JTTL"/>
    <n v="3130.79"/>
  </r>
  <r>
    <s v="Facture comptabilisée"/>
    <m/>
    <x v="0"/>
    <x v="2211"/>
    <s v="58/2022 JALAL"/>
    <d v="2022-06-08T00:00:00"/>
    <s v="300191"/>
    <s v="JTTL"/>
    <n v="3130.79"/>
  </r>
  <r>
    <s v="Facture comptabilisée"/>
    <m/>
    <x v="0"/>
    <x v="2212"/>
    <s v="20L"/>
    <d v="2022-06-09T00:00:00"/>
    <s v="300133"/>
    <s v="OP BOX "/>
    <n v="48232.800000000003"/>
  </r>
  <r>
    <s v="Facture comptabilisée"/>
    <m/>
    <x v="0"/>
    <x v="2213"/>
    <m/>
    <d v="2022-06-13T00:00:00"/>
    <s v="300115"/>
    <s v="AUXILIAR CONSERVERA SA"/>
    <n v="59475.721799999999"/>
  </r>
  <r>
    <s v="Facture comptabilisée"/>
    <m/>
    <x v="0"/>
    <x v="2214"/>
    <d v="2026-01-05T00:00:00"/>
    <d v="2022-06-13T00:00:00"/>
    <s v="300115"/>
    <s v="AUXILIAR CONSERVERA SA"/>
    <n v="76182.81"/>
  </r>
  <r>
    <s v="Facture comptabilisée"/>
    <m/>
    <x v="0"/>
    <x v="2215"/>
    <s v="FBCB"/>
    <d v="2022-06-14T00:00:00"/>
    <s v="300093"/>
    <s v="AVEZ SAS"/>
    <n v="245603.3437"/>
  </r>
  <r>
    <s v="Facture comptabilisée"/>
    <m/>
    <x v="0"/>
    <x v="2216"/>
    <s v="silver"/>
    <d v="2022-06-14T00:00:00"/>
    <s v="300115"/>
    <s v="AUXILIAR CONSERVERA SA"/>
    <n v="415222.522"/>
  </r>
  <r>
    <s v="Facture comptabilisée"/>
    <m/>
    <x v="0"/>
    <x v="2217"/>
    <s v="JIL PACK A"/>
    <d v="2022-06-14T00:00:00"/>
    <s v="300115"/>
    <s v="AUXILIAR CONSERVERA SA"/>
    <n v="374085.78240000003"/>
  </r>
  <r>
    <s v="Facture comptabilisée"/>
    <m/>
    <x v="0"/>
    <x v="2218"/>
    <s v="SILVER"/>
    <d v="2022-06-14T00:00:00"/>
    <s v="300115"/>
    <s v="AUXILIAR CONSERVERA SA"/>
    <n v="415222.522"/>
  </r>
  <r>
    <s v="Facture comptabilisée"/>
    <m/>
    <x v="0"/>
    <x v="2219"/>
    <s v="5KG BRUTE"/>
    <d v="2022-06-14T00:00:00"/>
    <s v="300115"/>
    <s v="AUXILIAR CONSERVERA SA"/>
    <n v="107011.08"/>
  </r>
  <r>
    <s v="Facture comptabilisée"/>
    <m/>
    <x v="0"/>
    <x v="2220"/>
    <s v="5KG BRUT"/>
    <d v="2022-06-14T00:00:00"/>
    <s v="300115"/>
    <s v="AUXILIAR CONSERVERA SA"/>
    <n v="107011.08"/>
  </r>
  <r>
    <s v="Facture comptabilisée"/>
    <m/>
    <x v="0"/>
    <x v="2221"/>
    <s v="5500ML"/>
    <d v="2022-06-14T00:00:00"/>
    <s v="300133"/>
    <s v="OP BOX "/>
    <n v="51120"/>
  </r>
  <r>
    <s v="Facture comptabilisée"/>
    <m/>
    <x v="0"/>
    <x v="2222"/>
    <s v="59/2022 JALAL"/>
    <d v="2022-06-14T00:00:00"/>
    <s v="300321"/>
    <s v="JIL LOGISTIQUE"/>
    <n v="15500"/>
  </r>
  <r>
    <s v="Facture comptabilisée"/>
    <m/>
    <x v="0"/>
    <x v="2223"/>
    <s v="60/2022 JALAL"/>
    <d v="2022-06-14T00:00:00"/>
    <s v="300321"/>
    <s v="JIL LOGISTIQUE"/>
    <n v="13500"/>
  </r>
  <r>
    <s v="Facture comptabilisée"/>
    <m/>
    <x v="0"/>
    <x v="2224"/>
    <s v="61/2022 JALAL"/>
    <d v="2022-06-14T00:00:00"/>
    <s v="300321"/>
    <s v="JIL LOGISTIQUE"/>
    <n v="13500"/>
  </r>
  <r>
    <s v="Facture comptabilisée"/>
    <m/>
    <x v="0"/>
    <x v="2225"/>
    <s v="59/2022 JALAL"/>
    <d v="2022-06-15T00:00:00"/>
    <s v="300043"/>
    <s v="DOUANE"/>
    <n v="1393"/>
  </r>
  <r>
    <s v="Facture comptabilisée"/>
    <m/>
    <x v="0"/>
    <x v="2226"/>
    <s v="61/2022 JALAL"/>
    <d v="2022-06-15T00:00:00"/>
    <s v="300043"/>
    <s v="DOUANE"/>
    <n v="1512"/>
  </r>
  <r>
    <s v="Facture comptabilisée"/>
    <m/>
    <x v="0"/>
    <x v="2227"/>
    <s v="60/2022 JALAL"/>
    <d v="2022-06-15T00:00:00"/>
    <s v="300043"/>
    <s v="DOUANE"/>
    <n v="1512"/>
  </r>
  <r>
    <s v="Facture comptabilisée"/>
    <m/>
    <x v="0"/>
    <x v="2228"/>
    <s v="20L"/>
    <d v="2022-06-15T00:00:00"/>
    <s v="300133"/>
    <s v="OP BOX "/>
    <n v="68904"/>
  </r>
  <r>
    <s v="Facture comptabilisée"/>
    <m/>
    <x v="0"/>
    <x v="2229"/>
    <s v="10L"/>
    <d v="2022-06-15T00:00:00"/>
    <s v="300133"/>
    <s v="OP BOX "/>
    <n v="47970"/>
  </r>
  <r>
    <s v="Facture comptabilisée"/>
    <m/>
    <x v="0"/>
    <x v="2230"/>
    <s v="CVC600"/>
    <d v="2022-06-15T00:00:00"/>
    <s v="300133"/>
    <s v="OP BOX "/>
    <n v="5200"/>
  </r>
  <r>
    <s v="Facture comptabilisée"/>
    <m/>
    <x v="0"/>
    <x v="2231"/>
    <s v="600*280*1200"/>
    <d v="2022-06-15T00:00:00"/>
    <s v="300133"/>
    <s v="OP BOX "/>
    <n v="72406"/>
  </r>
  <r>
    <s v="Facture comptabilisée"/>
    <m/>
    <x v="0"/>
    <x v="2232"/>
    <s v="25/2022"/>
    <d v="2022-06-16T00:00:00"/>
    <s v="300043"/>
    <s v="DOUANE"/>
    <n v="601"/>
  </r>
  <r>
    <s v="Facture comptabilisée"/>
    <m/>
    <x v="0"/>
    <x v="2233"/>
    <s v="25/2022"/>
    <d v="2022-06-16T00:00:00"/>
    <s v="300101"/>
    <s v="ASMAE FORWARDING EXPRESS"/>
    <n v="3443.05"/>
  </r>
  <r>
    <s v="Facture comptabilisée"/>
    <m/>
    <x v="0"/>
    <x v="2234"/>
    <s v="5KG BRUTE"/>
    <d v="2022-06-16T00:00:00"/>
    <s v="300115"/>
    <s v="AUXILIAR CONSERVERA SA"/>
    <n v="101538.855"/>
  </r>
  <r>
    <s v="Facture comptabilisée"/>
    <m/>
    <x v="0"/>
    <x v="2235"/>
    <s v="1/4 CLUB BPANI"/>
    <d v="2022-06-16T00:00:00"/>
    <s v="300115"/>
    <s v="AUXILIAR CONSERVERA SA"/>
    <n v="368883.25760000001"/>
  </r>
  <r>
    <s v="Facture comptabilisée"/>
    <m/>
    <x v="0"/>
    <x v="2236"/>
    <s v="59/2022 JALAL"/>
    <d v="2022-06-16T00:00:00"/>
    <s v="300191"/>
    <s v="JTTL"/>
    <n v="3115.2"/>
  </r>
  <r>
    <s v="Facture comptabilisée"/>
    <m/>
    <x v="0"/>
    <x v="2237"/>
    <s v="62/2022 JALAL"/>
    <d v="2022-06-16T00:00:00"/>
    <s v="300321"/>
    <s v="JIL LOGISTIQUE"/>
    <n v="15500"/>
  </r>
  <r>
    <s v="Facture comptabilisée"/>
    <m/>
    <x v="0"/>
    <x v="2238"/>
    <s v="23/2022"/>
    <d v="2022-06-17T00:00:00"/>
    <s v="300043"/>
    <s v="DOUANE"/>
    <n v="505"/>
  </r>
  <r>
    <s v="Facture comptabilisée"/>
    <m/>
    <x v="0"/>
    <x v="2239"/>
    <s v="24/2022"/>
    <d v="2022-06-17T00:00:00"/>
    <s v="300043"/>
    <s v="DOUANE"/>
    <n v="505"/>
  </r>
  <r>
    <s v="Facture comptabilisée"/>
    <m/>
    <x v="0"/>
    <x v="2240"/>
    <s v="23/2022"/>
    <d v="2022-06-17T00:00:00"/>
    <s v="300101"/>
    <s v="ASMAE FORWARDING EXPRESS"/>
    <n v="3434.13"/>
  </r>
  <r>
    <s v="Facture comptabilisée"/>
    <m/>
    <x v="0"/>
    <x v="2241"/>
    <s v="24/2022"/>
    <d v="2022-06-17T00:00:00"/>
    <s v="300101"/>
    <s v="ASMAE FORWARDING EXPRESS"/>
    <n v="3126.16"/>
  </r>
  <r>
    <s v="Facture comptabilisée"/>
    <m/>
    <x v="0"/>
    <x v="2242"/>
    <s v="5KG BRUT"/>
    <d v="2022-06-17T00:00:00"/>
    <s v="300115"/>
    <s v="AUXILIAR CONSERVERA SA"/>
    <n v="100766.655"/>
  </r>
  <r>
    <s v="Facture comptabilisée"/>
    <m/>
    <x v="0"/>
    <x v="2243"/>
    <s v="COPAG"/>
    <d v="2022-06-17T00:00:00"/>
    <s v="300115"/>
    <s v="AUXILIAR CONSERVERA SA"/>
    <n v="198286.55439999999"/>
  </r>
  <r>
    <s v="Facture comptabilisée"/>
    <m/>
    <x v="0"/>
    <x v="2244"/>
    <s v="62/2022 JALAL"/>
    <d v="2022-06-20T00:00:00"/>
    <s v="300043"/>
    <s v="DOUANE"/>
    <n v="1390"/>
  </r>
  <r>
    <s v="Facture comptabilisée"/>
    <m/>
    <x v="0"/>
    <x v="2245"/>
    <s v="27/2022"/>
    <d v="2022-06-20T00:00:00"/>
    <s v="300043"/>
    <s v="DOUANE"/>
    <n v="490"/>
  </r>
  <r>
    <s v="Facture comptabilisée"/>
    <m/>
    <x v="0"/>
    <x v="2246"/>
    <s v="27/2022"/>
    <d v="2022-06-20T00:00:00"/>
    <s v="300101"/>
    <s v="ASMAE FORWARDING EXPRESS"/>
    <n v="3444.12"/>
  </r>
  <r>
    <s v="Facture comptabilisée"/>
    <m/>
    <x v="0"/>
    <x v="2247"/>
    <s v="60/2022 JALAL"/>
    <d v="2022-06-20T00:00:00"/>
    <s v="300191"/>
    <s v="JTTL"/>
    <n v="3115.2"/>
  </r>
  <r>
    <s v="Facture comptabilisée"/>
    <m/>
    <x v="0"/>
    <x v="2248"/>
    <s v="61/2022 JALAL"/>
    <d v="2022-06-20T00:00:00"/>
    <s v="300191"/>
    <s v="JTTL"/>
    <n v="3115.2"/>
  </r>
  <r>
    <s v="Facture comptabilisée"/>
    <m/>
    <x v="0"/>
    <x v="2249"/>
    <s v="A10 ALICOMAR"/>
    <d v="2022-06-21T00:00:00"/>
    <s v="300115"/>
    <s v="AUXILIAR CONSERVERA SA"/>
    <n v="144410.11199999999"/>
  </r>
  <r>
    <s v="Facture comptabilisée"/>
    <m/>
    <x v="0"/>
    <x v="2250"/>
    <s v="26/2022"/>
    <d v="2022-06-22T00:00:00"/>
    <s v="300043"/>
    <s v="DOUANE"/>
    <n v="802"/>
  </r>
  <r>
    <s v="Facture comptabilisée"/>
    <m/>
    <x v="0"/>
    <x v="2251"/>
    <s v="26/2022"/>
    <d v="2022-06-22T00:00:00"/>
    <s v="300101"/>
    <s v="ASMAE FORWARDING EXPRESS"/>
    <n v="3284.29"/>
  </r>
  <r>
    <s v="Facture comptabilisée"/>
    <m/>
    <x v="0"/>
    <x v="2252"/>
    <s v="1/4 CLUB BPANI"/>
    <d v="2022-06-22T00:00:00"/>
    <s v="300115"/>
    <s v="AUXILIAR CONSERVERA SA"/>
    <n v="368883.25760000001"/>
  </r>
  <r>
    <s v="Facture comptabilisée"/>
    <m/>
    <x v="0"/>
    <x v="2253"/>
    <s v="1/4 CLUB BPANI"/>
    <d v="2022-06-22T00:00:00"/>
    <s v="300115"/>
    <s v="AUXILIAR CONSERVERA SA"/>
    <n v="368883.25760000001"/>
  </r>
  <r>
    <s v="Facture comptabilisée"/>
    <m/>
    <x v="0"/>
    <x v="2254"/>
    <s v="CVC18000 NOIR"/>
    <d v="2022-06-22T00:00:00"/>
    <s v="300133"/>
    <s v="OP BOX "/>
    <n v="1360.8"/>
  </r>
  <r>
    <s v="Facture comptabilisée"/>
    <m/>
    <x v="0"/>
    <x v="2255"/>
    <s v="POT 18L NOIR"/>
    <d v="2022-06-22T00:00:00"/>
    <s v="300133"/>
    <s v="OP BOX "/>
    <n v="5935.68"/>
  </r>
  <r>
    <s v="Facture comptabilisée"/>
    <m/>
    <x v="0"/>
    <x v="2256"/>
    <s v="62/2022 JALAL"/>
    <d v="2022-06-22T00:00:00"/>
    <s v="300191"/>
    <s v="JTTL"/>
    <n v="3445.46"/>
  </r>
  <r>
    <s v="Facture comptabilisée"/>
    <m/>
    <x v="0"/>
    <x v="2257"/>
    <s v="63/2022 JALAL"/>
    <d v="2022-06-22T00:00:00"/>
    <s v="300321"/>
    <s v="JIL LOGISTIQUE"/>
    <n v="15500"/>
  </r>
  <r>
    <s v="Facture comptabilisée"/>
    <m/>
    <x v="0"/>
    <x v="2258"/>
    <s v="64/2022 JALAL"/>
    <d v="2022-06-22T00:00:00"/>
    <s v="300321"/>
    <s v="JIL LOGISTIQUE"/>
    <n v="15500"/>
  </r>
  <r>
    <s v="Facture comptabilisée"/>
    <m/>
    <x v="0"/>
    <x v="2259"/>
    <s v="28/2022"/>
    <d v="2022-06-23T00:00:00"/>
    <s v="300043"/>
    <s v="DOUANE"/>
    <n v="489"/>
  </r>
  <r>
    <s v="Facture comptabilisée"/>
    <m/>
    <x v="0"/>
    <x v="2260"/>
    <s v="29/2022"/>
    <d v="2022-06-23T00:00:00"/>
    <s v="300043"/>
    <s v="DOUANE"/>
    <n v="628"/>
  </r>
  <r>
    <s v="Facture comptabilisée"/>
    <m/>
    <x v="0"/>
    <x v="2261"/>
    <s v="03/2022 REC JAC"/>
    <d v="2022-06-23T00:00:00"/>
    <s v="300043"/>
    <s v="DOUANE"/>
    <n v="1064"/>
  </r>
  <r>
    <s v="Facture comptabilisée"/>
    <m/>
    <x v="0"/>
    <x v="2262"/>
    <s v="28/2022"/>
    <d v="2022-06-23T00:00:00"/>
    <s v="300101"/>
    <s v="ASMAE FORWARDING EXPRESS"/>
    <n v="3284.29"/>
  </r>
  <r>
    <s v="Facture comptabilisée"/>
    <m/>
    <x v="0"/>
    <x v="2263"/>
    <s v="29/2022"/>
    <d v="2022-06-23T00:00:00"/>
    <s v="300101"/>
    <s v="ASMAE FORWARDING EXPRESS"/>
    <n v="3284.12"/>
  </r>
  <r>
    <s v="Facture comptabilisée"/>
    <m/>
    <x v="0"/>
    <x v="2264"/>
    <s v="5/1 VMM STAR"/>
    <d v="2022-06-23T00:00:00"/>
    <s v="300115"/>
    <s v="AUXILIAR CONSERVERA SA"/>
    <n v="154700.37"/>
  </r>
  <r>
    <s v="Facture comptabilisée"/>
    <m/>
    <x v="0"/>
    <x v="2265"/>
    <s v="5/1 VMM STAR"/>
    <d v="2022-06-23T00:00:00"/>
    <s v="300115"/>
    <s v="AUXILIAR CONSERVERA SA"/>
    <n v="154700.37"/>
  </r>
  <r>
    <s v="Facture comptabilisée"/>
    <m/>
    <x v="0"/>
    <x v="2266"/>
    <s v="5/1VMM STAR"/>
    <d v="2022-06-23T00:00:00"/>
    <s v="300115"/>
    <s v="AUXILIAR CONSERVERA SA"/>
    <n v="154700.37"/>
  </r>
  <r>
    <s v="Facture comptabilisée"/>
    <m/>
    <x v="0"/>
    <x v="2267"/>
    <s v="5/1 VMM STAR"/>
    <d v="2022-06-23T00:00:00"/>
    <s v="300115"/>
    <s v="AUXILIAR CONSERVERA SA"/>
    <n v="154700.37"/>
  </r>
  <r>
    <s v="Facture comptabilisée"/>
    <m/>
    <x v="0"/>
    <x v="2268"/>
    <s v="2300"/>
    <d v="2022-06-23T00:00:00"/>
    <s v="300133"/>
    <s v="OP BOX "/>
    <n v="15748.992"/>
  </r>
  <r>
    <s v="Facture comptabilisée"/>
    <m/>
    <x v="0"/>
    <x v="2269"/>
    <s v="63/2022 JALAL"/>
    <d v="2022-06-24T00:00:00"/>
    <s v="300043"/>
    <s v="DOUANE"/>
    <n v="1386"/>
  </r>
  <r>
    <s v="Facture comptabilisée"/>
    <m/>
    <x v="0"/>
    <x v="2270"/>
    <s v="64/2022 JALAL"/>
    <d v="2022-06-24T00:00:00"/>
    <s v="300043"/>
    <s v="DOUANE"/>
    <n v="1380"/>
  </r>
  <r>
    <s v="Facture comptabilisée"/>
    <m/>
    <x v="0"/>
    <x v="2271"/>
    <s v="5/1 LM BPANI STAR"/>
    <d v="2022-06-24T00:00:00"/>
    <s v="300115"/>
    <s v="AUXILIAR CONSERVERA SA"/>
    <n v="143568.348"/>
  </r>
  <r>
    <s v="Facture comptabilisée"/>
    <m/>
    <x v="0"/>
    <x v="2272"/>
    <s v="03/2022 RECJAC"/>
    <d v="2022-06-25T00:00:00"/>
    <s v="300044"/>
    <s v="MARSA MAROC"/>
    <n v="3190.02"/>
  </r>
  <r>
    <s v="Facture comptabilisée"/>
    <m/>
    <x v="0"/>
    <x v="2273"/>
    <s v="03/2022 RECJAC"/>
    <d v="2022-06-25T00:00:00"/>
    <s v="300340"/>
    <s v="MSC MAROC"/>
    <n v="3700"/>
  </r>
  <r>
    <s v="Facture comptabilisée"/>
    <m/>
    <x v="0"/>
    <x v="2274"/>
    <s v="32/2022"/>
    <d v="2022-06-27T00:00:00"/>
    <s v="300043"/>
    <s v="DOUANE"/>
    <n v="664"/>
  </r>
  <r>
    <s v="Facture comptabilisée"/>
    <m/>
    <x v="0"/>
    <x v="2275"/>
    <s v="33/2022"/>
    <d v="2022-06-27T00:00:00"/>
    <s v="300043"/>
    <s v="DOUANE"/>
    <n v="664"/>
  </r>
  <r>
    <s v="Facture comptabilisée"/>
    <m/>
    <x v="0"/>
    <x v="2276"/>
    <s v="31/2022"/>
    <d v="2022-06-27T00:00:00"/>
    <s v="300043"/>
    <s v="DOUANE"/>
    <n v="664"/>
  </r>
  <r>
    <s v="Facture comptabilisée"/>
    <m/>
    <x v="0"/>
    <x v="2277"/>
    <s v="34/2022"/>
    <d v="2022-06-27T00:00:00"/>
    <s v="300043"/>
    <s v="DOUANE"/>
    <n v="672"/>
  </r>
  <r>
    <s v="Facture comptabilisée"/>
    <m/>
    <x v="0"/>
    <x v="2278"/>
    <s v="31/2022"/>
    <d v="2022-06-27T00:00:00"/>
    <s v="300101"/>
    <s v="ASMAE FORWARDING EXPRESS"/>
    <n v="3435.37"/>
  </r>
  <r>
    <s v="Facture comptabilisée"/>
    <m/>
    <x v="0"/>
    <x v="2279"/>
    <s v="32/2022"/>
    <d v="2022-06-27T00:00:00"/>
    <s v="300101"/>
    <s v="ASMAE FORWARDING EXPRESS"/>
    <n v="3589.92"/>
  </r>
  <r>
    <s v="Facture comptabilisée"/>
    <m/>
    <x v="0"/>
    <x v="2280"/>
    <s v="33/2022"/>
    <d v="2022-06-27T00:00:00"/>
    <s v="300101"/>
    <s v="ASMAE FORWARDING EXPRESS"/>
    <n v="3435.37"/>
  </r>
  <r>
    <s v="Facture comptabilisée"/>
    <m/>
    <x v="0"/>
    <x v="2281"/>
    <s v="34/2022"/>
    <d v="2022-06-27T00:00:00"/>
    <s v="300101"/>
    <s v="ASMAE FORWARDING EXPRESS"/>
    <n v="3435.37"/>
  </r>
  <r>
    <s v="Facture comptabilisée"/>
    <m/>
    <x v="0"/>
    <x v="2282"/>
    <s v="2300"/>
    <d v="2022-06-27T00:00:00"/>
    <s v="300133"/>
    <s v="OP BOX "/>
    <n v="58771.008000000002"/>
  </r>
  <r>
    <s v="Facture comptabilisée"/>
    <m/>
    <x v="0"/>
    <x v="2283"/>
    <s v="30/2022"/>
    <d v="2022-06-28T00:00:00"/>
    <s v="300043"/>
    <s v="DOUANE"/>
    <n v="628"/>
  </r>
  <r>
    <s v="Facture comptabilisée"/>
    <m/>
    <x v="0"/>
    <x v="2284"/>
    <s v="30/2022"/>
    <d v="2022-06-28T00:00:00"/>
    <s v="300101"/>
    <s v="ASMAE FORWARDING EXPRESS"/>
    <n v="3446.63"/>
  </r>
  <r>
    <s v="Facture comptabilisée"/>
    <m/>
    <x v="0"/>
    <x v="2285"/>
    <s v="SILVER 1/10 NEUTR"/>
    <d v="2022-06-28T00:00:00"/>
    <s v="300115"/>
    <s v="AUXILIAR CONSERVERA SA"/>
    <n v="384311.79599999997"/>
  </r>
  <r>
    <s v="Facture comptabilisée"/>
    <m/>
    <x v="0"/>
    <x v="2286"/>
    <s v="63/2022 JALAL"/>
    <d v="2022-06-28T00:00:00"/>
    <s v="300191"/>
    <s v="JTTL"/>
    <n v="3131.5"/>
  </r>
  <r>
    <s v="Facture comptabilisée"/>
    <m/>
    <x v="0"/>
    <x v="2287"/>
    <s v="64/2022 JALAL"/>
    <d v="2022-06-28T00:00:00"/>
    <s v="300191"/>
    <s v="JTTL"/>
    <n v="3131.5"/>
  </r>
  <r>
    <s v="Facture comptabilisée"/>
    <m/>
    <x v="0"/>
    <x v="2288"/>
    <s v="65/2022 JALAL"/>
    <d v="2022-06-28T00:00:00"/>
    <s v="300321"/>
    <s v="JIL LOGISTIQUE"/>
    <n v="13500"/>
  </r>
  <r>
    <s v="Facture comptabilisée"/>
    <m/>
    <x v="0"/>
    <x v="2289"/>
    <s v="65/2022 JALAL"/>
    <d v="2022-06-29T00:00:00"/>
    <s v="300043"/>
    <s v="DOUANE"/>
    <n v="1434"/>
  </r>
  <r>
    <s v="Facture comptabilisée"/>
    <m/>
    <x v="0"/>
    <x v="2290"/>
    <s v="2300ml"/>
    <d v="2022-06-29T00:00:00"/>
    <s v="300133"/>
    <s v="OP BOX "/>
    <n v="22356"/>
  </r>
  <r>
    <s v="Facture comptabilisée"/>
    <m/>
    <x v="0"/>
    <x v="2291"/>
    <s v="65/2022 JALAL"/>
    <d v="2022-06-30T00:00:00"/>
    <s v="300191"/>
    <s v="JTTL"/>
    <n v="3141.02"/>
  </r>
  <r>
    <s v="Facture comptabilisée"/>
    <m/>
    <x v="0"/>
    <x v="2292"/>
    <s v="1/4 CLUB BPANI"/>
    <d v="2022-07-01T00:00:00"/>
    <s v="300115"/>
    <s v="AUXILIAR CONSERVERA SA"/>
    <n v="368883.25760000001"/>
  </r>
  <r>
    <s v="Facture comptabilisée"/>
    <m/>
    <x v="0"/>
    <x v="2293"/>
    <s v="66/2022 JALAL"/>
    <d v="2022-07-01T00:00:00"/>
    <s v="300321"/>
    <s v="JIL LOGISTIQUE"/>
    <n v="15500"/>
  </r>
  <r>
    <s v="Facture comptabilisée"/>
    <m/>
    <x v="0"/>
    <x v="2294"/>
    <s v="66/2022 JALAL"/>
    <d v="2022-07-04T00:00:00"/>
    <s v="300043"/>
    <s v="DOUANE"/>
    <n v="1372"/>
  </r>
  <r>
    <s v="Facture comptabilisée"/>
    <m/>
    <x v="0"/>
    <x v="2295"/>
    <s v="04/2022 RECJAC"/>
    <d v="2022-07-04T00:00:00"/>
    <s v="300043"/>
    <s v="DOUANE"/>
    <n v="944"/>
  </r>
  <r>
    <s v="Facture comptabilisée"/>
    <m/>
    <x v="0"/>
    <x v="2296"/>
    <s v="1/4 CLUB BPANI"/>
    <d v="2022-07-04T00:00:00"/>
    <s v="300115"/>
    <s v="AUXILIAR CONSERVERA SA"/>
    <n v="368883.25760000001"/>
  </r>
  <r>
    <s v="Facture comptabilisée"/>
    <m/>
    <x v="0"/>
    <x v="2297"/>
    <s v="67/2022 JALAL"/>
    <d v="2022-07-04T00:00:00"/>
    <s v="300321"/>
    <s v="JIL LOGISTIQUE"/>
    <n v="15500"/>
  </r>
  <r>
    <s v="Facture comptabilisée"/>
    <m/>
    <x v="0"/>
    <x v="2298"/>
    <s v="66/2022 JALAL"/>
    <d v="2022-07-06T00:00:00"/>
    <s v="300191"/>
    <s v="JTTL"/>
    <n v="3095.05"/>
  </r>
  <r>
    <s v="Facture comptabilisée"/>
    <m/>
    <x v="0"/>
    <x v="2299"/>
    <s v="03/2022 RECJAC"/>
    <d v="2022-07-07T00:00:00"/>
    <s v="300301"/>
    <s v="RECOING &amp; JACQUETY"/>
    <n v="7168.5"/>
  </r>
  <r>
    <s v="Facture comptabilisée"/>
    <m/>
    <x v="0"/>
    <x v="2300"/>
    <s v="67/2022 JALAL"/>
    <d v="2022-07-12T00:00:00"/>
    <s v="300043"/>
    <s v="DOUANE"/>
    <n v="1360"/>
  </r>
  <r>
    <s v="Facture comptabilisée"/>
    <m/>
    <x v="0"/>
    <x v="2301"/>
    <s v="67/2022 JALAL"/>
    <d v="2022-07-15T00:00:00"/>
    <s v="300191"/>
    <s v="JTTL"/>
    <n v="3512.8"/>
  </r>
  <r>
    <s v="Facture comptabilisée"/>
    <m/>
    <x v="0"/>
    <x v="2302"/>
    <s v="04/2022 RECJAC"/>
    <d v="2022-07-18T00:00:00"/>
    <s v="300301"/>
    <s v="RECOING &amp; JACQUETY"/>
    <n v="7773.5"/>
  </r>
  <r>
    <s v="Facture comptabilisée"/>
    <m/>
    <x v="0"/>
    <x v="2303"/>
    <s v="NEW PEPPERS"/>
    <d v="2022-07-26T00:00:00"/>
    <s v="300115"/>
    <s v="AUXILIAR CONSERVERA SA"/>
    <n v="130657.23"/>
  </r>
  <r>
    <s v="Facture comptabilisée"/>
    <m/>
    <x v="0"/>
    <x v="2304"/>
    <s v="CVC 10L"/>
    <d v="2022-07-26T00:00:00"/>
    <s v="300133"/>
    <s v="OP BOX "/>
    <n v="12365.6"/>
  </r>
  <r>
    <s v="Facture comptabilisée"/>
    <m/>
    <x v="0"/>
    <x v="2305"/>
    <s v="10L+5L"/>
    <d v="2022-07-26T00:00:00"/>
    <s v="300133"/>
    <s v="OP BOX "/>
    <n v="60376.9"/>
  </r>
  <r>
    <s v="Facture comptabilisée"/>
    <m/>
    <x v="0"/>
    <x v="2306"/>
    <s v="4L"/>
    <d v="2022-07-26T00:00:00"/>
    <s v="300133"/>
    <s v="OP BOX "/>
    <n v="15120"/>
  </r>
  <r>
    <s v="Facture comptabilisée"/>
    <m/>
    <x v="0"/>
    <x v="2307"/>
    <s v="31/2022"/>
    <d v="2022-07-27T00:00:00"/>
    <s v="300043"/>
    <s v="DOUANE"/>
    <n v="2377"/>
  </r>
  <r>
    <s v="Facture comptabilisée"/>
    <m/>
    <x v="0"/>
    <x v="2308"/>
    <s v="NEW PEPPERS"/>
    <d v="2022-07-27T00:00:00"/>
    <s v="300115"/>
    <s v="AUXILIAR CONSERVERA SA"/>
    <n v="130686.93"/>
  </r>
  <r>
    <s v="Facture comptabilisée"/>
    <m/>
    <x v="0"/>
    <x v="2309"/>
    <s v="NEW PEPPERS"/>
    <d v="2022-07-29T00:00:00"/>
    <s v="300115"/>
    <s v="AUXILIAR CONSERVERA SA"/>
    <n v="130657.23"/>
  </r>
  <r>
    <s v="Facture comptabilisée"/>
    <m/>
    <x v="0"/>
    <x v="2310"/>
    <s v="NEW PEPPERS"/>
    <d v="2022-07-29T00:00:00"/>
    <s v="300115"/>
    <s v="AUXILIAR CONSERVERA SA"/>
    <n v="130657.23"/>
  </r>
  <r>
    <s v="Facture comptabilisée"/>
    <m/>
    <x v="0"/>
    <x v="2311"/>
    <s v="41/2022 "/>
    <d v="2022-08-01T00:00:00"/>
    <s v="300043"/>
    <s v="DOUANE"/>
    <n v="582"/>
  </r>
  <r>
    <s v="Facture comptabilisée"/>
    <m/>
    <x v="0"/>
    <x v="2312"/>
    <s v="39/2022"/>
    <d v="2022-08-01T00:00:00"/>
    <s v="300043"/>
    <s v="DOUANE"/>
    <n v="581"/>
  </r>
  <r>
    <s v="Facture comptabilisée"/>
    <m/>
    <x v="0"/>
    <x v="2313"/>
    <s v="41/2022"/>
    <d v="2022-08-01T00:00:00"/>
    <s v="300043"/>
    <s v="DOUANE"/>
    <n v="1902"/>
  </r>
  <r>
    <s v="Facture comptabilisée"/>
    <m/>
    <x v="0"/>
    <x v="2314"/>
    <s v="39/2022"/>
    <d v="2022-08-01T00:00:00"/>
    <s v="300101"/>
    <s v="ASMAE FORWARDING EXPRESS"/>
    <n v="3577.64"/>
  </r>
  <r>
    <s v="Facture comptabilisée"/>
    <m/>
    <x v="0"/>
    <x v="2315"/>
    <s v="41/2022"/>
    <d v="2022-08-01T00:00:00"/>
    <s v="300101"/>
    <s v="ASMAE FORWARDING EXPRESS"/>
    <n v="3424.52"/>
  </r>
  <r>
    <s v="Facture comptabilisée"/>
    <m/>
    <x v="0"/>
    <x v="2316"/>
    <s v="40/2022"/>
    <d v="2022-08-02T00:00:00"/>
    <s v="300043"/>
    <s v="DOUANE"/>
    <n v="582"/>
  </r>
  <r>
    <s v="Facture comptabilisée"/>
    <m/>
    <x v="0"/>
    <x v="2317"/>
    <s v="40/2022"/>
    <d v="2022-08-02T00:00:00"/>
    <s v="300101"/>
    <s v="ASMAE FORWARDING EXPRESS"/>
    <n v="3908.28"/>
  </r>
  <r>
    <s v="Facture comptabilisée"/>
    <m/>
    <x v="0"/>
    <x v="2318"/>
    <s v="JIL PACK A"/>
    <d v="2022-08-02T00:00:00"/>
    <s v="300115"/>
    <s v="AUXILIAR CONSERVERA SA"/>
    <n v="408148.22399999999"/>
  </r>
  <r>
    <s v="Facture comptabilisée"/>
    <m/>
    <x v="0"/>
    <x v="2319"/>
    <s v="JIL PACK A"/>
    <d v="2022-08-02T00:00:00"/>
    <s v="300115"/>
    <s v="AUXILIAR CONSERVERA SA"/>
    <n v="420538.62400000001"/>
  </r>
  <r>
    <s v="Facture comptabilisée"/>
    <m/>
    <x v="0"/>
    <x v="2320"/>
    <s v="37/2022"/>
    <d v="2022-08-03T00:00:00"/>
    <s v="300043"/>
    <s v="DOUANE"/>
    <n v="583"/>
  </r>
  <r>
    <s v="Facture comptabilisée"/>
    <m/>
    <x v="0"/>
    <x v="2321"/>
    <s v="37/2022 "/>
    <d v="2022-08-03T00:00:00"/>
    <s v="300101"/>
    <s v="ASMAE FORWARDING EXPRESS"/>
    <n v="3431.99"/>
  </r>
  <r>
    <s v="Facture comptabilisée"/>
    <m/>
    <x v="0"/>
    <x v="2322"/>
    <s v="38/2022"/>
    <d v="2022-08-04T00:00:00"/>
    <s v="300043"/>
    <s v="DOUANE"/>
    <n v="1471"/>
  </r>
  <r>
    <s v="Facture comptabilisée"/>
    <m/>
    <x v="0"/>
    <x v="2323"/>
    <s v="38/2022"/>
    <d v="2022-08-04T00:00:00"/>
    <s v="300101"/>
    <s v="ASMAE FORWARDING EXPRESS"/>
    <n v="3571.81"/>
  </r>
  <r>
    <s v="Facture comptabilisée"/>
    <m/>
    <x v="0"/>
    <x v="2324"/>
    <s v="SILVER FOOD"/>
    <d v="2022-08-05T00:00:00"/>
    <s v="300115"/>
    <s v="AUXILIAR CONSERVERA SA"/>
    <n v="445382.0514"/>
  </r>
  <r>
    <s v="Facture comptabilisée"/>
    <m/>
    <x v="0"/>
    <x v="2325"/>
    <s v="35/2022"/>
    <d v="2022-08-08T00:00:00"/>
    <s v="300043"/>
    <s v="DOUANE"/>
    <n v="1513"/>
  </r>
  <r>
    <s v="Facture comptabilisée"/>
    <m/>
    <x v="0"/>
    <x v="2326"/>
    <s v="36/2022"/>
    <d v="2022-08-08T00:00:00"/>
    <s v="300043"/>
    <s v="DOUANE"/>
    <n v="1592"/>
  </r>
  <r>
    <s v="Facture comptabilisée"/>
    <m/>
    <x v="0"/>
    <x v="2327"/>
    <s v="35/2022"/>
    <d v="2022-08-08T00:00:00"/>
    <s v="300043"/>
    <s v="DOUANE"/>
    <n v="2289"/>
  </r>
  <r>
    <s v="Facture comptabilisée"/>
    <m/>
    <x v="0"/>
    <x v="2328"/>
    <s v="36/2022"/>
    <d v="2022-08-08T00:00:00"/>
    <s v="300043"/>
    <s v="DOUANE"/>
    <n v="1780"/>
  </r>
  <r>
    <s v="Facture comptabilisée"/>
    <m/>
    <x v="0"/>
    <x v="2329"/>
    <s v="35/2022"/>
    <d v="2022-08-08T00:00:00"/>
    <s v="300101"/>
    <s v="ASMAE FORWARDING EXPRESS"/>
    <n v="3888.44"/>
  </r>
  <r>
    <s v="Facture comptabilisée"/>
    <m/>
    <x v="0"/>
    <x v="2330"/>
    <s v="36/2022"/>
    <d v="2022-08-08T00:00:00"/>
    <s v="300101"/>
    <s v="ASMAE FORWARDING EXPRESS"/>
    <n v="3420.04"/>
  </r>
  <r>
    <s v="Facture comptabilisée"/>
    <m/>
    <x v="0"/>
    <x v="2331"/>
    <s v="42/2022"/>
    <d v="2022-08-10T00:00:00"/>
    <s v="300043"/>
    <s v="DOUANE"/>
    <n v="1585"/>
  </r>
  <r>
    <s v="Facture comptabilisée"/>
    <m/>
    <x v="0"/>
    <x v="2332"/>
    <s v="SALWAN*JIL PACK*"/>
    <d v="2022-08-10T00:00:00"/>
    <s v="300115"/>
    <s v="AUXILIAR CONSERVERA SA"/>
    <n v="310894.52240000002"/>
  </r>
  <r>
    <s v="Facture comptabilisée"/>
    <m/>
    <x v="0"/>
    <x v="2333"/>
    <s v="35/2022"/>
    <d v="2022-08-11T00:00:00"/>
    <s v="300101"/>
    <s v="ASMAE FORWARDING EXPRESS"/>
    <n v="152.74"/>
  </r>
  <r>
    <s v="Facture comptabilisée"/>
    <m/>
    <x v="0"/>
    <x v="2334"/>
    <s v="36/2022"/>
    <d v="2022-08-11T00:00:00"/>
    <s v="300101"/>
    <s v="ASMAE FORWARDING EXPRESS"/>
    <n v="152.74"/>
  </r>
  <r>
    <s v="Facture comptabilisée"/>
    <m/>
    <x v="0"/>
    <x v="2335"/>
    <s v="42/2022"/>
    <d v="2022-08-11T00:00:00"/>
    <s v="300101"/>
    <s v="ASMAE FORWARDING EXPRESS"/>
    <n v="3112.96"/>
  </r>
  <r>
    <s v="Facture comptabilisée"/>
    <m/>
    <x v="0"/>
    <x v="2336"/>
    <s v="1/4 CLUB SILVER R"/>
    <d v="2022-08-11T00:00:00"/>
    <s v="300115"/>
    <s v="AUXILIAR CONSERVERA SA"/>
    <n v="445382.0514"/>
  </r>
  <r>
    <s v="Facture comptabilisée"/>
    <m/>
    <x v="0"/>
    <x v="2337"/>
    <s v="43/2022"/>
    <d v="2022-08-12T00:00:00"/>
    <s v="300043"/>
    <s v="DOUANE"/>
    <n v="1165"/>
  </r>
  <r>
    <s v="Facture comptabilisée"/>
    <m/>
    <x v="0"/>
    <x v="2338"/>
    <s v="43/2022"/>
    <d v="2022-08-12T00:00:00"/>
    <s v="300101"/>
    <s v="ASMAE FORWARDING EXPRESS"/>
    <n v="3133.65"/>
  </r>
  <r>
    <s v="Facture comptabilisée"/>
    <m/>
    <x v="0"/>
    <x v="2339"/>
    <s v="SILVER FOOD"/>
    <d v="2022-08-12T00:00:00"/>
    <s v="300115"/>
    <s v="AUXILIAR CONSERVERA SA"/>
    <n v="405221.25599999999"/>
  </r>
  <r>
    <s v="Facture comptabilisée"/>
    <m/>
    <x v="0"/>
    <x v="2340"/>
    <s v="SILVER FOOD"/>
    <d v="2022-08-16T00:00:00"/>
    <s v="300115"/>
    <s v="AUXILIAR CONSERVERA SA"/>
    <n v="405221.25599999999"/>
  </r>
  <r>
    <s v="Facture comptabilisée"/>
    <m/>
    <x v="0"/>
    <x v="2341"/>
    <s v="JIL PACK A"/>
    <d v="2022-08-16T00:00:00"/>
    <s v="300115"/>
    <s v="AUXILIAR CONSERVERA SA"/>
    <n v="408148.38900000002"/>
  </r>
  <r>
    <s v="Facture comptabilisée"/>
    <m/>
    <x v="0"/>
    <x v="2342"/>
    <s v="JIL PACK A"/>
    <d v="2022-08-16T00:00:00"/>
    <s v="300115"/>
    <s v="AUXILIAR CONSERVERA SA"/>
    <n v="408148.38900000002"/>
  </r>
  <r>
    <s v="Facture comptabilisée"/>
    <m/>
    <x v="0"/>
    <x v="2343"/>
    <s v="44/2022"/>
    <d v="2022-08-17T00:00:00"/>
    <s v="300043"/>
    <s v="DOUANE"/>
    <n v="1469"/>
  </r>
  <r>
    <s v="Facture comptabilisée"/>
    <m/>
    <x v="0"/>
    <x v="2344"/>
    <s v="44/2022"/>
    <d v="2022-08-17T00:00:00"/>
    <s v="300101"/>
    <s v="ASMAE FORWARDING EXPRESS"/>
    <n v="3134.01"/>
  </r>
  <r>
    <s v="Facture comptabilisée"/>
    <m/>
    <x v="0"/>
    <x v="2345"/>
    <s v="NEW PEPPERS"/>
    <d v="2022-08-17T00:00:00"/>
    <s v="300115"/>
    <s v="AUXILIAR CONSERVERA SA"/>
    <n v="130657.23"/>
  </r>
  <r>
    <s v="Facture comptabilisée"/>
    <m/>
    <x v="0"/>
    <x v="2346"/>
    <s v="SILVER FOOD"/>
    <d v="2022-08-17T00:00:00"/>
    <s v="300115"/>
    <s v="AUXILIAR CONSERVERA SA"/>
    <n v="405221.25599999999"/>
  </r>
  <r>
    <s v="Facture comptabilisée"/>
    <m/>
    <x v="0"/>
    <x v="2347"/>
    <s v="JIL PACK A"/>
    <d v="2022-08-17T00:00:00"/>
    <s v="300115"/>
    <s v="AUXILIAR CONSERVERA SA"/>
    <n v="399064.86619999999"/>
  </r>
  <r>
    <s v="Facture comptabilisée"/>
    <m/>
    <x v="0"/>
    <x v="2348"/>
    <s v="45/2022"/>
    <d v="2022-08-18T00:00:00"/>
    <s v="300043"/>
    <s v="DOUANE"/>
    <n v="1480"/>
  </r>
  <r>
    <s v="Facture comptabilisée"/>
    <m/>
    <x v="0"/>
    <x v="2349"/>
    <s v="45/2022"/>
    <d v="2022-08-18T00:00:00"/>
    <s v="300101"/>
    <s v="ASMAE FORWARDING EXPRESS"/>
    <n v="3135.77"/>
  </r>
  <r>
    <s v="Facture comptabilisée"/>
    <m/>
    <x v="0"/>
    <x v="2350"/>
    <s v="JIL PACK A"/>
    <d v="2022-08-18T00:00:00"/>
    <s v="300115"/>
    <s v="AUXILIAR CONSERVERA SA"/>
    <n v="399064.86619999999"/>
  </r>
  <r>
    <s v="Facture comptabilisée"/>
    <m/>
    <x v="0"/>
    <x v="2351"/>
    <s v="0.280ML"/>
    <d v="2022-08-18T00:00:00"/>
    <s v="300133"/>
    <s v="OP BOX "/>
    <n v="48486"/>
  </r>
  <r>
    <s v="Facture comptabilisée"/>
    <m/>
    <x v="0"/>
    <x v="2352"/>
    <s v="4L"/>
    <d v="2022-08-18T00:00:00"/>
    <s v="300133"/>
    <s v="OP BOX "/>
    <n v="30240"/>
  </r>
  <r>
    <s v="Facture comptabilisée"/>
    <m/>
    <x v="0"/>
    <x v="2353"/>
    <s v="10L"/>
    <d v="2022-08-18T00:00:00"/>
    <s v="300133"/>
    <s v="OP BOX "/>
    <n v="41973.75"/>
  </r>
  <r>
    <s v="Facture comptabilisée"/>
    <m/>
    <x v="0"/>
    <x v="2354"/>
    <s v="50/2022"/>
    <d v="2022-08-19T00:00:00"/>
    <s v="300043"/>
    <s v="DOUANE"/>
    <n v="1460"/>
  </r>
  <r>
    <s v="Facture comptabilisée"/>
    <m/>
    <x v="0"/>
    <x v="2355"/>
    <s v="47/2022"/>
    <d v="2022-08-19T00:00:00"/>
    <s v="300043"/>
    <s v="DOUANE"/>
    <n v="1441"/>
  </r>
  <r>
    <s v="Facture comptabilisée"/>
    <m/>
    <x v="0"/>
    <x v="2356"/>
    <s v="46/2022"/>
    <d v="2022-08-19T00:00:00"/>
    <s v="300043"/>
    <s v="DOUANE"/>
    <n v="1469"/>
  </r>
  <r>
    <s v="Facture comptabilisée"/>
    <m/>
    <x v="0"/>
    <x v="2357"/>
    <s v="50/2022"/>
    <d v="2022-08-19T00:00:00"/>
    <s v="300043"/>
    <s v="DOUANE"/>
    <n v="2720"/>
  </r>
  <r>
    <s v="Facture comptabilisée"/>
    <m/>
    <x v="0"/>
    <x v="2358"/>
    <s v="46/2022"/>
    <d v="2022-08-19T00:00:00"/>
    <s v="300101"/>
    <s v="ASMAE FORWARDING EXPRESS"/>
    <n v="3273.64"/>
  </r>
  <r>
    <s v="Facture comptabilisée"/>
    <m/>
    <x v="0"/>
    <x v="2359"/>
    <s v="47/2022"/>
    <d v="2022-08-19T00:00:00"/>
    <s v="300101"/>
    <s v="ASMAE FORWARDING EXPRESS"/>
    <n v="3272.35"/>
  </r>
  <r>
    <s v="Facture comptabilisée"/>
    <m/>
    <x v="0"/>
    <x v="2360"/>
    <s v="50/2022"/>
    <d v="2022-08-19T00:00:00"/>
    <s v="300101"/>
    <s v="ASMAE FORWARDING EXPRESS"/>
    <n v="3425.64"/>
  </r>
  <r>
    <s v="Facture comptabilisée"/>
    <m/>
    <x v="0"/>
    <x v="2361"/>
    <s v="49/2022"/>
    <d v="2022-08-22T00:00:00"/>
    <s v="300043"/>
    <s v="DOUANE"/>
    <n v="579"/>
  </r>
  <r>
    <s v="Facture comptabilisée"/>
    <m/>
    <x v="0"/>
    <x v="2362"/>
    <s v="48/2022"/>
    <d v="2022-08-22T00:00:00"/>
    <s v="300043"/>
    <s v="DOUANE"/>
    <n v="1430"/>
  </r>
  <r>
    <s v="Facture comptabilisée"/>
    <m/>
    <x v="0"/>
    <x v="2363"/>
    <s v="51/2022"/>
    <d v="2022-08-22T00:00:00"/>
    <s v="300043"/>
    <s v="DOUANE"/>
    <n v="1449"/>
  </r>
  <r>
    <s v="Facture comptabilisée"/>
    <m/>
    <x v="0"/>
    <x v="2364"/>
    <s v="48/2022"/>
    <d v="2022-08-22T00:00:00"/>
    <s v="300101"/>
    <s v="ASMAE FORWARDING EXPRESS"/>
    <n v="3406.86"/>
  </r>
  <r>
    <s v="Facture comptabilisée"/>
    <m/>
    <x v="0"/>
    <x v="2365"/>
    <s v="49/2022"/>
    <d v="2022-08-22T00:00:00"/>
    <s v="300101"/>
    <s v="ASMAE FORWARDING EXPRESS"/>
    <n v="3560.1"/>
  </r>
  <r>
    <s v="Facture comptabilisée"/>
    <m/>
    <x v="0"/>
    <x v="2366"/>
    <s v="51/2022"/>
    <d v="2022-08-22T00:00:00"/>
    <s v="300101"/>
    <s v="ASMAE FORWARDING EXPRESS"/>
    <n v="3406.86"/>
  </r>
  <r>
    <s v="Facture comptabilisée"/>
    <m/>
    <x v="0"/>
    <x v="2367"/>
    <s v="NEW PEPPERS"/>
    <d v="2022-08-23T00:00:00"/>
    <s v="300115"/>
    <s v="AUXILIAR CONSERVERA SA"/>
    <n v="127513.87"/>
  </r>
  <r>
    <s v="Facture comptabilisée"/>
    <m/>
    <x v="0"/>
    <x v="2368"/>
    <s v="NEW PEPPERS"/>
    <d v="2022-08-23T00:00:00"/>
    <s v="300115"/>
    <s v="AUXILIAR CONSERVERA SA"/>
    <n v="126903.535"/>
  </r>
  <r>
    <s v="Facture comptabilisée"/>
    <m/>
    <x v="0"/>
    <x v="2369"/>
    <s v="NEW PEPPERS"/>
    <d v="2022-08-23T00:00:00"/>
    <s v="300115"/>
    <s v="AUXILIAR CONSERVERA SA"/>
    <n v="126903.535"/>
  </r>
  <r>
    <s v="Facture comptabilisée"/>
    <m/>
    <x v="0"/>
    <x v="2370"/>
    <s v="53/2022"/>
    <d v="2022-08-26T00:00:00"/>
    <s v="300043"/>
    <s v="DOUANE"/>
    <n v="572"/>
  </r>
  <r>
    <s v="Facture comptabilisée"/>
    <m/>
    <x v="0"/>
    <x v="2371"/>
    <s v="53/2022"/>
    <d v="2022-08-26T00:00:00"/>
    <s v="300101"/>
    <s v="ASMAE FORWARDING EXPRESS"/>
    <n v="3122.07"/>
  </r>
  <r>
    <s v="Facture comptabilisée"/>
    <m/>
    <x v="0"/>
    <x v="2372"/>
    <s v="57/2022"/>
    <d v="2022-08-26T00:00:00"/>
    <s v="300101"/>
    <s v="ASMAE FORWARDING EXPRESS"/>
    <n v="3741.94"/>
  </r>
  <r>
    <s v="Facture comptabilisée"/>
    <m/>
    <x v="0"/>
    <x v="2373"/>
    <s v="NEW PEPPERS"/>
    <d v="2022-08-26T00:00:00"/>
    <s v="300115"/>
    <s v="AUXILIAR CONSERVERA SA"/>
    <n v="130657.23"/>
  </r>
  <r>
    <s v="Facture comptabilisée"/>
    <m/>
    <x v="0"/>
    <x v="2374"/>
    <s v="52/2022"/>
    <d v="2022-08-29T00:00:00"/>
    <s v="300043"/>
    <s v="DOUANE"/>
    <n v="571"/>
  </r>
  <r>
    <s v="Facture comptabilisée"/>
    <m/>
    <x v="0"/>
    <x v="2375"/>
    <s v="57/2022"/>
    <d v="2022-08-29T00:00:00"/>
    <s v="300043"/>
    <s v="DOUANE"/>
    <n v="571"/>
  </r>
  <r>
    <s v="Facture comptabilisée"/>
    <m/>
    <x v="0"/>
    <x v="2376"/>
    <s v="52/2022"/>
    <d v="2022-08-29T00:00:00"/>
    <s v="300101"/>
    <s v="ASMAE FORWARDING EXPRESS"/>
    <n v="3586.57"/>
  </r>
  <r>
    <s v="Facture comptabilisée"/>
    <m/>
    <x v="0"/>
    <x v="2377"/>
    <s v="JIL PACK A"/>
    <d v="2022-08-29T00:00:00"/>
    <s v="300115"/>
    <s v="AUXILIAR CONSERVERA SA"/>
    <n v="308513.12800000003"/>
  </r>
  <r>
    <s v="Facture comptabilisée"/>
    <m/>
    <x v="0"/>
    <x v="2378"/>
    <s v="VMM*1*"/>
    <d v="2022-08-29T00:00:00"/>
    <s v="300115"/>
    <s v="AUXILIAR CONSERVERA SA"/>
    <n v="200061.99840000001"/>
  </r>
  <r>
    <s v="Facture comptabilisée"/>
    <m/>
    <x v="0"/>
    <x v="2379"/>
    <s v="JIL PACK *2*"/>
    <d v="2022-08-29T00:00:00"/>
    <s v="300115"/>
    <s v="AUXILIAR CONSERVERA SA"/>
    <n v="128103.932"/>
  </r>
  <r>
    <s v="Facture comptabilisée"/>
    <m/>
    <x v="0"/>
    <x v="2380"/>
    <s v="68/2022"/>
    <d v="2022-08-30T00:00:00"/>
    <s v="300043"/>
    <s v="DOUANE"/>
    <n v="465"/>
  </r>
  <r>
    <s v="Facture comptabilisée"/>
    <m/>
    <x v="0"/>
    <x v="2381"/>
    <s v="70/2022 J"/>
    <d v="2022-08-30T00:00:00"/>
    <s v="300043"/>
    <s v="DOUANE"/>
    <n v="461"/>
  </r>
  <r>
    <s v="Facture comptabilisée"/>
    <m/>
    <x v="0"/>
    <x v="2382"/>
    <s v="69/2022 J"/>
    <d v="2022-08-30T00:00:00"/>
    <s v="300043"/>
    <s v="DOUANE"/>
    <n v="572"/>
  </r>
  <r>
    <s v="Facture comptabilisée"/>
    <m/>
    <x v="0"/>
    <x v="2383"/>
    <s v="NEW PEPP*ALICOMAR"/>
    <d v="2022-08-30T00:00:00"/>
    <s v="300115"/>
    <s v="AUXILIAR CONSERVERA SA"/>
    <n v="130636.242"/>
  </r>
  <r>
    <s v="Facture comptabilisée"/>
    <m/>
    <x v="0"/>
    <x v="2384"/>
    <s v="ATUNEROS DEL SUR"/>
    <d v="2022-08-30T00:00:00"/>
    <s v="300115"/>
    <s v="AUXILIAR CONSERVERA SA"/>
    <n v="384311.79599999997"/>
  </r>
  <r>
    <s v="Facture comptabilisée"/>
    <m/>
    <x v="0"/>
    <x v="2385"/>
    <s v="58/2022"/>
    <d v="2022-08-31T00:00:00"/>
    <s v="300043"/>
    <s v="DOUANE"/>
    <n v="584"/>
  </r>
  <r>
    <s v="Facture comptabilisée"/>
    <m/>
    <x v="0"/>
    <x v="2386"/>
    <s v="54/2022"/>
    <d v="2022-08-31T00:00:00"/>
    <s v="300043"/>
    <s v="DOUANE"/>
    <n v="1153"/>
  </r>
  <r>
    <s v="Facture comptabilisée"/>
    <m/>
    <x v="0"/>
    <x v="2387"/>
    <s v="54/2022"/>
    <d v="2022-08-31T00:00:00"/>
    <s v="300101"/>
    <s v="ASMAE FORWARDING EXPRESS"/>
    <n v="3130.85"/>
  </r>
  <r>
    <s v="Facture comptabilisée"/>
    <m/>
    <x v="0"/>
    <x v="2388"/>
    <s v="58/2022"/>
    <d v="2022-08-31T00:00:00"/>
    <s v="300101"/>
    <s v="ASMAE FORWARDING EXPRESS"/>
    <n v="3593.26"/>
  </r>
  <r>
    <s v="Facture comptabilisée"/>
    <m/>
    <x v="0"/>
    <x v="2389"/>
    <s v="68/2022 J"/>
    <d v="2022-08-31T00:00:00"/>
    <s v="300191"/>
    <s v="JTTL"/>
    <n v="1281.75"/>
  </r>
  <r>
    <s v="Facture comptabilisée"/>
    <m/>
    <x v="0"/>
    <x v="2390"/>
    <s v="69/2022"/>
    <d v="2022-08-31T00:00:00"/>
    <s v="300191"/>
    <s v="JTTL"/>
    <n v="1221.75"/>
  </r>
  <r>
    <s v="Facture comptabilisée"/>
    <m/>
    <x v="0"/>
    <x v="2391"/>
    <s v="70/2022 J"/>
    <d v="2022-08-31T00:00:00"/>
    <s v="300191"/>
    <s v="JTTL"/>
    <n v="1293.5"/>
  </r>
  <r>
    <s v="Facture comptabilisée"/>
    <m/>
    <x v="0"/>
    <x v="2392"/>
    <s v="55/2022"/>
    <d v="2022-09-01T00:00:00"/>
    <s v="300043"/>
    <s v="DOUANE"/>
    <n v="1240"/>
  </r>
  <r>
    <s v="Facture comptabilisée"/>
    <m/>
    <x v="0"/>
    <x v="2393"/>
    <s v="71/2022 J"/>
    <d v="2022-09-01T00:00:00"/>
    <s v="300043"/>
    <s v="DOUANE"/>
    <n v="1448"/>
  </r>
  <r>
    <s v="Facture comptabilisée"/>
    <m/>
    <x v="0"/>
    <x v="2394"/>
    <s v="55/2022"/>
    <d v="2022-09-01T00:00:00"/>
    <s v="300101"/>
    <s v="ASMAE FORWARDING EXPRESS"/>
    <n v="3282.24"/>
  </r>
  <r>
    <s v="Facture comptabilisée"/>
    <m/>
    <x v="0"/>
    <x v="2395"/>
    <s v="YAHYA AL FIRDAOUS"/>
    <d v="2022-09-01T00:00:00"/>
    <s v="300115"/>
    <s v="AUXILIAR CONSERVERA SA"/>
    <n v="295746.0638"/>
  </r>
  <r>
    <s v="Facture comptabilisée"/>
    <m/>
    <x v="0"/>
    <x v="2396"/>
    <s v="1/4 club"/>
    <d v="2022-09-01T00:00:00"/>
    <s v="300115"/>
    <s v="AUXILIAR CONSERVERA SA"/>
    <n v="368883.25760000001"/>
  </r>
  <r>
    <s v="Facture comptabilisée"/>
    <m/>
    <x v="0"/>
    <x v="2397"/>
    <s v="71/2022 J"/>
    <d v="2022-09-01T00:00:00"/>
    <s v="300321"/>
    <s v="JIL LOGISTIQUE"/>
    <n v="18000"/>
  </r>
  <r>
    <s v="Facture comptabilisée"/>
    <m/>
    <x v="0"/>
    <x v="2398"/>
    <s v="72/2022 J"/>
    <d v="2022-09-01T00:00:00"/>
    <s v="300321"/>
    <s v="JIL LOGISTIQUE"/>
    <n v="18000"/>
  </r>
  <r>
    <s v="Facture comptabilisée"/>
    <m/>
    <x v="0"/>
    <x v="2399"/>
    <s v="59/2022"/>
    <d v="2022-09-02T00:00:00"/>
    <s v="300043"/>
    <s v="DOUANE"/>
    <n v="585"/>
  </r>
  <r>
    <s v="Facture comptabilisée"/>
    <m/>
    <x v="0"/>
    <x v="2400"/>
    <s v="4/4 OF"/>
    <d v="2022-09-02T00:00:00"/>
    <s v="300080"/>
    <s v="MASSILLY"/>
    <n v="60060"/>
  </r>
  <r>
    <s v="Facture comptabilisée"/>
    <m/>
    <x v="0"/>
    <x v="2401"/>
    <s v="59/2022"/>
    <d v="2022-09-02T00:00:00"/>
    <s v="300101"/>
    <s v="ASMAE FORWARDING EXPRESS"/>
    <n v="3286.4"/>
  </r>
  <r>
    <s v="Facture comptabilisée"/>
    <m/>
    <x v="0"/>
    <x v="2402"/>
    <s v="1/4 club"/>
    <d v="2022-09-05T00:00:00"/>
    <s v="300115"/>
    <s v="AUXILIAR CONSERVERA SA"/>
    <n v="302806.55680000002"/>
  </r>
  <r>
    <s v="Facture comptabilisée"/>
    <m/>
    <x v="0"/>
    <x v="2403"/>
    <s v="1/4 club"/>
    <d v="2022-09-05T00:00:00"/>
    <s v="300115"/>
    <s v="AUXILIAR CONSERVERA SA"/>
    <n v="302806.55680000002"/>
  </r>
  <r>
    <s v="Facture comptabilisée"/>
    <m/>
    <x v="0"/>
    <x v="2404"/>
    <s v="10L"/>
    <d v="2022-09-05T00:00:00"/>
    <s v="300133"/>
    <s v="OP BOX "/>
    <n v="47970"/>
  </r>
  <r>
    <s v="Facture comptabilisée"/>
    <m/>
    <x v="0"/>
    <x v="2405"/>
    <s v="280ML"/>
    <d v="2022-09-05T00:00:00"/>
    <s v="300133"/>
    <s v="OP BOX "/>
    <n v="28080"/>
  </r>
  <r>
    <s v="Facture comptabilisée"/>
    <m/>
    <x v="0"/>
    <x v="2406"/>
    <s v="600ML"/>
    <d v="2022-09-05T00:00:00"/>
    <s v="300133"/>
    <s v="OP BOX "/>
    <n v="20800"/>
  </r>
  <r>
    <s v="Facture comptabilisée"/>
    <m/>
    <x v="0"/>
    <x v="2407"/>
    <s v="75/2022 J"/>
    <d v="2022-09-05T00:00:00"/>
    <s v="300321"/>
    <s v="JIL LOGISTIQUE"/>
    <n v="19000"/>
  </r>
  <r>
    <s v="Facture comptabilisée"/>
    <m/>
    <x v="0"/>
    <x v="2408"/>
    <s v="74/2022 J"/>
    <d v="2022-09-05T00:00:00"/>
    <s v="300321"/>
    <s v="JIL LOGISTIQUE"/>
    <n v="19000"/>
  </r>
  <r>
    <s v="Facture comptabilisée"/>
    <m/>
    <x v="0"/>
    <x v="2409"/>
    <s v="56/2022"/>
    <d v="2022-09-06T00:00:00"/>
    <s v="300043"/>
    <s v="DOUANE"/>
    <n v="1116"/>
  </r>
  <r>
    <s v="Facture comptabilisée"/>
    <m/>
    <x v="0"/>
    <x v="2410"/>
    <s v="72/2022 J"/>
    <d v="2022-09-06T00:00:00"/>
    <s v="300043"/>
    <s v="DOUANE"/>
    <n v="1398"/>
  </r>
  <r>
    <s v="Facture comptabilisée"/>
    <m/>
    <x v="0"/>
    <x v="2411"/>
    <s v="56/2022"/>
    <d v="2022-09-06T00:00:00"/>
    <s v="300101"/>
    <s v="ASMAE FORWARDING EXPRESS"/>
    <n v="3745.42"/>
  </r>
  <r>
    <s v="Facture comptabilisée"/>
    <m/>
    <x v="0"/>
    <x v="2412"/>
    <s v="VMM PPT"/>
    <d v="2022-09-06T00:00:00"/>
    <s v="300115"/>
    <s v="AUXILIAR CONSERVERA SA"/>
    <n v="384311.79599999997"/>
  </r>
  <r>
    <s v="Facture comptabilisée"/>
    <m/>
    <x v="0"/>
    <x v="2413"/>
    <s v="73/2022 J"/>
    <d v="2022-09-06T00:00:00"/>
    <s v="300321"/>
    <s v="JIL LOGISTIQUE"/>
    <n v="19000"/>
  </r>
  <r>
    <s v="Facture comptabilisée"/>
    <m/>
    <x v="0"/>
    <x v="2414"/>
    <s v="74/2022 J"/>
    <d v="2022-09-07T00:00:00"/>
    <s v="300043"/>
    <s v="DOUANE"/>
    <n v="1188"/>
  </r>
  <r>
    <s v="Facture comptabilisée"/>
    <m/>
    <x v="0"/>
    <x v="2415"/>
    <s v="73/2022 J"/>
    <d v="2022-09-07T00:00:00"/>
    <s v="300043"/>
    <s v="DOUANE"/>
    <n v="1449"/>
  </r>
  <r>
    <s v="Facture comptabilisée"/>
    <m/>
    <x v="0"/>
    <x v="2416"/>
    <s v="75/2022 J"/>
    <d v="2022-09-07T00:00:00"/>
    <s v="300043"/>
    <s v="DOUANE"/>
    <n v="1188"/>
  </r>
  <r>
    <s v="Facture comptabilisée"/>
    <m/>
    <x v="0"/>
    <x v="2417"/>
    <s v="SILVER FOOD"/>
    <d v="2022-09-07T00:00:00"/>
    <s v="300115"/>
    <s v="AUXILIAR CONSERVERA SA"/>
    <n v="415222.17879999999"/>
  </r>
  <r>
    <s v="Facture comptabilisée"/>
    <m/>
    <x v="0"/>
    <x v="2418"/>
    <s v="76/2022 J"/>
    <d v="2022-09-07T00:00:00"/>
    <s v="300321"/>
    <s v="JIL LOGISTIQUE"/>
    <n v="18000"/>
  </r>
  <r>
    <s v="Facture comptabilisée"/>
    <m/>
    <x v="0"/>
    <x v="2419"/>
    <s v="71/2022 J"/>
    <d v="2022-09-08T00:00:00"/>
    <s v="300191"/>
    <s v="JTTL"/>
    <n v="3131.86"/>
  </r>
  <r>
    <s v="Facture comptabilisée"/>
    <m/>
    <x v="0"/>
    <x v="2420"/>
    <s v="72/2022 J"/>
    <d v="2022-09-08T00:00:00"/>
    <s v="300191"/>
    <s v="JTTL"/>
    <n v="3589.97"/>
  </r>
  <r>
    <s v="Facture comptabilisée"/>
    <m/>
    <x v="0"/>
    <x v="2421"/>
    <s v="76/2022 J"/>
    <d v="2022-09-09T00:00:00"/>
    <s v="300043"/>
    <s v="DOUANE"/>
    <n v="1564"/>
  </r>
  <r>
    <s v="Facture comptabilisée"/>
    <m/>
    <x v="0"/>
    <x v="2422"/>
    <s v="2300ML"/>
    <d v="2022-09-09T00:00:00"/>
    <s v="300133"/>
    <s v="OP BOX "/>
    <n v="18349.632000000001"/>
  </r>
  <r>
    <s v="Facture comptabilisée"/>
    <m/>
    <x v="0"/>
    <x v="2423"/>
    <s v="4/4 OF"/>
    <d v="2022-09-12T00:00:00"/>
    <s v="300080"/>
    <s v="MASSILLY"/>
    <n v="114114"/>
  </r>
  <r>
    <s v="Facture comptabilisée"/>
    <m/>
    <x v="0"/>
    <x v="2424"/>
    <s v="73/2022 J"/>
    <d v="2022-09-12T00:00:00"/>
    <s v="300191"/>
    <s v="JTTL"/>
    <n v="3131.16"/>
  </r>
  <r>
    <s v="Facture comptabilisée"/>
    <m/>
    <x v="0"/>
    <x v="2425"/>
    <s v="74/2022 J"/>
    <d v="2022-09-12T00:00:00"/>
    <s v="300191"/>
    <s v="JTTL"/>
    <n v="3131.16"/>
  </r>
  <r>
    <s v="Facture comptabilisée"/>
    <m/>
    <x v="0"/>
    <x v="2426"/>
    <s v="75/2022 J"/>
    <d v="2022-09-12T00:00:00"/>
    <s v="300191"/>
    <s v="JTTL"/>
    <n v="3131.16"/>
  </r>
  <r>
    <s v="Facture comptabilisée"/>
    <m/>
    <x v="0"/>
    <x v="2427"/>
    <s v="JIL PACK A"/>
    <d v="2022-09-13T00:00:00"/>
    <s v="300115"/>
    <s v="AUXILIAR CONSERVERA SA"/>
    <n v="368878.25260000001"/>
  </r>
  <r>
    <s v="Facture comptabilisée"/>
    <m/>
    <x v="0"/>
    <x v="2428"/>
    <s v="78/2022 J"/>
    <d v="2022-09-13T00:00:00"/>
    <s v="300321"/>
    <s v="JIL LOGISTIQUE"/>
    <n v="20000"/>
  </r>
  <r>
    <s v="Facture comptabilisée"/>
    <m/>
    <x v="0"/>
    <x v="2429"/>
    <s v="JIL PACK A"/>
    <d v="2022-09-14T00:00:00"/>
    <s v="300115"/>
    <s v="AUXILIAR CONSERVERA SA"/>
    <n v="368878.25260000001"/>
  </r>
  <r>
    <s v="Facture comptabilisée"/>
    <m/>
    <x v="0"/>
    <x v="2430"/>
    <s v="CHERIF"/>
    <d v="2022-09-14T00:00:00"/>
    <s v="300115"/>
    <s v="AUXILIAR CONSERVERA SA"/>
    <n v="128984.1498"/>
  </r>
  <r>
    <s v="Facture comptabilisée"/>
    <m/>
    <x v="0"/>
    <x v="2431"/>
    <s v="CONSERVES OUALILI"/>
    <d v="2022-09-14T00:00:00"/>
    <s v="300115"/>
    <s v="AUXILIAR CONSERVERA SA"/>
    <n v="129979.443"/>
  </r>
  <r>
    <s v="Facture comptabilisée"/>
    <m/>
    <x v="0"/>
    <x v="2432"/>
    <s v="2300ML"/>
    <d v="2022-09-14T00:00:00"/>
    <s v="300133"/>
    <s v="OP BOX "/>
    <n v="13942.368"/>
  </r>
  <r>
    <s v="Facture comptabilisée"/>
    <m/>
    <x v="0"/>
    <x v="2433"/>
    <s v="77/2022 J"/>
    <d v="2022-09-14T00:00:00"/>
    <s v="300321"/>
    <s v="JIL LOGISTIQUE"/>
    <n v="20000"/>
  </r>
  <r>
    <s v="Facture comptabilisée"/>
    <m/>
    <x v="0"/>
    <x v="2434"/>
    <s v="77/2022 J"/>
    <d v="2022-09-15T00:00:00"/>
    <s v="300043"/>
    <s v="DOUANE"/>
    <n v="1424"/>
  </r>
  <r>
    <s v="Facture comptabilisée"/>
    <m/>
    <x v="0"/>
    <x v="2435"/>
    <s v="78/2022 J"/>
    <d v="2022-09-15T00:00:00"/>
    <s v="300043"/>
    <s v="DOUANE"/>
    <n v="1424"/>
  </r>
  <r>
    <s v="Facture comptabilisée"/>
    <m/>
    <x v="0"/>
    <x v="2436"/>
    <s v="4/4 OF"/>
    <d v="2022-09-15T00:00:00"/>
    <s v="300080"/>
    <s v="MASSILLY"/>
    <n v="114114"/>
  </r>
  <r>
    <s v="Facture comptabilisée"/>
    <m/>
    <x v="0"/>
    <x v="2437"/>
    <s v="870ML"/>
    <d v="2022-09-15T00:00:00"/>
    <s v="300133"/>
    <s v="OP BOX "/>
    <n v="55252.800000000003"/>
  </r>
  <r>
    <s v="Facture comptabilisée"/>
    <m/>
    <x v="0"/>
    <x v="2438"/>
    <s v="3800ML"/>
    <d v="2022-09-15T00:00:00"/>
    <s v="300133"/>
    <s v="OP BOX "/>
    <n v="34320"/>
  </r>
  <r>
    <s v="Facture comptabilisée"/>
    <m/>
    <x v="0"/>
    <x v="2439"/>
    <s v="60/2022"/>
    <d v="2022-09-16T00:00:00"/>
    <s v="300043"/>
    <s v="DOUANE"/>
    <n v="590"/>
  </r>
  <r>
    <s v="Facture comptabilisée"/>
    <m/>
    <x v="0"/>
    <x v="2440"/>
    <s v="61/2022"/>
    <d v="2022-09-16T00:00:00"/>
    <s v="300043"/>
    <s v="DOUANE"/>
    <n v="587"/>
  </r>
  <r>
    <s v="Facture comptabilisée"/>
    <m/>
    <x v="0"/>
    <x v="2441"/>
    <s v="60/2022"/>
    <d v="2022-09-16T00:00:00"/>
    <s v="300101"/>
    <s v="ASMAE FORWARDING EXPRESS"/>
    <n v="3169.24"/>
  </r>
  <r>
    <s v="Facture comptabilisée"/>
    <m/>
    <x v="0"/>
    <x v="2442"/>
    <s v="61/2022"/>
    <d v="2022-09-16T00:00:00"/>
    <s v="300101"/>
    <s v="ASMAE FORWARDING EXPRESS"/>
    <n v="3326.29"/>
  </r>
  <r>
    <s v="Facture comptabilisée"/>
    <m/>
    <x v="0"/>
    <x v="2443"/>
    <s v="NEW PEPPERS"/>
    <d v="2022-09-16T00:00:00"/>
    <s v="300115"/>
    <s v="AUXILIAR CONSERVERA SA"/>
    <n v="130636.242"/>
  </r>
  <r>
    <s v="Facture comptabilisée"/>
    <m/>
    <x v="0"/>
    <x v="2444"/>
    <s v="NEW PEPPERS"/>
    <d v="2022-09-16T00:00:00"/>
    <s v="300115"/>
    <s v="AUXILIAR CONSERVERA SA"/>
    <n v="130636.242"/>
  </r>
  <r>
    <s v="Facture comptabilisée"/>
    <m/>
    <x v="0"/>
    <x v="2445"/>
    <s v="AVOIR"/>
    <d v="2022-09-20T00:00:00"/>
    <s v="300093"/>
    <s v="AVEZ SAS"/>
    <n v="8800"/>
  </r>
  <r>
    <s v="Facture comptabilisée"/>
    <m/>
    <x v="0"/>
    <x v="2446"/>
    <s v="NEW PEPPERS"/>
    <d v="2022-09-20T00:00:00"/>
    <s v="300115"/>
    <s v="AUXILIAR CONSERVERA SA"/>
    <n v="130657.23"/>
  </r>
  <r>
    <s v="Facture comptabilisée"/>
    <m/>
    <x v="0"/>
    <x v="2447"/>
    <s v="76/2022 J"/>
    <d v="2022-09-20T00:00:00"/>
    <s v="300191"/>
    <s v="JTTL"/>
    <n v="3158.04"/>
  </r>
  <r>
    <s v="Facture comptabilisée"/>
    <m/>
    <x v="0"/>
    <x v="2448"/>
    <s v="77/2022 J"/>
    <d v="2022-09-20T00:00:00"/>
    <s v="300191"/>
    <s v="JTTL"/>
    <n v="3167.74"/>
  </r>
  <r>
    <s v="Facture comptabilisée"/>
    <m/>
    <x v="0"/>
    <x v="2449"/>
    <s v="78/2022 J"/>
    <d v="2022-09-20T00:00:00"/>
    <s v="300191"/>
    <s v="JTTL"/>
    <n v="3167.74"/>
  </r>
  <r>
    <s v="Facture comptabilisée"/>
    <m/>
    <x v="0"/>
    <x v="2450"/>
    <s v="2300ML"/>
    <d v="2022-09-21T00:00:00"/>
    <s v="300133"/>
    <s v="OP BOX "/>
    <n v="39744"/>
  </r>
  <r>
    <s v="Facture comptabilisée"/>
    <m/>
    <x v="0"/>
    <x v="2451"/>
    <s v="JIL PACK*1*"/>
    <d v="2022-09-22T00:00:00"/>
    <s v="300115"/>
    <s v="AUXILIAR CONSERVERA SA"/>
    <n v="65328.614999999998"/>
  </r>
  <r>
    <s v="Facture comptabilisée"/>
    <m/>
    <x v="0"/>
    <x v="2452"/>
    <s v="LOGI FOOD*2*"/>
    <d v="2022-09-22T00:00:00"/>
    <s v="300115"/>
    <s v="AUXILIAR CONSERVERA SA"/>
    <n v="108599.524"/>
  </r>
  <r>
    <s v="Facture comptabilisée"/>
    <m/>
    <x v="0"/>
    <x v="2453"/>
    <s v="VMM"/>
    <d v="2022-09-22T00:00:00"/>
    <s v="300115"/>
    <s v="AUXILIAR CONSERVERA SA"/>
    <n v="52385.256000000001"/>
  </r>
  <r>
    <s v="Facture comptabilisée"/>
    <m/>
    <x v="0"/>
    <x v="2454"/>
    <s v="62/2022"/>
    <d v="2022-09-23T00:00:00"/>
    <s v="300043"/>
    <s v="DOUANE"/>
    <n v="585"/>
  </r>
  <r>
    <s v="Facture comptabilisée"/>
    <m/>
    <x v="0"/>
    <x v="2455"/>
    <s v="63/2022"/>
    <d v="2022-09-23T00:00:00"/>
    <s v="300043"/>
    <s v="DOUANE"/>
    <n v="585"/>
  </r>
  <r>
    <s v="Facture comptabilisée"/>
    <m/>
    <x v="0"/>
    <x v="2456"/>
    <s v="4/4 OF"/>
    <d v="2022-09-23T00:00:00"/>
    <s v="300080"/>
    <s v="MASSILLY"/>
    <n v="12012"/>
  </r>
  <r>
    <s v="Facture comptabilisée"/>
    <m/>
    <x v="0"/>
    <x v="2457"/>
    <s v="62/2022"/>
    <d v="2022-09-23T00:00:00"/>
    <s v="300101"/>
    <s v="ASMAE FORWARDING EXPRESS"/>
    <n v="3444.29"/>
  </r>
  <r>
    <s v="Facture comptabilisée"/>
    <m/>
    <x v="0"/>
    <x v="2458"/>
    <s v="63/2022"/>
    <d v="2022-09-23T00:00:00"/>
    <s v="300101"/>
    <s v="ASMAE FORWARDING EXPRESS"/>
    <n v="3444.29"/>
  </r>
  <r>
    <s v="Facture comptabilisée"/>
    <m/>
    <x v="0"/>
    <x v="2459"/>
    <s v="JIL PACK A"/>
    <d v="2022-09-23T00:00:00"/>
    <s v="300115"/>
    <s v="AUXILIAR CONSERVERA SA"/>
    <n v="408151.52399999998"/>
  </r>
  <r>
    <s v="Facture comptabilisée"/>
    <m/>
    <x v="0"/>
    <x v="2460"/>
    <s v="JIL PACK A"/>
    <d v="2022-09-23T00:00:00"/>
    <s v="300115"/>
    <s v="AUXILIAR CONSERVERA SA"/>
    <n v="399064.78039999999"/>
  </r>
  <r>
    <s v="Facture comptabilisée"/>
    <m/>
    <x v="0"/>
    <x v="2461"/>
    <s v="JIL PACK A"/>
    <d v="2022-09-26T00:00:00"/>
    <s v="300115"/>
    <s v="AUXILIAR CONSERVERA SA"/>
    <n v="399064.78039999999"/>
  </r>
  <r>
    <s v="Facture comptabilisée"/>
    <m/>
    <x v="0"/>
    <x v="2462"/>
    <s v="SILVER FOOD"/>
    <d v="2022-09-26T00:00:00"/>
    <s v="300115"/>
    <s v="AUXILIAR CONSERVERA SA"/>
    <n v="368878.25260000001"/>
  </r>
  <r>
    <s v="Facture comptabilisée"/>
    <m/>
    <x v="0"/>
    <x v="2463"/>
    <s v="79/2022 J"/>
    <d v="2022-09-26T00:00:00"/>
    <s v="300321"/>
    <s v="JIL LOGISTIQUE"/>
    <n v="18000"/>
  </r>
  <r>
    <s v="Facture comptabilisée"/>
    <m/>
    <x v="0"/>
    <x v="2464"/>
    <s v="65/2022"/>
    <d v="2022-09-27T00:00:00"/>
    <s v="300043"/>
    <s v="DOUANE"/>
    <n v="1472"/>
  </r>
  <r>
    <s v="Facture comptabilisée"/>
    <m/>
    <x v="0"/>
    <x v="2465"/>
    <s v="64/2022"/>
    <d v="2022-09-27T00:00:00"/>
    <s v="300043"/>
    <s v="DOUANE"/>
    <n v="725"/>
  </r>
  <r>
    <s v="Facture comptabilisée"/>
    <m/>
    <x v="0"/>
    <x v="2466"/>
    <s v="64/2022"/>
    <d v="2022-09-27T00:00:00"/>
    <s v="300101"/>
    <s v="ASMAE FORWARDING EXPRESS"/>
    <n v="3739.34"/>
  </r>
  <r>
    <s v="Facture comptabilisée"/>
    <m/>
    <x v="0"/>
    <x v="2467"/>
    <s v="65/2022"/>
    <d v="2022-09-27T00:00:00"/>
    <s v="300101"/>
    <s v="ASMAE FORWARDING EXPRESS"/>
    <n v="3124.42"/>
  </r>
  <r>
    <s v="Facture comptabilisée"/>
    <m/>
    <x v="0"/>
    <x v="2468"/>
    <s v="COPAG"/>
    <d v="2022-09-27T00:00:00"/>
    <s v="300115"/>
    <s v="AUXILIAR CONSERVERA SA"/>
    <n v="197408.72579999999"/>
  </r>
  <r>
    <s v="Facture comptabilisée"/>
    <m/>
    <x v="0"/>
    <x v="2469"/>
    <s v="66/2022"/>
    <d v="2022-09-28T00:00:00"/>
    <s v="300043"/>
    <s v="DOUANE"/>
    <n v="1448"/>
  </r>
  <r>
    <s v="Facture comptabilisée"/>
    <m/>
    <x v="0"/>
    <x v="2470"/>
    <s v="67/2022"/>
    <d v="2022-09-28T00:00:00"/>
    <s v="300043"/>
    <s v="DOUANE"/>
    <n v="1448"/>
  </r>
  <r>
    <s v="Facture comptabilisée"/>
    <m/>
    <x v="0"/>
    <x v="2471"/>
    <s v="79/2022 J"/>
    <d v="2022-09-28T00:00:00"/>
    <s v="300043"/>
    <s v="DOUANE"/>
    <n v="1400"/>
  </r>
  <r>
    <s v="Facture comptabilisée"/>
    <m/>
    <x v="0"/>
    <x v="2472"/>
    <s v="66/2022"/>
    <d v="2022-09-28T00:00:00"/>
    <s v="300101"/>
    <s v="ASMAE FORWARDING EXPRESS"/>
    <n v="3286.2"/>
  </r>
  <r>
    <s v="Facture comptabilisée"/>
    <m/>
    <x v="0"/>
    <x v="2473"/>
    <s v="67/2022"/>
    <d v="2022-09-28T00:00:00"/>
    <s v="300101"/>
    <s v="ASMAE FORWARDING EXPRESS"/>
    <n v="3132.05"/>
  </r>
  <r>
    <s v="Facture comptabilisée"/>
    <m/>
    <x v="0"/>
    <x v="2474"/>
    <s v="NEW PEPPE*OUALILI"/>
    <d v="2022-09-29T00:00:00"/>
    <s v="300115"/>
    <s v="AUXILIAR CONSERVERA SA"/>
    <n v="130657.23"/>
  </r>
  <r>
    <s v="Facture comptabilisée"/>
    <m/>
    <x v="0"/>
    <x v="2475"/>
    <s v="JIL PACK A"/>
    <d v="2022-09-29T00:00:00"/>
    <s v="300115"/>
    <s v="AUXILIAR CONSERVERA SA"/>
    <n v="37699.199999999997"/>
  </r>
  <r>
    <s v="Facture comptabilisée"/>
    <m/>
    <x v="0"/>
    <x v="2476"/>
    <s v="SILVER FOOD"/>
    <d v="2022-09-30T00:00:00"/>
    <s v="300115"/>
    <s v="AUXILIAR CONSERVERA SA"/>
    <n v="415222.17879999999"/>
  </r>
  <r>
    <s v="Facture comptabilisée"/>
    <m/>
    <x v="0"/>
    <x v="2477"/>
    <s v="79/2022 J"/>
    <d v="2022-09-30T00:00:00"/>
    <s v="300191"/>
    <s v="JTTL"/>
    <n v="3135.55"/>
  </r>
  <r>
    <s v="Facture comptabilisée"/>
    <m/>
    <x v="0"/>
    <x v="2478"/>
    <s v="81/2022 J"/>
    <d v="2022-10-01T00:00:00"/>
    <s v="300321"/>
    <s v="JIL LOGISTIQUE"/>
    <n v="19000"/>
  </r>
  <r>
    <s v="Facture comptabilisée"/>
    <m/>
    <x v="0"/>
    <x v="2479"/>
    <s v="77/2022"/>
    <d v="2022-10-03T00:00:00"/>
    <s v="300043"/>
    <s v="DOUANE"/>
    <n v="808"/>
  </r>
  <r>
    <s v="Facture comptabilisée"/>
    <m/>
    <x v="0"/>
    <x v="2480"/>
    <s v="69/2022"/>
    <d v="2022-10-03T00:00:00"/>
    <s v="300043"/>
    <s v="DOUANE"/>
    <n v="591"/>
  </r>
  <r>
    <s v="Facture comptabilisée"/>
    <m/>
    <x v="0"/>
    <x v="2481"/>
    <s v="69/2022"/>
    <d v="2022-10-03T00:00:00"/>
    <s v="300101"/>
    <s v="ASMAE FORWARDING EXPRESS"/>
    <n v="4262.12"/>
  </r>
  <r>
    <s v="Facture comptabilisée"/>
    <m/>
    <x v="0"/>
    <x v="2482"/>
    <s v="77/2022"/>
    <d v="2022-10-03T00:00:00"/>
    <s v="300101"/>
    <s v="ASMAE FORWARDING EXPRESS"/>
    <n v="4261.76"/>
  </r>
  <r>
    <s v="Facture comptabilisée"/>
    <m/>
    <x v="0"/>
    <x v="2483"/>
    <s v="SILVER FOOD"/>
    <d v="2022-10-03T00:00:00"/>
    <s v="300115"/>
    <s v="AUXILIAR CONSERVERA SA"/>
    <n v="445404.3308"/>
  </r>
  <r>
    <s v="Facture comptabilisée"/>
    <m/>
    <x v="0"/>
    <x v="2484"/>
    <s v="SILVER FOOD"/>
    <d v="2022-10-03T00:00:00"/>
    <s v="300115"/>
    <s v="AUXILIAR CONSERVERA SA"/>
    <n v="445404.3308"/>
  </r>
  <r>
    <s v="Facture comptabilisée"/>
    <m/>
    <x v="0"/>
    <x v="2485"/>
    <s v="JIL PACK A"/>
    <d v="2022-10-03T00:00:00"/>
    <s v="300115"/>
    <s v="AUXILIAR CONSERVERA SA"/>
    <n v="368883.25760000001"/>
  </r>
  <r>
    <s v="Facture comptabilisée"/>
    <m/>
    <x v="0"/>
    <x v="2486"/>
    <s v="SILVER*JIL PACK A"/>
    <d v="2022-10-03T00:00:00"/>
    <s v="300115"/>
    <s v="AUXILIAR CONSERVERA SA"/>
    <n v="368883.25760000001"/>
  </r>
  <r>
    <s v="Facture comptabilisée"/>
    <m/>
    <x v="0"/>
    <x v="2487"/>
    <s v="SILVER FOOD"/>
    <d v="2022-10-03T00:00:00"/>
    <s v="300115"/>
    <s v="AUXILIAR CONSERVERA SA"/>
    <n v="445404.90279999998"/>
  </r>
  <r>
    <s v="Facture comptabilisée"/>
    <m/>
    <x v="0"/>
    <x v="2488"/>
    <s v="82/2022 J"/>
    <d v="2022-10-03T00:00:00"/>
    <s v="300321"/>
    <s v="JIL LOGISTIQUE"/>
    <n v="19000"/>
  </r>
  <r>
    <s v="Facture comptabilisée"/>
    <m/>
    <x v="0"/>
    <x v="2489"/>
    <s v="80/2022 J"/>
    <d v="2022-10-03T00:00:00"/>
    <s v="300321"/>
    <s v="JIL LOGISTIQUE"/>
    <n v="19000"/>
  </r>
  <r>
    <s v="Facture comptabilisée"/>
    <m/>
    <x v="0"/>
    <x v="2490"/>
    <s v="81/2022 J"/>
    <d v="2022-10-04T00:00:00"/>
    <s v="300043"/>
    <s v="DOUANE"/>
    <n v="1573"/>
  </r>
  <r>
    <s v="Facture comptabilisée"/>
    <m/>
    <x v="0"/>
    <x v="2491"/>
    <s v="JIL PACK A"/>
    <d v="2022-10-04T00:00:00"/>
    <s v="300115"/>
    <s v="AUXILIAR CONSERVERA SA"/>
    <n v="405222.24599999998"/>
  </r>
  <r>
    <s v="Facture comptabilisée"/>
    <m/>
    <x v="0"/>
    <x v="2492"/>
    <m/>
    <d v="2022-10-05T00:00:00"/>
    <s v="300043"/>
    <s v="DOUANE"/>
    <n v="2535"/>
  </r>
  <r>
    <s v="Facture comptabilisée"/>
    <m/>
    <x v="0"/>
    <x v="2493"/>
    <s v="79/2022"/>
    <d v="2022-10-05T00:00:00"/>
    <s v="300043"/>
    <s v="DOUANE"/>
    <n v="591"/>
  </r>
  <r>
    <s v="Facture comptabilisée"/>
    <m/>
    <x v="0"/>
    <x v="2494"/>
    <s v="78/2022"/>
    <d v="2022-10-05T00:00:00"/>
    <s v="300043"/>
    <s v="DOUANE"/>
    <n v="1627"/>
  </r>
  <r>
    <s v="Facture comptabilisée"/>
    <m/>
    <x v="0"/>
    <x v="2495"/>
    <s v="82/2022 J"/>
    <d v="2022-10-05T00:00:00"/>
    <s v="300043"/>
    <s v="DOUANE"/>
    <n v="1429"/>
  </r>
  <r>
    <s v="Facture comptabilisée"/>
    <m/>
    <x v="0"/>
    <x v="2496"/>
    <s v="80/2022 J"/>
    <d v="2022-10-05T00:00:00"/>
    <s v="300043"/>
    <s v="DOUANE"/>
    <n v="1429"/>
  </r>
  <r>
    <s v="Facture comptabilisée"/>
    <m/>
    <x v="0"/>
    <x v="2497"/>
    <s v="68/2022"/>
    <d v="2022-10-05T00:00:00"/>
    <s v="300043"/>
    <s v="DOUANE"/>
    <n v="1627"/>
  </r>
  <r>
    <s v="Facture comptabilisée"/>
    <m/>
    <x v="0"/>
    <x v="2498"/>
    <s v="76/2022"/>
    <d v="2022-10-05T00:00:00"/>
    <s v="300043"/>
    <s v="DOUANE"/>
    <n v="1627"/>
  </r>
  <r>
    <s v="Facture comptabilisée"/>
    <m/>
    <x v="0"/>
    <x v="2499"/>
    <s v="68/2022"/>
    <d v="2022-10-05T00:00:00"/>
    <s v="300101"/>
    <s v="ASMAE FORWARDING EXPRESS"/>
    <n v="3332.76"/>
  </r>
  <r>
    <s v="Facture comptabilisée"/>
    <m/>
    <x v="0"/>
    <x v="2500"/>
    <s v="76/2022"/>
    <d v="2022-10-05T00:00:00"/>
    <s v="300101"/>
    <s v="ASMAE FORWARDING EXPRESS"/>
    <n v="3332.76"/>
  </r>
  <r>
    <s v="Facture comptabilisée"/>
    <m/>
    <x v="0"/>
    <x v="2501"/>
    <s v="78/2022"/>
    <d v="2022-10-05T00:00:00"/>
    <s v="300101"/>
    <s v="ASMAE FORWARDING EXPRESS"/>
    <n v="3175.44"/>
  </r>
  <r>
    <s v="Facture comptabilisée"/>
    <m/>
    <x v="0"/>
    <x v="2502"/>
    <s v="79/2022"/>
    <d v="2022-10-05T00:00:00"/>
    <s v="300101"/>
    <s v="ASMAE FORWARDING EXPRESS"/>
    <n v="4282.88"/>
  </r>
  <r>
    <s v="Facture comptabilisée"/>
    <m/>
    <x v="0"/>
    <x v="2503"/>
    <s v="CONSTANCE*MEAT CO"/>
    <d v="2022-10-05T00:00:00"/>
    <s v="300115"/>
    <s v="AUXILIAR CONSERVERA SA"/>
    <n v="384311.79599999997"/>
  </r>
  <r>
    <s v="Facture comptabilisée"/>
    <m/>
    <x v="0"/>
    <x v="2504"/>
    <s v="VMM"/>
    <d v="2022-10-05T00:00:00"/>
    <s v="300115"/>
    <s v="AUXILIAR CONSERVERA SA"/>
    <n v="309873.96000000002"/>
  </r>
  <r>
    <s v="Facture comptabilisée"/>
    <m/>
    <x v="0"/>
    <x v="2505"/>
    <s v="JIL PACK A"/>
    <d v="2022-10-05T00:00:00"/>
    <s v="300115"/>
    <s v="AUXILIAR CONSERVERA SA"/>
    <n v="383538.0857"/>
  </r>
  <r>
    <s v="Facture comptabilisée"/>
    <m/>
    <x v="0"/>
    <x v="2506"/>
    <s v="84/2022 J"/>
    <d v="2022-10-05T00:00:00"/>
    <s v="300321"/>
    <s v="JIL LOGISTIQUE"/>
    <n v="19000"/>
  </r>
  <r>
    <s v="Facture comptabilisée"/>
    <m/>
    <x v="0"/>
    <x v="2507"/>
    <s v="83/2022 J"/>
    <d v="2022-10-05T00:00:00"/>
    <s v="300321"/>
    <s v="JIL LOGISTIQUE"/>
    <n v="19000"/>
  </r>
  <r>
    <s v="Facture comptabilisée"/>
    <m/>
    <x v="0"/>
    <x v="2508"/>
    <s v="84/2022 J"/>
    <d v="2022-10-06T00:00:00"/>
    <s v="300043"/>
    <s v="DOUANE"/>
    <n v="1478"/>
  </r>
  <r>
    <s v="Facture comptabilisée"/>
    <m/>
    <x v="0"/>
    <x v="2509"/>
    <s v="80/2022 J"/>
    <d v="2022-10-06T00:00:00"/>
    <s v="300191"/>
    <s v="JTTL"/>
    <n v="3178.94"/>
  </r>
  <r>
    <s v="Facture comptabilisée"/>
    <m/>
    <x v="0"/>
    <x v="2510"/>
    <s v="81/2022 J"/>
    <d v="2022-10-06T00:00:00"/>
    <s v="300191"/>
    <s v="JTTL"/>
    <n v="3175.69"/>
  </r>
  <r>
    <s v="Facture comptabilisée"/>
    <m/>
    <x v="0"/>
    <x v="2511"/>
    <s v="82/2022 J"/>
    <d v="2022-10-06T00:00:00"/>
    <s v="300191"/>
    <s v="JTTL"/>
    <n v="3178.94"/>
  </r>
  <r>
    <s v="Facture comptabilisée"/>
    <m/>
    <x v="0"/>
    <x v="2512"/>
    <m/>
    <d v="2022-10-07T00:00:00"/>
    <s v="300043"/>
    <s v="DOUANE"/>
    <n v="3388"/>
  </r>
  <r>
    <s v="Facture comptabilisée"/>
    <m/>
    <x v="0"/>
    <x v="2513"/>
    <s v="83/2022 J"/>
    <d v="2022-10-07T00:00:00"/>
    <s v="300043"/>
    <s v="DOUANE"/>
    <n v="1474"/>
  </r>
  <r>
    <s v="Facture comptabilisée"/>
    <m/>
    <x v="0"/>
    <x v="2514"/>
    <s v="80/2022"/>
    <d v="2022-10-07T00:00:00"/>
    <s v="300043"/>
    <s v="DOUANE"/>
    <n v="1491"/>
  </r>
  <r>
    <s v="Facture comptabilisée"/>
    <m/>
    <x v="0"/>
    <x v="2515"/>
    <s v="80/2022"/>
    <d v="2022-10-07T00:00:00"/>
    <s v="300101"/>
    <s v="ASMAE FORWARDING EXPRESS"/>
    <n v="3328"/>
  </r>
  <r>
    <s v="Facture comptabilisée"/>
    <m/>
    <x v="0"/>
    <x v="2516"/>
    <s v="VMM*1*"/>
    <d v="2022-10-10T00:00:00"/>
    <s v="300115"/>
    <s v="AUXILIAR CONSERVERA SA"/>
    <n v="173101.929"/>
  </r>
  <r>
    <s v="Facture comptabilisée"/>
    <m/>
    <x v="0"/>
    <x v="2517"/>
    <s v="JIL PACK*2*"/>
    <d v="2022-10-10T00:00:00"/>
    <s v="300115"/>
    <s v="AUXILIAR CONSERVERA SA"/>
    <n v="163105.052"/>
  </r>
  <r>
    <s v="Facture comptabilisée"/>
    <m/>
    <x v="0"/>
    <x v="2518"/>
    <s v="VMM"/>
    <d v="2022-10-10T00:00:00"/>
    <s v="300115"/>
    <s v="AUXILIAR CONSERVERA SA"/>
    <n v="310292.16899999999"/>
  </r>
  <r>
    <s v="Facture comptabilisée"/>
    <m/>
    <x v="0"/>
    <x v="2519"/>
    <s v="83/2022 J"/>
    <d v="2022-10-12T00:00:00"/>
    <s v="300191"/>
    <s v="JTTL"/>
    <n v="3174.48"/>
  </r>
  <r>
    <s v="Facture comptabilisée"/>
    <m/>
    <x v="0"/>
    <x v="2520"/>
    <s v="84/2022"/>
    <d v="2022-10-12T00:00:00"/>
    <s v="300191"/>
    <s v="JTTL"/>
    <n v="3178.55"/>
  </r>
  <r>
    <s v="Facture comptabilisée"/>
    <m/>
    <x v="0"/>
    <x v="2521"/>
    <s v="75/2022"/>
    <d v="2022-10-13T00:00:00"/>
    <s v="300043"/>
    <s v="DOUANE"/>
    <n v="1174"/>
  </r>
  <r>
    <s v="Facture comptabilisée"/>
    <m/>
    <x v="0"/>
    <x v="2522"/>
    <s v="71/2022"/>
    <d v="2022-10-13T00:00:00"/>
    <s v="300043"/>
    <s v="DOUANE"/>
    <n v="1173"/>
  </r>
  <r>
    <s v="Facture comptabilisée"/>
    <m/>
    <x v="0"/>
    <x v="2523"/>
    <s v="71/2022"/>
    <d v="2022-10-13T00:00:00"/>
    <s v="300101"/>
    <s v="ASMAE FORWARDING EXPRESS"/>
    <n v="3154.16"/>
  </r>
  <r>
    <s v="Facture comptabilisée"/>
    <m/>
    <x v="0"/>
    <x v="2524"/>
    <s v="75/2022"/>
    <d v="2022-10-13T00:00:00"/>
    <s v="300101"/>
    <s v="ASMAE FORWARDING EXPRESS"/>
    <n v="3783.25"/>
  </r>
  <r>
    <s v="Facture comptabilisée"/>
    <m/>
    <x v="0"/>
    <x v="2525"/>
    <s v="LOGI FOOD"/>
    <d v="2022-10-14T00:00:00"/>
    <s v="300115"/>
    <s v="AUXILIAR CONSERVERA SA"/>
    <n v="293355.57679999998"/>
  </r>
  <r>
    <s v="Facture comptabilisée"/>
    <m/>
    <x v="0"/>
    <x v="2526"/>
    <s v="JIL PACK"/>
    <d v="2022-10-14T00:00:00"/>
    <s v="300115"/>
    <s v="AUXILIAR CONSERVERA SA"/>
    <n v="194543.50080000001"/>
  </r>
  <r>
    <s v="Facture comptabilisée"/>
    <m/>
    <x v="0"/>
    <x v="2527"/>
    <s v="JIL AGADIR*PELAGI"/>
    <d v="2022-10-14T00:00:00"/>
    <s v="300115"/>
    <s v="AUXILIAR CONSERVERA SA"/>
    <n v="399065.12359999999"/>
  </r>
  <r>
    <s v="Facture comptabilisée"/>
    <m/>
    <x v="0"/>
    <x v="2528"/>
    <s v="85/2022 J"/>
    <d v="2022-10-14T00:00:00"/>
    <s v="300321"/>
    <s v="JIL LOGISTIQUE"/>
    <n v="18000"/>
  </r>
  <r>
    <s v="Facture comptabilisée"/>
    <m/>
    <x v="0"/>
    <x v="2529"/>
    <s v="20L"/>
    <d v="2022-10-15T00:00:00"/>
    <s v="300133"/>
    <s v="OP BOX "/>
    <n v="48232.800000000003"/>
  </r>
  <r>
    <s v="Facture comptabilisée"/>
    <m/>
    <x v="0"/>
    <x v="2530"/>
    <s v="JIL PACK A"/>
    <d v="2022-10-17T00:00:00"/>
    <s v="300115"/>
    <s v="AUXILIAR CONSERVERA SA"/>
    <n v="399065.12359999999"/>
  </r>
  <r>
    <s v="Facture comptabilisée"/>
    <m/>
    <x v="0"/>
    <x v="2531"/>
    <s v="JIL PACK AGADIR"/>
    <d v="2022-10-17T00:00:00"/>
    <s v="300115"/>
    <s v="AUXILIAR CONSERVERA SA"/>
    <n v="399065.12359999999"/>
  </r>
  <r>
    <s v="Facture comptabilisée"/>
    <m/>
    <x v="0"/>
    <x v="2532"/>
    <s v="JIL PACK A"/>
    <d v="2022-10-17T00:00:00"/>
    <s v="300115"/>
    <s v="AUXILIAR CONSERVERA SA"/>
    <n v="399065.12359999999"/>
  </r>
  <r>
    <s v="Facture comptabilisée"/>
    <m/>
    <x v="0"/>
    <x v="2533"/>
    <s v="JIL PACK AGADIR"/>
    <d v="2022-10-17T00:00:00"/>
    <s v="300115"/>
    <s v="AUXILIAR CONSERVERA SA"/>
    <n v="399065.12359999999"/>
  </r>
  <r>
    <s v="Facture comptabilisée"/>
    <m/>
    <x v="0"/>
    <x v="2534"/>
    <s v="ATUNEROS DEL SUR"/>
    <d v="2022-10-17T00:00:00"/>
    <s v="300115"/>
    <s v="AUXILIAR CONSERVERA SA"/>
    <n v="384311.79599999997"/>
  </r>
  <r>
    <s v="Facture comptabilisée"/>
    <m/>
    <x v="0"/>
    <x v="2535"/>
    <s v="SILVER FOOD"/>
    <d v="2022-10-17T00:00:00"/>
    <s v="300115"/>
    <s v="AUXILIAR CONSERVERA SA"/>
    <n v="415222.17879999999"/>
  </r>
  <r>
    <s v="Facture comptabilisée"/>
    <m/>
    <x v="0"/>
    <x v="2536"/>
    <s v="88/2022 J"/>
    <d v="2022-10-17T00:00:00"/>
    <s v="300321"/>
    <s v="JIL LOGISTIQUE"/>
    <n v="16000"/>
  </r>
  <r>
    <s v="Facture comptabilisée"/>
    <m/>
    <x v="0"/>
    <x v="2537"/>
    <s v="86/2022 J"/>
    <d v="2022-10-17T00:00:00"/>
    <s v="300321"/>
    <s v="JIL LOGISTIQUE"/>
    <n v="19000"/>
  </r>
  <r>
    <s v="Facture comptabilisée"/>
    <m/>
    <x v="0"/>
    <x v="2538"/>
    <m/>
    <d v="2022-10-18T00:00:00"/>
    <s v="300043"/>
    <s v="DOUANE"/>
    <n v="3358"/>
  </r>
  <r>
    <s v="Facture comptabilisée"/>
    <m/>
    <x v="0"/>
    <x v="2539"/>
    <s v="72/2022"/>
    <d v="2022-10-18T00:00:00"/>
    <s v="300043"/>
    <s v="DOUANE"/>
    <n v="1469"/>
  </r>
  <r>
    <s v="Facture comptabilisée"/>
    <m/>
    <x v="0"/>
    <x v="2540"/>
    <s v="85/2022 J"/>
    <d v="2022-10-18T00:00:00"/>
    <s v="300043"/>
    <s v="DOUANE"/>
    <n v="1171"/>
  </r>
  <r>
    <s v="Facture comptabilisée"/>
    <m/>
    <x v="0"/>
    <x v="2541"/>
    <s v="72/2022"/>
    <d v="2022-10-18T00:00:00"/>
    <s v="300101"/>
    <s v="ASMAE FORWARDING EXPRESS"/>
    <n v="3478.15"/>
  </r>
  <r>
    <s v="Facture comptabilisée"/>
    <m/>
    <x v="0"/>
    <x v="2542"/>
    <s v="JIL PACK A"/>
    <d v="2022-10-18T00:00:00"/>
    <s v="300115"/>
    <s v="AUXILIAR CONSERVERA SA"/>
    <n v="384311.79599999997"/>
  </r>
  <r>
    <s v="Facture comptabilisée"/>
    <m/>
    <x v="0"/>
    <x v="2543"/>
    <s v="FATINA FOOD"/>
    <d v="2022-10-18T00:00:00"/>
    <s v="300115"/>
    <s v="AUXILIAR CONSERVERA SA"/>
    <n v="312229.1128"/>
  </r>
  <r>
    <s v="Facture comptabilisée"/>
    <m/>
    <x v="0"/>
    <x v="2544"/>
    <s v="94/2022 J"/>
    <d v="2022-10-18T00:00:00"/>
    <s v="300321"/>
    <s v="JIL LOGISTIQUE"/>
    <n v="20712"/>
  </r>
  <r>
    <s v="Facture comptabilisée"/>
    <m/>
    <x v="0"/>
    <x v="2545"/>
    <s v="73/2022"/>
    <d v="2022-10-19T00:00:00"/>
    <s v="300043"/>
    <s v="DOUANE"/>
    <n v="1474"/>
  </r>
  <r>
    <s v="Facture comptabilisée"/>
    <m/>
    <x v="0"/>
    <x v="2546"/>
    <s v="81/2022"/>
    <d v="2022-10-19T00:00:00"/>
    <s v="300043"/>
    <s v="DOUANE"/>
    <n v="1474"/>
  </r>
  <r>
    <s v="Facture comptabilisée"/>
    <m/>
    <x v="0"/>
    <x v="2547"/>
    <s v="82/2022"/>
    <d v="2022-10-19T00:00:00"/>
    <s v="300043"/>
    <s v="DOUANE"/>
    <n v="1474"/>
  </r>
  <r>
    <s v="Facture comptabilisée"/>
    <m/>
    <x v="0"/>
    <x v="2548"/>
    <s v="86/2022 J"/>
    <d v="2022-10-19T00:00:00"/>
    <s v="300043"/>
    <s v="DOUANE"/>
    <n v="1580"/>
  </r>
  <r>
    <s v="Facture comptabilisée"/>
    <m/>
    <x v="0"/>
    <x v="2549"/>
    <s v="73/2022"/>
    <d v="2022-10-19T00:00:00"/>
    <s v="300101"/>
    <s v="ASMAE FORWARDING EXPRESS"/>
    <n v="3326.37"/>
  </r>
  <r>
    <s v="Facture comptabilisée"/>
    <m/>
    <x v="0"/>
    <x v="2550"/>
    <s v="81/2022"/>
    <d v="2022-10-19T00:00:00"/>
    <s v="300101"/>
    <s v="ASMAE FORWARDING EXPRESS"/>
    <n v="3326.37"/>
  </r>
  <r>
    <s v="Facture comptabilisée"/>
    <m/>
    <x v="0"/>
    <x v="2551"/>
    <s v="82/2022"/>
    <d v="2022-10-19T00:00:00"/>
    <s v="300101"/>
    <s v="ASMAE FORWARDING EXPRESS"/>
    <n v="3326.37"/>
  </r>
  <r>
    <s v="Facture comptabilisée"/>
    <m/>
    <x v="0"/>
    <x v="2552"/>
    <s v="UPA"/>
    <d v="2022-10-19T00:00:00"/>
    <s v="300115"/>
    <s v="AUXILIAR CONSERVERA SA"/>
    <n v="312229.1128"/>
  </r>
  <r>
    <s v="Facture comptabilisée"/>
    <m/>
    <x v="0"/>
    <x v="2553"/>
    <s v="JIL PACK A"/>
    <d v="2022-10-19T00:00:00"/>
    <s v="300115"/>
    <s v="AUXILIAR CONSERVERA SA"/>
    <n v="357114.86359999998"/>
  </r>
  <r>
    <s v="Facture comptabilisée"/>
    <m/>
    <x v="0"/>
    <x v="2554"/>
    <s v="SILVER FOOD"/>
    <d v="2022-10-19T00:00:00"/>
    <s v="300115"/>
    <s v="AUXILIAR CONSERVERA SA"/>
    <n v="368883.25760000001"/>
  </r>
  <r>
    <s v="Facture comptabilisée"/>
    <m/>
    <x v="0"/>
    <x v="2555"/>
    <s v="89/2022 J"/>
    <d v="2022-10-19T00:00:00"/>
    <s v="300321"/>
    <s v="JIL LOGISTIQUE"/>
    <n v="19000"/>
  </r>
  <r>
    <s v="Facture comptabilisée"/>
    <m/>
    <x v="0"/>
    <x v="2556"/>
    <s v="87/2022 J"/>
    <d v="2022-10-19T00:00:00"/>
    <s v="300321"/>
    <s v="JIL LOGISTIQUE"/>
    <n v="18000"/>
  </r>
  <r>
    <s v="Facture comptabilisée"/>
    <m/>
    <x v="0"/>
    <x v="2557"/>
    <s v="88/2022 J"/>
    <d v="2022-10-20T00:00:00"/>
    <s v="300043"/>
    <s v="DOUANE"/>
    <n v="1469"/>
  </r>
  <r>
    <s v="Facture comptabilisée"/>
    <m/>
    <x v="0"/>
    <x v="2558"/>
    <s v="70/2022"/>
    <d v="2022-10-20T00:00:00"/>
    <s v="300043"/>
    <s v="DOUANE"/>
    <n v="1474"/>
  </r>
  <r>
    <s v="Facture comptabilisée"/>
    <m/>
    <x v="0"/>
    <x v="2559"/>
    <s v="89/2022 J"/>
    <d v="2022-10-20T00:00:00"/>
    <s v="300043"/>
    <s v="DOUANE"/>
    <n v="1385"/>
  </r>
  <r>
    <s v="Facture comptabilisée"/>
    <m/>
    <x v="0"/>
    <x v="2560"/>
    <s v="87/2022 J"/>
    <d v="2022-10-20T00:00:00"/>
    <s v="300043"/>
    <s v="DOUANE"/>
    <n v="1421"/>
  </r>
  <r>
    <s v="Facture comptabilisée"/>
    <m/>
    <x v="0"/>
    <x v="2561"/>
    <s v="74/2022"/>
    <d v="2022-10-20T00:00:00"/>
    <s v="300043"/>
    <s v="DOUANE"/>
    <n v="1265"/>
  </r>
  <r>
    <s v="Facture comptabilisée"/>
    <m/>
    <x v="0"/>
    <x v="2562"/>
    <s v="70/2022"/>
    <d v="2022-10-20T00:00:00"/>
    <s v="300101"/>
    <s v="ASMAE FORWARDING EXPRESS"/>
    <n v="3326.37"/>
  </r>
  <r>
    <s v="Facture comptabilisée"/>
    <m/>
    <x v="0"/>
    <x v="2563"/>
    <s v="74/2022"/>
    <d v="2022-10-20T00:00:00"/>
    <s v="300101"/>
    <s v="ASMAE FORWARDING EXPRESS"/>
    <n v="4766.6499999999996"/>
  </r>
  <r>
    <s v="Facture comptabilisée"/>
    <m/>
    <x v="0"/>
    <x v="2564"/>
    <s v="JIL PACK A"/>
    <d v="2022-10-20T00:00:00"/>
    <s v="300115"/>
    <s v="AUXILIAR CONSERVERA SA"/>
    <n v="324675.37959999999"/>
  </r>
  <r>
    <s v="Facture comptabilisée"/>
    <m/>
    <x v="0"/>
    <x v="2565"/>
    <s v="JIL PACK"/>
    <d v="2022-10-20T00:00:00"/>
    <s v="300115"/>
    <s v="AUXILIAR CONSERVERA SA"/>
    <n v="255296.712"/>
  </r>
  <r>
    <s v="Facture comptabilisée"/>
    <m/>
    <x v="0"/>
    <x v="2566"/>
    <s v="JIL PACK"/>
    <d v="2022-10-20T00:00:00"/>
    <s v="300115"/>
    <s v="AUXILIAR CONSERVERA SA"/>
    <n v="254244.01199999999"/>
  </r>
  <r>
    <s v="Facture comptabilisée"/>
    <m/>
    <x v="0"/>
    <x v="2567"/>
    <s v="85/2022 J"/>
    <d v="2022-10-20T00:00:00"/>
    <s v="300191"/>
    <s v="JTTL"/>
    <n v="3459.9"/>
  </r>
  <r>
    <s v="Facture comptabilisée"/>
    <m/>
    <x v="0"/>
    <x v="2568"/>
    <m/>
    <d v="2022-10-21T00:00:00"/>
    <s v="300043"/>
    <s v="DOUANE"/>
    <n v="3729"/>
  </r>
  <r>
    <s v="Facture comptabilisée"/>
    <m/>
    <x v="0"/>
    <x v="2569"/>
    <s v="JIL PACK A*MDM*"/>
    <d v="2022-10-21T00:00:00"/>
    <s v="300115"/>
    <s v="AUXILIAR CONSERVERA SA"/>
    <n v="368883.25760000001"/>
  </r>
  <r>
    <s v="Facture comptabilisée"/>
    <m/>
    <x v="0"/>
    <x v="2570"/>
    <s v="JIL PACK A"/>
    <d v="2022-10-21T00:00:00"/>
    <s v="300115"/>
    <s v="AUXILIAR CONSERVERA SA"/>
    <n v="399065.12359999999"/>
  </r>
  <r>
    <s v="Facture comptabilisée"/>
    <m/>
    <x v="0"/>
    <x v="2571"/>
    <s v="SILVER FOOD"/>
    <d v="2022-10-21T00:00:00"/>
    <s v="300115"/>
    <s v="AUXILIAR CONSERVERA SA"/>
    <n v="445401.49939999997"/>
  </r>
  <r>
    <s v="Facture comptabilisée"/>
    <m/>
    <x v="0"/>
    <x v="2572"/>
    <s v="SILVER FOOD"/>
    <d v="2022-10-21T00:00:00"/>
    <s v="300115"/>
    <s v="AUXILIAR CONSERVERA SA"/>
    <n v="445404.04479999997"/>
  </r>
  <r>
    <s v="Facture comptabilisée"/>
    <m/>
    <x v="0"/>
    <x v="2573"/>
    <s v="SILVER FOOD"/>
    <d v="2022-10-21T00:00:00"/>
    <s v="300115"/>
    <s v="AUXILIAR CONSERVERA SA"/>
    <n v="445404.04479999997"/>
  </r>
  <r>
    <s v="Facture comptabilisée"/>
    <m/>
    <x v="0"/>
    <x v="2574"/>
    <s v="90/2022 J"/>
    <d v="2022-10-21T00:00:00"/>
    <s v="300321"/>
    <s v="JIL LOGISTIQUE"/>
    <n v="19000"/>
  </r>
  <r>
    <s v="Facture comptabilisée"/>
    <m/>
    <x v="0"/>
    <x v="2575"/>
    <m/>
    <d v="2022-10-24T00:00:00"/>
    <s v="300043"/>
    <s v="DOUANE"/>
    <n v="2521"/>
  </r>
  <r>
    <s v="Facture comptabilisée"/>
    <m/>
    <x v="0"/>
    <x v="2576"/>
    <s v="84/2022"/>
    <d v="2022-10-24T00:00:00"/>
    <s v="300043"/>
    <s v="DOUANE"/>
    <n v="995"/>
  </r>
  <r>
    <s v="Facture comptabilisée"/>
    <m/>
    <x v="0"/>
    <x v="2577"/>
    <s v="83/2022"/>
    <d v="2022-10-24T00:00:00"/>
    <s v="300043"/>
    <s v="DOUANE"/>
    <n v="1469"/>
  </r>
  <r>
    <s v="Facture comptabilisée"/>
    <m/>
    <x v="0"/>
    <x v="2578"/>
    <s v="83/2022"/>
    <d v="2022-10-24T00:00:00"/>
    <s v="300101"/>
    <s v="ASMAE FORWARDING EXPRESS"/>
    <n v="3478.05"/>
  </r>
  <r>
    <s v="Facture comptabilisée"/>
    <m/>
    <x v="0"/>
    <x v="2579"/>
    <s v="84/2022"/>
    <d v="2022-10-24T00:00:00"/>
    <s v="300101"/>
    <s v="ASMAE FORWARDING EXPRESS"/>
    <n v="3478.74"/>
  </r>
  <r>
    <s v="Facture comptabilisée"/>
    <m/>
    <x v="0"/>
    <x v="2580"/>
    <s v="NEW PEPPERS"/>
    <d v="2022-10-24T00:00:00"/>
    <s v="300115"/>
    <s v="AUXILIAR CONSERVERA SA"/>
    <n v="130636.242"/>
  </r>
  <r>
    <s v="Facture comptabilisée"/>
    <m/>
    <x v="0"/>
    <x v="2581"/>
    <s v="ALICOMAR"/>
    <d v="2022-10-24T00:00:00"/>
    <s v="300115"/>
    <s v="AUXILIAR CONSERVERA SA"/>
    <n v="130623.57"/>
  </r>
  <r>
    <s v="Facture comptabilisée"/>
    <m/>
    <x v="0"/>
    <x v="2582"/>
    <s v="85/2022"/>
    <d v="2022-10-25T00:00:00"/>
    <s v="300043"/>
    <s v="DOUANE"/>
    <n v="801"/>
  </r>
  <r>
    <s v="Facture comptabilisée"/>
    <m/>
    <x v="0"/>
    <x v="2583"/>
    <s v="86/2022"/>
    <d v="2022-10-25T00:00:00"/>
    <s v="300043"/>
    <s v="DOUANE"/>
    <n v="1186"/>
  </r>
  <r>
    <s v="Facture comptabilisée"/>
    <m/>
    <x v="0"/>
    <x v="2584"/>
    <s v="90/2022 J"/>
    <d v="2022-10-25T00:00:00"/>
    <s v="300043"/>
    <s v="DOUANE"/>
    <n v="1424"/>
  </r>
  <r>
    <s v="Facture comptabilisée"/>
    <m/>
    <x v="0"/>
    <x v="2585"/>
    <s v="89/2022"/>
    <d v="2022-10-25T00:00:00"/>
    <s v="300043"/>
    <s v="DOUANE"/>
    <n v="1622"/>
  </r>
  <r>
    <s v="Facture comptabilisée"/>
    <m/>
    <x v="0"/>
    <x v="2586"/>
    <s v="87/2022"/>
    <d v="2022-10-25T00:00:00"/>
    <s v="300043"/>
    <s v="DOUANE"/>
    <n v="1622"/>
  </r>
  <r>
    <s v="Facture comptabilisée"/>
    <m/>
    <x v="0"/>
    <x v="2587"/>
    <s v="90/2022"/>
    <d v="2022-10-25T00:00:00"/>
    <s v="300043"/>
    <s v="DOUANE"/>
    <n v="1000"/>
  </r>
  <r>
    <s v="Facture comptabilisée"/>
    <m/>
    <x v="0"/>
    <x v="2588"/>
    <s v="85/2022"/>
    <d v="2022-10-25T00:00:00"/>
    <s v="300101"/>
    <s v="ASMAE FORWARDING EXPRESS"/>
    <n v="5463.91"/>
  </r>
  <r>
    <s v="Facture comptabilisée"/>
    <m/>
    <x v="0"/>
    <x v="2589"/>
    <s v="86/2022"/>
    <d v="2022-10-25T00:00:00"/>
    <s v="300101"/>
    <s v="ASMAE FORWARDING EXPRESS"/>
    <n v="3483.42"/>
  </r>
  <r>
    <s v="Facture comptabilisée"/>
    <m/>
    <x v="0"/>
    <x v="2590"/>
    <s v="87/2022"/>
    <d v="2022-10-25T00:00:00"/>
    <s v="300101"/>
    <s v="ASMAE FORWARDING EXPRESS"/>
    <n v="3327.01"/>
  </r>
  <r>
    <s v="Facture comptabilisée"/>
    <m/>
    <x v="0"/>
    <x v="2591"/>
    <s v="89/2022"/>
    <d v="2022-10-25T00:00:00"/>
    <s v="300101"/>
    <s v="ASMAE FORWARDING EXPRESS"/>
    <n v="3169.59"/>
  </r>
  <r>
    <s v="Facture comptabilisée"/>
    <m/>
    <x v="0"/>
    <x v="2592"/>
    <s v="90/2022"/>
    <d v="2022-10-25T00:00:00"/>
    <s v="300101"/>
    <s v="ASMAE FORWARDING EXPRESS"/>
    <n v="3799.28"/>
  </r>
  <r>
    <s v="Facture comptabilisée"/>
    <m/>
    <x v="0"/>
    <x v="2593"/>
    <s v="CHERIF CONSERVES"/>
    <d v="2022-10-25T00:00:00"/>
    <s v="300115"/>
    <s v="AUXILIAR CONSERVERA SA"/>
    <n v="130636.242"/>
  </r>
  <r>
    <s v="Facture comptabilisée"/>
    <m/>
    <x v="0"/>
    <x v="2594"/>
    <s v="JIL PACK A"/>
    <d v="2022-10-25T00:00:00"/>
    <s v="300115"/>
    <s v="AUXILIAR CONSERVERA SA"/>
    <n v="384311.79599999997"/>
  </r>
  <r>
    <s v="Facture comptabilisée"/>
    <m/>
    <x v="0"/>
    <x v="2595"/>
    <s v="JIL PACK A*1*"/>
    <d v="2022-10-25T00:00:00"/>
    <s v="300115"/>
    <s v="AUXILIAR CONSERVERA SA"/>
    <n v="112150.3504"/>
  </r>
  <r>
    <s v="Facture comptabilisée"/>
    <m/>
    <x v="0"/>
    <x v="2596"/>
    <s v="ICC*1*"/>
    <d v="2022-10-25T00:00:00"/>
    <s v="300115"/>
    <s v="AUXILIAR CONSERVERA SA"/>
    <n v="196039.02559999999"/>
  </r>
  <r>
    <s v="Facture comptabilisée"/>
    <m/>
    <x v="0"/>
    <x v="2597"/>
    <s v="JIL PACK A"/>
    <d v="2022-10-25T00:00:00"/>
    <s v="300115"/>
    <s v="AUXILIAR CONSERVERA SA"/>
    <n v="399065.12359999999"/>
  </r>
  <r>
    <s v="Facture comptabilisée"/>
    <m/>
    <x v="0"/>
    <x v="2598"/>
    <s v="86/2022 J"/>
    <d v="2022-10-25T00:00:00"/>
    <s v="300191"/>
    <s v="JTTL"/>
    <n v="3179.36"/>
  </r>
  <r>
    <s v="Facture comptabilisée"/>
    <m/>
    <x v="0"/>
    <x v="2599"/>
    <s v="87/2022 J"/>
    <d v="2022-10-25T00:00:00"/>
    <s v="300191"/>
    <s v="JTTL"/>
    <n v="3172.96"/>
  </r>
  <r>
    <s v="Facture comptabilisée"/>
    <m/>
    <x v="0"/>
    <x v="2600"/>
    <s v="88/2022 J"/>
    <d v="2022-10-25T00:00:00"/>
    <s v="300191"/>
    <s v="JTTL"/>
    <n v="3336.27"/>
  </r>
  <r>
    <s v="Facture comptabilisée"/>
    <m/>
    <x v="0"/>
    <x v="2601"/>
    <s v="89/2022 J"/>
    <d v="2022-10-25T00:00:00"/>
    <s v="300191"/>
    <s v="JTTL"/>
    <n v="3172.96"/>
  </r>
  <r>
    <s v="Facture comptabilisée"/>
    <m/>
    <x v="0"/>
    <x v="2602"/>
    <s v="92/2022 J"/>
    <d v="2022-10-25T00:00:00"/>
    <s v="300321"/>
    <s v="JIL LOGISTIQUE"/>
    <n v="19000"/>
  </r>
  <r>
    <s v="Facture comptabilisée"/>
    <m/>
    <x v="0"/>
    <x v="2603"/>
    <s v="88/2022"/>
    <d v="2022-10-26T00:00:00"/>
    <s v="300043"/>
    <s v="DOUANE"/>
    <n v="1476"/>
  </r>
  <r>
    <s v="Facture comptabilisée"/>
    <m/>
    <x v="0"/>
    <x v="2604"/>
    <s v="88/2022"/>
    <d v="2022-10-26T00:00:00"/>
    <s v="300101"/>
    <s v="ASMAE FORWARDING EXPRESS"/>
    <n v="3648.72"/>
  </r>
  <r>
    <s v="Facture comptabilisée"/>
    <m/>
    <x v="0"/>
    <x v="2605"/>
    <s v="CONSERVES OUALILI"/>
    <d v="2022-10-26T00:00:00"/>
    <s v="300115"/>
    <s v="AUXILIAR CONSERVERA SA"/>
    <n v="130636.242"/>
  </r>
  <r>
    <s v="Facture comptabilisée"/>
    <m/>
    <x v="0"/>
    <x v="2606"/>
    <s v="SILVER FOOD"/>
    <d v="2022-10-26T00:00:00"/>
    <s v="300115"/>
    <s v="AUXILIAR CONSERVERA SA"/>
    <n v="368883.25760000001"/>
  </r>
  <r>
    <s v="Facture comptabilisée"/>
    <m/>
    <x v="0"/>
    <x v="2607"/>
    <s v="NEW PEPPER*OUALIL"/>
    <d v="2022-10-26T00:00:00"/>
    <s v="300115"/>
    <s v="AUXILIAR CONSERVERA SA"/>
    <n v="130636.242"/>
  </r>
  <r>
    <s v="Facture comptabilisée"/>
    <m/>
    <x v="0"/>
    <x v="2608"/>
    <s v="91/2022 J"/>
    <d v="2022-10-26T00:00:00"/>
    <s v="300321"/>
    <s v="JIL LOGISTIQUE"/>
    <n v="18000"/>
  </r>
  <r>
    <s v="Facture comptabilisée"/>
    <m/>
    <x v="0"/>
    <x v="2609"/>
    <s v="98/2022"/>
    <d v="2022-10-27T00:00:00"/>
    <s v="300043"/>
    <s v="DOUANE"/>
    <n v="1197"/>
  </r>
  <r>
    <s v="Facture comptabilisée"/>
    <m/>
    <x v="0"/>
    <x v="2610"/>
    <s v="92/2022"/>
    <d v="2022-10-27T00:00:00"/>
    <s v="300043"/>
    <s v="DOUANE"/>
    <n v="596"/>
  </r>
  <r>
    <s v="Facture comptabilisée"/>
    <m/>
    <x v="0"/>
    <x v="2611"/>
    <s v="96/2022"/>
    <d v="2022-10-27T00:00:00"/>
    <s v="300043"/>
    <s v="DOUANE"/>
    <n v="1638"/>
  </r>
  <r>
    <s v="Facture comptabilisée"/>
    <m/>
    <x v="0"/>
    <x v="2612"/>
    <s v="92/2022 J"/>
    <d v="2022-10-27T00:00:00"/>
    <s v="300043"/>
    <s v="DOUANE"/>
    <n v="1488"/>
  </r>
  <r>
    <s v="Facture comptabilisée"/>
    <m/>
    <x v="0"/>
    <x v="2613"/>
    <s v="95/2022"/>
    <d v="2022-10-27T00:00:00"/>
    <s v="300043"/>
    <s v="DOUANE"/>
    <n v="596"/>
  </r>
  <r>
    <s v="Facture comptabilisée"/>
    <m/>
    <x v="0"/>
    <x v="2614"/>
    <s v="93/2022 "/>
    <d v="2022-10-27T00:00:00"/>
    <s v="300043"/>
    <s v="DOUANE"/>
    <n v="1184"/>
  </r>
  <r>
    <s v="Facture comptabilisée"/>
    <m/>
    <x v="0"/>
    <x v="2615"/>
    <s v="92/2022"/>
    <d v="2022-10-27T00:00:00"/>
    <s v="300101"/>
    <s v="ASMAE FORWARDING EXPRESS"/>
    <n v="3823.96"/>
  </r>
  <r>
    <s v="Facture comptabilisée"/>
    <m/>
    <x v="0"/>
    <x v="2616"/>
    <s v="93/2022"/>
    <d v="2022-10-27T00:00:00"/>
    <s v="300101"/>
    <s v="ASMAE FORWARDING EXPRESS"/>
    <n v="3350.19"/>
  </r>
  <r>
    <s v="Facture comptabilisée"/>
    <m/>
    <x v="0"/>
    <x v="2617"/>
    <s v="95/2022"/>
    <d v="2022-10-27T00:00:00"/>
    <s v="300101"/>
    <s v="ASMAE FORWARDING EXPRESS"/>
    <n v="3191.84"/>
  </r>
  <r>
    <s v="Facture comptabilisée"/>
    <m/>
    <x v="0"/>
    <x v="2618"/>
    <s v="96/2022"/>
    <d v="2022-10-27T00:00:00"/>
    <s v="300101"/>
    <s v="ASMAE FORWARDING EXPRESS"/>
    <n v="3508.95"/>
  </r>
  <r>
    <s v="Facture comptabilisée"/>
    <m/>
    <x v="0"/>
    <x v="2619"/>
    <s v="98/2022"/>
    <d v="2022-10-27T00:00:00"/>
    <s v="300101"/>
    <s v="ASMAE FORWARDING EXPRESS"/>
    <n v="4143.18"/>
  </r>
  <r>
    <s v="Facture comptabilisée"/>
    <m/>
    <x v="0"/>
    <x v="2620"/>
    <s v="SAREX"/>
    <d v="2022-10-27T00:00:00"/>
    <s v="300115"/>
    <s v="AUXILIAR CONSERVERA SA"/>
    <n v="368883.25760000001"/>
  </r>
  <r>
    <s v="Facture comptabilisée"/>
    <m/>
    <x v="0"/>
    <x v="2621"/>
    <s v="90/2022 J"/>
    <d v="2022-10-27T00:00:00"/>
    <s v="300191"/>
    <s v="JTTL"/>
    <n v="3643.84"/>
  </r>
  <r>
    <s v="Facture comptabilisée"/>
    <m/>
    <x v="0"/>
    <x v="2622"/>
    <s v="93/2022 J"/>
    <d v="2022-10-27T00:00:00"/>
    <s v="300321"/>
    <s v="JIL LOGISTIQUE"/>
    <n v="18000"/>
  </r>
  <r>
    <s v="Facture comptabilisée"/>
    <m/>
    <x v="0"/>
    <x v="2623"/>
    <s v="91/2022 J"/>
    <d v="2022-10-28T00:00:00"/>
    <s v="300043"/>
    <s v="DOUANE"/>
    <n v="1433"/>
  </r>
  <r>
    <s v="Facture comptabilisée"/>
    <m/>
    <x v="0"/>
    <x v="2624"/>
    <s v="100/2022"/>
    <d v="2022-10-28T00:00:00"/>
    <s v="300043"/>
    <s v="DOUANE"/>
    <n v="596"/>
  </r>
  <r>
    <s v="Facture comptabilisée"/>
    <m/>
    <x v="0"/>
    <x v="2625"/>
    <s v="94/2022"/>
    <d v="2022-10-28T00:00:00"/>
    <s v="300043"/>
    <s v="DOUANE"/>
    <n v="596"/>
  </r>
  <r>
    <s v="Facture comptabilisée"/>
    <m/>
    <x v="0"/>
    <x v="2626"/>
    <s v="94/2022"/>
    <d v="2022-10-28T00:00:00"/>
    <s v="300101"/>
    <s v="ASMAE FORWARDING EXPRESS"/>
    <n v="3500.75"/>
  </r>
  <r>
    <s v="Facture comptabilisée"/>
    <m/>
    <x v="0"/>
    <x v="2627"/>
    <s v="100/2022"/>
    <d v="2022-10-28T00:00:00"/>
    <s v="300101"/>
    <s v="ASMAE FORWARDING EXPRESS"/>
    <n v="3347.43"/>
  </r>
  <r>
    <s v="Facture comptabilisée"/>
    <m/>
    <x v="0"/>
    <x v="2628"/>
    <s v="CONSERVES OUALILI"/>
    <d v="2022-10-28T00:00:00"/>
    <s v="300115"/>
    <s v="AUXILIAR CONSERVERA SA"/>
    <n v="130636.242"/>
  </r>
  <r>
    <s v="Facture comptabilisée"/>
    <m/>
    <x v="0"/>
    <x v="2629"/>
    <s v="85/2022"/>
    <d v="2022-10-29T00:00:00"/>
    <s v="300101"/>
    <s v="ASMAE FORWARDING EXPRESS"/>
    <n v="1017.98"/>
  </r>
  <r>
    <s v="Facture comptabilisée"/>
    <m/>
    <x v="0"/>
    <x v="2630"/>
    <s v="91/2022 J"/>
    <d v="2022-10-30T00:00:00"/>
    <s v="300191"/>
    <s v="JTTL"/>
    <n v="3192.58"/>
  </r>
  <r>
    <s v="Facture comptabilisée"/>
    <m/>
    <x v="0"/>
    <x v="2631"/>
    <m/>
    <d v="2022-10-31T00:00:00"/>
    <s v="300043"/>
    <s v="DOUANE"/>
    <n v="3592"/>
  </r>
  <r>
    <s v="Facture comptabilisée"/>
    <m/>
    <x v="0"/>
    <x v="2632"/>
    <s v="93/2022 J"/>
    <d v="2022-10-31T00:00:00"/>
    <s v="300043"/>
    <s v="DOUANE"/>
    <n v="1429"/>
  </r>
  <r>
    <s v="Facture comptabilisée"/>
    <m/>
    <x v="0"/>
    <x v="2633"/>
    <s v="94/2022 J"/>
    <d v="2022-10-31T00:00:00"/>
    <s v="300043"/>
    <s v="DOUANE"/>
    <n v="1488"/>
  </r>
  <r>
    <s v="Facture comptabilisée"/>
    <m/>
    <x v="0"/>
    <x v="2634"/>
    <s v="99/2022"/>
    <d v="2022-10-31T00:00:00"/>
    <s v="300043"/>
    <s v="DOUANE"/>
    <n v="1481"/>
  </r>
  <r>
    <s v="Facture comptabilisée"/>
    <m/>
    <x v="0"/>
    <x v="2635"/>
    <s v="99/2022"/>
    <d v="2022-10-31T00:00:00"/>
    <s v="300101"/>
    <s v="ASMAE FORWARDING EXPRESS"/>
    <n v="3816.74"/>
  </r>
  <r>
    <s v="Facture comptabilisée"/>
    <m/>
    <x v="0"/>
    <x v="2636"/>
    <s v="600ML"/>
    <d v="2022-10-31T00:00:00"/>
    <s v="300133"/>
    <s v="OP BOX "/>
    <n v="31200"/>
  </r>
  <r>
    <s v="Facture comptabilisée"/>
    <m/>
    <x v="0"/>
    <x v="2637"/>
    <s v="280ML"/>
    <d v="2022-10-31T00:00:00"/>
    <s v="300133"/>
    <s v="OP BOX "/>
    <n v="59232"/>
  </r>
  <r>
    <s v="Facture comptabilisée"/>
    <m/>
    <x v="0"/>
    <x v="2638"/>
    <s v="92/2022 J"/>
    <d v="2022-10-31T00:00:00"/>
    <s v="300191"/>
    <s v="JTTL"/>
    <n v="3195.34"/>
  </r>
  <r>
    <s v="Facture comptabilisée"/>
    <m/>
    <x v="0"/>
    <x v="2639"/>
    <s v="93/2022 J"/>
    <d v="2022-10-31T00:00:00"/>
    <s v="300191"/>
    <s v="JTTL"/>
    <n v="3504.25"/>
  </r>
  <r>
    <s v="Facture comptabilisée"/>
    <m/>
    <x v="0"/>
    <x v="2640"/>
    <s v="97/2022"/>
    <d v="2022-11-01T00:00:00"/>
    <s v="300043"/>
    <s v="DOUANE"/>
    <n v="595"/>
  </r>
  <r>
    <s v="Facture comptabilisée"/>
    <m/>
    <x v="0"/>
    <x v="2641"/>
    <s v="4/4 OF"/>
    <d v="2022-11-01T00:00:00"/>
    <s v="300080"/>
    <s v="MASSILLY"/>
    <n v="81081"/>
  </r>
  <r>
    <s v="Facture comptabilisée"/>
    <m/>
    <x v="0"/>
    <x v="2642"/>
    <s v="97/2022"/>
    <d v="2022-11-01T00:00:00"/>
    <s v="300101"/>
    <s v="ASMAE FORWARDING EXPRESS"/>
    <n v="3974.03"/>
  </r>
  <r>
    <s v="Facture comptabilisée"/>
    <m/>
    <x v="0"/>
    <x v="2643"/>
    <s v="91/2022 "/>
    <d v="2022-11-02T00:00:00"/>
    <s v="300043"/>
    <s v="DOUANE"/>
    <n v="595"/>
  </r>
  <r>
    <s v="Facture comptabilisée"/>
    <m/>
    <x v="0"/>
    <x v="2644"/>
    <s v="91/2022"/>
    <d v="2022-11-02T00:00:00"/>
    <s v="300101"/>
    <s v="ASMAE FORWARDING EXPRESS"/>
    <n v="3966.35"/>
  </r>
  <r>
    <s v="Facture comptabilisée"/>
    <m/>
    <x v="0"/>
    <x v="2645"/>
    <s v="1/4 CLUB ATLANTA"/>
    <d v="2022-11-02T00:00:00"/>
    <s v="300115"/>
    <s v="AUXILIAR CONSERVERA SA"/>
    <n v="415222.17879999999"/>
  </r>
  <r>
    <s v="Facture comptabilisée"/>
    <m/>
    <x v="0"/>
    <x v="2646"/>
    <s v="94/2022 J"/>
    <d v="2022-11-02T00:00:00"/>
    <s v="300191"/>
    <s v="JTTL"/>
    <n v="5446.59"/>
  </r>
  <r>
    <s v="Facture comptabilisée"/>
    <m/>
    <x v="0"/>
    <x v="2647"/>
    <s v="96/2022 J"/>
    <d v="2022-11-02T00:00:00"/>
    <s v="300321"/>
    <s v="JIL LOGISTIQUE"/>
    <n v="18000"/>
  </r>
  <r>
    <s v="Facture comptabilisée"/>
    <m/>
    <x v="0"/>
    <x v="2648"/>
    <s v="96/2022 J"/>
    <d v="2022-11-03T00:00:00"/>
    <s v="300043"/>
    <s v="DOUANE"/>
    <n v="1572"/>
  </r>
  <r>
    <s v="Facture comptabilisée"/>
    <m/>
    <x v="0"/>
    <x v="2649"/>
    <s v="SILVER FOOD"/>
    <d v="2022-11-03T00:00:00"/>
    <s v="300115"/>
    <s v="AUXILIAR CONSERVERA SA"/>
    <n v="415222.522"/>
  </r>
  <r>
    <s v="Facture comptabilisée"/>
    <m/>
    <x v="0"/>
    <x v="2650"/>
    <s v="SILVER FOOD"/>
    <d v="2022-11-03T00:00:00"/>
    <s v="300115"/>
    <s v="AUXILIAR CONSERVERA SA"/>
    <n v="415222.522"/>
  </r>
  <r>
    <s v="Facture comptabilisée"/>
    <m/>
    <x v="0"/>
    <x v="2651"/>
    <s v="CHERIF"/>
    <d v="2022-11-03T00:00:00"/>
    <s v="300115"/>
    <s v="AUXILIAR CONSERVERA SA"/>
    <n v="130636.242"/>
  </r>
  <r>
    <s v="Facture comptabilisée"/>
    <m/>
    <x v="0"/>
    <x v="2652"/>
    <s v="ICC"/>
    <d v="2022-11-03T00:00:00"/>
    <s v="300115"/>
    <s v="AUXILIAR CONSERVERA SA"/>
    <n v="368883.25760000001"/>
  </r>
  <r>
    <s v="Facture comptabilisée"/>
    <m/>
    <x v="0"/>
    <x v="2653"/>
    <s v="95/2022 J"/>
    <d v="2022-11-03T00:00:00"/>
    <s v="300321"/>
    <s v="JIL LOGISTIQUE"/>
    <n v="18000"/>
  </r>
  <r>
    <s v="Facture comptabilisée"/>
    <m/>
    <x v="0"/>
    <x v="2654"/>
    <s v="97/2022 J"/>
    <d v="2022-11-03T00:00:00"/>
    <s v="300321"/>
    <s v="JIL LOGISTIQUE"/>
    <n v="18000"/>
  </r>
  <r>
    <s v="Facture comptabilisée"/>
    <m/>
    <x v="0"/>
    <x v="2655"/>
    <s v="98/2022 J"/>
    <d v="2022-11-03T00:00:00"/>
    <s v="300321"/>
    <s v="JIL LOGISTIQUE"/>
    <n v="19000"/>
  </r>
  <r>
    <s v="Facture comptabilisée"/>
    <m/>
    <x v="0"/>
    <x v="2656"/>
    <s v="PS"/>
    <d v="2022-11-03T00:00:00"/>
    <s v="300344"/>
    <s v="PADEL NUESTRO"/>
    <n v="17600"/>
  </r>
  <r>
    <s v="Facture comptabilisée"/>
    <m/>
    <x v="0"/>
    <x v="2657"/>
    <s v="97/2022 J"/>
    <d v="2022-11-04T00:00:00"/>
    <s v="300043"/>
    <s v="DOUANE"/>
    <n v="1564"/>
  </r>
  <r>
    <s v="Facture comptabilisée"/>
    <m/>
    <x v="0"/>
    <x v="2658"/>
    <s v="95/2022 J"/>
    <d v="2022-11-04T00:00:00"/>
    <s v="300043"/>
    <s v="DOUANE"/>
    <n v="1564"/>
  </r>
  <r>
    <s v="Facture comptabilisée"/>
    <m/>
    <x v="0"/>
    <x v="2659"/>
    <s v="ORGA FOOD"/>
    <d v="2022-11-04T00:00:00"/>
    <s v="300115"/>
    <s v="AUXILIAR CONSERVERA SA"/>
    <n v="368883.25760000001"/>
  </r>
  <r>
    <s v="Facture comptabilisée"/>
    <m/>
    <x v="0"/>
    <x v="2660"/>
    <s v="99/2022 J"/>
    <d v="2022-11-04T00:00:00"/>
    <s v="300321"/>
    <s v="JIL LOGISTIQUE"/>
    <n v="19000"/>
  </r>
  <r>
    <s v="Facture comptabilisée"/>
    <m/>
    <x v="0"/>
    <x v="2661"/>
    <m/>
    <d v="2022-11-07T00:00:00"/>
    <s v="300043"/>
    <s v="DOUANE"/>
    <n v="4470"/>
  </r>
  <r>
    <s v="Facture comptabilisée"/>
    <m/>
    <x v="0"/>
    <x v="2662"/>
    <s v="99/2022 J"/>
    <d v="2022-11-07T00:00:00"/>
    <s v="300043"/>
    <s v="DOUANE"/>
    <n v="1418"/>
  </r>
  <r>
    <s v="Facture comptabilisée"/>
    <m/>
    <x v="0"/>
    <x v="2663"/>
    <s v="98/2022 J"/>
    <d v="2022-11-07T00:00:00"/>
    <s v="300043"/>
    <s v="DOUANE"/>
    <n v="1417"/>
  </r>
  <r>
    <s v="Facture comptabilisée"/>
    <m/>
    <x v="0"/>
    <x v="2664"/>
    <s v="COPAG"/>
    <d v="2022-11-07T00:00:00"/>
    <s v="300115"/>
    <s v="AUXILIAR CONSERVERA SA"/>
    <n v="198814.80960000001"/>
  </r>
  <r>
    <s v="Facture comptabilisée"/>
    <m/>
    <x v="0"/>
    <x v="2665"/>
    <s v="UPA"/>
    <d v="2022-11-07T00:00:00"/>
    <s v="300115"/>
    <s v="AUXILIAR CONSERVERA SA"/>
    <n v="368883.25760000001"/>
  </r>
  <r>
    <s v="Facture comptabilisée"/>
    <m/>
    <x v="0"/>
    <x v="2666"/>
    <s v="SILVER FOOD"/>
    <d v="2022-11-07T00:00:00"/>
    <s v="300115"/>
    <s v="AUXILIAR CONSERVERA SA"/>
    <n v="368883.25760000001"/>
  </r>
  <r>
    <s v="Facture comptabilisée"/>
    <m/>
    <x v="0"/>
    <x v="2667"/>
    <s v="95/2022 J"/>
    <d v="2022-11-07T00:00:00"/>
    <s v="300191"/>
    <s v="JTTL"/>
    <n v="3169.32"/>
  </r>
  <r>
    <s v="Facture comptabilisée"/>
    <m/>
    <x v="0"/>
    <x v="2668"/>
    <s v="96/2022 J"/>
    <d v="2022-11-07T00:00:00"/>
    <s v="300191"/>
    <s v="JTTL"/>
    <n v="3182.68"/>
  </r>
  <r>
    <s v="Facture comptabilisée"/>
    <m/>
    <x v="0"/>
    <x v="2669"/>
    <s v="97/2022 J"/>
    <d v="2022-11-07T00:00:00"/>
    <s v="300191"/>
    <s v="JTTL"/>
    <n v="3169.32"/>
  </r>
  <r>
    <s v="Facture comptabilisée"/>
    <m/>
    <x v="0"/>
    <x v="2670"/>
    <s v="100/2022 J"/>
    <d v="2022-11-07T00:00:00"/>
    <s v="300321"/>
    <s v="JIL LOGISTIQUE"/>
    <n v="19000"/>
  </r>
  <r>
    <s v="Facture comptabilisée"/>
    <m/>
    <x v="0"/>
    <x v="2671"/>
    <s v="101/2022 J"/>
    <d v="2022-11-07T00:00:00"/>
    <s v="300321"/>
    <s v="JIL LOGISTIQUE"/>
    <n v="18000"/>
  </r>
  <r>
    <s v="Facture comptabilisée"/>
    <m/>
    <x v="0"/>
    <x v="2672"/>
    <s v="101/2022"/>
    <d v="2022-11-08T00:00:00"/>
    <s v="300043"/>
    <s v="DOUANE"/>
    <n v="597"/>
  </r>
  <r>
    <s v="Facture comptabilisée"/>
    <m/>
    <x v="0"/>
    <x v="2673"/>
    <s v="101/2022"/>
    <d v="2022-11-08T00:00:00"/>
    <s v="300101"/>
    <s v="ASMAE FORWARDING EXPRESS"/>
    <n v="3514.55"/>
  </r>
  <r>
    <s v="Facture comptabilisée"/>
    <m/>
    <x v="0"/>
    <x v="2674"/>
    <s v="JIL PACK*LOGI*1*"/>
    <d v="2022-11-08T00:00:00"/>
    <s v="300115"/>
    <s v="AUXILIAR CONSERVERA SA"/>
    <n v="54019.635999999999"/>
  </r>
  <r>
    <s v="Facture comptabilisée"/>
    <m/>
    <x v="0"/>
    <x v="2675"/>
    <s v="VMM*2*"/>
    <d v="2022-11-08T00:00:00"/>
    <s v="300115"/>
    <s v="AUXILIAR CONSERVERA SA"/>
    <n v="310684.41800000001"/>
  </r>
  <r>
    <s v="Facture comptabilisée"/>
    <m/>
    <x v="0"/>
    <x v="2676"/>
    <s v="101/2022 J"/>
    <d v="2022-11-09T00:00:00"/>
    <s v="300043"/>
    <s v="DOUANE"/>
    <n v="1421"/>
  </r>
  <r>
    <s v="Facture comptabilisée"/>
    <m/>
    <x v="0"/>
    <x v="2677"/>
    <s v="100/2022 J"/>
    <d v="2022-11-09T00:00:00"/>
    <s v="300043"/>
    <s v="DOUANE"/>
    <n v="1424"/>
  </r>
  <r>
    <s v="Facture comptabilisée"/>
    <m/>
    <x v="0"/>
    <x v="2678"/>
    <s v="SILVER FOOD"/>
    <d v="2022-11-09T00:00:00"/>
    <s v="300115"/>
    <s v="AUXILIAR CONSERVERA SA"/>
    <n v="415222.17879999999"/>
  </r>
  <r>
    <s v="Facture comptabilisée"/>
    <m/>
    <x v="0"/>
    <x v="2679"/>
    <s v="SILVER FOOD"/>
    <d v="2022-11-09T00:00:00"/>
    <s v="300115"/>
    <s v="AUXILIAR CONSERVERA SA"/>
    <n v="412015.79320000001"/>
  </r>
  <r>
    <s v="Facture comptabilisée"/>
    <m/>
    <x v="0"/>
    <x v="2680"/>
    <s v="102/2022 J"/>
    <d v="2022-11-09T00:00:00"/>
    <s v="300321"/>
    <s v="JIL LOGISTIQUE"/>
    <n v="18000"/>
  </r>
  <r>
    <s v="Facture comptabilisée"/>
    <m/>
    <x v="0"/>
    <x v="2681"/>
    <s v="103/2022 J"/>
    <d v="2022-11-09T00:00:00"/>
    <s v="300321"/>
    <s v="JIL LOGISTIQUE"/>
    <n v="18000"/>
  </r>
  <r>
    <s v="Facture comptabilisée"/>
    <m/>
    <x v="0"/>
    <x v="2682"/>
    <m/>
    <d v="2022-11-10T00:00:00"/>
    <s v="300043"/>
    <s v="DOUANE"/>
    <n v="4276"/>
  </r>
  <r>
    <s v="Facture comptabilisée"/>
    <m/>
    <x v="0"/>
    <x v="2683"/>
    <s v="107/2022"/>
    <d v="2022-11-10T00:00:00"/>
    <s v="300043"/>
    <s v="DOUANE"/>
    <n v="824"/>
  </r>
  <r>
    <s v="Facture comptabilisée"/>
    <m/>
    <x v="0"/>
    <x v="2684"/>
    <s v="103/2022 J"/>
    <d v="2022-11-10T00:00:00"/>
    <s v="300043"/>
    <s v="DOUANE"/>
    <n v="1558"/>
  </r>
  <r>
    <s v="Facture comptabilisée"/>
    <m/>
    <x v="0"/>
    <x v="2685"/>
    <s v="102/2022 J"/>
    <d v="2022-11-10T00:00:00"/>
    <s v="300043"/>
    <s v="DOUANE"/>
    <n v="1569"/>
  </r>
  <r>
    <s v="Facture comptabilisée"/>
    <m/>
    <x v="0"/>
    <x v="2686"/>
    <s v="107/2022"/>
    <d v="2022-11-10T00:00:00"/>
    <s v="300101"/>
    <s v="ASMAE FORWARDING EXPRESS"/>
    <n v="3199.73"/>
  </r>
  <r>
    <s v="Facture comptabilisée"/>
    <m/>
    <x v="0"/>
    <x v="2687"/>
    <s v="JIL PACK A"/>
    <d v="2022-11-10T00:00:00"/>
    <s v="300115"/>
    <s v="AUXILIAR CONSERVERA SA"/>
    <n v="384332.78399999999"/>
  </r>
  <r>
    <s v="Facture comptabilisée"/>
    <m/>
    <x v="0"/>
    <x v="2688"/>
    <s v="98/2022 J"/>
    <d v="2022-11-10T00:00:00"/>
    <s v="300191"/>
    <s v="JTTL"/>
    <n v="3493.44"/>
  </r>
  <r>
    <s v="Facture comptabilisée"/>
    <m/>
    <x v="0"/>
    <x v="2689"/>
    <s v="99/2022 J"/>
    <d v="2022-11-10T00:00:00"/>
    <s v="300191"/>
    <s v="JTTL"/>
    <n v="3653.95"/>
  </r>
  <r>
    <s v="Facture comptabilisée"/>
    <m/>
    <x v="0"/>
    <x v="2690"/>
    <s v="108/2022 J"/>
    <d v="2022-11-10T00:00:00"/>
    <s v="300321"/>
    <s v="JIL LOGISTIQUE"/>
    <n v="19000"/>
  </r>
  <r>
    <s v="Facture comptabilisée"/>
    <m/>
    <x v="0"/>
    <x v="2691"/>
    <s v="JIL PACK A"/>
    <d v="2022-11-11T00:00:00"/>
    <s v="300115"/>
    <s v="AUXILIAR CONSERVERA SA"/>
    <n v="368883.25760000001"/>
  </r>
  <r>
    <s v="Facture comptabilisée"/>
    <m/>
    <x v="0"/>
    <x v="2692"/>
    <s v="JIL PACK A"/>
    <d v="2022-11-11T00:00:00"/>
    <s v="300115"/>
    <s v="AUXILIAR CONSERVERA SA"/>
    <n v="384360.10800000001"/>
  </r>
  <r>
    <s v="Facture comptabilisée"/>
    <m/>
    <x v="0"/>
    <x v="2693"/>
    <s v="JIL PACK A"/>
    <d v="2022-11-11T00:00:00"/>
    <s v="300115"/>
    <s v="AUXILIAR CONSERVERA SA"/>
    <n v="368883.25760000001"/>
  </r>
  <r>
    <s v="Facture comptabilisée"/>
    <m/>
    <x v="0"/>
    <x v="2694"/>
    <s v="JIL PACK*SMARCOS*"/>
    <d v="2022-11-11T00:00:00"/>
    <s v="300115"/>
    <s v="AUXILIAR CONSERVERA SA"/>
    <n v="130623.57"/>
  </r>
  <r>
    <s v="Facture comptabilisée"/>
    <m/>
    <x v="0"/>
    <x v="2695"/>
    <s v="100/2022 J"/>
    <d v="2022-11-11T00:00:00"/>
    <s v="300191"/>
    <s v="JTTL"/>
    <n v="3200.26"/>
  </r>
  <r>
    <s v="Facture comptabilisée"/>
    <m/>
    <x v="0"/>
    <x v="2696"/>
    <s v="101/2022 J"/>
    <d v="2022-11-11T00:00:00"/>
    <s v="300191"/>
    <s v="JTTL"/>
    <n v="3200.26"/>
  </r>
  <r>
    <s v="Facture comptabilisée"/>
    <m/>
    <x v="0"/>
    <x v="2697"/>
    <s v="107/2022 J"/>
    <d v="2022-11-11T00:00:00"/>
    <s v="300321"/>
    <s v="JIL LOGISTIQUE"/>
    <n v="19000"/>
  </r>
  <r>
    <s v="Facture comptabilisée"/>
    <m/>
    <x v="0"/>
    <x v="2698"/>
    <s v="109/2022 J"/>
    <d v="2022-11-11T00:00:00"/>
    <s v="300321"/>
    <s v="JIL LOGISTIQUE"/>
    <n v="19000"/>
  </r>
  <r>
    <s v="Facture comptabilisée"/>
    <m/>
    <x v="0"/>
    <x v="2699"/>
    <s v="104/2022 J"/>
    <d v="2022-11-11T00:00:00"/>
    <s v="300321"/>
    <s v="JIL LOGISTIQUE"/>
    <n v="19000"/>
  </r>
  <r>
    <s v="Facture comptabilisée"/>
    <m/>
    <x v="0"/>
    <x v="2700"/>
    <m/>
    <d v="2022-11-14T00:00:00"/>
    <s v="300043"/>
    <s v="DOUANE"/>
    <n v="4913"/>
  </r>
  <r>
    <s v="Facture comptabilisée"/>
    <m/>
    <x v="0"/>
    <x v="2701"/>
    <s v="106/2022"/>
    <d v="2022-11-14T00:00:00"/>
    <s v="300043"/>
    <s v="DOUANE"/>
    <n v="1388"/>
  </r>
  <r>
    <s v="Facture comptabilisée"/>
    <m/>
    <x v="0"/>
    <x v="2702"/>
    <s v="107/2022 J"/>
    <d v="2022-11-14T00:00:00"/>
    <s v="300043"/>
    <s v="DOUANE"/>
    <n v="1437"/>
  </r>
  <r>
    <s v="Facture comptabilisée"/>
    <m/>
    <x v="0"/>
    <x v="2703"/>
    <s v="108/2022 J"/>
    <d v="2022-11-14T00:00:00"/>
    <s v="300043"/>
    <s v="DOUANE"/>
    <n v="1489"/>
  </r>
  <r>
    <s v="Facture comptabilisée"/>
    <m/>
    <x v="0"/>
    <x v="2704"/>
    <s v="109/2022 J"/>
    <d v="2022-11-14T00:00:00"/>
    <s v="300043"/>
    <s v="DOUANE"/>
    <n v="1485"/>
  </r>
  <r>
    <s v="Facture comptabilisée"/>
    <m/>
    <x v="0"/>
    <x v="2705"/>
    <m/>
    <d v="2022-11-14T00:00:00"/>
    <s v="300101"/>
    <s v="ASMAE FORWARDING EXPRESS"/>
    <n v="158.03"/>
  </r>
  <r>
    <s v="Facture comptabilisée"/>
    <m/>
    <x v="0"/>
    <x v="2706"/>
    <s v="106/2022"/>
    <d v="2022-11-14T00:00:00"/>
    <s v="300101"/>
    <s v="ASMAE FORWARDING EXPRESS"/>
    <n v="3542.58"/>
  </r>
  <r>
    <s v="Facture comptabilisée"/>
    <m/>
    <x v="0"/>
    <x v="2707"/>
    <s v="JIL PACK A"/>
    <d v="2022-11-14T00:00:00"/>
    <s v="300115"/>
    <s v="AUXILIAR CONSERVERA SA"/>
    <n v="368883.25760000001"/>
  </r>
  <r>
    <s v="Facture comptabilisée"/>
    <m/>
    <x v="0"/>
    <x v="2708"/>
    <s v="1200ML"/>
    <d v="2022-11-14T00:00:00"/>
    <s v="300133"/>
    <s v="OP BOX "/>
    <n v="24487.200000000001"/>
  </r>
  <r>
    <s v="Facture comptabilisée"/>
    <m/>
    <x v="0"/>
    <x v="2709"/>
    <s v="102/2022 J"/>
    <d v="2022-11-14T00:00:00"/>
    <s v="300191"/>
    <s v="JTTL"/>
    <n v="3203.23"/>
  </r>
  <r>
    <s v="Facture comptabilisée"/>
    <m/>
    <x v="0"/>
    <x v="2710"/>
    <s v="103/2022 J"/>
    <d v="2022-11-14T00:00:00"/>
    <s v="300191"/>
    <s v="JTTL"/>
    <n v="3203.23"/>
  </r>
  <r>
    <s v="Facture comptabilisée"/>
    <m/>
    <x v="0"/>
    <x v="2711"/>
    <s v="106/2022 J"/>
    <d v="2022-11-14T00:00:00"/>
    <s v="300321"/>
    <s v="JIL LOGISTIQUE"/>
    <n v="19000"/>
  </r>
  <r>
    <s v="Facture comptabilisée"/>
    <m/>
    <x v="0"/>
    <x v="2712"/>
    <s v="106/2022 J"/>
    <d v="2022-11-15T00:00:00"/>
    <s v="300043"/>
    <s v="DOUANE"/>
    <n v="1437"/>
  </r>
  <r>
    <s v="Facture comptabilisée"/>
    <m/>
    <x v="0"/>
    <x v="2713"/>
    <s v="104/2022 J"/>
    <d v="2022-11-15T00:00:00"/>
    <s v="300043"/>
    <s v="DOUANE"/>
    <n v="1433"/>
  </r>
  <r>
    <s v="Facture comptabilisée"/>
    <m/>
    <x v="0"/>
    <x v="2714"/>
    <s v="LOGI FOOD*1*"/>
    <d v="2022-11-15T00:00:00"/>
    <s v="300115"/>
    <s v="AUXILIAR CONSERVERA SA"/>
    <n v="134204.47039999999"/>
  </r>
  <r>
    <s v="Facture comptabilisée"/>
    <m/>
    <x v="0"/>
    <x v="2715"/>
    <s v="JIL PACK A*2*"/>
    <d v="2022-11-15T00:00:00"/>
    <s v="300115"/>
    <s v="AUXILIAR CONSERVERA SA"/>
    <n v="234857.82320000001"/>
  </r>
  <r>
    <s v="Facture comptabilisée"/>
    <m/>
    <x v="0"/>
    <x v="2716"/>
    <s v="105/2022 J"/>
    <d v="2022-11-15T00:00:00"/>
    <s v="300321"/>
    <s v="JIL LOGISTIQUE"/>
    <n v="19000"/>
  </r>
  <r>
    <s v="Facture comptabilisée"/>
    <m/>
    <x v="0"/>
    <x v="2717"/>
    <s v="CHERIF CONSERVES"/>
    <d v="2022-11-16T00:00:00"/>
    <s v="300115"/>
    <s v="AUXILIAR CONSERVERA SA"/>
    <n v="130623.57"/>
  </r>
  <r>
    <s v="Facture comptabilisée"/>
    <m/>
    <x v="0"/>
    <x v="2718"/>
    <s v="107/2022 J"/>
    <d v="2022-11-16T00:00:00"/>
    <s v="300191"/>
    <s v="JTTL"/>
    <n v="3385.37"/>
  </r>
  <r>
    <s v="Facture comptabilisée"/>
    <m/>
    <x v="0"/>
    <x v="2719"/>
    <s v="108/2022 J"/>
    <d v="2022-11-16T00:00:00"/>
    <s v="300191"/>
    <s v="JTTL"/>
    <n v="3546.08"/>
  </r>
  <r>
    <s v="Facture comptabilisée"/>
    <m/>
    <x v="0"/>
    <x v="2720"/>
    <s v="109/2022 J"/>
    <d v="2022-11-16T00:00:00"/>
    <s v="300191"/>
    <s v="JTTL"/>
    <n v="3385.37"/>
  </r>
  <r>
    <s v="Facture comptabilisée"/>
    <m/>
    <x v="0"/>
    <x v="2721"/>
    <s v="105/2022 J"/>
    <d v="2022-11-17T00:00:00"/>
    <s v="300043"/>
    <s v="DOUANE"/>
    <n v="1446"/>
  </r>
  <r>
    <s v="Facture comptabilisée"/>
    <m/>
    <x v="0"/>
    <x v="2722"/>
    <s v="1200ML"/>
    <d v="2022-11-17T00:00:00"/>
    <s v="300133"/>
    <s v="OP BOX "/>
    <n v="8162.4"/>
  </r>
  <r>
    <s v="Facture comptabilisée"/>
    <m/>
    <x v="0"/>
    <x v="2723"/>
    <s v="SMARCOS"/>
    <d v="2022-11-18T00:00:00"/>
    <s v="300115"/>
    <s v="AUXILIAR CONSERVERA SA"/>
    <n v="130623.57"/>
  </r>
  <r>
    <s v="Facture comptabilisée"/>
    <m/>
    <x v="0"/>
    <x v="2724"/>
    <s v="LOGI FOOD*1*"/>
    <d v="2022-11-18T00:00:00"/>
    <s v="300115"/>
    <s v="AUXILIAR CONSERVERA SA"/>
    <n v="174274.17809999999"/>
  </r>
  <r>
    <s v="Facture comptabilisée"/>
    <m/>
    <x v="0"/>
    <x v="2725"/>
    <s v="JIL PACK*2*"/>
    <d v="2022-11-18T00:00:00"/>
    <s v="300115"/>
    <s v="AUXILIAR CONSERVERA SA"/>
    <n v="103874.3728"/>
  </r>
  <r>
    <s v="Facture comptabilisée"/>
    <m/>
    <x v="0"/>
    <x v="2726"/>
    <s v="SMARCOS"/>
    <d v="2022-11-18T00:00:00"/>
    <s v="300115"/>
    <s v="AUXILIAR CONSERVERA SA"/>
    <n v="130623.57"/>
  </r>
  <r>
    <s v="Facture comptabilisée"/>
    <m/>
    <x v="0"/>
    <x v="2727"/>
    <s v="JIL PACK A"/>
    <d v="2022-11-18T00:00:00"/>
    <s v="300115"/>
    <s v="AUXILIAR CONSERVERA SA"/>
    <n v="384311.79599999997"/>
  </r>
  <r>
    <s v="Facture comptabilisée"/>
    <m/>
    <x v="0"/>
    <x v="2728"/>
    <s v="SILVER FOOD"/>
    <d v="2022-11-18T00:00:00"/>
    <s v="300115"/>
    <s v="AUXILIAR CONSERVERA SA"/>
    <n v="384044.49599999998"/>
  </r>
  <r>
    <s v="Facture comptabilisée"/>
    <m/>
    <x v="0"/>
    <x v="2729"/>
    <s v="110/2022 J"/>
    <d v="2022-11-18T00:00:00"/>
    <s v="300321"/>
    <s v="JIL LOGISTIQUE"/>
    <n v="19000"/>
  </r>
  <r>
    <s v="Facture comptabilisée"/>
    <m/>
    <x v="0"/>
    <x v="2730"/>
    <s v="111/2022 J"/>
    <d v="2022-11-18T00:00:00"/>
    <s v="300321"/>
    <s v="JIL LOGISTIQUE"/>
    <n v="18000"/>
  </r>
  <r>
    <s v="Facture comptabilisée"/>
    <m/>
    <x v="0"/>
    <x v="2731"/>
    <s v="1200 TRANS"/>
    <d v="2022-11-19T00:00:00"/>
    <s v="300133"/>
    <s v="OP BOX "/>
    <n v="6949.44"/>
  </r>
  <r>
    <s v="Facture comptabilisée"/>
    <m/>
    <x v="0"/>
    <x v="2732"/>
    <s v="1200 TRANS"/>
    <d v="2022-11-19T00:00:00"/>
    <s v="300133"/>
    <s v="OP BOX "/>
    <n v="100572.96"/>
  </r>
  <r>
    <s v="Facture comptabilisée"/>
    <m/>
    <x v="0"/>
    <x v="2733"/>
    <s v="104/2022 J"/>
    <d v="2022-11-21T00:00:00"/>
    <s v="300191"/>
    <s v="JTTL"/>
    <n v="3547.83"/>
  </r>
  <r>
    <s v="Facture comptabilisée"/>
    <m/>
    <x v="0"/>
    <x v="2734"/>
    <s v="105/2022 J"/>
    <d v="2022-11-21T00:00:00"/>
    <s v="300191"/>
    <s v="JTTL"/>
    <n v="3241.17"/>
  </r>
  <r>
    <s v="Facture comptabilisée"/>
    <m/>
    <x v="0"/>
    <x v="2735"/>
    <s v="106/2022 J"/>
    <d v="2022-11-21T00:00:00"/>
    <s v="300191"/>
    <s v="JTTL"/>
    <n v="3226.17"/>
  </r>
  <r>
    <s v="Facture comptabilisée"/>
    <m/>
    <x v="0"/>
    <x v="2736"/>
    <s v="108/2022"/>
    <d v="2022-11-22T00:00:00"/>
    <s v="300043"/>
    <s v="DOUANE"/>
    <n v="605"/>
  </r>
  <r>
    <s v="Facture comptabilisée"/>
    <m/>
    <x v="0"/>
    <x v="2737"/>
    <s v="110/2022 J"/>
    <d v="2022-11-22T00:00:00"/>
    <s v="300043"/>
    <s v="DOUANE"/>
    <n v="1489"/>
  </r>
  <r>
    <s v="Facture comptabilisée"/>
    <m/>
    <x v="0"/>
    <x v="2738"/>
    <s v="104/2022"/>
    <d v="2022-11-22T00:00:00"/>
    <s v="300043"/>
    <s v="DOUANE"/>
    <n v="605"/>
  </r>
  <r>
    <s v="Facture comptabilisée"/>
    <m/>
    <x v="0"/>
    <x v="2739"/>
    <s v="104/2022"/>
    <d v="2022-11-22T00:00:00"/>
    <s v="300101"/>
    <s v="ASMAE FORWARDING EXPRESS"/>
    <n v="3864.73"/>
  </r>
  <r>
    <s v="Facture comptabilisée"/>
    <m/>
    <x v="0"/>
    <x v="2740"/>
    <s v="108/2022"/>
    <d v="2022-11-22T00:00:00"/>
    <s v="300101"/>
    <s v="ASMAE FORWARDING EXPRESS"/>
    <n v="4034.64"/>
  </r>
  <r>
    <s v="Facture comptabilisée"/>
    <m/>
    <x v="0"/>
    <x v="2741"/>
    <m/>
    <d v="2022-11-23T00:00:00"/>
    <s v="300043"/>
    <s v="DOUANE"/>
    <n v="3795"/>
  </r>
  <r>
    <s v="Facture comptabilisée"/>
    <m/>
    <x v="0"/>
    <x v="2742"/>
    <s v="103/2022"/>
    <d v="2022-11-23T00:00:00"/>
    <s v="300043"/>
    <s v="DOUANE"/>
    <n v="603"/>
  </r>
  <r>
    <s v="Facture comptabilisée"/>
    <m/>
    <x v="0"/>
    <x v="2743"/>
    <s v="103/2022"/>
    <d v="2022-11-23T00:00:00"/>
    <s v="300101"/>
    <s v="ASMAE FORWARDING EXPRESS"/>
    <n v="3708.75"/>
  </r>
  <r>
    <s v="Facture comptabilisée"/>
    <m/>
    <x v="0"/>
    <x v="2744"/>
    <s v="105/2022"/>
    <d v="2022-11-24T00:00:00"/>
    <s v="300043"/>
    <s v="DOUANE"/>
    <n v="605"/>
  </r>
  <r>
    <s v="Facture comptabilisée"/>
    <m/>
    <x v="0"/>
    <x v="2745"/>
    <s v="111/2022 J"/>
    <d v="2022-11-24T00:00:00"/>
    <s v="300043"/>
    <s v="DOUANE"/>
    <n v="1481"/>
  </r>
  <r>
    <s v="Facture comptabilisée"/>
    <m/>
    <x v="0"/>
    <x v="2746"/>
    <s v="102/2022"/>
    <d v="2022-11-24T00:00:00"/>
    <s v="300043"/>
    <s v="DOUANE"/>
    <n v="1101"/>
  </r>
  <r>
    <s v="Facture comptabilisée"/>
    <m/>
    <x v="0"/>
    <x v="2747"/>
    <s v="102/2022"/>
    <d v="2022-11-24T00:00:00"/>
    <s v="300101"/>
    <s v="ASMAE FORWARDING EXPRESS"/>
    <n v="3712.96"/>
  </r>
  <r>
    <s v="Facture comptabilisée"/>
    <m/>
    <x v="0"/>
    <x v="2748"/>
    <s v="105/2022"/>
    <d v="2022-11-24T00:00:00"/>
    <s v="300101"/>
    <s v="ASMAE FORWARDING EXPRESS"/>
    <n v="4027.79"/>
  </r>
  <r>
    <s v="Facture comptabilisée"/>
    <m/>
    <x v="0"/>
    <x v="2749"/>
    <s v="4/4 OF"/>
    <d v="2022-11-25T00:00:00"/>
    <s v="300080"/>
    <s v="MASSILLY"/>
    <n v="114114"/>
  </r>
  <r>
    <s v="Facture comptabilisée"/>
    <m/>
    <x v="0"/>
    <x v="2750"/>
    <s v="110/2022 J"/>
    <d v="2022-11-25T00:00:00"/>
    <s v="300191"/>
    <s v="JTTL"/>
    <n v="3386.01"/>
  </r>
  <r>
    <s v="Facture comptabilisée"/>
    <m/>
    <x v="0"/>
    <x v="2751"/>
    <s v="TO"/>
    <d v="2022-11-25T00:00:00"/>
    <s v="300226"/>
    <s v="Sarten Ambalaj Sanayi ve Ticaret AS"/>
    <n v="326189.7"/>
  </r>
  <r>
    <s v="Facture comptabilisée"/>
    <m/>
    <x v="0"/>
    <x v="2752"/>
    <s v="JIL PACK A"/>
    <d v="2022-11-29T00:00:00"/>
    <s v="300115"/>
    <s v="AUXILIAR CONSERVERA SA"/>
    <n v="368883.25760000001"/>
  </r>
  <r>
    <s v="Facture comptabilisée"/>
    <m/>
    <x v="0"/>
    <x v="2753"/>
    <s v="JIL PACK A"/>
    <d v="2022-11-29T00:00:00"/>
    <s v="300115"/>
    <s v="AUXILIAR CONSERVERA SA"/>
    <n v="375070.60800000001"/>
  </r>
  <r>
    <s v="Facture comptabilisée"/>
    <m/>
    <x v="0"/>
    <x v="2754"/>
    <s v="JIL PACK A"/>
    <d v="2022-11-29T00:00:00"/>
    <s v="300115"/>
    <s v="AUXILIAR CONSERVERA SA"/>
    <n v="368883.25760000001"/>
  </r>
  <r>
    <s v="Facture comptabilisée"/>
    <m/>
    <x v="0"/>
    <x v="2755"/>
    <s v="111/2022 J"/>
    <d v="2022-11-29T00:00:00"/>
    <s v="300191"/>
    <s v="JTTL"/>
    <n v="3393.39"/>
  </r>
  <r>
    <s v="Facture comptabilisée"/>
    <m/>
    <x v="0"/>
    <x v="2756"/>
    <s v="113/2022 J"/>
    <d v="2022-11-29T00:00:00"/>
    <s v="300321"/>
    <s v="JIL LOGISTIQUE"/>
    <n v="19000"/>
  </r>
  <r>
    <s v="Facture comptabilisée"/>
    <m/>
    <x v="0"/>
    <x v="2757"/>
    <s v="112/2022 J"/>
    <d v="2022-11-29T00:00:00"/>
    <s v="300321"/>
    <s v="JIL LOGISTIQUE"/>
    <n v="19000"/>
  </r>
  <r>
    <s v="Facture comptabilisée"/>
    <m/>
    <x v="0"/>
    <x v="2758"/>
    <s v="114/2022 J"/>
    <d v="2022-11-29T00:00:00"/>
    <s v="300321"/>
    <s v="JIL LOGISTIQUE"/>
    <n v="19000"/>
  </r>
  <r>
    <s v="Facture comptabilisée"/>
    <m/>
    <x v="0"/>
    <x v="2759"/>
    <s v="112/2022 J"/>
    <d v="2022-11-30T00:00:00"/>
    <s v="300043"/>
    <s v="DOUANE"/>
    <n v="1464"/>
  </r>
  <r>
    <s v="Facture comptabilisée"/>
    <m/>
    <x v="0"/>
    <x v="2760"/>
    <s v="JIL PACK A*LA GIR"/>
    <d v="2022-11-30T00:00:00"/>
    <s v="300115"/>
    <s v="AUXILIAR CONSERVERA SA"/>
    <n v="384311.79599999997"/>
  </r>
  <r>
    <s v="Facture comptabilisée"/>
    <m/>
    <x v="0"/>
    <x v="2761"/>
    <s v="JIL PACK A*LA GIR"/>
    <d v="2022-11-30T00:00:00"/>
    <s v="300115"/>
    <s v="AUXILIAR CONSERVERA SA"/>
    <n v="384389.63199999998"/>
  </r>
  <r>
    <s v="Facture comptabilisée"/>
    <m/>
    <x v="0"/>
    <x v="2762"/>
    <s v="112/2022 J"/>
    <d v="2022-11-30T00:00:00"/>
    <s v="300191"/>
    <s v="JTTL"/>
    <n v="3235.56"/>
  </r>
  <r>
    <s v="Facture comptabilisée"/>
    <m/>
    <x v="0"/>
    <x v="2763"/>
    <s v="113/2022 J"/>
    <d v="2022-11-30T00:00:00"/>
    <s v="300191"/>
    <s v="JTTL"/>
    <n v="3235.56"/>
  </r>
  <r>
    <s v="Facture comptabilisée"/>
    <m/>
    <x v="0"/>
    <x v="2764"/>
    <s v="114/2022 J"/>
    <d v="2022-11-30T00:00:00"/>
    <s v="300191"/>
    <s v="JTTL"/>
    <n v="3235.56"/>
  </r>
  <r>
    <s v="Facture comptabilisée"/>
    <m/>
    <x v="0"/>
    <x v="2765"/>
    <s v="116/2022 J"/>
    <d v="2022-11-30T00:00:00"/>
    <s v="300321"/>
    <s v="JIL LOGISTIQUE"/>
    <n v="19000"/>
  </r>
  <r>
    <s v="Facture comptabilisée"/>
    <m/>
    <x v="0"/>
    <x v="2766"/>
    <s v="115/2022 J"/>
    <d v="2022-11-30T00:00:00"/>
    <s v="300321"/>
    <s v="JIL LOGISTIQUE"/>
    <n v="19000"/>
  </r>
  <r>
    <s v="Facture comptabilisée"/>
    <m/>
    <x v="0"/>
    <x v="2767"/>
    <s v="JIL PACK"/>
    <d v="2022-11-30T00:00:00"/>
    <s v="300344"/>
    <s v="PADEL NUESTRO"/>
    <n v="33796.65"/>
  </r>
  <r>
    <s v="Facture comptabilisée"/>
    <m/>
    <x v="0"/>
    <x v="2768"/>
    <s v="113/2022 J"/>
    <d v="2022-12-01T00:00:00"/>
    <s v="300043"/>
    <s v="DOUANE"/>
    <n v="1444"/>
  </r>
  <r>
    <s v="Facture comptabilisée"/>
    <m/>
    <x v="0"/>
    <x v="2769"/>
    <s v="114/2022 J"/>
    <d v="2022-12-01T00:00:00"/>
    <s v="300043"/>
    <s v="DOUANE"/>
    <n v="1444"/>
  </r>
  <r>
    <s v="Facture comptabilisée"/>
    <m/>
    <x v="0"/>
    <x v="2770"/>
    <s v="115/2022 J"/>
    <d v="2022-12-01T00:00:00"/>
    <s v="300043"/>
    <s v="DOUANE"/>
    <n v="1493"/>
  </r>
  <r>
    <s v="Facture comptabilisée"/>
    <m/>
    <x v="0"/>
    <x v="2771"/>
    <s v="116/2022 J"/>
    <d v="2022-12-01T00:00:00"/>
    <s v="300043"/>
    <s v="DOUANE"/>
    <n v="1493"/>
  </r>
  <r>
    <s v="Facture comptabilisée"/>
    <m/>
    <x v="0"/>
    <x v="2772"/>
    <m/>
    <d v="2022-12-05T00:00:00"/>
    <s v="300043"/>
    <s v="DOUANE"/>
    <n v="2119"/>
  </r>
  <r>
    <s v="Facture comptabilisée"/>
    <m/>
    <x v="0"/>
    <x v="2773"/>
    <s v="CONS OUALILI"/>
    <d v="2022-12-05T00:00:00"/>
    <s v="300115"/>
    <s v="AUXILIAR CONSERVERA SA"/>
    <n v="130623.57"/>
  </r>
  <r>
    <s v="Facture comptabilisée"/>
    <m/>
    <x v="0"/>
    <x v="2774"/>
    <s v="115/2022 J"/>
    <d v="2022-12-05T00:00:00"/>
    <s v="300191"/>
    <s v="JTTL"/>
    <n v="3233.24"/>
  </r>
  <r>
    <s v="Facture comptabilisée"/>
    <m/>
    <x v="0"/>
    <x v="2775"/>
    <s v="116/2022 J"/>
    <d v="2022-12-05T00:00:00"/>
    <s v="300191"/>
    <s v="JTTL"/>
    <n v="3233.24"/>
  </r>
  <r>
    <s v="Facture comptabilisée"/>
    <m/>
    <x v="0"/>
    <x v="2776"/>
    <s v="SMARCOS"/>
    <d v="2022-12-07T00:00:00"/>
    <s v="300115"/>
    <s v="AUXILIAR CONSERVERA SA"/>
    <n v="130623.57"/>
  </r>
  <r>
    <s v="Facture comptabilisée"/>
    <m/>
    <x v="0"/>
    <x v="2777"/>
    <s v="ICC"/>
    <d v="2022-12-07T00:00:00"/>
    <s v="300115"/>
    <s v="AUXILIAR CONSERVERA SA"/>
    <n v="366790.31839999999"/>
  </r>
  <r>
    <s v="Facture comptabilisée"/>
    <m/>
    <x v="0"/>
    <x v="2778"/>
    <s v="UPA"/>
    <d v="2022-12-07T00:00:00"/>
    <s v="300115"/>
    <s v="AUXILIAR CONSERVERA SA"/>
    <n v="368883.25760000001"/>
  </r>
  <r>
    <s v="Facture comptabilisée"/>
    <m/>
    <x v="0"/>
    <x v="2779"/>
    <s v="118/2022 J"/>
    <d v="2022-12-07T00:00:00"/>
    <s v="300321"/>
    <s v="JIL LOGISTIQUE"/>
    <n v="19000"/>
  </r>
  <r>
    <s v="Facture comptabilisée"/>
    <m/>
    <x v="0"/>
    <x v="2780"/>
    <s v="117/2022 J"/>
    <d v="2022-12-07T00:00:00"/>
    <s v="300321"/>
    <s v="JIL LOGISTIQUE"/>
    <n v="19000"/>
  </r>
  <r>
    <s v="Facture comptabilisée"/>
    <m/>
    <x v="0"/>
    <x v="2781"/>
    <s v="118/2022 J"/>
    <d v="2022-12-08T00:00:00"/>
    <s v="300043"/>
    <s v="DOUANE"/>
    <n v="1436"/>
  </r>
  <r>
    <s v="Facture comptabilisée"/>
    <m/>
    <x v="0"/>
    <x v="2782"/>
    <s v="117/2022 J"/>
    <d v="2022-12-08T00:00:00"/>
    <s v="300043"/>
    <s v="DOUANE"/>
    <n v="1442"/>
  </r>
  <r>
    <s v="Facture comptabilisée"/>
    <m/>
    <x v="0"/>
    <x v="2783"/>
    <s v="4/4 G3"/>
    <d v="2022-12-10T00:00:00"/>
    <s v="300080"/>
    <s v="MASSILLY"/>
    <n v="114114"/>
  </r>
  <r>
    <s v="Facture comptabilisée"/>
    <m/>
    <x v="0"/>
    <x v="2784"/>
    <s v="110/2022"/>
    <d v="2022-12-10T00:00:00"/>
    <s v="300101"/>
    <s v="ASMAE FORWARDING EXPRESS"/>
    <n v="3727.6"/>
  </r>
  <r>
    <s v="Facture comptabilisée"/>
    <m/>
    <x v="0"/>
    <x v="2785"/>
    <s v="110/2022"/>
    <d v="2022-12-11T00:00:00"/>
    <s v="300043"/>
    <s v="DOUANE"/>
    <n v="607"/>
  </r>
  <r>
    <s v="Facture comptabilisée"/>
    <m/>
    <x v="0"/>
    <x v="2786"/>
    <s v="109/2022"/>
    <d v="2022-12-12T00:00:00"/>
    <s v="300043"/>
    <s v="DOUANE"/>
    <n v="607"/>
  </r>
  <r>
    <s v="Facture comptabilisée"/>
    <m/>
    <x v="0"/>
    <x v="2787"/>
    <s v="109/2022"/>
    <d v="2022-12-12T00:00:00"/>
    <s v="300101"/>
    <s v="ASMAE FORWARDING EXPRESS"/>
    <n v="4049.36"/>
  </r>
  <r>
    <s v="Facture comptabilisée"/>
    <m/>
    <x v="0"/>
    <x v="2788"/>
    <s v="119/2022 J"/>
    <d v="2022-12-13T00:00:00"/>
    <s v="300043"/>
    <s v="DOUANE"/>
    <n v="1312"/>
  </r>
  <r>
    <s v="Facture comptabilisée"/>
    <m/>
    <x v="0"/>
    <x v="2789"/>
    <s v="ALICOMAR"/>
    <d v="2022-12-13T00:00:00"/>
    <s v="300115"/>
    <s v="AUXILIAR CONSERVERA SA"/>
    <n v="130623.57"/>
  </r>
  <r>
    <s v="Facture comptabilisée"/>
    <m/>
    <x v="0"/>
    <x v="2790"/>
    <s v="JIL PACK A"/>
    <d v="2022-12-14T00:00:00"/>
    <s v="300115"/>
    <s v="AUXILIAR CONSERVERA SA"/>
    <n v="384311.79599999997"/>
  </r>
  <r>
    <s v="Facture comptabilisée"/>
    <m/>
    <x v="0"/>
    <x v="2791"/>
    <s v="CHERIF CONSERVES"/>
    <d v="2022-12-14T00:00:00"/>
    <s v="300115"/>
    <s v="AUXILIAR CONSERVERA SA"/>
    <n v="130623.57"/>
  </r>
  <r>
    <s v="Facture comptabilisée"/>
    <m/>
    <x v="0"/>
    <x v="2792"/>
    <s v="117/2022 J"/>
    <d v="2022-12-14T00:00:00"/>
    <s v="300191"/>
    <s v="JTTL"/>
    <n v="3237.89"/>
  </r>
  <r>
    <s v="Facture comptabilisée"/>
    <m/>
    <x v="0"/>
    <x v="2793"/>
    <s v="118/2022 J"/>
    <d v="2022-12-14T00:00:00"/>
    <s v="300191"/>
    <s v="JTTL"/>
    <n v="3237.89"/>
  </r>
  <r>
    <s v="Facture comptabilisée"/>
    <m/>
    <x v="0"/>
    <x v="2794"/>
    <s v="120/2022 J"/>
    <d v="2022-12-14T00:00:00"/>
    <s v="300321"/>
    <s v="JIL LOGISTIQUE"/>
    <n v="19000"/>
  </r>
  <r>
    <s v="Facture comptabilisée"/>
    <m/>
    <x v="0"/>
    <x v="2795"/>
    <s v="SILVER FOOD"/>
    <d v="2022-12-15T00:00:00"/>
    <s v="300115"/>
    <s v="AUXILIAR CONSERVERA SA"/>
    <n v="368883.25760000001"/>
  </r>
  <r>
    <s v="Facture comptabilisée"/>
    <m/>
    <x v="0"/>
    <x v="2796"/>
    <s v="JIL PACK A"/>
    <d v="2022-12-15T00:00:00"/>
    <s v="300115"/>
    <s v="AUXILIAR CONSERVERA SA"/>
    <n v="384311.79599999997"/>
  </r>
  <r>
    <s v="Facture comptabilisée"/>
    <m/>
    <x v="0"/>
    <x v="2797"/>
    <s v="JIL PACK A"/>
    <d v="2022-12-15T00:00:00"/>
    <s v="300115"/>
    <s v="AUXILIAR CONSERVERA SA"/>
    <n v="384311.79599999997"/>
  </r>
  <r>
    <s v="Facture comptabilisée"/>
    <m/>
    <x v="0"/>
    <x v="2798"/>
    <s v="JIL PACK A"/>
    <d v="2022-12-15T00:00:00"/>
    <s v="300115"/>
    <s v="AUXILIAR CONSERVERA SA"/>
    <n v="368883.25760000001"/>
  </r>
  <r>
    <s v="Facture comptabilisée"/>
    <m/>
    <x v="0"/>
    <x v="2799"/>
    <s v="122/2022 J"/>
    <d v="2022-12-15T00:00:00"/>
    <s v="300321"/>
    <s v="JIL LOGISTIQUE"/>
    <n v="18000"/>
  </r>
  <r>
    <s v="Facture comptabilisée"/>
    <m/>
    <x v="0"/>
    <x v="2800"/>
    <s v="124/2022 J"/>
    <d v="2022-12-15T00:00:00"/>
    <s v="300321"/>
    <s v="JIL LOGISTIQUE"/>
    <n v="19000"/>
  </r>
  <r>
    <s v="Facture comptabilisée"/>
    <m/>
    <x v="0"/>
    <x v="2801"/>
    <s v="121/2022 J"/>
    <d v="2022-12-15T00:00:00"/>
    <s v="300321"/>
    <s v="JIL LOGISTIQUE"/>
    <n v="19000"/>
  </r>
  <r>
    <s v="Facture comptabilisée"/>
    <m/>
    <x v="0"/>
    <x v="2802"/>
    <s v="124/2022 J"/>
    <d v="2022-12-16T00:00:00"/>
    <s v="300043"/>
    <s v="DOUANE"/>
    <n v="1498"/>
  </r>
  <r>
    <s v="Facture comptabilisée"/>
    <m/>
    <x v="0"/>
    <x v="2803"/>
    <s v="121/2022 J"/>
    <d v="2022-12-16T00:00:00"/>
    <s v="300043"/>
    <s v="DOUANE"/>
    <n v="1498"/>
  </r>
  <r>
    <s v="Facture comptabilisée"/>
    <m/>
    <x v="0"/>
    <x v="2804"/>
    <s v="122/2022 J"/>
    <d v="2022-12-16T00:00:00"/>
    <s v="300043"/>
    <s v="DOUANE"/>
    <n v="1442"/>
  </r>
  <r>
    <s v="Facture comptabilisée"/>
    <m/>
    <x v="0"/>
    <x v="2805"/>
    <s v="123/2022 J"/>
    <d v="2022-12-16T00:00:00"/>
    <s v="300043"/>
    <s v="DOUANE"/>
    <n v="1442"/>
  </r>
  <r>
    <s v="Facture comptabilisée"/>
    <m/>
    <x v="0"/>
    <x v="2806"/>
    <s v="JIL PACK A"/>
    <d v="2022-12-16T00:00:00"/>
    <s v="300115"/>
    <s v="AUXILIAR CONSERVERA SA"/>
    <n v="408148.71899999998"/>
  </r>
  <r>
    <s v="Facture comptabilisée"/>
    <m/>
    <x v="0"/>
    <x v="2807"/>
    <s v="119/2022 J"/>
    <d v="2022-12-16T00:00:00"/>
    <s v="300191"/>
    <s v="JTTL"/>
    <n v="9027.42"/>
  </r>
  <r>
    <s v="Facture comptabilisée"/>
    <m/>
    <x v="0"/>
    <x v="2808"/>
    <s v="123/2022 J"/>
    <d v="2022-12-16T00:00:00"/>
    <s v="300321"/>
    <s v="JIL LOGISTIQUE"/>
    <n v="19000"/>
  </r>
  <r>
    <s v="Facture comptabilisée"/>
    <m/>
    <x v="0"/>
    <x v="2809"/>
    <s v="113/2022"/>
    <d v="2022-12-19T00:00:00"/>
    <s v="300043"/>
    <s v="DOUANE"/>
    <n v="605"/>
  </r>
  <r>
    <s v="Facture comptabilisée"/>
    <m/>
    <x v="0"/>
    <x v="2810"/>
    <s v="113/2022"/>
    <d v="2022-12-19T00:00:00"/>
    <s v="300101"/>
    <s v="ASMAE FORWARDING EXPRESS"/>
    <n v="3891.85"/>
  </r>
  <r>
    <s v="Facture comptabilisée"/>
    <m/>
    <x v="0"/>
    <x v="2811"/>
    <s v="CONSERVES OUALILI"/>
    <d v="2022-12-19T00:00:00"/>
    <s v="300115"/>
    <s v="AUXILIAR CONSERVERA SA"/>
    <n v="144410.11199999999"/>
  </r>
  <r>
    <s v="Facture comptabilisée"/>
    <m/>
    <x v="0"/>
    <x v="2812"/>
    <s v="120/2022 J"/>
    <d v="2022-12-20T00:00:00"/>
    <s v="300043"/>
    <s v="DOUANE"/>
    <n v="1502"/>
  </r>
  <r>
    <s v="Facture comptabilisée"/>
    <m/>
    <x v="0"/>
    <x v="2813"/>
    <s v="JIL PACK A"/>
    <d v="2022-12-20T00:00:00"/>
    <s v="300115"/>
    <s v="AUXILIAR CONSERVERA SA"/>
    <n v="368883.25760000001"/>
  </r>
  <r>
    <s v="Facture comptabilisée"/>
    <m/>
    <x v="0"/>
    <x v="2814"/>
    <s v="20L"/>
    <d v="2022-12-20T00:00:00"/>
    <s v="300133"/>
    <s v="OP BOX "/>
    <n v="41342.400000000001"/>
  </r>
  <r>
    <s v="Facture comptabilisée"/>
    <m/>
    <x v="0"/>
    <x v="2815"/>
    <s v="120/2022 J"/>
    <d v="2022-12-20T00:00:00"/>
    <s v="300191"/>
    <s v="JTTL"/>
    <n v="3247.14"/>
  </r>
  <r>
    <s v="Facture comptabilisée"/>
    <m/>
    <x v="0"/>
    <x v="2816"/>
    <s v="121/2022 J"/>
    <d v="2022-12-20T00:00:00"/>
    <s v="300191"/>
    <s v="JTTL"/>
    <n v="3240.83"/>
  </r>
  <r>
    <s v="Facture comptabilisée"/>
    <m/>
    <x v="0"/>
    <x v="2817"/>
    <s v="122/2022 J"/>
    <d v="2022-12-20T00:00:00"/>
    <s v="300191"/>
    <s v="JTTL"/>
    <n v="3240.83"/>
  </r>
  <r>
    <s v="Facture comptabilisée"/>
    <m/>
    <x v="0"/>
    <x v="2818"/>
    <s v="123/2022 J"/>
    <d v="2022-12-20T00:00:00"/>
    <s v="300191"/>
    <s v="JTTL"/>
    <n v="3219.08"/>
  </r>
  <r>
    <s v="Facture comptabilisée"/>
    <m/>
    <x v="0"/>
    <x v="2819"/>
    <s v="124/2022 J"/>
    <d v="2022-12-20T00:00:00"/>
    <s v="300191"/>
    <s v="JTTL"/>
    <n v="3240.83"/>
  </r>
  <r>
    <s v="Facture comptabilisée"/>
    <m/>
    <x v="0"/>
    <x v="2820"/>
    <s v="126/2022 J"/>
    <d v="2022-12-20T00:00:00"/>
    <s v="300321"/>
    <s v="JIL LOGISTIQUE"/>
    <n v="19000"/>
  </r>
  <r>
    <s v="Facture comptabilisée"/>
    <m/>
    <x v="0"/>
    <x v="2821"/>
    <s v="114/2022"/>
    <d v="2022-12-21T00:00:00"/>
    <s v="300043"/>
    <s v="DOUANE"/>
    <n v="607"/>
  </r>
  <r>
    <s v="Facture comptabilisée"/>
    <m/>
    <x v="0"/>
    <x v="2822"/>
    <s v="112/2022"/>
    <d v="2022-12-21T00:00:00"/>
    <s v="300043"/>
    <s v="DOUANE"/>
    <n v="1546"/>
  </r>
  <r>
    <s v="Facture comptabilisée"/>
    <m/>
    <x v="0"/>
    <x v="2823"/>
    <s v="112/2022"/>
    <d v="2022-12-21T00:00:00"/>
    <s v="300101"/>
    <s v="ASMAE FORWARDING EXPRESS"/>
    <n v="3404.21"/>
  </r>
  <r>
    <s v="Facture comptabilisée"/>
    <m/>
    <x v="0"/>
    <x v="2824"/>
    <s v="114/2022"/>
    <d v="2022-12-21T00:00:00"/>
    <s v="300101"/>
    <s v="ASMAE FORWARDING EXPRESS"/>
    <n v="3891.29"/>
  </r>
  <r>
    <s v="Facture comptabilisée"/>
    <m/>
    <x v="0"/>
    <x v="2825"/>
    <s v="JIL PACK A"/>
    <d v="2022-12-21T00:00:00"/>
    <s v="300115"/>
    <s v="AUXILIAR CONSERVERA SA"/>
    <n v="368883.25760000001"/>
  </r>
  <r>
    <s v="Facture comptabilisée"/>
    <m/>
    <x v="0"/>
    <x v="2826"/>
    <s v="125/2022 J"/>
    <d v="2022-12-21T00:00:00"/>
    <s v="300321"/>
    <s v="JIL LOGISTIQUE"/>
    <n v="19000"/>
  </r>
  <r>
    <s v="Facture comptabilisée"/>
    <m/>
    <x v="0"/>
    <x v="2827"/>
    <s v="126/2022 J"/>
    <d v="2022-12-22T00:00:00"/>
    <s v="300043"/>
    <s v="DOUANE"/>
    <n v="1451"/>
  </r>
  <r>
    <s v="Facture comptabilisée"/>
    <m/>
    <x v="0"/>
    <x v="2828"/>
    <m/>
    <d v="2022-12-23T00:00:00"/>
    <s v="300043"/>
    <s v="DOUANE"/>
    <n v="2684"/>
  </r>
  <r>
    <s v="Facture comptabilisée"/>
    <m/>
    <x v="0"/>
    <x v="2829"/>
    <s v="111/2022"/>
    <d v="2022-12-23T00:00:00"/>
    <s v="300043"/>
    <s v="DOUANE"/>
    <n v="653"/>
  </r>
  <r>
    <s v="Facture comptabilisée"/>
    <m/>
    <x v="0"/>
    <x v="2830"/>
    <s v="125/2022 J"/>
    <d v="2022-12-23T00:00:00"/>
    <s v="300043"/>
    <s v="DOUANE"/>
    <n v="1451"/>
  </r>
  <r>
    <s v="Facture comptabilisée"/>
    <m/>
    <x v="0"/>
    <x v="2831"/>
    <s v="111/2022"/>
    <d v="2022-12-23T00:00:00"/>
    <s v="300101"/>
    <s v="ASMAE FORWARDING EXPRESS"/>
    <n v="3567.57"/>
  </r>
  <r>
    <s v="Facture comptabilisée"/>
    <m/>
    <x v="0"/>
    <x v="2832"/>
    <s v="125/2022 J"/>
    <d v="2022-12-26T00:00:00"/>
    <s v="300191"/>
    <s v="JTTL"/>
    <n v="3227.52"/>
  </r>
  <r>
    <s v="Facture comptabilisée"/>
    <m/>
    <x v="0"/>
    <x v="2833"/>
    <s v="126/2022 J"/>
    <d v="2022-12-26T00:00:00"/>
    <s v="300191"/>
    <s v="JTTL"/>
    <n v="3249.27"/>
  </r>
  <r>
    <s v="Facture comptabilisée"/>
    <m/>
    <x v="0"/>
    <x v="2834"/>
    <s v="JIL PACK A"/>
    <d v="2022-12-27T00:00:00"/>
    <s v="300115"/>
    <s v="AUXILIAR CONSERVERA SA"/>
    <n v="384311.79599999997"/>
  </r>
  <r>
    <s v="Facture comptabilisée"/>
    <m/>
    <x v="0"/>
    <x v="2835"/>
    <s v="127/2022 J"/>
    <d v="2022-12-27T00:00:00"/>
    <s v="300321"/>
    <s v="JIL LOGISTIQUE"/>
    <n v="19000"/>
  </r>
  <r>
    <s v="Facture comptabilisée"/>
    <m/>
    <x v="0"/>
    <x v="2836"/>
    <s v="127/2022 J"/>
    <d v="2022-12-28T00:00:00"/>
    <s v="300043"/>
    <s v="DOUANE"/>
    <n v="1500"/>
  </r>
  <r>
    <s v="Facture comptabilisée"/>
    <m/>
    <x v="0"/>
    <x v="2837"/>
    <s v="JIL PACK A"/>
    <d v="2022-12-28T00:00:00"/>
    <s v="300115"/>
    <s v="AUXILIAR CONSERVERA SA"/>
    <n v="384376.212"/>
  </r>
  <r>
    <s v="Facture comptabilisée"/>
    <m/>
    <x v="0"/>
    <x v="2838"/>
    <s v="JIL PACK A"/>
    <d v="2022-12-28T00:00:00"/>
    <s v="300115"/>
    <s v="AUXILIAR CONSERVERA SA"/>
    <n v="384311.79599999997"/>
  </r>
  <r>
    <s v="Facture comptabilisée"/>
    <m/>
    <x v="0"/>
    <x v="2839"/>
    <m/>
    <d v="2022-12-28T00:00:00"/>
    <s v="300321"/>
    <s v="JIL LOGISTIQUE"/>
    <n v="19000"/>
  </r>
  <r>
    <s v="Facture comptabilisée"/>
    <m/>
    <x v="0"/>
    <x v="2840"/>
    <m/>
    <d v="2022-12-28T00:00:00"/>
    <s v="300321"/>
    <s v="JIL LOGISTIQUE"/>
    <n v="19000"/>
  </r>
  <r>
    <s v="Facture comptabilisée"/>
    <m/>
    <x v="0"/>
    <x v="2841"/>
    <s v="02/2023 J"/>
    <d v="2022-12-29T00:00:00"/>
    <s v="300043"/>
    <s v="DOUANE"/>
    <n v="1498"/>
  </r>
  <r>
    <s v="Facture comptabilisée"/>
    <m/>
    <x v="0"/>
    <x v="2842"/>
    <s v="JIL PACK A"/>
    <d v="2022-12-29T00:00:00"/>
    <s v="300115"/>
    <s v="AUXILIAR CONSERVERA SA"/>
    <n v="384311.79599999997"/>
  </r>
  <r>
    <s v="Facture comptabilisée"/>
    <m/>
    <x v="0"/>
    <x v="2843"/>
    <s v="128/2022 J"/>
    <d v="2022-12-29T00:00:00"/>
    <s v="300321"/>
    <s v="JIL LOGISTIQUE"/>
    <n v="19000"/>
  </r>
  <r>
    <s v="Facture comptabilisée"/>
    <m/>
    <x v="0"/>
    <x v="2844"/>
    <s v="128/2022 J"/>
    <d v="2022-12-30T00:00:00"/>
    <s v="300043"/>
    <s v="DOUANE"/>
    <n v="1501"/>
  </r>
  <r>
    <s v="Facture comptabilisée"/>
    <m/>
    <x v="0"/>
    <x v="2845"/>
    <s v="127/2022 J"/>
    <d v="2022-12-31T00:00:00"/>
    <s v="300191"/>
    <s v="JTTL"/>
    <n v="3244.37"/>
  </r>
  <r>
    <s v="Facture comptabilisée"/>
    <m/>
    <x v="0"/>
    <x v="2846"/>
    <s v="128/2022 J"/>
    <d v="2022-12-31T00:00:00"/>
    <s v="300191"/>
    <s v="JTTL"/>
    <n v="3246.17"/>
  </r>
  <r>
    <s v="Facture comptabilisée"/>
    <m/>
    <x v="0"/>
    <x v="2847"/>
    <s v="RFA 311222"/>
    <d v="2023-01-02T00:00:00"/>
    <s v="300115"/>
    <s v="AUXILIAR CONSERVERA SA"/>
    <n v="1259546.75"/>
  </r>
  <r>
    <s v="Facture comptabilisée"/>
    <m/>
    <x v="0"/>
    <x v="2848"/>
    <s v="01/2023 J"/>
    <d v="2023-01-04T00:00:00"/>
    <s v="300043"/>
    <s v="DOUANE"/>
    <n v="1498"/>
  </r>
  <r>
    <s v="Facture comptabilisée"/>
    <m/>
    <x v="0"/>
    <x v="2849"/>
    <s v="01/2023 J"/>
    <d v="2023-01-04T00:00:00"/>
    <s v="300191"/>
    <s v="JTTL"/>
    <n v="3891.67"/>
  </r>
  <r>
    <s v="Facture comptabilisée"/>
    <m/>
    <x v="0"/>
    <x v="2850"/>
    <s v="02/2023 J"/>
    <d v="2023-01-04T00:00:00"/>
    <s v="300191"/>
    <s v="JTTL"/>
    <n v="3891.67"/>
  </r>
  <r>
    <s v="Facture comptabilisée"/>
    <m/>
    <x v="0"/>
    <x v="2851"/>
    <s v="NET PAK"/>
    <d v="2023-01-04T00:00:00"/>
    <s v="300312"/>
    <s v="ILIP S.r.l."/>
    <n v="472243.20000000001"/>
  </r>
  <r>
    <s v="Facture comptabilisée"/>
    <m/>
    <x v="0"/>
    <x v="2852"/>
    <s v="03/2023 J"/>
    <d v="2023-01-16T00:00:00"/>
    <s v="300043"/>
    <s v="DOUANE"/>
    <n v="3803"/>
  </r>
  <r>
    <s v="Facture comptabilisée"/>
    <m/>
    <x v="0"/>
    <x v="2853"/>
    <s v="04/2023 J"/>
    <d v="2023-01-17T00:00:00"/>
    <s v="300043"/>
    <s v="DOUANE"/>
    <n v="6449"/>
  </r>
  <r>
    <s v="Facture comptabilisée"/>
    <m/>
    <x v="0"/>
    <x v="2854"/>
    <s v="03/2023 J"/>
    <d v="2023-01-17T00:00:00"/>
    <s v="300191"/>
    <s v="JTTL"/>
    <n v="4335.3900000000003"/>
  </r>
  <r>
    <s v="Facture comptabilisée"/>
    <m/>
    <x v="0"/>
    <x v="2855"/>
    <s v="108*131"/>
    <d v="2023-01-18T00:00:00"/>
    <s v="300080"/>
    <s v="MASSILLY"/>
    <n v="148500"/>
  </r>
  <r>
    <s v="Facture comptabilisée"/>
    <m/>
    <x v="0"/>
    <x v="2856"/>
    <s v="UPA"/>
    <d v="2023-01-18T00:00:00"/>
    <s v="300115"/>
    <s v="AUXILIAR CONSERVERA SA"/>
    <n v="368883.25760000001"/>
  </r>
  <r>
    <s v="Facture comptabilisée"/>
    <m/>
    <x v="0"/>
    <x v="2857"/>
    <s v="ICC"/>
    <d v="2023-01-19T00:00:00"/>
    <s v="300115"/>
    <s v="AUXILIAR CONSERVERA SA"/>
    <n v="368883.25760000001"/>
  </r>
  <r>
    <s v="Facture comptabilisée"/>
    <m/>
    <x v="0"/>
    <x v="2858"/>
    <s v="JIL PACK A"/>
    <d v="2023-01-19T00:00:00"/>
    <s v="300115"/>
    <s v="AUXILIAR CONSERVERA SA"/>
    <n v="366055.37760000001"/>
  </r>
  <r>
    <s v="Facture comptabilisée"/>
    <m/>
    <x v="0"/>
    <x v="2859"/>
    <s v="04/2023 J"/>
    <d v="2023-01-19T00:00:00"/>
    <s v="300191"/>
    <s v="JTTL"/>
    <n v="4858.97"/>
  </r>
  <r>
    <s v="Facture comptabilisée"/>
    <m/>
    <x v="0"/>
    <x v="2860"/>
    <s v="06/2023 J"/>
    <d v="2023-01-19T00:00:00"/>
    <s v="300321"/>
    <s v="JIL LOGISTIQUE"/>
    <n v="19000"/>
  </r>
  <r>
    <s v="Facture comptabilisée"/>
    <m/>
    <x v="0"/>
    <x v="2861"/>
    <s v="05/2023 J"/>
    <d v="2023-01-19T00:00:00"/>
    <s v="300321"/>
    <s v="JIL LOGISTIQUE"/>
    <n v="19000"/>
  </r>
  <r>
    <s v="Facture comptabilisée"/>
    <m/>
    <x v="0"/>
    <x v="2862"/>
    <s v="05/2023 J"/>
    <d v="2023-01-20T00:00:00"/>
    <s v="300043"/>
    <s v="DOUANE"/>
    <n v="1434"/>
  </r>
  <r>
    <s v="Facture comptabilisée"/>
    <m/>
    <x v="0"/>
    <x v="2863"/>
    <s v="4/4 G3 SILVER"/>
    <d v="2023-01-20T00:00:00"/>
    <s v="300080"/>
    <s v="MASSILLY"/>
    <n v="196396.2"/>
  </r>
  <r>
    <s v="Facture comptabilisée"/>
    <m/>
    <x v="0"/>
    <x v="2864"/>
    <s v="JIL PACK A"/>
    <d v="2023-01-20T00:00:00"/>
    <s v="300115"/>
    <s v="AUXILIAR CONSERVERA SA"/>
    <n v="384311.79599999997"/>
  </r>
  <r>
    <s v="Facture comptabilisée"/>
    <m/>
    <x v="0"/>
    <x v="2865"/>
    <s v="07/2023 J"/>
    <d v="2023-01-20T00:00:00"/>
    <s v="300321"/>
    <s v="JIL LOGISTIQUE"/>
    <n v="19000"/>
  </r>
  <r>
    <s v="Facture comptabilisée"/>
    <m/>
    <x v="0"/>
    <x v="2866"/>
    <s v="06/2023 J"/>
    <d v="2023-01-23T00:00:00"/>
    <s v="300043"/>
    <s v="DOUANE"/>
    <n v="1434"/>
  </r>
  <r>
    <s v="Facture comptabilisée"/>
    <m/>
    <x v="0"/>
    <x v="2867"/>
    <s v="07/2023 J"/>
    <d v="2023-01-23T00:00:00"/>
    <s v="300043"/>
    <s v="DOUANE"/>
    <n v="1492"/>
  </r>
  <r>
    <s v="Facture comptabilisée"/>
    <m/>
    <x v="0"/>
    <x v="2868"/>
    <s v="JIL PACK A"/>
    <d v="2023-01-23T00:00:00"/>
    <s v="300115"/>
    <s v="AUXILIAR CONSERVERA SA"/>
    <n v="368883.25760000001"/>
  </r>
  <r>
    <s v="Facture comptabilisée"/>
    <m/>
    <x v="0"/>
    <x v="2869"/>
    <s v="05/2023 J"/>
    <d v="2023-01-23T00:00:00"/>
    <s v="300191"/>
    <s v="JTTL"/>
    <n v="3197.59"/>
  </r>
  <r>
    <s v="Facture comptabilisée"/>
    <m/>
    <x v="0"/>
    <x v="2870"/>
    <s v="10/2023 J"/>
    <d v="2023-01-23T00:00:00"/>
    <s v="300321"/>
    <s v="JIL LOGISTIQUE"/>
    <n v="19000"/>
  </r>
  <r>
    <s v="Facture comptabilisée"/>
    <m/>
    <x v="0"/>
    <x v="2871"/>
    <d v="2023-01-01T00:00:00"/>
    <d v="2023-01-24T00:00:00"/>
    <s v="300043"/>
    <s v="DOUANE"/>
    <n v="1398"/>
  </r>
  <r>
    <s v="Facture comptabilisée"/>
    <m/>
    <x v="0"/>
    <x v="2872"/>
    <d v="2023-01-01T00:00:00"/>
    <d v="2023-01-24T00:00:00"/>
    <s v="300101"/>
    <s v="ASMAE FORWARDING EXPRESS"/>
    <n v="3667.76"/>
  </r>
  <r>
    <s v="Facture comptabilisée"/>
    <m/>
    <x v="0"/>
    <x v="2873"/>
    <s v="JIL PACK A"/>
    <d v="2023-01-24T00:00:00"/>
    <s v="300115"/>
    <s v="AUXILIAR CONSERVERA SA"/>
    <n v="368883.25760000001"/>
  </r>
  <r>
    <s v="Facture comptabilisée"/>
    <m/>
    <x v="0"/>
    <x v="2874"/>
    <s v="JIL PACK A"/>
    <d v="2023-01-24T00:00:00"/>
    <s v="300115"/>
    <s v="AUXILIAR CONSERVERA SA"/>
    <n v="384311.79599999997"/>
  </r>
  <r>
    <s v="Facture comptabilisée"/>
    <m/>
    <x v="0"/>
    <x v="2875"/>
    <s v="08/2023 J"/>
    <d v="2023-01-24T00:00:00"/>
    <s v="300321"/>
    <s v="JIL LOGISTIQUE"/>
    <n v="19000"/>
  </r>
  <r>
    <s v="Facture comptabilisée"/>
    <m/>
    <x v="0"/>
    <x v="2876"/>
    <s v="09/2023 J"/>
    <d v="2023-01-24T00:00:00"/>
    <s v="300321"/>
    <s v="JIL LOGISTIQUE"/>
    <n v="19000"/>
  </r>
  <r>
    <s v="Facture comptabilisée"/>
    <m/>
    <x v="0"/>
    <x v="2877"/>
    <s v="10/2023 J"/>
    <d v="2023-01-25T00:00:00"/>
    <s v="300043"/>
    <s v="DOUANE"/>
    <n v="1437"/>
  </r>
  <r>
    <s v="Facture comptabilisée"/>
    <m/>
    <x v="0"/>
    <x v="2878"/>
    <s v="09/2023 J"/>
    <d v="2023-01-25T00:00:00"/>
    <s v="300043"/>
    <s v="DOUANE"/>
    <n v="1489"/>
  </r>
  <r>
    <s v="Facture comptabilisée"/>
    <m/>
    <x v="0"/>
    <x v="2879"/>
    <s v="08/2023 J"/>
    <d v="2023-01-25T00:00:00"/>
    <s v="300043"/>
    <s v="DOUANE"/>
    <n v="1434"/>
  </r>
  <r>
    <s v="Facture comptabilisée"/>
    <m/>
    <x v="0"/>
    <x v="2880"/>
    <s v="06/2023 J"/>
    <d v="2023-01-25T00:00:00"/>
    <s v="300191"/>
    <s v="JTTL"/>
    <n v="3513.37"/>
  </r>
  <r>
    <s v="Facture comptabilisée"/>
    <m/>
    <x v="0"/>
    <x v="2881"/>
    <s v="07/2023 J"/>
    <d v="2023-01-25T00:00:00"/>
    <s v="300191"/>
    <s v="JTTL"/>
    <n v="3333.73"/>
  </r>
  <r>
    <s v="Facture comptabilisée"/>
    <m/>
    <x v="0"/>
    <x v="2882"/>
    <s v="JIL PACK A"/>
    <d v="2023-01-26T00:00:00"/>
    <s v="300115"/>
    <s v="AUXILIAR CONSERVERA SA"/>
    <n v="352542.74550000002"/>
  </r>
  <r>
    <s v="Facture comptabilisée"/>
    <m/>
    <x v="0"/>
    <x v="2883"/>
    <s v="11/2023 J"/>
    <d v="2023-01-26T00:00:00"/>
    <s v="300321"/>
    <s v="JIL LOGISTIQUE"/>
    <n v="19000"/>
  </r>
  <r>
    <s v="Facture comptabilisée"/>
    <m/>
    <x v="0"/>
    <x v="2884"/>
    <s v="11/2023 J"/>
    <d v="2023-01-27T00:00:00"/>
    <s v="300043"/>
    <s v="DOUANE"/>
    <n v="1382"/>
  </r>
  <r>
    <s v="Facture comptabilisée"/>
    <m/>
    <x v="0"/>
    <x v="2885"/>
    <s v="08/2023 J"/>
    <d v="2023-01-30T00:00:00"/>
    <s v="300191"/>
    <s v="JTTL"/>
    <n v="3197.59"/>
  </r>
  <r>
    <s v="Facture comptabilisée"/>
    <m/>
    <x v="0"/>
    <x v="2886"/>
    <s v="09/2023 J"/>
    <d v="2023-01-30T00:00:00"/>
    <s v="300191"/>
    <s v="JTTL"/>
    <n v="3175.84"/>
  </r>
  <r>
    <s v="Facture comptabilisée"/>
    <m/>
    <x v="0"/>
    <x v="2887"/>
    <s v="10/2023 J"/>
    <d v="2023-01-30T00:00:00"/>
    <s v="300191"/>
    <s v="JTTL"/>
    <n v="3333.73"/>
  </r>
  <r>
    <s v="Facture comptabilisée"/>
    <m/>
    <x v="0"/>
    <x v="2888"/>
    <s v="SILVER FOOD"/>
    <d v="2023-02-01T00:00:00"/>
    <s v="300115"/>
    <s v="AUXILIAR CONSERVERA SA"/>
    <n v="415222.522"/>
  </r>
  <r>
    <s v="Facture comptabilisée"/>
    <m/>
    <x v="0"/>
    <x v="2889"/>
    <s v="14/2023 J"/>
    <d v="2023-02-01T00:00:00"/>
    <s v="300321"/>
    <s v="JIL LOGISTIQUE"/>
    <n v="18000"/>
  </r>
  <r>
    <s v="Facture comptabilisée"/>
    <m/>
    <x v="0"/>
    <x v="2890"/>
    <s v="JIL PACK*1*"/>
    <d v="2023-02-02T00:00:00"/>
    <s v="300115"/>
    <s v="AUXILIAR CONSERVERA SA"/>
    <n v="190182.6784"/>
  </r>
  <r>
    <s v="Facture comptabilisée"/>
    <m/>
    <x v="0"/>
    <x v="2891"/>
    <s v="JIL PACK A*2*"/>
    <d v="2023-02-02T00:00:00"/>
    <s v="300115"/>
    <s v="AUXILIAR CONSERVERA SA"/>
    <n v="178879.6152"/>
  </r>
  <r>
    <s v="Facture comptabilisée"/>
    <m/>
    <x v="0"/>
    <x v="2892"/>
    <s v="JIL PACK A"/>
    <d v="2023-02-02T00:00:00"/>
    <s v="300115"/>
    <s v="AUXILIAR CONSERVERA SA"/>
    <n v="368883.25760000001"/>
  </r>
  <r>
    <s v="Facture comptabilisée"/>
    <m/>
    <x v="0"/>
    <x v="2893"/>
    <s v="5.5AP"/>
    <d v="2023-02-02T00:00:00"/>
    <s v="300133"/>
    <s v="OP BOX "/>
    <n v="68570.111999999994"/>
  </r>
  <r>
    <s v="Facture comptabilisée"/>
    <m/>
    <x v="0"/>
    <x v="2894"/>
    <s v="12/2023 J"/>
    <d v="2023-02-02T00:00:00"/>
    <s v="300321"/>
    <s v="JIL LOGISTIQUE"/>
    <n v="19000"/>
  </r>
  <r>
    <s v="Facture comptabilisée"/>
    <m/>
    <x v="0"/>
    <x v="2895"/>
    <s v="13/2023 J"/>
    <d v="2023-02-02T00:00:00"/>
    <s v="300321"/>
    <s v="JIL LOGISTIQUE"/>
    <n v="19000"/>
  </r>
  <r>
    <s v="Facture comptabilisée"/>
    <m/>
    <x v="0"/>
    <x v="2896"/>
    <s v="BALLES"/>
    <d v="2023-02-02T00:00:00"/>
    <s v="300344"/>
    <s v="PADEL NUESTRO"/>
    <n v="156723.93"/>
  </r>
  <r>
    <s v="Facture comptabilisée"/>
    <m/>
    <x v="0"/>
    <x v="2897"/>
    <s v="12/2023 J"/>
    <d v="2023-02-03T00:00:00"/>
    <s v="300043"/>
    <s v="DOUANE"/>
    <n v="1447"/>
  </r>
  <r>
    <s v="Facture comptabilisée"/>
    <m/>
    <x v="0"/>
    <x v="2898"/>
    <s v="13/2023 J"/>
    <d v="2023-02-03T00:00:00"/>
    <s v="300043"/>
    <s v="DOUANE"/>
    <n v="1446"/>
  </r>
  <r>
    <s v="Facture comptabilisée"/>
    <m/>
    <x v="0"/>
    <x v="2899"/>
    <s v="14/2023 J"/>
    <d v="2023-02-03T00:00:00"/>
    <s v="300043"/>
    <s v="DOUANE"/>
    <n v="1602"/>
  </r>
  <r>
    <s v="Facture comptabilisée"/>
    <m/>
    <x v="0"/>
    <x v="2900"/>
    <s v="2.3AP"/>
    <d v="2023-02-03T00:00:00"/>
    <s v="300133"/>
    <s v="OP BOX "/>
    <n v="31269.887999999999"/>
  </r>
  <r>
    <s v="Facture comptabilisée"/>
    <m/>
    <x v="0"/>
    <x v="2901"/>
    <s v="11/2023 J"/>
    <d v="2023-02-03T00:00:00"/>
    <s v="300191"/>
    <s v="JTTL"/>
    <n v="1043.5"/>
  </r>
  <r>
    <s v="Facture comptabilisée"/>
    <m/>
    <x v="0"/>
    <x v="2902"/>
    <s v="COPAG"/>
    <d v="2023-02-06T00:00:00"/>
    <s v="300115"/>
    <s v="AUXILIAR CONSERVERA SA"/>
    <n v="250034.4"/>
  </r>
  <r>
    <s v="Facture comptabilisée"/>
    <m/>
    <x v="0"/>
    <x v="2903"/>
    <s v="SILVER FOOD"/>
    <d v="2023-02-06T00:00:00"/>
    <s v="300115"/>
    <s v="AUXILIAR CONSERVERA SA"/>
    <n v="415222.522"/>
  </r>
  <r>
    <s v="Facture comptabilisée"/>
    <m/>
    <x v="0"/>
    <x v="2904"/>
    <s v="15/2023 J"/>
    <d v="2023-02-06T00:00:00"/>
    <s v="300321"/>
    <s v="JIL LOGISTIQUE"/>
    <n v="18000"/>
  </r>
  <r>
    <s v="Facture comptabilisée"/>
    <m/>
    <x v="0"/>
    <x v="2905"/>
    <s v="12/2023 J"/>
    <d v="2023-02-07T00:00:00"/>
    <s v="300191"/>
    <s v="JTTL"/>
    <n v="3197.59"/>
  </r>
  <r>
    <s v="Facture comptabilisée"/>
    <m/>
    <x v="0"/>
    <x v="2906"/>
    <s v="13/2023 J"/>
    <d v="2023-02-07T00:00:00"/>
    <s v="300191"/>
    <s v="JTTL"/>
    <n v="3197.59"/>
  </r>
  <r>
    <s v="Facture comptabilisée"/>
    <m/>
    <x v="0"/>
    <x v="2907"/>
    <s v="14/2023 J"/>
    <d v="2023-02-07T00:00:00"/>
    <s v="300191"/>
    <s v="JTTL"/>
    <n v="3197.59"/>
  </r>
  <r>
    <s v="Facture comptabilisée"/>
    <m/>
    <x v="0"/>
    <x v="2908"/>
    <s v="CHAUSSURE DE SPOR"/>
    <d v="2023-02-07T00:00:00"/>
    <s v="300344"/>
    <s v="PADEL NUESTRO"/>
    <n v="192098.83"/>
  </r>
  <r>
    <s v="Facture comptabilisée"/>
    <m/>
    <x v="0"/>
    <x v="2909"/>
    <s v="15/2023 J"/>
    <d v="2023-02-08T00:00:00"/>
    <s v="300043"/>
    <s v="DOUANE"/>
    <n v="1586"/>
  </r>
  <r>
    <s v="Facture comptabilisée"/>
    <m/>
    <x v="0"/>
    <x v="2910"/>
    <d v="2023-02-01T00:00:00"/>
    <d v="2023-02-09T00:00:00"/>
    <s v="300043"/>
    <s v="DOUANE"/>
    <n v="1000"/>
  </r>
  <r>
    <s v="Facture comptabilisée"/>
    <m/>
    <x v="0"/>
    <x v="2911"/>
    <d v="2023-02-01T00:00:00"/>
    <d v="2023-02-09T00:00:00"/>
    <s v="300101"/>
    <s v="ASMAE FORWARDING EXPRESS"/>
    <n v="3143.98"/>
  </r>
  <r>
    <s v="Facture comptabilisée"/>
    <m/>
    <x v="0"/>
    <x v="2912"/>
    <s v="SILVER FOOD"/>
    <d v="2023-02-15T00:00:00"/>
    <s v="300115"/>
    <s v="AUXILIAR CONSERVERA SA"/>
    <n v="410742.61800000002"/>
  </r>
  <r>
    <s v="Facture comptabilisée"/>
    <m/>
    <x v="0"/>
    <x v="2913"/>
    <s v="20L"/>
    <d v="2023-02-15T00:00:00"/>
    <s v="300133"/>
    <s v="OP BOX "/>
    <n v="33115.5"/>
  </r>
  <r>
    <s v="Facture comptabilisée"/>
    <m/>
    <x v="0"/>
    <x v="2914"/>
    <s v="20L"/>
    <d v="2023-02-15T00:00:00"/>
    <s v="300133"/>
    <s v="OP BOX "/>
    <n v="33115.5"/>
  </r>
  <r>
    <s v="Facture comptabilisée"/>
    <m/>
    <x v="0"/>
    <x v="2915"/>
    <s v="16/2023 J"/>
    <d v="2023-02-15T00:00:00"/>
    <s v="300321"/>
    <s v="JIL LOGISTIQUE"/>
    <n v="18000"/>
  </r>
  <r>
    <s v="Facture comptabilisée"/>
    <m/>
    <x v="0"/>
    <x v="2916"/>
    <s v="VMM"/>
    <d v="2023-02-16T00:00:00"/>
    <s v="300115"/>
    <s v="AUXILIAR CONSERVERA SA"/>
    <n v="384311.79599999997"/>
  </r>
  <r>
    <s v="Facture comptabilisée"/>
    <m/>
    <x v="0"/>
    <x v="2917"/>
    <s v="VMM"/>
    <d v="2023-02-16T00:00:00"/>
    <s v="300115"/>
    <s v="AUXILIAR CONSERVERA SA"/>
    <n v="384311.79599999997"/>
  </r>
  <r>
    <s v="Facture comptabilisée"/>
    <m/>
    <x v="0"/>
    <x v="2918"/>
    <s v="20/2023 J"/>
    <d v="2023-02-16T00:00:00"/>
    <s v="300321"/>
    <s v="JIL LOGISTIQUE"/>
    <n v="18000"/>
  </r>
  <r>
    <s v="Facture comptabilisée"/>
    <m/>
    <x v="0"/>
    <x v="2919"/>
    <s v="17/2023 J"/>
    <d v="2023-02-16T00:00:00"/>
    <s v="300321"/>
    <s v="JIL LOGISTIQUE"/>
    <n v="18000"/>
  </r>
  <r>
    <s v="Facture comptabilisée"/>
    <m/>
    <x v="0"/>
    <x v="2920"/>
    <s v="16/2023 J"/>
    <d v="2023-02-17T00:00:00"/>
    <s v="300043"/>
    <s v="DOUANE"/>
    <n v="1576"/>
  </r>
  <r>
    <s v="Facture comptabilisée"/>
    <m/>
    <x v="0"/>
    <x v="2921"/>
    <d v="2026-04-04T00:00:00"/>
    <d v="2023-02-17T00:00:00"/>
    <s v="300080"/>
    <s v="MASSILLY"/>
    <n v="46854.8"/>
  </r>
  <r>
    <s v="Facture comptabilisée"/>
    <m/>
    <x v="0"/>
    <x v="2922"/>
    <s v="JIL PACK A*2*"/>
    <d v="2023-02-17T00:00:00"/>
    <s v="300115"/>
    <s v="AUXILIAR CONSERVERA SA"/>
    <n v="257105.87760000001"/>
  </r>
  <r>
    <s v="Facture comptabilisée"/>
    <m/>
    <x v="0"/>
    <x v="2923"/>
    <s v="JIL PACK*1*"/>
    <d v="2023-02-17T00:00:00"/>
    <s v="300115"/>
    <s v="AUXILIAR CONSERVERA SA"/>
    <n v="116514.728"/>
  </r>
  <r>
    <s v="Facture comptabilisée"/>
    <m/>
    <x v="0"/>
    <x v="2924"/>
    <s v="VMM"/>
    <d v="2023-02-17T00:00:00"/>
    <s v="300115"/>
    <s v="AUXILIAR CONSERVERA SA"/>
    <n v="418403.89140000002"/>
  </r>
  <r>
    <s v="Facture comptabilisée"/>
    <m/>
    <x v="0"/>
    <x v="2925"/>
    <s v="15/2023 J"/>
    <d v="2023-02-17T00:00:00"/>
    <s v="300191"/>
    <s v="JTTL"/>
    <n v="3535.12"/>
  </r>
  <r>
    <s v="Facture comptabilisée"/>
    <m/>
    <x v="0"/>
    <x v="2926"/>
    <s v="19/2023 J"/>
    <d v="2023-02-17T00:00:00"/>
    <s v="300321"/>
    <s v="JIL LOGISTIQUE"/>
    <n v="19000"/>
  </r>
  <r>
    <s v="Facture comptabilisée"/>
    <m/>
    <x v="0"/>
    <x v="2927"/>
    <s v="18/2023 J"/>
    <d v="2023-02-17T00:00:00"/>
    <s v="300321"/>
    <s v="JIL LOGISTIQUE"/>
    <n v="18000"/>
  </r>
  <r>
    <s v="Facture comptabilisée"/>
    <m/>
    <x v="0"/>
    <x v="2928"/>
    <s v="18/2023 J"/>
    <d v="2023-02-20T00:00:00"/>
    <s v="300043"/>
    <s v="DOUANE"/>
    <n v="1596"/>
  </r>
  <r>
    <s v="Facture comptabilisée"/>
    <m/>
    <x v="0"/>
    <x v="2929"/>
    <s v="19/2023 J"/>
    <d v="2023-02-20T00:00:00"/>
    <s v="300043"/>
    <s v="DOUANE"/>
    <n v="1452"/>
  </r>
  <r>
    <s v="Facture comptabilisée"/>
    <m/>
    <x v="0"/>
    <x v="2930"/>
    <s v="20/2023 J"/>
    <d v="2023-02-21T00:00:00"/>
    <s v="300043"/>
    <s v="DOUANE"/>
    <n v="1485"/>
  </r>
  <r>
    <s v="Facture comptabilisée"/>
    <m/>
    <x v="0"/>
    <x v="2931"/>
    <s v="17/2023 J"/>
    <d v="2023-02-21T00:00:00"/>
    <s v="300043"/>
    <s v="DOUANE"/>
    <n v="1485"/>
  </r>
  <r>
    <s v="Facture comptabilisée"/>
    <m/>
    <x v="0"/>
    <x v="2932"/>
    <s v="16/2023 J"/>
    <d v="2023-02-21T00:00:00"/>
    <s v="300191"/>
    <s v="JTTL"/>
    <n v="3197.61"/>
  </r>
  <r>
    <s v="Facture comptabilisée"/>
    <m/>
    <x v="0"/>
    <x v="2933"/>
    <s v="VMM"/>
    <d v="2023-02-22T00:00:00"/>
    <s v="300115"/>
    <s v="AUXILIAR CONSERVERA SA"/>
    <n v="414129.15500000003"/>
  </r>
  <r>
    <s v="Facture comptabilisée"/>
    <m/>
    <x v="0"/>
    <x v="2934"/>
    <s v="17/2023 J"/>
    <d v="2023-02-22T00:00:00"/>
    <s v="300191"/>
    <s v="JTTL"/>
    <n v="3513.39"/>
  </r>
  <r>
    <s v="Facture comptabilisée"/>
    <m/>
    <x v="0"/>
    <x v="2935"/>
    <s v="18/2023 J"/>
    <d v="2023-02-22T00:00:00"/>
    <s v="300191"/>
    <s v="JTTL"/>
    <n v="3535.14"/>
  </r>
  <r>
    <s v="Facture comptabilisée"/>
    <m/>
    <x v="0"/>
    <x v="2936"/>
    <s v="19/2023 J"/>
    <d v="2023-02-22T00:00:00"/>
    <s v="300191"/>
    <s v="JTTL"/>
    <n v="3513.39"/>
  </r>
  <r>
    <s v="Facture comptabilisée"/>
    <m/>
    <x v="0"/>
    <x v="2937"/>
    <s v="22/2023 J"/>
    <d v="2023-02-22T00:00:00"/>
    <s v="300321"/>
    <s v="JIL LOGISTIQUE"/>
    <n v="18000"/>
  </r>
  <r>
    <s v="Facture comptabilisée"/>
    <m/>
    <x v="0"/>
    <x v="2938"/>
    <s v="22/2023 J"/>
    <d v="2023-02-23T00:00:00"/>
    <s v="300043"/>
    <s v="DOUANE"/>
    <n v="1584"/>
  </r>
  <r>
    <s v="Facture comptabilisée"/>
    <m/>
    <x v="0"/>
    <x v="2939"/>
    <s v="VMM"/>
    <d v="2023-02-23T00:00:00"/>
    <s v="300115"/>
    <s v="AUXILIAR CONSERVERA SA"/>
    <n v="418599.62099999998"/>
  </r>
  <r>
    <s v="Facture comptabilisée"/>
    <m/>
    <x v="0"/>
    <x v="2940"/>
    <s v="20/2023 J"/>
    <d v="2023-02-23T00:00:00"/>
    <s v="300191"/>
    <s v="JTTL"/>
    <n v="3671.28"/>
  </r>
  <r>
    <s v="Facture comptabilisée"/>
    <m/>
    <x v="0"/>
    <x v="2941"/>
    <s v="21/2023 J"/>
    <d v="2023-02-23T00:00:00"/>
    <s v="300321"/>
    <s v="JIL LOGISTIQUE"/>
    <n v="18000"/>
  </r>
  <r>
    <s v="Facture comptabilisée"/>
    <m/>
    <x v="0"/>
    <x v="2942"/>
    <s v="21/2023 J"/>
    <d v="2023-02-24T00:00:00"/>
    <s v="300043"/>
    <s v="DOUANE"/>
    <n v="1601"/>
  </r>
  <r>
    <s v="Facture comptabilisée"/>
    <m/>
    <x v="0"/>
    <x v="2943"/>
    <s v="VMM"/>
    <d v="2023-02-24T00:00:00"/>
    <s v="300115"/>
    <s v="AUXILIAR CONSERVERA SA"/>
    <n v="418599.62099999998"/>
  </r>
  <r>
    <s v="Facture comptabilisée"/>
    <m/>
    <x v="0"/>
    <x v="2944"/>
    <s v="VMM"/>
    <d v="2023-02-24T00:00:00"/>
    <s v="300115"/>
    <s v="AUXILIAR CONSERVERA SA"/>
    <n v="391245.99800000002"/>
  </r>
  <r>
    <s v="Facture comptabilisée"/>
    <m/>
    <x v="0"/>
    <x v="2945"/>
    <s v="24/2023 J"/>
    <d v="2023-02-24T00:00:00"/>
    <s v="300321"/>
    <s v="JIL LOGISTIQUE"/>
    <n v="18000"/>
  </r>
  <r>
    <s v="Facture comptabilisée"/>
    <m/>
    <x v="0"/>
    <x v="2946"/>
    <s v="23/2023 J"/>
    <d v="2023-02-24T00:00:00"/>
    <s v="300321"/>
    <s v="JIL LOGISTIQUE"/>
    <n v="18000"/>
  </r>
  <r>
    <s v="Facture comptabilisée"/>
    <m/>
    <x v="0"/>
    <x v="2947"/>
    <s v="23/2023 J"/>
    <d v="2023-02-27T00:00:00"/>
    <s v="300043"/>
    <s v="DOUANE"/>
    <n v="1508"/>
  </r>
  <r>
    <s v="Facture comptabilisée"/>
    <m/>
    <x v="0"/>
    <x v="2948"/>
    <s v="21/2023 J"/>
    <d v="2023-02-27T00:00:00"/>
    <s v="300191"/>
    <s v="JTTL"/>
    <n v="3175.86"/>
  </r>
  <r>
    <s v="Facture comptabilisée"/>
    <m/>
    <x v="0"/>
    <x v="2949"/>
    <s v="22/2023 J"/>
    <d v="2023-02-27T00:00:00"/>
    <s v="300191"/>
    <s v="JTTL"/>
    <n v="3175.86"/>
  </r>
  <r>
    <s v="Facture comptabilisée"/>
    <m/>
    <x v="0"/>
    <x v="2950"/>
    <s v="24/2023 J"/>
    <d v="2023-02-28T00:00:00"/>
    <s v="300043"/>
    <s v="DOUANE"/>
    <n v="1600"/>
  </r>
  <r>
    <s v="Facture comptabilisée"/>
    <m/>
    <x v="0"/>
    <x v="2951"/>
    <s v="JIL PACK A"/>
    <d v="2023-02-28T00:00:00"/>
    <s v="300115"/>
    <s v="AUXILIAR CONSERVERA SA"/>
    <n v="311649.7329"/>
  </r>
  <r>
    <s v="Facture comptabilisée"/>
    <m/>
    <x v="0"/>
    <x v="2952"/>
    <s v="23/2023 J"/>
    <d v="2023-02-28T00:00:00"/>
    <s v="300191"/>
    <s v="JTTL"/>
    <n v="3377.25"/>
  </r>
  <r>
    <s v="Facture comptabilisée"/>
    <m/>
    <x v="0"/>
    <x v="2953"/>
    <s v="24/2023 J"/>
    <d v="2023-02-28T00:00:00"/>
    <s v="300191"/>
    <s v="JTTL"/>
    <n v="3693.04"/>
  </r>
  <r>
    <s v="Facture comptabilisée"/>
    <m/>
    <x v="0"/>
    <x v="2954"/>
    <s v="MFI"/>
    <d v="2023-03-02T00:00:00"/>
    <s v="300115"/>
    <s v="AUXILIAR CONSERVERA SA"/>
    <n v="131489.10500000001"/>
  </r>
  <r>
    <s v="Facture comptabilisée"/>
    <m/>
    <x v="0"/>
    <x v="2955"/>
    <s v="VMM PESCADA*JIL*"/>
    <d v="2023-03-02T00:00:00"/>
    <s v="300115"/>
    <s v="AUXILIAR CONSERVERA SA"/>
    <n v="431145.23100000003"/>
  </r>
  <r>
    <s v="Facture comptabilisée"/>
    <m/>
    <x v="0"/>
    <x v="2956"/>
    <s v="JIL PACK A"/>
    <d v="2023-03-02T00:00:00"/>
    <s v="300220"/>
    <s v="ENVASES EUROPE"/>
    <n v="928541.39399999997"/>
  </r>
  <r>
    <s v="Facture comptabilisée"/>
    <m/>
    <x v="0"/>
    <x v="2957"/>
    <s v="26/2023 J"/>
    <d v="2023-03-02T00:00:00"/>
    <s v="300321"/>
    <s v="JIL LOGISTIQUE"/>
    <n v="18000"/>
  </r>
  <r>
    <s v="Facture comptabilisée"/>
    <m/>
    <x v="0"/>
    <x v="2958"/>
    <s v="VMM PESCADA*JIL*"/>
    <d v="2023-03-03T00:00:00"/>
    <s v="300115"/>
    <s v="AUXILIAR CONSERVERA SA"/>
    <n v="431145.23100000003"/>
  </r>
  <r>
    <s v="Facture comptabilisée"/>
    <m/>
    <x v="0"/>
    <x v="2959"/>
    <s v="25/2023 J"/>
    <d v="2023-03-03T00:00:00"/>
    <s v="300321"/>
    <s v="JIL LOGISTIQUE"/>
    <n v="18000"/>
  </r>
  <r>
    <s v="Facture comptabilisée"/>
    <m/>
    <x v="0"/>
    <x v="2960"/>
    <d v="2023-05-01T00:00:00"/>
    <d v="2023-03-06T00:00:00"/>
    <s v="300043"/>
    <s v="DOUANE"/>
    <n v="1279"/>
  </r>
  <r>
    <s v="Facture comptabilisée"/>
    <m/>
    <x v="0"/>
    <x v="2961"/>
    <s v="25/2023 J"/>
    <d v="2023-03-06T00:00:00"/>
    <s v="300043"/>
    <s v="DOUANE"/>
    <n v="1642"/>
  </r>
  <r>
    <s v="Facture comptabilisée"/>
    <m/>
    <x v="0"/>
    <x v="2962"/>
    <s v="26/2023 J"/>
    <d v="2023-03-06T00:00:00"/>
    <s v="300043"/>
    <s v="DOUANE"/>
    <n v="1634"/>
  </r>
  <r>
    <s v="Facture comptabilisée"/>
    <m/>
    <x v="0"/>
    <x v="2963"/>
    <d v="2023-05-01T00:00:00"/>
    <d v="2023-03-06T00:00:00"/>
    <s v="300101"/>
    <s v="ASMAE FORWARDING EXPRESS"/>
    <n v="3459.79"/>
  </r>
  <r>
    <s v="Facture comptabilisée"/>
    <m/>
    <x v="0"/>
    <x v="2964"/>
    <d v="2023-03-01T00:00:00"/>
    <d v="2023-03-07T00:00:00"/>
    <s v="300043"/>
    <s v="DOUANE"/>
    <n v="608"/>
  </r>
  <r>
    <s v="Facture comptabilisée"/>
    <m/>
    <x v="0"/>
    <x v="2965"/>
    <d v="2023-03-01T00:00:00"/>
    <d v="2023-03-07T00:00:00"/>
    <s v="300101"/>
    <s v="ASMAE FORWARDING EXPRESS"/>
    <n v="3301.9"/>
  </r>
  <r>
    <s v="Facture comptabilisée"/>
    <m/>
    <x v="0"/>
    <x v="2966"/>
    <s v="COPAG"/>
    <d v="2023-03-07T00:00:00"/>
    <s v="300115"/>
    <s v="AUXILIAR CONSERVERA SA"/>
    <n v="204315.2936"/>
  </r>
  <r>
    <s v="Facture comptabilisée"/>
    <m/>
    <x v="0"/>
    <x v="2967"/>
    <s v="25/2023 J"/>
    <d v="2023-03-07T00:00:00"/>
    <s v="300191"/>
    <s v="JTTL"/>
    <n v="3355.5"/>
  </r>
  <r>
    <s v="Facture comptabilisée"/>
    <m/>
    <x v="0"/>
    <x v="2968"/>
    <s v="26/2023 J"/>
    <d v="2023-03-07T00:00:00"/>
    <s v="300191"/>
    <s v="JTTL"/>
    <n v="3535.15"/>
  </r>
  <r>
    <s v="Facture comptabilisée"/>
    <m/>
    <x v="0"/>
    <x v="2969"/>
    <s v="VMM PESCADA"/>
    <d v="2023-03-08T00:00:00"/>
    <s v="300115"/>
    <s v="AUXILIAR CONSERVERA SA"/>
    <n v="431145.23100000003"/>
  </r>
  <r>
    <s v="Facture comptabilisée"/>
    <m/>
    <x v="0"/>
    <x v="2970"/>
    <s v="JIL PACK "/>
    <d v="2023-03-08T00:00:00"/>
    <s v="300115"/>
    <s v="AUXILIAR CONSERVERA SA"/>
    <n v="76351.967999999993"/>
  </r>
  <r>
    <s v="Facture comptabilisée"/>
    <m/>
    <x v="0"/>
    <x v="2971"/>
    <s v="27/2023 J"/>
    <d v="2023-03-08T00:00:00"/>
    <s v="300321"/>
    <s v="JIL LOGISTIQUE"/>
    <n v="18000"/>
  </r>
  <r>
    <s v="Facture comptabilisée"/>
    <m/>
    <x v="0"/>
    <x v="2972"/>
    <s v="4/4 G3"/>
    <d v="2023-03-09T00:00:00"/>
    <s v="300080"/>
    <s v="MASSILLY"/>
    <n v="212347.2"/>
  </r>
  <r>
    <s v="Facture comptabilisée"/>
    <m/>
    <x v="0"/>
    <x v="2973"/>
    <d v="2023-04-01T00:00:00"/>
    <d v="2023-03-10T00:00:00"/>
    <s v="300043"/>
    <s v="DOUANE"/>
    <n v="851"/>
  </r>
  <r>
    <s v="Facture comptabilisée"/>
    <m/>
    <x v="0"/>
    <x v="2974"/>
    <s v="27/2023 J"/>
    <d v="2023-03-10T00:00:00"/>
    <s v="300043"/>
    <s v="DOUANE"/>
    <n v="1648"/>
  </r>
  <r>
    <s v="Facture comptabilisée"/>
    <m/>
    <x v="0"/>
    <x v="2975"/>
    <d v="2023-04-01T00:00:00"/>
    <d v="2023-03-10T00:00:00"/>
    <s v="300101"/>
    <s v="ASMAE FORWARDING EXPRESS"/>
    <n v="3144"/>
  </r>
  <r>
    <s v="Facture comptabilisée"/>
    <m/>
    <x v="0"/>
    <x v="2976"/>
    <s v="SILVER FOOD"/>
    <d v="2023-03-13T00:00:00"/>
    <s v="300115"/>
    <s v="AUXILIAR CONSERVERA SA"/>
    <n v="368883.25760000001"/>
  </r>
  <r>
    <s v="Facture comptabilisée"/>
    <m/>
    <x v="0"/>
    <x v="2977"/>
    <s v="JIL PACK*2CONTEN*"/>
    <d v="2023-03-13T00:00:00"/>
    <s v="300226"/>
    <s v="Sarten Ambalaj Sanayi ve Ticaret AS"/>
    <n v="304847.40000000002"/>
  </r>
  <r>
    <s v="Facture comptabilisée"/>
    <m/>
    <x v="0"/>
    <x v="2978"/>
    <s v="30/2023 J"/>
    <d v="2023-03-13T00:00:00"/>
    <s v="300321"/>
    <s v="JIL LOGISTIQUE"/>
    <n v="18000"/>
  </r>
  <r>
    <s v="Facture comptabilisée"/>
    <m/>
    <x v="0"/>
    <x v="2979"/>
    <s v="30/2023 J"/>
    <d v="2023-03-14T00:00:00"/>
    <s v="300043"/>
    <s v="DOUANE"/>
    <n v="1442"/>
  </r>
  <r>
    <s v="Facture comptabilisée"/>
    <m/>
    <x v="0"/>
    <x v="2980"/>
    <s v="2300ML"/>
    <d v="2023-03-14T00:00:00"/>
    <s v="300133"/>
    <s v="OP BOX "/>
    <n v="60936.192000000003"/>
  </r>
  <r>
    <s v="Facture comptabilisée"/>
    <m/>
    <x v="0"/>
    <x v="2981"/>
    <s v="2300ML"/>
    <d v="2023-03-14T00:00:00"/>
    <s v="300133"/>
    <s v="OP BOX "/>
    <n v="46847.807999999997"/>
  </r>
  <r>
    <s v="Facture comptabilisée"/>
    <m/>
    <x v="0"/>
    <x v="2982"/>
    <s v="JIL PACK*1*"/>
    <d v="2023-03-15T00:00:00"/>
    <s v="300115"/>
    <s v="AUXILIAR CONSERVERA SA"/>
    <n v="69560.427200000006"/>
  </r>
  <r>
    <s v="Facture comptabilisée"/>
    <m/>
    <x v="0"/>
    <x v="2983"/>
    <s v="JIL PACK A *2*"/>
    <d v="2023-03-15T00:00:00"/>
    <s v="300115"/>
    <s v="AUXILIAR CONSERVERA SA"/>
    <n v="301960.05839999998"/>
  </r>
  <r>
    <s v="Facture comptabilisée"/>
    <m/>
    <x v="0"/>
    <x v="2984"/>
    <s v="JIL PACK*VMM*PPT*"/>
    <d v="2023-03-15T00:00:00"/>
    <s v="300115"/>
    <s v="AUXILIAR CONSERVERA SA"/>
    <n v="384311.79599999997"/>
  </r>
  <r>
    <s v="Facture comptabilisée"/>
    <m/>
    <x v="0"/>
    <x v="2985"/>
    <s v="0.280ML"/>
    <d v="2023-03-15T00:00:00"/>
    <s v="300133"/>
    <s v="OP BOX "/>
    <n v="65139.8"/>
  </r>
  <r>
    <s v="Facture comptabilisée"/>
    <m/>
    <x v="0"/>
    <x v="2986"/>
    <s v="27/2023 J"/>
    <d v="2023-03-15T00:00:00"/>
    <s v="300191"/>
    <s v="JTTL"/>
    <n v="3219.36"/>
  </r>
  <r>
    <s v="Facture comptabilisée"/>
    <m/>
    <x v="0"/>
    <x v="2987"/>
    <s v="28/2023 J"/>
    <d v="2023-03-15T00:00:00"/>
    <s v="300321"/>
    <s v="JIL LOGISTIQUE"/>
    <n v="19000"/>
  </r>
  <r>
    <s v="Facture comptabilisée"/>
    <m/>
    <x v="0"/>
    <x v="2988"/>
    <s v="29/2023 J"/>
    <d v="2023-03-15T00:00:00"/>
    <s v="300321"/>
    <s v="JIL LOGISTIQUE"/>
    <n v="18000"/>
  </r>
  <r>
    <s v="Facture comptabilisée"/>
    <m/>
    <x v="0"/>
    <x v="2989"/>
    <s v="28/2023 J"/>
    <d v="2023-03-16T00:00:00"/>
    <s v="300043"/>
    <s v="DOUANE"/>
    <n v="1446"/>
  </r>
  <r>
    <s v="Facture comptabilisée"/>
    <m/>
    <x v="0"/>
    <x v="2990"/>
    <s v="29/2023 J"/>
    <d v="2023-03-17T00:00:00"/>
    <s v="300043"/>
    <s v="DOUANE"/>
    <n v="1488"/>
  </r>
  <r>
    <s v="Facture comptabilisée"/>
    <m/>
    <x v="0"/>
    <x v="2991"/>
    <s v="SILVER FOOD"/>
    <d v="2023-03-17T00:00:00"/>
    <s v="300115"/>
    <s v="AUXILIAR CONSERVERA SA"/>
    <n v="368883.25760000001"/>
  </r>
  <r>
    <s v="Facture comptabilisée"/>
    <m/>
    <x v="0"/>
    <x v="2992"/>
    <s v="VMM*PPT*"/>
    <d v="2023-03-17T00:00:00"/>
    <s v="300115"/>
    <s v="AUXILIAR CONSERVERA SA"/>
    <n v="384311.79599999997"/>
  </r>
  <r>
    <s v="Facture comptabilisée"/>
    <m/>
    <x v="0"/>
    <x v="2993"/>
    <s v="SILVER FOOD"/>
    <d v="2023-03-17T00:00:00"/>
    <s v="300115"/>
    <s v="AUXILIAR CONSERVERA SA"/>
    <n v="368883.25760000001"/>
  </r>
  <r>
    <s v="Facture comptabilisée"/>
    <m/>
    <x v="0"/>
    <x v="2994"/>
    <s v="31/2023 J"/>
    <d v="2023-03-17T00:00:00"/>
    <s v="300321"/>
    <s v="JIL LOGISTIQUE"/>
    <n v="18000"/>
  </r>
  <r>
    <s v="Facture comptabilisée"/>
    <m/>
    <x v="0"/>
    <x v="2995"/>
    <s v="32/2023 J"/>
    <d v="2023-03-17T00:00:00"/>
    <s v="300321"/>
    <s v="JIL LOGISTIQUE"/>
    <n v="18000"/>
  </r>
  <r>
    <s v="Facture comptabilisée"/>
    <m/>
    <x v="0"/>
    <x v="2996"/>
    <s v="33/2023 J"/>
    <d v="2023-03-17T00:00:00"/>
    <s v="300321"/>
    <s v="JIL LOGISTIQUE"/>
    <n v="18000"/>
  </r>
  <r>
    <s v="Facture comptabilisée"/>
    <m/>
    <x v="0"/>
    <x v="2997"/>
    <s v="31/2023 J"/>
    <d v="2023-03-18T00:00:00"/>
    <s v="300043"/>
    <s v="DOUANE"/>
    <n v="1489"/>
  </r>
  <r>
    <s v="Facture comptabilisée"/>
    <m/>
    <x v="0"/>
    <x v="2998"/>
    <s v="28/2023 J"/>
    <d v="2023-03-20T00:00:00"/>
    <s v="300191"/>
    <s v="JTTL"/>
    <n v="3219.36"/>
  </r>
  <r>
    <s v="Facture comptabilisée"/>
    <m/>
    <x v="0"/>
    <x v="2999"/>
    <s v="29/2023 J"/>
    <d v="2023-03-20T00:00:00"/>
    <s v="300191"/>
    <s v="JTTL"/>
    <n v="3219.36"/>
  </r>
  <r>
    <s v="Facture comptabilisée"/>
    <m/>
    <x v="0"/>
    <x v="3000"/>
    <s v="30/2023 J"/>
    <d v="2023-03-20T00:00:00"/>
    <s v="300191"/>
    <s v="JTTL"/>
    <n v="3219.36"/>
  </r>
  <r>
    <s v="Facture comptabilisée"/>
    <m/>
    <x v="0"/>
    <x v="3001"/>
    <s v="32/2023 J"/>
    <d v="2023-03-21T00:00:00"/>
    <s v="300043"/>
    <s v="DOUANE"/>
    <n v="1440"/>
  </r>
  <r>
    <s v="Facture comptabilisée"/>
    <m/>
    <x v="0"/>
    <x v="3002"/>
    <s v="34/2023 J"/>
    <d v="2023-03-21T00:00:00"/>
    <s v="300043"/>
    <s v="DOUANE"/>
    <n v="51098"/>
  </r>
  <r>
    <s v="Facture comptabilisée"/>
    <m/>
    <x v="0"/>
    <x v="3003"/>
    <s v="31/2023 J"/>
    <d v="2023-03-21T00:00:00"/>
    <s v="300191"/>
    <s v="JTTL"/>
    <n v="3197.61"/>
  </r>
  <r>
    <s v="Facture comptabilisée"/>
    <m/>
    <x v="0"/>
    <x v="3004"/>
    <s v="33/2023"/>
    <d v="2023-03-22T00:00:00"/>
    <s v="300043"/>
    <s v="DOUANE"/>
    <n v="1434"/>
  </r>
  <r>
    <s v="Facture comptabilisée"/>
    <m/>
    <x v="0"/>
    <x v="3005"/>
    <s v="COPAG VIANDES"/>
    <d v="2023-03-22T00:00:00"/>
    <s v="300115"/>
    <s v="AUXILIAR CONSERVERA SA"/>
    <n v="200182.54740000001"/>
  </r>
  <r>
    <s v="Facture comptabilisée"/>
    <m/>
    <x v="0"/>
    <x v="3006"/>
    <s v="32/2023 J"/>
    <d v="2023-03-22T00:00:00"/>
    <s v="300191"/>
    <s v="JTTL"/>
    <n v="3197.61"/>
  </r>
  <r>
    <s v="Facture comptabilisée"/>
    <m/>
    <x v="0"/>
    <x v="3007"/>
    <s v="JIL PACK A"/>
    <d v="2023-03-23T00:00:00"/>
    <s v="300115"/>
    <s v="AUXILIAR CONSERVERA SA"/>
    <n v="291088.21830000001"/>
  </r>
  <r>
    <s v="Facture comptabilisée"/>
    <m/>
    <x v="0"/>
    <x v="3008"/>
    <s v="35/2023 J"/>
    <d v="2023-03-23T00:00:00"/>
    <s v="300340"/>
    <s v="MSC MAROC"/>
    <n v="3274"/>
  </r>
  <r>
    <s v="Facture comptabilisée"/>
    <m/>
    <x v="0"/>
    <x v="3009"/>
    <s v="33/2023 J"/>
    <d v="2023-03-24T00:00:00"/>
    <s v="300191"/>
    <s v="JTTL"/>
    <n v="3693.04"/>
  </r>
  <r>
    <s v="Facture comptabilisée"/>
    <m/>
    <x v="0"/>
    <x v="3010"/>
    <d v="2023-09-01T00:00:00"/>
    <d v="2023-03-25T00:00:00"/>
    <s v="300043"/>
    <s v="DOUANE"/>
    <n v="841"/>
  </r>
  <r>
    <s v="Facture comptabilisée"/>
    <m/>
    <x v="0"/>
    <x v="3011"/>
    <d v="2023-09-01T00:00:00"/>
    <d v="2023-03-25T00:00:00"/>
    <s v="300101"/>
    <s v="ASMAE FORWARDING EXPRESS"/>
    <n v="3825.68"/>
  </r>
  <r>
    <s v="Facture comptabilisée"/>
    <m/>
    <x v="0"/>
    <x v="3012"/>
    <s v="34/2023 J"/>
    <d v="2023-03-25T00:00:00"/>
    <s v="300191"/>
    <s v="JTTL"/>
    <n v="5934.51"/>
  </r>
  <r>
    <s v="Facture comptabilisée"/>
    <m/>
    <x v="0"/>
    <x v="3013"/>
    <s v="JIL PACK *1*"/>
    <d v="2023-03-27T00:00:00"/>
    <s v="300115"/>
    <s v="AUXILIAR CONSERVERA SA"/>
    <n v="39942.163800000002"/>
  </r>
  <r>
    <s v="Facture comptabilisée"/>
    <m/>
    <x v="0"/>
    <x v="3014"/>
    <s v="QUALIAGRO*2*"/>
    <d v="2023-03-27T00:00:00"/>
    <s v="300115"/>
    <s v="AUXILIAR CONSERVERA SA"/>
    <n v="216865.23759999999"/>
  </r>
  <r>
    <s v="Facture comptabilisée"/>
    <m/>
    <x v="0"/>
    <x v="3015"/>
    <d v="2023-07-01T00:00:00"/>
    <d v="2023-03-28T00:00:00"/>
    <s v="300043"/>
    <s v="DOUANE"/>
    <n v="1215"/>
  </r>
  <r>
    <s v="Facture comptabilisée"/>
    <m/>
    <x v="0"/>
    <x v="3016"/>
    <d v="2023-07-01T00:00:00"/>
    <d v="2023-03-28T00:00:00"/>
    <s v="300101"/>
    <s v="ASMAE FORWARDING EXPRESS"/>
    <n v="3617.68"/>
  </r>
  <r>
    <s v="Facture comptabilisée"/>
    <m/>
    <x v="0"/>
    <x v="3017"/>
    <s v="LES DEUX DOMAINES"/>
    <d v="2023-03-28T00:00:00"/>
    <s v="300115"/>
    <s v="AUXILIAR CONSERVERA SA"/>
    <n v="292975.65000000002"/>
  </r>
  <r>
    <s v="Facture comptabilisée"/>
    <m/>
    <x v="0"/>
    <x v="3018"/>
    <s v="35/2023 J"/>
    <d v="2023-03-29T00:00:00"/>
    <s v="300043"/>
    <s v="DOUANE"/>
    <n v="3480"/>
  </r>
  <r>
    <s v="Facture comptabilisée"/>
    <m/>
    <x v="0"/>
    <x v="3019"/>
    <d v="2023-06-01T00:00:00"/>
    <d v="2023-03-31T00:00:00"/>
    <s v="300043"/>
    <s v="DOUANE"/>
    <n v="1151"/>
  </r>
  <r>
    <s v="Facture comptabilisée"/>
    <m/>
    <x v="0"/>
    <x v="3020"/>
    <d v="2023-08-01T00:00:00"/>
    <d v="2023-03-31T00:00:00"/>
    <s v="300043"/>
    <s v="DOUANE"/>
    <n v="1031"/>
  </r>
  <r>
    <s v="Facture comptabilisée"/>
    <m/>
    <x v="0"/>
    <x v="3021"/>
    <d v="2023-06-01T00:00:00"/>
    <d v="2023-03-31T00:00:00"/>
    <s v="300101"/>
    <s v="ASMAE FORWARDING EXPRESS"/>
    <n v="3301.9"/>
  </r>
  <r>
    <s v="Facture comptabilisée"/>
    <m/>
    <x v="0"/>
    <x v="3022"/>
    <d v="2023-08-01T00:00:00"/>
    <d v="2023-03-31T00:00:00"/>
    <s v="300101"/>
    <s v="ASMAE FORWARDING EXPRESS"/>
    <n v="3459.79"/>
  </r>
  <r>
    <s v="Facture comptabilisée"/>
    <m/>
    <x v="0"/>
    <x v="3023"/>
    <s v="35/2023 J"/>
    <d v="2023-04-05T00:00:00"/>
    <s v="300191"/>
    <s v="JTTL"/>
    <n v="5420.9"/>
  </r>
  <r>
    <s v="Facture comptabilisée"/>
    <m/>
    <x v="0"/>
    <x v="3024"/>
    <s v="1/4 CLUB CONIQUE"/>
    <d v="2023-04-05T00:00:00"/>
    <s v="300220"/>
    <s v="ENVASES EUROPE"/>
    <n v="928541.39399999997"/>
  </r>
  <r>
    <s v="Facture comptabilisée"/>
    <m/>
    <x v="0"/>
    <x v="3025"/>
    <s v="36/2023 J"/>
    <d v="2023-04-06T00:00:00"/>
    <s v="300043"/>
    <s v="DOUANE"/>
    <n v="1210"/>
  </r>
  <r>
    <s v="Facture comptabilisée"/>
    <m/>
    <x v="0"/>
    <x v="3026"/>
    <s v="4.6AM"/>
    <d v="2023-04-06T00:00:00"/>
    <s v="300133"/>
    <s v="OP BOX "/>
    <n v="70182"/>
  </r>
  <r>
    <s v="Facture comptabilisée"/>
    <m/>
    <x v="0"/>
    <x v="3027"/>
    <s v="600ML"/>
    <d v="2023-04-06T00:00:00"/>
    <s v="300133"/>
    <s v="OP BOX "/>
    <n v="56580"/>
  </r>
  <r>
    <s v="Facture comptabilisée"/>
    <m/>
    <x v="0"/>
    <x v="3028"/>
    <s v="TO82"/>
    <d v="2023-04-11T00:00:00"/>
    <s v="300081"/>
    <s v="JIL EMBALLAGES"/>
    <n v="117328.38"/>
  </r>
  <r>
    <s v="Facture comptabilisée"/>
    <m/>
    <x v="0"/>
    <x v="3029"/>
    <s v="36/2023 J"/>
    <d v="2023-04-11T00:00:00"/>
    <s v="300191"/>
    <s v="JTTL"/>
    <n v="14243.94"/>
  </r>
  <r>
    <s v="Facture comptabilisée"/>
    <m/>
    <x v="0"/>
    <x v="3030"/>
    <s v="20L"/>
    <d v="2023-04-12T00:00:00"/>
    <s v="300133"/>
    <s v="OP BOX "/>
    <n v="26492.400000000001"/>
  </r>
  <r>
    <s v="Facture comptabilisée"/>
    <m/>
    <x v="0"/>
    <x v="3031"/>
    <s v="2300ML"/>
    <d v="2023-04-12T00:00:00"/>
    <s v="300133"/>
    <s v="OP BOX "/>
    <n v="95040"/>
  </r>
  <r>
    <s v="Facture comptabilisée"/>
    <m/>
    <x v="0"/>
    <x v="3032"/>
    <s v="37/2032 J"/>
    <d v="2023-04-13T00:00:00"/>
    <s v="300043"/>
    <s v="DOUANE"/>
    <n v="5865"/>
  </r>
  <r>
    <s v="Facture comptabilisée"/>
    <m/>
    <x v="0"/>
    <x v="3033"/>
    <s v="VMM PESCADA"/>
    <d v="2023-04-13T00:00:00"/>
    <s v="300115"/>
    <s v="AUXILIAR CONSERVERA SA"/>
    <n v="431145.23100000003"/>
  </r>
  <r>
    <s v="Facture comptabilisée"/>
    <m/>
    <x v="0"/>
    <x v="3034"/>
    <s v="38/2023 J"/>
    <d v="2023-04-13T00:00:00"/>
    <s v="300321"/>
    <s v="JIL LOGISTIQUE"/>
    <n v="18000"/>
  </r>
  <r>
    <s v="Facture comptabilisée"/>
    <m/>
    <x v="0"/>
    <x v="3035"/>
    <s v="38/2023 J"/>
    <d v="2023-04-14T00:00:00"/>
    <s v="300043"/>
    <s v="DOUANE"/>
    <n v="1660"/>
  </r>
  <r>
    <s v="Facture comptabilisée"/>
    <m/>
    <x v="0"/>
    <x v="3036"/>
    <s v="37/2023 J"/>
    <d v="2023-04-14T00:00:00"/>
    <s v="300191"/>
    <s v="JTTL"/>
    <n v="8371.2999999999993"/>
  </r>
  <r>
    <s v="Facture comptabilisée"/>
    <m/>
    <x v="0"/>
    <x v="3037"/>
    <m/>
    <d v="2023-04-17T00:00:00"/>
    <s v="300043"/>
    <s v="DOUANE"/>
    <n v="3588"/>
  </r>
  <r>
    <s v="Facture comptabilisée"/>
    <m/>
    <x v="0"/>
    <x v="3038"/>
    <s v="38/2023 J"/>
    <d v="2023-04-17T00:00:00"/>
    <s v="300191"/>
    <s v="JTTL"/>
    <n v="3179.42"/>
  </r>
  <r>
    <s v="Facture comptabilisée"/>
    <m/>
    <x v="0"/>
    <x v="3039"/>
    <s v="ALVEOLES"/>
    <d v="2023-04-17T00:00:00"/>
    <s v="300312"/>
    <s v="ILIP S.r.l."/>
    <n v="444787.20000000001"/>
  </r>
  <r>
    <s v="Facture comptabilisée"/>
    <m/>
    <x v="0"/>
    <x v="3040"/>
    <s v="MEUBLE"/>
    <d v="2023-04-18T00:00:00"/>
    <s v="300354"/>
    <s v="HMY"/>
    <n v="202617.58"/>
  </r>
  <r>
    <s v="Facture comptabilisée"/>
    <m/>
    <x v="0"/>
    <x v="3041"/>
    <s v="JIL PACK A"/>
    <d v="2023-04-20T00:00:00"/>
    <s v="300115"/>
    <s v="AUXILIAR CONSERVERA SA"/>
    <n v="292171.20130000002"/>
  </r>
  <r>
    <s v="Facture comptabilisée"/>
    <m/>
    <x v="0"/>
    <x v="3042"/>
    <s v="CONSERVES OUALILI"/>
    <d v="2023-04-21T00:00:00"/>
    <s v="300115"/>
    <s v="AUXILIAR CONSERVERA SA"/>
    <n v="139157.24679999999"/>
  </r>
  <r>
    <s v="Facture comptabilisée"/>
    <m/>
    <x v="0"/>
    <x v="3043"/>
    <s v="COPAG VIANDES"/>
    <d v="2023-04-24T00:00:00"/>
    <s v="300115"/>
    <s v="AUXILIAR CONSERVERA SA"/>
    <n v="213378.45759999999"/>
  </r>
  <r>
    <s v="Facture comptabilisée"/>
    <m/>
    <x v="0"/>
    <x v="3044"/>
    <d v="2023-11-01T00:00:00"/>
    <d v="2023-04-25T00:00:00"/>
    <s v="300043"/>
    <s v="DOUANE"/>
    <n v="1150"/>
  </r>
  <r>
    <s v="Facture comptabilisée"/>
    <m/>
    <x v="0"/>
    <x v="3045"/>
    <d v="2023-12-01T00:00:00"/>
    <d v="2023-04-25T00:00:00"/>
    <s v="300043"/>
    <s v="DOUANE"/>
    <n v="633"/>
  </r>
  <r>
    <s v="Facture comptabilisée"/>
    <m/>
    <x v="0"/>
    <x v="3046"/>
    <d v="2023-11-01T00:00:00"/>
    <d v="2023-04-25T00:00:00"/>
    <s v="300101"/>
    <s v="ASMAE FORWARDING EXPRESS"/>
    <n v="3622.41"/>
  </r>
  <r>
    <s v="Facture comptabilisée"/>
    <m/>
    <x v="0"/>
    <x v="3047"/>
    <d v="2023-12-01T00:00:00"/>
    <d v="2023-04-25T00:00:00"/>
    <s v="300101"/>
    <s v="ASMAE FORWARDING EXPRESS"/>
    <n v="3464.25"/>
  </r>
  <r>
    <s v="Facture comptabilisée"/>
    <m/>
    <x v="0"/>
    <x v="3048"/>
    <m/>
    <d v="2023-04-26T00:00:00"/>
    <s v="300043"/>
    <s v="DOUANE"/>
    <n v="4087"/>
  </r>
  <r>
    <s v="Facture comptabilisée"/>
    <m/>
    <x v="0"/>
    <x v="3049"/>
    <d v="2023-10-01T00:00:00"/>
    <d v="2023-04-28T00:00:00"/>
    <s v="300043"/>
    <s v="DOUANE"/>
    <n v="884"/>
  </r>
  <r>
    <s v="Facture comptabilisée"/>
    <m/>
    <x v="0"/>
    <x v="3050"/>
    <d v="2023-10-01T00:00:00"/>
    <d v="2023-04-28T00:00:00"/>
    <s v="300101"/>
    <s v="ASMAE FORWARDING EXPRESS"/>
    <n v="3147.93"/>
  </r>
  <r>
    <s v="Facture comptabilisée"/>
    <m/>
    <x v="0"/>
    <x v="3051"/>
    <s v="48/2023 J"/>
    <d v="2023-04-28T00:00:00"/>
    <s v="300340"/>
    <s v="MSC MAROC"/>
    <n v="3274"/>
  </r>
  <r>
    <s v="Facture comptabilisée"/>
    <m/>
    <x v="0"/>
    <x v="3052"/>
    <s v="39/2023 J"/>
    <d v="2023-04-29T00:00:00"/>
    <s v="300191"/>
    <s v="JTTL"/>
    <n v="4253.91"/>
  </r>
  <r>
    <s v="Facture comptabilisée"/>
    <m/>
    <x v="0"/>
    <x v="3053"/>
    <m/>
    <d v="2023-05-03T00:00:00"/>
    <s v="300043"/>
    <s v="DOUANE"/>
    <n v="3420"/>
  </r>
  <r>
    <s v="Facture comptabilisée"/>
    <m/>
    <x v="0"/>
    <x v="3054"/>
    <s v="JIL PACK A"/>
    <d v="2023-05-03T00:00:00"/>
    <s v="300115"/>
    <s v="AUXILIAR CONSERVERA SA"/>
    <n v="396020.98800000001"/>
  </r>
  <r>
    <s v="Facture comptabilisée"/>
    <m/>
    <x v="0"/>
    <x v="3055"/>
    <s v="JIL PACK A"/>
    <d v="2023-05-03T00:00:00"/>
    <s v="300115"/>
    <s v="AUXILIAR CONSERVERA SA"/>
    <n v="396020.98800000001"/>
  </r>
  <r>
    <s v="Facture comptabilisée"/>
    <m/>
    <x v="0"/>
    <x v="3056"/>
    <s v="40/2023 J"/>
    <d v="2023-05-03T00:00:00"/>
    <s v="300321"/>
    <s v="JIL LOGISTIQUE"/>
    <n v="19000"/>
  </r>
  <r>
    <s v="Facture comptabilisée"/>
    <m/>
    <x v="0"/>
    <x v="3057"/>
    <s v="41/2023 J"/>
    <d v="2023-05-03T00:00:00"/>
    <s v="300321"/>
    <s v="JIL LOGISTIQUE"/>
    <n v="19000"/>
  </r>
  <r>
    <s v="Facture comptabilisée"/>
    <m/>
    <x v="0"/>
    <x v="3058"/>
    <s v="41/2023 J"/>
    <d v="2023-05-04T00:00:00"/>
    <s v="300043"/>
    <s v="DOUANE"/>
    <n v="1533"/>
  </r>
  <r>
    <s v="Facture comptabilisée"/>
    <m/>
    <x v="0"/>
    <x v="3059"/>
    <s v="40/2023 J"/>
    <d v="2023-05-04T00:00:00"/>
    <s v="300043"/>
    <s v="DOUANE"/>
    <n v="1533"/>
  </r>
  <r>
    <s v="Facture comptabilisée"/>
    <m/>
    <x v="0"/>
    <x v="3060"/>
    <s v="JIL PACK A"/>
    <d v="2023-05-04T00:00:00"/>
    <s v="300115"/>
    <s v="AUXILIAR CONSERVERA SA"/>
    <n v="396020.98800000001"/>
  </r>
  <r>
    <s v="Facture comptabilisée"/>
    <m/>
    <x v="0"/>
    <x v="3061"/>
    <s v="TWIST OFF"/>
    <d v="2023-05-04T00:00:00"/>
    <s v="300226"/>
    <s v="Sarten Ambalaj Sanayi ve Ticaret AS"/>
    <n v="339427.44"/>
  </r>
  <r>
    <s v="Facture comptabilisée"/>
    <m/>
    <x v="0"/>
    <x v="3062"/>
    <s v="43/2023 J"/>
    <d v="2023-05-04T00:00:00"/>
    <s v="300321"/>
    <s v="JIL LOGISTIQUE"/>
    <n v="19000"/>
  </r>
  <r>
    <s v="Facture comptabilisée"/>
    <m/>
    <x v="0"/>
    <x v="3063"/>
    <s v="JIL PACK A"/>
    <d v="2023-05-05T00:00:00"/>
    <s v="300115"/>
    <s v="AUXILIAR CONSERVERA SA"/>
    <n v="396020.98800000001"/>
  </r>
  <r>
    <s v="Facture comptabilisée"/>
    <m/>
    <x v="0"/>
    <x v="3064"/>
    <s v="42/2023 J"/>
    <d v="2023-05-05T00:00:00"/>
    <s v="300321"/>
    <s v="JIL LOGISTIQUE"/>
    <n v="19000"/>
  </r>
  <r>
    <s v="Facture comptabilisée"/>
    <m/>
    <x v="0"/>
    <x v="3065"/>
    <s v="48/2023 J"/>
    <d v="2023-05-06T00:00:00"/>
    <s v="300043"/>
    <s v="DOUANE"/>
    <n v="3459"/>
  </r>
  <r>
    <s v="Facture comptabilisée"/>
    <m/>
    <x v="0"/>
    <x v="3066"/>
    <s v="53/2023 J"/>
    <d v="2023-05-07T00:00:00"/>
    <s v="300357"/>
    <s v="OMNILOGISTIC"/>
    <n v="20312.88"/>
  </r>
  <r>
    <s v="Facture comptabilisée"/>
    <m/>
    <x v="0"/>
    <x v="3067"/>
    <s v="42/2023 J"/>
    <d v="2023-05-08T00:00:00"/>
    <s v="300043"/>
    <s v="DOUANE"/>
    <n v="1528"/>
  </r>
  <r>
    <s v="Facture comptabilisée"/>
    <m/>
    <x v="0"/>
    <x v="3068"/>
    <s v="43/2023 J"/>
    <d v="2023-05-08T00:00:00"/>
    <s v="300043"/>
    <s v="DOUANE"/>
    <n v="1528"/>
  </r>
  <r>
    <s v="Facture comptabilisée"/>
    <m/>
    <x v="0"/>
    <x v="3069"/>
    <s v="VMM"/>
    <d v="2023-05-08T00:00:00"/>
    <s v="300115"/>
    <s v="AUXILIAR CONSERVERA SA"/>
    <n v="2227.5"/>
  </r>
  <r>
    <s v="Facture comptabilisée"/>
    <m/>
    <x v="0"/>
    <x v="3070"/>
    <s v="20L"/>
    <d v="2023-05-08T00:00:00"/>
    <s v="300133"/>
    <s v="OP BOX "/>
    <n v="46361.7"/>
  </r>
  <r>
    <s v="Facture comptabilisée"/>
    <m/>
    <x v="0"/>
    <x v="3071"/>
    <s v="41/2023 J"/>
    <d v="2023-05-08T00:00:00"/>
    <s v="300191"/>
    <s v="JTTL"/>
    <n v="3359.43"/>
  </r>
  <r>
    <s v="Facture comptabilisée"/>
    <m/>
    <x v="0"/>
    <x v="3072"/>
    <s v="40/2023 J"/>
    <d v="2023-05-08T00:00:00"/>
    <s v="300191"/>
    <s v="JTTL"/>
    <n v="3201.27"/>
  </r>
  <r>
    <s v="Facture comptabilisée"/>
    <m/>
    <x v="0"/>
    <x v="3073"/>
    <s v="VMM PESCADA"/>
    <d v="2023-05-09T00:00:00"/>
    <s v="300115"/>
    <s v="AUXILIAR CONSERVERA SA"/>
    <n v="431145.23100000003"/>
  </r>
  <r>
    <s v="Facture comptabilisée"/>
    <m/>
    <x v="0"/>
    <x v="3074"/>
    <s v="44/2023 J"/>
    <d v="2023-05-09T00:00:00"/>
    <s v="300321"/>
    <s v="JIL LOGISTIQUE"/>
    <n v="18000"/>
  </r>
  <r>
    <s v="Facture comptabilisée"/>
    <m/>
    <x v="0"/>
    <x v="3075"/>
    <s v="44/2023 J"/>
    <d v="2023-05-10T00:00:00"/>
    <s v="300043"/>
    <s v="DOUANE"/>
    <n v="1641"/>
  </r>
  <r>
    <s v="Facture comptabilisée"/>
    <m/>
    <x v="0"/>
    <x v="3076"/>
    <s v="5500ML"/>
    <d v="2023-05-10T00:00:00"/>
    <s v="300133"/>
    <s v="OP BOX "/>
    <n v="28800"/>
  </r>
  <r>
    <s v="Facture comptabilisée"/>
    <m/>
    <x v="0"/>
    <x v="3077"/>
    <s v="42/2023 J"/>
    <d v="2023-05-10T00:00:00"/>
    <s v="300191"/>
    <s v="JTTL"/>
    <n v="3359.43"/>
  </r>
  <r>
    <s v="Facture comptabilisée"/>
    <m/>
    <x v="0"/>
    <x v="3078"/>
    <s v="43/2023 J"/>
    <d v="2023-05-10T00:00:00"/>
    <s v="300191"/>
    <s v="JTTL"/>
    <n v="3697.5"/>
  </r>
  <r>
    <s v="Facture comptabilisée"/>
    <m/>
    <x v="0"/>
    <x v="3079"/>
    <m/>
    <d v="2023-05-10T00:00:00"/>
    <s v="300344"/>
    <s v="PADEL NUESTRO"/>
    <n v="318463.86"/>
  </r>
  <r>
    <s v="Facture comptabilisée"/>
    <m/>
    <x v="0"/>
    <x v="3080"/>
    <s v="CONSERVE OUALILI"/>
    <d v="2023-05-11T00:00:00"/>
    <s v="300115"/>
    <s v="AUXILIAR CONSERVERA SA"/>
    <n v="139772.75399999999"/>
  </r>
  <r>
    <s v="Facture comptabilisée"/>
    <m/>
    <x v="0"/>
    <x v="3081"/>
    <s v="44/2023 J"/>
    <d v="2023-05-12T00:00:00"/>
    <s v="300191"/>
    <s v="JTTL"/>
    <n v="3223.02"/>
  </r>
  <r>
    <s v="Facture comptabilisée"/>
    <m/>
    <x v="0"/>
    <x v="3082"/>
    <s v="13/2023"/>
    <d v="2023-05-16T00:00:00"/>
    <s v="300043"/>
    <s v="DOUANE"/>
    <n v="631"/>
  </r>
  <r>
    <s v="Facture comptabilisée"/>
    <m/>
    <x v="0"/>
    <x v="3083"/>
    <s v="13/2023"/>
    <d v="2023-05-16T00:00:00"/>
    <s v="300101"/>
    <s v="ASMAE FORWARDING EXPRESS"/>
    <n v="3147.93"/>
  </r>
  <r>
    <s v="Facture comptabilisée"/>
    <m/>
    <x v="0"/>
    <x v="3084"/>
    <s v="13/2023"/>
    <d v="2023-05-18T00:00:00"/>
    <s v="300101"/>
    <s v="ASMAE FORWARDING EXPRESS"/>
    <n v="158.16"/>
  </r>
  <r>
    <s v="Facture comptabilisée"/>
    <m/>
    <x v="0"/>
    <x v="3085"/>
    <s v="JIL PACK A"/>
    <d v="2023-05-18T00:00:00"/>
    <s v="300115"/>
    <s v="AUXILIAR CONSERVERA SA"/>
    <n v="375590.0148"/>
  </r>
  <r>
    <s v="Facture comptabilisée"/>
    <m/>
    <x v="0"/>
    <x v="3086"/>
    <s v="45/2023 J"/>
    <d v="2023-05-18T00:00:00"/>
    <s v="300321"/>
    <s v="JIL LOGISTIQUE"/>
    <n v="19000"/>
  </r>
  <r>
    <s v="Facture comptabilisée"/>
    <m/>
    <x v="0"/>
    <x v="3087"/>
    <s v="JIL PACK A"/>
    <d v="2023-05-19T00:00:00"/>
    <s v="300115"/>
    <s v="AUXILIAR CONSERVERA SA"/>
    <n v="396070.88400000002"/>
  </r>
  <r>
    <s v="Facture comptabilisée"/>
    <m/>
    <x v="0"/>
    <x v="3088"/>
    <s v="46/2023 J"/>
    <d v="2023-05-19T00:00:00"/>
    <s v="300321"/>
    <s v="JIL LOGISTIQUE"/>
    <n v="19000"/>
  </r>
  <r>
    <s v="Facture comptabilisée"/>
    <m/>
    <x v="0"/>
    <x v="3089"/>
    <m/>
    <d v="2023-05-22T00:00:00"/>
    <s v="300043"/>
    <s v="DOUANE"/>
    <n v="4025"/>
  </r>
  <r>
    <s v="Facture comptabilisée"/>
    <m/>
    <x v="0"/>
    <x v="3090"/>
    <s v="45/2023 J"/>
    <d v="2023-05-22T00:00:00"/>
    <s v="300043"/>
    <s v="DOUANE"/>
    <n v="1370"/>
  </r>
  <r>
    <s v="Facture comptabilisée"/>
    <m/>
    <x v="0"/>
    <x v="3091"/>
    <s v="JIL PACK A"/>
    <d v="2023-05-23T00:00:00"/>
    <s v="300115"/>
    <s v="AUXILIAR CONSERVERA SA"/>
    <n v="375589.21399999998"/>
  </r>
  <r>
    <s v="Facture comptabilisée"/>
    <m/>
    <x v="0"/>
    <x v="3092"/>
    <s v="45/2023 J"/>
    <d v="2023-05-23T00:00:00"/>
    <s v="300191"/>
    <s v="JTTL"/>
    <n v="3359.43"/>
  </r>
  <r>
    <s v="Facture comptabilisée"/>
    <m/>
    <x v="0"/>
    <x v="3093"/>
    <s v="47/2023 J"/>
    <d v="2023-05-23T00:00:00"/>
    <s v="300321"/>
    <s v="JIL LOGISTIQUE"/>
    <n v="19000"/>
  </r>
  <r>
    <s v="Facture comptabilisée"/>
    <m/>
    <x v="0"/>
    <x v="3094"/>
    <s v="AVOIR"/>
    <d v="2023-05-23T00:00:00"/>
    <s v="300344"/>
    <s v="PADEL NUESTRO"/>
    <n v="70.14"/>
  </r>
  <r>
    <s v="Facture comptabilisée"/>
    <m/>
    <x v="0"/>
    <x v="3095"/>
    <s v="JIL PACK A*1*"/>
    <d v="2023-05-24T00:00:00"/>
    <s v="300220"/>
    <s v="ENVASES EUROPE"/>
    <n v="1255364.352"/>
  </r>
  <r>
    <s v="Facture comptabilisée"/>
    <m/>
    <x v="0"/>
    <x v="3096"/>
    <s v="JIL PACK A*2*"/>
    <d v="2023-05-24T00:00:00"/>
    <s v="300220"/>
    <s v="ENVASES EUROPE"/>
    <n v="1255364.352"/>
  </r>
  <r>
    <s v="Facture comptabilisée"/>
    <m/>
    <x v="0"/>
    <x v="3097"/>
    <s v="39/2023 J"/>
    <d v="2023-05-25T00:00:00"/>
    <s v="300043"/>
    <s v="DOUANE"/>
    <n v="6191"/>
  </r>
  <r>
    <s v="Facture comptabilisée"/>
    <m/>
    <x v="0"/>
    <x v="3098"/>
    <s v="46/2023 J"/>
    <d v="2023-05-25T00:00:00"/>
    <s v="300043"/>
    <s v="DOUANE"/>
    <n v="1529"/>
  </r>
  <r>
    <s v="Facture comptabilisée"/>
    <m/>
    <x v="0"/>
    <x v="3099"/>
    <s v="47/2023 J"/>
    <d v="2023-05-25T00:00:00"/>
    <s v="300043"/>
    <s v="DOUANE"/>
    <n v="1460"/>
  </r>
  <r>
    <s v="Facture comptabilisée"/>
    <m/>
    <x v="0"/>
    <x v="3100"/>
    <s v="JIL PACK A"/>
    <d v="2023-05-25T00:00:00"/>
    <s v="300115"/>
    <s v="AUXILIAR CONSERVERA SA"/>
    <n v="375590.0148"/>
  </r>
  <r>
    <s v="Facture comptabilisée"/>
    <m/>
    <x v="0"/>
    <x v="3101"/>
    <s v="46/2023 J"/>
    <d v="2023-05-25T00:00:00"/>
    <s v="300191"/>
    <s v="JTTL"/>
    <n v="3859.43"/>
  </r>
  <r>
    <s v="Facture comptabilisée"/>
    <m/>
    <x v="0"/>
    <x v="3102"/>
    <s v="JIL PACK"/>
    <d v="2023-05-25T00:00:00"/>
    <s v="300220"/>
    <s v="ENVASES EUROPE"/>
    <n v="945069.554"/>
  </r>
  <r>
    <s v="Facture comptabilisée"/>
    <m/>
    <x v="0"/>
    <x v="3103"/>
    <s v="49/2023 J"/>
    <d v="2023-05-25T00:00:00"/>
    <s v="300321"/>
    <s v="JIL LOGISTIQUE"/>
    <n v="19000"/>
  </r>
  <r>
    <s v="Facture comptabilisée"/>
    <m/>
    <x v="0"/>
    <x v="3104"/>
    <m/>
    <d v="2023-05-26T00:00:00"/>
    <s v="300043"/>
    <s v="DOUANE"/>
    <n v="4703"/>
  </r>
  <r>
    <s v="Facture comptabilisée"/>
    <m/>
    <x v="0"/>
    <x v="3105"/>
    <s v="49/2023 J"/>
    <d v="2023-05-26T00:00:00"/>
    <s v="300043"/>
    <s v="DOUANE"/>
    <n v="1453"/>
  </r>
  <r>
    <s v="Facture comptabilisée"/>
    <m/>
    <x v="0"/>
    <x v="3106"/>
    <s v="20L"/>
    <d v="2023-05-26T00:00:00"/>
    <s v="300133"/>
    <s v="OP BOX "/>
    <n v="46361.7"/>
  </r>
  <r>
    <s v="Facture comptabilisée"/>
    <m/>
    <x v="0"/>
    <x v="3107"/>
    <s v="5500ML"/>
    <d v="2023-05-26T00:00:00"/>
    <s v="300133"/>
    <s v="OP BOX "/>
    <n v="26400"/>
  </r>
  <r>
    <s v="Facture comptabilisée"/>
    <m/>
    <x v="0"/>
    <x v="3108"/>
    <s v="47/2023 J"/>
    <d v="2023-05-29T00:00:00"/>
    <s v="300191"/>
    <s v="JTTL"/>
    <n v="3201.27"/>
  </r>
  <r>
    <s v="Facture comptabilisée"/>
    <m/>
    <x v="0"/>
    <x v="3109"/>
    <s v="48/2023 J"/>
    <d v="2023-05-29T00:00:00"/>
    <s v="300191"/>
    <s v="JTTL"/>
    <n v="5425.9"/>
  </r>
  <r>
    <s v="Facture comptabilisée"/>
    <m/>
    <x v="0"/>
    <x v="3110"/>
    <s v="108*131"/>
    <d v="2023-05-30T00:00:00"/>
    <s v="300080"/>
    <s v="MASSILLY"/>
    <n v="47416.04"/>
  </r>
  <r>
    <s v="Facture comptabilisée"/>
    <m/>
    <x v="0"/>
    <x v="3111"/>
    <s v="49/2023 J"/>
    <d v="2023-05-31T00:00:00"/>
    <s v="300191"/>
    <s v="JTTL"/>
    <n v="3244.77"/>
  </r>
  <r>
    <s v="Facture comptabilisée"/>
    <m/>
    <x v="0"/>
    <x v="3112"/>
    <s v="JIL PACK A"/>
    <d v="2023-05-31T00:00:00"/>
    <s v="300220"/>
    <s v="ENVASES EUROPE"/>
    <n v="1255285.0728"/>
  </r>
  <r>
    <s v="Facture comptabilisée"/>
    <m/>
    <x v="0"/>
    <x v="3113"/>
    <s v="JIL PACK A"/>
    <d v="2023-06-01T00:00:00"/>
    <s v="300115"/>
    <s v="AUXILIAR CONSERVERA SA"/>
    <n v="375590.0148"/>
  </r>
  <r>
    <s v="Facture comptabilisée"/>
    <m/>
    <x v="0"/>
    <x v="3114"/>
    <s v="50/2023 J"/>
    <d v="2023-06-02T00:00:00"/>
    <s v="300043"/>
    <s v="DOUANE"/>
    <n v="1443"/>
  </r>
  <r>
    <s v="Facture comptabilisée"/>
    <m/>
    <x v="0"/>
    <x v="3115"/>
    <s v="50/2023 J"/>
    <d v="2023-06-02T00:00:00"/>
    <s v="300321"/>
    <s v="JIL LOGISTIQUE"/>
    <n v="19000"/>
  </r>
  <r>
    <s v="Facture comptabilisée"/>
    <m/>
    <x v="0"/>
    <x v="3116"/>
    <s v="51/2023 J"/>
    <d v="2023-06-05T00:00:00"/>
    <s v="300043"/>
    <s v="DOUANE"/>
    <n v="1212"/>
  </r>
  <r>
    <s v="Facture comptabilisée"/>
    <m/>
    <x v="0"/>
    <x v="3117"/>
    <s v="50/2023 J"/>
    <d v="2023-06-05T00:00:00"/>
    <s v="300191"/>
    <s v="JTTL"/>
    <n v="3223.02"/>
  </r>
  <r>
    <s v="Facture comptabilisée"/>
    <m/>
    <x v="0"/>
    <x v="3118"/>
    <s v="52/2023 J"/>
    <d v="2023-06-06T00:00:00"/>
    <s v="300043"/>
    <s v="DOUANE"/>
    <n v="21555"/>
  </r>
  <r>
    <s v="Facture comptabilisée"/>
    <m/>
    <x v="0"/>
    <x v="3119"/>
    <s v="53/2023 J"/>
    <d v="2023-06-06T00:00:00"/>
    <s v="300043"/>
    <s v="DOUANE"/>
    <n v="12982"/>
  </r>
  <r>
    <s v="Facture comptabilisée"/>
    <m/>
    <x v="0"/>
    <x v="3120"/>
    <s v="51/2023 J"/>
    <d v="2023-06-06T00:00:00"/>
    <s v="300191"/>
    <s v="JTTL"/>
    <n v="7960.67"/>
  </r>
  <r>
    <s v="Facture comptabilisée"/>
    <m/>
    <x v="0"/>
    <x v="3121"/>
    <m/>
    <d v="2023-06-07T00:00:00"/>
    <s v="300043"/>
    <s v="DOUANE"/>
    <n v="4698"/>
  </r>
  <r>
    <s v="Facture comptabilisée"/>
    <m/>
    <x v="0"/>
    <x v="3122"/>
    <s v="2300ML"/>
    <d v="2023-06-07T00:00:00"/>
    <s v="300133"/>
    <s v="OP BOX "/>
    <n v="69995.520000000004"/>
  </r>
  <r>
    <s v="Facture comptabilisée"/>
    <m/>
    <x v="0"/>
    <x v="3123"/>
    <s v="52/2023 J"/>
    <d v="2023-06-07T00:00:00"/>
    <s v="300191"/>
    <s v="JTTL"/>
    <n v="6533.06"/>
  </r>
  <r>
    <s v="Facture comptabilisée"/>
    <m/>
    <x v="0"/>
    <x v="3124"/>
    <s v="2300ML"/>
    <d v="2023-06-08T00:00:00"/>
    <s v="300133"/>
    <s v="OP BOX "/>
    <n v="37100.160000000003"/>
  </r>
  <r>
    <s v="Facture comptabilisée"/>
    <m/>
    <x v="0"/>
    <x v="3125"/>
    <s v="53/2023 J"/>
    <d v="2023-06-08T00:00:00"/>
    <s v="300191"/>
    <s v="JTTL"/>
    <n v="2807.92"/>
  </r>
  <r>
    <s v="Facture comptabilisée"/>
    <m/>
    <x v="0"/>
    <x v="3126"/>
    <s v="54/2023 J"/>
    <d v="2023-06-09T00:00:00"/>
    <s v="300043"/>
    <s v="DOUANE"/>
    <n v="1626"/>
  </r>
  <r>
    <s v="Facture comptabilisée"/>
    <m/>
    <x v="0"/>
    <x v="3127"/>
    <m/>
    <d v="2023-06-13T00:00:00"/>
    <s v="300043"/>
    <s v="DOUANE"/>
    <n v="3360"/>
  </r>
  <r>
    <s v="Facture comptabilisée"/>
    <m/>
    <x v="0"/>
    <x v="3128"/>
    <s v="JIL PACK A"/>
    <d v="2023-06-14T00:00:00"/>
    <s v="300115"/>
    <s v="AUXILIAR CONSERVERA SA"/>
    <n v="375590.0148"/>
  </r>
  <r>
    <s v="Facture comptabilisée"/>
    <m/>
    <x v="0"/>
    <x v="3129"/>
    <s v="54/2023 J"/>
    <d v="2023-06-14T00:00:00"/>
    <s v="300191"/>
    <s v="JTTL"/>
    <n v="6218.5"/>
  </r>
  <r>
    <s v="Facture comptabilisée"/>
    <m/>
    <x v="0"/>
    <x v="3130"/>
    <s v="57/2023 J"/>
    <d v="2023-06-14T00:00:00"/>
    <s v="300321"/>
    <s v="JIL LOGISTIQUE"/>
    <n v="19000"/>
  </r>
  <r>
    <s v="Facture comptabilisée"/>
    <m/>
    <x v="0"/>
    <x v="3131"/>
    <s v="57/2023 J"/>
    <d v="2023-06-15T00:00:00"/>
    <s v="300043"/>
    <s v="DOUANE"/>
    <n v="1448"/>
  </r>
  <r>
    <s v="Facture comptabilisée"/>
    <m/>
    <x v="0"/>
    <x v="3132"/>
    <s v="55/2023 J"/>
    <d v="2023-06-15T00:00:00"/>
    <s v="300043"/>
    <s v="DOUANE"/>
    <n v="3294"/>
  </r>
  <r>
    <s v="Facture comptabilisée"/>
    <m/>
    <x v="0"/>
    <x v="3133"/>
    <s v="VMM"/>
    <d v="2023-06-15T00:00:00"/>
    <s v="300115"/>
    <s v="AUXILIAR CONSERVERA SA"/>
    <n v="165420.288"/>
  </r>
  <r>
    <s v="Facture comptabilisée"/>
    <m/>
    <x v="0"/>
    <x v="3134"/>
    <s v="JIL PACK A"/>
    <d v="2023-06-15T00:00:00"/>
    <s v="300115"/>
    <s v="AUXILIAR CONSERVERA SA"/>
    <n v="375590.0148"/>
  </r>
  <r>
    <s v="Facture comptabilisée"/>
    <m/>
    <x v="0"/>
    <x v="3135"/>
    <s v="NEW PEPPERS"/>
    <d v="2023-06-15T00:00:00"/>
    <s v="300115"/>
    <s v="AUXILIAR CONSERVERA SA"/>
    <n v="134539.21799999999"/>
  </r>
  <r>
    <s v="Facture comptabilisée"/>
    <m/>
    <x v="0"/>
    <x v="3136"/>
    <s v="NEW PEPPERRS"/>
    <d v="2023-06-15T00:00:00"/>
    <s v="300115"/>
    <s v="AUXILIAR CONSERVERA SA"/>
    <n v="134539.21799999999"/>
  </r>
  <r>
    <s v="Facture comptabilisée"/>
    <m/>
    <x v="0"/>
    <x v="3137"/>
    <s v="JIL PACK A"/>
    <d v="2023-06-15T00:00:00"/>
    <s v="300115"/>
    <s v="AUXILIAR CONSERVERA SA"/>
    <n v="396020.98800000001"/>
  </r>
  <r>
    <s v="Facture comptabilisée"/>
    <m/>
    <x v="0"/>
    <x v="3138"/>
    <s v="JIL PACK A"/>
    <d v="2023-06-15T00:00:00"/>
    <s v="300115"/>
    <s v="AUXILIAR CONSERVERA SA"/>
    <n v="375590.0148"/>
  </r>
  <r>
    <s v="Facture comptabilisée"/>
    <m/>
    <x v="0"/>
    <x v="3139"/>
    <s v="JIL PACK A"/>
    <d v="2023-06-15T00:00:00"/>
    <s v="300115"/>
    <s v="AUXILIAR CONSERVERA SA"/>
    <n v="396020.98800000001"/>
  </r>
  <r>
    <s v="Facture comptabilisée"/>
    <m/>
    <x v="0"/>
    <x v="3140"/>
    <s v="ATUNEROS DEL SUR"/>
    <d v="2023-06-15T00:00:00"/>
    <s v="300115"/>
    <s v="AUXILIAR CONSERVERA SA"/>
    <n v="396020.98800000001"/>
  </r>
  <r>
    <s v="Facture comptabilisée"/>
    <m/>
    <x v="0"/>
    <x v="3141"/>
    <s v="58/2023 J"/>
    <d v="2023-06-15T00:00:00"/>
    <s v="300321"/>
    <s v="JIL LOGISTIQUE"/>
    <n v="19000"/>
  </r>
  <r>
    <s v="Facture comptabilisée"/>
    <m/>
    <x v="0"/>
    <x v="3142"/>
    <s v="60/2023 J"/>
    <d v="2023-06-15T00:00:00"/>
    <s v="300321"/>
    <s v="JIL LOGISTIQUE"/>
    <n v="19000"/>
  </r>
  <r>
    <s v="Facture comptabilisée"/>
    <m/>
    <x v="0"/>
    <x v="3143"/>
    <s v="59/2023 J"/>
    <d v="2023-06-15T00:00:00"/>
    <s v="300321"/>
    <s v="JIL LOGISTIQUE"/>
    <n v="16000"/>
  </r>
  <r>
    <s v="Facture comptabilisée"/>
    <m/>
    <x v="0"/>
    <x v="3144"/>
    <s v="56/2023 J"/>
    <d v="2023-06-15T00:00:00"/>
    <s v="300321"/>
    <s v="JIL LOGISTIQUE"/>
    <n v="19000"/>
  </r>
  <r>
    <s v="Facture comptabilisée"/>
    <m/>
    <x v="0"/>
    <x v="3145"/>
    <s v="63/203 J"/>
    <d v="2023-06-15T00:00:00"/>
    <s v="300321"/>
    <s v="JIL LOGISTIQUE"/>
    <n v="19000"/>
  </r>
  <r>
    <s v="Facture comptabilisée"/>
    <m/>
    <x v="0"/>
    <x v="3146"/>
    <s v="58/2023 J"/>
    <d v="2023-06-16T00:00:00"/>
    <s v="300043"/>
    <s v="DOUANE"/>
    <n v="1446"/>
  </r>
  <r>
    <s v="Facture comptabilisée"/>
    <m/>
    <x v="0"/>
    <x v="3147"/>
    <s v="22L"/>
    <d v="2023-06-16T00:00:00"/>
    <s v="300093"/>
    <s v="AVEZ SAS"/>
    <n v="231430.98"/>
  </r>
  <r>
    <s v="Facture comptabilisée"/>
    <m/>
    <x v="0"/>
    <x v="3148"/>
    <s v="VMM"/>
    <d v="2023-06-16T00:00:00"/>
    <s v="300115"/>
    <s v="AUXILIAR CONSERVERA SA"/>
    <n v="165420.288"/>
  </r>
  <r>
    <s v="Facture comptabilisée"/>
    <m/>
    <x v="0"/>
    <x v="3149"/>
    <s v="2300ML"/>
    <d v="2023-06-16T00:00:00"/>
    <s v="300133"/>
    <s v="OP BOX "/>
    <n v="35464.32"/>
  </r>
  <r>
    <s v="Facture comptabilisée"/>
    <m/>
    <x v="0"/>
    <x v="3150"/>
    <s v="60/2023 J"/>
    <d v="2023-06-19T00:00:00"/>
    <s v="300043"/>
    <s v="DOUANE"/>
    <n v="1445"/>
  </r>
  <r>
    <s v="Facture comptabilisée"/>
    <m/>
    <x v="0"/>
    <x v="3151"/>
    <s v="15/2023"/>
    <d v="2023-06-19T00:00:00"/>
    <s v="300043"/>
    <s v="DOUANE"/>
    <n v="712"/>
  </r>
  <r>
    <s v="Facture comptabilisée"/>
    <m/>
    <x v="0"/>
    <x v="3152"/>
    <s v="14/2023"/>
    <d v="2023-06-19T00:00:00"/>
    <s v="300043"/>
    <s v="DOUANE"/>
    <n v="712"/>
  </r>
  <r>
    <s v="Facture comptabilisée"/>
    <m/>
    <x v="0"/>
    <x v="3153"/>
    <s v="59/2023 J"/>
    <d v="2023-06-19T00:00:00"/>
    <s v="300043"/>
    <s v="DOUANE"/>
    <n v="1506"/>
  </r>
  <r>
    <s v="Facture comptabilisée"/>
    <m/>
    <x v="0"/>
    <x v="3154"/>
    <s v="14/2023"/>
    <d v="2023-06-19T00:00:00"/>
    <s v="300101"/>
    <s v="ASMAE FORWARDING EXPRESS"/>
    <n v="3147.93"/>
  </r>
  <r>
    <s v="Facture comptabilisée"/>
    <m/>
    <x v="0"/>
    <x v="3155"/>
    <s v="15/2023 "/>
    <d v="2023-06-19T00:00:00"/>
    <s v="300101"/>
    <s v="ASMAE FORWARDING EXPRESS"/>
    <n v="3306.09"/>
  </r>
  <r>
    <s v="Facture comptabilisée"/>
    <m/>
    <x v="0"/>
    <x v="3156"/>
    <s v="VMM"/>
    <d v="2023-06-19T00:00:00"/>
    <s v="300115"/>
    <s v="AUXILIAR CONSERVERA SA"/>
    <n v="165420.288"/>
  </r>
  <r>
    <s v="Facture comptabilisée"/>
    <m/>
    <x v="0"/>
    <x v="3157"/>
    <s v="VMM"/>
    <d v="2023-06-19T00:00:00"/>
    <s v="300115"/>
    <s v="AUXILIAR CONSERVERA SA"/>
    <n v="165420.288"/>
  </r>
  <r>
    <s v="Facture comptabilisée"/>
    <m/>
    <x v="0"/>
    <x v="3158"/>
    <s v="JIL PACK A"/>
    <d v="2023-06-19T00:00:00"/>
    <s v="300115"/>
    <s v="AUXILIAR CONSERVERA SA"/>
    <n v="396020.98800000001"/>
  </r>
  <r>
    <s v="Facture comptabilisée"/>
    <m/>
    <x v="0"/>
    <x v="3159"/>
    <s v="55/2023 J"/>
    <d v="2023-06-19T00:00:00"/>
    <s v="300191"/>
    <s v="JTTL"/>
    <n v="7517.26"/>
  </r>
  <r>
    <s v="Facture comptabilisée"/>
    <m/>
    <x v="0"/>
    <x v="3160"/>
    <s v="61/2023 J"/>
    <d v="2023-06-19T00:00:00"/>
    <s v="300321"/>
    <s v="JIL LOGISTIQUE"/>
    <n v="19000"/>
  </r>
  <r>
    <s v="Facture comptabilisée"/>
    <m/>
    <x v="0"/>
    <x v="3161"/>
    <m/>
    <d v="2023-06-20T00:00:00"/>
    <s v="300043"/>
    <s v="DOUANE"/>
    <n v="4670"/>
  </r>
  <r>
    <s v="Facture comptabilisée"/>
    <m/>
    <x v="0"/>
    <x v="3162"/>
    <s v="56/2023 J"/>
    <d v="2023-06-20T00:00:00"/>
    <s v="300043"/>
    <s v="DOUANE"/>
    <n v="1513"/>
  </r>
  <r>
    <s v="Facture comptabilisée"/>
    <m/>
    <x v="0"/>
    <x v="3163"/>
    <s v="19/2023"/>
    <d v="2023-06-20T00:00:00"/>
    <s v="300043"/>
    <s v="DOUANE"/>
    <n v="713"/>
  </r>
  <r>
    <s v="Facture comptabilisée"/>
    <m/>
    <x v="0"/>
    <x v="3164"/>
    <m/>
    <d v="2023-06-20T00:00:00"/>
    <s v="300043"/>
    <s v="DOUANE"/>
    <n v="4670"/>
  </r>
  <r>
    <s v="Facture comptabilisée"/>
    <m/>
    <x v="0"/>
    <x v="3165"/>
    <s v="19/2023"/>
    <d v="2023-06-20T00:00:00"/>
    <s v="300101"/>
    <s v="ASMAE FORWARDING EXPRESS"/>
    <n v="3147.93"/>
  </r>
  <r>
    <s v="Facture comptabilisée"/>
    <m/>
    <x v="0"/>
    <x v="3166"/>
    <s v="VMM"/>
    <d v="2023-06-20T00:00:00"/>
    <s v="300115"/>
    <s v="AUXILIAR CONSERVERA SA"/>
    <n v="165420.288"/>
  </r>
  <r>
    <s v="Facture comptabilisée"/>
    <m/>
    <x v="0"/>
    <x v="3167"/>
    <s v="NEW PEPPERS"/>
    <d v="2023-06-20T00:00:00"/>
    <s v="300115"/>
    <s v="AUXILIAR CONSERVERA SA"/>
    <n v="134539.21799999999"/>
  </r>
  <r>
    <s v="Facture comptabilisée"/>
    <m/>
    <x v="0"/>
    <x v="3168"/>
    <s v="JIL PACK A"/>
    <d v="2023-06-20T00:00:00"/>
    <s v="300115"/>
    <s v="AUXILIAR CONSERVERA SA"/>
    <n v="396020.98800000001"/>
  </r>
  <r>
    <s v="Facture comptabilisée"/>
    <m/>
    <x v="0"/>
    <x v="3169"/>
    <s v="VMM"/>
    <d v="2023-06-20T00:00:00"/>
    <s v="300115"/>
    <s v="AUXILIAR CONSERVERA SA"/>
    <n v="131948.52660000001"/>
  </r>
  <r>
    <s v="Facture comptabilisée"/>
    <m/>
    <x v="0"/>
    <x v="3170"/>
    <s v="JIL PACK A"/>
    <d v="2023-06-20T00:00:00"/>
    <s v="300115"/>
    <s v="AUXILIAR CONSERVERA SA"/>
    <n v="390715.38"/>
  </r>
  <r>
    <s v="Facture comptabilisée"/>
    <m/>
    <x v="0"/>
    <x v="3171"/>
    <s v="NEW PEPPERS"/>
    <d v="2023-06-20T00:00:00"/>
    <s v="300115"/>
    <s v="AUXILIAR CONSERVERA SA"/>
    <n v="134539.21799999999"/>
  </r>
  <r>
    <s v="Facture comptabilisée"/>
    <m/>
    <x v="0"/>
    <x v="3172"/>
    <s v="64/2023 J"/>
    <d v="2023-06-20T00:00:00"/>
    <s v="300321"/>
    <s v="JIL LOGISTIQUE"/>
    <n v="19000"/>
  </r>
  <r>
    <s v="Facture comptabilisée"/>
    <m/>
    <x v="0"/>
    <x v="3173"/>
    <s v="62/2023 J"/>
    <d v="2023-06-20T00:00:00"/>
    <s v="300321"/>
    <s v="JIL LOGISTIQUE"/>
    <n v="19000"/>
  </r>
  <r>
    <s v="Facture comptabilisée"/>
    <m/>
    <x v="0"/>
    <x v="3174"/>
    <s v="63/2023 J"/>
    <d v="2023-06-21T00:00:00"/>
    <s v="300043"/>
    <s v="DOUANE"/>
    <n v="1513"/>
  </r>
  <r>
    <s v="Facture comptabilisée"/>
    <m/>
    <x v="0"/>
    <x v="3175"/>
    <s v="61/2023 J"/>
    <d v="2023-06-21T00:00:00"/>
    <s v="300043"/>
    <s v="DOUANE"/>
    <n v="1517"/>
  </r>
  <r>
    <s v="Facture comptabilisée"/>
    <m/>
    <x v="0"/>
    <x v="3176"/>
    <s v="18/2023 "/>
    <d v="2023-06-21T00:00:00"/>
    <s v="300043"/>
    <s v="DOUANE"/>
    <n v="609"/>
  </r>
  <r>
    <s v="Facture comptabilisée"/>
    <m/>
    <x v="0"/>
    <x v="3177"/>
    <s v="17/2023"/>
    <d v="2023-06-21T00:00:00"/>
    <s v="300043"/>
    <s v="DOUANE"/>
    <n v="609"/>
  </r>
  <r>
    <s v="Facture comptabilisée"/>
    <m/>
    <x v="0"/>
    <x v="3178"/>
    <s v="62/2023 J"/>
    <d v="2023-06-21T00:00:00"/>
    <s v="300043"/>
    <s v="DOUANE"/>
    <n v="1498"/>
  </r>
  <r>
    <s v="Facture comptabilisée"/>
    <m/>
    <x v="0"/>
    <x v="3179"/>
    <s v="17/2023 "/>
    <d v="2023-06-21T00:00:00"/>
    <s v="300101"/>
    <s v="ASMAE FORWARDING EXPRESS"/>
    <n v="1622.8"/>
  </r>
  <r>
    <s v="Facture comptabilisée"/>
    <m/>
    <x v="0"/>
    <x v="3180"/>
    <s v="18/2023"/>
    <d v="2023-06-21T00:00:00"/>
    <s v="300101"/>
    <s v="ASMAE FORWARDING EXPRESS"/>
    <n v="3780.57"/>
  </r>
  <r>
    <s v="Facture comptabilisée"/>
    <m/>
    <x v="0"/>
    <x v="3181"/>
    <s v="ATUNEROS DEL SUR"/>
    <d v="2023-06-21T00:00:00"/>
    <s v="300115"/>
    <s v="AUXILIAR CONSERVERA SA"/>
    <n v="396020.98800000001"/>
  </r>
  <r>
    <s v="Facture comptabilisée"/>
    <m/>
    <x v="0"/>
    <x v="3182"/>
    <s v="SMARCOS"/>
    <d v="2023-06-21T00:00:00"/>
    <s v="300115"/>
    <s v="AUXILIAR CONSERVERA SA"/>
    <n v="134539.21799999999"/>
  </r>
  <r>
    <s v="Facture comptabilisée"/>
    <m/>
    <x v="0"/>
    <x v="3183"/>
    <s v="280ML"/>
    <d v="2023-06-21T00:00:00"/>
    <s v="300133"/>
    <s v="OP BOX "/>
    <n v="55290"/>
  </r>
  <r>
    <s v="Facture comptabilisée"/>
    <m/>
    <x v="0"/>
    <x v="3184"/>
    <s v="56/2023 J"/>
    <d v="2023-06-21T00:00:00"/>
    <s v="300191"/>
    <s v="JTTL"/>
    <n v="3675.75"/>
  </r>
  <r>
    <s v="Facture comptabilisée"/>
    <m/>
    <x v="0"/>
    <x v="3185"/>
    <s v="57/2023 J"/>
    <d v="2023-06-21T00:00:00"/>
    <s v="300191"/>
    <s v="JTTL"/>
    <n v="3223.02"/>
  </r>
  <r>
    <s v="Facture comptabilisée"/>
    <m/>
    <x v="0"/>
    <x v="3186"/>
    <s v="58/2023 J"/>
    <d v="2023-06-21T00:00:00"/>
    <s v="300191"/>
    <s v="JTTL"/>
    <n v="3223.02"/>
  </r>
  <r>
    <s v="Facture comptabilisée"/>
    <m/>
    <x v="0"/>
    <x v="3187"/>
    <s v="59/2023 J"/>
    <d v="2023-06-21T00:00:00"/>
    <s v="300191"/>
    <s v="JTTL"/>
    <n v="3539.34"/>
  </r>
  <r>
    <s v="Facture comptabilisée"/>
    <m/>
    <x v="0"/>
    <x v="3188"/>
    <s v="60/2023 J"/>
    <d v="2023-06-21T00:00:00"/>
    <s v="300191"/>
    <s v="JTTL"/>
    <n v="3517.59"/>
  </r>
  <r>
    <s v="Facture comptabilisée"/>
    <m/>
    <x v="0"/>
    <x v="3189"/>
    <s v="65/2023 J"/>
    <d v="2023-06-21T00:00:00"/>
    <s v="300321"/>
    <s v="JIL LOGISTIQUE"/>
    <n v="16000"/>
  </r>
  <r>
    <s v="Facture comptabilisée"/>
    <m/>
    <x v="0"/>
    <x v="3190"/>
    <s v="75/2023 J"/>
    <d v="2023-06-21T00:00:00"/>
    <s v="300340"/>
    <s v="MSC MAROC"/>
    <n v="6248"/>
  </r>
  <r>
    <s v="Facture comptabilisée"/>
    <m/>
    <x v="0"/>
    <x v="3191"/>
    <s v="74/2023 J"/>
    <d v="2023-06-21T00:00:00"/>
    <s v="300340"/>
    <s v="MSC MAROC"/>
    <n v="3274"/>
  </r>
  <r>
    <s v="Facture comptabilisée"/>
    <m/>
    <x v="0"/>
    <x v="3192"/>
    <s v="16/2023"/>
    <d v="2023-06-22T00:00:00"/>
    <s v="300043"/>
    <s v="DOUANE"/>
    <n v="715"/>
  </r>
  <r>
    <s v="Facture comptabilisée"/>
    <m/>
    <x v="0"/>
    <x v="3193"/>
    <s v="64/2023 J"/>
    <d v="2023-06-22T00:00:00"/>
    <s v="300043"/>
    <s v="DOUANE"/>
    <n v="1516"/>
  </r>
  <r>
    <s v="Facture comptabilisée"/>
    <m/>
    <x v="0"/>
    <x v="3194"/>
    <s v="20/2023"/>
    <d v="2023-06-22T00:00:00"/>
    <s v="300043"/>
    <s v="DOUANE"/>
    <n v="601"/>
  </r>
  <r>
    <s v="Facture comptabilisée"/>
    <m/>
    <x v="0"/>
    <x v="3195"/>
    <s v="65/2023 J"/>
    <d v="2023-06-22T00:00:00"/>
    <s v="300043"/>
    <s v="DOUANE"/>
    <n v="1509"/>
  </r>
  <r>
    <s v="Facture comptabilisée"/>
    <m/>
    <x v="0"/>
    <x v="3196"/>
    <s v="16/2023"/>
    <d v="2023-06-22T00:00:00"/>
    <s v="300101"/>
    <s v="ASMAE FORWARDING EXPRESS"/>
    <n v="2025.51"/>
  </r>
  <r>
    <s v="Facture comptabilisée"/>
    <m/>
    <x v="0"/>
    <x v="3197"/>
    <s v="20/2023"/>
    <d v="2023-06-22T00:00:00"/>
    <s v="300101"/>
    <s v="ASMAE FORWARDING EXPRESS"/>
    <n v="2989.77"/>
  </r>
  <r>
    <s v="Facture comptabilisée"/>
    <m/>
    <x v="0"/>
    <x v="3198"/>
    <s v="1200ML"/>
    <d v="2023-06-22T00:00:00"/>
    <s v="300133"/>
    <s v="OP BOX "/>
    <n v="25194"/>
  </r>
  <r>
    <s v="Facture comptabilisée"/>
    <m/>
    <x v="0"/>
    <x v="3199"/>
    <m/>
    <d v="2023-06-23T00:00:00"/>
    <s v="300043"/>
    <s v="DOUANE"/>
    <n v="2932"/>
  </r>
  <r>
    <s v="Facture comptabilisée"/>
    <m/>
    <x v="0"/>
    <x v="3200"/>
    <s v="24/2023"/>
    <d v="2023-06-23T00:00:00"/>
    <s v="300043"/>
    <s v="DOUANE"/>
    <n v="611"/>
  </r>
  <r>
    <s v="Facture comptabilisée"/>
    <m/>
    <x v="0"/>
    <x v="3201"/>
    <s v="22/2023 "/>
    <d v="2023-06-23T00:00:00"/>
    <s v="300043"/>
    <s v="DOUANE"/>
    <n v="713"/>
  </r>
  <r>
    <s v="Facture comptabilisée"/>
    <m/>
    <x v="0"/>
    <x v="3202"/>
    <s v="22/2023"/>
    <d v="2023-06-23T00:00:00"/>
    <s v="300101"/>
    <s v="ASMAE FORWARDING EXPRESS"/>
    <n v="3147.93"/>
  </r>
  <r>
    <s v="Facture comptabilisée"/>
    <m/>
    <x v="0"/>
    <x v="3203"/>
    <s v="24/2023"/>
    <d v="2023-06-23T00:00:00"/>
    <s v="300101"/>
    <s v="ASMAE FORWARDING EXPRESS"/>
    <n v="5814.07"/>
  </r>
  <r>
    <s v="Facture comptabilisée"/>
    <m/>
    <x v="0"/>
    <x v="3204"/>
    <s v="61/2023 J"/>
    <d v="2023-06-23T00:00:00"/>
    <s v="300191"/>
    <s v="JTTL"/>
    <n v="3223.02"/>
  </r>
  <r>
    <s v="Facture comptabilisée"/>
    <m/>
    <x v="0"/>
    <x v="3205"/>
    <s v="62/2023 J"/>
    <d v="2023-06-23T00:00:00"/>
    <s v="300191"/>
    <s v="JTTL"/>
    <n v="3223.02"/>
  </r>
  <r>
    <s v="Facture comptabilisée"/>
    <m/>
    <x v="0"/>
    <x v="3206"/>
    <s v="63/2023 J"/>
    <d v="2023-06-23T00:00:00"/>
    <s v="300191"/>
    <s v="JTTL"/>
    <n v="3833.91"/>
  </r>
  <r>
    <s v="Facture comptabilisée"/>
    <m/>
    <x v="0"/>
    <x v="3207"/>
    <s v="16/2023"/>
    <d v="2023-06-24T00:00:00"/>
    <s v="300101"/>
    <s v="ASMAE FORWARDING EXPRESS"/>
    <n v="2157.77"/>
  </r>
  <r>
    <s v="Facture comptabilisée"/>
    <m/>
    <x v="0"/>
    <x v="3208"/>
    <m/>
    <d v="2023-06-26T00:00:00"/>
    <s v="300043"/>
    <s v="DOUANE"/>
    <n v="3112"/>
  </r>
  <r>
    <s v="Facture comptabilisée"/>
    <m/>
    <x v="0"/>
    <x v="3209"/>
    <m/>
    <d v="2023-06-26T00:00:00"/>
    <s v="300043"/>
    <s v="DOUANE"/>
    <n v="4307"/>
  </r>
  <r>
    <s v="Facture comptabilisée"/>
    <m/>
    <x v="0"/>
    <x v="3210"/>
    <s v="23/2023"/>
    <d v="2023-06-26T00:00:00"/>
    <s v="300043"/>
    <s v="DOUANE"/>
    <n v="611"/>
  </r>
  <r>
    <s v="Facture comptabilisée"/>
    <m/>
    <x v="0"/>
    <x v="3211"/>
    <s v="23/2023"/>
    <d v="2023-06-26T00:00:00"/>
    <s v="300101"/>
    <s v="ASMAE FORWARDING EXPRESS"/>
    <n v="3622.41"/>
  </r>
  <r>
    <s v="Facture comptabilisée"/>
    <m/>
    <x v="0"/>
    <x v="3212"/>
    <s v="64/2023 J"/>
    <d v="2023-06-26T00:00:00"/>
    <s v="300191"/>
    <s v="JTTL"/>
    <n v="3223.02"/>
  </r>
  <r>
    <s v="Facture comptabilisée"/>
    <m/>
    <x v="0"/>
    <x v="3213"/>
    <s v="65/2023 J"/>
    <d v="2023-06-26T00:00:00"/>
    <s v="300191"/>
    <s v="JTTL"/>
    <n v="3201.27"/>
  </r>
  <r>
    <s v="Facture comptabilisée"/>
    <m/>
    <x v="0"/>
    <x v="3214"/>
    <s v="74/2023 J"/>
    <d v="2023-06-27T00:00:00"/>
    <s v="300043"/>
    <s v="DOUANE"/>
    <n v="4304"/>
  </r>
  <r>
    <s v="Facture comptabilisée"/>
    <m/>
    <x v="0"/>
    <x v="3215"/>
    <s v="75/2023 J"/>
    <d v="2023-06-28T00:00:00"/>
    <s v="300043"/>
    <s v="DOUANE"/>
    <n v="8456"/>
  </r>
  <r>
    <s v="Facture comptabilisée"/>
    <m/>
    <x v="0"/>
    <x v="3216"/>
    <s v="66/2023 J"/>
    <d v="2023-06-28T00:00:00"/>
    <s v="300043"/>
    <s v="DOUANE"/>
    <n v="929"/>
  </r>
  <r>
    <s v="Facture comptabilisée"/>
    <m/>
    <x v="0"/>
    <x v="3217"/>
    <s v="INDUSTRIEL"/>
    <d v="2023-06-29T00:00:00"/>
    <s v="300356"/>
    <s v="MASSILY PORTUGAL"/>
    <n v="196312.16219999999"/>
  </r>
  <r>
    <s v="Facture comptabilisée"/>
    <m/>
    <x v="0"/>
    <x v="3218"/>
    <s v="17/2023"/>
    <d v="2023-07-04T00:00:00"/>
    <s v="300101"/>
    <s v="ASMAE FORWARDING EXPRESS"/>
    <n v="2157.77"/>
  </r>
  <r>
    <s v="Facture comptabilisée"/>
    <m/>
    <x v="0"/>
    <x v="3219"/>
    <s v="SILVER FOOD"/>
    <d v="2023-07-04T00:00:00"/>
    <s v="300115"/>
    <s v="AUXILIAR CONSERVERA SA"/>
    <n v="396020.98800000001"/>
  </r>
  <r>
    <s v="Facture comptabilisée"/>
    <m/>
    <x v="0"/>
    <x v="3220"/>
    <s v="66/2023 J"/>
    <d v="2023-07-04T00:00:00"/>
    <s v="300191"/>
    <s v="JTTL"/>
    <n v="7473.76"/>
  </r>
  <r>
    <s v="Facture comptabilisée"/>
    <m/>
    <x v="0"/>
    <x v="3221"/>
    <s v="67/2023 J"/>
    <d v="2023-07-04T00:00:00"/>
    <s v="300321"/>
    <s v="JIL LOGISTIQUE"/>
    <n v="18000"/>
  </r>
  <r>
    <s v="Facture comptabilisée"/>
    <m/>
    <x v="0"/>
    <x v="3222"/>
    <s v="67/2023 J"/>
    <d v="2023-07-05T00:00:00"/>
    <s v="300043"/>
    <s v="DOUANE"/>
    <n v="1502"/>
  </r>
  <r>
    <s v="Facture comptabilisée"/>
    <m/>
    <x v="0"/>
    <x v="3223"/>
    <s v="25/2023"/>
    <d v="2023-07-06T00:00:00"/>
    <s v="300043"/>
    <s v="DOUANE"/>
    <n v="814"/>
  </r>
  <r>
    <s v="Facture comptabilisée"/>
    <m/>
    <x v="0"/>
    <x v="3224"/>
    <s v="21/2023"/>
    <d v="2023-07-06T00:00:00"/>
    <s v="300043"/>
    <s v="DOUANE"/>
    <n v="597"/>
  </r>
  <r>
    <s v="Facture comptabilisée"/>
    <m/>
    <x v="0"/>
    <x v="3225"/>
    <s v="21/2023"/>
    <d v="2023-07-06T00:00:00"/>
    <s v="300101"/>
    <s v="ASMAE FORWARDING EXPRESS"/>
    <n v="5610.72"/>
  </r>
  <r>
    <s v="Facture comptabilisée"/>
    <m/>
    <x v="0"/>
    <x v="3226"/>
    <s v="25/2023"/>
    <d v="2023-07-06T00:00:00"/>
    <s v="300101"/>
    <s v="ASMAE FORWARDING EXPRESS"/>
    <n v="4096.8999999999996"/>
  </r>
  <r>
    <s v="Facture comptabilisée"/>
    <m/>
    <x v="0"/>
    <x v="3227"/>
    <s v="JIL PACK A"/>
    <d v="2023-07-06T00:00:00"/>
    <s v="300115"/>
    <s v="AUXILIAR CONSERVERA SA"/>
    <n v="396020.98800000001"/>
  </r>
  <r>
    <s v="Facture comptabilisée"/>
    <m/>
    <x v="0"/>
    <x v="3228"/>
    <s v="71/2023 J"/>
    <d v="2023-07-06T00:00:00"/>
    <s v="300321"/>
    <s v="JIL LOGISTIQUE"/>
    <n v="18000"/>
  </r>
  <r>
    <s v="Facture comptabilisée"/>
    <m/>
    <x v="0"/>
    <x v="3229"/>
    <s v="JIL PACK A"/>
    <d v="2023-07-07T00:00:00"/>
    <s v="300115"/>
    <s v="AUXILIAR CONSERVERA SA"/>
    <n v="396020.98800000001"/>
  </r>
  <r>
    <s v="Facture comptabilisée"/>
    <m/>
    <x v="0"/>
    <x v="3230"/>
    <s v="67/2023 J"/>
    <d v="2023-07-07T00:00:00"/>
    <s v="300191"/>
    <s v="JTTL"/>
    <n v="3201.27"/>
  </r>
  <r>
    <s v="Facture comptabilisée"/>
    <m/>
    <x v="0"/>
    <x v="3231"/>
    <s v="69/2023 J"/>
    <d v="2023-07-07T00:00:00"/>
    <s v="300321"/>
    <s v="JIL LOGISTIQUE"/>
    <n v="18000"/>
  </r>
  <r>
    <s v="Facture comptabilisée"/>
    <m/>
    <x v="0"/>
    <x v="3232"/>
    <s v="70/2023 J"/>
    <d v="2023-07-10T00:00:00"/>
    <s v="300043"/>
    <s v="DOUANE"/>
    <n v="169"/>
  </r>
  <r>
    <s v="Facture comptabilisée"/>
    <m/>
    <x v="0"/>
    <x v="3233"/>
    <s v="SILVER FOOD"/>
    <d v="2023-07-10T00:00:00"/>
    <s v="300115"/>
    <s v="AUXILIAR CONSERVERA SA"/>
    <n v="375590.0148"/>
  </r>
  <r>
    <s v="Facture comptabilisée"/>
    <m/>
    <x v="0"/>
    <x v="3234"/>
    <s v="68/2023 J"/>
    <d v="2023-07-10T00:00:00"/>
    <s v="300321"/>
    <s v="JIL LOGISTIQUE"/>
    <n v="18000"/>
  </r>
  <r>
    <s v="Facture comptabilisée"/>
    <m/>
    <x v="0"/>
    <x v="3235"/>
    <s v="71/2023 J"/>
    <d v="2023-07-11T00:00:00"/>
    <s v="300043"/>
    <s v="DOUANE"/>
    <n v="1505"/>
  </r>
  <r>
    <s v="Facture comptabilisée"/>
    <m/>
    <x v="0"/>
    <x v="3236"/>
    <s v="69/2023 J"/>
    <d v="2023-07-11T00:00:00"/>
    <s v="300043"/>
    <s v="DOUANE"/>
    <n v="1510"/>
  </r>
  <r>
    <s v="Facture comptabilisée"/>
    <m/>
    <x v="0"/>
    <x v="3237"/>
    <s v="68/2023 J"/>
    <d v="2023-07-11T00:00:00"/>
    <s v="300043"/>
    <s v="DOUANE"/>
    <n v="1444"/>
  </r>
  <r>
    <s v="Facture comptabilisée"/>
    <m/>
    <x v="0"/>
    <x v="3238"/>
    <s v="JIL PACK A"/>
    <d v="2023-07-11T00:00:00"/>
    <s v="300115"/>
    <s v="AUXILIAR CONSERVERA SA"/>
    <n v="375590.0148"/>
  </r>
  <r>
    <s v="Facture comptabilisée"/>
    <m/>
    <x v="0"/>
    <x v="3239"/>
    <s v="SILVER FOOD"/>
    <d v="2023-07-11T00:00:00"/>
    <s v="300115"/>
    <s v="AUXILIAR CONSERVERA SA"/>
    <n v="396020.98800000001"/>
  </r>
  <r>
    <s v="Facture comptabilisée"/>
    <m/>
    <x v="0"/>
    <x v="3240"/>
    <s v="73/2023 J"/>
    <d v="2023-07-11T00:00:00"/>
    <s v="300321"/>
    <s v="JIL LOGISTIQUE"/>
    <n v="18000"/>
  </r>
  <r>
    <s v="Facture comptabilisée"/>
    <m/>
    <x v="0"/>
    <x v="3241"/>
    <s v="72/2023 J"/>
    <d v="2023-07-11T00:00:00"/>
    <s v="300321"/>
    <s v="JIL LOGISTIQUE"/>
    <n v="18000"/>
  </r>
  <r>
    <s v="Facture comptabilisée"/>
    <m/>
    <x v="0"/>
    <x v="3242"/>
    <s v="JIL PACK"/>
    <d v="2023-07-12T00:00:00"/>
    <s v="300226"/>
    <s v="Sarten Ambalaj Sanayi ve Ticaret AS"/>
    <n v="321424.52100000001"/>
  </r>
  <r>
    <s v="Facture comptabilisée"/>
    <m/>
    <x v="0"/>
    <x v="3243"/>
    <s v="72/2023 J"/>
    <d v="2023-07-13T00:00:00"/>
    <s v="300043"/>
    <s v="DOUANE"/>
    <n v="1451"/>
  </r>
  <r>
    <s v="Facture comptabilisée"/>
    <m/>
    <x v="0"/>
    <x v="3244"/>
    <s v="73/2023 J"/>
    <d v="2023-07-13T00:00:00"/>
    <s v="300043"/>
    <s v="DOUANE"/>
    <n v="1517"/>
  </r>
  <r>
    <s v="Facture comptabilisée"/>
    <m/>
    <x v="0"/>
    <x v="3245"/>
    <s v="68/2023 J"/>
    <d v="2023-07-13T00:00:00"/>
    <s v="300191"/>
    <s v="JTTL"/>
    <n v="3201.27"/>
  </r>
  <r>
    <s v="Facture comptabilisée"/>
    <m/>
    <x v="0"/>
    <x v="3246"/>
    <s v="69/2023 J"/>
    <d v="2023-07-13T00:00:00"/>
    <s v="300191"/>
    <s v="JTTL"/>
    <n v="3001.27"/>
  </r>
  <r>
    <s v="Facture comptabilisée"/>
    <m/>
    <x v="0"/>
    <x v="3247"/>
    <s v="JIL PACK A"/>
    <d v="2023-07-13T00:00:00"/>
    <s v="300220"/>
    <s v="ENVASES EUROPE"/>
    <n v="945739.47600000002"/>
  </r>
  <r>
    <s v="Facture comptabilisée"/>
    <m/>
    <x v="0"/>
    <x v="3248"/>
    <s v="70/2023 J"/>
    <d v="2023-07-14T00:00:00"/>
    <s v="300191"/>
    <s v="JTTL"/>
    <n v="2993.95"/>
  </r>
  <r>
    <s v="Facture comptabilisée"/>
    <m/>
    <x v="0"/>
    <x v="3249"/>
    <s v="71/2023 J"/>
    <d v="2023-07-15T00:00:00"/>
    <s v="300191"/>
    <s v="JTTL"/>
    <n v="3315.93"/>
  </r>
  <r>
    <s v="Facture comptabilisée"/>
    <m/>
    <x v="0"/>
    <x v="3250"/>
    <s v="72/2023 J"/>
    <d v="2023-07-15T00:00:00"/>
    <s v="300191"/>
    <s v="JTTL"/>
    <n v="3359.43"/>
  </r>
  <r>
    <s v="Facture comptabilisée"/>
    <m/>
    <x v="0"/>
    <x v="3251"/>
    <s v="73/2023 J"/>
    <d v="2023-07-15T00:00:00"/>
    <s v="300191"/>
    <s v="JTTL"/>
    <n v="3201.27"/>
  </r>
  <r>
    <s v="Facture comptabilisée"/>
    <m/>
    <x v="0"/>
    <x v="3252"/>
    <s v="SMARCOS"/>
    <d v="2023-07-17T00:00:00"/>
    <s v="300115"/>
    <s v="AUXILIAR CONSERVERA SA"/>
    <n v="134539.21799999999"/>
  </r>
  <r>
    <s v="Facture comptabilisée"/>
    <m/>
    <x v="0"/>
    <x v="3253"/>
    <s v="SMARCOS"/>
    <d v="2023-07-17T00:00:00"/>
    <s v="300115"/>
    <s v="AUXILIAR CONSERVERA SA"/>
    <n v="134539.21799999999"/>
  </r>
  <r>
    <s v="Facture comptabilisée"/>
    <m/>
    <x v="0"/>
    <x v="3254"/>
    <s v="74/2023 J"/>
    <d v="2023-07-17T00:00:00"/>
    <s v="300191"/>
    <s v="JTTL"/>
    <n v="5868.79"/>
  </r>
  <r>
    <s v="Facture comptabilisée"/>
    <m/>
    <x v="0"/>
    <x v="3255"/>
    <s v="75/2023 J"/>
    <d v="2023-07-17T00:00:00"/>
    <s v="300191"/>
    <s v="JTTL"/>
    <n v="11036.48"/>
  </r>
  <r>
    <s v="Facture comptabilisée"/>
    <m/>
    <x v="0"/>
    <x v="3256"/>
    <s v="NEW PEPPERS"/>
    <d v="2023-07-18T00:00:00"/>
    <s v="300115"/>
    <s v="AUXILIAR CONSERVERA SA"/>
    <n v="134539.21799999999"/>
  </r>
  <r>
    <s v="Facture comptabilisée"/>
    <m/>
    <x v="0"/>
    <x v="3257"/>
    <s v="NEW PEPPERS"/>
    <d v="2023-07-19T00:00:00"/>
    <s v="300115"/>
    <s v="AUXILIAR CONSERVERA SA"/>
    <n v="134539.21799999999"/>
  </r>
  <r>
    <s v="Facture comptabilisée"/>
    <m/>
    <x v="0"/>
    <x v="3258"/>
    <m/>
    <d v="2023-07-20T00:00:00"/>
    <s v="300043"/>
    <s v="DOUANE"/>
    <n v="3486"/>
  </r>
  <r>
    <s v="Facture comptabilisée"/>
    <m/>
    <x v="0"/>
    <x v="3259"/>
    <s v="27/2023 J"/>
    <d v="2023-07-20T00:00:00"/>
    <s v="300043"/>
    <s v="DOUANE"/>
    <n v="612"/>
  </r>
  <r>
    <s v="Facture comptabilisée"/>
    <m/>
    <x v="0"/>
    <x v="3260"/>
    <s v="26/2023"/>
    <d v="2023-07-20T00:00:00"/>
    <s v="300043"/>
    <s v="DOUANE"/>
    <n v="612"/>
  </r>
  <r>
    <s v="Facture comptabilisée"/>
    <m/>
    <x v="0"/>
    <x v="3261"/>
    <s v="26/2023"/>
    <d v="2023-07-20T00:00:00"/>
    <s v="300101"/>
    <s v="ASMAE FORWARDING EXPRESS"/>
    <n v="3147.93"/>
  </r>
  <r>
    <s v="Facture comptabilisée"/>
    <m/>
    <x v="0"/>
    <x v="3262"/>
    <s v="27/2023 "/>
    <d v="2023-07-20T00:00:00"/>
    <s v="300101"/>
    <s v="ASMAE FORWARDING EXPRESS"/>
    <n v="3306.09"/>
  </r>
  <r>
    <s v="Facture comptabilisée"/>
    <m/>
    <x v="0"/>
    <x v="3263"/>
    <s v="28/2023"/>
    <d v="2023-07-21T00:00:00"/>
    <s v="300043"/>
    <s v="DOUANE"/>
    <n v="611"/>
  </r>
  <r>
    <s v="Facture comptabilisée"/>
    <m/>
    <x v="0"/>
    <x v="3264"/>
    <s v="28/2023"/>
    <d v="2023-07-21T00:00:00"/>
    <s v="300101"/>
    <s v="ASMAE FORWARDING EXPRESS"/>
    <n v="3306.09"/>
  </r>
  <r>
    <s v="Facture comptabilisée"/>
    <m/>
    <x v="0"/>
    <x v="3265"/>
    <s v="LA GIRONDE"/>
    <d v="2023-07-21T00:00:00"/>
    <s v="300115"/>
    <s v="AUXILIAR CONSERVERA SA"/>
    <n v="393576.86940000003"/>
  </r>
  <r>
    <s v="Facture comptabilisée"/>
    <m/>
    <x v="0"/>
    <x v="3266"/>
    <s v="LA GIRONDE"/>
    <d v="2023-07-21T00:00:00"/>
    <s v="300115"/>
    <s v="AUXILIAR CONSERVERA SA"/>
    <n v="393576.86940000003"/>
  </r>
  <r>
    <s v="Facture comptabilisée"/>
    <m/>
    <x v="0"/>
    <x v="3267"/>
    <s v="JIL PACK A"/>
    <d v="2023-07-21T00:00:00"/>
    <s v="300115"/>
    <s v="AUXILIAR CONSERVERA SA"/>
    <n v="357779.99400000001"/>
  </r>
  <r>
    <s v="Facture comptabilisée"/>
    <m/>
    <x v="0"/>
    <x v="3268"/>
    <s v="LOGI FOOD"/>
    <d v="2023-07-21T00:00:00"/>
    <s v="300115"/>
    <s v="AUXILIAR CONSERVERA SA"/>
    <n v="345718.93949999998"/>
  </r>
  <r>
    <s v="Facture comptabilisée"/>
    <m/>
    <x v="0"/>
    <x v="3269"/>
    <s v="LOGI FOOD"/>
    <d v="2023-07-24T00:00:00"/>
    <s v="300115"/>
    <s v="AUXILIAR CONSERVERA SA"/>
    <n v="1976.8320000000001"/>
  </r>
  <r>
    <s v="Facture comptabilisée"/>
    <m/>
    <x v="0"/>
    <x v="3270"/>
    <m/>
    <d v="2023-07-25T00:00:00"/>
    <s v="300043"/>
    <s v="DOUANE"/>
    <n v="4610"/>
  </r>
  <r>
    <s v="Facture comptabilisée"/>
    <m/>
    <x v="0"/>
    <x v="3271"/>
    <s v="VMM"/>
    <d v="2023-07-25T00:00:00"/>
    <s v="300115"/>
    <s v="AUXILIAR CONSERVERA SA"/>
    <n v="165420.288"/>
  </r>
  <r>
    <s v="Facture comptabilisée"/>
    <m/>
    <x v="0"/>
    <x v="3272"/>
    <s v="29/2023"/>
    <d v="2023-07-26T00:00:00"/>
    <s v="300043"/>
    <s v="DOUANE"/>
    <n v="1457"/>
  </r>
  <r>
    <s v="Facture comptabilisée"/>
    <m/>
    <x v="0"/>
    <x v="3273"/>
    <s v="29/2023"/>
    <d v="2023-07-26T00:00:00"/>
    <s v="300101"/>
    <s v="ASMAE FORWARDING EXPRESS"/>
    <n v="3306.09"/>
  </r>
  <r>
    <s v="Facture comptabilisée"/>
    <m/>
    <x v="0"/>
    <x v="3274"/>
    <s v="76/2023 J"/>
    <d v="2023-07-26T00:00:00"/>
    <s v="300364"/>
    <s v="CMA CGM MAROC"/>
    <n v="8576.6"/>
  </r>
  <r>
    <s v="Facture comptabilisée"/>
    <m/>
    <x v="0"/>
    <x v="3275"/>
    <s v="34/2023"/>
    <d v="2023-07-27T00:00:00"/>
    <s v="300043"/>
    <s v="DOUANE"/>
    <n v="608"/>
  </r>
  <r>
    <s v="Facture comptabilisée"/>
    <m/>
    <x v="0"/>
    <x v="3276"/>
    <s v="34/2023"/>
    <d v="2023-07-27T00:00:00"/>
    <s v="300101"/>
    <s v="ASMAE FORWARDING EXPRESS"/>
    <n v="3780.57"/>
  </r>
  <r>
    <s v="Facture comptabilisée"/>
    <m/>
    <x v="0"/>
    <x v="3277"/>
    <s v="CHERIF*JIL PACK*"/>
    <d v="2023-07-27T00:00:00"/>
    <s v="300115"/>
    <s v="AUXILIAR CONSERVERA SA"/>
    <n v="134551.89000000001"/>
  </r>
  <r>
    <s v="Facture comptabilisée"/>
    <m/>
    <x v="0"/>
    <x v="3278"/>
    <s v="UF"/>
    <d v="2023-07-27T00:00:00"/>
    <s v="300115"/>
    <s v="AUXILIAR CONSERVERA SA"/>
    <n v="134539.21799999999"/>
  </r>
  <r>
    <s v="Facture comptabilisée"/>
    <m/>
    <x v="0"/>
    <x v="3279"/>
    <s v="30/2023"/>
    <d v="2023-07-28T00:00:00"/>
    <s v="300043"/>
    <s v="DOUANE"/>
    <n v="1461"/>
  </r>
  <r>
    <s v="Facture comptabilisée"/>
    <m/>
    <x v="0"/>
    <x v="3280"/>
    <s v="76/2023 J"/>
    <d v="2023-07-28T00:00:00"/>
    <s v="300043"/>
    <s v="DOUANE"/>
    <n v="1118"/>
  </r>
  <r>
    <s v="Facture comptabilisée"/>
    <m/>
    <x v="0"/>
    <x v="3281"/>
    <s v="5/1 NEUTRE"/>
    <d v="2023-07-28T00:00:00"/>
    <s v="300064"/>
    <s v="SONOCO Métal Packaging Maroc"/>
    <n v="140980"/>
  </r>
  <r>
    <s v="Facture comptabilisée"/>
    <m/>
    <x v="0"/>
    <x v="3282"/>
    <s v="5/1 NEUTRE"/>
    <d v="2023-07-28T00:00:00"/>
    <s v="300064"/>
    <s v="SONOCO Métal Packaging Maroc"/>
    <n v="140770"/>
  </r>
  <r>
    <s v="Facture comptabilisée"/>
    <m/>
    <x v="0"/>
    <x v="3283"/>
    <s v="5/1 NEUTRE"/>
    <d v="2023-07-28T00:00:00"/>
    <s v="300064"/>
    <s v="SONOCO Métal Packaging Maroc"/>
    <n v="140980"/>
  </r>
  <r>
    <s v="Facture comptabilisée"/>
    <m/>
    <x v="0"/>
    <x v="3284"/>
    <s v="5/1 NEUTRE"/>
    <d v="2023-07-28T00:00:00"/>
    <s v="300064"/>
    <s v="SONOCO Métal Packaging Maroc"/>
    <n v="140980"/>
  </r>
  <r>
    <s v="Facture comptabilisée"/>
    <m/>
    <x v="0"/>
    <x v="3285"/>
    <s v="30/2023"/>
    <d v="2023-07-28T00:00:00"/>
    <s v="300101"/>
    <s v="ASMAE FORWARDING EXPRESS"/>
    <n v="3780.57"/>
  </r>
  <r>
    <s v="Facture comptabilisée"/>
    <m/>
    <x v="0"/>
    <x v="3286"/>
    <s v="NEW PEPPERS"/>
    <d v="2023-07-28T00:00:00"/>
    <s v="300115"/>
    <s v="AUXILIAR CONSERVERA SA"/>
    <n v="134539.21799999999"/>
  </r>
  <r>
    <s v="Facture comptabilisée"/>
    <m/>
    <x v="0"/>
    <x v="3287"/>
    <s v="UF"/>
    <d v="2023-07-28T00:00:00"/>
    <s v="300115"/>
    <s v="AUXILIAR CONSERVERA SA"/>
    <n v="134539.21799999999"/>
  </r>
  <r>
    <s v="Facture comptabilisée"/>
    <m/>
    <x v="0"/>
    <x v="3288"/>
    <s v="31/2023"/>
    <d v="2023-07-29T00:00:00"/>
    <s v="300043"/>
    <s v="DOUANE"/>
    <n v="703"/>
  </r>
  <r>
    <s v="Facture comptabilisée"/>
    <m/>
    <x v="0"/>
    <x v="3289"/>
    <s v="33/2023"/>
    <d v="2023-07-29T00:00:00"/>
    <s v="300043"/>
    <s v="DOUANE"/>
    <n v="1385"/>
  </r>
  <r>
    <s v="Facture comptabilisée"/>
    <m/>
    <x v="0"/>
    <x v="3290"/>
    <s v="31/2023"/>
    <d v="2023-07-29T00:00:00"/>
    <s v="300101"/>
    <s v="ASMAE FORWARDING EXPRESS"/>
    <n v="3622.41"/>
  </r>
  <r>
    <s v="Facture comptabilisée"/>
    <m/>
    <x v="0"/>
    <x v="3291"/>
    <s v="33/2023"/>
    <d v="2023-07-29T00:00:00"/>
    <s v="300101"/>
    <s v="ASMAE FORWARDING EXPRESS"/>
    <n v="3780.57"/>
  </r>
  <r>
    <s v="Facture comptabilisée"/>
    <m/>
    <x v="0"/>
    <x v="3292"/>
    <m/>
    <d v="2023-07-31T00:00:00"/>
    <s v="300043"/>
    <s v="DOUANE"/>
    <n v="3717"/>
  </r>
  <r>
    <s v="Facture comptabilisée"/>
    <m/>
    <x v="0"/>
    <x v="3293"/>
    <s v="32/2023"/>
    <d v="2023-07-31T00:00:00"/>
    <s v="300043"/>
    <s v="DOUANE"/>
    <n v="1293"/>
  </r>
  <r>
    <s v="Facture comptabilisée"/>
    <m/>
    <x v="0"/>
    <x v="3294"/>
    <m/>
    <d v="2023-07-31T00:00:00"/>
    <s v="300064"/>
    <s v="SONOCO Métal Packaging Maroc"/>
    <n v="15120"/>
  </r>
  <r>
    <s v="Facture comptabilisée"/>
    <m/>
    <x v="0"/>
    <x v="3295"/>
    <s v="5/1 NEUTRE"/>
    <d v="2023-07-31T00:00:00"/>
    <s v="300064"/>
    <s v="SONOCO Métal Packaging Maroc"/>
    <n v="140980"/>
  </r>
  <r>
    <s v="Facture comptabilisée"/>
    <m/>
    <x v="0"/>
    <x v="3296"/>
    <s v="32/2023"/>
    <d v="2023-07-31T00:00:00"/>
    <s v="300101"/>
    <s v="ASMAE FORWARDING EXPRESS"/>
    <n v="3780.57"/>
  </r>
  <r>
    <s v="Facture comptabilisée"/>
    <m/>
    <x v="0"/>
    <x v="3297"/>
    <s v="NEW PEPPERS"/>
    <d v="2023-07-31T00:00:00"/>
    <s v="300115"/>
    <s v="AUXILIAR CONSERVERA SA"/>
    <n v="134539.21799999999"/>
  </r>
  <r>
    <s v="Facture comptabilisée"/>
    <m/>
    <x v="0"/>
    <x v="3298"/>
    <s v="SILVER FOOD"/>
    <d v="2023-07-31T00:00:00"/>
    <s v="300115"/>
    <s v="AUXILIAR CONSERVERA SA"/>
    <n v="396020.98800000001"/>
  </r>
  <r>
    <s v="Facture comptabilisée"/>
    <m/>
    <x v="0"/>
    <x v="3299"/>
    <s v="76/2023 J"/>
    <d v="2023-07-31T00:00:00"/>
    <s v="300191"/>
    <s v="JTTL"/>
    <n v="8788.5"/>
  </r>
  <r>
    <s v="Facture comptabilisée"/>
    <m/>
    <x v="0"/>
    <x v="3300"/>
    <s v="78/2023 J"/>
    <d v="2023-07-31T00:00:00"/>
    <s v="300321"/>
    <s v="JIL LOGISTIQUE"/>
    <n v="18000"/>
  </r>
  <r>
    <s v="Facture comptabilisée"/>
    <m/>
    <x v="0"/>
    <x v="3301"/>
    <s v="44/2023"/>
    <d v="2023-08-01T00:00:00"/>
    <s v="300043"/>
    <s v="DOUANE"/>
    <n v="607"/>
  </r>
  <r>
    <s v="Facture comptabilisée"/>
    <m/>
    <x v="0"/>
    <x v="3302"/>
    <s v="35/2023"/>
    <d v="2023-08-01T00:00:00"/>
    <s v="300043"/>
    <s v="DOUANE"/>
    <n v="607"/>
  </r>
  <r>
    <s v="Facture comptabilisée"/>
    <m/>
    <x v="0"/>
    <x v="3303"/>
    <s v="45/2023"/>
    <d v="2023-08-01T00:00:00"/>
    <s v="300043"/>
    <s v="DOUANE"/>
    <n v="607"/>
  </r>
  <r>
    <s v="Facture comptabilisée"/>
    <m/>
    <x v="0"/>
    <x v="3304"/>
    <s v="40/2023"/>
    <d v="2023-08-01T00:00:00"/>
    <s v="300043"/>
    <s v="DOUANE"/>
    <n v="608"/>
  </r>
  <r>
    <s v="Facture comptabilisée"/>
    <m/>
    <x v="0"/>
    <x v="3305"/>
    <s v="35/2023"/>
    <d v="2023-08-01T00:00:00"/>
    <s v="300101"/>
    <s v="ASMAE FORWARDING EXPRESS"/>
    <n v="3306.09"/>
  </r>
  <r>
    <s v="Facture comptabilisée"/>
    <m/>
    <x v="0"/>
    <x v="3306"/>
    <s v="40/2023"/>
    <d v="2023-08-01T00:00:00"/>
    <s v="300101"/>
    <s v="ASMAE FORWARDING EXPRESS"/>
    <n v="3147.93"/>
  </r>
  <r>
    <s v="Facture comptabilisée"/>
    <m/>
    <x v="0"/>
    <x v="3307"/>
    <s v="44/2023"/>
    <d v="2023-08-01T00:00:00"/>
    <s v="300101"/>
    <s v="ASMAE FORWARDING EXPRESS"/>
    <n v="3147.93"/>
  </r>
  <r>
    <s v="Facture comptabilisée"/>
    <m/>
    <x v="0"/>
    <x v="3308"/>
    <s v="45/2023"/>
    <d v="2023-08-01T00:00:00"/>
    <s v="300101"/>
    <s v="ASMAE FORWARDING EXPRESS"/>
    <n v="3306.09"/>
  </r>
  <r>
    <s v="Facture comptabilisée"/>
    <m/>
    <x v="0"/>
    <x v="3309"/>
    <s v="ATUNEROS DEL SUR"/>
    <d v="2023-08-01T00:00:00"/>
    <s v="300115"/>
    <s v="AUXILIAR CONSERVERA SA"/>
    <n v="396020.98800000001"/>
  </r>
  <r>
    <s v="Facture comptabilisée"/>
    <m/>
    <x v="0"/>
    <x v="3310"/>
    <s v="NEW PEPPERS"/>
    <d v="2023-08-01T00:00:00"/>
    <s v="300115"/>
    <s v="AUXILIAR CONSERVERA SA"/>
    <n v="134539.21799999999"/>
  </r>
  <r>
    <s v="Facture comptabilisée"/>
    <m/>
    <x v="0"/>
    <x v="3311"/>
    <s v="NEW PEPPERS"/>
    <d v="2023-08-01T00:00:00"/>
    <s v="300115"/>
    <s v="AUXILIAR CONSERVERA SA"/>
    <n v="134539.21799999999"/>
  </r>
  <r>
    <s v="Facture comptabilisée"/>
    <m/>
    <x v="0"/>
    <x v="3312"/>
    <s v="77/2023"/>
    <d v="2023-08-01T00:00:00"/>
    <s v="300321"/>
    <s v="JIL LOGISTIQUE"/>
    <n v="18000"/>
  </r>
  <r>
    <s v="Facture comptabilisée"/>
    <m/>
    <x v="0"/>
    <x v="3313"/>
    <s v="78/2023 J"/>
    <d v="2023-08-02T00:00:00"/>
    <s v="300043"/>
    <s v="DOUANE"/>
    <n v="1522"/>
  </r>
  <r>
    <s v="Facture comptabilisée"/>
    <m/>
    <x v="0"/>
    <x v="3314"/>
    <s v="NEW PEPPERS"/>
    <d v="2023-08-02T00:00:00"/>
    <s v="300115"/>
    <s v="AUXILIAR CONSERVERA SA"/>
    <n v="134539.21799999999"/>
  </r>
  <r>
    <s v="Facture comptabilisée"/>
    <m/>
    <x v="0"/>
    <x v="3315"/>
    <s v="NEW PEPPERS"/>
    <d v="2023-08-02T00:00:00"/>
    <s v="300115"/>
    <s v="AUXILIAR CONSERVERA SA"/>
    <n v="134539.21799999999"/>
  </r>
  <r>
    <s v="Facture comptabilisée"/>
    <m/>
    <x v="0"/>
    <x v="3316"/>
    <s v="NEW PEPPERS"/>
    <d v="2023-08-02T00:00:00"/>
    <s v="300115"/>
    <s v="AUXILIAR CONSERVERA SA"/>
    <n v="134539.21799999999"/>
  </r>
  <r>
    <s v="Facture comptabilisée"/>
    <m/>
    <x v="0"/>
    <x v="3317"/>
    <s v="77/2023 J"/>
    <d v="2023-08-03T00:00:00"/>
    <s v="300043"/>
    <s v="DOUANE"/>
    <n v="1518"/>
  </r>
  <r>
    <s v="Facture comptabilisée"/>
    <m/>
    <x v="0"/>
    <x v="3318"/>
    <s v="37/2023"/>
    <d v="2023-08-03T00:00:00"/>
    <s v="300043"/>
    <s v="DOUANE"/>
    <n v="605"/>
  </r>
  <r>
    <s v="Facture comptabilisée"/>
    <m/>
    <x v="0"/>
    <x v="3319"/>
    <s v="43/2023"/>
    <d v="2023-08-03T00:00:00"/>
    <s v="300043"/>
    <s v="DOUANE"/>
    <n v="605"/>
  </r>
  <r>
    <s v="Facture comptabilisée"/>
    <m/>
    <x v="0"/>
    <x v="3320"/>
    <s v="37/2023"/>
    <d v="2023-08-03T00:00:00"/>
    <s v="300101"/>
    <s v="ASMAE FORWARDING EXPRESS"/>
    <n v="2989.77"/>
  </r>
  <r>
    <s v="Facture comptabilisée"/>
    <m/>
    <x v="0"/>
    <x v="3321"/>
    <s v="43/2023"/>
    <d v="2023-08-03T00:00:00"/>
    <s v="300101"/>
    <s v="ASMAE FORWARDING EXPRESS"/>
    <n v="3306.09"/>
  </r>
  <r>
    <s v="Facture comptabilisée"/>
    <m/>
    <x v="0"/>
    <x v="3322"/>
    <s v="NEW PEPPERS"/>
    <d v="2023-08-03T00:00:00"/>
    <s v="300115"/>
    <s v="AUXILIAR CONSERVERA SA"/>
    <n v="134539.21799999999"/>
  </r>
  <r>
    <s v="Facture comptabilisée"/>
    <m/>
    <x v="0"/>
    <x v="3323"/>
    <s v="JIL PACK A"/>
    <d v="2023-08-03T00:00:00"/>
    <s v="300115"/>
    <s v="AUXILIAR CONSERVERA SA"/>
    <n v="412748.35800000001"/>
  </r>
  <r>
    <s v="Facture comptabilisée"/>
    <m/>
    <x v="0"/>
    <x v="3324"/>
    <s v="36/2023"/>
    <d v="2023-08-04T00:00:00"/>
    <s v="300043"/>
    <s v="DOUANE"/>
    <n v="605"/>
  </r>
  <r>
    <s v="Facture comptabilisée"/>
    <m/>
    <x v="0"/>
    <x v="3325"/>
    <s v="39/2023"/>
    <d v="2023-08-04T00:00:00"/>
    <s v="300043"/>
    <s v="DOUANE"/>
    <n v="605"/>
  </r>
  <r>
    <s v="Facture comptabilisée"/>
    <m/>
    <x v="0"/>
    <x v="3326"/>
    <s v="36/2023"/>
    <d v="2023-08-04T00:00:00"/>
    <s v="300101"/>
    <s v="ASMAE FORWARDING EXPRESS"/>
    <n v="3147.93"/>
  </r>
  <r>
    <s v="Facture comptabilisée"/>
    <m/>
    <x v="0"/>
    <x v="3327"/>
    <s v="39/2023"/>
    <d v="2023-08-04T00:00:00"/>
    <s v="300101"/>
    <s v="ASMAE FORWARDING EXPRESS"/>
    <n v="2989.77"/>
  </r>
  <r>
    <s v="Facture comptabilisée"/>
    <m/>
    <x v="0"/>
    <x v="3328"/>
    <s v="JIL PACK A"/>
    <d v="2023-08-04T00:00:00"/>
    <s v="300115"/>
    <s v="AUXILIAR CONSERVERA SA"/>
    <n v="412748.35800000001"/>
  </r>
  <r>
    <s v="Facture comptabilisée"/>
    <m/>
    <x v="0"/>
    <x v="3329"/>
    <s v="UF"/>
    <d v="2023-08-04T00:00:00"/>
    <s v="300115"/>
    <s v="AUXILIAR CONSERVERA SA"/>
    <n v="107661.9654"/>
  </r>
  <r>
    <s v="Facture comptabilisée"/>
    <m/>
    <x v="0"/>
    <x v="3330"/>
    <s v="UF*OUALILI*"/>
    <d v="2023-08-04T00:00:00"/>
    <s v="300115"/>
    <s v="AUXILIAR CONSERVERA SA"/>
    <n v="107661.9654"/>
  </r>
  <r>
    <s v="Facture comptabilisée"/>
    <m/>
    <x v="0"/>
    <x v="3331"/>
    <s v="90/2023 J"/>
    <d v="2023-08-05T00:00:00"/>
    <s v="300340"/>
    <s v="MSC MAROC"/>
    <n v="3274"/>
  </r>
  <r>
    <s v="Facture comptabilisée"/>
    <m/>
    <x v="0"/>
    <x v="3332"/>
    <s v="46/2023"/>
    <d v="2023-08-07T00:00:00"/>
    <s v="300043"/>
    <s v="DOUANE"/>
    <n v="605"/>
  </r>
  <r>
    <s v="Facture comptabilisée"/>
    <m/>
    <x v="0"/>
    <x v="3333"/>
    <s v="42/2023"/>
    <d v="2023-08-07T00:00:00"/>
    <s v="300043"/>
    <s v="DOUANE"/>
    <n v="604"/>
  </r>
  <r>
    <s v="Facture comptabilisée"/>
    <m/>
    <x v="0"/>
    <x v="3334"/>
    <s v="41/2023"/>
    <d v="2023-08-07T00:00:00"/>
    <s v="300043"/>
    <s v="DOUANE"/>
    <n v="604"/>
  </r>
  <r>
    <s v="Facture comptabilisée"/>
    <m/>
    <x v="0"/>
    <x v="3335"/>
    <s v="47/2023"/>
    <d v="2023-08-07T00:00:00"/>
    <s v="300043"/>
    <s v="DOUANE"/>
    <n v="1510"/>
  </r>
  <r>
    <s v="Facture comptabilisée"/>
    <m/>
    <x v="0"/>
    <x v="3336"/>
    <s v="41/2023"/>
    <d v="2023-08-07T00:00:00"/>
    <s v="300101"/>
    <s v="ASMAE FORWARDING EXPRESS"/>
    <n v="3147.93"/>
  </r>
  <r>
    <s v="Facture comptabilisée"/>
    <m/>
    <x v="0"/>
    <x v="3337"/>
    <s v="42/2023"/>
    <d v="2023-08-07T00:00:00"/>
    <s v="300101"/>
    <s v="ASMAE FORWARDING EXPRESS"/>
    <n v="3147.93"/>
  </r>
  <r>
    <s v="Facture comptabilisée"/>
    <m/>
    <x v="0"/>
    <x v="3338"/>
    <s v="46/2023"/>
    <d v="2023-08-07T00:00:00"/>
    <s v="300101"/>
    <s v="ASMAE FORWARDING EXPRESS"/>
    <n v="3306.09"/>
  </r>
  <r>
    <s v="Facture comptabilisée"/>
    <m/>
    <x v="0"/>
    <x v="3339"/>
    <s v="47/2023"/>
    <d v="2023-08-07T00:00:00"/>
    <s v="300101"/>
    <s v="ASMAE FORWARDING EXPRESS"/>
    <n v="3147.93"/>
  </r>
  <r>
    <s v="Facture comptabilisée"/>
    <m/>
    <x v="0"/>
    <x v="3340"/>
    <s v="JIL PACK A"/>
    <d v="2023-08-07T00:00:00"/>
    <s v="300115"/>
    <s v="AUXILIAR CONSERVERA SA"/>
    <n v="412748.35800000001"/>
  </r>
  <r>
    <s v="Facture comptabilisée"/>
    <m/>
    <x v="0"/>
    <x v="3341"/>
    <s v="JIL PACK A"/>
    <d v="2023-08-07T00:00:00"/>
    <s v="300115"/>
    <s v="AUXILIAR CONSERVERA SA"/>
    <n v="396020.98800000001"/>
  </r>
  <r>
    <s v="Facture comptabilisée"/>
    <m/>
    <x v="0"/>
    <x v="3342"/>
    <s v="ICC"/>
    <d v="2023-08-07T00:00:00"/>
    <s v="300115"/>
    <s v="AUXILIAR CONSERVERA SA"/>
    <n v="396020.98800000001"/>
  </r>
  <r>
    <s v="Facture comptabilisée"/>
    <m/>
    <x v="0"/>
    <x v="3343"/>
    <s v="JIL PACK A"/>
    <d v="2023-08-07T00:00:00"/>
    <s v="300115"/>
    <s v="AUXILIAR CONSERVERA SA"/>
    <n v="412748.35800000001"/>
  </r>
  <r>
    <s v="Facture comptabilisée"/>
    <m/>
    <x v="0"/>
    <x v="3344"/>
    <s v="77/2023 J"/>
    <d v="2023-08-07T00:00:00"/>
    <s v="300191"/>
    <s v="JTTL"/>
    <n v="2957.77"/>
  </r>
  <r>
    <s v="Facture comptabilisée"/>
    <m/>
    <x v="0"/>
    <x v="3345"/>
    <s v="79/2023 J"/>
    <d v="2023-08-07T00:00:00"/>
    <s v="300321"/>
    <s v="JIL LOGISTIQUE"/>
    <n v="18000"/>
  </r>
  <r>
    <s v="Facture comptabilisée"/>
    <m/>
    <x v="0"/>
    <x v="3346"/>
    <s v="85/2023 J"/>
    <d v="2023-08-07T00:00:00"/>
    <s v="300321"/>
    <s v="JIL LOGISTIQUE"/>
    <n v="18000"/>
  </r>
  <r>
    <s v="Facture comptabilisée"/>
    <m/>
    <x v="0"/>
    <x v="3347"/>
    <s v="48/2023"/>
    <d v="2023-08-08T00:00:00"/>
    <s v="300043"/>
    <s v="DOUANE"/>
    <n v="1508"/>
  </r>
  <r>
    <s v="Facture comptabilisée"/>
    <m/>
    <x v="0"/>
    <x v="3348"/>
    <s v="51/2023"/>
    <d v="2023-08-08T00:00:00"/>
    <s v="300043"/>
    <s v="DOUANE"/>
    <n v="1508"/>
  </r>
  <r>
    <s v="Facture comptabilisée"/>
    <m/>
    <x v="0"/>
    <x v="3349"/>
    <s v="49/2023"/>
    <d v="2023-08-08T00:00:00"/>
    <s v="300043"/>
    <s v="DOUANE"/>
    <n v="515"/>
  </r>
  <r>
    <s v="Facture comptabilisée"/>
    <m/>
    <x v="0"/>
    <x v="3350"/>
    <s v="48/2023"/>
    <d v="2023-08-08T00:00:00"/>
    <s v="300101"/>
    <s v="ASMAE FORWARDING EXPRESS"/>
    <n v="3306.09"/>
  </r>
  <r>
    <s v="Facture comptabilisée"/>
    <m/>
    <x v="0"/>
    <x v="3351"/>
    <s v="49/2023"/>
    <d v="2023-08-08T00:00:00"/>
    <s v="300101"/>
    <s v="ASMAE FORWARDING EXPRESS"/>
    <n v="2989.77"/>
  </r>
  <r>
    <s v="Facture comptabilisée"/>
    <m/>
    <x v="0"/>
    <x v="3352"/>
    <s v="51/2023"/>
    <d v="2023-08-08T00:00:00"/>
    <s v="300101"/>
    <s v="ASMAE FORWARDING EXPRESS"/>
    <n v="2989.77"/>
  </r>
  <r>
    <s v="Facture comptabilisée"/>
    <m/>
    <x v="0"/>
    <x v="3353"/>
    <s v="5EME COMMANDE"/>
    <d v="2023-08-08T00:00:00"/>
    <s v="300344"/>
    <s v="PADEL NUESTRO"/>
    <n v="545741.49300000002"/>
  </r>
  <r>
    <s v="Facture comptabilisée"/>
    <m/>
    <x v="0"/>
    <x v="3354"/>
    <s v="38/2023"/>
    <d v="2023-08-09T00:00:00"/>
    <s v="300043"/>
    <s v="DOUANE"/>
    <n v="515"/>
  </r>
  <r>
    <s v="Facture comptabilisée"/>
    <m/>
    <x v="0"/>
    <x v="3355"/>
    <s v="79/2023 J"/>
    <d v="2023-08-09T00:00:00"/>
    <s v="300043"/>
    <s v="DOUANE"/>
    <n v="1505"/>
  </r>
  <r>
    <s v="Facture comptabilisée"/>
    <m/>
    <x v="0"/>
    <x v="3356"/>
    <s v="85/2023"/>
    <d v="2023-08-09T00:00:00"/>
    <s v="300043"/>
    <s v="DOUANE"/>
    <n v="1510"/>
  </r>
  <r>
    <s v="Facture comptabilisée"/>
    <m/>
    <x v="0"/>
    <x v="3357"/>
    <s v="38/2023"/>
    <d v="2023-08-09T00:00:00"/>
    <s v="300101"/>
    <s v="ASMAE FORWARDING EXPRESS"/>
    <n v="3147.93"/>
  </r>
  <r>
    <s v="Facture comptabilisée"/>
    <m/>
    <x v="0"/>
    <x v="3358"/>
    <s v="OUALILI"/>
    <d v="2023-08-09T00:00:00"/>
    <s v="300115"/>
    <s v="AUXILIAR CONSERVERA SA"/>
    <n v="134539.21799999999"/>
  </r>
  <r>
    <s v="Facture comptabilisée"/>
    <m/>
    <x v="0"/>
    <x v="3359"/>
    <s v="78/2023 J"/>
    <d v="2023-08-09T00:00:00"/>
    <s v="300191"/>
    <s v="JTTL"/>
    <n v="3223.02"/>
  </r>
  <r>
    <s v="Facture comptabilisée"/>
    <m/>
    <x v="0"/>
    <x v="3360"/>
    <s v="JIL PACK A*1*"/>
    <d v="2023-08-09T00:00:00"/>
    <s v="300220"/>
    <s v="ENVASES EUROPE"/>
    <n v="1255158.6850000001"/>
  </r>
  <r>
    <s v="Facture comptabilisée"/>
    <m/>
    <x v="0"/>
    <x v="3361"/>
    <s v="JIL PACK A *2*"/>
    <d v="2023-08-09T00:00:00"/>
    <s v="300220"/>
    <s v="ENVASES EUROPE"/>
    <n v="1255166.352"/>
  </r>
  <r>
    <s v="Facture comptabilisée"/>
    <m/>
    <x v="0"/>
    <x v="3362"/>
    <s v="50/2023"/>
    <d v="2023-08-10T00:00:00"/>
    <s v="300043"/>
    <s v="DOUANE"/>
    <n v="1508"/>
  </r>
  <r>
    <s v="Facture comptabilisée"/>
    <m/>
    <x v="0"/>
    <x v="3363"/>
    <s v="50/2023"/>
    <d v="2023-08-10T00:00:00"/>
    <s v="300101"/>
    <s v="ASMAE FORWARDING EXPRESS"/>
    <n v="2989.77"/>
  </r>
  <r>
    <s v="Facture comptabilisée"/>
    <m/>
    <x v="0"/>
    <x v="3364"/>
    <s v="JIL PACK A"/>
    <d v="2023-08-10T00:00:00"/>
    <s v="300115"/>
    <s v="AUXILIAR CONSERVERA SA"/>
    <n v="412748.35800000001"/>
  </r>
  <r>
    <s v="Facture comptabilisée"/>
    <m/>
    <x v="0"/>
    <x v="3365"/>
    <s v="OUALILI"/>
    <d v="2023-08-10T00:00:00"/>
    <s v="300115"/>
    <s v="AUXILIAR CONSERVERA SA"/>
    <n v="134539.21799999999"/>
  </r>
  <r>
    <s v="Facture comptabilisée"/>
    <m/>
    <x v="0"/>
    <x v="3366"/>
    <m/>
    <d v="2023-08-11T00:00:00"/>
    <s v="300043"/>
    <s v="DOUANE"/>
    <n v="5347"/>
  </r>
  <r>
    <s v="Facture comptabilisée"/>
    <m/>
    <x v="0"/>
    <x v="3367"/>
    <s v="NEW PEPPERS"/>
    <d v="2023-08-11T00:00:00"/>
    <s v="300115"/>
    <s v="AUXILIAR CONSERVERA SA"/>
    <n v="134539.21799999999"/>
  </r>
  <r>
    <s v="Facture comptabilisée"/>
    <m/>
    <x v="0"/>
    <x v="3368"/>
    <s v="NEW PEPPERS"/>
    <d v="2023-08-11T00:00:00"/>
    <s v="300115"/>
    <s v="AUXILIAR CONSERVERA SA"/>
    <n v="134539.21799999999"/>
  </r>
  <r>
    <s v="Facture comptabilisée"/>
    <m/>
    <x v="0"/>
    <x v="3369"/>
    <s v="79/2023 J"/>
    <d v="2023-08-11T00:00:00"/>
    <s v="300191"/>
    <s v="JTTL"/>
    <n v="3201.27"/>
  </r>
  <r>
    <s v="Facture comptabilisée"/>
    <m/>
    <x v="0"/>
    <x v="3370"/>
    <s v="55/2023"/>
    <d v="2023-08-16T00:00:00"/>
    <s v="300043"/>
    <s v="DOUANE"/>
    <n v="608"/>
  </r>
  <r>
    <s v="Facture comptabilisée"/>
    <m/>
    <x v="0"/>
    <x v="3371"/>
    <s v="55/2023"/>
    <d v="2023-08-16T00:00:00"/>
    <s v="300101"/>
    <s v="ASMAE FORWARDING EXPRESS"/>
    <n v="3622.41"/>
  </r>
  <r>
    <s v="Facture comptabilisée"/>
    <m/>
    <x v="0"/>
    <x v="3372"/>
    <s v="NEW PEPPERS"/>
    <d v="2023-08-16T00:00:00"/>
    <s v="300115"/>
    <s v="AUXILIAR CONSERVERA SA"/>
    <n v="134539.21799999999"/>
  </r>
  <r>
    <s v="Facture comptabilisée"/>
    <m/>
    <x v="0"/>
    <x v="3373"/>
    <s v="VMM"/>
    <d v="2023-08-16T00:00:00"/>
    <s v="300115"/>
    <s v="AUXILIAR CONSERVERA SA"/>
    <n v="431144.90100000001"/>
  </r>
  <r>
    <s v="Facture comptabilisée"/>
    <m/>
    <x v="0"/>
    <x v="3374"/>
    <s v="JIL PACK A"/>
    <d v="2023-08-16T00:00:00"/>
    <s v="300115"/>
    <s v="AUXILIAR CONSERVERA SA"/>
    <n v="250453.4032"/>
  </r>
  <r>
    <s v="Facture comptabilisée"/>
    <m/>
    <x v="0"/>
    <x v="3375"/>
    <s v="SALWANE"/>
    <d v="2023-08-16T00:00:00"/>
    <s v="300115"/>
    <s v="AUXILIAR CONSERVERA SA"/>
    <n v="120064.82399999999"/>
  </r>
  <r>
    <s v="Facture comptabilisée"/>
    <m/>
    <x v="0"/>
    <x v="3376"/>
    <s v="80/2023 J"/>
    <d v="2023-08-16T00:00:00"/>
    <s v="300321"/>
    <s v="JIL LOGISTIQUE"/>
    <n v="18000"/>
  </r>
  <r>
    <s v="Facture comptabilisée"/>
    <m/>
    <x v="0"/>
    <x v="3377"/>
    <s v="81/2023 J"/>
    <d v="2023-08-16T00:00:00"/>
    <s v="300321"/>
    <s v="JIL LOGISTIQUE"/>
    <n v="18000"/>
  </r>
  <r>
    <s v="Facture comptabilisée"/>
    <m/>
    <x v="0"/>
    <x v="3378"/>
    <m/>
    <d v="2023-08-17T00:00:00"/>
    <s v="300043"/>
    <s v="DOUANE"/>
    <n v="4791"/>
  </r>
  <r>
    <s v="Facture comptabilisée"/>
    <m/>
    <x v="0"/>
    <x v="3379"/>
    <s v="56/2023"/>
    <d v="2023-08-17T00:00:00"/>
    <s v="300043"/>
    <s v="DOUANE"/>
    <n v="1516"/>
  </r>
  <r>
    <s v="Facture comptabilisée"/>
    <m/>
    <x v="0"/>
    <x v="3380"/>
    <s v="80/2023 J"/>
    <d v="2023-08-17T00:00:00"/>
    <s v="300043"/>
    <s v="DOUANE"/>
    <n v="1633"/>
  </r>
  <r>
    <s v="Facture comptabilisée"/>
    <m/>
    <x v="0"/>
    <x v="3381"/>
    <s v="81/2023 J"/>
    <d v="2023-08-17T00:00:00"/>
    <s v="300043"/>
    <s v="DOUANE"/>
    <n v="1434"/>
  </r>
  <r>
    <s v="Facture comptabilisée"/>
    <m/>
    <x v="0"/>
    <x v="3382"/>
    <s v="56/2023"/>
    <d v="2023-08-17T00:00:00"/>
    <s v="300101"/>
    <s v="ASMAE FORWARDING EXPRESS"/>
    <n v="3780.57"/>
  </r>
  <r>
    <s v="Facture comptabilisée"/>
    <m/>
    <x v="0"/>
    <x v="3383"/>
    <s v="UNIVERS FOOD"/>
    <d v="2023-08-17T00:00:00"/>
    <s v="300115"/>
    <s v="AUXILIAR CONSERVERA SA"/>
    <n v="134539.21799999999"/>
  </r>
  <r>
    <s v="Facture comptabilisée"/>
    <m/>
    <x v="0"/>
    <x v="3384"/>
    <s v="90/2023 J"/>
    <d v="2023-08-18T00:00:00"/>
    <s v="300043"/>
    <s v="DOUANE"/>
    <n v="3270"/>
  </r>
  <r>
    <s v="Facture comptabilisée"/>
    <m/>
    <x v="0"/>
    <x v="3385"/>
    <s v="54/2023"/>
    <d v="2023-08-18T00:00:00"/>
    <s v="300043"/>
    <s v="DOUANE"/>
    <n v="607"/>
  </r>
  <r>
    <s v="Facture comptabilisée"/>
    <m/>
    <x v="0"/>
    <x v="3386"/>
    <s v="53/2023"/>
    <d v="2023-08-18T00:00:00"/>
    <s v="300043"/>
    <s v="DOUANE"/>
    <n v="607"/>
  </r>
  <r>
    <s v="Facture comptabilisée"/>
    <m/>
    <x v="0"/>
    <x v="3387"/>
    <s v="52/2023"/>
    <d v="2023-08-18T00:00:00"/>
    <s v="300043"/>
    <s v="DOUANE"/>
    <n v="607"/>
  </r>
  <r>
    <s v="Facture comptabilisée"/>
    <m/>
    <x v="0"/>
    <x v="3388"/>
    <s v="52/2023"/>
    <d v="2023-08-18T00:00:00"/>
    <s v="300101"/>
    <s v="ASMAE FORWARDING EXPRESS"/>
    <n v="3780.57"/>
  </r>
  <r>
    <s v="Facture comptabilisée"/>
    <m/>
    <x v="0"/>
    <x v="3389"/>
    <s v="53/2023"/>
    <d v="2023-08-18T00:00:00"/>
    <s v="300101"/>
    <s v="ASMAE FORWARDING EXPRESS"/>
    <n v="3780.57"/>
  </r>
  <r>
    <s v="Facture comptabilisée"/>
    <m/>
    <x v="0"/>
    <x v="3390"/>
    <s v="54/2023"/>
    <d v="2023-08-18T00:00:00"/>
    <s v="300101"/>
    <s v="ASMAE FORWARDING EXPRESS"/>
    <n v="3938.73"/>
  </r>
  <r>
    <s v="Facture comptabilisée"/>
    <m/>
    <x v="0"/>
    <x v="3391"/>
    <s v="ATUNEROS DEL SUR"/>
    <d v="2023-08-18T00:00:00"/>
    <s v="300115"/>
    <s v="AUXILIAR CONSERVERA SA"/>
    <n v="396020.98800000001"/>
  </r>
  <r>
    <s v="Facture comptabilisée"/>
    <m/>
    <x v="0"/>
    <x v="3392"/>
    <s v="JIL PACK*OUALILI*"/>
    <d v="2023-08-18T00:00:00"/>
    <s v="300115"/>
    <s v="AUXILIAR CONSERVERA SA"/>
    <n v="134539.21799999999"/>
  </r>
  <r>
    <s v="Facture comptabilisée"/>
    <m/>
    <x v="0"/>
    <x v="3393"/>
    <s v="JIL PACK*OUALILI*"/>
    <d v="2023-08-18T00:00:00"/>
    <s v="300115"/>
    <s v="AUXILIAR CONSERVERA SA"/>
    <n v="130966.86900000001"/>
  </r>
  <r>
    <s v="Facture comptabilisée"/>
    <m/>
    <x v="0"/>
    <x v="3394"/>
    <s v="CHERIF*JIL PACK*"/>
    <d v="2023-08-18T00:00:00"/>
    <s v="300115"/>
    <s v="AUXILIAR CONSERVERA SA"/>
    <n v="134539.21799999999"/>
  </r>
  <r>
    <s v="Facture comptabilisée"/>
    <m/>
    <x v="0"/>
    <x v="3395"/>
    <s v="84/2023 J"/>
    <d v="2023-08-18T00:00:00"/>
    <s v="300321"/>
    <s v="JIL LOGISTIQUE"/>
    <n v="18000"/>
  </r>
  <r>
    <s v="Facture comptabilisée"/>
    <m/>
    <x v="0"/>
    <x v="3396"/>
    <s v="84/2023"/>
    <d v="2023-08-19T00:00:00"/>
    <s v="300043"/>
    <s v="DOUANE"/>
    <n v="1525"/>
  </r>
  <r>
    <s v="Facture comptabilisée"/>
    <m/>
    <x v="0"/>
    <x v="3397"/>
    <s v="SIILVER FOOD"/>
    <d v="2023-08-21T00:00:00"/>
    <s v="300115"/>
    <s v="AUXILIAR CONSERVERA SA"/>
    <n v="375590.0148"/>
  </r>
  <r>
    <s v="Facture comptabilisée"/>
    <m/>
    <x v="0"/>
    <x v="3398"/>
    <s v="83/2023 J"/>
    <d v="2023-08-21T00:00:00"/>
    <s v="300321"/>
    <s v="JIL LOGISTIQUE"/>
    <n v="18000"/>
  </r>
  <r>
    <s v="Facture comptabilisée"/>
    <m/>
    <x v="0"/>
    <x v="3399"/>
    <s v="82/2023 J"/>
    <d v="2023-08-21T00:00:00"/>
    <s v="300321"/>
    <s v="JIL LOGISTIQUE"/>
    <n v="18000"/>
  </r>
  <r>
    <s v="Facture comptabilisée"/>
    <m/>
    <x v="0"/>
    <x v="3400"/>
    <s v="57/2023"/>
    <d v="2023-08-22T00:00:00"/>
    <s v="300043"/>
    <s v="DOUANE"/>
    <n v="596"/>
  </r>
  <r>
    <s v="Facture comptabilisée"/>
    <m/>
    <x v="0"/>
    <x v="3401"/>
    <s v="83/2023"/>
    <d v="2023-08-22T00:00:00"/>
    <s v="300043"/>
    <s v="DOUANE"/>
    <n v="1460"/>
  </r>
  <r>
    <s v="Facture comptabilisée"/>
    <m/>
    <x v="0"/>
    <x v="3402"/>
    <s v="57/2023"/>
    <d v="2023-08-22T00:00:00"/>
    <s v="300101"/>
    <s v="ASMAE FORWARDING EXPRESS"/>
    <n v="3147.93"/>
  </r>
  <r>
    <s v="Facture comptabilisée"/>
    <m/>
    <x v="0"/>
    <x v="3403"/>
    <s v="JIL PACK A"/>
    <d v="2023-08-22T00:00:00"/>
    <s v="300115"/>
    <s v="AUXILIAR CONSERVERA SA"/>
    <n v="396020.98800000001"/>
  </r>
  <r>
    <s v="Facture comptabilisée"/>
    <m/>
    <x v="0"/>
    <x v="3404"/>
    <s v="OUALILI"/>
    <d v="2023-08-22T00:00:00"/>
    <s v="300115"/>
    <s v="AUXILIAR CONSERVERA SA"/>
    <n v="134539.21799999999"/>
  </r>
  <r>
    <s v="Facture comptabilisée"/>
    <m/>
    <x v="0"/>
    <x v="3405"/>
    <m/>
    <d v="2023-08-23T00:00:00"/>
    <s v="300043"/>
    <s v="DOUANE"/>
    <n v="4897"/>
  </r>
  <r>
    <s v="Facture comptabilisée"/>
    <m/>
    <x v="0"/>
    <x v="3406"/>
    <s v="58/2023"/>
    <d v="2023-08-23T00:00:00"/>
    <s v="300043"/>
    <s v="DOUANE"/>
    <n v="608"/>
  </r>
  <r>
    <s v="Facture comptabilisée"/>
    <m/>
    <x v="0"/>
    <x v="3407"/>
    <s v="82/2023"/>
    <d v="2023-08-23T00:00:00"/>
    <s v="300043"/>
    <s v="DOUANE"/>
    <n v="1525"/>
  </r>
  <r>
    <s v="Facture comptabilisée"/>
    <m/>
    <x v="0"/>
    <x v="3408"/>
    <s v="58/2023"/>
    <d v="2023-08-23T00:00:00"/>
    <s v="300101"/>
    <s v="ASMAE FORWARDING EXPRESS"/>
    <n v="3938.73"/>
  </r>
  <r>
    <s v="Facture comptabilisée"/>
    <m/>
    <x v="0"/>
    <x v="3409"/>
    <s v="JIL PACK A"/>
    <d v="2023-08-23T00:00:00"/>
    <s v="300115"/>
    <s v="AUXILIAR CONSERVERA SA"/>
    <n v="396020.98800000001"/>
  </r>
  <r>
    <s v="Facture comptabilisée"/>
    <m/>
    <x v="0"/>
    <x v="3410"/>
    <s v="80/2023 J"/>
    <d v="2023-08-23T00:00:00"/>
    <s v="300191"/>
    <s v="JTTL"/>
    <n v="3204.17"/>
  </r>
  <r>
    <s v="Facture comptabilisée"/>
    <m/>
    <x v="0"/>
    <x v="3411"/>
    <s v="81/2023 J"/>
    <d v="2023-08-23T00:00:00"/>
    <s v="300191"/>
    <s v="JTTL"/>
    <n v="3157.77"/>
  </r>
  <r>
    <s v="Facture comptabilisée"/>
    <m/>
    <x v="0"/>
    <x v="3412"/>
    <s v="86/2023 J"/>
    <d v="2023-08-23T00:00:00"/>
    <s v="300321"/>
    <s v="JIL LOGISTIQUE"/>
    <n v="18000"/>
  </r>
  <r>
    <s v="Facture comptabilisée"/>
    <m/>
    <x v="0"/>
    <x v="3413"/>
    <s v="59/2023"/>
    <d v="2023-08-24T00:00:00"/>
    <s v="300043"/>
    <s v="DOUANE"/>
    <n v="609"/>
  </r>
  <r>
    <s v="Facture comptabilisée"/>
    <m/>
    <x v="0"/>
    <x v="3414"/>
    <s v="60/2023"/>
    <d v="2023-08-24T00:00:00"/>
    <s v="300043"/>
    <s v="DOUANE"/>
    <n v="608"/>
  </r>
  <r>
    <s v="Facture comptabilisée"/>
    <m/>
    <x v="0"/>
    <x v="3415"/>
    <s v="57/2023"/>
    <d v="2023-08-24T00:00:00"/>
    <s v="300101"/>
    <s v="ASMAE FORWARDING EXPRESS"/>
    <n v="158.16"/>
  </r>
  <r>
    <s v="Facture comptabilisée"/>
    <m/>
    <x v="0"/>
    <x v="3416"/>
    <s v="59/2023"/>
    <d v="2023-08-24T00:00:00"/>
    <s v="300101"/>
    <s v="ASMAE FORWARDING EXPRESS"/>
    <n v="3464.25"/>
  </r>
  <r>
    <s v="Facture comptabilisée"/>
    <m/>
    <x v="0"/>
    <x v="3417"/>
    <s v="60/2023"/>
    <d v="2023-08-24T00:00:00"/>
    <s v="300101"/>
    <s v="ASMAE FORWARDING EXPRESS"/>
    <n v="3622.41"/>
  </r>
  <r>
    <s v="Facture comptabilisée"/>
    <m/>
    <x v="0"/>
    <x v="3418"/>
    <s v="61/2023"/>
    <d v="2023-08-25T00:00:00"/>
    <s v="300043"/>
    <s v="DOUANE"/>
    <n v="611"/>
  </r>
  <r>
    <s v="Facture comptabilisée"/>
    <m/>
    <x v="0"/>
    <x v="3419"/>
    <s v="86/2023"/>
    <d v="2023-08-25T00:00:00"/>
    <s v="300043"/>
    <s v="DOUANE"/>
    <n v="1529"/>
  </r>
  <r>
    <s v="Facture comptabilisée"/>
    <m/>
    <x v="0"/>
    <x v="3420"/>
    <s v="61/2023"/>
    <d v="2023-08-25T00:00:00"/>
    <s v="300101"/>
    <s v="ASMAE FORWARDING EXPRESS"/>
    <n v="4932.8900000000003"/>
  </r>
  <r>
    <s v="Facture comptabilisée"/>
    <m/>
    <x v="0"/>
    <x v="3421"/>
    <s v="NEW PEPPERS"/>
    <d v="2023-08-25T00:00:00"/>
    <s v="300115"/>
    <s v="AUXILIAR CONSERVERA SA"/>
    <n v="134539.21799999999"/>
  </r>
  <r>
    <s v="Facture comptabilisée"/>
    <m/>
    <x v="0"/>
    <x v="3422"/>
    <s v="JIL PACK"/>
    <d v="2023-08-25T00:00:00"/>
    <s v="300115"/>
    <s v="AUXILIAR CONSERVERA SA"/>
    <n v="383156.04359999998"/>
  </r>
  <r>
    <s v="Facture comptabilisée"/>
    <m/>
    <x v="0"/>
    <x v="3423"/>
    <s v="20L"/>
    <d v="2023-08-25T00:00:00"/>
    <s v="300133"/>
    <s v="OP BOX "/>
    <n v="46361.7"/>
  </r>
  <r>
    <s v="Facture comptabilisée"/>
    <m/>
    <x v="0"/>
    <x v="3424"/>
    <s v="4600AM"/>
    <d v="2023-08-25T00:00:00"/>
    <s v="300133"/>
    <s v="OP BOX "/>
    <n v="25253.5"/>
  </r>
  <r>
    <s v="Facture comptabilisée"/>
    <m/>
    <x v="0"/>
    <x v="3425"/>
    <s v="82/2023"/>
    <d v="2023-08-25T00:00:00"/>
    <s v="300191"/>
    <s v="JTTL"/>
    <n v="3204.17"/>
  </r>
  <r>
    <s v="Facture comptabilisée"/>
    <m/>
    <x v="0"/>
    <x v="3426"/>
    <s v="83/2023"/>
    <d v="2023-08-25T00:00:00"/>
    <s v="300191"/>
    <s v="JTTL"/>
    <n v="3180.97"/>
  </r>
  <r>
    <s v="Facture comptabilisée"/>
    <m/>
    <x v="0"/>
    <x v="3427"/>
    <s v="84/2023"/>
    <d v="2023-08-25T00:00:00"/>
    <s v="300191"/>
    <s v="JTTL"/>
    <n v="3204.17"/>
  </r>
  <r>
    <s v="Facture comptabilisée"/>
    <m/>
    <x v="0"/>
    <x v="3428"/>
    <s v="85/2023"/>
    <d v="2023-08-25T00:00:00"/>
    <s v="300191"/>
    <s v="JTTL"/>
    <n v="3204.17"/>
  </r>
  <r>
    <s v="Facture comptabilisée"/>
    <m/>
    <x v="0"/>
    <x v="3429"/>
    <s v="87/2023 J"/>
    <d v="2023-08-25T00:00:00"/>
    <s v="300321"/>
    <s v="JIL LOGISTIQUE"/>
    <n v="18000"/>
  </r>
  <r>
    <s v="Facture comptabilisée"/>
    <m/>
    <x v="0"/>
    <x v="3430"/>
    <s v="86/2023"/>
    <d v="2023-08-26T00:00:00"/>
    <s v="300191"/>
    <s v="JTTL"/>
    <n v="3204.17"/>
  </r>
  <r>
    <s v="Facture comptabilisée"/>
    <m/>
    <x v="0"/>
    <x v="3431"/>
    <s v="59/2023"/>
    <d v="2023-08-28T00:00:00"/>
    <s v="300101"/>
    <s v="ASMAE FORWARDING EXPRESS"/>
    <n v="158.16"/>
  </r>
  <r>
    <s v="Facture comptabilisée"/>
    <m/>
    <x v="0"/>
    <x v="3432"/>
    <s v="LOGI FOOD"/>
    <d v="2023-08-28T00:00:00"/>
    <s v="300115"/>
    <s v="AUXILIAR CONSERVERA SA"/>
    <n v="325079.96399999998"/>
  </r>
  <r>
    <s v="Facture comptabilisée"/>
    <m/>
    <x v="0"/>
    <x v="3433"/>
    <s v="63/2023"/>
    <d v="2023-08-29T00:00:00"/>
    <s v="300043"/>
    <s v="DOUANE"/>
    <n v="611"/>
  </r>
  <r>
    <s v="Facture comptabilisée"/>
    <m/>
    <x v="0"/>
    <x v="3434"/>
    <s v="87/2023 J"/>
    <d v="2023-08-29T00:00:00"/>
    <s v="300043"/>
    <s v="DOUANE"/>
    <n v="1496"/>
  </r>
  <r>
    <s v="Facture comptabilisée"/>
    <m/>
    <x v="0"/>
    <x v="3435"/>
    <s v="POT VERRE"/>
    <d v="2023-08-29T00:00:00"/>
    <s v="300081"/>
    <s v="JIL EMBALLAGES"/>
    <n v="208.4"/>
  </r>
  <r>
    <s v="Facture comptabilisée"/>
    <m/>
    <x v="0"/>
    <x v="3436"/>
    <s v="63/2023"/>
    <d v="2023-08-29T00:00:00"/>
    <s v="300101"/>
    <s v="ASMAE FORWARDING EXPRESS"/>
    <n v="3825.76"/>
  </r>
  <r>
    <s v="Facture comptabilisée"/>
    <m/>
    <x v="0"/>
    <x v="3437"/>
    <s v="JIL PACK A"/>
    <d v="2023-08-29T00:00:00"/>
    <s v="300115"/>
    <s v="AUXILIAR CONSERVERA SA"/>
    <n v="375590.0148"/>
  </r>
  <r>
    <s v="Facture comptabilisée"/>
    <m/>
    <x v="0"/>
    <x v="3438"/>
    <s v="VMM*1*"/>
    <d v="2023-08-29T00:00:00"/>
    <s v="300115"/>
    <s v="AUXILIAR CONSERVERA SA"/>
    <n v="95576.166400000002"/>
  </r>
  <r>
    <s v="Facture comptabilisée"/>
    <m/>
    <x v="0"/>
    <x v="3439"/>
    <s v="JIL PACK*2*"/>
    <d v="2023-08-29T00:00:00"/>
    <s v="300115"/>
    <s v="AUXILIAR CONSERVERA SA"/>
    <n v="162396.51999999999"/>
  </r>
  <r>
    <s v="Facture comptabilisée"/>
    <m/>
    <x v="0"/>
    <x v="3440"/>
    <s v="NEW PEPPERS"/>
    <d v="2023-08-29T00:00:00"/>
    <s v="300115"/>
    <s v="AUXILIAR CONSERVERA SA"/>
    <n v="134539.21799999999"/>
  </r>
  <r>
    <s v="Facture comptabilisée"/>
    <m/>
    <x v="0"/>
    <x v="3441"/>
    <s v="88/2023 J"/>
    <d v="2023-08-29T00:00:00"/>
    <s v="300321"/>
    <s v="JIL LOGISTIQUE"/>
    <n v="18000"/>
  </r>
  <r>
    <s v="Facture comptabilisée"/>
    <m/>
    <x v="0"/>
    <x v="3442"/>
    <s v="62/2023"/>
    <d v="2023-08-30T00:00:00"/>
    <s v="300043"/>
    <s v="DOUANE"/>
    <n v="613"/>
  </r>
  <r>
    <s v="Facture comptabilisée"/>
    <m/>
    <x v="0"/>
    <x v="3443"/>
    <s v="88/2023 J"/>
    <d v="2023-08-30T00:00:00"/>
    <s v="300043"/>
    <s v="DOUANE"/>
    <n v="1472"/>
  </r>
  <r>
    <s v="Facture comptabilisée"/>
    <m/>
    <x v="0"/>
    <x v="3444"/>
    <s v="62/2023"/>
    <d v="2023-08-30T00:00:00"/>
    <s v="300101"/>
    <s v="ASMAE FORWARDING EXPRESS"/>
    <n v="3306.09"/>
  </r>
  <r>
    <s v="Facture comptabilisée"/>
    <m/>
    <x v="0"/>
    <x v="3445"/>
    <s v="UNIVERS FOOD"/>
    <d v="2023-08-30T00:00:00"/>
    <s v="300115"/>
    <s v="AUXILIAR CONSERVERA SA"/>
    <n v="134539.21799999999"/>
  </r>
  <r>
    <s v="Facture comptabilisée"/>
    <m/>
    <x v="0"/>
    <x v="3446"/>
    <s v="JIL PACK A "/>
    <d v="2023-08-30T00:00:00"/>
    <s v="300220"/>
    <s v="ENVASES EUROPE"/>
    <n v="1256270.3999999999"/>
  </r>
  <r>
    <s v="Facture comptabilisée"/>
    <m/>
    <x v="0"/>
    <x v="3447"/>
    <s v="91/2023 J"/>
    <d v="2023-08-30T00:00:00"/>
    <s v="300340"/>
    <s v="MSC MAROC"/>
    <n v="6248"/>
  </r>
  <r>
    <s v="Facture comptabilisée"/>
    <m/>
    <x v="0"/>
    <x v="3448"/>
    <s v="JIL PACK"/>
    <d v="2023-08-31T00:00:00"/>
    <s v="300093"/>
    <s v="AVEZ SAS"/>
    <n v="231718.74"/>
  </r>
  <r>
    <s v="Facture comptabilisée"/>
    <m/>
    <x v="0"/>
    <x v="3449"/>
    <s v="JIL PACK A*AVEIRO"/>
    <d v="2023-08-31T00:00:00"/>
    <s v="300115"/>
    <s v="AUXILIAR CONSERVERA SA"/>
    <n v="396020.98800000001"/>
  </r>
  <r>
    <s v="Facture comptabilisée"/>
    <m/>
    <x v="0"/>
    <x v="3450"/>
    <s v="LOGI FOOD"/>
    <d v="2023-08-31T00:00:00"/>
    <s v="300115"/>
    <s v="AUXILIAR CONSERVERA SA"/>
    <n v="7847.268"/>
  </r>
  <r>
    <s v="Facture comptabilisée"/>
    <m/>
    <x v="0"/>
    <x v="3451"/>
    <s v="87/2023 J"/>
    <d v="2023-08-31T00:00:00"/>
    <s v="300191"/>
    <s v="JTTL"/>
    <n v="3180.97"/>
  </r>
  <r>
    <s v="Facture comptabilisée"/>
    <m/>
    <x v="0"/>
    <x v="3452"/>
    <s v="88/2023 J"/>
    <d v="2023-08-31T00:00:00"/>
    <s v="300191"/>
    <s v="JTTL"/>
    <n v="3204.17"/>
  </r>
  <r>
    <s v="Facture comptabilisée"/>
    <m/>
    <x v="0"/>
    <x v="3453"/>
    <s v="89/2023 J"/>
    <d v="2023-08-31T00:00:00"/>
    <s v="300321"/>
    <s v="JIL LOGISTIQUE"/>
    <n v="18000"/>
  </r>
  <r>
    <s v="Facture comptabilisée"/>
    <m/>
    <x v="0"/>
    <x v="3454"/>
    <s v="68/2023"/>
    <d v="2023-09-01T00:00:00"/>
    <s v="300043"/>
    <s v="DOUANE"/>
    <n v="615"/>
  </r>
  <r>
    <s v="Facture comptabilisée"/>
    <m/>
    <x v="0"/>
    <x v="3455"/>
    <s v="66/2023"/>
    <d v="2023-09-01T00:00:00"/>
    <s v="300043"/>
    <s v="DOUANE"/>
    <n v="1252"/>
  </r>
  <r>
    <s v="Facture comptabilisée"/>
    <m/>
    <x v="0"/>
    <x v="3456"/>
    <s v="66/2023"/>
    <d v="2023-09-01T00:00:00"/>
    <s v="300101"/>
    <s v="ASMAE FORWARDING EXPRESS"/>
    <n v="3307.57"/>
  </r>
  <r>
    <s v="Facture comptabilisée"/>
    <m/>
    <x v="0"/>
    <x v="3457"/>
    <s v="68/2023"/>
    <d v="2023-09-01T00:00:00"/>
    <s v="300101"/>
    <s v="ASMAE FORWARDING EXPRESS"/>
    <n v="3307.58"/>
  </r>
  <r>
    <s v="Facture comptabilisée"/>
    <m/>
    <x v="0"/>
    <x v="3458"/>
    <s v="89/2023 J"/>
    <d v="2023-09-02T00:00:00"/>
    <s v="300043"/>
    <s v="DOUANE"/>
    <n v="1545"/>
  </r>
  <r>
    <s v="Facture comptabilisée"/>
    <m/>
    <x v="0"/>
    <x v="3459"/>
    <m/>
    <d v="2023-09-04T00:00:00"/>
    <s v="300043"/>
    <s v="DOUANE"/>
    <n v="4931"/>
  </r>
  <r>
    <s v="Facture comptabilisée"/>
    <m/>
    <x v="0"/>
    <x v="3460"/>
    <s v="LOGI FOOD"/>
    <d v="2023-09-04T00:00:00"/>
    <s v="300115"/>
    <s v="AUXILIAR CONSERVERA SA"/>
    <n v="154504.62719999999"/>
  </r>
  <r>
    <s v="Facture comptabilisée"/>
    <m/>
    <x v="0"/>
    <x v="3461"/>
    <s v="JIL PACK"/>
    <d v="2023-09-04T00:00:00"/>
    <s v="300356"/>
    <s v="MASSILY PORTUGAL"/>
    <n v="228441.4418"/>
  </r>
  <r>
    <s v="Facture comptabilisée"/>
    <m/>
    <x v="0"/>
    <x v="3462"/>
    <s v="91/2023 J"/>
    <d v="2023-09-06T00:00:00"/>
    <s v="300043"/>
    <s v="DOUANE"/>
    <n v="8498"/>
  </r>
  <r>
    <s v="Facture comptabilisée"/>
    <m/>
    <x v="0"/>
    <x v="3463"/>
    <s v="65/2023"/>
    <d v="2023-09-06T00:00:00"/>
    <s v="300043"/>
    <s v="DOUANE"/>
    <n v="676"/>
  </r>
  <r>
    <s v="Facture comptabilisée"/>
    <m/>
    <x v="0"/>
    <x v="3464"/>
    <s v="71/2023"/>
    <d v="2023-09-06T00:00:00"/>
    <s v="300043"/>
    <s v="DOUANE"/>
    <n v="1020"/>
  </r>
  <r>
    <s v="Facture comptabilisée"/>
    <m/>
    <x v="0"/>
    <x v="3465"/>
    <s v="65/2023"/>
    <d v="2023-09-06T00:00:00"/>
    <s v="300101"/>
    <s v="ASMAE FORWARDING EXPRESS"/>
    <n v="3149.32"/>
  </r>
  <r>
    <s v="Facture comptabilisée"/>
    <m/>
    <x v="0"/>
    <x v="3466"/>
    <s v="71/2023"/>
    <d v="2023-09-06T00:00:00"/>
    <s v="300101"/>
    <s v="ASMAE FORWARDING EXPRESS"/>
    <n v="4257.1000000000004"/>
  </r>
  <r>
    <s v="Facture comptabilisée"/>
    <m/>
    <x v="0"/>
    <x v="3467"/>
    <s v="89/2023 J"/>
    <d v="2023-09-06T00:00:00"/>
    <s v="300191"/>
    <s v="JTTL"/>
    <n v="3521.97"/>
  </r>
  <r>
    <s v="Facture comptabilisée"/>
    <m/>
    <x v="0"/>
    <x v="3468"/>
    <s v="70/2023"/>
    <d v="2023-09-07T00:00:00"/>
    <s v="300043"/>
    <s v="DOUANE"/>
    <n v="612"/>
  </r>
  <r>
    <s v="Facture comptabilisée"/>
    <m/>
    <x v="0"/>
    <x v="3469"/>
    <s v="69/2023"/>
    <d v="2023-09-07T00:00:00"/>
    <s v="300043"/>
    <s v="DOUANE"/>
    <n v="923"/>
  </r>
  <r>
    <s v="Facture comptabilisée"/>
    <m/>
    <x v="0"/>
    <x v="3470"/>
    <s v="69/2023"/>
    <d v="2023-09-07T00:00:00"/>
    <s v="300101"/>
    <s v="ASMAE FORWARDING EXPRESS"/>
    <n v="2991.06"/>
  </r>
  <r>
    <s v="Facture comptabilisée"/>
    <m/>
    <x v="0"/>
    <x v="3471"/>
    <s v="70/2023"/>
    <d v="2023-09-07T00:00:00"/>
    <s v="300101"/>
    <s v="ASMAE FORWARDING EXPRESS"/>
    <n v="3985.81"/>
  </r>
  <r>
    <s v="Facture comptabilisée"/>
    <m/>
    <x v="0"/>
    <x v="3472"/>
    <s v="JIL PACK A"/>
    <d v="2023-09-08T00:00:00"/>
    <s v="300115"/>
    <s v="AUXILIAR CONSERVERA SA"/>
    <n v="396087.516"/>
  </r>
  <r>
    <s v="Facture comptabilisée"/>
    <m/>
    <x v="0"/>
    <x v="3473"/>
    <s v="92/2023 J"/>
    <d v="2023-09-08T00:00:00"/>
    <s v="300321"/>
    <s v="JIL LOGISTIQUE"/>
    <n v="18000"/>
  </r>
  <r>
    <s v="Facture comptabilisée"/>
    <m/>
    <x v="0"/>
    <x v="3474"/>
    <s v="JIL PACK A"/>
    <d v="2023-09-11T00:00:00"/>
    <s v="300115"/>
    <s v="AUXILIAR CONSERVERA SA"/>
    <n v="396043.16399999999"/>
  </r>
  <r>
    <s v="Facture comptabilisée"/>
    <m/>
    <x v="0"/>
    <x v="3475"/>
    <s v="93/2023 J"/>
    <d v="2023-09-11T00:00:00"/>
    <s v="300321"/>
    <s v="JIL LOGISTIQUE"/>
    <n v="18000"/>
  </r>
  <r>
    <s v="Facture comptabilisée"/>
    <m/>
    <x v="0"/>
    <x v="3476"/>
    <s v="92/2023 J"/>
    <d v="2023-09-12T00:00:00"/>
    <s v="300043"/>
    <s v="DOUANE"/>
    <n v="1528"/>
  </r>
  <r>
    <s v="Facture comptabilisée"/>
    <m/>
    <x v="0"/>
    <x v="3477"/>
    <s v="93/2023 J"/>
    <d v="2023-09-12T00:00:00"/>
    <s v="300043"/>
    <s v="DOUANE"/>
    <n v="1529"/>
  </r>
  <r>
    <s v="Facture comptabilisée"/>
    <m/>
    <x v="0"/>
    <x v="3478"/>
    <s v="VMM"/>
    <d v="2023-09-12T00:00:00"/>
    <s v="300115"/>
    <s v="AUXILIAR CONSERVERA SA"/>
    <n v="159547.2934"/>
  </r>
  <r>
    <s v="Facture comptabilisée"/>
    <m/>
    <x v="0"/>
    <x v="3479"/>
    <s v="JIL PACK A"/>
    <d v="2023-09-12T00:00:00"/>
    <s v="300115"/>
    <s v="AUXILIAR CONSERVERA SA"/>
    <n v="412800.234"/>
  </r>
  <r>
    <s v="Facture comptabilisée"/>
    <m/>
    <x v="0"/>
    <x v="3480"/>
    <s v="CVC2300"/>
    <d v="2023-09-12T00:00:00"/>
    <s v="300133"/>
    <s v="OP BOX "/>
    <n v="54328.32"/>
  </r>
  <r>
    <s v="Facture comptabilisée"/>
    <m/>
    <x v="0"/>
    <x v="3481"/>
    <s v="20L"/>
    <d v="2023-09-12T00:00:00"/>
    <s v="300133"/>
    <s v="OP BOX "/>
    <n v="46361.7"/>
  </r>
  <r>
    <s v="Facture comptabilisée"/>
    <m/>
    <x v="0"/>
    <x v="3482"/>
    <s v="5500AM"/>
    <d v="2023-09-12T00:00:00"/>
    <s v="300133"/>
    <s v="OP BOX "/>
    <n v="46869.25"/>
  </r>
  <r>
    <s v="Facture comptabilisée"/>
    <m/>
    <x v="0"/>
    <x v="3483"/>
    <s v="2300ML"/>
    <d v="2023-09-13T00:00:00"/>
    <s v="300133"/>
    <s v="OP BOX "/>
    <n v="40711.68"/>
  </r>
  <r>
    <s v="Facture comptabilisée"/>
    <m/>
    <x v="0"/>
    <x v="3484"/>
    <s v="90/2023 J"/>
    <d v="2023-09-13T00:00:00"/>
    <s v="300191"/>
    <s v="JTTL"/>
    <n v="8675.69"/>
  </r>
  <r>
    <s v="Facture comptabilisée"/>
    <m/>
    <x v="0"/>
    <x v="3485"/>
    <s v="91/2023 J"/>
    <d v="2023-09-13T00:00:00"/>
    <s v="300191"/>
    <s v="JTTL"/>
    <n v="10960.51"/>
  </r>
  <r>
    <s v="Facture comptabilisée"/>
    <m/>
    <x v="0"/>
    <x v="3486"/>
    <s v="92/2023 J"/>
    <d v="2023-09-14T00:00:00"/>
    <s v="300191"/>
    <s v="JTTL"/>
    <n v="3680.23"/>
  </r>
  <r>
    <s v="Facture comptabilisée"/>
    <m/>
    <x v="0"/>
    <x v="3487"/>
    <s v="93/2023 J"/>
    <d v="2023-09-14T00:00:00"/>
    <s v="300191"/>
    <s v="JTTL"/>
    <n v="3205.46"/>
  </r>
  <r>
    <s v="Facture comptabilisée"/>
    <m/>
    <x v="0"/>
    <x v="3488"/>
    <s v="67/2023"/>
    <d v="2023-09-15T00:00:00"/>
    <s v="300043"/>
    <s v="DOUANE"/>
    <n v="693"/>
  </r>
  <r>
    <s v="Facture comptabilisée"/>
    <m/>
    <x v="0"/>
    <x v="3489"/>
    <s v="96/2023 J"/>
    <d v="2023-09-15T00:00:00"/>
    <s v="300043"/>
    <s v="DOUANE"/>
    <n v="67224"/>
  </r>
  <r>
    <s v="Facture comptabilisée"/>
    <m/>
    <x v="0"/>
    <x v="3490"/>
    <s v="67/2023"/>
    <d v="2023-09-15T00:00:00"/>
    <s v="300101"/>
    <s v="ASMAE FORWARDING EXPRESS"/>
    <n v="3624.08"/>
  </r>
  <r>
    <s v="Facture comptabilisée"/>
    <m/>
    <x v="0"/>
    <x v="3491"/>
    <s v="JIL PACK A"/>
    <d v="2023-09-15T00:00:00"/>
    <s v="300115"/>
    <s v="AUXILIAR CONSERVERA SA"/>
    <n v="412800.234"/>
  </r>
  <r>
    <s v="Facture comptabilisée"/>
    <m/>
    <x v="0"/>
    <x v="3492"/>
    <s v="64/2023"/>
    <d v="2023-09-18T00:00:00"/>
    <s v="300043"/>
    <s v="DOUANE"/>
    <n v="1536"/>
  </r>
  <r>
    <s v="Facture comptabilisée"/>
    <m/>
    <x v="0"/>
    <x v="3493"/>
    <s v="64/2023"/>
    <d v="2023-09-18T00:00:00"/>
    <s v="300101"/>
    <s v="ASMAE FORWARDING EXPRESS"/>
    <n v="3624.09"/>
  </r>
  <r>
    <s v="Facture comptabilisée"/>
    <m/>
    <x v="0"/>
    <x v="3494"/>
    <s v="JIL PACK A*LA GIR"/>
    <d v="2023-09-18T00:00:00"/>
    <s v="300115"/>
    <s v="AUXILIAR CONSERVERA SA"/>
    <n v="396070.88400000002"/>
  </r>
  <r>
    <s v="Facture comptabilisée"/>
    <m/>
    <x v="0"/>
    <x v="3495"/>
    <s v="JIL PACK A"/>
    <d v="2023-09-18T00:00:00"/>
    <s v="300226"/>
    <s v="Sarten Ambalaj Sanayi ve Ticaret AS"/>
    <n v="340911.45"/>
  </r>
  <r>
    <s v="Facture comptabilisée"/>
    <m/>
    <x v="0"/>
    <x v="3496"/>
    <s v="94/2023 J"/>
    <d v="2023-09-18T00:00:00"/>
    <s v="300321"/>
    <s v="JIL LOGISTIQUE"/>
    <n v="18000"/>
  </r>
  <r>
    <s v="Facture comptabilisée"/>
    <m/>
    <x v="0"/>
    <x v="3497"/>
    <s v="72/2023"/>
    <d v="2023-09-19T00:00:00"/>
    <s v="300043"/>
    <s v="DOUANE"/>
    <n v="1540"/>
  </r>
  <r>
    <s v="Facture comptabilisée"/>
    <m/>
    <x v="0"/>
    <x v="3498"/>
    <s v="94/2023 J"/>
    <d v="2023-09-19T00:00:00"/>
    <s v="300043"/>
    <s v="DOUANE"/>
    <n v="1540"/>
  </r>
  <r>
    <s v="Facture comptabilisée"/>
    <m/>
    <x v="0"/>
    <x v="3499"/>
    <s v="72/2023"/>
    <d v="2023-09-19T00:00:00"/>
    <s v="300101"/>
    <s v="ASMAE FORWARDING EXPRESS"/>
    <n v="3149.32"/>
  </r>
  <r>
    <s v="Facture comptabilisée"/>
    <m/>
    <x v="0"/>
    <x v="3500"/>
    <s v="JIL PACK*1*"/>
    <d v="2023-09-19T00:00:00"/>
    <s v="300115"/>
    <s v="AUXILIAR CONSERVERA SA"/>
    <n v="68668.723199999993"/>
  </r>
  <r>
    <s v="Facture comptabilisée"/>
    <m/>
    <x v="0"/>
    <x v="3501"/>
    <s v="LOGI*2*"/>
    <d v="2023-09-19T00:00:00"/>
    <s v="300115"/>
    <s v="AUXILIAR CONSERVERA SA"/>
    <n v="85835.903999999995"/>
  </r>
  <r>
    <s v="Facture comptabilisée"/>
    <m/>
    <x v="0"/>
    <x v="3502"/>
    <s v="LOGI FOOD"/>
    <d v="2023-09-20T00:00:00"/>
    <s v="300115"/>
    <s v="AUXILIAR CONSERVERA SA"/>
    <n v="311734.14799999999"/>
  </r>
  <r>
    <s v="Facture comptabilisée"/>
    <m/>
    <x v="0"/>
    <x v="3503"/>
    <s v="94/2023 J"/>
    <d v="2023-09-20T00:00:00"/>
    <s v="300191"/>
    <s v="JTTL"/>
    <n v="3182.26"/>
  </r>
  <r>
    <s v="Facture comptabilisée"/>
    <m/>
    <x v="0"/>
    <x v="3504"/>
    <m/>
    <d v="2023-09-22T00:00:00"/>
    <s v="300043"/>
    <s v="DOUANE"/>
    <n v="3999"/>
  </r>
  <r>
    <s v="Facture comptabilisée"/>
    <m/>
    <x v="0"/>
    <x v="3505"/>
    <s v="73/2023"/>
    <d v="2023-09-22T00:00:00"/>
    <s v="300043"/>
    <s v="DOUANE"/>
    <n v="677"/>
  </r>
  <r>
    <s v="Facture comptabilisée"/>
    <m/>
    <x v="0"/>
    <x v="3506"/>
    <s v="73/2023"/>
    <d v="2023-09-22T00:00:00"/>
    <s v="300101"/>
    <s v="ASMAE FORWARDING EXPRESS"/>
    <n v="3149.32"/>
  </r>
  <r>
    <s v="Facture comptabilisée"/>
    <m/>
    <x v="0"/>
    <x v="3507"/>
    <s v="100/2032 J"/>
    <d v="2023-09-22T00:00:00"/>
    <s v="300340"/>
    <s v="MSC MAROC"/>
    <n v="3274"/>
  </r>
  <r>
    <s v="Facture comptabilisée"/>
    <m/>
    <x v="0"/>
    <x v="3508"/>
    <s v="74/2023"/>
    <d v="2023-09-25T00:00:00"/>
    <s v="300043"/>
    <s v="DOUANE"/>
    <n v="1198"/>
  </r>
  <r>
    <s v="Facture comptabilisée"/>
    <m/>
    <x v="0"/>
    <x v="3509"/>
    <s v="95/2023 J"/>
    <d v="2023-09-25T00:00:00"/>
    <s v="300043"/>
    <s v="DOUANE"/>
    <n v="936"/>
  </r>
  <r>
    <s v="Facture comptabilisée"/>
    <m/>
    <x v="0"/>
    <x v="3510"/>
    <s v="74/2023"/>
    <d v="2023-09-25T00:00:00"/>
    <s v="300101"/>
    <s v="ASMAE FORWARDING EXPRESS"/>
    <n v="3307.57"/>
  </r>
  <r>
    <s v="Facture comptabilisée"/>
    <m/>
    <x v="0"/>
    <x v="3511"/>
    <s v="100/2023 J"/>
    <d v="2023-09-26T00:00:00"/>
    <s v="300043"/>
    <s v="DOUANE"/>
    <n v="4323"/>
  </r>
  <r>
    <s v="Facture comptabilisée"/>
    <m/>
    <x v="0"/>
    <x v="3512"/>
    <s v="JIL PACK"/>
    <d v="2023-09-26T00:00:00"/>
    <s v="300115"/>
    <s v="AUXILIAR CONSERVERA SA"/>
    <n v="9579.3389999999999"/>
  </r>
  <r>
    <s v="Facture comptabilisée"/>
    <m/>
    <x v="0"/>
    <x v="3513"/>
    <s v="ATUNEROS DEL SUR"/>
    <d v="2023-09-29T00:00:00"/>
    <s v="300115"/>
    <s v="AUXILIAR CONSERVERA SA"/>
    <n v="396070.88400000002"/>
  </r>
  <r>
    <s v="Facture comptabilisée"/>
    <m/>
    <x v="0"/>
    <x v="3514"/>
    <s v="96/2023 J"/>
    <d v="2023-09-29T00:00:00"/>
    <s v="300321"/>
    <s v="JIL LOGISTIQUE"/>
    <n v="11500"/>
  </r>
  <r>
    <s v="Facture comptabilisée"/>
    <m/>
    <x v="0"/>
    <x v="3515"/>
    <s v="95/2023 J"/>
    <d v="2023-09-30T00:00:00"/>
    <s v="300191"/>
    <s v="JTTL"/>
    <n v="9080.24"/>
  </r>
  <r>
    <s v="Facture comptabilisée"/>
    <m/>
    <x v="0"/>
    <x v="3516"/>
    <s v="***"/>
    <d v="2023-10-01T00:00:00"/>
    <s v="300043"/>
    <s v="DOUANE"/>
    <n v="4897"/>
  </r>
  <r>
    <s v="Facture comptabilisée"/>
    <m/>
    <x v="0"/>
    <x v="3517"/>
    <s v="VMM PESCADA"/>
    <d v="2023-10-02T00:00:00"/>
    <s v="300115"/>
    <s v="AUXILIAR CONSERVERA SA"/>
    <n v="431144.90100000001"/>
  </r>
  <r>
    <s v="Facture comptabilisée"/>
    <m/>
    <x v="0"/>
    <x v="3518"/>
    <s v="98/2023 J"/>
    <d v="2023-10-02T00:00:00"/>
    <s v="300321"/>
    <s v="JIL LOGISTIQUE"/>
    <n v="18000"/>
  </r>
  <r>
    <s v="Facture comptabilisée"/>
    <m/>
    <x v="0"/>
    <x v="3519"/>
    <s v="****"/>
    <d v="2023-10-03T00:00:00"/>
    <s v="300043"/>
    <s v="DOUANE"/>
    <n v="3496"/>
  </r>
  <r>
    <s v="Facture comptabilisée"/>
    <m/>
    <x v="0"/>
    <x v="3520"/>
    <s v="VMM PESCADA"/>
    <d v="2023-10-03T00:00:00"/>
    <s v="300115"/>
    <s v="AUXILIAR CONSERVERA SA"/>
    <n v="453308.75699999998"/>
  </r>
  <r>
    <s v="Facture comptabilisée"/>
    <m/>
    <x v="0"/>
    <x v="3521"/>
    <s v="98/2023 J"/>
    <d v="2023-10-04T00:00:00"/>
    <s v="300043"/>
    <s v="DOUANE"/>
    <n v="1642"/>
  </r>
  <r>
    <s v="Facture comptabilisée"/>
    <m/>
    <x v="0"/>
    <x v="3522"/>
    <s v="96/2023 J"/>
    <d v="2023-10-04T00:00:00"/>
    <s v="300043"/>
    <s v="DOUANE"/>
    <n v="1505"/>
  </r>
  <r>
    <s v="Facture comptabilisée"/>
    <m/>
    <x v="0"/>
    <x v="3523"/>
    <s v="97/2023 J"/>
    <d v="2023-10-05T00:00:00"/>
    <s v="300043"/>
    <s v="DOUANE"/>
    <n v="1228"/>
  </r>
  <r>
    <s v="Facture comptabilisée"/>
    <m/>
    <x v="0"/>
    <x v="3524"/>
    <s v="96/2023 J"/>
    <d v="2023-10-06T00:00:00"/>
    <s v="300191"/>
    <s v="JTTL"/>
    <n v="3363.72"/>
  </r>
  <r>
    <s v="Facture comptabilisée"/>
    <m/>
    <x v="0"/>
    <x v="3525"/>
    <s v="97/2023 J"/>
    <d v="2023-10-06T00:00:00"/>
    <s v="300191"/>
    <s v="JTTL"/>
    <n v="7812.16"/>
  </r>
  <r>
    <s v="Facture comptabilisée"/>
    <m/>
    <x v="0"/>
    <x v="3526"/>
    <s v="98/2023 J"/>
    <d v="2023-10-06T00:00:00"/>
    <s v="300191"/>
    <s v="JTTL"/>
    <n v="3363.72"/>
  </r>
  <r>
    <s v="Facture comptabilisée"/>
    <m/>
    <x v="0"/>
    <x v="3527"/>
    <s v="99/2023 J"/>
    <d v="2023-10-06T00:00:00"/>
    <s v="300191"/>
    <s v="JTTL"/>
    <n v="23810.39"/>
  </r>
  <r>
    <s v="Facture comptabilisée"/>
    <m/>
    <x v="0"/>
    <x v="3528"/>
    <s v="CONS"/>
    <d v="2023-10-09T00:00:00"/>
    <s v="300064"/>
    <s v="SONOCO Métal Packaging Maroc"/>
    <n v="38460"/>
  </r>
  <r>
    <s v="Facture comptabilisée"/>
    <m/>
    <x v="0"/>
    <x v="3529"/>
    <s v="CONSIG"/>
    <d v="2023-10-09T00:00:00"/>
    <s v="300064"/>
    <s v="SONOCO Métal Packaging Maroc"/>
    <n v="38460"/>
  </r>
  <r>
    <s v="Facture comptabilisée"/>
    <m/>
    <x v="0"/>
    <x v="3530"/>
    <s v="75/2023"/>
    <d v="2023-10-11T00:00:00"/>
    <s v="300043"/>
    <s v="DOUANE"/>
    <n v="1657"/>
  </r>
  <r>
    <s v="Facture comptabilisée"/>
    <m/>
    <x v="0"/>
    <x v="3531"/>
    <s v="75/2023"/>
    <d v="2023-10-11T00:00:00"/>
    <s v="300101"/>
    <s v="ASMAE FORWARDING EXPRESS"/>
    <n v="4144.07"/>
  </r>
  <r>
    <s v="Facture comptabilisée"/>
    <m/>
    <x v="0"/>
    <x v="3532"/>
    <s v="CONSI"/>
    <d v="2023-10-12T00:00:00"/>
    <s v="300064"/>
    <s v="SONOCO Métal Packaging Maroc"/>
    <n v="3150"/>
  </r>
  <r>
    <s v="Facture comptabilisée"/>
    <m/>
    <x v="0"/>
    <x v="3533"/>
    <s v="22L"/>
    <d v="2023-10-13T00:00:00"/>
    <s v="300356"/>
    <s v="MASSILY PORTUGAL"/>
    <n v="198608.1053"/>
  </r>
  <r>
    <s v="Facture comptabilisée"/>
    <m/>
    <x v="0"/>
    <x v="3534"/>
    <s v="4600AM"/>
    <d v="2023-10-17T00:00:00"/>
    <s v="300133"/>
    <s v="OP BOX "/>
    <n v="30241.200000000001"/>
  </r>
  <r>
    <s v="Facture comptabilisée"/>
    <m/>
    <x v="0"/>
    <x v="3535"/>
    <s v="76/2023"/>
    <d v="2023-10-18T00:00:00"/>
    <s v="300043"/>
    <s v="DOUANE"/>
    <n v="817"/>
  </r>
  <r>
    <s v="Facture comptabilisée"/>
    <m/>
    <x v="0"/>
    <x v="3536"/>
    <s v="76/2023"/>
    <d v="2023-10-18T00:00:00"/>
    <s v="300101"/>
    <s v="ASMAE FORWARDING EXPRESS"/>
    <n v="3149.32"/>
  </r>
  <r>
    <s v="Facture comptabilisée"/>
    <m/>
    <x v="0"/>
    <x v="3537"/>
    <s v="SILVER FOOD"/>
    <d v="2023-10-18T00:00:00"/>
    <s v="300115"/>
    <s v="AUXILIAR CONSERVERA SA"/>
    <n v="422410.03200000001"/>
  </r>
  <r>
    <s v="Facture comptabilisée"/>
    <m/>
    <x v="0"/>
    <x v="3538"/>
    <s v="*******"/>
    <d v="2023-10-19T00:00:00"/>
    <s v="300043"/>
    <s v="DOUANE"/>
    <n v="3058"/>
  </r>
  <r>
    <s v="Facture comptabilisée"/>
    <m/>
    <x v="0"/>
    <x v="3539"/>
    <s v="LOGI FOOD"/>
    <d v="2023-10-19T00:00:00"/>
    <s v="300115"/>
    <s v="AUXILIAR CONSERVERA SA"/>
    <n v="329662.27360000001"/>
  </r>
  <r>
    <s v="Facture comptabilisée"/>
    <m/>
    <x v="0"/>
    <x v="3540"/>
    <s v="100/2023 J"/>
    <d v="2023-10-19T00:00:00"/>
    <s v="300191"/>
    <s v="JTTL"/>
    <n v="5872.84"/>
  </r>
  <r>
    <s v="Facture comptabilisée"/>
    <m/>
    <x v="0"/>
    <x v="3541"/>
    <s v="JIL PACK A"/>
    <d v="2023-10-19T00:00:00"/>
    <s v="300220"/>
    <s v="ENVASES EUROPE"/>
    <n v="1256270.3999999999"/>
  </r>
  <r>
    <s v="Facture comptabilisée"/>
    <m/>
    <x v="0"/>
    <x v="3542"/>
    <s v="ATUNERLOS DELSUR"/>
    <d v="2023-10-23T00:00:00"/>
    <s v="300115"/>
    <s v="AUXILIAR CONSERVERA SA"/>
    <n v="411903.36"/>
  </r>
  <r>
    <s v="Facture comptabilisée"/>
    <m/>
    <x v="0"/>
    <x v="3543"/>
    <m/>
    <d v="2023-10-23T00:00:00"/>
    <s v="300344"/>
    <s v="PADEL NUESTRO"/>
    <n v="170725.87770000001"/>
  </r>
  <r>
    <s v="Facture comptabilisée"/>
    <m/>
    <x v="0"/>
    <x v="3544"/>
    <s v="77/2023"/>
    <d v="2023-10-24T00:00:00"/>
    <s v="300043"/>
    <s v="DOUANE"/>
    <n v="1566"/>
  </r>
  <r>
    <s v="Facture comptabilisée"/>
    <m/>
    <x v="0"/>
    <x v="3545"/>
    <s v="77/2023"/>
    <d v="2023-10-24T00:00:00"/>
    <s v="300101"/>
    <s v="ASMAE FORWARDING EXPRESS"/>
    <n v="3465.83"/>
  </r>
  <r>
    <s v="Facture comptabilisée"/>
    <m/>
    <x v="0"/>
    <x v="3546"/>
    <s v="JIL PACK A"/>
    <d v="2023-10-24T00:00:00"/>
    <s v="300115"/>
    <s v="AUXILIAR CONSERVERA SA"/>
    <n v="396020.98800000001"/>
  </r>
  <r>
    <s v="Facture comptabilisée"/>
    <m/>
    <x v="0"/>
    <x v="3547"/>
    <s v="102/2023 J"/>
    <d v="2023-10-24T00:00:00"/>
    <s v="300321"/>
    <s v="JIL LOGISTIQUE"/>
    <n v="19000"/>
  </r>
  <r>
    <s v="Facture comptabilisée"/>
    <m/>
    <x v="0"/>
    <x v="3548"/>
    <s v="******"/>
    <d v="2023-10-25T00:00:00"/>
    <s v="300043"/>
    <s v="DOUANE"/>
    <n v="5063"/>
  </r>
  <r>
    <s v="Facture comptabilisée"/>
    <m/>
    <x v="0"/>
    <x v="3549"/>
    <s v="102/2023 J"/>
    <d v="2023-10-25T00:00:00"/>
    <s v="300043"/>
    <s v="DOUANE"/>
    <n v="1522"/>
  </r>
  <r>
    <s v="Facture comptabilisée"/>
    <m/>
    <x v="0"/>
    <x v="3550"/>
    <s v="79/2023"/>
    <d v="2023-10-25T00:00:00"/>
    <s v="300043"/>
    <s v="DOUANE"/>
    <n v="1261"/>
  </r>
  <r>
    <s v="Facture comptabilisée"/>
    <m/>
    <x v="0"/>
    <x v="3551"/>
    <s v="79/2023"/>
    <d v="2023-10-25T00:00:00"/>
    <s v="300101"/>
    <s v="ASMAE FORWARDING EXPRESS"/>
    <n v="3832.08"/>
  </r>
  <r>
    <s v="Facture comptabilisée"/>
    <m/>
    <x v="0"/>
    <x v="3552"/>
    <s v="SILVER FOOD"/>
    <d v="2023-10-25T00:00:00"/>
    <s v="300115"/>
    <s v="AUXILIAR CONSERVERA SA"/>
    <n v="411911.94"/>
  </r>
  <r>
    <s v="Facture comptabilisée"/>
    <m/>
    <x v="0"/>
    <x v="3553"/>
    <s v="JIL PACK A"/>
    <d v="2023-10-25T00:00:00"/>
    <s v="300115"/>
    <s v="AUXILIAR CONSERVERA SA"/>
    <n v="396020.98800000001"/>
  </r>
  <r>
    <s v="Facture comptabilisée"/>
    <m/>
    <x v="0"/>
    <x v="3554"/>
    <s v="5.5 AP"/>
    <d v="2023-10-25T00:00:00"/>
    <s v="300133"/>
    <s v="OP BOX "/>
    <n v="5697"/>
  </r>
  <r>
    <s v="Facture comptabilisée"/>
    <m/>
    <x v="0"/>
    <x v="3555"/>
    <s v="1200 TRANSP"/>
    <d v="2023-10-25T00:00:00"/>
    <s v="300133"/>
    <s v="OP BOX "/>
    <n v="5574.6"/>
  </r>
  <r>
    <s v="Facture comptabilisée"/>
    <m/>
    <x v="0"/>
    <x v="3556"/>
    <s v="0.280ML"/>
    <d v="2023-10-25T00:00:00"/>
    <s v="300133"/>
    <s v="OP BOX "/>
    <n v="33465"/>
  </r>
  <r>
    <s v="Facture comptabilisée"/>
    <m/>
    <x v="0"/>
    <x v="3557"/>
    <s v="101/2023 J"/>
    <d v="2023-10-25T00:00:00"/>
    <s v="300321"/>
    <s v="JIL LOGISTIQUE"/>
    <n v="19000"/>
  </r>
  <r>
    <s v="Facture comptabilisée"/>
    <m/>
    <x v="0"/>
    <x v="3558"/>
    <s v="78/2023"/>
    <d v="2023-10-27T00:00:00"/>
    <s v="300043"/>
    <s v="DOUANE"/>
    <n v="1521"/>
  </r>
  <r>
    <s v="Facture comptabilisée"/>
    <m/>
    <x v="0"/>
    <x v="3559"/>
    <s v="78/2023"/>
    <d v="2023-10-27T00:00:00"/>
    <s v="300101"/>
    <s v="ASMAE FORWARDING EXPRESS"/>
    <n v="3199.06"/>
  </r>
  <r>
    <s v="Facture comptabilisée"/>
    <m/>
    <x v="0"/>
    <x v="3560"/>
    <s v="JIL PACK A"/>
    <d v="2023-10-27T00:00:00"/>
    <s v="300115"/>
    <s v="AUXILIAR CONSERVERA SA"/>
    <n v="396020.98800000001"/>
  </r>
  <r>
    <s v="Facture comptabilisée"/>
    <m/>
    <x v="0"/>
    <x v="3561"/>
    <s v="103/2023 J"/>
    <d v="2023-10-27T00:00:00"/>
    <s v="300321"/>
    <s v="JIL LOGISTIQUE"/>
    <n v="19000"/>
  </r>
  <r>
    <s v="Facture comptabilisée"/>
    <m/>
    <x v="0"/>
    <x v="3562"/>
    <s v="101/2023 J"/>
    <d v="2023-10-28T00:00:00"/>
    <s v="300043"/>
    <s v="DOUANE"/>
    <n v="1509"/>
  </r>
  <r>
    <s v="Facture comptabilisée"/>
    <m/>
    <x v="0"/>
    <x v="3563"/>
    <s v="82/2023"/>
    <d v="2023-10-30T00:00:00"/>
    <s v="300043"/>
    <s v="DOUANE"/>
    <n v="1523"/>
  </r>
  <r>
    <s v="Facture comptabilisée"/>
    <m/>
    <x v="0"/>
    <x v="3564"/>
    <s v="101/2023 J"/>
    <d v="2023-10-30T00:00:00"/>
    <s v="300191"/>
    <s v="JTTL"/>
    <n v="3364.72"/>
  </r>
  <r>
    <s v="Facture comptabilisée"/>
    <m/>
    <x v="0"/>
    <x v="3565"/>
    <s v="102/2023 J"/>
    <d v="2023-10-30T00:00:00"/>
    <s v="300191"/>
    <s v="JTTL"/>
    <n v="3206.46"/>
  </r>
  <r>
    <s v="Facture comptabilisée"/>
    <m/>
    <x v="0"/>
    <x v="3566"/>
    <s v="103/2023 J"/>
    <d v="2023-10-31T00:00:00"/>
    <s v="300043"/>
    <s v="DOUANE"/>
    <n v="1517"/>
  </r>
  <r>
    <s v="Facture comptabilisée"/>
    <m/>
    <x v="0"/>
    <x v="3567"/>
    <s v="103/2023 J"/>
    <d v="2023-10-31T00:00:00"/>
    <s v="300191"/>
    <s v="JTTL"/>
    <n v="3206.46"/>
  </r>
  <r>
    <s v="Facture comptabilisée"/>
    <m/>
    <x v="0"/>
    <x v="3568"/>
    <s v="VERRE"/>
    <d v="2023-11-01T00:00:00"/>
    <s v="300369"/>
    <s v="ARSLAN"/>
    <n v="155234.079"/>
  </r>
  <r>
    <s v="Facture comptabilisée"/>
    <m/>
    <x v="0"/>
    <x v="3569"/>
    <s v="VMM PESCADA"/>
    <d v="2023-11-02T00:00:00"/>
    <s v="300115"/>
    <s v="AUXILIAR CONSERVERA SA"/>
    <n v="431144.90100000001"/>
  </r>
  <r>
    <s v="Facture comptabilisée"/>
    <m/>
    <x v="0"/>
    <x v="3570"/>
    <s v="PLASTIQUE"/>
    <d v="2023-11-02T00:00:00"/>
    <s v="300133"/>
    <s v="OP BOX "/>
    <n v="8520"/>
  </r>
  <r>
    <s v="Facture comptabilisée"/>
    <m/>
    <x v="0"/>
    <x v="3571"/>
    <s v="PLASTIQUE"/>
    <d v="2023-11-02T00:00:00"/>
    <s v="300133"/>
    <s v="OP BOX "/>
    <n v="6270"/>
  </r>
  <r>
    <s v="Facture comptabilisée"/>
    <m/>
    <x v="0"/>
    <x v="3572"/>
    <s v="PLASTIQUE"/>
    <d v="2023-11-02T00:00:00"/>
    <s v="300133"/>
    <s v="OP BOX "/>
    <n v="40435.199999999997"/>
  </r>
  <r>
    <s v="Facture comptabilisée"/>
    <m/>
    <x v="0"/>
    <x v="3573"/>
    <s v="JIL PACK A"/>
    <d v="2023-11-02T00:00:00"/>
    <s v="300220"/>
    <s v="ENVASES EUROPE"/>
    <n v="1182175.852"/>
  </r>
  <r>
    <s v="Facture comptabilisée"/>
    <m/>
    <x v="0"/>
    <x v="3574"/>
    <s v="104/2023 J"/>
    <d v="2023-11-02T00:00:00"/>
    <s v="300321"/>
    <s v="JIL LOGISTIQUE"/>
    <n v="18000"/>
  </r>
  <r>
    <s v="Facture comptabilisée"/>
    <m/>
    <x v="0"/>
    <x v="3575"/>
    <s v="UNIVERS FOOD"/>
    <d v="2023-11-03T00:00:00"/>
    <s v="300115"/>
    <s v="AUXILIAR CONSERVERA SA"/>
    <n v="134539.21799999999"/>
  </r>
  <r>
    <s v="Facture comptabilisée"/>
    <m/>
    <x v="0"/>
    <x v="3576"/>
    <s v="104/2023 J"/>
    <d v="2023-11-04T00:00:00"/>
    <s v="300043"/>
    <s v="DOUANE"/>
    <n v="1632"/>
  </r>
  <r>
    <s v="Facture comptabilisée"/>
    <m/>
    <x v="0"/>
    <x v="3577"/>
    <s v="600ML"/>
    <d v="2023-11-04T00:00:00"/>
    <s v="300133"/>
    <s v="OP BOX "/>
    <n v="19200"/>
  </r>
  <r>
    <s v="Facture comptabilisée"/>
    <m/>
    <x v="0"/>
    <x v="3578"/>
    <s v="CONSERVES OUALILI"/>
    <d v="2023-11-06T00:00:00"/>
    <s v="300115"/>
    <s v="AUXILIAR CONSERVERA SA"/>
    <n v="134539.21799999999"/>
  </r>
  <r>
    <s v="Facture comptabilisée"/>
    <m/>
    <x v="0"/>
    <x v="3579"/>
    <s v="****"/>
    <d v="2023-11-07T00:00:00"/>
    <s v="300043"/>
    <s v="DOUANE"/>
    <n v="3548"/>
  </r>
  <r>
    <s v="Facture comptabilisée"/>
    <m/>
    <x v="0"/>
    <x v="3580"/>
    <s v="81/2023"/>
    <d v="2023-11-07T00:00:00"/>
    <s v="300043"/>
    <s v="DOUANE"/>
    <n v="609"/>
  </r>
  <r>
    <s v="Facture comptabilisée"/>
    <m/>
    <x v="0"/>
    <x v="3581"/>
    <s v="OUALILI"/>
    <d v="2023-11-07T00:00:00"/>
    <s v="300064"/>
    <s v="SONOCO Métal Packaging Maroc"/>
    <n v="140944"/>
  </r>
  <r>
    <s v="Facture comptabilisée"/>
    <m/>
    <x v="0"/>
    <x v="3582"/>
    <s v="80/2023"/>
    <d v="2023-11-08T00:00:00"/>
    <s v="300043"/>
    <s v="DOUANE"/>
    <n v="611"/>
  </r>
  <r>
    <s v="Facture comptabilisée"/>
    <m/>
    <x v="0"/>
    <x v="3583"/>
    <s v="104/2023 J"/>
    <d v="2023-11-08T00:00:00"/>
    <s v="300191"/>
    <s v="JTTL"/>
    <n v="3206.46"/>
  </r>
  <r>
    <s v="Facture comptabilisée"/>
    <m/>
    <x v="0"/>
    <x v="3584"/>
    <s v="SILVER FOOD"/>
    <d v="2023-11-09T00:00:00"/>
    <s v="300115"/>
    <s v="AUXILIAR CONSERVERA SA"/>
    <n v="396020.98800000001"/>
  </r>
  <r>
    <s v="Facture comptabilisée"/>
    <m/>
    <x v="0"/>
    <x v="3585"/>
    <s v="105/2023 J"/>
    <d v="2023-11-09T00:00:00"/>
    <s v="300321"/>
    <s v="JIL LOGISTIQUE"/>
    <n v="18000"/>
  </r>
  <r>
    <s v="Facture comptabilisée"/>
    <m/>
    <x v="0"/>
    <x v="3586"/>
    <s v="JIL PACK*MFI*"/>
    <d v="2023-11-09T00:00:00"/>
    <s v="300373"/>
    <s v="MIDDLE EAST GLASS CONTAINERS-SADAT CO.S.A.E"/>
    <n v="230122.10759999999"/>
  </r>
  <r>
    <s v="Facture comptabilisée"/>
    <m/>
    <x v="0"/>
    <x v="3587"/>
    <s v="105/2023 J"/>
    <d v="2023-11-10T00:00:00"/>
    <s v="300043"/>
    <s v="DOUANE"/>
    <n v="1515"/>
  </r>
  <r>
    <s v="Facture comptabilisée"/>
    <m/>
    <x v="0"/>
    <x v="3588"/>
    <s v="108/2023 J"/>
    <d v="2023-11-10T00:00:00"/>
    <s v="300043"/>
    <s v="DOUANE"/>
    <n v="9754"/>
  </r>
  <r>
    <s v="Facture comptabilisée"/>
    <m/>
    <x v="0"/>
    <x v="3589"/>
    <s v="CHERIF"/>
    <d v="2023-11-10T00:00:00"/>
    <s v="300064"/>
    <s v="SONOCO Métal Packaging Maroc"/>
    <n v="140980"/>
  </r>
  <r>
    <s v="Facture comptabilisée"/>
    <m/>
    <x v="0"/>
    <x v="3590"/>
    <s v="JIL PACK A"/>
    <d v="2023-11-10T00:00:00"/>
    <s v="300115"/>
    <s v="AUXILIAR CONSERVERA SA"/>
    <n v="396020.98800000001"/>
  </r>
  <r>
    <s v="Facture comptabilisée"/>
    <m/>
    <x v="0"/>
    <x v="3591"/>
    <s v="JIL PACK A"/>
    <d v="2023-11-10T00:00:00"/>
    <s v="300115"/>
    <s v="AUXILIAR CONSERVERA SA"/>
    <n v="396020.98800000001"/>
  </r>
  <r>
    <s v="Facture comptabilisée"/>
    <m/>
    <x v="0"/>
    <x v="3592"/>
    <s v="106/2023"/>
    <d v="2023-11-10T00:00:00"/>
    <s v="300321"/>
    <s v="JIL LOGISTIQUE"/>
    <n v="19000"/>
  </r>
  <r>
    <s v="Facture comptabilisée"/>
    <m/>
    <x v="0"/>
    <x v="3593"/>
    <s v="107/2023 J"/>
    <d v="2023-11-10T00:00:00"/>
    <s v="300321"/>
    <s v="JIL LOGISTIQUE"/>
    <n v="19000"/>
  </r>
  <r>
    <s v="Facture comptabilisée"/>
    <m/>
    <x v="0"/>
    <x v="3594"/>
    <s v="*********"/>
    <d v="2023-11-10T00:00:00"/>
    <s v="300340"/>
    <s v="MSC MAROC"/>
    <n v="3274"/>
  </r>
  <r>
    <s v="Facture comptabilisée"/>
    <m/>
    <x v="0"/>
    <x v="3595"/>
    <s v="********"/>
    <d v="2023-11-13T00:00:00"/>
    <s v="300043"/>
    <s v="DOUANE"/>
    <n v="3097"/>
  </r>
  <r>
    <s v="Facture comptabilisée"/>
    <m/>
    <x v="0"/>
    <x v="3596"/>
    <s v="106/2023 J"/>
    <d v="2023-11-13T00:00:00"/>
    <s v="300043"/>
    <s v="DOUANE"/>
    <n v="1520"/>
  </r>
  <r>
    <s v="Facture comptabilisée"/>
    <m/>
    <x v="0"/>
    <x v="3597"/>
    <s v="105/2023 J"/>
    <d v="2023-11-13T00:00:00"/>
    <s v="300191"/>
    <s v="JTTL"/>
    <n v="3277.56"/>
  </r>
  <r>
    <s v="Facture comptabilisée"/>
    <m/>
    <x v="0"/>
    <x v="3598"/>
    <s v="107/2023 J"/>
    <d v="2023-11-14T00:00:00"/>
    <s v="300043"/>
    <s v="DOUANE"/>
    <n v="1518"/>
  </r>
  <r>
    <s v="Facture comptabilisée"/>
    <m/>
    <x v="0"/>
    <x v="3599"/>
    <s v="JIL PACK A"/>
    <d v="2023-11-14T00:00:00"/>
    <s v="300115"/>
    <s v="AUXILIAR CONSERVERA SA"/>
    <n v="386612.46360000002"/>
  </r>
  <r>
    <s v="Facture comptabilisée"/>
    <m/>
    <x v="0"/>
    <x v="3600"/>
    <s v="109/2023 J"/>
    <d v="2023-11-14T00:00:00"/>
    <s v="300321"/>
    <s v="JIL LOGISTIQUE"/>
    <n v="19000"/>
  </r>
  <r>
    <s v="Facture comptabilisée"/>
    <m/>
    <x v="0"/>
    <x v="3601"/>
    <s v="109/2023 J"/>
    <d v="2023-11-15T00:00:00"/>
    <s v="300043"/>
    <s v="DOUANE"/>
    <n v="1488"/>
  </r>
  <r>
    <s v="Facture comptabilisée"/>
    <m/>
    <x v="0"/>
    <x v="3602"/>
    <s v="106/2023 J"/>
    <d v="2023-11-15T00:00:00"/>
    <s v="300191"/>
    <s v="JTTL"/>
    <n v="3522.98"/>
  </r>
  <r>
    <s v="Facture comptabilisée"/>
    <m/>
    <x v="0"/>
    <x v="3603"/>
    <s v="80/2023"/>
    <d v="2023-11-16T00:00:00"/>
    <s v="300101"/>
    <s v="ASMAE FORWARDING EXPRESS"/>
    <n v="2991.06"/>
  </r>
  <r>
    <s v="Facture comptabilisée"/>
    <m/>
    <x v="0"/>
    <x v="3604"/>
    <s v="81/2023"/>
    <d v="2023-11-16T00:00:00"/>
    <s v="300101"/>
    <s v="ASMAE FORWARDING EXPRESS"/>
    <n v="3149.32"/>
  </r>
  <r>
    <s v="Facture comptabilisée"/>
    <m/>
    <x v="0"/>
    <x v="3605"/>
    <s v="82/2023"/>
    <d v="2023-11-16T00:00:00"/>
    <s v="300101"/>
    <s v="ASMAE FORWARDING EXPRESS"/>
    <n v="3782.34"/>
  </r>
  <r>
    <s v="Facture comptabilisée"/>
    <m/>
    <x v="0"/>
    <x v="3606"/>
    <s v="JIL PACK A"/>
    <d v="2023-11-16T00:00:00"/>
    <s v="300115"/>
    <s v="AUXILIAR CONSERVERA SA"/>
    <n v="346707.50400000002"/>
  </r>
  <r>
    <s v="Facture comptabilisée"/>
    <m/>
    <x v="0"/>
    <x v="3607"/>
    <s v="SILVER FOOD"/>
    <d v="2023-11-16T00:00:00"/>
    <s v="300115"/>
    <s v="AUXILIAR CONSERVERA SA"/>
    <n v="396020.98800000001"/>
  </r>
  <r>
    <s v="Facture comptabilisée"/>
    <m/>
    <x v="0"/>
    <x v="3608"/>
    <s v="107/2023 J"/>
    <d v="2023-11-16T00:00:00"/>
    <s v="300191"/>
    <s v="JTTL"/>
    <n v="3206.46"/>
  </r>
  <r>
    <s v="Facture comptabilisée"/>
    <m/>
    <x v="0"/>
    <x v="3609"/>
    <s v="108/2023 J"/>
    <d v="2023-11-16T00:00:00"/>
    <s v="300191"/>
    <s v="JTTL"/>
    <n v="5247.74"/>
  </r>
  <r>
    <s v="Facture comptabilisée"/>
    <m/>
    <x v="0"/>
    <x v="3610"/>
    <s v="109/2023 J"/>
    <d v="2023-11-16T00:00:00"/>
    <s v="300191"/>
    <s v="JTTL"/>
    <n v="3206.46"/>
  </r>
  <r>
    <s v="Facture comptabilisée"/>
    <m/>
    <x v="0"/>
    <x v="3611"/>
    <s v="111/2023 J"/>
    <d v="2023-11-16T00:00:00"/>
    <s v="300321"/>
    <s v="JIL LOGISTIQUE"/>
    <n v="19000"/>
  </r>
  <r>
    <s v="Facture comptabilisée"/>
    <m/>
    <x v="0"/>
    <x v="3612"/>
    <s v="110/2023 J"/>
    <d v="2023-11-16T00:00:00"/>
    <s v="300321"/>
    <s v="JIL LOGISTIQUE"/>
    <n v="18000"/>
  </r>
  <r>
    <s v="Facture comptabilisée"/>
    <m/>
    <x v="0"/>
    <x v="3613"/>
    <s v="108*131"/>
    <d v="2023-11-16T00:00:00"/>
    <s v="300356"/>
    <s v="MASSILY PORTUGAL"/>
    <n v="1820.2635"/>
  </r>
  <r>
    <s v="Facture comptabilisée"/>
    <m/>
    <x v="0"/>
    <x v="3614"/>
    <s v="JIL PACK*1*"/>
    <d v="2023-11-16T00:00:00"/>
    <s v="300375"/>
    <s v="BASTURK CAM SANAYI VE TICARET"/>
    <n v="176592.54689999999"/>
  </r>
  <r>
    <s v="Facture comptabilisée"/>
    <m/>
    <x v="0"/>
    <x v="3615"/>
    <s v="111/2023 J"/>
    <d v="2023-11-17T00:00:00"/>
    <s v="300043"/>
    <s v="DOUANE"/>
    <n v="1364"/>
  </r>
  <r>
    <s v="Facture comptabilisée"/>
    <m/>
    <x v="0"/>
    <x v="3616"/>
    <s v="110/2023 J"/>
    <d v="2023-11-17T00:00:00"/>
    <s v="300043"/>
    <s v="DOUANE"/>
    <n v="1528"/>
  </r>
  <r>
    <s v="Facture comptabilisée"/>
    <m/>
    <x v="0"/>
    <x v="3617"/>
    <s v="LOGIFOOD *1*"/>
    <d v="2023-11-17T00:00:00"/>
    <s v="300115"/>
    <s v="AUXILIAR CONSERVERA SA"/>
    <n v="178543.28580000001"/>
  </r>
  <r>
    <s v="Facture comptabilisée"/>
    <m/>
    <x v="0"/>
    <x v="3618"/>
    <s v="JIL PACK A"/>
    <d v="2023-11-17T00:00:00"/>
    <s v="300115"/>
    <s v="AUXILIAR CONSERVERA SA"/>
    <n v="200150.80799999999"/>
  </r>
  <r>
    <s v="Facture comptabilisée"/>
    <m/>
    <x v="0"/>
    <x v="3619"/>
    <s v="112/2023 J"/>
    <d v="2023-11-18T00:00:00"/>
    <s v="300371"/>
    <s v="CHAIN PREJECT"/>
    <n v="30860.41"/>
  </r>
  <r>
    <s v="Facture comptabilisée"/>
    <m/>
    <x v="0"/>
    <x v="3620"/>
    <m/>
    <d v="2023-11-20T00:00:00"/>
    <s v="300043"/>
    <s v="DOUANE"/>
    <n v="3237"/>
  </r>
  <r>
    <s v="Facture comptabilisée"/>
    <m/>
    <x v="0"/>
    <x v="3621"/>
    <s v="JIL PACK A*SILVER"/>
    <d v="2023-11-20T00:00:00"/>
    <s v="300115"/>
    <s v="AUXILIAR CONSERVERA SA"/>
    <n v="396020.98800000001"/>
  </r>
  <r>
    <s v="Facture comptabilisée"/>
    <m/>
    <x v="0"/>
    <x v="3622"/>
    <s v="****"/>
    <d v="2023-11-20T00:00:00"/>
    <s v="300191"/>
    <s v="JTTL"/>
    <n v="63.75"/>
  </r>
  <r>
    <s v="Facture comptabilisée"/>
    <m/>
    <x v="0"/>
    <x v="3623"/>
    <s v="110/2023 J"/>
    <d v="2023-11-20T00:00:00"/>
    <s v="300191"/>
    <s v="JTTL"/>
    <n v="3230.16"/>
  </r>
  <r>
    <s v="Facture comptabilisée"/>
    <m/>
    <x v="0"/>
    <x v="3624"/>
    <s v="111/2023 J"/>
    <d v="2023-11-20T00:00:00"/>
    <s v="300191"/>
    <s v="JTTL"/>
    <n v="3206.46"/>
  </r>
  <r>
    <s v="Facture comptabilisée"/>
    <m/>
    <x v="0"/>
    <x v="3625"/>
    <s v="113/2023 J"/>
    <d v="2023-11-20T00:00:00"/>
    <s v="300321"/>
    <s v="JIL LOGISTIQUE"/>
    <n v="18000"/>
  </r>
  <r>
    <s v="Facture comptabilisée"/>
    <m/>
    <x v="0"/>
    <x v="3626"/>
    <s v="113/2023 J"/>
    <d v="2023-11-21T00:00:00"/>
    <s v="300043"/>
    <s v="DOUANE"/>
    <n v="1536"/>
  </r>
  <r>
    <s v="Facture comptabilisée"/>
    <m/>
    <x v="0"/>
    <x v="3627"/>
    <s v="ATUNEROS DEL SUR"/>
    <d v="2023-11-21T00:00:00"/>
    <s v="300115"/>
    <s v="AUXILIAR CONSERVERA SA"/>
    <n v="396020.98800000001"/>
  </r>
  <r>
    <s v="Facture comptabilisée"/>
    <m/>
    <x v="0"/>
    <x v="3628"/>
    <s v="114/2023 J"/>
    <d v="2023-11-21T00:00:00"/>
    <s v="300321"/>
    <s v="JIL LOGISTIQUE"/>
    <n v="18000"/>
  </r>
  <r>
    <s v="Facture comptabilisée"/>
    <m/>
    <x v="0"/>
    <x v="3629"/>
    <s v="JIL PACK*2*"/>
    <d v="2023-11-21T00:00:00"/>
    <s v="300375"/>
    <s v="BASTURK CAM SANAYI VE TICARET"/>
    <n v="182872.16639999999"/>
  </r>
  <r>
    <s v="Facture comptabilisée"/>
    <m/>
    <x v="0"/>
    <x v="3630"/>
    <s v="83/2023"/>
    <d v="2023-11-22T00:00:00"/>
    <s v="300043"/>
    <s v="DOUANE"/>
    <n v="1438"/>
  </r>
  <r>
    <s v="Facture comptabilisée"/>
    <m/>
    <x v="0"/>
    <x v="3631"/>
    <s v="114/2023 J"/>
    <d v="2023-11-22T00:00:00"/>
    <s v="300043"/>
    <s v="DOUANE"/>
    <n v="1528"/>
  </r>
  <r>
    <s v="Facture comptabilisée"/>
    <m/>
    <x v="0"/>
    <x v="3632"/>
    <s v="112/2023 J"/>
    <d v="2023-11-22T00:00:00"/>
    <s v="300043"/>
    <s v="DOUANE"/>
    <n v="1000"/>
  </r>
  <r>
    <s v="Facture comptabilisée"/>
    <m/>
    <x v="0"/>
    <x v="3633"/>
    <s v="JIL PACK A"/>
    <d v="2023-11-22T00:00:00"/>
    <s v="300115"/>
    <s v="AUXILIAR CONSERVERA SA"/>
    <n v="359042.50799999997"/>
  </r>
  <r>
    <s v="Facture comptabilisée"/>
    <m/>
    <x v="0"/>
    <x v="3634"/>
    <s v="2300"/>
    <d v="2023-11-22T00:00:00"/>
    <s v="300133"/>
    <s v="OP BOX "/>
    <n v="15724.8"/>
  </r>
  <r>
    <s v="Facture comptabilisée"/>
    <m/>
    <x v="0"/>
    <x v="3635"/>
    <s v="5500AM"/>
    <d v="2023-11-22T00:00:00"/>
    <s v="300133"/>
    <s v="OP BOX "/>
    <n v="11394"/>
  </r>
  <r>
    <s v="Facture comptabilisée"/>
    <m/>
    <x v="0"/>
    <x v="3636"/>
    <s v="3.8 AM"/>
    <d v="2023-11-22T00:00:00"/>
    <s v="300133"/>
    <s v="OP BOX "/>
    <n v="25080"/>
  </r>
  <r>
    <s v="Facture comptabilisée"/>
    <m/>
    <x v="0"/>
    <x v="3637"/>
    <s v="115/2023 J"/>
    <d v="2023-11-22T00:00:00"/>
    <s v="300321"/>
    <s v="JIL LOGISTIQUE"/>
    <n v="19000"/>
  </r>
  <r>
    <s v="Facture comptabilisée"/>
    <m/>
    <x v="0"/>
    <x v="3638"/>
    <s v="115/2023 J"/>
    <d v="2023-11-23T00:00:00"/>
    <s v="300043"/>
    <s v="DOUANE"/>
    <n v="1409"/>
  </r>
  <r>
    <s v="Facture comptabilisée"/>
    <m/>
    <x v="0"/>
    <x v="3639"/>
    <s v="112/2023 J"/>
    <d v="2023-11-23T00:00:00"/>
    <s v="300191"/>
    <s v="JTTL"/>
    <n v="4174.5"/>
  </r>
  <r>
    <s v="Facture comptabilisée"/>
    <m/>
    <x v="0"/>
    <x v="3640"/>
    <s v="123/2023 J"/>
    <d v="2023-11-24T00:00:00"/>
    <s v="300043"/>
    <s v="DOUANE"/>
    <n v="4379"/>
  </r>
  <r>
    <s v="Facture comptabilisée"/>
    <m/>
    <x v="0"/>
    <x v="3641"/>
    <s v="113/2023 J"/>
    <d v="2023-11-24T00:00:00"/>
    <s v="300191"/>
    <s v="JTTL"/>
    <n v="3206.46"/>
  </r>
  <r>
    <s v="Facture comptabilisée"/>
    <m/>
    <x v="0"/>
    <x v="3642"/>
    <s v="114/2023 J"/>
    <d v="2023-11-24T00:00:00"/>
    <s v="300191"/>
    <s v="JTTL"/>
    <n v="3253.86"/>
  </r>
  <r>
    <s v="Facture comptabilisée"/>
    <m/>
    <x v="0"/>
    <x v="3643"/>
    <s v="*****"/>
    <d v="2023-11-24T00:00:00"/>
    <s v="300340"/>
    <s v="MSC MAROC"/>
    <n v="3274"/>
  </r>
  <r>
    <s v="Facture comptabilisée"/>
    <m/>
    <x v="0"/>
    <x v="3644"/>
    <m/>
    <d v="2023-11-27T00:00:00"/>
    <s v="300043"/>
    <s v="DOUANE"/>
    <n v="3439"/>
  </r>
  <r>
    <s v="Facture comptabilisée"/>
    <m/>
    <x v="0"/>
    <x v="3645"/>
    <s v="SILVER FOOD"/>
    <d v="2023-11-27T00:00:00"/>
    <s v="300115"/>
    <s v="AUXILIAR CONSERVERA SA"/>
    <n v="396020.98800000001"/>
  </r>
  <r>
    <s v="Facture comptabilisée"/>
    <m/>
    <x v="0"/>
    <x v="3646"/>
    <s v="JIL PACK A"/>
    <d v="2023-11-27T00:00:00"/>
    <s v="300115"/>
    <s v="AUXILIAR CONSERVERA SA"/>
    <n v="396020.98800000001"/>
  </r>
  <r>
    <s v="Facture comptabilisée"/>
    <m/>
    <x v="0"/>
    <x v="3647"/>
    <s v="115/2023 J"/>
    <d v="2023-11-27T00:00:00"/>
    <s v="300191"/>
    <s v="JTTL"/>
    <n v="3253.86"/>
  </r>
  <r>
    <s v="Facture comptabilisée"/>
    <m/>
    <x v="0"/>
    <x v="3648"/>
    <s v="116/2023 J"/>
    <d v="2023-11-27T00:00:00"/>
    <s v="300321"/>
    <s v="JIL LOGISTIQUE"/>
    <n v="18000"/>
  </r>
  <r>
    <s v="Facture comptabilisée"/>
    <m/>
    <x v="0"/>
    <x v="3649"/>
    <s v="117/2023 J"/>
    <d v="2023-11-27T00:00:00"/>
    <s v="300321"/>
    <s v="JIL LOGISTIQUE"/>
    <n v="19000"/>
  </r>
  <r>
    <s v="Facture comptabilisée"/>
    <m/>
    <x v="0"/>
    <x v="3650"/>
    <s v="116/2023 J"/>
    <d v="2023-11-28T00:00:00"/>
    <s v="300043"/>
    <s v="DOUANE"/>
    <n v="1528"/>
  </r>
  <r>
    <s v="Facture comptabilisée"/>
    <m/>
    <x v="0"/>
    <x v="3651"/>
    <s v="JIL PACK A"/>
    <d v="2023-11-28T00:00:00"/>
    <s v="300115"/>
    <s v="AUXILIAR CONSERVERA SA"/>
    <n v="396503.31599999999"/>
  </r>
  <r>
    <s v="Facture comptabilisée"/>
    <m/>
    <x v="0"/>
    <x v="3652"/>
    <s v="JIL PACK A"/>
    <d v="2023-11-28T00:00:00"/>
    <s v="300115"/>
    <s v="AUXILIAR CONSERVERA SA"/>
    <n v="396020.98800000001"/>
  </r>
  <r>
    <s v="Facture comptabilisée"/>
    <m/>
    <x v="0"/>
    <x v="3653"/>
    <s v="118/2023 J"/>
    <d v="2023-11-28T00:00:00"/>
    <s v="300321"/>
    <s v="JIL LOGISTIQUE"/>
    <n v="19000"/>
  </r>
  <r>
    <s v="Facture comptabilisée"/>
    <m/>
    <x v="0"/>
    <x v="3654"/>
    <s v="119/2023 J"/>
    <d v="2023-11-28T00:00:00"/>
    <s v="300321"/>
    <s v="JIL LOGISTIQUE"/>
    <n v="19000"/>
  </r>
  <r>
    <s v="Facture comptabilisée"/>
    <m/>
    <x v="0"/>
    <x v="3655"/>
    <m/>
    <d v="2023-11-29T00:00:00"/>
    <s v="300043"/>
    <s v="DOUANE"/>
    <n v="2517"/>
  </r>
  <r>
    <s v="Facture comptabilisée"/>
    <m/>
    <x v="0"/>
    <x v="3656"/>
    <s v="117/2023 J"/>
    <d v="2023-11-29T00:00:00"/>
    <s v="300043"/>
    <s v="DOUANE"/>
    <n v="1530"/>
  </r>
  <r>
    <s v="Facture comptabilisée"/>
    <m/>
    <x v="0"/>
    <x v="3657"/>
    <s v="118/2023 J"/>
    <d v="2023-11-29T00:00:00"/>
    <s v="300043"/>
    <s v="DOUANE"/>
    <n v="1533"/>
  </r>
  <r>
    <s v="Facture comptabilisée"/>
    <m/>
    <x v="0"/>
    <x v="3658"/>
    <s v="212 ATLAS"/>
    <d v="2023-11-29T00:00:00"/>
    <s v="300376"/>
    <s v="KANDIL"/>
    <n v="120083.04"/>
  </r>
  <r>
    <s v="Facture comptabilisée"/>
    <m/>
    <x v="0"/>
    <x v="3659"/>
    <s v="119/2023 J"/>
    <d v="2023-11-30T00:00:00"/>
    <s v="300043"/>
    <s v="DOUANE"/>
    <n v="1525"/>
  </r>
  <r>
    <s v="Facture comptabilisée"/>
    <m/>
    <x v="0"/>
    <x v="3660"/>
    <s v="CHERIF"/>
    <d v="2023-11-30T00:00:00"/>
    <s v="300064"/>
    <s v="SONOCO Métal Packaging Maroc"/>
    <n v="140980"/>
  </r>
  <r>
    <s v="Facture comptabilisée"/>
    <m/>
    <x v="0"/>
    <x v="3661"/>
    <s v="CHERIF"/>
    <d v="2023-11-30T00:00:00"/>
    <s v="300064"/>
    <s v="SONOCO Métal Packaging Maroc"/>
    <n v="140980"/>
  </r>
  <r>
    <s v="Facture comptabilisée"/>
    <m/>
    <x v="0"/>
    <x v="3662"/>
    <s v="VMM PESCADA"/>
    <d v="2023-11-30T00:00:00"/>
    <s v="300115"/>
    <s v="AUXILIAR CONSERVERA SA"/>
    <n v="431183.016"/>
  </r>
  <r>
    <s v="Facture comptabilisée"/>
    <m/>
    <x v="0"/>
    <x v="3663"/>
    <s v="VMM PESCADA"/>
    <d v="2023-11-30T00:00:00"/>
    <s v="300115"/>
    <s v="AUXILIAR CONSERVERA SA"/>
    <n v="431144.90100000001"/>
  </r>
  <r>
    <s v="Facture comptabilisée"/>
    <m/>
    <x v="0"/>
    <x v="3664"/>
    <s v="4.6AM"/>
    <d v="2023-11-30T00:00:00"/>
    <s v="300133"/>
    <s v="OP BOX "/>
    <n v="6916.8"/>
  </r>
  <r>
    <s v="Facture comptabilisée"/>
    <m/>
    <x v="0"/>
    <x v="3665"/>
    <s v="20L"/>
    <d v="2023-11-30T00:00:00"/>
    <s v="300133"/>
    <s v="OP BOX "/>
    <n v="44802.45"/>
  </r>
  <r>
    <s v="Facture comptabilisée"/>
    <m/>
    <x v="0"/>
    <x v="3666"/>
    <s v="116/2023 J"/>
    <d v="2023-11-30T00:00:00"/>
    <s v="300191"/>
    <s v="JTTL"/>
    <n v="3206.46"/>
  </r>
  <r>
    <s v="Facture comptabilisée"/>
    <m/>
    <x v="0"/>
    <x v="3667"/>
    <s v="117/2023 J"/>
    <d v="2023-11-30T00:00:00"/>
    <s v="300191"/>
    <s v="JTTL"/>
    <n v="3253.86"/>
  </r>
  <r>
    <s v="Facture comptabilisée"/>
    <m/>
    <x v="0"/>
    <x v="3668"/>
    <s v="118/2023 J"/>
    <d v="2023-11-30T00:00:00"/>
    <s v="300191"/>
    <s v="JTTL"/>
    <n v="3206.46"/>
  </r>
  <r>
    <s v="Facture comptabilisée"/>
    <m/>
    <x v="0"/>
    <x v="3669"/>
    <s v="119/2023 J"/>
    <d v="2023-11-30T00:00:00"/>
    <s v="300191"/>
    <s v="JTTL"/>
    <n v="3206.46"/>
  </r>
  <r>
    <s v="Facture comptabilisée"/>
    <m/>
    <x v="0"/>
    <x v="3670"/>
    <s v="120/2023 J"/>
    <d v="2023-11-30T00:00:00"/>
    <s v="300321"/>
    <s v="JIL LOGISTIQUE"/>
    <n v="18000"/>
  </r>
  <r>
    <s v="Facture comptabilisée"/>
    <m/>
    <x v="0"/>
    <x v="3671"/>
    <s v="121/2023 J"/>
    <d v="2023-11-30T00:00:00"/>
    <s v="300321"/>
    <s v="JIL LOGISTIQUE"/>
    <n v="18000"/>
  </r>
  <r>
    <s v="Facture comptabilisée"/>
    <m/>
    <x v="0"/>
    <x v="3672"/>
    <s v="124/2023 J"/>
    <d v="2023-12-01T00:00:00"/>
    <s v="300043"/>
    <s v="DOUANE"/>
    <n v="4241"/>
  </r>
  <r>
    <s v="Facture comptabilisée"/>
    <m/>
    <x v="0"/>
    <x v="3673"/>
    <m/>
    <d v="2023-12-01T00:00:00"/>
    <s v="300043"/>
    <s v="DOUANE"/>
    <n v="4438"/>
  </r>
  <r>
    <s v="Facture comptabilisée"/>
    <m/>
    <x v="0"/>
    <x v="3674"/>
    <s v="120/2023 J"/>
    <d v="2023-12-01T00:00:00"/>
    <s v="300043"/>
    <s v="DOUANE"/>
    <n v="1641"/>
  </r>
  <r>
    <s v="Facture comptabilisée"/>
    <m/>
    <x v="0"/>
    <x v="3675"/>
    <s v="121/2023 J"/>
    <d v="2023-12-01T00:00:00"/>
    <s v="300043"/>
    <s v="DOUANE"/>
    <n v="1641"/>
  </r>
  <r>
    <s v="Facture comptabilisée"/>
    <m/>
    <x v="0"/>
    <x v="3676"/>
    <s v="83/2023"/>
    <d v="2023-12-01T00:00:00"/>
    <s v="300101"/>
    <s v="ASMAE FORWARDING EXPRESS"/>
    <n v="3465.83"/>
  </r>
  <r>
    <s v="Facture comptabilisée"/>
    <m/>
    <x v="0"/>
    <x v="3677"/>
    <s v="JIL PACKA*SILVER*"/>
    <d v="2023-12-04T00:00:00"/>
    <s v="300115"/>
    <s v="AUXILIAR CONSERVERA SA"/>
    <n v="396020.98800000001"/>
  </r>
  <r>
    <s v="Facture comptabilisée"/>
    <m/>
    <x v="0"/>
    <x v="3678"/>
    <s v="120/2023 J"/>
    <d v="2023-12-04T00:00:00"/>
    <s v="300191"/>
    <s v="JTTL"/>
    <n v="3253.86"/>
  </r>
  <r>
    <s v="Facture comptabilisée"/>
    <m/>
    <x v="0"/>
    <x v="3679"/>
    <s v="121/2023 J"/>
    <d v="2023-12-04T00:00:00"/>
    <s v="300191"/>
    <s v="JTTL"/>
    <n v="3277.56"/>
  </r>
  <r>
    <s v="Facture comptabilisée"/>
    <m/>
    <x v="0"/>
    <x v="3680"/>
    <s v="****"/>
    <d v="2023-12-04T00:00:00"/>
    <s v="300321"/>
    <s v="JIL LOGISTIQUE"/>
    <n v="18000"/>
  </r>
  <r>
    <s v="Facture comptabilisée"/>
    <m/>
    <x v="0"/>
    <x v="3681"/>
    <m/>
    <d v="2023-12-05T00:00:00"/>
    <s v="300043"/>
    <s v="DOUANE"/>
    <n v="5268"/>
  </r>
  <r>
    <s v="Facture comptabilisée"/>
    <m/>
    <x v="0"/>
    <x v="3682"/>
    <s v="131/2023 J"/>
    <d v="2023-12-05T00:00:00"/>
    <s v="300043"/>
    <s v="DOUANE"/>
    <n v="1522"/>
  </r>
  <r>
    <s v="Facture comptabilisée"/>
    <m/>
    <x v="0"/>
    <x v="3683"/>
    <s v="TO 63/82 BLANC"/>
    <d v="2023-12-05T00:00:00"/>
    <s v="300237"/>
    <s v="Saribekir Ambalaj - SBK"/>
    <n v="326438.64"/>
  </r>
  <r>
    <s v="Facture comptabilisée"/>
    <m/>
    <x v="0"/>
    <x v="3684"/>
    <s v="18L"/>
    <d v="2023-12-08T00:00:00"/>
    <s v="300133"/>
    <s v="OP BOX "/>
    <n v="6658.2"/>
  </r>
  <r>
    <s v="Facture comptabilisée"/>
    <m/>
    <x v="0"/>
    <x v="3685"/>
    <s v="2.3"/>
    <d v="2023-12-08T00:00:00"/>
    <s v="300133"/>
    <s v="OP BOX "/>
    <n v="8985.6"/>
  </r>
  <r>
    <s v="Facture comptabilisée"/>
    <m/>
    <x v="0"/>
    <x v="3686"/>
    <s v="2.8  "/>
    <d v="2023-12-08T00:00:00"/>
    <s v="300133"/>
    <s v="OP BOX "/>
    <n v="17040"/>
  </r>
  <r>
    <s v="Facture comptabilisée"/>
    <m/>
    <x v="0"/>
    <x v="3687"/>
    <s v="1.2"/>
    <d v="2023-12-08T00:00:00"/>
    <s v="300133"/>
    <s v="OP BOX "/>
    <n v="14865.6"/>
  </r>
  <r>
    <s v="Facture comptabilisée"/>
    <m/>
    <x v="0"/>
    <x v="3688"/>
    <s v="ATUNEROS DEL SUR"/>
    <d v="2023-12-11T00:00:00"/>
    <s v="300115"/>
    <s v="AUXILIAR CONSERVERA SA"/>
    <n v="396020.98800000001"/>
  </r>
  <r>
    <s v="Facture comptabilisée"/>
    <m/>
    <x v="0"/>
    <x v="3689"/>
    <s v="2.3"/>
    <d v="2023-12-11T00:00:00"/>
    <s v="300133"/>
    <s v="OP BOX "/>
    <n v="51667.199999999997"/>
  </r>
  <r>
    <s v="Facture comptabilisée"/>
    <m/>
    <x v="0"/>
    <x v="3690"/>
    <s v="122/2023 J"/>
    <d v="2023-12-11T00:00:00"/>
    <s v="300321"/>
    <s v="JIL LOGISTIQUE"/>
    <n v="18000"/>
  </r>
  <r>
    <s v="Facture comptabilisée"/>
    <m/>
    <x v="0"/>
    <x v="3691"/>
    <s v="122/2023 J"/>
    <d v="2023-12-12T00:00:00"/>
    <s v="300043"/>
    <s v="DOUANE"/>
    <n v="1513"/>
  </r>
  <r>
    <s v="Facture comptabilisée"/>
    <m/>
    <x v="0"/>
    <x v="3692"/>
    <s v="JIL PACK A"/>
    <d v="2023-12-14T00:00:00"/>
    <s v="300115"/>
    <s v="AUXILIAR CONSERVERA SA"/>
    <n v="396020.98800000001"/>
  </r>
  <r>
    <s v="Facture comptabilisée"/>
    <m/>
    <x v="0"/>
    <x v="3693"/>
    <s v="126/2023 J"/>
    <d v="2023-12-14T00:00:00"/>
    <s v="300118"/>
    <s v="ARKAS MAROC"/>
    <n v="18442.2"/>
  </r>
  <r>
    <s v="Facture comptabilisée"/>
    <m/>
    <x v="0"/>
    <x v="3694"/>
    <s v="122/2023 J"/>
    <d v="2023-12-14T00:00:00"/>
    <s v="300191"/>
    <s v="JTTL"/>
    <n v="3253.86"/>
  </r>
  <r>
    <s v="Facture comptabilisée"/>
    <m/>
    <x v="0"/>
    <x v="3695"/>
    <s v="127/2023 J"/>
    <d v="2023-12-14T00:00:00"/>
    <s v="300321"/>
    <s v="JIL LOGISTIQUE"/>
    <n v="19000"/>
  </r>
  <r>
    <s v="Facture comptabilisée"/>
    <m/>
    <x v="0"/>
    <x v="3696"/>
    <m/>
    <d v="2023-12-15T00:00:00"/>
    <s v="300043"/>
    <s v="DOUANE"/>
    <n v="4602"/>
  </r>
  <r>
    <s v="Facture comptabilisée"/>
    <m/>
    <x v="0"/>
    <x v="3697"/>
    <s v="JIL PACK A"/>
    <d v="2023-12-15T00:00:00"/>
    <s v="300115"/>
    <s v="AUXILIAR CONSERVERA SA"/>
    <n v="392835.57500000001"/>
  </r>
  <r>
    <s v="Facture comptabilisée"/>
    <m/>
    <x v="0"/>
    <x v="3698"/>
    <s v="125/20223 J"/>
    <d v="2023-12-15T00:00:00"/>
    <s v="300321"/>
    <s v="JIL LOGISTIQUE"/>
    <n v="19000"/>
  </r>
  <r>
    <s v="Facture comptabilisée"/>
    <m/>
    <x v="0"/>
    <x v="3699"/>
    <m/>
    <d v="2023-12-15T00:00:00"/>
    <s v="300344"/>
    <s v="PADEL NUESTRO"/>
    <n v="245650.02"/>
  </r>
  <r>
    <s v="Facture comptabilisée"/>
    <m/>
    <x v="0"/>
    <x v="3700"/>
    <s v="123/2023 J"/>
    <d v="2023-12-16T00:00:00"/>
    <s v="300191"/>
    <s v="JTTL"/>
    <n v="9759.18"/>
  </r>
  <r>
    <s v="Facture comptabilisée"/>
    <m/>
    <x v="0"/>
    <x v="3701"/>
    <s v="124/2023 J"/>
    <d v="2023-12-16T00:00:00"/>
    <s v="300191"/>
    <s v="JTTL"/>
    <n v="5854.19"/>
  </r>
  <r>
    <s v="Facture comptabilisée"/>
    <m/>
    <x v="0"/>
    <x v="3702"/>
    <s v="125/2023 J"/>
    <d v="2023-12-18T00:00:00"/>
    <s v="300043"/>
    <s v="DOUANE"/>
    <n v="1525"/>
  </r>
  <r>
    <s v="Facture comptabilisée"/>
    <m/>
    <x v="0"/>
    <x v="3703"/>
    <s v="127/2023 J"/>
    <d v="2023-12-18T00:00:00"/>
    <s v="300043"/>
    <s v="DOUANE"/>
    <n v="1537"/>
  </r>
  <r>
    <s v="Facture comptabilisée"/>
    <m/>
    <x v="0"/>
    <x v="3704"/>
    <s v="126/2023 J"/>
    <d v="2023-12-19T00:00:00"/>
    <s v="300043"/>
    <s v="DOUANE"/>
    <n v="605"/>
  </r>
  <r>
    <s v="Facture comptabilisée"/>
    <m/>
    <x v="0"/>
    <x v="3705"/>
    <s v="JIL PACK A"/>
    <d v="2023-12-19T00:00:00"/>
    <s v="300115"/>
    <s v="AUXILIAR CONSERVERA SA"/>
    <n v="396020.98800000001"/>
  </r>
  <r>
    <s v="Facture comptabilisée"/>
    <m/>
    <x v="0"/>
    <x v="3706"/>
    <s v="125/2023 J"/>
    <d v="2023-12-20T00:00:00"/>
    <s v="300191"/>
    <s v="JTTL"/>
    <n v="3364.72"/>
  </r>
  <r>
    <s v="Facture comptabilisée"/>
    <m/>
    <x v="0"/>
    <x v="3707"/>
    <s v="126/2023 J"/>
    <d v="2023-12-20T00:00:00"/>
    <s v="300191"/>
    <s v="JTTL"/>
    <n v="47422.400000000001"/>
  </r>
  <r>
    <s v="Facture comptabilisée"/>
    <m/>
    <x v="0"/>
    <x v="3708"/>
    <s v="128/2023 J"/>
    <d v="2023-12-20T00:00:00"/>
    <s v="300321"/>
    <s v="JIL LOGISTIQUE"/>
    <n v="19000"/>
  </r>
  <r>
    <s v="Facture comptabilisée"/>
    <m/>
    <x v="0"/>
    <x v="3709"/>
    <s v="JIL PACK A*ATUNER"/>
    <d v="2023-12-21T00:00:00"/>
    <s v="300115"/>
    <s v="AUXILIAR CONSERVERA SA"/>
    <n v="396020.98800000001"/>
  </r>
  <r>
    <s v="Facture comptabilisée"/>
    <m/>
    <x v="0"/>
    <x v="3710"/>
    <s v="129/2023 J"/>
    <d v="2023-12-21T00:00:00"/>
    <s v="300321"/>
    <s v="JIL LOGISTIQUE"/>
    <n v="18000"/>
  </r>
  <r>
    <s v="Facture comptabilisée"/>
    <m/>
    <x v="0"/>
    <x v="3711"/>
    <s v="128/2023 J"/>
    <d v="2023-12-22T00:00:00"/>
    <s v="300043"/>
    <s v="DOUANE"/>
    <n v="1518"/>
  </r>
  <r>
    <s v="Facture comptabilisée"/>
    <m/>
    <x v="0"/>
    <x v="3712"/>
    <s v="128/2023 J"/>
    <d v="2023-12-22T00:00:00"/>
    <s v="300043"/>
    <s v="DOUANE"/>
    <n v="1513"/>
  </r>
  <r>
    <s v="Facture comptabilisée"/>
    <m/>
    <x v="0"/>
    <x v="3713"/>
    <s v="130/2023"/>
    <d v="2023-12-22T00:00:00"/>
    <s v="300043"/>
    <s v="DOUANE"/>
    <n v="1197"/>
  </r>
  <r>
    <s v="Facture comptabilisée"/>
    <m/>
    <x v="0"/>
    <x v="3714"/>
    <s v="127/2023 J"/>
    <d v="2023-12-23T00:00:00"/>
    <s v="300191"/>
    <s v="JTTL"/>
    <n v="3435.82"/>
  </r>
  <r>
    <s v="Facture comptabilisée"/>
    <m/>
    <x v="0"/>
    <x v="3715"/>
    <s v="128/2023 J"/>
    <d v="2023-12-23T00:00:00"/>
    <s v="300191"/>
    <s v="JTTL"/>
    <n v="3277.56"/>
  </r>
  <r>
    <s v="Facture comptabilisée"/>
    <m/>
    <x v="0"/>
    <x v="3716"/>
    <m/>
    <d v="2023-12-25T00:00:00"/>
    <s v="300043"/>
    <s v="DOUANE"/>
    <n v="4627"/>
  </r>
  <r>
    <s v="Facture comptabilisée"/>
    <m/>
    <x v="0"/>
    <x v="3717"/>
    <s v="129/2023 J"/>
    <d v="2023-12-25T00:00:00"/>
    <s v="300191"/>
    <s v="JTTL"/>
    <n v="3206.46"/>
  </r>
  <r>
    <s v="Facture comptabilisée"/>
    <m/>
    <x v="0"/>
    <x v="3718"/>
    <s v="130/2023 J"/>
    <d v="2023-12-25T00:00:00"/>
    <s v="300191"/>
    <s v="JTTL"/>
    <n v="8204.26"/>
  </r>
  <r>
    <s v="Facture comptabilisée"/>
    <m/>
    <x v="0"/>
    <x v="3719"/>
    <s v="*****"/>
    <d v="2023-12-27T00:00:00"/>
    <s v="300043"/>
    <s v="DOUANE"/>
    <n v="5932"/>
  </r>
  <r>
    <s v="Facture comptabilisée"/>
    <m/>
    <x v="0"/>
    <x v="3720"/>
    <s v="COMPLEMENT"/>
    <d v="2023-12-27T00:00:00"/>
    <s v="300191"/>
    <s v="JTTL"/>
    <n v="181"/>
  </r>
  <r>
    <s v="Facture comptabilisée"/>
    <m/>
    <x v="0"/>
    <x v="3721"/>
    <s v="PADEL"/>
    <d v="2023-12-30T00:00:00"/>
    <s v="300043"/>
    <s v="DOUANE"/>
    <n v="15280"/>
  </r>
  <r>
    <s v="Facture comptabilisée"/>
    <m/>
    <x v="0"/>
    <x v="3722"/>
    <s v="131/2023 J"/>
    <d v="2023-12-30T00:00:00"/>
    <s v="300191"/>
    <s v="JTTL"/>
    <n v="3277.56"/>
  </r>
  <r>
    <s v="Facture comptabilisée"/>
    <m/>
    <x v="0"/>
    <x v="3723"/>
    <s v="COMPLEMENT"/>
    <d v="2023-12-30T00:00:00"/>
    <s v="300191"/>
    <s v="JTTL"/>
    <n v="153"/>
  </r>
  <r>
    <s v="Facture comptabilisée"/>
    <m/>
    <x v="0"/>
    <x v="3724"/>
    <s v="RO85"/>
    <d v="2023-12-31T00:00:00"/>
    <s v="300115"/>
    <s v="AUXILIAR CONSERVERA SA"/>
    <n v="1584361.5315"/>
  </r>
  <r>
    <s v="Facture comptabilisée"/>
    <m/>
    <x v="0"/>
    <x v="3725"/>
    <s v="01/2024 J"/>
    <d v="2024-01-04T00:00:00"/>
    <s v="300191"/>
    <s v="JTTL"/>
    <n v="7613.61"/>
  </r>
  <r>
    <s v="Facture comptabilisée"/>
    <m/>
    <x v="0"/>
    <x v="3726"/>
    <s v="3.8"/>
    <d v="2024-01-05T00:00:00"/>
    <s v="300133"/>
    <s v="OP BOX "/>
    <n v="50160"/>
  </r>
  <r>
    <s v="Facture comptabilisée"/>
    <m/>
    <x v="0"/>
    <x v="3727"/>
    <s v="4L"/>
    <d v="2024-01-05T00:00:00"/>
    <s v="300133"/>
    <s v="OP BOX "/>
    <n v="4514.3999999999996"/>
  </r>
  <r>
    <s v="Facture comptabilisée"/>
    <m/>
    <x v="0"/>
    <x v="3728"/>
    <s v="2.3"/>
    <d v="2024-01-05T00:00:00"/>
    <s v="300133"/>
    <s v="OP BOX "/>
    <n v="35942.400000000001"/>
  </r>
  <r>
    <s v="Facture comptabilisée"/>
    <m/>
    <x v="0"/>
    <x v="3729"/>
    <s v="CVC4.6"/>
    <d v="2024-01-05T00:00:00"/>
    <s v="300133"/>
    <s v="OP BOX "/>
    <n v="2904"/>
  </r>
  <r>
    <s v="Facture comptabilisée"/>
    <m/>
    <x v="0"/>
    <x v="3730"/>
    <s v="JIL PACK"/>
    <d v="2024-01-08T00:00:00"/>
    <s v="300237"/>
    <s v="Saribekir Ambalaj - SBK"/>
    <n v="324318.06"/>
  </r>
  <r>
    <s v="Facture comptabilisée"/>
    <m/>
    <x v="0"/>
    <x v="3731"/>
    <s v="4.6 AM"/>
    <d v="2024-01-09T00:00:00"/>
    <s v="300133"/>
    <s v="OP BOX "/>
    <n v="10929.6"/>
  </r>
  <r>
    <s v="Facture comptabilisée"/>
    <m/>
    <x v="0"/>
    <x v="3732"/>
    <s v="PLASTIQUE"/>
    <d v="2024-01-10T00:00:00"/>
    <s v="300133"/>
    <s v="OP BOX "/>
    <n v="53900.2"/>
  </r>
  <r>
    <s v="Facture comptabilisée"/>
    <m/>
    <x v="0"/>
    <x v="3733"/>
    <s v="BTE ALU 90 ET 125"/>
    <d v="2024-01-10T00:00:00"/>
    <s v="300220"/>
    <s v="ENVASES EUROPE"/>
    <n v="1125151.632"/>
  </r>
  <r>
    <s v="Facture comptabilisée"/>
    <m/>
    <x v="0"/>
    <x v="3734"/>
    <s v="20L"/>
    <d v="2024-01-15T00:00:00"/>
    <s v="300133"/>
    <s v="OP BOX "/>
    <n v="51202.8"/>
  </r>
  <r>
    <s v="Facture comptabilisée"/>
    <m/>
    <x v="0"/>
    <x v="3735"/>
    <s v="COMPLEMENT"/>
    <d v="2024-01-16T00:00:00"/>
    <s v="300043"/>
    <s v="DOUANE"/>
    <n v="4880"/>
  </r>
  <r>
    <s v="Facture comptabilisée"/>
    <m/>
    <x v="0"/>
    <x v="3736"/>
    <s v="NOTAM"/>
    <d v="2024-01-17T00:00:00"/>
    <s v="300115"/>
    <s v="AUXILIAR CONSERVERA SA"/>
    <n v="153706.62450000001"/>
  </r>
  <r>
    <s v="Facture comptabilisée"/>
    <m/>
    <x v="0"/>
    <x v="3737"/>
    <s v="JIL PACK A"/>
    <d v="2024-01-19T00:00:00"/>
    <s v="300115"/>
    <s v="AUXILIAR CONSERVERA SA"/>
    <n v="375989.22899999999"/>
  </r>
  <r>
    <s v="Facture comptabilisée"/>
    <m/>
    <x v="0"/>
    <x v="3738"/>
    <s v="JIL PACK A"/>
    <d v="2024-01-19T00:00:00"/>
    <s v="300115"/>
    <s v="AUXILIAR CONSERVERA SA"/>
    <n v="375945.66899999999"/>
  </r>
  <r>
    <s v="Facture comptabilisée"/>
    <m/>
    <x v="0"/>
    <x v="3739"/>
    <s v="LGMC*1*"/>
    <d v="2024-01-19T00:00:00"/>
    <s v="300220"/>
    <s v="ENVASES EUROPE"/>
    <n v="308428.56"/>
  </r>
  <r>
    <s v="Facture comptabilisée"/>
    <m/>
    <x v="0"/>
    <x v="3740"/>
    <s v="JIL PACK A*2*"/>
    <d v="2024-01-19T00:00:00"/>
    <s v="300220"/>
    <s v="ENVASES EUROPE"/>
    <n v="825612.48"/>
  </r>
  <r>
    <s v="Facture comptabilisée"/>
    <m/>
    <x v="0"/>
    <x v="3741"/>
    <s v="COMPLEMENT"/>
    <d v="2024-01-22T00:00:00"/>
    <s v="300043"/>
    <s v="DOUANE"/>
    <n v="4837"/>
  </r>
  <r>
    <s v="Facture comptabilisée"/>
    <m/>
    <x v="0"/>
    <x v="3742"/>
    <s v="02/2024 J"/>
    <d v="2024-01-22T00:00:00"/>
    <s v="300043"/>
    <s v="DOUANE"/>
    <n v="1440"/>
  </r>
  <r>
    <s v="Facture comptabilisée"/>
    <m/>
    <x v="0"/>
    <x v="3743"/>
    <s v="JIL PACK A"/>
    <d v="2024-01-22T00:00:00"/>
    <s v="300115"/>
    <s v="AUXILIAR CONSERVERA SA"/>
    <n v="375945.66899999999"/>
  </r>
  <r>
    <s v="Facture comptabilisée"/>
    <m/>
    <x v="0"/>
    <x v="3744"/>
    <s v="JIL PACK A"/>
    <d v="2024-01-22T00:00:00"/>
    <s v="300115"/>
    <s v="AUXILIAR CONSERVERA SA"/>
    <n v="375945.66899999999"/>
  </r>
  <r>
    <s v="Facture comptabilisée"/>
    <m/>
    <x v="0"/>
    <x v="3745"/>
    <s v="04/2024 J"/>
    <d v="2024-01-23T00:00:00"/>
    <s v="300043"/>
    <s v="DOUANE"/>
    <n v="1437"/>
  </r>
  <r>
    <s v="Facture comptabilisée"/>
    <m/>
    <x v="0"/>
    <x v="3746"/>
    <s v="03/2024 J"/>
    <d v="2024-01-23T00:00:00"/>
    <s v="300043"/>
    <s v="DOUANE"/>
    <n v="1437"/>
  </r>
  <r>
    <s v="Facture comptabilisée"/>
    <m/>
    <x v="0"/>
    <x v="3747"/>
    <s v="QUALIAGRO*1*"/>
    <d v="2024-01-23T00:00:00"/>
    <s v="300115"/>
    <s v="AUXILIAR CONSERVERA SA"/>
    <n v="121194.43489999999"/>
  </r>
  <r>
    <s v="Facture comptabilisée"/>
    <m/>
    <x v="0"/>
    <x v="3748"/>
    <s v="JIL PACK A*2*"/>
    <d v="2024-01-23T00:00:00"/>
    <s v="300115"/>
    <s v="AUXILIAR CONSERVERA SA"/>
    <n v="213738.03"/>
  </r>
  <r>
    <s v="Facture comptabilisée"/>
    <m/>
    <x v="0"/>
    <x v="3749"/>
    <s v="PARTIC COM SILVER"/>
    <d v="2024-01-23T00:00:00"/>
    <s v="300115"/>
    <s v="AUXILIAR CONSERVERA SA"/>
    <n v="220000"/>
  </r>
  <r>
    <s v="Facture comptabilisée"/>
    <m/>
    <x v="0"/>
    <x v="3750"/>
    <d v="2024-01-01T00:00:00"/>
    <d v="2024-01-24T00:00:00"/>
    <s v="300043"/>
    <s v="DOUANE"/>
    <n v="671"/>
  </r>
  <r>
    <s v="Facture comptabilisée"/>
    <m/>
    <x v="0"/>
    <x v="3751"/>
    <d v="2024-02-01T00:00:00"/>
    <d v="2024-01-25T00:00:00"/>
    <s v="300043"/>
    <s v="DOUANE"/>
    <n v="1272"/>
  </r>
  <r>
    <s v="Facture comptabilisée"/>
    <m/>
    <x v="0"/>
    <x v="3752"/>
    <s v="06/2024 J"/>
    <d v="2024-01-25T00:00:00"/>
    <s v="300043"/>
    <s v="DOUANE"/>
    <n v="1440"/>
  </r>
  <r>
    <s v="Facture comptabilisée"/>
    <m/>
    <x v="0"/>
    <x v="3753"/>
    <s v="02/2024 J"/>
    <d v="2024-01-25T00:00:00"/>
    <s v="300191"/>
    <s v="JTTL"/>
    <n v="3412.74"/>
  </r>
  <r>
    <s v="Facture comptabilisée"/>
    <m/>
    <x v="0"/>
    <x v="3754"/>
    <s v="03/2024 J"/>
    <d v="2024-01-25T00:00:00"/>
    <s v="300191"/>
    <s v="JTTL"/>
    <n v="3241.34"/>
  </r>
  <r>
    <s v="Facture comptabilisée"/>
    <m/>
    <x v="0"/>
    <x v="3755"/>
    <s v="04/2024 J"/>
    <d v="2024-01-25T00:00:00"/>
    <s v="300191"/>
    <s v="JTTL"/>
    <n v="3607.84"/>
  </r>
  <r>
    <s v="Facture comptabilisée"/>
    <m/>
    <x v="0"/>
    <x v="3756"/>
    <s v="04/2024 J"/>
    <d v="2024-01-25T00:00:00"/>
    <s v="300321"/>
    <s v="JIL LOGISTIQUE"/>
    <n v="19000"/>
  </r>
  <r>
    <s v="Facture comptabilisée"/>
    <m/>
    <x v="0"/>
    <x v="3757"/>
    <s v="02/2024 J"/>
    <d v="2024-01-25T00:00:00"/>
    <s v="300321"/>
    <s v="JIL LOGISTIQUE"/>
    <n v="19000"/>
  </r>
  <r>
    <s v="Facture comptabilisée"/>
    <m/>
    <x v="0"/>
    <x v="3758"/>
    <s v="03/2024 J"/>
    <d v="2024-01-25T00:00:00"/>
    <s v="300321"/>
    <s v="JIL LOGISTIQUE"/>
    <n v="19000"/>
  </r>
  <r>
    <s v="Facture comptabilisée"/>
    <m/>
    <x v="0"/>
    <x v="3759"/>
    <s v="05/2024 J"/>
    <d v="2024-01-26T00:00:00"/>
    <s v="300043"/>
    <s v="DOUANE"/>
    <n v="4050"/>
  </r>
  <r>
    <s v="Facture comptabilisée"/>
    <m/>
    <x v="0"/>
    <x v="3760"/>
    <s v="06/2024 J"/>
    <d v="2024-01-26T00:00:00"/>
    <s v="300321"/>
    <s v="JIL LOGISTIQUE"/>
    <n v="19000"/>
  </r>
  <r>
    <s v="Facture comptabilisée"/>
    <m/>
    <x v="0"/>
    <x v="3761"/>
    <s v="08/2024 J"/>
    <d v="2024-01-26T00:00:00"/>
    <s v="300383"/>
    <s v="LOCOFREIGHT"/>
    <n v="12669.75"/>
  </r>
  <r>
    <s v="Facture comptabilisée"/>
    <m/>
    <x v="0"/>
    <x v="3762"/>
    <s v="10/2024 J"/>
    <d v="2024-01-26T00:00:00"/>
    <s v="300391"/>
    <s v="COSCO SHIPING"/>
    <n v="18258.599999999999"/>
  </r>
  <r>
    <s v="Facture comptabilisée"/>
    <m/>
    <x v="0"/>
    <x v="3763"/>
    <s v="07/2024 J"/>
    <d v="2024-01-30T00:00:00"/>
    <s v="300043"/>
    <s v="DOUANE"/>
    <n v="1187"/>
  </r>
  <r>
    <s v="Facture comptabilisée"/>
    <m/>
    <x v="0"/>
    <x v="3764"/>
    <s v="RAQUETTE"/>
    <d v="2024-01-30T00:00:00"/>
    <s v="300344"/>
    <s v="PADEL NUESTRO"/>
    <n v="328725.65000000002"/>
  </r>
  <r>
    <s v="Facture comptabilisée"/>
    <m/>
    <x v="0"/>
    <x v="3765"/>
    <s v="CONSIGN"/>
    <d v="2024-01-31T00:00:00"/>
    <s v="300064"/>
    <s v="SONOCO Métal Packaging Maroc"/>
    <n v="27000"/>
  </r>
  <r>
    <s v="Facture comptabilisée"/>
    <m/>
    <x v="0"/>
    <x v="3766"/>
    <s v="CONSIGN"/>
    <d v="2024-01-31T00:00:00"/>
    <s v="300064"/>
    <s v="SONOCO Métal Packaging Maroc"/>
    <n v="81390"/>
  </r>
  <r>
    <s v="Facture comptabilisée"/>
    <m/>
    <x v="0"/>
    <x v="3767"/>
    <s v="05/2024 J"/>
    <d v="2024-01-31T00:00:00"/>
    <s v="300191"/>
    <s v="JTTL"/>
    <n v="3241.34"/>
  </r>
  <r>
    <s v="Facture comptabilisée"/>
    <m/>
    <x v="0"/>
    <x v="3768"/>
    <s v="06/2024 J"/>
    <d v="2024-01-31T00:00:00"/>
    <s v="300191"/>
    <s v="JTTL"/>
    <n v="3217.64"/>
  </r>
  <r>
    <s v="Facture comptabilisée"/>
    <m/>
    <x v="0"/>
    <x v="3769"/>
    <s v="07/2024 J"/>
    <d v="2024-01-31T00:00:00"/>
    <s v="300191"/>
    <s v="JTTL"/>
    <n v="8453.4599999999991"/>
  </r>
  <r>
    <s v="Facture comptabilisée"/>
    <m/>
    <x v="0"/>
    <x v="3770"/>
    <s v="05/2024 J"/>
    <d v="2024-01-31T00:00:00"/>
    <s v="300321"/>
    <s v="JIL LOGISTIQUE"/>
    <n v="52212.6"/>
  </r>
  <r>
    <s v="Facture comptabilisée"/>
    <m/>
    <x v="0"/>
    <x v="3771"/>
    <s v="COMPLEMENT"/>
    <d v="2024-02-05T00:00:00"/>
    <s v="300043"/>
    <s v="DOUANE"/>
    <n v="3139"/>
  </r>
  <r>
    <s v="Facture comptabilisée"/>
    <m/>
    <x v="0"/>
    <x v="3772"/>
    <d v="2024-01-01T00:00:00"/>
    <d v="2024-02-05T00:00:00"/>
    <s v="300101"/>
    <s v="ASMAE FORWARDING EXPRESS"/>
    <n v="4911.3500000000004"/>
  </r>
  <r>
    <s v="Facture comptabilisée"/>
    <m/>
    <x v="0"/>
    <x v="3773"/>
    <d v="2024-02-01T00:00:00"/>
    <d v="2024-02-05T00:00:00"/>
    <s v="300101"/>
    <s v="ASMAE FORWARDING EXPRESS"/>
    <n v="3882.95"/>
  </r>
  <r>
    <s v="Facture comptabilisée"/>
    <m/>
    <x v="0"/>
    <x v="3774"/>
    <s v="105 ML"/>
    <d v="2024-02-05T00:00:00"/>
    <s v="300375"/>
    <s v="BASTURK CAM SANAYI VE TICARET"/>
    <n v="141728.92360000001"/>
  </r>
  <r>
    <s v="Facture comptabilisée"/>
    <m/>
    <x v="0"/>
    <x v="3775"/>
    <s v="CONSIGN"/>
    <d v="2024-02-07T00:00:00"/>
    <s v="300064"/>
    <s v="SONOCO Métal Packaging Maroc"/>
    <n v="37350"/>
  </r>
  <r>
    <s v="Facture comptabilisée"/>
    <m/>
    <x v="0"/>
    <x v="3776"/>
    <s v="JIL PACK"/>
    <d v="2024-02-07T00:00:00"/>
    <s v="300237"/>
    <s v="Saribekir Ambalaj - SBK"/>
    <n v="348353.39"/>
  </r>
  <r>
    <s v="Facture comptabilisée"/>
    <m/>
    <x v="0"/>
    <x v="3777"/>
    <s v="720ML"/>
    <d v="2024-02-07T00:00:00"/>
    <s v="300369"/>
    <s v="ARSLAN"/>
    <n v="132487.74"/>
  </r>
  <r>
    <s v="Facture comptabilisée"/>
    <m/>
    <x v="0"/>
    <x v="3778"/>
    <s v="660ML"/>
    <d v="2024-02-07T00:00:00"/>
    <s v="300369"/>
    <s v="ARSLAN"/>
    <n v="128828.7"/>
  </r>
  <r>
    <s v="Facture comptabilisée"/>
    <m/>
    <x v="0"/>
    <x v="3779"/>
    <m/>
    <d v="2024-02-08T00:00:00"/>
    <s v="300344"/>
    <s v="PADEL NUESTRO"/>
    <n v="8097.45"/>
  </r>
  <r>
    <s v="Facture comptabilisée"/>
    <m/>
    <x v="0"/>
    <x v="3780"/>
    <s v="14/2024 J"/>
    <d v="2024-02-09T00:00:00"/>
    <s v="300340"/>
    <s v="MSC MAROC"/>
    <n v="3274"/>
  </r>
  <r>
    <s v="Facture comptabilisée"/>
    <m/>
    <x v="0"/>
    <x v="3781"/>
    <s v="08/2024 J"/>
    <d v="2024-02-12T00:00:00"/>
    <s v="300043"/>
    <s v="DOUANE"/>
    <n v="272"/>
  </r>
  <r>
    <s v="Facture comptabilisée"/>
    <m/>
    <x v="0"/>
    <x v="3782"/>
    <s v="2.3 AP"/>
    <d v="2024-02-12T00:00:00"/>
    <s v="300133"/>
    <s v="OP BOX "/>
    <n v="44928"/>
  </r>
  <r>
    <s v="Facture comptabilisée"/>
    <m/>
    <x v="0"/>
    <x v="3783"/>
    <s v="0.280"/>
    <d v="2024-02-12T00:00:00"/>
    <s v="300133"/>
    <s v="OP BOX "/>
    <n v="8520"/>
  </r>
  <r>
    <s v="Facture comptabilisée"/>
    <m/>
    <x v="0"/>
    <x v="3784"/>
    <s v="10/2024 J"/>
    <d v="2024-02-13T00:00:00"/>
    <s v="300043"/>
    <s v="DOUANE"/>
    <n v="2021"/>
  </r>
  <r>
    <s v="Facture comptabilisée"/>
    <m/>
    <x v="0"/>
    <x v="3785"/>
    <s v="09/2024 J"/>
    <d v="2024-02-14T00:00:00"/>
    <s v="300043"/>
    <s v="DOUANE"/>
    <n v="16115"/>
  </r>
  <r>
    <s v="Facture comptabilisée"/>
    <m/>
    <x v="0"/>
    <x v="3786"/>
    <s v="08/2024 J"/>
    <d v="2024-02-14T00:00:00"/>
    <s v="300191"/>
    <s v="JTTL"/>
    <n v="5658.57"/>
  </r>
  <r>
    <s v="Facture comptabilisée"/>
    <m/>
    <x v="0"/>
    <x v="3787"/>
    <s v="CONSIGN"/>
    <d v="2024-02-16T00:00:00"/>
    <s v="300064"/>
    <s v="SONOCO Métal Packaging Maroc"/>
    <n v="12900"/>
  </r>
  <r>
    <s v="Facture comptabilisée"/>
    <m/>
    <x v="0"/>
    <x v="3788"/>
    <s v="NOTAM*1*"/>
    <d v="2024-02-16T00:00:00"/>
    <s v="300115"/>
    <s v="AUXILIAR CONSERVERA SA"/>
    <n v="107343.6562"/>
  </r>
  <r>
    <s v="Facture comptabilisée"/>
    <m/>
    <x v="0"/>
    <x v="3789"/>
    <s v="JIL PACK*2*"/>
    <d v="2024-02-16T00:00:00"/>
    <s v="300115"/>
    <s v="AUXILIAR CONSERVERA SA"/>
    <n v="112239.27"/>
  </r>
  <r>
    <s v="Facture comptabilisée"/>
    <m/>
    <x v="0"/>
    <x v="3790"/>
    <s v="09/2024 J"/>
    <d v="2024-02-16T00:00:00"/>
    <s v="300191"/>
    <s v="JTTL"/>
    <n v="7388.3"/>
  </r>
  <r>
    <s v="Facture comptabilisée"/>
    <m/>
    <x v="0"/>
    <x v="3791"/>
    <s v="10/2024 J"/>
    <d v="2024-02-16T00:00:00"/>
    <s v="300191"/>
    <s v="JTTL"/>
    <n v="36088.17"/>
  </r>
  <r>
    <s v="Facture comptabilisée"/>
    <m/>
    <x v="0"/>
    <x v="3792"/>
    <s v="JIL PACK"/>
    <d v="2024-02-16T00:00:00"/>
    <s v="300375"/>
    <s v="BASTURK CAM SANAYI VE TICARET"/>
    <n v="108764.04"/>
  </r>
  <r>
    <s v="Facture comptabilisée"/>
    <m/>
    <x v="0"/>
    <x v="3793"/>
    <s v="14/2024 J"/>
    <d v="2024-02-19T00:00:00"/>
    <s v="300043"/>
    <s v="DOUANE"/>
    <n v="3868"/>
  </r>
  <r>
    <s v="Facture comptabilisée"/>
    <m/>
    <x v="0"/>
    <x v="3794"/>
    <s v="COMPLEMENT"/>
    <d v="2024-02-20T00:00:00"/>
    <s v="300043"/>
    <s v="DOUANE"/>
    <n v="3477"/>
  </r>
  <r>
    <s v="Facture comptabilisée"/>
    <m/>
    <x v="0"/>
    <x v="3795"/>
    <s v="NOTAM"/>
    <d v="2024-02-22T00:00:00"/>
    <s v="300115"/>
    <s v="AUXILIAR CONSERVERA SA"/>
    <n v="153633.48000000001"/>
  </r>
  <r>
    <s v="Facture comptabilisée"/>
    <m/>
    <x v="0"/>
    <x v="3796"/>
    <s v="SILVER FOOD"/>
    <d v="2024-02-22T00:00:00"/>
    <s v="300115"/>
    <s v="AUXILIAR CONSERVERA SA"/>
    <n v="346255.17300000001"/>
  </r>
  <r>
    <s v="Facture comptabilisée"/>
    <m/>
    <x v="0"/>
    <x v="3797"/>
    <s v="2.3"/>
    <d v="2024-02-22T00:00:00"/>
    <s v="300133"/>
    <s v="OP BOX "/>
    <n v="49996.800000000003"/>
  </r>
  <r>
    <s v="Facture comptabilisée"/>
    <m/>
    <x v="0"/>
    <x v="3798"/>
    <s v="3.8"/>
    <d v="2024-02-22T00:00:00"/>
    <s v="300133"/>
    <s v="OP BOX "/>
    <n v="37982.400000000001"/>
  </r>
  <r>
    <s v="Facture comptabilisée"/>
    <m/>
    <x v="0"/>
    <x v="3799"/>
    <s v="1/4 CLUB ALIUM"/>
    <d v="2024-02-22T00:00:00"/>
    <s v="300220"/>
    <s v="ENVASES EUROPE"/>
    <n v="1084960.8"/>
  </r>
  <r>
    <s v="Facture comptabilisée"/>
    <m/>
    <x v="0"/>
    <x v="3800"/>
    <s v="JIL PACK A"/>
    <d v="2024-02-23T00:00:00"/>
    <s v="300115"/>
    <s v="AUXILIAR CONSERVERA SA"/>
    <n v="346254.57900000003"/>
  </r>
  <r>
    <s v="Facture comptabilisée"/>
    <m/>
    <x v="0"/>
    <x v="3801"/>
    <s v="11/2024 J"/>
    <d v="2024-02-24T00:00:00"/>
    <s v="300043"/>
    <s v="DOUANE"/>
    <n v="1343"/>
  </r>
  <r>
    <s v="Facture comptabilisée"/>
    <m/>
    <x v="0"/>
    <x v="3802"/>
    <d v="2024-03-01T00:00:00"/>
    <d v="2024-02-26T00:00:00"/>
    <s v="300043"/>
    <s v="DOUANE"/>
    <n v="893"/>
  </r>
  <r>
    <s v="Facture comptabilisée"/>
    <m/>
    <x v="0"/>
    <x v="3803"/>
    <s v="12/2024 J"/>
    <d v="2024-02-26T00:00:00"/>
    <s v="300043"/>
    <s v="DOUANE"/>
    <n v="1345"/>
  </r>
  <r>
    <s v="Facture comptabilisée"/>
    <m/>
    <x v="0"/>
    <x v="3804"/>
    <s v="11/2024 J"/>
    <d v="2024-02-26T00:00:00"/>
    <s v="300191"/>
    <s v="JTTL"/>
    <n v="3312.44"/>
  </r>
  <r>
    <s v="Facture comptabilisée"/>
    <m/>
    <x v="0"/>
    <x v="3805"/>
    <s v="17/2024 J"/>
    <d v="2024-02-26T00:00:00"/>
    <s v="300371"/>
    <s v="CHAIN PREJECT"/>
    <n v="35990.800000000003"/>
  </r>
  <r>
    <s v="Facture comptabilisée"/>
    <m/>
    <x v="0"/>
    <x v="3806"/>
    <s v="19/2024 J"/>
    <d v="2024-02-26T00:00:00"/>
    <s v="300371"/>
    <s v="CHAIN PREJECT"/>
    <n v="34004.44"/>
  </r>
  <r>
    <s v="Facture comptabilisée"/>
    <m/>
    <x v="0"/>
    <x v="3807"/>
    <s v="COMPLEMENT"/>
    <d v="2024-02-27T00:00:00"/>
    <s v="300043"/>
    <s v="DOUANE"/>
    <n v="4226"/>
  </r>
  <r>
    <s v="Facture comptabilisée"/>
    <m/>
    <x v="0"/>
    <x v="3808"/>
    <d v="2024-04-01T00:00:00"/>
    <d v="2024-02-27T00:00:00"/>
    <s v="300043"/>
    <s v="DOUANE"/>
    <n v="673"/>
  </r>
  <r>
    <s v="Facture comptabilisée"/>
    <m/>
    <x v="0"/>
    <x v="3809"/>
    <s v="13/2024 J"/>
    <d v="2024-02-27T00:00:00"/>
    <s v="300043"/>
    <s v="DOUANE"/>
    <n v="760"/>
  </r>
  <r>
    <s v="Facture comptabilisée"/>
    <m/>
    <x v="0"/>
    <x v="3810"/>
    <s v="11/2024 J"/>
    <d v="2024-02-27T00:00:00"/>
    <s v="300321"/>
    <s v="JIL LOGISTIQUE"/>
    <n v="19000"/>
  </r>
  <r>
    <s v="Facture comptabilisée"/>
    <m/>
    <x v="0"/>
    <x v="3811"/>
    <s v="12/2024 J"/>
    <d v="2024-02-27T00:00:00"/>
    <s v="300321"/>
    <s v="JIL LOGISTIQUE"/>
    <n v="19000"/>
  </r>
  <r>
    <s v="Facture comptabilisée"/>
    <m/>
    <x v="0"/>
    <x v="3812"/>
    <s v="JIL PACK*2*"/>
    <d v="2024-02-27T00:00:00"/>
    <s v="300373"/>
    <s v="MIDDLE EAST GLASS CONTAINERS-SADAT CO.S.A.E"/>
    <n v="230111.64"/>
  </r>
  <r>
    <s v="Facture comptabilisée"/>
    <m/>
    <x v="0"/>
    <x v="3813"/>
    <s v="JIL PACK*1*"/>
    <d v="2024-02-27T00:00:00"/>
    <s v="300373"/>
    <s v="MIDDLE EAST GLASS CONTAINERS-SADAT CO.S.A.E"/>
    <n v="230111.64"/>
  </r>
  <r>
    <s v="Facture comptabilisée"/>
    <m/>
    <x v="0"/>
    <x v="3814"/>
    <s v="15/2024 J"/>
    <d v="2024-02-29T00:00:00"/>
    <s v="300043"/>
    <s v="DOUANE"/>
    <n v="1269"/>
  </r>
  <r>
    <s v="Facture comptabilisée"/>
    <m/>
    <x v="0"/>
    <x v="3815"/>
    <s v="12/2024 J"/>
    <d v="2024-02-29T00:00:00"/>
    <s v="300191"/>
    <s v="JTTL"/>
    <n v="3412.74"/>
  </r>
  <r>
    <s v="Facture comptabilisée"/>
    <m/>
    <x v="0"/>
    <x v="3816"/>
    <s v="13/2024 J"/>
    <d v="2024-02-29T00:00:00"/>
    <s v="300191"/>
    <s v="JTTL"/>
    <n v="9863.26"/>
  </r>
  <r>
    <s v="Facture comptabilisée"/>
    <m/>
    <x v="0"/>
    <x v="3817"/>
    <s v="14/2024 J"/>
    <d v="2024-02-29T00:00:00"/>
    <s v="300191"/>
    <s v="JTTL"/>
    <n v="5470.97"/>
  </r>
  <r>
    <s v="Facture comptabilisée"/>
    <m/>
    <x v="0"/>
    <x v="3818"/>
    <s v="JIL PACK"/>
    <d v="2024-02-29T00:00:00"/>
    <s v="300237"/>
    <s v="Saribekir Ambalaj - SBK"/>
    <n v="277016.57500000001"/>
  </r>
  <r>
    <s v="Facture comptabilisée"/>
    <m/>
    <x v="0"/>
    <x v="3819"/>
    <s v="JIL PACK*1*"/>
    <d v="2024-03-01T00:00:00"/>
    <s v="300115"/>
    <s v="AUXILIAR CONSERVERA SA"/>
    <n v="84017.755799999999"/>
  </r>
  <r>
    <s v="Facture comptabilisée"/>
    <m/>
    <x v="0"/>
    <x v="3820"/>
    <s v="JIL PACK A*2*"/>
    <d v="2024-03-01T00:00:00"/>
    <s v="300115"/>
    <s v="AUXILIAR CONSERVERA SA"/>
    <n v="263354.63"/>
  </r>
  <r>
    <s v="Facture comptabilisée"/>
    <m/>
    <x v="0"/>
    <x v="3821"/>
    <s v="720ML"/>
    <d v="2024-03-01T00:00:00"/>
    <s v="300375"/>
    <s v="BASTURK CAM SANAYI VE TICARET"/>
    <n v="157320.9792"/>
  </r>
  <r>
    <s v="Facture comptabilisée"/>
    <m/>
    <x v="0"/>
    <x v="3822"/>
    <d v="2026-01-05T00:00:00"/>
    <d v="2024-03-04T00:00:00"/>
    <s v="300064"/>
    <s v="SONOCO Métal Packaging Maroc"/>
    <n v="132020"/>
  </r>
  <r>
    <s v="Facture comptabilisée"/>
    <m/>
    <x v="0"/>
    <x v="3823"/>
    <s v="JIL PACK A"/>
    <d v="2024-03-04T00:00:00"/>
    <s v="300115"/>
    <s v="AUXILIAR CONSERVERA SA"/>
    <n v="346254.57900000003"/>
  </r>
  <r>
    <s v="Facture comptabilisée"/>
    <m/>
    <x v="0"/>
    <x v="3824"/>
    <s v="15/2024 J"/>
    <d v="2024-03-04T00:00:00"/>
    <s v="300191"/>
    <s v="JTTL"/>
    <n v="7714.18"/>
  </r>
  <r>
    <s v="Facture comptabilisée"/>
    <m/>
    <x v="0"/>
    <x v="3825"/>
    <s v="RO85"/>
    <d v="2024-03-04T00:00:00"/>
    <s v="300381"/>
    <s v="ENVASES IBERICA"/>
    <n v="333934.96950000001"/>
  </r>
  <r>
    <s v="Facture comptabilisée"/>
    <m/>
    <x v="0"/>
    <x v="3826"/>
    <s v="16/2024 J"/>
    <d v="2024-03-05T00:00:00"/>
    <s v="300043"/>
    <s v="DOUANE"/>
    <n v="1349"/>
  </r>
  <r>
    <s v="Facture comptabilisée"/>
    <m/>
    <x v="0"/>
    <x v="3827"/>
    <s v="18/2024 J"/>
    <d v="2024-03-05T00:00:00"/>
    <s v="300043"/>
    <s v="DOUANE"/>
    <n v="1352"/>
  </r>
  <r>
    <s v="Facture comptabilisée"/>
    <m/>
    <x v="0"/>
    <x v="3828"/>
    <s v="17/2024 J"/>
    <d v="2024-03-05T00:00:00"/>
    <s v="300043"/>
    <s v="DOUANE"/>
    <n v="3113"/>
  </r>
  <r>
    <s v="Facture comptabilisée"/>
    <m/>
    <x v="0"/>
    <x v="3829"/>
    <s v="19/2024 J"/>
    <d v="2024-03-05T00:00:00"/>
    <s v="300043"/>
    <s v="DOUANE"/>
    <n v="988"/>
  </r>
  <r>
    <s v="Facture comptabilisée"/>
    <m/>
    <x v="0"/>
    <x v="3830"/>
    <s v="JIL PACK A"/>
    <d v="2024-03-05T00:00:00"/>
    <s v="300381"/>
    <s v="ENVASES IBERICA"/>
    <n v="333934.96950000001"/>
  </r>
  <r>
    <s v="Facture comptabilisée"/>
    <m/>
    <x v="0"/>
    <x v="3831"/>
    <d v="2026-04-04T00:00:00"/>
    <d v="2024-03-06T00:00:00"/>
    <s v="300064"/>
    <s v="SONOCO Métal Packaging Maroc"/>
    <n v="195510"/>
  </r>
  <r>
    <s v="Facture comptabilisée"/>
    <m/>
    <x v="0"/>
    <x v="3832"/>
    <s v="16/2024 J"/>
    <d v="2024-03-06T00:00:00"/>
    <s v="300191"/>
    <s v="JTTL"/>
    <n v="3288.74"/>
  </r>
  <r>
    <s v="Facture comptabilisée"/>
    <m/>
    <x v="0"/>
    <x v="3833"/>
    <s v="17/2024 J"/>
    <d v="2024-03-06T00:00:00"/>
    <s v="300191"/>
    <s v="JTTL"/>
    <n v="4174.5"/>
  </r>
  <r>
    <s v="Facture comptabilisée"/>
    <m/>
    <x v="0"/>
    <x v="3834"/>
    <s v="16/2024 J"/>
    <d v="2024-03-06T00:00:00"/>
    <s v="300321"/>
    <s v="JIL LOGISTIQUE"/>
    <n v="19000"/>
  </r>
  <r>
    <s v="Facture comptabilisée"/>
    <m/>
    <x v="0"/>
    <x v="3835"/>
    <s v="RO85"/>
    <d v="2024-03-06T00:00:00"/>
    <s v="300381"/>
    <s v="ENVASES IBERICA"/>
    <n v="333934.96950000001"/>
  </r>
  <r>
    <s v="Facture comptabilisée"/>
    <m/>
    <x v="0"/>
    <x v="3836"/>
    <s v="20L ET 3.8"/>
    <d v="2024-03-07T00:00:00"/>
    <s v="300133"/>
    <s v="OP BOX "/>
    <n v="37880.699999999997"/>
  </r>
  <r>
    <s v="Facture comptabilisée"/>
    <m/>
    <x v="0"/>
    <x v="3837"/>
    <s v="2.3"/>
    <d v="2024-03-07T00:00:00"/>
    <s v="300133"/>
    <s v="OP BOX "/>
    <n v="58406.400000000001"/>
  </r>
  <r>
    <s v="Facture comptabilisée"/>
    <m/>
    <x v="0"/>
    <x v="3838"/>
    <s v="18/2024 J"/>
    <d v="2024-03-07T00:00:00"/>
    <s v="300191"/>
    <s v="JTTL"/>
    <n v="3312.44"/>
  </r>
  <r>
    <s v="Facture comptabilisée"/>
    <m/>
    <x v="0"/>
    <x v="3839"/>
    <s v="18/2024 J"/>
    <d v="2024-03-07T00:00:00"/>
    <s v="300321"/>
    <s v="JIL LOGISTIQUE"/>
    <n v="19000"/>
  </r>
  <r>
    <s v="Facture comptabilisée"/>
    <m/>
    <x v="0"/>
    <x v="3840"/>
    <s v="20/2024 J"/>
    <d v="2024-03-08T00:00:00"/>
    <s v="300043"/>
    <s v="DOUANE"/>
    <n v="274"/>
  </r>
  <r>
    <s v="Facture comptabilisée"/>
    <m/>
    <x v="0"/>
    <x v="3841"/>
    <s v="19/2024 J"/>
    <d v="2024-03-08T00:00:00"/>
    <s v="300191"/>
    <s v="JTTL"/>
    <n v="4157.22"/>
  </r>
  <r>
    <s v="Facture comptabilisée"/>
    <m/>
    <x v="0"/>
    <x v="3842"/>
    <s v="20/2024 J"/>
    <d v="2024-03-09T00:00:00"/>
    <s v="300191"/>
    <s v="JTTL"/>
    <n v="2278.66"/>
  </r>
  <r>
    <s v="Facture comptabilisée"/>
    <m/>
    <x v="0"/>
    <x v="3843"/>
    <s v="JIL PACK"/>
    <d v="2024-03-09T00:00:00"/>
    <s v="300375"/>
    <s v="BASTURK CAM SANAYI VE TICARET"/>
    <n v="171950.9792"/>
  </r>
  <r>
    <s v="Facture comptabilisée"/>
    <m/>
    <x v="0"/>
    <x v="3844"/>
    <s v="22/2024 J"/>
    <d v="2024-03-11T00:00:00"/>
    <s v="300043"/>
    <s v="DOUANE"/>
    <n v="1341"/>
  </r>
  <r>
    <s v="Facture comptabilisée"/>
    <m/>
    <x v="0"/>
    <x v="3845"/>
    <s v="21/2024 J"/>
    <d v="2024-03-11T00:00:00"/>
    <s v="300043"/>
    <s v="DOUANE"/>
    <n v="1341"/>
  </r>
  <r>
    <s v="Facture comptabilisée"/>
    <m/>
    <x v="0"/>
    <x v="3846"/>
    <d v="2026-04-04T00:00:00"/>
    <d v="2024-03-11T00:00:00"/>
    <s v="300064"/>
    <s v="SONOCO Métal Packaging Maroc"/>
    <n v="195510"/>
  </r>
  <r>
    <s v="Facture comptabilisée"/>
    <m/>
    <x v="0"/>
    <x v="3847"/>
    <d v="2024-03-01T00:00:00"/>
    <d v="2024-03-11T00:00:00"/>
    <s v="300101"/>
    <s v="ASMAE FORWARDING EXPRESS"/>
    <n v="4774.2299999999996"/>
  </r>
  <r>
    <s v="Facture comptabilisée"/>
    <m/>
    <x v="0"/>
    <x v="3848"/>
    <d v="2024-04-01T00:00:00"/>
    <d v="2024-03-11T00:00:00"/>
    <s v="300101"/>
    <s v="ASMAE FORWARDING EXPRESS"/>
    <n v="3540.15"/>
  </r>
  <r>
    <s v="Facture comptabilisée"/>
    <m/>
    <x v="0"/>
    <x v="3849"/>
    <s v="21/2024 J"/>
    <d v="2024-03-12T00:00:00"/>
    <s v="300191"/>
    <s v="JTTL"/>
    <n v="3631.54"/>
  </r>
  <r>
    <s v="Facture comptabilisée"/>
    <m/>
    <x v="0"/>
    <x v="3850"/>
    <s v="22/2024 J"/>
    <d v="2024-03-12T00:00:00"/>
    <s v="300191"/>
    <s v="JTTL"/>
    <n v="3460.14"/>
  </r>
  <r>
    <s v="Facture comptabilisée"/>
    <m/>
    <x v="0"/>
    <x v="3851"/>
    <s v="COMPLEMENT"/>
    <d v="2024-03-13T00:00:00"/>
    <s v="300043"/>
    <s v="DOUANE"/>
    <n v="3046"/>
  </r>
  <r>
    <s v="Facture comptabilisée"/>
    <m/>
    <x v="0"/>
    <x v="3852"/>
    <s v="23/2024 J"/>
    <d v="2024-03-13T00:00:00"/>
    <s v="300043"/>
    <s v="DOUANE"/>
    <n v="1324"/>
  </r>
  <r>
    <s v="Facture comptabilisée"/>
    <m/>
    <x v="0"/>
    <x v="3853"/>
    <s v="JIL PACK A"/>
    <d v="2024-03-13T00:00:00"/>
    <s v="300115"/>
    <s v="AUXILIAR CONSERVERA SA"/>
    <n v="346254.57900000003"/>
  </r>
  <r>
    <s v="Facture comptabilisée"/>
    <m/>
    <x v="0"/>
    <x v="3854"/>
    <s v="JIL PACK A"/>
    <d v="2024-03-14T00:00:00"/>
    <s v="300115"/>
    <s v="AUXILIAR CONSERVERA SA"/>
    <n v="4610.1000000000004"/>
  </r>
  <r>
    <s v="Facture comptabilisée"/>
    <m/>
    <x v="0"/>
    <x v="3855"/>
    <s v="JIL PACK"/>
    <d v="2024-03-14T00:00:00"/>
    <s v="300115"/>
    <s v="AUXILIAR CONSERVERA SA"/>
    <n v="1148.4000000000001"/>
  </r>
  <r>
    <s v="Facture comptabilisée"/>
    <m/>
    <x v="0"/>
    <x v="3856"/>
    <s v="24/2024 J"/>
    <d v="2024-03-15T00:00:00"/>
    <s v="300043"/>
    <s v="DOUANE"/>
    <n v="1356"/>
  </r>
  <r>
    <s v="Facture comptabilisée"/>
    <m/>
    <x v="0"/>
    <x v="3857"/>
    <s v="JIL PACK A"/>
    <d v="2024-03-15T00:00:00"/>
    <s v="300115"/>
    <s v="AUXILIAR CONSERVERA SA"/>
    <n v="346254.57900000003"/>
  </r>
  <r>
    <s v="Facture comptabilisée"/>
    <m/>
    <x v="0"/>
    <x v="3858"/>
    <s v="JIL PACK A"/>
    <d v="2024-03-15T00:00:00"/>
    <s v="300115"/>
    <s v="AUXILIAR CONSERVERA SA"/>
    <n v="346254.57900000003"/>
  </r>
  <r>
    <s v="Facture comptabilisée"/>
    <m/>
    <x v="0"/>
    <x v="3859"/>
    <s v="23/2024 J"/>
    <d v="2024-03-15T00:00:00"/>
    <s v="300191"/>
    <s v="JTTL"/>
    <n v="4988.55"/>
  </r>
  <r>
    <s v="Facture comptabilisée"/>
    <m/>
    <x v="0"/>
    <x v="3860"/>
    <s v="23/2024 J"/>
    <d v="2024-03-15T00:00:00"/>
    <s v="300321"/>
    <s v="JIL LOGISTIQUE"/>
    <n v="19800"/>
  </r>
  <r>
    <s v="Facture comptabilisée"/>
    <m/>
    <x v="0"/>
    <x v="3861"/>
    <s v="26/2024 J"/>
    <d v="2024-03-16T00:00:00"/>
    <s v="300118"/>
    <s v="ARKAS MAROC"/>
    <n v="5015.75"/>
  </r>
  <r>
    <s v="Facture comptabilisée"/>
    <m/>
    <x v="0"/>
    <x v="3862"/>
    <s v="22/2024 J"/>
    <d v="2024-03-16T00:00:00"/>
    <s v="300321"/>
    <s v="JIL LOGISTIQUE"/>
    <n v="23100"/>
  </r>
  <r>
    <s v="Facture comptabilisée"/>
    <m/>
    <x v="0"/>
    <x v="3863"/>
    <s v="21/2024 J"/>
    <d v="2024-03-16T00:00:00"/>
    <s v="300321"/>
    <s v="JIL LOGISTIQUE"/>
    <n v="23100"/>
  </r>
  <r>
    <s v="Facture comptabilisée"/>
    <m/>
    <x v="0"/>
    <x v="3864"/>
    <s v="Commande 9"/>
    <d v="2024-03-17T00:00:00"/>
    <s v="300344"/>
    <s v="PADEL NUESTRO"/>
    <n v="157772.57999999999"/>
  </r>
  <r>
    <s v="Facture comptabilisée"/>
    <m/>
    <x v="0"/>
    <x v="3865"/>
    <s v="24/2024 J"/>
    <d v="2024-03-18T00:00:00"/>
    <s v="300043"/>
    <s v="DOUANE"/>
    <n v="1353"/>
  </r>
  <r>
    <s v="Facture comptabilisée"/>
    <m/>
    <x v="0"/>
    <x v="3866"/>
    <s v="212 ATS"/>
    <d v="2024-03-18T00:00:00"/>
    <s v="300376"/>
    <s v="KANDIL"/>
    <n v="255492.46799999999"/>
  </r>
  <r>
    <s v="Facture comptabilisée"/>
    <m/>
    <x v="0"/>
    <x v="3867"/>
    <s v="28/2024 J"/>
    <d v="2024-03-19T00:00:00"/>
    <s v="300043"/>
    <s v="DOUANE"/>
    <n v="1352"/>
  </r>
  <r>
    <s v="Facture comptabilisée"/>
    <m/>
    <x v="0"/>
    <x v="3868"/>
    <s v="24/2024 J"/>
    <d v="2024-03-19T00:00:00"/>
    <s v="300191"/>
    <s v="JTTL"/>
    <n v="3584.14"/>
  </r>
  <r>
    <s v="Facture comptabilisée"/>
    <m/>
    <x v="0"/>
    <x v="3869"/>
    <s v="25/2024 J"/>
    <d v="2024-03-19T00:00:00"/>
    <s v="300191"/>
    <s v="JTTL"/>
    <n v="3241.34"/>
  </r>
  <r>
    <s v="Facture comptabilisée"/>
    <m/>
    <x v="0"/>
    <x v="3870"/>
    <s v="JIL PACK A"/>
    <d v="2024-03-20T00:00:00"/>
    <s v="300115"/>
    <s v="AUXILIAR CONSERVERA SA"/>
    <n v="346254.57900000003"/>
  </r>
  <r>
    <s v="Facture comptabilisée"/>
    <m/>
    <x v="0"/>
    <x v="3871"/>
    <s v="10L"/>
    <d v="2024-03-20T00:00:00"/>
    <s v="300133"/>
    <s v="OP BOX "/>
    <n v="34040.400000000001"/>
  </r>
  <r>
    <s v="Facture comptabilisée"/>
    <m/>
    <x v="0"/>
    <x v="3872"/>
    <s v="2300ML"/>
    <d v="2024-03-20T00:00:00"/>
    <s v="300133"/>
    <s v="OP BOX "/>
    <n v="71884.800000000003"/>
  </r>
  <r>
    <s v="Facture comptabilisée"/>
    <m/>
    <x v="0"/>
    <x v="3873"/>
    <s v="24/2024 J"/>
    <d v="2024-03-20T00:00:00"/>
    <s v="300321"/>
    <s v="JIL LOGISTIQUE"/>
    <n v="19000"/>
  </r>
  <r>
    <s v="Facture comptabilisée"/>
    <m/>
    <x v="0"/>
    <x v="3874"/>
    <s v="25/2024 J"/>
    <d v="2024-03-20T00:00:00"/>
    <s v="300321"/>
    <s v="JIL LOGISTIQUE"/>
    <n v="19000"/>
  </r>
  <r>
    <s v="Facture comptabilisée"/>
    <m/>
    <x v="0"/>
    <x v="3875"/>
    <s v="COMPLEMENT"/>
    <d v="2024-03-21T00:00:00"/>
    <s v="300043"/>
    <s v="DOUANE"/>
    <n v="4147"/>
  </r>
  <r>
    <s v="Facture comptabilisée"/>
    <m/>
    <x v="0"/>
    <x v="3876"/>
    <s v="26/2024 J"/>
    <d v="2024-03-21T00:00:00"/>
    <s v="300043"/>
    <s v="DOUANE"/>
    <n v="1063"/>
  </r>
  <r>
    <s v="Facture comptabilisée"/>
    <m/>
    <x v="0"/>
    <x v="3877"/>
    <s v="JIL PACK A"/>
    <d v="2024-03-21T00:00:00"/>
    <s v="300115"/>
    <s v="AUXILIAR CONSERVERA SA"/>
    <n v="346283.685"/>
  </r>
  <r>
    <s v="Facture comptabilisée"/>
    <m/>
    <x v="0"/>
    <x v="3878"/>
    <s v="JIL PACK A"/>
    <d v="2024-03-21T00:00:00"/>
    <s v="300115"/>
    <s v="AUXILIAR CONSERVERA SA"/>
    <n v="346296.62099999998"/>
  </r>
  <r>
    <s v="Facture comptabilisée"/>
    <m/>
    <x v="0"/>
    <x v="3879"/>
    <s v="28/2024 J"/>
    <d v="2024-03-21T00:00:00"/>
    <s v="300321"/>
    <s v="JIL LOGISTIQUE"/>
    <n v="19000"/>
  </r>
  <r>
    <s v="Facture comptabilisée"/>
    <m/>
    <x v="0"/>
    <x v="3880"/>
    <s v="370STD"/>
    <d v="2024-03-21T00:00:00"/>
    <s v="300375"/>
    <s v="BASTURK CAM SANAYI VE TICARET"/>
    <n v="171032.75200000001"/>
  </r>
  <r>
    <s v="Facture comptabilisée"/>
    <m/>
    <x v="0"/>
    <x v="3881"/>
    <d v="2024-05-01T00:00:00"/>
    <d v="2024-03-21T00:00:00"/>
    <s v="300384"/>
    <s v="MAERSK MAROC"/>
    <n v="7661"/>
  </r>
  <r>
    <s v="Facture comptabilisée"/>
    <m/>
    <x v="0"/>
    <x v="3882"/>
    <s v="27/2024 J"/>
    <d v="2024-03-22T00:00:00"/>
    <s v="300043"/>
    <s v="DOUANE"/>
    <n v="1350"/>
  </r>
  <r>
    <s v="Facture comptabilisée"/>
    <m/>
    <x v="0"/>
    <x v="3883"/>
    <s v="29/2024 J"/>
    <d v="2024-03-22T00:00:00"/>
    <s v="300043"/>
    <s v="DOUANE"/>
    <n v="1353"/>
  </r>
  <r>
    <s v="Facture comptabilisée"/>
    <m/>
    <x v="0"/>
    <x v="3884"/>
    <s v="30/2024 J"/>
    <d v="2024-03-22T00:00:00"/>
    <s v="300043"/>
    <s v="DOUANE"/>
    <n v="1353"/>
  </r>
  <r>
    <s v="Facture comptabilisée"/>
    <m/>
    <x v="0"/>
    <x v="3885"/>
    <s v="26/2024 J"/>
    <d v="2024-03-25T00:00:00"/>
    <s v="300191"/>
    <s v="JTTL"/>
    <n v="2588.2800000000002"/>
  </r>
  <r>
    <s v="Facture comptabilisée"/>
    <m/>
    <x v="0"/>
    <x v="3886"/>
    <s v="27/2024 J"/>
    <d v="2024-03-25T00:00:00"/>
    <s v="300191"/>
    <s v="JTTL"/>
    <n v="3412.74"/>
  </r>
  <r>
    <s v="Facture comptabilisée"/>
    <m/>
    <x v="0"/>
    <x v="3887"/>
    <s v="28/2024 J"/>
    <d v="2024-03-25T00:00:00"/>
    <s v="300191"/>
    <s v="JTTL"/>
    <n v="3584.14"/>
  </r>
  <r>
    <s v="Facture comptabilisée"/>
    <m/>
    <x v="0"/>
    <x v="3888"/>
    <s v="29/2024 J"/>
    <d v="2024-03-25T00:00:00"/>
    <s v="300191"/>
    <s v="JTTL"/>
    <n v="3389.04"/>
  </r>
  <r>
    <s v="Facture comptabilisée"/>
    <m/>
    <x v="0"/>
    <x v="3889"/>
    <s v="29/2024 J"/>
    <d v="2024-03-25T00:00:00"/>
    <s v="300321"/>
    <s v="JIL LOGISTIQUE"/>
    <n v="19000"/>
  </r>
  <r>
    <s v="Facture comptabilisée"/>
    <m/>
    <x v="0"/>
    <x v="3890"/>
    <s v="30/2024 J"/>
    <d v="2024-03-25T00:00:00"/>
    <s v="300321"/>
    <s v="JIL LOGISTIQUE"/>
    <n v="19000"/>
  </r>
  <r>
    <s v="Facture comptabilisée"/>
    <m/>
    <x v="0"/>
    <x v="3891"/>
    <s v="27/2024 J"/>
    <d v="2024-03-25T00:00:00"/>
    <s v="300321"/>
    <s v="JIL LOGISTIQUE"/>
    <n v="19000"/>
  </r>
  <r>
    <s v="Facture comptabilisée"/>
    <m/>
    <x v="0"/>
    <x v="3892"/>
    <s v="COMPLEMENT"/>
    <d v="2024-03-27T00:00:00"/>
    <s v="300043"/>
    <s v="DOUANE"/>
    <n v="3481"/>
  </r>
  <r>
    <s v="Facture comptabilisée"/>
    <m/>
    <x v="0"/>
    <x v="3893"/>
    <s v="5/1 NEUTRE"/>
    <d v="2024-03-27T00:00:00"/>
    <s v="300064"/>
    <s v="SONOCO Métal Packaging Maroc"/>
    <n v="132020"/>
  </r>
  <r>
    <s v="Facture comptabilisée"/>
    <m/>
    <x v="0"/>
    <x v="3894"/>
    <s v="30/2024 J"/>
    <d v="2024-03-27T00:00:00"/>
    <s v="300191"/>
    <s v="JTTL"/>
    <n v="3241.34"/>
  </r>
  <r>
    <s v="Facture comptabilisée"/>
    <m/>
    <x v="0"/>
    <x v="3895"/>
    <s v="370 STD"/>
    <d v="2024-03-27T00:00:00"/>
    <s v="300375"/>
    <s v="BASTURK CAM SANAYI VE TICARET"/>
    <n v="171245.6416"/>
  </r>
  <r>
    <s v="Facture comptabilisée"/>
    <m/>
    <x v="0"/>
    <x v="3896"/>
    <d v="2024-05-01T00:00:00"/>
    <d v="2024-04-01T00:00:00"/>
    <s v="300043"/>
    <s v="DOUANE"/>
    <n v="1012"/>
  </r>
  <r>
    <s v="Facture comptabilisée"/>
    <m/>
    <x v="0"/>
    <x v="3897"/>
    <s v="RO85"/>
    <d v="2024-04-01T00:00:00"/>
    <s v="300381"/>
    <s v="ENVASES IBERICA"/>
    <n v="333934.96950000001"/>
  </r>
  <r>
    <s v="Facture comptabilisée"/>
    <m/>
    <x v="0"/>
    <x v="3898"/>
    <s v="41/2024 J"/>
    <d v="2024-04-02T00:00:00"/>
    <s v="300118"/>
    <s v="ARKAS MAROC"/>
    <n v="9681.5"/>
  </r>
  <r>
    <s v="Facture comptabilisée"/>
    <m/>
    <x v="0"/>
    <x v="3899"/>
    <s v="34/2024 J"/>
    <d v="2024-04-02T00:00:00"/>
    <s v="300371"/>
    <s v="CHAIN PREJECT"/>
    <n v="15187.68"/>
  </r>
  <r>
    <s v="Facture comptabilisée"/>
    <m/>
    <x v="0"/>
    <x v="3900"/>
    <d v="2024-05-01T00:00:00"/>
    <d v="2024-04-03T00:00:00"/>
    <s v="300101"/>
    <s v="ASMAE FORWARDING EXPRESS"/>
    <n v="4979.63"/>
  </r>
  <r>
    <s v="Facture comptabilisée"/>
    <m/>
    <x v="0"/>
    <x v="3901"/>
    <s v="BOURCHANIN"/>
    <d v="2024-04-03T00:00:00"/>
    <s v="300115"/>
    <s v="AUXILIAR CONSERVERA SA"/>
    <n v="226565.54800000001"/>
  </r>
  <r>
    <s v="Facture comptabilisée"/>
    <m/>
    <x v="0"/>
    <x v="3902"/>
    <s v="JIL PACK A"/>
    <d v="2024-04-03T00:00:00"/>
    <s v="300115"/>
    <s v="AUXILIAR CONSERVERA SA"/>
    <n v="346283.685"/>
  </r>
  <r>
    <s v="Facture comptabilisée"/>
    <m/>
    <x v="0"/>
    <x v="3903"/>
    <s v="JIL PACK A"/>
    <d v="2024-04-03T00:00:00"/>
    <s v="300115"/>
    <s v="AUXILIAR CONSERVERA SA"/>
    <n v="346283.685"/>
  </r>
  <r>
    <s v="Facture comptabilisée"/>
    <m/>
    <x v="0"/>
    <x v="3904"/>
    <d v="2026-01-05T00:00:00"/>
    <d v="2024-04-04T00:00:00"/>
    <s v="300064"/>
    <s v="SONOCO Métal Packaging Maroc"/>
    <n v="120820"/>
  </r>
  <r>
    <s v="Facture comptabilisée"/>
    <m/>
    <x v="0"/>
    <x v="3905"/>
    <s v="COMPLEMENT"/>
    <d v="2024-04-05T00:00:00"/>
    <s v="300043"/>
    <s v="DOUANE"/>
    <n v="4672"/>
  </r>
  <r>
    <s v="Facture comptabilisée"/>
    <m/>
    <x v="0"/>
    <x v="3906"/>
    <s v="31/2024 J"/>
    <d v="2024-04-05T00:00:00"/>
    <s v="300043"/>
    <s v="DOUANE"/>
    <n v="1349"/>
  </r>
  <r>
    <s v="Facture comptabilisée"/>
    <m/>
    <x v="0"/>
    <x v="3907"/>
    <s v="33/2024 J"/>
    <d v="2024-04-05T00:00:00"/>
    <s v="300043"/>
    <s v="DOUANE"/>
    <n v="1353"/>
  </r>
  <r>
    <s v="Facture comptabilisée"/>
    <m/>
    <x v="0"/>
    <x v="3908"/>
    <s v="32/2024 J"/>
    <d v="2024-04-05T00:00:00"/>
    <s v="300043"/>
    <s v="DOUANE"/>
    <n v="1353"/>
  </r>
  <r>
    <s v="Facture comptabilisée"/>
    <m/>
    <x v="0"/>
    <x v="3909"/>
    <d v="2024-06-01T00:00:00"/>
    <d v="2024-04-05T00:00:00"/>
    <s v="300043"/>
    <s v="DOUANE"/>
    <n v="915"/>
  </r>
  <r>
    <s v="Facture comptabilisée"/>
    <m/>
    <x v="0"/>
    <x v="3910"/>
    <s v="40/2024 J"/>
    <d v="2024-04-05T00:00:00"/>
    <s v="300364"/>
    <s v="CMA CGM MAROC"/>
    <n v="8571.4"/>
  </r>
  <r>
    <s v="Facture comptabilisée"/>
    <m/>
    <x v="0"/>
    <x v="3911"/>
    <s v="32/2024 J"/>
    <d v="2024-04-06T00:00:00"/>
    <s v="300321"/>
    <s v="JIL LOGISTIQUE"/>
    <n v="19000"/>
  </r>
  <r>
    <s v="Facture comptabilisée"/>
    <m/>
    <x v="0"/>
    <x v="3912"/>
    <s v="33/2024 J"/>
    <d v="2024-04-06T00:00:00"/>
    <s v="300321"/>
    <s v="JIL LOGISTIQUE"/>
    <n v="19000"/>
  </r>
  <r>
    <s v="Facture comptabilisée"/>
    <m/>
    <x v="0"/>
    <x v="3913"/>
    <s v="34/2024 J"/>
    <d v="2024-04-08T00:00:00"/>
    <s v="300043"/>
    <s v="DOUANE"/>
    <n v="723"/>
  </r>
  <r>
    <s v="Facture comptabilisée"/>
    <m/>
    <x v="0"/>
    <x v="3914"/>
    <d v="2024-06-01T00:00:00"/>
    <d v="2024-04-08T00:00:00"/>
    <s v="300101"/>
    <s v="ASMAE FORWARDING EXPRESS"/>
    <n v="3197.34"/>
  </r>
  <r>
    <s v="Facture comptabilisée"/>
    <m/>
    <x v="0"/>
    <x v="3915"/>
    <s v="10L"/>
    <d v="2024-04-08T00:00:00"/>
    <s v="300133"/>
    <s v="OP BOX "/>
    <n v="4895.3999999999996"/>
  </r>
  <r>
    <s v="Facture comptabilisée"/>
    <m/>
    <x v="0"/>
    <x v="3916"/>
    <s v="1200ML"/>
    <d v="2024-04-08T00:00:00"/>
    <s v="300133"/>
    <s v="OP BOX "/>
    <n v="36709.199999999997"/>
  </r>
  <r>
    <s v="Facture comptabilisée"/>
    <m/>
    <x v="0"/>
    <x v="3917"/>
    <s v="CVC10L"/>
    <d v="2024-04-08T00:00:00"/>
    <s v="300133"/>
    <s v="OP BOX "/>
    <n v="1334.55"/>
  </r>
  <r>
    <s v="Facture comptabilisée"/>
    <m/>
    <x v="0"/>
    <x v="3918"/>
    <s v="20L"/>
    <d v="2024-04-08T00:00:00"/>
    <s v="300133"/>
    <s v="OP BOX "/>
    <n v="34630.199999999997"/>
  </r>
  <r>
    <s v="Facture comptabilisée"/>
    <m/>
    <x v="0"/>
    <x v="3919"/>
    <s v="31/2024 J"/>
    <d v="2024-04-08T00:00:00"/>
    <s v="300191"/>
    <s v="JTTL"/>
    <n v="3460.14"/>
  </r>
  <r>
    <s v="Facture comptabilisée"/>
    <m/>
    <x v="0"/>
    <x v="3920"/>
    <s v="32/2024 J"/>
    <d v="2024-04-08T00:00:00"/>
    <s v="300191"/>
    <s v="JTTL"/>
    <n v="3241.34"/>
  </r>
  <r>
    <s v="Facture comptabilisée"/>
    <m/>
    <x v="0"/>
    <x v="3921"/>
    <s v="33/2024 J"/>
    <d v="2024-04-08T00:00:00"/>
    <s v="300191"/>
    <s v="JTTL"/>
    <n v="3412.74"/>
  </r>
  <r>
    <s v="Facture comptabilisée"/>
    <m/>
    <x v="0"/>
    <x v="3922"/>
    <s v="22L"/>
    <d v="2024-04-08T00:00:00"/>
    <s v="300356"/>
    <s v="MASSILY PORTUGAL"/>
    <n v="171131.26800000001"/>
  </r>
  <r>
    <s v="Facture comptabilisée"/>
    <m/>
    <x v="0"/>
    <x v="3923"/>
    <s v="660STD"/>
    <d v="2024-04-08T00:00:00"/>
    <s v="300375"/>
    <s v="BASTURK CAM SANAYI VE TICARET"/>
    <n v="183256.85620000001"/>
  </r>
  <r>
    <s v="Facture comptabilisée"/>
    <m/>
    <x v="0"/>
    <x v="3924"/>
    <s v="2300ML"/>
    <d v="2024-04-09T00:00:00"/>
    <s v="300133"/>
    <s v="OP BOX "/>
    <n v="17971.2"/>
  </r>
  <r>
    <s v="Facture comptabilisée"/>
    <m/>
    <x v="0"/>
    <x v="3925"/>
    <s v="34/2024 J"/>
    <d v="2024-04-09T00:00:00"/>
    <s v="300191"/>
    <s v="JTTL"/>
    <n v="2559.7199999999998"/>
  </r>
  <r>
    <s v="Facture comptabilisée"/>
    <m/>
    <x v="0"/>
    <x v="3926"/>
    <s v="JP A*MEAT CORP*"/>
    <d v="2024-04-12T00:00:00"/>
    <s v="300381"/>
    <s v="ENVASES IBERICA"/>
    <n v="333934.96950000001"/>
  </r>
  <r>
    <s v="Facture comptabilisée"/>
    <m/>
    <x v="0"/>
    <x v="3927"/>
    <s v="JIL PACK A"/>
    <d v="2024-04-12T00:00:00"/>
    <s v="300381"/>
    <s v="ENVASES IBERICA"/>
    <n v="333934.96950000001"/>
  </r>
  <r>
    <s v="Facture comptabilisée"/>
    <m/>
    <x v="0"/>
    <x v="3928"/>
    <d v="2024-06-01T00:00:00"/>
    <d v="2024-04-15T00:00:00"/>
    <s v="300101"/>
    <s v="ASMAE FORWARDING EXPRESS"/>
    <n v="342.8"/>
  </r>
  <r>
    <s v="Facture comptabilisée"/>
    <m/>
    <x v="0"/>
    <x v="3929"/>
    <s v="JIL PACK A"/>
    <d v="2024-04-15T00:00:00"/>
    <s v="300115"/>
    <s v="AUXILIAR CONSERVERA SA"/>
    <n v="346283.685"/>
  </r>
  <r>
    <s v="Facture comptabilisée"/>
    <m/>
    <x v="0"/>
    <x v="3930"/>
    <s v="Commande 10"/>
    <d v="2024-04-15T00:00:00"/>
    <s v="300344"/>
    <s v="PADEL NUESTRO"/>
    <n v="262266.28000000003"/>
  </r>
  <r>
    <s v="Facture comptabilisée"/>
    <m/>
    <x v="0"/>
    <x v="3931"/>
    <s v="43/2024 J"/>
    <d v="2024-04-15T00:00:00"/>
    <s v="300383"/>
    <s v="LOCOFREIGHT"/>
    <n v="29721.5"/>
  </r>
  <r>
    <s v="Facture comptabilisée"/>
    <m/>
    <x v="0"/>
    <x v="3932"/>
    <s v="COMPLEMENT"/>
    <d v="2024-04-16T00:00:00"/>
    <s v="300043"/>
    <s v="DOUANE"/>
    <n v="4276"/>
  </r>
  <r>
    <s v="Facture comptabilisée"/>
    <m/>
    <x v="0"/>
    <x v="3933"/>
    <s v="35/2024 J"/>
    <d v="2024-04-16T00:00:00"/>
    <s v="300043"/>
    <s v="DOUANE"/>
    <n v="1322"/>
  </r>
  <r>
    <s v="Facture comptabilisée"/>
    <m/>
    <x v="0"/>
    <x v="3934"/>
    <s v="JIL PACK A"/>
    <d v="2024-04-16T00:00:00"/>
    <s v="300115"/>
    <s v="AUXILIAR CONSERVERA SA"/>
    <n v="346283.685"/>
  </r>
  <r>
    <s v="Facture comptabilisée"/>
    <m/>
    <x v="0"/>
    <x v="3935"/>
    <s v="36/2024 J"/>
    <d v="2024-04-17T00:00:00"/>
    <s v="300043"/>
    <s v="DOUANE"/>
    <n v="1338"/>
  </r>
  <r>
    <s v="Facture comptabilisée"/>
    <m/>
    <x v="0"/>
    <x v="3936"/>
    <s v="37/2024 J"/>
    <d v="2024-04-17T00:00:00"/>
    <s v="300043"/>
    <s v="DOUANE"/>
    <n v="1325"/>
  </r>
  <r>
    <s v="Facture comptabilisée"/>
    <m/>
    <x v="0"/>
    <x v="3937"/>
    <d v="2024-07-01T00:00:00"/>
    <d v="2024-04-17T00:00:00"/>
    <s v="300043"/>
    <s v="DOUANE"/>
    <n v="1012"/>
  </r>
  <r>
    <s v="Facture comptabilisée"/>
    <m/>
    <x v="0"/>
    <x v="3938"/>
    <s v="41/2024 J"/>
    <d v="2024-04-17T00:00:00"/>
    <s v="300043"/>
    <s v="DOUANE"/>
    <n v="391"/>
  </r>
  <r>
    <s v="Facture comptabilisée"/>
    <m/>
    <x v="0"/>
    <x v="3939"/>
    <d v="2024-08-01T00:00:00"/>
    <d v="2024-04-18T00:00:00"/>
    <s v="300043"/>
    <s v="DOUANE"/>
    <n v="727"/>
  </r>
  <r>
    <s v="Facture comptabilisée"/>
    <m/>
    <x v="0"/>
    <x v="3940"/>
    <s v="38/2024 J"/>
    <d v="2024-04-18T00:00:00"/>
    <s v="300043"/>
    <s v="DOUANE"/>
    <n v="1320"/>
  </r>
  <r>
    <s v="Facture comptabilisée"/>
    <m/>
    <x v="0"/>
    <x v="3941"/>
    <s v="35/2024 J"/>
    <d v="2024-04-18T00:00:00"/>
    <s v="300191"/>
    <s v="JTTL"/>
    <n v="3288.74"/>
  </r>
  <r>
    <s v="Facture comptabilisée"/>
    <m/>
    <x v="0"/>
    <x v="3942"/>
    <s v="COMPLEMENT"/>
    <d v="2024-04-19T00:00:00"/>
    <s v="300043"/>
    <s v="DOUANE"/>
    <n v="3805"/>
  </r>
  <r>
    <s v="Facture comptabilisée"/>
    <m/>
    <x v="0"/>
    <x v="3943"/>
    <s v="42/2024 J"/>
    <d v="2024-04-19T00:00:00"/>
    <s v="300043"/>
    <s v="DOUANE"/>
    <n v="9428"/>
  </r>
  <r>
    <s v="Facture comptabilisée"/>
    <m/>
    <x v="0"/>
    <x v="3944"/>
    <s v="40/2024 J"/>
    <d v="2024-04-19T00:00:00"/>
    <s v="300043"/>
    <s v="DOUANE"/>
    <n v="391"/>
  </r>
  <r>
    <s v="Facture comptabilisée"/>
    <m/>
    <x v="0"/>
    <x v="3945"/>
    <d v="2026-01-05T00:00:00"/>
    <d v="2024-04-19T00:00:00"/>
    <s v="300064"/>
    <s v="SONOCO Métal Packaging Maroc"/>
    <n v="120820"/>
  </r>
  <r>
    <s v="Facture comptabilisée"/>
    <m/>
    <x v="0"/>
    <x v="3946"/>
    <s v="36/2024 J"/>
    <d v="2024-04-19T00:00:00"/>
    <s v="300191"/>
    <s v="JTTL"/>
    <n v="3241.34"/>
  </r>
  <r>
    <s v="Facture comptabilisée"/>
    <m/>
    <x v="0"/>
    <x v="3947"/>
    <s v="36/2024 J"/>
    <d v="2024-04-19T00:00:00"/>
    <s v="300321"/>
    <s v="JIL LOGISTIQUE"/>
    <n v="19000"/>
  </r>
  <r>
    <s v="Facture comptabilisée"/>
    <m/>
    <x v="0"/>
    <x v="3948"/>
    <s v="19/2024 J"/>
    <d v="2024-04-22T00:00:00"/>
    <s v="300191"/>
    <s v="JTTL"/>
    <n v="451.93"/>
  </r>
  <r>
    <s v="Facture comptabilisée"/>
    <m/>
    <x v="0"/>
    <x v="3949"/>
    <s v="39/2024 J"/>
    <d v="2024-04-23T00:00:00"/>
    <s v="300043"/>
    <s v="DOUANE"/>
    <n v="7063"/>
  </r>
  <r>
    <s v="Facture comptabilisée"/>
    <m/>
    <x v="0"/>
    <x v="3950"/>
    <d v="2024-07-01T00:00:00"/>
    <d v="2024-04-23T00:00:00"/>
    <s v="300101"/>
    <s v="ASMAE FORWARDING EXPRESS"/>
    <n v="12471.2"/>
  </r>
  <r>
    <s v="Facture comptabilisée"/>
    <m/>
    <x v="0"/>
    <x v="3951"/>
    <d v="2024-08-01T00:00:00"/>
    <d v="2024-04-23T00:00:00"/>
    <s v="300101"/>
    <s v="ASMAE FORWARDING EXPRESS"/>
    <n v="6094.16"/>
  </r>
  <r>
    <s v="Facture comptabilisée"/>
    <m/>
    <x v="0"/>
    <x v="3952"/>
    <s v="ALVEOL 30x50 NOIR"/>
    <d v="2024-04-23T00:00:00"/>
    <s v="300312"/>
    <s v="ILIP S.r.l."/>
    <n v="428313.59999999998"/>
  </r>
  <r>
    <s v="Facture comptabilisée"/>
    <m/>
    <x v="0"/>
    <x v="3953"/>
    <s v="52/2024 J"/>
    <d v="2024-04-24T00:00:00"/>
    <s v="300043"/>
    <s v="DOUANE"/>
    <n v="3732"/>
  </r>
  <r>
    <s v="Facture comptabilisée"/>
    <m/>
    <x v="0"/>
    <x v="3954"/>
    <s v="37/2024 J"/>
    <d v="2024-04-24T00:00:00"/>
    <s v="300191"/>
    <s v="JTTL"/>
    <n v="3265.04"/>
  </r>
  <r>
    <s v="Facture comptabilisée"/>
    <m/>
    <x v="0"/>
    <x v="3955"/>
    <s v="38/2024 J"/>
    <d v="2024-04-24T00:00:00"/>
    <s v="300191"/>
    <s v="JTTL"/>
    <n v="3241.34"/>
  </r>
  <r>
    <s v="Facture comptabilisée"/>
    <m/>
    <x v="0"/>
    <x v="3956"/>
    <s v="39/2024 J"/>
    <d v="2024-04-24T00:00:00"/>
    <s v="300191"/>
    <s v="JTTL"/>
    <n v="4428.74"/>
  </r>
  <r>
    <s v="Facture comptabilisée"/>
    <m/>
    <x v="0"/>
    <x v="3957"/>
    <s v="40/2024 J"/>
    <d v="2024-04-24T00:00:00"/>
    <s v="300191"/>
    <s v="JTTL"/>
    <n v="6302.58"/>
  </r>
  <r>
    <s v="Facture comptabilisée"/>
    <m/>
    <x v="0"/>
    <x v="3958"/>
    <s v="41/2024 J"/>
    <d v="2024-04-24T00:00:00"/>
    <s v="300191"/>
    <s v="JTTL"/>
    <n v="4479.9399999999996"/>
  </r>
  <r>
    <s v="Facture comptabilisée"/>
    <m/>
    <x v="0"/>
    <x v="3959"/>
    <s v="COMPLEMENT"/>
    <d v="2024-04-25T00:00:00"/>
    <s v="300043"/>
    <s v="DOUANE"/>
    <n v="4391"/>
  </r>
  <r>
    <s v="Facture comptabilisée"/>
    <m/>
    <x v="0"/>
    <x v="3960"/>
    <s v="43/2024 J"/>
    <d v="2024-04-25T00:00:00"/>
    <s v="300043"/>
    <s v="DOUANE"/>
    <n v="416"/>
  </r>
  <r>
    <s v="Facture comptabilisée"/>
    <m/>
    <x v="0"/>
    <x v="3961"/>
    <s v="45/2024"/>
    <d v="2024-04-25T00:00:00"/>
    <s v="300043"/>
    <s v="DOUANE"/>
    <n v="1139"/>
  </r>
  <r>
    <s v="Facture comptabilisée"/>
    <m/>
    <x v="0"/>
    <x v="3962"/>
    <s v="JIL PACK A"/>
    <d v="2024-04-25T00:00:00"/>
    <s v="300115"/>
    <s v="AUXILIAR CONSERVERA SA"/>
    <n v="346254.57900000003"/>
  </r>
  <r>
    <s v="Facture comptabilisée"/>
    <m/>
    <x v="0"/>
    <x v="3963"/>
    <s v="42/2024 J"/>
    <d v="2024-04-25T00:00:00"/>
    <s v="300191"/>
    <s v="JTTL"/>
    <n v="2067.2199999999998"/>
  </r>
  <r>
    <s v="Facture comptabilisée"/>
    <m/>
    <x v="0"/>
    <x v="3964"/>
    <s v="44/2024 J"/>
    <d v="2024-04-26T00:00:00"/>
    <s v="300043"/>
    <s v="DOUANE"/>
    <n v="1342"/>
  </r>
  <r>
    <s v="Facture comptabilisée"/>
    <m/>
    <x v="0"/>
    <x v="3965"/>
    <s v="JP A*JP CASA*"/>
    <d v="2024-04-26T00:00:00"/>
    <s v="300115"/>
    <s v="AUXILIAR CONSERVERA SA"/>
    <n v="346254.57900000003"/>
  </r>
  <r>
    <s v="Facture comptabilisée"/>
    <m/>
    <x v="0"/>
    <x v="3966"/>
    <s v="47/2024 J"/>
    <d v="2024-04-29T00:00:00"/>
    <s v="300043"/>
    <s v="DOUANE"/>
    <n v="1343"/>
  </r>
  <r>
    <s v="Facture comptabilisée"/>
    <m/>
    <x v="0"/>
    <x v="3967"/>
    <s v="43/2024 J"/>
    <d v="2024-04-29T00:00:00"/>
    <s v="300191"/>
    <s v="JTTL"/>
    <n v="4330.43"/>
  </r>
  <r>
    <s v="Facture comptabilisée"/>
    <m/>
    <x v="0"/>
    <x v="3968"/>
    <s v="44/2024 J"/>
    <d v="2024-04-29T00:00:00"/>
    <s v="300191"/>
    <s v="JTTL"/>
    <n v="3241.34"/>
  </r>
  <r>
    <s v="Facture comptabilisée"/>
    <m/>
    <x v="0"/>
    <x v="3969"/>
    <s v="44/2024 J"/>
    <d v="2024-04-29T00:00:00"/>
    <s v="300321"/>
    <s v="JIL LOGISTIQUE"/>
    <n v="19000"/>
  </r>
  <r>
    <s v="Facture comptabilisée"/>
    <m/>
    <x v="0"/>
    <x v="3970"/>
    <s v="47/2024 J"/>
    <d v="2024-04-29T00:00:00"/>
    <s v="300321"/>
    <s v="JIL LOGISTIQUE"/>
    <n v="18000"/>
  </r>
  <r>
    <s v="Facture comptabilisée"/>
    <m/>
    <x v="0"/>
    <x v="3971"/>
    <s v="35/2024 J"/>
    <d v="2024-04-29T00:00:00"/>
    <s v="300321"/>
    <s v="JIL LOGISTIQUE"/>
    <n v="23000"/>
  </r>
  <r>
    <s v="Facture comptabilisée"/>
    <m/>
    <x v="0"/>
    <x v="3972"/>
    <s v="38/2024 J"/>
    <d v="2024-04-29T00:00:00"/>
    <s v="300321"/>
    <s v="JIL LOGISTIQUE"/>
    <n v="21000"/>
  </r>
  <r>
    <s v="Facture comptabilisée"/>
    <m/>
    <x v="0"/>
    <x v="3973"/>
    <s v="37/2024 J"/>
    <d v="2024-04-29T00:00:00"/>
    <s v="300321"/>
    <s v="JIL LOGISTIQUE"/>
    <n v="13000"/>
  </r>
  <r>
    <s v="Facture comptabilisée"/>
    <m/>
    <x v="0"/>
    <x v="3974"/>
    <s v="46/2024 J"/>
    <d v="2024-04-29T00:00:00"/>
    <s v="300321"/>
    <s v="JIL LOGISTIQUE"/>
    <n v="14000"/>
  </r>
  <r>
    <s v="Facture comptabilisée"/>
    <m/>
    <x v="0"/>
    <x v="3975"/>
    <s v="JIL PACK A"/>
    <d v="2024-04-29T00:00:00"/>
    <s v="300381"/>
    <s v="ENVASES IBERICA"/>
    <n v="333934.96950000001"/>
  </r>
  <r>
    <s v="Facture comptabilisée"/>
    <m/>
    <x v="0"/>
    <x v="3976"/>
    <s v="JIL PACK A +ECHAN"/>
    <d v="2024-04-29T00:00:00"/>
    <s v="300381"/>
    <s v="ENVASES IBERICA"/>
    <n v="314413.70400000003"/>
  </r>
  <r>
    <s v="Facture comptabilisée"/>
    <m/>
    <x v="0"/>
    <x v="3977"/>
    <s v="46/2024 J"/>
    <d v="2024-04-30T00:00:00"/>
    <s v="300043"/>
    <s v="DOUANE"/>
    <n v="6766"/>
  </r>
  <r>
    <s v="Facture comptabilisée"/>
    <m/>
    <x v="0"/>
    <x v="3978"/>
    <s v="5/1 NEUTRE"/>
    <d v="2024-04-30T00:00:00"/>
    <s v="300064"/>
    <s v="SONOCO Métal Packaging Maroc"/>
    <n v="120820"/>
  </r>
  <r>
    <s v="Facture comptabilisée"/>
    <m/>
    <x v="0"/>
    <x v="3979"/>
    <s v="45/2024 J"/>
    <d v="2024-04-30T00:00:00"/>
    <s v="300191"/>
    <s v="JTTL"/>
    <n v="15103.24"/>
  </r>
  <r>
    <s v="Facture comptabilisée"/>
    <m/>
    <x v="0"/>
    <x v="3980"/>
    <s v="46/2024 J"/>
    <d v="2024-04-30T00:00:00"/>
    <s v="300191"/>
    <s v="JTTL"/>
    <n v="4932.25"/>
  </r>
  <r>
    <s v="Facture comptabilisée"/>
    <m/>
    <x v="0"/>
    <x v="3981"/>
    <s v="47/2024 J"/>
    <d v="2024-04-30T00:00:00"/>
    <s v="300191"/>
    <s v="JTTL"/>
    <n v="3241.34"/>
  </r>
  <r>
    <s v="Facture comptabilisée"/>
    <m/>
    <x v="0"/>
    <x v="3982"/>
    <s v="48/2024 J"/>
    <d v="2024-04-30T00:00:00"/>
    <s v="300321"/>
    <s v="JIL LOGISTIQUE"/>
    <n v="23000"/>
  </r>
  <r>
    <s v="Facture comptabilisée"/>
    <m/>
    <x v="0"/>
    <x v="3983"/>
    <s v="50/2024 J"/>
    <d v="2024-04-30T00:00:00"/>
    <s v="300321"/>
    <s v="JIL LOGISTIQUE"/>
    <n v="23000"/>
  </r>
  <r>
    <s v="Facture comptabilisée"/>
    <m/>
    <x v="0"/>
    <x v="3984"/>
    <s v="COMPLEMENT"/>
    <d v="2024-05-02T00:00:00"/>
    <s v="300043"/>
    <s v="DOUANE"/>
    <n v="5003"/>
  </r>
  <r>
    <s v="Facture comptabilisée"/>
    <m/>
    <x v="0"/>
    <x v="3985"/>
    <s v="4.6"/>
    <d v="2024-05-02T00:00:00"/>
    <s v="300133"/>
    <s v="OP BOX "/>
    <n v="6916.8"/>
  </r>
  <r>
    <s v="Facture comptabilisée"/>
    <m/>
    <x v="0"/>
    <x v="3986"/>
    <s v="2.3"/>
    <d v="2024-05-02T00:00:00"/>
    <s v="300133"/>
    <s v="OP BOX "/>
    <n v="53913.599999999999"/>
  </r>
  <r>
    <s v="Facture comptabilisée"/>
    <m/>
    <x v="0"/>
    <x v="3987"/>
    <s v="50/2024 J"/>
    <d v="2024-05-03T00:00:00"/>
    <s v="300043"/>
    <s v="DOUANE"/>
    <n v="1322"/>
  </r>
  <r>
    <s v="Facture comptabilisée"/>
    <m/>
    <x v="0"/>
    <x v="3988"/>
    <s v="5/1 NEUTRE"/>
    <d v="2024-05-03T00:00:00"/>
    <s v="300064"/>
    <s v="SONOCO Métal Packaging Maroc"/>
    <n v="120820"/>
  </r>
  <r>
    <s v="Facture comptabilisée"/>
    <m/>
    <x v="0"/>
    <x v="3989"/>
    <s v="48/2024 J"/>
    <d v="2024-05-06T00:00:00"/>
    <s v="300043"/>
    <s v="DOUANE"/>
    <n v="1288"/>
  </r>
  <r>
    <s v="Facture comptabilisée"/>
    <m/>
    <x v="0"/>
    <x v="3990"/>
    <s v="JIL PACK A"/>
    <d v="2024-05-07T00:00:00"/>
    <s v="300220"/>
    <s v="ENVASES EUROPE"/>
    <n v="1136340.8759999999"/>
  </r>
  <r>
    <s v="Facture comptabilisée"/>
    <m/>
    <x v="0"/>
    <x v="3991"/>
    <s v="49/2024 J"/>
    <d v="2024-05-08T00:00:00"/>
    <s v="300043"/>
    <s v="DOUANE"/>
    <n v="1139"/>
  </r>
  <r>
    <s v="Facture comptabilisée"/>
    <m/>
    <x v="0"/>
    <x v="3992"/>
    <s v="SILVER FOOD"/>
    <d v="2024-05-08T00:00:00"/>
    <s v="300115"/>
    <s v="AUXILIAR CONSERVERA SA"/>
    <n v="114420.8208"/>
  </r>
  <r>
    <s v="Facture comptabilisée"/>
    <m/>
    <x v="0"/>
    <x v="3993"/>
    <s v="48/2024 J"/>
    <d v="2024-05-08T00:00:00"/>
    <s v="300191"/>
    <s v="JTTL"/>
    <n v="3779.25"/>
  </r>
  <r>
    <s v="Facture comptabilisée"/>
    <m/>
    <x v="0"/>
    <x v="3994"/>
    <s v="plastique"/>
    <d v="2024-05-09T00:00:00"/>
    <s v="300133"/>
    <s v="OP BOX "/>
    <n v="36395.64"/>
  </r>
  <r>
    <s v="Facture comptabilisée"/>
    <m/>
    <x v="0"/>
    <x v="3995"/>
    <s v="CONSIGN"/>
    <d v="2024-05-10T00:00:00"/>
    <s v="300064"/>
    <s v="SONOCO Métal Packaging Maroc"/>
    <n v="42000"/>
  </r>
  <r>
    <s v="Facture comptabilisée"/>
    <m/>
    <x v="0"/>
    <x v="3996"/>
    <s v="18 AM"/>
    <d v="2024-05-10T00:00:00"/>
    <s v="300133"/>
    <s v="OP BOX "/>
    <n v="19974.599999999999"/>
  </r>
  <r>
    <s v="Facture comptabilisée"/>
    <m/>
    <x v="0"/>
    <x v="3997"/>
    <d v="2024-09-01T00:00:00"/>
    <d v="2024-05-11T00:00:00"/>
    <s v="300391"/>
    <s v="COSCO SHIPING"/>
    <n v="9302.5"/>
  </r>
  <r>
    <s v="Facture comptabilisée"/>
    <m/>
    <x v="0"/>
    <x v="3998"/>
    <s v="49/2024 J"/>
    <d v="2024-05-13T00:00:00"/>
    <s v="300191"/>
    <s v="JTTL"/>
    <n v="32565.47"/>
  </r>
  <r>
    <s v="Facture comptabilisée"/>
    <m/>
    <x v="0"/>
    <x v="3999"/>
    <s v="50/2024 J"/>
    <d v="2024-05-13T00:00:00"/>
    <s v="300191"/>
    <s v="JTTL"/>
    <n v="5650.45"/>
  </r>
  <r>
    <s v="Facture comptabilisée"/>
    <m/>
    <x v="0"/>
    <x v="4000"/>
    <s v="51/2024 J"/>
    <d v="2024-05-13T00:00:00"/>
    <s v="300321"/>
    <s v="JIL LOGISTIQUE"/>
    <n v="23000"/>
  </r>
  <r>
    <s v="Facture comptabilisée"/>
    <m/>
    <x v="0"/>
    <x v="4001"/>
    <s v="RO85"/>
    <d v="2024-05-13T00:00:00"/>
    <s v="300381"/>
    <s v="ENVASES IBERICA"/>
    <n v="333934.96950000001"/>
  </r>
  <r>
    <s v="Facture comptabilisée"/>
    <m/>
    <x v="0"/>
    <x v="4002"/>
    <s v="5500 AP"/>
    <d v="2024-05-14T00:00:00"/>
    <s v="300133"/>
    <s v="OP BOX "/>
    <n v="11394"/>
  </r>
  <r>
    <s v="Facture comptabilisée"/>
    <m/>
    <x v="0"/>
    <x v="4003"/>
    <s v="RAQUETTE"/>
    <d v="2024-05-14T00:00:00"/>
    <s v="300344"/>
    <s v="PADEL NUESTRO"/>
    <n v="225374.56"/>
  </r>
  <r>
    <s v="Facture comptabilisée"/>
    <m/>
    <x v="0"/>
    <x v="4004"/>
    <s v="51/2024 J"/>
    <d v="2024-05-15T00:00:00"/>
    <s v="300043"/>
    <s v="DOUANE"/>
    <n v="1326"/>
  </r>
  <r>
    <s v="Facture comptabilisée"/>
    <m/>
    <x v="0"/>
    <x v="4005"/>
    <s v="1/4 CLUB ALU29"/>
    <d v="2024-05-15T00:00:00"/>
    <s v="300220"/>
    <s v="ENVASES EUROPE"/>
    <n v="1187746.56"/>
  </r>
  <r>
    <s v="Facture comptabilisée"/>
    <m/>
    <x v="0"/>
    <x v="4006"/>
    <s v="1/4 CLUB ALU 29"/>
    <d v="2024-05-15T00:00:00"/>
    <s v="300220"/>
    <s v="ENVASES EUROPE"/>
    <n v="1187746.56"/>
  </r>
  <r>
    <s v="Facture comptabilisée"/>
    <m/>
    <x v="0"/>
    <x v="4007"/>
    <s v="COMPLEMENT"/>
    <d v="2024-05-16T00:00:00"/>
    <s v="300043"/>
    <s v="DOUANE"/>
    <n v="4923"/>
  </r>
  <r>
    <s v="Facture comptabilisée"/>
    <m/>
    <x v="0"/>
    <x v="4008"/>
    <d v="2024-09-01T00:00:00"/>
    <d v="2024-05-16T00:00:00"/>
    <s v="300043"/>
    <s v="DOUANE"/>
    <n v="1056"/>
  </r>
  <r>
    <s v="Facture comptabilisée"/>
    <m/>
    <x v="0"/>
    <x v="4009"/>
    <s v="VMM"/>
    <d v="2024-05-16T00:00:00"/>
    <s v="300115"/>
    <s v="AUXILIAR CONSERVERA SA"/>
    <n v="376363.02"/>
  </r>
  <r>
    <s v="Facture comptabilisée"/>
    <m/>
    <x v="0"/>
    <x v="4010"/>
    <s v="JIL PACK A*SILVER"/>
    <d v="2024-05-17T00:00:00"/>
    <s v="300115"/>
    <s v="AUXILIAR CONSERVERA SA"/>
    <n v="346254.57900000003"/>
  </r>
  <r>
    <s v="Facture comptabilisée"/>
    <m/>
    <x v="0"/>
    <x v="4011"/>
    <s v="JIL PACK A"/>
    <d v="2024-05-20T00:00:00"/>
    <s v="300115"/>
    <s v="AUXILIAR CONSERVERA SA"/>
    <n v="346254.57900000003"/>
  </r>
  <r>
    <s v="Facture comptabilisée"/>
    <m/>
    <x v="0"/>
    <x v="4012"/>
    <s v="40/2024 J"/>
    <d v="2024-05-20T00:00:00"/>
    <s v="300191"/>
    <s v="JTTL"/>
    <n v="520.4"/>
  </r>
  <r>
    <s v="Facture comptabilisée"/>
    <m/>
    <x v="0"/>
    <x v="4013"/>
    <s v="51/2024 J"/>
    <d v="2024-05-20T00:00:00"/>
    <s v="300191"/>
    <s v="JTTL"/>
    <n v="3241.34"/>
  </r>
  <r>
    <s v="Facture comptabilisée"/>
    <m/>
    <x v="0"/>
    <x v="4014"/>
    <s v="54/2024 J"/>
    <d v="2024-05-21T00:00:00"/>
    <s v="300043"/>
    <s v="DOUANE"/>
    <n v="1337"/>
  </r>
  <r>
    <s v="Facture comptabilisée"/>
    <m/>
    <x v="0"/>
    <x v="4015"/>
    <s v="53/2024 J"/>
    <d v="2024-05-21T00:00:00"/>
    <s v="300043"/>
    <s v="DOUANE"/>
    <n v="1332"/>
  </r>
  <r>
    <s v="Facture comptabilisée"/>
    <m/>
    <x v="0"/>
    <x v="4016"/>
    <d v="2024-09-01T00:00:00"/>
    <d v="2024-05-21T00:00:00"/>
    <s v="300101"/>
    <s v="ASMAE FORWARDING EXPRESS"/>
    <n v="4460"/>
  </r>
  <r>
    <s v="Facture comptabilisée"/>
    <m/>
    <x v="0"/>
    <x v="4017"/>
    <s v="52/2024 J"/>
    <d v="2024-05-21T00:00:00"/>
    <s v="300191"/>
    <s v="JTTL"/>
    <n v="36075.440000000002"/>
  </r>
  <r>
    <s v="Facture comptabilisée"/>
    <m/>
    <x v="0"/>
    <x v="4018"/>
    <s v="JIL PACK A"/>
    <d v="2024-05-22T00:00:00"/>
    <s v="300115"/>
    <s v="AUXILIAR CONSERVERA SA"/>
    <n v="346254.57900000003"/>
  </r>
  <r>
    <s v="Facture comptabilisée"/>
    <m/>
    <x v="0"/>
    <x v="4019"/>
    <s v="JIL PACK A"/>
    <d v="2024-05-22T00:00:00"/>
    <s v="300115"/>
    <s v="AUXILIAR CONSERVERA SA"/>
    <n v="346254.57900000003"/>
  </r>
  <r>
    <s v="Facture comptabilisée"/>
    <m/>
    <x v="0"/>
    <x v="4020"/>
    <s v="2.3"/>
    <d v="2024-05-22T00:00:00"/>
    <s v="300133"/>
    <s v="OP BOX "/>
    <n v="11232"/>
  </r>
  <r>
    <s v="Facture comptabilisée"/>
    <m/>
    <x v="0"/>
    <x v="4021"/>
    <s v="53/2024 J"/>
    <d v="2024-05-22T00:00:00"/>
    <s v="300321"/>
    <s v="JIL LOGISTIQUE"/>
    <n v="18000"/>
  </r>
  <r>
    <s v="Facture comptabilisée"/>
    <m/>
    <x v="0"/>
    <x v="4022"/>
    <s v="53/2024 J"/>
    <d v="2024-05-23T00:00:00"/>
    <s v="300191"/>
    <s v="JTTL"/>
    <n v="3265.04"/>
  </r>
  <r>
    <s v="Facture comptabilisée"/>
    <m/>
    <x v="0"/>
    <x v="4023"/>
    <s v="54/2024 J"/>
    <d v="2024-05-23T00:00:00"/>
    <s v="300191"/>
    <s v="JTTL"/>
    <n v="3288.74"/>
  </r>
  <r>
    <s v="Facture comptabilisée"/>
    <m/>
    <x v="0"/>
    <x v="4024"/>
    <s v="56/2024 J"/>
    <d v="2024-05-24T00:00:00"/>
    <s v="300043"/>
    <s v="DOUANE"/>
    <n v="1333"/>
  </r>
  <r>
    <s v="Facture comptabilisée"/>
    <m/>
    <x v="0"/>
    <x v="4025"/>
    <s v="55/2024 J"/>
    <d v="2024-05-24T00:00:00"/>
    <s v="300043"/>
    <s v="DOUANE"/>
    <n v="1333"/>
  </r>
  <r>
    <s v="Facture comptabilisée"/>
    <m/>
    <x v="0"/>
    <x v="4026"/>
    <s v="CHERIF"/>
    <d v="2024-05-24T00:00:00"/>
    <s v="300064"/>
    <s v="SONOCO Métal Packaging Maroc"/>
    <n v="119854"/>
  </r>
  <r>
    <s v="Facture comptabilisée"/>
    <m/>
    <x v="0"/>
    <x v="4027"/>
    <s v="65/2024 J"/>
    <d v="2024-05-24T00:00:00"/>
    <s v="300364"/>
    <s v="CMA CGM MAROC"/>
    <n v="3522.6"/>
  </r>
  <r>
    <s v="Facture comptabilisée"/>
    <m/>
    <x v="0"/>
    <x v="4028"/>
    <s v="54/2024 J"/>
    <d v="2024-05-25T00:00:00"/>
    <s v="300321"/>
    <s v="JIL LOGISTIQUE"/>
    <n v="19000"/>
  </r>
  <r>
    <s v="Facture comptabilisée"/>
    <m/>
    <x v="0"/>
    <x v="4029"/>
    <s v="JIL PACK A"/>
    <d v="2024-05-27T00:00:00"/>
    <s v="300115"/>
    <s v="AUXILIAR CONSERVERA SA"/>
    <n v="345836.40299999999"/>
  </r>
  <r>
    <s v="Facture comptabilisée"/>
    <m/>
    <x v="0"/>
    <x v="4030"/>
    <s v="JIL PACK A"/>
    <d v="2024-05-27T00:00:00"/>
    <s v="300115"/>
    <s v="AUXILIAR CONSERVERA SA"/>
    <n v="346254.57900000003"/>
  </r>
  <r>
    <s v="Facture comptabilisée"/>
    <m/>
    <x v="0"/>
    <x v="4031"/>
    <s v="JIL PACK A"/>
    <d v="2024-05-27T00:00:00"/>
    <s v="300115"/>
    <s v="AUXILIAR CONSERVERA SA"/>
    <n v="346254.57900000003"/>
  </r>
  <r>
    <s v="Facture comptabilisée"/>
    <m/>
    <x v="0"/>
    <x v="4032"/>
    <s v="20L"/>
    <d v="2024-05-27T00:00:00"/>
    <s v="300133"/>
    <s v="OP BOX "/>
    <n v="32001.75"/>
  </r>
  <r>
    <s v="Facture comptabilisée"/>
    <m/>
    <x v="0"/>
    <x v="4033"/>
    <s v="2300ML"/>
    <d v="2024-05-27T00:00:00"/>
    <s v="300133"/>
    <s v="OP BOX "/>
    <n v="11232"/>
  </r>
  <r>
    <s v="Facture comptabilisée"/>
    <m/>
    <x v="0"/>
    <x v="4034"/>
    <s v="20L"/>
    <d v="2024-05-27T00:00:00"/>
    <s v="300133"/>
    <s v="OP BOX "/>
    <n v="19201.05"/>
  </r>
  <r>
    <s v="Facture comptabilisée"/>
    <m/>
    <x v="0"/>
    <x v="4035"/>
    <s v="600ML"/>
    <d v="2024-05-27T00:00:00"/>
    <s v="300133"/>
    <s v="OP BOX "/>
    <n v="47685"/>
  </r>
  <r>
    <s v="Facture comptabilisée"/>
    <m/>
    <x v="0"/>
    <x v="4036"/>
    <s v="55/2024 J"/>
    <d v="2024-05-27T00:00:00"/>
    <s v="300191"/>
    <s v="JTTL"/>
    <n v="3265.04"/>
  </r>
  <r>
    <s v="Facture comptabilisée"/>
    <m/>
    <x v="0"/>
    <x v="4037"/>
    <s v="56/2024 J"/>
    <d v="2024-05-27T00:00:00"/>
    <s v="300191"/>
    <s v="JTTL"/>
    <n v="3241.34"/>
  </r>
  <r>
    <s v="Facture comptabilisée"/>
    <m/>
    <x v="0"/>
    <x v="4038"/>
    <s v="EXTRA DEMURRAGE"/>
    <d v="2024-05-27T00:00:00"/>
    <s v="300220"/>
    <s v="ENVASES EUROPE"/>
    <n v="28599.45"/>
  </r>
  <r>
    <s v="Facture comptabilisée"/>
    <m/>
    <x v="0"/>
    <x v="4039"/>
    <s v="56/2024 J"/>
    <d v="2024-05-27T00:00:00"/>
    <s v="300321"/>
    <s v="JIL LOGISTIQUE"/>
    <n v="18000"/>
  </r>
  <r>
    <s v="Facture comptabilisée"/>
    <m/>
    <x v="0"/>
    <x v="4040"/>
    <s v="55/2024 J"/>
    <d v="2024-05-27T00:00:00"/>
    <s v="300321"/>
    <s v="JIL LOGISTIQUE"/>
    <n v="18000"/>
  </r>
  <r>
    <s v="Facture comptabilisée"/>
    <m/>
    <x v="0"/>
    <x v="4041"/>
    <s v="JIL PACK A"/>
    <d v="2024-05-27T00:00:00"/>
    <s v="300381"/>
    <s v="ENVASES IBERICA"/>
    <n v="333934.96950000001"/>
  </r>
  <r>
    <s v="Facture comptabilisée"/>
    <m/>
    <x v="0"/>
    <x v="4042"/>
    <s v="COMPLEMENT"/>
    <d v="2024-05-28T00:00:00"/>
    <s v="300043"/>
    <s v="DOUANE"/>
    <n v="4695"/>
  </r>
  <r>
    <s v="Facture comptabilisée"/>
    <m/>
    <x v="0"/>
    <x v="4043"/>
    <s v="58/2024 J"/>
    <d v="2024-05-28T00:00:00"/>
    <s v="300043"/>
    <s v="DOUANE"/>
    <n v="1332"/>
  </r>
  <r>
    <s v="Facture comptabilisée"/>
    <m/>
    <x v="0"/>
    <x v="4044"/>
    <s v="300ML"/>
    <d v="2024-05-28T00:00:00"/>
    <s v="300373"/>
    <s v="MIDDLE EAST GLASS CONTAINERS-SADAT CO.S.A.E"/>
    <n v="214141.22399999999"/>
  </r>
  <r>
    <s v="Facture comptabilisée"/>
    <m/>
    <x v="0"/>
    <x v="4045"/>
    <s v="60/2024 J"/>
    <d v="2024-05-29T00:00:00"/>
    <s v="300043"/>
    <s v="DOUANE"/>
    <n v="1338"/>
  </r>
  <r>
    <s v="Facture comptabilisée"/>
    <m/>
    <x v="0"/>
    <x v="4046"/>
    <s v="57/2024 J"/>
    <d v="2024-05-29T00:00:00"/>
    <s v="300043"/>
    <s v="DOUANE"/>
    <n v="1333"/>
  </r>
  <r>
    <s v="Facture comptabilisée"/>
    <m/>
    <x v="0"/>
    <x v="4047"/>
    <s v="59/2024 J"/>
    <d v="2024-05-29T00:00:00"/>
    <s v="300043"/>
    <s v="DOUANE"/>
    <n v="1313"/>
  </r>
  <r>
    <s v="Facture comptabilisée"/>
    <m/>
    <x v="0"/>
    <x v="4048"/>
    <s v="2.3"/>
    <d v="2024-05-29T00:00:00"/>
    <s v="300133"/>
    <s v="OP BOX "/>
    <n v="13478.4"/>
  </r>
  <r>
    <s v="Facture comptabilisée"/>
    <m/>
    <x v="0"/>
    <x v="4049"/>
    <s v="1/4 CLUB FB 29"/>
    <d v="2024-05-29T00:00:00"/>
    <s v="300220"/>
    <s v="ENVASES EUROPE"/>
    <n v="795416.38989999995"/>
  </r>
  <r>
    <s v="Facture comptabilisée"/>
    <m/>
    <x v="0"/>
    <x v="4050"/>
    <s v="370ML"/>
    <d v="2024-05-29T00:00:00"/>
    <s v="300373"/>
    <s v="MIDDLE EAST GLASS CONTAINERS-SADAT CO.S.A.E"/>
    <n v="186829.51759999999"/>
  </r>
  <r>
    <s v="Facture comptabilisée"/>
    <m/>
    <x v="0"/>
    <x v="4051"/>
    <s v="RO85 NEUTRE"/>
    <d v="2024-05-29T00:00:00"/>
    <s v="300381"/>
    <s v="ENVASES IBERICA"/>
    <n v="294633.25650000002"/>
  </r>
  <r>
    <s v="Facture comptabilisée"/>
    <m/>
    <x v="0"/>
    <x v="4052"/>
    <s v="COMPLEMENT"/>
    <d v="2024-05-30T00:00:00"/>
    <s v="300043"/>
    <s v="DOUANE"/>
    <n v="4437"/>
  </r>
  <r>
    <s v="Facture comptabilisée"/>
    <m/>
    <x v="0"/>
    <x v="4053"/>
    <d v="2024-10-01T00:00:00"/>
    <d v="2024-05-30T00:00:00"/>
    <s v="300043"/>
    <s v="DOUANE"/>
    <n v="1397"/>
  </r>
  <r>
    <s v="Facture comptabilisée"/>
    <m/>
    <x v="0"/>
    <x v="4054"/>
    <s v="60/2024 J"/>
    <d v="2024-05-30T00:00:00"/>
    <s v="300321"/>
    <s v="JIL LOGISTIQUE"/>
    <n v="19000"/>
  </r>
  <r>
    <s v="Facture comptabilisée"/>
    <m/>
    <x v="0"/>
    <x v="4055"/>
    <s v="58/2024 J"/>
    <d v="2024-05-30T00:00:00"/>
    <s v="300321"/>
    <s v="JIL LOGISTIQUE"/>
    <n v="18000"/>
  </r>
  <r>
    <s v="Facture comptabilisée"/>
    <m/>
    <x v="0"/>
    <x v="4056"/>
    <s v="57/2024 J"/>
    <d v="2024-05-30T00:00:00"/>
    <s v="300321"/>
    <s v="JIL LOGISTIQUE"/>
    <n v="18000"/>
  </r>
  <r>
    <s v="Facture comptabilisée"/>
    <m/>
    <x v="0"/>
    <x v="4057"/>
    <s v="59/2024 J"/>
    <d v="2024-05-30T00:00:00"/>
    <s v="300321"/>
    <s v="JIL LOGISTIQUE"/>
    <n v="21000"/>
  </r>
  <r>
    <s v="Facture comptabilisée"/>
    <m/>
    <x v="0"/>
    <x v="4058"/>
    <s v="65/2024 J"/>
    <d v="2024-05-31T00:00:00"/>
    <s v="300043"/>
    <s v="DOUANE"/>
    <n v="3882"/>
  </r>
  <r>
    <s v="Facture comptabilisée"/>
    <m/>
    <x v="0"/>
    <x v="4059"/>
    <d v="2024-10-01T00:00:00"/>
    <d v="2024-05-31T00:00:00"/>
    <s v="300101"/>
    <s v="ASMAE FORWARDING EXPRESS"/>
    <n v="6625.38"/>
  </r>
  <r>
    <s v="Facture comptabilisée"/>
    <m/>
    <x v="0"/>
    <x v="4060"/>
    <s v="57/2024 J"/>
    <d v="2024-05-31T00:00:00"/>
    <s v="300191"/>
    <s v="JTTL"/>
    <n v="3265.04"/>
  </r>
  <r>
    <s v="Facture comptabilisée"/>
    <m/>
    <x v="0"/>
    <x v="4061"/>
    <s v="58/2024 J"/>
    <d v="2024-05-31T00:00:00"/>
    <s v="300191"/>
    <s v="JTTL"/>
    <n v="3265.04"/>
  </r>
  <r>
    <s v="Facture comptabilisée"/>
    <m/>
    <x v="0"/>
    <x v="4062"/>
    <s v="59/2024 J"/>
    <d v="2024-05-31T00:00:00"/>
    <s v="300191"/>
    <s v="JTTL"/>
    <n v="3265.04"/>
  </r>
  <r>
    <s v="Facture comptabilisée"/>
    <m/>
    <x v="0"/>
    <x v="4063"/>
    <s v="60/2024 J"/>
    <d v="2024-05-31T00:00:00"/>
    <s v="300191"/>
    <s v="JTTL"/>
    <n v="3288.74"/>
  </r>
  <r>
    <s v="Facture comptabilisée"/>
    <m/>
    <x v="0"/>
    <x v="4064"/>
    <s v="660ML"/>
    <d v="2024-05-31T00:00:00"/>
    <s v="300375"/>
    <s v="BASTURK CAM SANAYI VE TICARET"/>
    <n v="183686.62179999999"/>
  </r>
  <r>
    <s v="Facture comptabilisée"/>
    <m/>
    <x v="0"/>
    <x v="4065"/>
    <s v="720ML"/>
    <d v="2024-05-31T00:00:00"/>
    <s v="300397"/>
    <s v="SISECAM DIS TICARET A.S"/>
    <n v="144970.05600000001"/>
  </r>
  <r>
    <s v="Facture comptabilisée"/>
    <m/>
    <x v="0"/>
    <x v="4066"/>
    <s v="2.3"/>
    <d v="2024-06-01T00:00:00"/>
    <s v="300133"/>
    <s v="OP BOX "/>
    <n v="24249.599999999999"/>
  </r>
  <r>
    <s v="Facture comptabilisée"/>
    <m/>
    <x v="0"/>
    <x v="4067"/>
    <s v="2.3"/>
    <d v="2024-06-01T00:00:00"/>
    <s v="300133"/>
    <s v="OP BOX "/>
    <n v="4492.8"/>
  </r>
  <r>
    <s v="Facture comptabilisée"/>
    <m/>
    <x v="0"/>
    <x v="4068"/>
    <s v="2300"/>
    <d v="2024-06-04T00:00:00"/>
    <s v="300133"/>
    <s v="OP BOX "/>
    <n v="22464"/>
  </r>
  <r>
    <s v="Facture comptabilisée"/>
    <m/>
    <x v="0"/>
    <x v="4069"/>
    <s v="01/2024 G"/>
    <d v="2024-06-04T00:00:00"/>
    <s v="300321"/>
    <s v="JIL LOGISTIQUE"/>
    <n v="23000"/>
  </r>
  <r>
    <s v="Facture comptabilisée"/>
    <m/>
    <x v="0"/>
    <x v="4070"/>
    <s v="JIL PACK"/>
    <d v="2024-06-04T00:00:00"/>
    <s v="300382"/>
    <s v="BA GLASS"/>
    <n v="153847.74239999999"/>
  </r>
  <r>
    <s v="Facture comptabilisée"/>
    <m/>
    <x v="0"/>
    <x v="4071"/>
    <s v="COMPLEMENT"/>
    <d v="2024-06-06T00:00:00"/>
    <s v="300043"/>
    <s v="DOUANE"/>
    <n v="3797"/>
  </r>
  <r>
    <s v="Facture comptabilisée"/>
    <m/>
    <x v="0"/>
    <x v="4072"/>
    <s v="1/4 CLUB 22"/>
    <d v="2024-06-06T00:00:00"/>
    <s v="300220"/>
    <s v="ENVASES EUROPE"/>
    <n v="1084960.8"/>
  </r>
  <r>
    <s v="Facture comptabilisée"/>
    <m/>
    <x v="0"/>
    <x v="4073"/>
    <s v="61/2024 J"/>
    <d v="2024-06-06T00:00:00"/>
    <s v="300321"/>
    <s v="JIL LOGISTIQUE"/>
    <n v="23500"/>
  </r>
  <r>
    <s v="Facture comptabilisée"/>
    <m/>
    <x v="0"/>
    <x v="4074"/>
    <s v="SILVER FOOD*JIL P"/>
    <d v="2024-06-06T00:00:00"/>
    <s v="300381"/>
    <s v="ENVASES IBERICA"/>
    <n v="333934.96950000001"/>
  </r>
  <r>
    <s v="Facture comptabilisée"/>
    <m/>
    <x v="0"/>
    <x v="4075"/>
    <s v="22L"/>
    <d v="2024-06-07T00:00:00"/>
    <s v="300356"/>
    <s v="MASSILY PORTUGAL"/>
    <n v="223003.77"/>
  </r>
  <r>
    <s v="Facture comptabilisée"/>
    <m/>
    <x v="0"/>
    <x v="4076"/>
    <s v="61/2024 J"/>
    <d v="2024-06-08T00:00:00"/>
    <s v="300043"/>
    <s v="DOUANE"/>
    <n v="1320"/>
  </r>
  <r>
    <s v="Facture comptabilisée"/>
    <m/>
    <x v="0"/>
    <x v="4077"/>
    <s v="2.3 ML"/>
    <d v="2024-06-10T00:00:00"/>
    <s v="300133"/>
    <s v="OP BOX "/>
    <n v="40435.199999999997"/>
  </r>
  <r>
    <s v="Facture comptabilisée"/>
    <m/>
    <x v="0"/>
    <x v="4078"/>
    <s v="3.8 AM"/>
    <d v="2024-06-10T00:00:00"/>
    <s v="300133"/>
    <s v="OP BOX "/>
    <n v="31350"/>
  </r>
  <r>
    <s v="Facture comptabilisée"/>
    <m/>
    <x v="0"/>
    <x v="4079"/>
    <s v="63/2024 J"/>
    <d v="2024-06-10T00:00:00"/>
    <s v="300321"/>
    <s v="JIL LOGISTIQUE"/>
    <n v="25000"/>
  </r>
  <r>
    <s v="Facture comptabilisée"/>
    <m/>
    <x v="0"/>
    <x v="4080"/>
    <s v="64/2024"/>
    <d v="2024-06-10T00:00:00"/>
    <s v="300321"/>
    <s v="JIL LOGISTIQUE"/>
    <n v="25000"/>
  </r>
  <r>
    <s v="Facture comptabilisée"/>
    <m/>
    <x v="0"/>
    <x v="4081"/>
    <s v="JIL PACK A +ECHAN"/>
    <d v="2024-06-10T00:00:00"/>
    <s v="300381"/>
    <s v="ENVASES IBERICA"/>
    <n v="326409.78149999998"/>
  </r>
  <r>
    <s v="Facture comptabilisée"/>
    <m/>
    <x v="0"/>
    <x v="4082"/>
    <s v="JIL PACK A"/>
    <d v="2024-06-10T00:00:00"/>
    <s v="300381"/>
    <s v="ENVASES IBERICA"/>
    <n v="333934.96950000001"/>
  </r>
  <r>
    <s v="Facture comptabilisée"/>
    <m/>
    <x v="0"/>
    <x v="4083"/>
    <s v="JIL PACK A"/>
    <d v="2024-06-11T00:00:00"/>
    <s v="300115"/>
    <s v="AUXILIAR CONSERVERA SA"/>
    <n v="311385.12900000002"/>
  </r>
  <r>
    <s v="Facture comptabilisée"/>
    <m/>
    <x v="0"/>
    <x v="4084"/>
    <s v="61/2024 J"/>
    <d v="2024-06-11T00:00:00"/>
    <s v="300191"/>
    <s v="JTTL"/>
    <n v="3312.44"/>
  </r>
  <r>
    <s v="Facture comptabilisée"/>
    <m/>
    <x v="0"/>
    <x v="4085"/>
    <s v="63/2024 J"/>
    <d v="2024-06-12T00:00:00"/>
    <s v="300043"/>
    <s v="DOUANE"/>
    <n v="1314"/>
  </r>
  <r>
    <s v="Facture comptabilisée"/>
    <m/>
    <x v="0"/>
    <x v="4086"/>
    <s v="COMPLEMENT"/>
    <d v="2024-06-13T00:00:00"/>
    <s v="300043"/>
    <s v="DOUANE"/>
    <n v="4647"/>
  </r>
  <r>
    <s v="Facture comptabilisée"/>
    <m/>
    <x v="0"/>
    <x v="4087"/>
    <s v="64/2024 J"/>
    <d v="2024-06-13T00:00:00"/>
    <s v="300043"/>
    <s v="DOUANE"/>
    <n v="1295"/>
  </r>
  <r>
    <s v="Facture comptabilisée"/>
    <m/>
    <x v="0"/>
    <x v="4088"/>
    <s v="66/2024 J"/>
    <d v="2024-06-13T00:00:00"/>
    <s v="300043"/>
    <s v="DOUANE"/>
    <n v="14121"/>
  </r>
  <r>
    <s v="Facture comptabilisée"/>
    <m/>
    <x v="0"/>
    <x v="4089"/>
    <s v="1/4 CLUB METAL 29"/>
    <d v="2024-06-13T00:00:00"/>
    <s v="300220"/>
    <s v="ENVASES EUROPE"/>
    <n v="785832.23400000005"/>
  </r>
  <r>
    <s v="Facture comptabilisée"/>
    <m/>
    <x v="0"/>
    <x v="4090"/>
    <s v="62/2024 J"/>
    <d v="2024-06-14T00:00:00"/>
    <s v="300043"/>
    <s v="DOUANE"/>
    <n v="1217"/>
  </r>
  <r>
    <s v="Facture comptabilisée"/>
    <m/>
    <x v="0"/>
    <x v="4091"/>
    <s v="03/2024 GT"/>
    <d v="2024-06-14T00:00:00"/>
    <s v="300043"/>
    <s v="DOUANE"/>
    <n v="800"/>
  </r>
  <r>
    <s v="Facture comptabilisée"/>
    <m/>
    <x v="0"/>
    <x v="4092"/>
    <s v="2300"/>
    <d v="2024-06-14T00:00:00"/>
    <s v="300133"/>
    <s v="OP BOX "/>
    <n v="42681.599999999999"/>
  </r>
  <r>
    <s v="Facture comptabilisée"/>
    <m/>
    <x v="0"/>
    <x v="4093"/>
    <s v="1200"/>
    <d v="2024-06-14T00:00:00"/>
    <s v="300133"/>
    <s v="OP BOX "/>
    <n v="7432.8"/>
  </r>
  <r>
    <s v="Facture comptabilisée"/>
    <m/>
    <x v="0"/>
    <x v="4094"/>
    <m/>
    <d v="2024-06-14T00:00:00"/>
    <s v="300398"/>
    <s v="EXPERT FREIGHT"/>
    <n v="27681.02"/>
  </r>
  <r>
    <s v="Facture comptabilisée"/>
    <m/>
    <x v="0"/>
    <x v="4095"/>
    <s v="62/2024 J"/>
    <d v="2024-06-15T00:00:00"/>
    <s v="300321"/>
    <s v="JIL LOGISTIQUE"/>
    <n v="19000"/>
  </r>
  <r>
    <s v="Facture comptabilisée"/>
    <m/>
    <x v="0"/>
    <x v="4096"/>
    <s v="VMM"/>
    <d v="2024-06-19T00:00:00"/>
    <s v="300115"/>
    <s v="AUXILIAR CONSERVERA SA"/>
    <n v="139645.44"/>
  </r>
  <r>
    <s v="Facture comptabilisée"/>
    <m/>
    <x v="0"/>
    <x v="4097"/>
    <s v="62/2024 J"/>
    <d v="2024-06-19T00:00:00"/>
    <s v="300191"/>
    <s v="JTTL"/>
    <n v="3312.44"/>
  </r>
  <r>
    <s v="Facture comptabilisée"/>
    <m/>
    <x v="0"/>
    <x v="4098"/>
    <s v="63/2024 J"/>
    <d v="2024-06-19T00:00:00"/>
    <s v="300191"/>
    <s v="JTTL"/>
    <n v="3312.44"/>
  </r>
  <r>
    <s v="Facture comptabilisée"/>
    <m/>
    <x v="0"/>
    <x v="4099"/>
    <s v="64/2024 J"/>
    <d v="2024-06-19T00:00:00"/>
    <s v="300191"/>
    <s v="JTTL"/>
    <n v="3312.44"/>
  </r>
  <r>
    <s v="Facture comptabilisée"/>
    <m/>
    <x v="0"/>
    <x v="4100"/>
    <m/>
    <d v="2024-06-20T00:00:00"/>
    <s v="300340"/>
    <s v="MSC MAROC"/>
    <n v="6248"/>
  </r>
  <r>
    <s v="Facture comptabilisée"/>
    <m/>
    <x v="0"/>
    <x v="4101"/>
    <s v="72/2024 J"/>
    <d v="2024-06-21T00:00:00"/>
    <s v="300043"/>
    <s v="DOUANE"/>
    <n v="1193"/>
  </r>
  <r>
    <s v="Facture comptabilisée"/>
    <m/>
    <x v="0"/>
    <x v="4102"/>
    <d v="2024-11-01T00:00:00"/>
    <d v="2024-06-21T00:00:00"/>
    <s v="300043"/>
    <s v="DOUANE"/>
    <n v="617"/>
  </r>
  <r>
    <s v="Facture comptabilisée"/>
    <m/>
    <x v="0"/>
    <x v="4103"/>
    <s v="VMM"/>
    <d v="2024-06-21T00:00:00"/>
    <s v="300115"/>
    <s v="AUXILIAR CONSERVERA SA"/>
    <n v="139645.44"/>
  </r>
  <r>
    <s v="Facture comptabilisée"/>
    <m/>
    <x v="0"/>
    <x v="4104"/>
    <s v="VMM"/>
    <d v="2024-06-21T00:00:00"/>
    <s v="300115"/>
    <s v="AUXILIAR CONSERVERA SA"/>
    <n v="139645.44"/>
  </r>
  <r>
    <s v="Facture comptabilisée"/>
    <m/>
    <x v="0"/>
    <x v="4105"/>
    <s v="02/2024 GT"/>
    <d v="2024-06-21T00:00:00"/>
    <s v="300391"/>
    <s v="COSCO SHIPING"/>
    <n v="9300.7000000000007"/>
  </r>
  <r>
    <s v="Facture comptabilisée"/>
    <m/>
    <x v="0"/>
    <x v="4106"/>
    <d v="2024-11-01T00:00:00"/>
    <d v="2024-06-24T00:00:00"/>
    <s v="300101"/>
    <s v="ASMAE FORWARDING EXPRESS"/>
    <n v="3197.34"/>
  </r>
  <r>
    <s v="Facture comptabilisée"/>
    <m/>
    <x v="0"/>
    <x v="4107"/>
    <s v="67/2024 J"/>
    <d v="2024-06-24T00:00:00"/>
    <s v="300118"/>
    <s v="ARKAS MAROC"/>
    <n v="9681.5"/>
  </r>
  <r>
    <s v="Facture comptabilisée"/>
    <m/>
    <x v="0"/>
    <x v="4108"/>
    <s v="65/2024 J"/>
    <d v="2024-06-24T00:00:00"/>
    <s v="300191"/>
    <s v="JTTL"/>
    <n v="5482"/>
  </r>
  <r>
    <s v="Facture comptabilisée"/>
    <m/>
    <x v="0"/>
    <x v="4109"/>
    <s v="212 ATS"/>
    <d v="2024-06-24T00:00:00"/>
    <s v="300376"/>
    <s v="KANDIL"/>
    <n v="249235.50959999999"/>
  </r>
  <r>
    <s v="Facture comptabilisée"/>
    <m/>
    <x v="0"/>
    <x v="4110"/>
    <s v="COMPLEMENT"/>
    <d v="2024-06-25T00:00:00"/>
    <s v="300043"/>
    <s v="DOUANE"/>
    <n v="4910"/>
  </r>
  <r>
    <s v="Facture comptabilisée"/>
    <m/>
    <x v="0"/>
    <x v="4111"/>
    <d v="2024-12-01T00:00:00"/>
    <d v="2024-06-25T00:00:00"/>
    <s v="300043"/>
    <s v="DOUANE"/>
    <n v="617"/>
  </r>
  <r>
    <s v="Facture comptabilisée"/>
    <m/>
    <x v="0"/>
    <x v="4112"/>
    <d v="2024-12-01T00:00:00"/>
    <d v="2024-06-26T00:00:00"/>
    <s v="300101"/>
    <s v="ASMAE FORWARDING EXPRESS"/>
    <n v="3368.74"/>
  </r>
  <r>
    <s v="Facture comptabilisée"/>
    <m/>
    <x v="0"/>
    <x v="4113"/>
    <s v="03/2024 GT"/>
    <d v="2024-06-26T00:00:00"/>
    <s v="300400"/>
    <s v="GAMMA TRANSIT"/>
    <n v="5454.16"/>
  </r>
  <r>
    <s v="Facture comptabilisée"/>
    <m/>
    <x v="0"/>
    <x v="4114"/>
    <s v="13/2024"/>
    <d v="2024-06-27T00:00:00"/>
    <s v="300043"/>
    <s v="DOUANE"/>
    <n v="616"/>
  </r>
  <r>
    <s v="Facture comptabilisée"/>
    <m/>
    <x v="0"/>
    <x v="4115"/>
    <s v="67/2024 J"/>
    <d v="2024-06-27T00:00:00"/>
    <s v="300043"/>
    <s v="DOUANE"/>
    <n v="391"/>
  </r>
  <r>
    <s v="Facture comptabilisée"/>
    <m/>
    <x v="0"/>
    <x v="4116"/>
    <s v="VMM"/>
    <d v="2024-06-27T00:00:00"/>
    <s v="300115"/>
    <s v="AUXILIAR CONSERVERA SA"/>
    <n v="139645.44"/>
  </r>
  <r>
    <s v="Facture comptabilisée"/>
    <m/>
    <x v="0"/>
    <x v="4117"/>
    <s v="66/2024 J"/>
    <d v="2024-06-27T00:00:00"/>
    <s v="300191"/>
    <s v="JTTL"/>
    <n v="5095.2299999999996"/>
  </r>
  <r>
    <s v="Facture comptabilisée"/>
    <m/>
    <x v="0"/>
    <x v="4118"/>
    <s v="68/2024 J"/>
    <d v="2024-06-28T00:00:00"/>
    <s v="300364"/>
    <s v="CMA CGM MAROC"/>
    <n v="8571.4"/>
  </r>
  <r>
    <s v="Facture comptabilisée"/>
    <m/>
    <x v="0"/>
    <x v="4119"/>
    <s v="71/2024 J"/>
    <d v="2024-06-29T00:00:00"/>
    <s v="300043"/>
    <s v="DOUANE"/>
    <n v="2738"/>
  </r>
  <r>
    <s v="Facture comptabilisée"/>
    <m/>
    <x v="0"/>
    <x v="4120"/>
    <s v="14/2024"/>
    <d v="2024-06-29T00:00:00"/>
    <s v="300043"/>
    <s v="DOUANE"/>
    <n v="617"/>
  </r>
  <r>
    <s v="Facture comptabilisée"/>
    <m/>
    <x v="0"/>
    <x v="4121"/>
    <s v="5/1 SAFA"/>
    <d v="2024-06-29T00:00:00"/>
    <s v="300064"/>
    <s v="SONOCO Métal Packaging Maroc"/>
    <n v="107036"/>
  </r>
  <r>
    <s v="Facture comptabilisée"/>
    <m/>
    <x v="0"/>
    <x v="4122"/>
    <s v="67/2024 J"/>
    <d v="2024-06-29T00:00:00"/>
    <s v="300191"/>
    <s v="JTTL"/>
    <n v="4236.5200000000004"/>
  </r>
  <r>
    <s v="Facture comptabilisée"/>
    <m/>
    <x v="0"/>
    <x v="4123"/>
    <s v="300ML"/>
    <d v="2024-06-29T00:00:00"/>
    <s v="300373"/>
    <s v="MIDDLE EAST GLASS CONTAINERS-SADAT CO.S.A.E"/>
    <n v="214141.22399999999"/>
  </r>
  <r>
    <s v="Facture comptabilisée"/>
    <m/>
    <x v="0"/>
    <x v="4124"/>
    <s v="COMPLEMENT"/>
    <d v="2024-07-01T00:00:00"/>
    <s v="300043"/>
    <s v="DOUANE"/>
    <n v="4902"/>
  </r>
  <r>
    <s v="Facture comptabilisée"/>
    <m/>
    <x v="0"/>
    <x v="4125"/>
    <s v="13/2024"/>
    <d v="2024-07-01T00:00:00"/>
    <s v="300101"/>
    <s v="ASMAE FORWARDING EXPRESS"/>
    <n v="4225.75"/>
  </r>
  <r>
    <s v="Facture comptabilisée"/>
    <m/>
    <x v="0"/>
    <x v="4126"/>
    <m/>
    <d v="2024-07-01T00:00:00"/>
    <s v="300398"/>
    <s v="EXPERT FREIGHT"/>
    <n v="20648.29"/>
  </r>
  <r>
    <s v="Facture comptabilisée"/>
    <m/>
    <x v="0"/>
    <x v="4127"/>
    <s v="73/2024 J"/>
    <d v="2024-07-02T00:00:00"/>
    <s v="300043"/>
    <s v="DOUANE"/>
    <n v="7870"/>
  </r>
  <r>
    <s v="Facture comptabilisée"/>
    <m/>
    <x v="0"/>
    <x v="4128"/>
    <s v="15/2024 "/>
    <d v="2024-07-02T00:00:00"/>
    <s v="300043"/>
    <s v="DOUANE"/>
    <n v="1071"/>
  </r>
  <r>
    <s v="Facture comptabilisée"/>
    <m/>
    <x v="0"/>
    <x v="4129"/>
    <s v="68/2024 J"/>
    <d v="2024-07-02T00:00:00"/>
    <s v="300043"/>
    <s v="DOUANE"/>
    <n v="390"/>
  </r>
  <r>
    <s v="Facture comptabilisée"/>
    <m/>
    <x v="0"/>
    <x v="4130"/>
    <s v="14/2024"/>
    <d v="2024-07-02T00:00:00"/>
    <s v="300101"/>
    <s v="ASMAE FORWARDING EXPRESS"/>
    <n v="3025.94"/>
  </r>
  <r>
    <s v="Facture comptabilisée"/>
    <m/>
    <x v="0"/>
    <x v="4131"/>
    <s v="02/2024 GT"/>
    <d v="2024-07-03T00:00:00"/>
    <s v="300043"/>
    <s v="DOUANE"/>
    <n v="1056"/>
  </r>
  <r>
    <s v="Facture comptabilisée"/>
    <m/>
    <x v="0"/>
    <x v="4132"/>
    <s v="14/2024 COMPLEMEN"/>
    <d v="2024-07-03T00:00:00"/>
    <s v="300101"/>
    <s v="ASMAE FORWARDING EXPRESS"/>
    <n v="514.21"/>
  </r>
  <r>
    <s v="Facture comptabilisée"/>
    <m/>
    <x v="0"/>
    <x v="4133"/>
    <s v="15/2024"/>
    <d v="2024-07-03T00:00:00"/>
    <s v="300101"/>
    <s v="ASMAE FORWARDING EXPRESS"/>
    <n v="9824.8799999999992"/>
  </r>
  <r>
    <s v="Facture comptabilisée"/>
    <m/>
    <x v="0"/>
    <x v="4134"/>
    <s v="VMM"/>
    <d v="2024-07-03T00:00:00"/>
    <s v="300115"/>
    <s v="AUXILIAR CONSERVERA SA"/>
    <n v="139645.44"/>
  </r>
  <r>
    <s v="Facture comptabilisée"/>
    <m/>
    <x v="0"/>
    <x v="4135"/>
    <s v="13/2024 COMPLEMEN"/>
    <d v="2024-07-04T00:00:00"/>
    <s v="300101"/>
    <s v="ASMAE FORWARDING EXPRESS"/>
    <n v="1485.48"/>
  </r>
  <r>
    <s v="Facture comptabilisée"/>
    <m/>
    <x v="0"/>
    <x v="4136"/>
    <s v="15/2024 COMPLEMEN"/>
    <d v="2024-07-04T00:00:00"/>
    <s v="300101"/>
    <s v="ASMAE FORWARDING EXPRESS"/>
    <n v="457.07"/>
  </r>
  <r>
    <s v="Facture comptabilisée"/>
    <m/>
    <x v="0"/>
    <x v="4137"/>
    <s v="UNIVERS DELI"/>
    <d v="2024-07-04T00:00:00"/>
    <s v="300115"/>
    <s v="AUXILIAR CONSERVERA SA"/>
    <n v="107687.25"/>
  </r>
  <r>
    <s v="Facture comptabilisée"/>
    <m/>
    <x v="0"/>
    <x v="4138"/>
    <s v="16/2024"/>
    <d v="2024-07-05T00:00:00"/>
    <s v="300043"/>
    <s v="DOUANE"/>
    <n v="619"/>
  </r>
  <r>
    <s v="Facture comptabilisée"/>
    <m/>
    <x v="0"/>
    <x v="4139"/>
    <s v="01/2024 GT"/>
    <d v="2024-07-05T00:00:00"/>
    <s v="300043"/>
    <s v="DOUANE"/>
    <n v="983"/>
  </r>
  <r>
    <s v="Facture comptabilisée"/>
    <m/>
    <x v="0"/>
    <x v="4140"/>
    <s v="68/2024 J"/>
    <d v="2024-07-05T00:00:00"/>
    <s v="300191"/>
    <s v="JTTL"/>
    <n v="4133.5200000000004"/>
  </r>
  <r>
    <s v="Facture comptabilisée"/>
    <m/>
    <x v="0"/>
    <x v="4141"/>
    <s v="VMM"/>
    <d v="2024-07-08T00:00:00"/>
    <s v="300115"/>
    <s v="AUXILIAR CONSERVERA SA"/>
    <n v="139645.44"/>
  </r>
  <r>
    <s v="Facture comptabilisée"/>
    <m/>
    <x v="0"/>
    <x v="4142"/>
    <s v="VMM"/>
    <d v="2024-07-08T00:00:00"/>
    <s v="300115"/>
    <s v="AUXILIAR CONSERVERA SA"/>
    <n v="139645.44"/>
  </r>
  <r>
    <s v="Facture comptabilisée"/>
    <m/>
    <x v="0"/>
    <x v="4143"/>
    <s v="JIL PACK A"/>
    <d v="2024-07-08T00:00:00"/>
    <s v="300115"/>
    <s v="AUXILIAR CONSERVERA SA"/>
    <n v="346249.728"/>
  </r>
  <r>
    <s v="Facture comptabilisée"/>
    <m/>
    <x v="0"/>
    <x v="4144"/>
    <s v="JIL PACK A"/>
    <d v="2024-07-08T00:00:00"/>
    <s v="300115"/>
    <s v="AUXILIAR CONSERVERA SA"/>
    <n v="346254.57900000003"/>
  </r>
  <r>
    <s v="Facture comptabilisée"/>
    <m/>
    <x v="0"/>
    <x v="4145"/>
    <s v="70/2024 J"/>
    <d v="2024-07-09T00:00:00"/>
    <s v="300043"/>
    <s v="DOUANE"/>
    <n v="1342"/>
  </r>
  <r>
    <s v="Facture comptabilisée"/>
    <m/>
    <x v="0"/>
    <x v="4146"/>
    <s v="16/2024"/>
    <d v="2024-07-09T00:00:00"/>
    <s v="300101"/>
    <s v="ASMAE FORWARDING EXPRESS"/>
    <n v="3197.34"/>
  </r>
  <r>
    <s v="Facture comptabilisée"/>
    <m/>
    <x v="0"/>
    <x v="4147"/>
    <s v="U DELI"/>
    <d v="2024-07-09T00:00:00"/>
    <s v="300115"/>
    <s v="AUXILIAR CONSERVERA SA"/>
    <n v="107687.25"/>
  </r>
  <r>
    <s v="Facture comptabilisée"/>
    <m/>
    <x v="0"/>
    <x v="4148"/>
    <s v="COMPLEMENT"/>
    <d v="2024-07-10T00:00:00"/>
    <s v="300043"/>
    <s v="DOUANE"/>
    <n v="4154"/>
  </r>
  <r>
    <s v="Facture comptabilisée"/>
    <m/>
    <x v="0"/>
    <x v="4149"/>
    <s v="17/2024"/>
    <d v="2024-07-10T00:00:00"/>
    <s v="300043"/>
    <s v="DOUANE"/>
    <n v="579"/>
  </r>
  <r>
    <s v="Facture comptabilisée"/>
    <m/>
    <x v="0"/>
    <x v="4150"/>
    <s v="19/2024"/>
    <d v="2024-07-10T00:00:00"/>
    <s v="300043"/>
    <s v="DOUANE"/>
    <n v="617"/>
  </r>
  <r>
    <s v="Facture comptabilisée"/>
    <m/>
    <x v="0"/>
    <x v="4151"/>
    <s v="18/2024"/>
    <d v="2024-07-10T00:00:00"/>
    <s v="300043"/>
    <s v="DOUANE"/>
    <n v="617"/>
  </r>
  <r>
    <s v="Facture comptabilisée"/>
    <m/>
    <x v="0"/>
    <x v="4152"/>
    <s v="69/2024 J"/>
    <d v="2024-07-10T00:00:00"/>
    <s v="300043"/>
    <s v="DOUANE"/>
    <n v="1339"/>
  </r>
  <r>
    <s v="Facture comptabilisée"/>
    <m/>
    <x v="0"/>
    <x v="4153"/>
    <s v="JIL PACK  A *2*"/>
    <d v="2024-07-10T00:00:00"/>
    <s v="300220"/>
    <s v="ENVASES EUROPE"/>
    <n v="1187746.56"/>
  </r>
  <r>
    <s v="Facture comptabilisée"/>
    <m/>
    <x v="0"/>
    <x v="4154"/>
    <s v="JIL PACK A*1*"/>
    <d v="2024-07-10T00:00:00"/>
    <s v="300220"/>
    <s v="ENVASES EUROPE"/>
    <n v="1187746.56"/>
  </r>
  <r>
    <s v="Facture comptabilisée"/>
    <m/>
    <x v="0"/>
    <x v="4155"/>
    <s v="17/2024"/>
    <d v="2024-07-11T00:00:00"/>
    <s v="300101"/>
    <s v="ASMAE FORWARDING EXPRESS"/>
    <n v="3368.74"/>
  </r>
  <r>
    <s v="Facture comptabilisée"/>
    <m/>
    <x v="0"/>
    <x v="4156"/>
    <s v="18/2024"/>
    <d v="2024-07-11T00:00:00"/>
    <s v="300101"/>
    <s v="ASMAE FORWARDING EXPRESS"/>
    <n v="3025.94"/>
  </r>
  <r>
    <s v="Facture comptabilisée"/>
    <m/>
    <x v="0"/>
    <x v="4157"/>
    <s v="70/2024 J"/>
    <d v="2024-07-11T00:00:00"/>
    <s v="300321"/>
    <s v="JIL LOGISTIQUE"/>
    <n v="19800"/>
  </r>
  <r>
    <s v="Facture comptabilisée"/>
    <m/>
    <x v="0"/>
    <x v="4158"/>
    <s v="69/2024 J"/>
    <d v="2024-07-11T00:00:00"/>
    <s v="300321"/>
    <s v="JIL LOGISTIQUE"/>
    <n v="19800"/>
  </r>
  <r>
    <s v="Facture comptabilisée"/>
    <m/>
    <x v="0"/>
    <x v="4159"/>
    <s v="COMPLEMENT"/>
    <d v="2024-07-12T00:00:00"/>
    <s v="300043"/>
    <s v="DOUANE"/>
    <n v="4437"/>
  </r>
  <r>
    <s v="Facture comptabilisée"/>
    <m/>
    <x v="0"/>
    <x v="4160"/>
    <s v="20/2024"/>
    <d v="2024-07-12T00:00:00"/>
    <s v="300043"/>
    <s v="DOUANE"/>
    <n v="577"/>
  </r>
  <r>
    <s v="Facture comptabilisée"/>
    <m/>
    <x v="0"/>
    <x v="4161"/>
    <s v="A10"/>
    <d v="2024-07-12T00:00:00"/>
    <s v="300064"/>
    <s v="SONOCO Métal Packaging Maroc"/>
    <n v="125272"/>
  </r>
  <r>
    <s v="Facture comptabilisée"/>
    <m/>
    <x v="0"/>
    <x v="4162"/>
    <s v="5/1 NEUTRE"/>
    <d v="2024-07-12T00:00:00"/>
    <s v="300064"/>
    <s v="SONOCO Métal Packaging Maroc"/>
    <n v="120820"/>
  </r>
  <r>
    <s v="Facture comptabilisée"/>
    <m/>
    <x v="0"/>
    <x v="4163"/>
    <s v="5/1 NEUTRE"/>
    <d v="2024-07-12T00:00:00"/>
    <s v="300064"/>
    <s v="SONOCO Métal Packaging Maroc"/>
    <n v="120820"/>
  </r>
  <r>
    <s v="Facture comptabilisée"/>
    <m/>
    <x v="0"/>
    <x v="4164"/>
    <s v="18/2024"/>
    <d v="2024-07-12T00:00:00"/>
    <s v="300101"/>
    <s v="ASMAE FORWARDING EXPRESS"/>
    <n v="171.4"/>
  </r>
  <r>
    <s v="Facture comptabilisée"/>
    <m/>
    <x v="0"/>
    <x v="4165"/>
    <s v="19/2024"/>
    <d v="2024-07-12T00:00:00"/>
    <s v="300101"/>
    <s v="ASMAE FORWARDING EXPRESS"/>
    <n v="3197.34"/>
  </r>
  <r>
    <s v="Facture comptabilisée"/>
    <m/>
    <x v="0"/>
    <x v="4166"/>
    <s v="69/2024 J"/>
    <d v="2024-07-12T00:00:00"/>
    <s v="300191"/>
    <s v="JTTL"/>
    <n v="3217.64"/>
  </r>
  <r>
    <s v="Facture comptabilisée"/>
    <m/>
    <x v="0"/>
    <x v="4167"/>
    <s v="70/2024 J"/>
    <d v="2024-07-12T00:00:00"/>
    <s v="300191"/>
    <s v="JTTL"/>
    <n v="3241.34"/>
  </r>
  <r>
    <s v="Facture comptabilisée"/>
    <m/>
    <x v="0"/>
    <x v="4168"/>
    <s v="COMPLEMENT"/>
    <d v="2024-07-12T00:00:00"/>
    <s v="300191"/>
    <s v="JTTL"/>
    <n v="50"/>
  </r>
  <r>
    <s v="Facture comptabilisée"/>
    <m/>
    <x v="0"/>
    <x v="4169"/>
    <m/>
    <d v="2024-07-12T00:00:00"/>
    <s v="300344"/>
    <s v="PADEL NUESTRO"/>
    <n v="295261.94"/>
  </r>
  <r>
    <s v="Facture comptabilisée"/>
    <m/>
    <x v="0"/>
    <x v="4170"/>
    <s v="02/2024 GT"/>
    <d v="2024-07-12T00:00:00"/>
    <s v="300400"/>
    <s v="GAMMA TRANSIT"/>
    <n v="2714.06"/>
  </r>
  <r>
    <s v="Facture comptabilisée"/>
    <m/>
    <x v="0"/>
    <x v="4171"/>
    <s v="01/2024 GT"/>
    <d v="2024-07-12T00:00:00"/>
    <s v="300400"/>
    <s v="GAMMA TRANSIT"/>
    <n v="3848"/>
  </r>
  <r>
    <s v="Facture comptabilisée"/>
    <m/>
    <x v="0"/>
    <x v="4172"/>
    <s v="77/2024 J"/>
    <d v="2024-07-13T00:00:00"/>
    <s v="300383"/>
    <s v="LOCOFREIGHT"/>
    <n v="25042.7"/>
  </r>
  <r>
    <s v="Facture comptabilisée"/>
    <m/>
    <x v="0"/>
    <x v="4173"/>
    <s v="JIL PACK A"/>
    <d v="2024-07-15T00:00:00"/>
    <s v="300115"/>
    <s v="AUXILIAR CONSERVERA SA"/>
    <n v="368000.45699999999"/>
  </r>
  <r>
    <s v="Facture comptabilisée"/>
    <m/>
    <x v="0"/>
    <x v="4174"/>
    <s v="1L OLINIA*1*"/>
    <d v="2024-07-15T00:00:00"/>
    <s v="300115"/>
    <s v="AUXILIAR CONSERVERA SA"/>
    <n v="79765.785000000003"/>
  </r>
  <r>
    <s v="Facture comptabilisée"/>
    <m/>
    <x v="0"/>
    <x v="4175"/>
    <s v="UNIVERS DELI*2*"/>
    <d v="2024-07-15T00:00:00"/>
    <s v="300115"/>
    <s v="AUXILIAR CONSERVERA SA"/>
    <n v="76859.717000000004"/>
  </r>
  <r>
    <s v="Facture comptabilisée"/>
    <m/>
    <x v="0"/>
    <x v="4176"/>
    <s v="71/2024 J"/>
    <d v="2024-07-15T00:00:00"/>
    <s v="300191"/>
    <s v="JTTL"/>
    <n v="11497.51"/>
  </r>
  <r>
    <s v="Facture comptabilisée"/>
    <m/>
    <x v="0"/>
    <x v="4177"/>
    <s v="72/2024 J"/>
    <d v="2024-07-15T00:00:00"/>
    <s v="300191"/>
    <s v="JTTL"/>
    <n v="2990.44"/>
  </r>
  <r>
    <s v="Facture comptabilisée"/>
    <m/>
    <x v="0"/>
    <x v="4178"/>
    <s v="73/2024 J"/>
    <d v="2024-07-15T00:00:00"/>
    <s v="300191"/>
    <s v="JTTL"/>
    <n v="17477.57"/>
  </r>
  <r>
    <s v="Facture comptabilisée"/>
    <m/>
    <x v="0"/>
    <x v="4179"/>
    <m/>
    <d v="2024-07-15T00:00:00"/>
    <s v="300340"/>
    <s v="MSC MAROC"/>
    <n v="3575.8"/>
  </r>
  <r>
    <s v="Facture comptabilisée"/>
    <m/>
    <x v="0"/>
    <x v="4180"/>
    <m/>
    <d v="2024-07-15T00:00:00"/>
    <s v="300340"/>
    <s v="MSC MAROC"/>
    <n v="3575.8"/>
  </r>
  <r>
    <s v="Facture comptabilisée"/>
    <m/>
    <x v="0"/>
    <x v="4181"/>
    <s v="JIL PACK A"/>
    <d v="2024-07-16T00:00:00"/>
    <s v="300115"/>
    <s v="AUXILIAR CONSERVERA SA"/>
    <n v="368000.45699999999"/>
  </r>
  <r>
    <s v="Facture comptabilisée"/>
    <m/>
    <x v="0"/>
    <x v="4182"/>
    <s v="600ML"/>
    <d v="2024-07-16T00:00:00"/>
    <s v="300133"/>
    <s v="OP BOX "/>
    <n v="52569.599999999999"/>
  </r>
  <r>
    <s v="Facture comptabilisée"/>
    <m/>
    <x v="0"/>
    <x v="4183"/>
    <s v="21/2024"/>
    <d v="2024-07-17T00:00:00"/>
    <s v="300043"/>
    <s v="DOUANE"/>
    <n v="1362"/>
  </r>
  <r>
    <s v="Facture comptabilisée"/>
    <m/>
    <x v="0"/>
    <x v="4184"/>
    <s v="20/2024"/>
    <d v="2024-07-17T00:00:00"/>
    <s v="300101"/>
    <s v="ASMAE FORWARDING EXPRESS"/>
    <n v="3197.34"/>
  </r>
  <r>
    <s v="Facture comptabilisée"/>
    <m/>
    <x v="0"/>
    <x v="4185"/>
    <s v="75/2024 J"/>
    <d v="2024-07-18T00:00:00"/>
    <s v="300043"/>
    <s v="DOUANE"/>
    <n v="2722"/>
  </r>
  <r>
    <s v="Facture comptabilisée"/>
    <m/>
    <x v="0"/>
    <x v="4186"/>
    <s v="COMPLEMENET"/>
    <d v="2024-07-18T00:00:00"/>
    <s v="300043"/>
    <s v="DOUANE"/>
    <n v="6320"/>
  </r>
  <r>
    <s v="Facture comptabilisée"/>
    <m/>
    <x v="0"/>
    <x v="4187"/>
    <s v="JIL PACK A"/>
    <d v="2024-07-18T00:00:00"/>
    <s v="300115"/>
    <s v="AUXILIAR CONSERVERA SA"/>
    <n v="368000.45699999999"/>
  </r>
  <r>
    <s v="Facture comptabilisée"/>
    <m/>
    <x v="0"/>
    <x v="4188"/>
    <s v="JIL PACK*SILVER*"/>
    <d v="2024-07-18T00:00:00"/>
    <s v="300115"/>
    <s v="AUXILIAR CONSERVERA SA"/>
    <n v="368000.45699999999"/>
  </r>
  <r>
    <s v="Facture comptabilisée"/>
    <m/>
    <x v="0"/>
    <x v="4189"/>
    <s v="74/2024 J"/>
    <d v="2024-07-18T00:00:00"/>
    <s v="300321"/>
    <s v="JIL LOGISTIQUE"/>
    <n v="25850"/>
  </r>
  <r>
    <s v="Facture comptabilisée"/>
    <m/>
    <x v="0"/>
    <x v="4190"/>
    <s v="JIL PACK A+ECHAN"/>
    <d v="2024-07-18T00:00:00"/>
    <s v="300381"/>
    <s v="ENVASES IBERICA"/>
    <n v="324271.53000000003"/>
  </r>
  <r>
    <s v="Facture comptabilisée"/>
    <m/>
    <x v="0"/>
    <x v="4191"/>
    <s v="76/2024 J"/>
    <d v="2024-07-19T00:00:00"/>
    <s v="300043"/>
    <s v="DOUANE"/>
    <n v="3696"/>
  </r>
  <r>
    <s v="Facture comptabilisée"/>
    <m/>
    <x v="0"/>
    <x v="4192"/>
    <s v="21/2024"/>
    <d v="2024-07-19T00:00:00"/>
    <s v="300101"/>
    <s v="ASMAE FORWARDING EXPRESS"/>
    <n v="3197.34"/>
  </r>
  <r>
    <s v="Facture comptabilisée"/>
    <m/>
    <x v="0"/>
    <x v="4193"/>
    <s v="UNIVERS DELI"/>
    <d v="2024-07-19T00:00:00"/>
    <s v="300115"/>
    <s v="AUXILIAR CONSERVERA SA"/>
    <n v="107687.25"/>
  </r>
  <r>
    <s v="Facture comptabilisée"/>
    <m/>
    <x v="0"/>
    <x v="4194"/>
    <s v="22/2024"/>
    <d v="2024-07-22T00:00:00"/>
    <s v="300043"/>
    <s v="DOUANE"/>
    <n v="724"/>
  </r>
  <r>
    <s v="Facture comptabilisée"/>
    <m/>
    <x v="0"/>
    <x v="4195"/>
    <s v="74/2024 J"/>
    <d v="2024-07-22T00:00:00"/>
    <s v="300043"/>
    <s v="DOUANE"/>
    <n v="1306"/>
  </r>
  <r>
    <s v="Facture comptabilisée"/>
    <m/>
    <x v="0"/>
    <x v="4196"/>
    <s v="5/1 NEUTRE"/>
    <d v="2024-07-22T00:00:00"/>
    <s v="300064"/>
    <s v="SONOCO Métal Packaging Maroc"/>
    <n v="120820"/>
  </r>
  <r>
    <s v="Facture comptabilisée"/>
    <m/>
    <x v="0"/>
    <x v="4197"/>
    <s v="RO85"/>
    <d v="2024-07-22T00:00:00"/>
    <s v="300115"/>
    <s v="AUXILIAR CONSERVERA SA"/>
    <n v="2927.2979999999998"/>
  </r>
  <r>
    <s v="Facture comptabilisée"/>
    <m/>
    <x v="0"/>
    <x v="4198"/>
    <s v="JIL PACK"/>
    <d v="2024-07-22T00:00:00"/>
    <s v="300382"/>
    <s v="BA GLASS"/>
    <n v="134616.7746"/>
  </r>
  <r>
    <s v="Facture comptabilisée"/>
    <m/>
    <x v="0"/>
    <x v="4199"/>
    <s v="23/2024"/>
    <d v="2024-07-23T00:00:00"/>
    <s v="300043"/>
    <s v="DOUANE"/>
    <n v="1360"/>
  </r>
  <r>
    <s v="Facture comptabilisée"/>
    <m/>
    <x v="0"/>
    <x v="4200"/>
    <s v="74/2024 J"/>
    <d v="2024-07-23T00:00:00"/>
    <s v="300191"/>
    <s v="JTTL"/>
    <n v="3460.14"/>
  </r>
  <r>
    <s v="Facture comptabilisée"/>
    <m/>
    <x v="0"/>
    <x v="4201"/>
    <s v="24/2024"/>
    <d v="2024-07-24T00:00:00"/>
    <s v="300043"/>
    <s v="DOUANE"/>
    <n v="577"/>
  </r>
  <r>
    <s v="Facture comptabilisée"/>
    <m/>
    <x v="0"/>
    <x v="4202"/>
    <s v="22/2024"/>
    <d v="2024-07-24T00:00:00"/>
    <s v="300101"/>
    <s v="ASMAE FORWARDING EXPRESS"/>
    <n v="3540.15"/>
  </r>
  <r>
    <s v="Facture comptabilisée"/>
    <m/>
    <x v="0"/>
    <x v="4203"/>
    <s v="U.D*ALICOMAR*"/>
    <d v="2024-07-24T00:00:00"/>
    <s v="300115"/>
    <s v="AUXILIAR CONSERVERA SA"/>
    <n v="107687.25"/>
  </r>
  <r>
    <s v="Facture comptabilisée"/>
    <m/>
    <x v="0"/>
    <x v="4204"/>
    <s v="23/2024"/>
    <d v="2024-07-25T00:00:00"/>
    <s v="300101"/>
    <s v="ASMAE FORWARDING EXPRESS"/>
    <n v="3025.94"/>
  </r>
  <r>
    <s v="Facture comptabilisée"/>
    <m/>
    <x v="0"/>
    <x v="4205"/>
    <s v="COMPLEMENT"/>
    <d v="2024-07-26T00:00:00"/>
    <s v="300043"/>
    <s v="DOUANE"/>
    <n v="5058"/>
  </r>
  <r>
    <s v="Facture comptabilisée"/>
    <m/>
    <x v="0"/>
    <x v="4206"/>
    <s v="24/2024"/>
    <d v="2024-07-26T00:00:00"/>
    <s v="300101"/>
    <s v="ASMAE FORWARDING EXPRESS"/>
    <n v="3025.94"/>
  </r>
  <r>
    <s v="Facture comptabilisée"/>
    <m/>
    <x v="0"/>
    <x v="4207"/>
    <s v="75/2024 J"/>
    <d v="2024-07-26T00:00:00"/>
    <s v="300191"/>
    <s v="JTTL"/>
    <n v="4764.28"/>
  </r>
  <r>
    <s v="Facture comptabilisée"/>
    <m/>
    <x v="0"/>
    <x v="4208"/>
    <s v="76/2024 J"/>
    <d v="2024-07-26T00:00:00"/>
    <s v="300191"/>
    <s v="JTTL"/>
    <n v="5362.08"/>
  </r>
  <r>
    <s v="Facture comptabilisée"/>
    <m/>
    <x v="0"/>
    <x v="4209"/>
    <s v="JIL PACK A"/>
    <d v="2024-07-26T00:00:00"/>
    <s v="300381"/>
    <s v="ENVASES IBERICA"/>
    <n v="883899.76950000005"/>
  </r>
  <r>
    <s v="Facture comptabilisée"/>
    <m/>
    <x v="0"/>
    <x v="4210"/>
    <s v="26/2024"/>
    <d v="2024-07-29T00:00:00"/>
    <s v="300043"/>
    <s v="DOUANE"/>
    <n v="577"/>
  </r>
  <r>
    <s v="Facture comptabilisée"/>
    <m/>
    <x v="0"/>
    <x v="4211"/>
    <s v="27/2024"/>
    <d v="2024-07-29T00:00:00"/>
    <s v="300043"/>
    <s v="DOUANE"/>
    <n v="1364"/>
  </r>
  <r>
    <s v="Facture comptabilisée"/>
    <m/>
    <x v="0"/>
    <x v="4212"/>
    <s v="25/2024"/>
    <d v="2024-07-29T00:00:00"/>
    <s v="300043"/>
    <s v="DOUANE"/>
    <n v="1364"/>
  </r>
  <r>
    <s v="Facture comptabilisée"/>
    <m/>
    <x v="0"/>
    <x v="4213"/>
    <s v="VMM"/>
    <d v="2024-07-30T00:00:00"/>
    <s v="300115"/>
    <s v="AUXILIAR CONSERVERA SA"/>
    <n v="139645.44"/>
  </r>
  <r>
    <s v="Facture comptabilisée"/>
    <m/>
    <x v="0"/>
    <x v="4214"/>
    <s v="VMM"/>
    <d v="2024-07-30T00:00:00"/>
    <s v="300115"/>
    <s v="AUXILIAR CONSERVERA SA"/>
    <n v="139645.44"/>
  </r>
  <r>
    <s v="Facture comptabilisée"/>
    <m/>
    <x v="0"/>
    <x v="4215"/>
    <s v="CONSIGN"/>
    <d v="2024-07-31T00:00:00"/>
    <s v="300064"/>
    <s v="SONOCO Métal Packaging Maroc"/>
    <n v="34740"/>
  </r>
  <r>
    <s v="Facture comptabilisée"/>
    <m/>
    <x v="0"/>
    <x v="4216"/>
    <s v="25/2024"/>
    <d v="2024-07-31T00:00:00"/>
    <s v="300101"/>
    <s v="ASMAE FORWARDING EXPRESS"/>
    <n v="3025.94"/>
  </r>
  <r>
    <s v="Facture comptabilisée"/>
    <m/>
    <x v="0"/>
    <x v="4217"/>
    <s v="26/2024"/>
    <d v="2024-07-31T00:00:00"/>
    <s v="300101"/>
    <s v="ASMAE FORWARDING EXPRESS"/>
    <n v="3368.74"/>
  </r>
  <r>
    <s v="Facture comptabilisée"/>
    <m/>
    <x v="0"/>
    <x v="4218"/>
    <s v="27/2024"/>
    <d v="2024-07-31T00:00:00"/>
    <s v="300101"/>
    <s v="ASMAE FORWARDING EXPRESS"/>
    <n v="3025.94"/>
  </r>
  <r>
    <s v="Facture comptabilisée"/>
    <m/>
    <x v="0"/>
    <x v="4219"/>
    <s v="CONSERVE OUALILI"/>
    <d v="2024-07-31T00:00:00"/>
    <s v="300115"/>
    <s v="AUXILIAR CONSERVERA SA"/>
    <n v="107687.25"/>
  </r>
  <r>
    <s v="Facture comptabilisée"/>
    <m/>
    <x v="0"/>
    <x v="4220"/>
    <s v="77/2024 J"/>
    <d v="2024-08-02T00:00:00"/>
    <s v="300043"/>
    <s v="DOUANE"/>
    <n v="412"/>
  </r>
  <r>
    <s v="Facture comptabilisée"/>
    <m/>
    <x v="0"/>
    <x v="4221"/>
    <s v="JIL PACK A"/>
    <d v="2024-08-02T00:00:00"/>
    <s v="300381"/>
    <s v="ENVASES IBERICA"/>
    <n v="303834.21750000003"/>
  </r>
  <r>
    <s v="Facture comptabilisée"/>
    <m/>
    <x v="0"/>
    <x v="4222"/>
    <s v="JIL PACK A"/>
    <d v="2024-08-02T00:00:00"/>
    <s v="300381"/>
    <s v="ENVASES IBERICA"/>
    <n v="294633.25650000002"/>
  </r>
  <r>
    <s v="Facture comptabilisée"/>
    <m/>
    <x v="0"/>
    <x v="4223"/>
    <s v="28/2024"/>
    <d v="2024-08-03T00:00:00"/>
    <s v="300043"/>
    <s v="DOUANE"/>
    <n v="620"/>
  </r>
  <r>
    <s v="Facture comptabilisée"/>
    <m/>
    <x v="0"/>
    <x v="4224"/>
    <s v="29/2024"/>
    <d v="2024-08-05T00:00:00"/>
    <s v="300043"/>
    <s v="DOUANE"/>
    <n v="516"/>
  </r>
  <r>
    <s v="Facture comptabilisée"/>
    <m/>
    <x v="0"/>
    <x v="4225"/>
    <s v="78/2024 J"/>
    <d v="2024-08-05T00:00:00"/>
    <s v="300043"/>
    <s v="DOUANE"/>
    <n v="15074"/>
  </r>
  <r>
    <s v="Facture comptabilisée"/>
    <m/>
    <x v="0"/>
    <x v="4226"/>
    <s v="30/2024"/>
    <d v="2024-08-05T00:00:00"/>
    <s v="300043"/>
    <s v="DOUANE"/>
    <n v="619"/>
  </r>
  <r>
    <s v="Facture comptabilisée"/>
    <m/>
    <x v="0"/>
    <x v="4227"/>
    <s v="10L AM"/>
    <d v="2024-08-05T00:00:00"/>
    <s v="300133"/>
    <s v="OP BOX "/>
    <n v="11299.6"/>
  </r>
  <r>
    <s v="Facture comptabilisée"/>
    <m/>
    <x v="0"/>
    <x v="4228"/>
    <s v="280"/>
    <d v="2024-08-05T00:00:00"/>
    <s v="300133"/>
    <s v="OP BOX "/>
    <n v="25560"/>
  </r>
  <r>
    <s v="Facture comptabilisée"/>
    <m/>
    <x v="0"/>
    <x v="4229"/>
    <s v="3.8 AM"/>
    <d v="2024-08-05T00:00:00"/>
    <s v="300133"/>
    <s v="OP BOX "/>
    <n v="12540"/>
  </r>
  <r>
    <s v="Facture comptabilisée"/>
    <m/>
    <x v="0"/>
    <x v="4230"/>
    <s v="JIL PACK A*1*"/>
    <d v="2024-08-05T00:00:00"/>
    <s v="300220"/>
    <s v="ENVASES EUROPE"/>
    <n v="1187746.56"/>
  </r>
  <r>
    <s v="Facture comptabilisée"/>
    <m/>
    <x v="0"/>
    <x v="4231"/>
    <s v="JIL PACK A*2*"/>
    <d v="2024-08-05T00:00:00"/>
    <s v="300220"/>
    <s v="ENVASES EUROPE"/>
    <n v="1187746.56"/>
  </r>
  <r>
    <s v="Facture comptabilisée"/>
    <m/>
    <x v="0"/>
    <x v="4232"/>
    <s v="COMPLEMENT"/>
    <d v="2024-08-06T00:00:00"/>
    <s v="300043"/>
    <s v="DOUANE"/>
    <n v="4805"/>
  </r>
  <r>
    <s v="Facture comptabilisée"/>
    <m/>
    <x v="0"/>
    <x v="4233"/>
    <s v="85/2024 J"/>
    <d v="2024-08-06T00:00:00"/>
    <s v="300398"/>
    <s v="EXPERT FREIGHT"/>
    <n v="81716.899999999994"/>
  </r>
  <r>
    <s v="Facture comptabilisée"/>
    <m/>
    <x v="0"/>
    <x v="4234"/>
    <s v="4/4 NEUTRE"/>
    <d v="2024-08-08T00:00:00"/>
    <s v="300064"/>
    <s v="SONOCO Métal Packaging Maroc"/>
    <n v="54450"/>
  </r>
  <r>
    <s v="Facture comptabilisée"/>
    <m/>
    <x v="0"/>
    <x v="4235"/>
    <s v="5/1 NEUTRE"/>
    <d v="2024-08-08T00:00:00"/>
    <s v="300064"/>
    <s v="SONOCO Métal Packaging Maroc"/>
    <n v="86360"/>
  </r>
  <r>
    <s v="Facture comptabilisée"/>
    <m/>
    <x v="0"/>
    <x v="4236"/>
    <s v="28/2024"/>
    <d v="2024-08-08T00:00:00"/>
    <s v="300101"/>
    <s v="ASMAE FORWARDING EXPRESS"/>
    <n v="3540.14"/>
  </r>
  <r>
    <s v="Facture comptabilisée"/>
    <m/>
    <x v="0"/>
    <x v="4237"/>
    <s v="29/2024"/>
    <d v="2024-08-08T00:00:00"/>
    <s v="300101"/>
    <s v="ASMAE FORWARDING EXPRESS"/>
    <n v="3540.14"/>
  </r>
  <r>
    <s v="Facture comptabilisée"/>
    <m/>
    <x v="0"/>
    <x v="4238"/>
    <s v="77/2024 J"/>
    <d v="2024-08-08T00:00:00"/>
    <s v="300191"/>
    <s v="JTTL"/>
    <n v="13823.06"/>
  </r>
  <r>
    <s v="Facture comptabilisée"/>
    <m/>
    <x v="0"/>
    <x v="4239"/>
    <s v="04/2024 G"/>
    <d v="2024-08-08T00:00:00"/>
    <s v="300398"/>
    <s v="EXPERT FREIGHT"/>
    <n v="22684.71"/>
  </r>
  <r>
    <s v="Facture comptabilisée"/>
    <m/>
    <x v="0"/>
    <x v="4240"/>
    <s v="COMPLEMENT"/>
    <d v="2024-08-09T00:00:00"/>
    <s v="300043"/>
    <s v="DOUANE"/>
    <n v="3850"/>
  </r>
  <r>
    <s v="Facture comptabilisée"/>
    <m/>
    <x v="0"/>
    <x v="4241"/>
    <s v="78/2024 J"/>
    <d v="2024-08-09T00:00:00"/>
    <s v="300191"/>
    <s v="JTTL"/>
    <n v="7759.05"/>
  </r>
  <r>
    <s v="Facture comptabilisée"/>
    <m/>
    <x v="0"/>
    <x v="4242"/>
    <s v="81/2024 J"/>
    <d v="2024-08-10T00:00:00"/>
    <s v="300043"/>
    <s v="DOUANE"/>
    <n v="7914"/>
  </r>
  <r>
    <s v="Facture comptabilisée"/>
    <m/>
    <x v="0"/>
    <x v="4243"/>
    <s v="CONSIGN"/>
    <d v="2024-08-12T00:00:00"/>
    <s v="300064"/>
    <s v="SONOCO Métal Packaging Maroc"/>
    <n v="20910"/>
  </r>
  <r>
    <s v="Facture comptabilisée"/>
    <m/>
    <x v="0"/>
    <x v="4244"/>
    <s v="3.8 ap"/>
    <d v="2024-08-12T00:00:00"/>
    <s v="300133"/>
    <s v="OP BOX "/>
    <n v="39600"/>
  </r>
  <r>
    <s v="Facture comptabilisée"/>
    <m/>
    <x v="0"/>
    <x v="4245"/>
    <s v="82/2024 J"/>
    <d v="2024-08-12T00:00:00"/>
    <s v="300398"/>
    <s v="EXPERT FREIGHT"/>
    <n v="55311.25"/>
  </r>
  <r>
    <s v="Facture comptabilisée"/>
    <m/>
    <x v="0"/>
    <x v="4246"/>
    <s v="04/2024 G"/>
    <d v="2024-08-13T00:00:00"/>
    <s v="300043"/>
    <s v="DOUANE"/>
    <n v="719"/>
  </r>
  <r>
    <s v="Facture comptabilisée"/>
    <m/>
    <x v="0"/>
    <x v="4247"/>
    <s v="UNIVERS DELI"/>
    <d v="2024-08-13T00:00:00"/>
    <s v="300115"/>
    <s v="AUXILIAR CONSERVERA SA"/>
    <n v="107687.25"/>
  </r>
  <r>
    <s v="Facture comptabilisée"/>
    <m/>
    <x v="0"/>
    <x v="4248"/>
    <s v="UNIVERS DELI"/>
    <d v="2024-08-13T00:00:00"/>
    <s v="300115"/>
    <s v="AUXILIAR CONSERVERA SA"/>
    <n v="107687.25"/>
  </r>
  <r>
    <s v="Facture comptabilisée"/>
    <m/>
    <x v="0"/>
    <x v="4249"/>
    <s v="3800ML"/>
    <d v="2024-08-13T00:00:00"/>
    <s v="300133"/>
    <s v="OP BOX "/>
    <n v="6270"/>
  </r>
  <r>
    <s v="Facture comptabilisée"/>
    <m/>
    <x v="0"/>
    <x v="4250"/>
    <s v="1200"/>
    <d v="2024-08-13T00:00:00"/>
    <s v="300133"/>
    <s v="OP BOX "/>
    <n v="37164"/>
  </r>
  <r>
    <s v="Facture comptabilisée"/>
    <m/>
    <x v="0"/>
    <x v="4251"/>
    <s v="2300ML"/>
    <d v="2024-08-13T00:00:00"/>
    <s v="300133"/>
    <s v="OP BOX "/>
    <n v="44928"/>
  </r>
  <r>
    <s v="Facture comptabilisée"/>
    <m/>
    <x v="0"/>
    <x v="4252"/>
    <s v="2.3"/>
    <d v="2024-08-13T00:00:00"/>
    <s v="300133"/>
    <s v="OP BOX "/>
    <n v="44928"/>
  </r>
  <r>
    <s v="Facture comptabilisée"/>
    <m/>
    <x v="0"/>
    <x v="4253"/>
    <s v="JIL PACK A"/>
    <d v="2024-08-13T00:00:00"/>
    <s v="300220"/>
    <s v="ENVASES EUROPE"/>
    <n v="1187746.56"/>
  </r>
  <r>
    <s v="Facture comptabilisée"/>
    <m/>
    <x v="0"/>
    <x v="4254"/>
    <s v="JIL PACK"/>
    <d v="2024-08-13T00:00:00"/>
    <s v="300397"/>
    <s v="SISECAM DIS TICARET A.S"/>
    <n v="144970.05600000001"/>
  </r>
  <r>
    <s v="Facture comptabilisée"/>
    <m/>
    <x v="0"/>
    <x v="4255"/>
    <s v="JIL PACK A"/>
    <d v="2024-08-14T00:00:00"/>
    <s v="300115"/>
    <s v="AUXILIAR CONSERVERA SA"/>
    <n v="364313.92139999999"/>
  </r>
  <r>
    <s v="Facture comptabilisée"/>
    <m/>
    <x v="0"/>
    <x v="4256"/>
    <s v="30/2024"/>
    <d v="2024-08-15T00:00:00"/>
    <s v="300101"/>
    <s v="ASMAE FORWARDING EXPRESS"/>
    <n v="3540.15"/>
  </r>
  <r>
    <s v="Facture comptabilisée"/>
    <m/>
    <x v="0"/>
    <x v="4257"/>
    <s v="32/2024"/>
    <d v="2024-08-16T00:00:00"/>
    <s v="300043"/>
    <s v="DOUANE"/>
    <n v="1521"/>
  </r>
  <r>
    <s v="Facture comptabilisée"/>
    <m/>
    <x v="0"/>
    <x v="4258"/>
    <s v="33/2024"/>
    <d v="2024-08-16T00:00:00"/>
    <s v="300043"/>
    <s v="DOUANE"/>
    <n v="577"/>
  </r>
  <r>
    <s v="Facture comptabilisée"/>
    <m/>
    <x v="0"/>
    <x v="4259"/>
    <s v="31/2024"/>
    <d v="2024-08-17T00:00:00"/>
    <s v="300043"/>
    <s v="DOUANE"/>
    <n v="577"/>
  </r>
  <r>
    <s v="Facture comptabilisée"/>
    <m/>
    <x v="0"/>
    <x v="4260"/>
    <s v="COMPLEMENT"/>
    <d v="2024-08-19T00:00:00"/>
    <s v="300043"/>
    <s v="DOUANE"/>
    <n v="4148"/>
  </r>
  <r>
    <s v="Facture comptabilisée"/>
    <m/>
    <x v="0"/>
    <x v="4261"/>
    <s v="85/2024 J"/>
    <d v="2024-08-19T00:00:00"/>
    <s v="300043"/>
    <s v="DOUANE"/>
    <n v="3303"/>
  </r>
  <r>
    <s v="Facture comptabilisée"/>
    <m/>
    <x v="0"/>
    <x v="4262"/>
    <s v="31/2024"/>
    <d v="2024-08-19T00:00:00"/>
    <s v="300101"/>
    <s v="ASMAE FORWARDING EXPRESS"/>
    <n v="3368.74"/>
  </r>
  <r>
    <s v="Facture comptabilisée"/>
    <m/>
    <x v="0"/>
    <x v="4263"/>
    <s v="32/2024"/>
    <d v="2024-08-19T00:00:00"/>
    <s v="300101"/>
    <s v="ASMAE FORWARDING EXPRESS"/>
    <n v="3025.94"/>
  </r>
  <r>
    <s v="Facture comptabilisée"/>
    <m/>
    <x v="0"/>
    <x v="4264"/>
    <s v="33/2024"/>
    <d v="2024-08-19T00:00:00"/>
    <s v="300101"/>
    <s v="ASMAE FORWARDING EXPRESS"/>
    <n v="3025.94"/>
  </r>
  <r>
    <s v="Facture comptabilisée"/>
    <m/>
    <x v="0"/>
    <x v="4265"/>
    <s v="JIL PACK A"/>
    <d v="2024-08-19T00:00:00"/>
    <s v="300115"/>
    <s v="AUXILIAR CONSERVERA SA"/>
    <n v="366039.89399999997"/>
  </r>
  <r>
    <s v="Facture comptabilisée"/>
    <m/>
    <x v="0"/>
    <x v="4266"/>
    <s v="JIL PACK"/>
    <d v="2024-08-21T00:00:00"/>
    <s v="300381"/>
    <s v="ENVASES IBERICA"/>
    <n v="294568.46100000001"/>
  </r>
  <r>
    <s v="Facture comptabilisée"/>
    <m/>
    <x v="0"/>
    <x v="4267"/>
    <s v="JIL PACK A"/>
    <d v="2024-08-22T00:00:00"/>
    <s v="300381"/>
    <s v="ENVASES IBERICA"/>
    <n v="294633.25650000002"/>
  </r>
  <r>
    <s v="Facture comptabilisée"/>
    <m/>
    <x v="0"/>
    <x v="4268"/>
    <s v="85/2024 J"/>
    <d v="2024-08-23T00:00:00"/>
    <s v="300043"/>
    <s v="DOUANE"/>
    <n v="32251"/>
  </r>
  <r>
    <s v="Facture comptabilisée"/>
    <m/>
    <x v="0"/>
    <x v="4269"/>
    <s v="85/2024 J"/>
    <d v="2024-08-23T00:00:00"/>
    <s v="300043"/>
    <s v="DOUANE"/>
    <n v="23076"/>
  </r>
  <r>
    <s v="Facture comptabilisée"/>
    <m/>
    <x v="0"/>
    <x v="4270"/>
    <s v="34/2024"/>
    <d v="2024-08-26T00:00:00"/>
    <s v="300043"/>
    <s v="DOUANE"/>
    <n v="1360"/>
  </r>
  <r>
    <s v="Facture comptabilisée"/>
    <m/>
    <x v="0"/>
    <x v="4271"/>
    <s v="5/1 NEUTRE"/>
    <d v="2024-08-26T00:00:00"/>
    <s v="300064"/>
    <s v="SONOCO Métal Packaging Maroc"/>
    <n v="120820"/>
  </r>
  <r>
    <s v="Facture comptabilisée"/>
    <m/>
    <x v="0"/>
    <x v="4272"/>
    <s v="04/2024 G"/>
    <d v="2024-08-26T00:00:00"/>
    <s v="300400"/>
    <s v="GAMMA TRANSIT"/>
    <n v="2024"/>
  </r>
  <r>
    <s v="Facture comptabilisée"/>
    <m/>
    <x v="0"/>
    <x v="4273"/>
    <s v="83/2024 J"/>
    <d v="2024-08-27T00:00:00"/>
    <s v="300043"/>
    <s v="DOUANE"/>
    <n v="5984"/>
  </r>
  <r>
    <s v="Facture comptabilisée"/>
    <m/>
    <x v="0"/>
    <x v="4274"/>
    <s v="82/2024 J"/>
    <d v="2024-08-27T00:00:00"/>
    <s v="300043"/>
    <s v="DOUANE"/>
    <n v="2290"/>
  </r>
  <r>
    <s v="Facture comptabilisée"/>
    <m/>
    <x v="0"/>
    <x v="4275"/>
    <s v="COMPLEMENT"/>
    <d v="2024-08-27T00:00:00"/>
    <s v="300043"/>
    <s v="DOUANE"/>
    <n v="4089"/>
  </r>
  <r>
    <s v="Facture comptabilisée"/>
    <m/>
    <x v="0"/>
    <x v="4276"/>
    <s v="5/1 NEUTRE"/>
    <d v="2024-08-27T00:00:00"/>
    <s v="300064"/>
    <s v="SONOCO Métal Packaging Maroc"/>
    <n v="120820"/>
  </r>
  <r>
    <s v="Facture comptabilisée"/>
    <m/>
    <x v="0"/>
    <x v="4277"/>
    <s v="34/2024"/>
    <d v="2024-08-27T00:00:00"/>
    <s v="300101"/>
    <s v="ASMAE FORWARDING EXPRESS"/>
    <n v="3882.95"/>
  </r>
  <r>
    <s v="Facture comptabilisée"/>
    <m/>
    <x v="0"/>
    <x v="4278"/>
    <s v="3800ML"/>
    <d v="2024-08-27T00:00:00"/>
    <s v="300133"/>
    <s v="OP BOX "/>
    <n v="33000"/>
  </r>
  <r>
    <s v="Facture comptabilisée"/>
    <m/>
    <x v="0"/>
    <x v="4279"/>
    <s v="COMPLEMENT"/>
    <d v="2024-08-28T00:00:00"/>
    <s v="300043"/>
    <s v="DOUANE"/>
    <n v="6356"/>
  </r>
  <r>
    <s v="Facture comptabilisée"/>
    <m/>
    <x v="0"/>
    <x v="4280"/>
    <s v="UNIVERS DELI"/>
    <d v="2024-08-28T00:00:00"/>
    <s v="300115"/>
    <s v="AUXILIAR CONSERVERA SA"/>
    <n v="107687.25"/>
  </r>
  <r>
    <s v="Facture comptabilisée"/>
    <m/>
    <x v="0"/>
    <x v="4281"/>
    <s v="UNIVERS DELI"/>
    <d v="2024-08-28T00:00:00"/>
    <s v="300115"/>
    <s v="AUXILIAR CONSERVERA SA"/>
    <n v="107687.25"/>
  </r>
  <r>
    <s v="Facture comptabilisée"/>
    <m/>
    <x v="0"/>
    <x v="4282"/>
    <s v="79/2024 J"/>
    <d v="2024-08-28T00:00:00"/>
    <s v="300321"/>
    <s v="JIL LOGISTIQUE"/>
    <n v="30800"/>
  </r>
  <r>
    <s v="Facture comptabilisée"/>
    <m/>
    <x v="0"/>
    <x v="4283"/>
    <s v="JIL PACK A"/>
    <d v="2024-08-28T00:00:00"/>
    <s v="300381"/>
    <s v="ENVASES IBERICA"/>
    <n v="363837.67200000002"/>
  </r>
  <r>
    <s v="Facture comptabilisée"/>
    <m/>
    <x v="0"/>
    <x v="4284"/>
    <m/>
    <d v="2024-08-28T00:00:00"/>
    <s v="300398"/>
    <s v="EXPERT FREIGHT"/>
    <n v="28054.28"/>
  </r>
  <r>
    <s v="Facture comptabilisée"/>
    <m/>
    <x v="0"/>
    <x v="4285"/>
    <s v="79/2024J"/>
    <d v="2024-08-29T00:00:00"/>
    <s v="300043"/>
    <s v="DOUANE"/>
    <n v="1440"/>
  </r>
  <r>
    <s v="Facture comptabilisée"/>
    <m/>
    <x v="0"/>
    <x v="4286"/>
    <s v="5500"/>
    <d v="2024-08-29T00:00:00"/>
    <s v="300133"/>
    <s v="OP BOX "/>
    <n v="35685"/>
  </r>
  <r>
    <s v="Facture comptabilisée"/>
    <m/>
    <x v="0"/>
    <x v="4287"/>
    <s v="5/1 NEUTRE"/>
    <d v="2024-08-30T00:00:00"/>
    <s v="300064"/>
    <s v="SONOCO Métal Packaging Maroc"/>
    <n v="113928"/>
  </r>
  <r>
    <s v="Facture comptabilisée"/>
    <m/>
    <x v="0"/>
    <x v="4288"/>
    <s v="87/2024 J"/>
    <d v="2024-08-30T00:00:00"/>
    <s v="300398"/>
    <s v="EXPERT FREIGHT"/>
    <n v="28211.040000000001"/>
  </r>
  <r>
    <s v="Facture comptabilisée"/>
    <m/>
    <x v="0"/>
    <x v="4289"/>
    <s v="79/2024 J"/>
    <d v="2024-08-31T00:00:00"/>
    <s v="300191"/>
    <s v="JTTL"/>
    <n v="3312.44"/>
  </r>
  <r>
    <s v="Facture comptabilisée"/>
    <m/>
    <x v="0"/>
    <x v="4290"/>
    <s v="24/2024 J"/>
    <d v="2024-09-02T00:00:00"/>
    <s v="300043"/>
    <s v="DOUANE"/>
    <n v="4050"/>
  </r>
  <r>
    <s v="Facture comptabilisée"/>
    <m/>
    <x v="0"/>
    <x v="4291"/>
    <s v="36/2024 "/>
    <d v="2024-09-02T00:00:00"/>
    <s v="300043"/>
    <s v="DOUANE"/>
    <n v="577"/>
  </r>
  <r>
    <s v="Facture comptabilisée"/>
    <m/>
    <x v="0"/>
    <x v="4292"/>
    <s v="35/2024"/>
    <d v="2024-09-02T00:00:00"/>
    <s v="300043"/>
    <s v="DOUANE"/>
    <n v="577"/>
  </r>
  <r>
    <s v="Facture comptabilisée"/>
    <m/>
    <x v="0"/>
    <x v="4293"/>
    <s v="5/1 NEUTRE"/>
    <d v="2024-09-02T00:00:00"/>
    <s v="300064"/>
    <s v="SONOCO Métal Packaging Maroc"/>
    <n v="120820"/>
  </r>
  <r>
    <s v="Facture comptabilisée"/>
    <m/>
    <x v="0"/>
    <x v="4294"/>
    <m/>
    <d v="2024-09-02T00:00:00"/>
    <s v="300344"/>
    <s v="PADEL NUESTRO"/>
    <n v="186015.53"/>
  </r>
  <r>
    <s v="Facture comptabilisée"/>
    <m/>
    <x v="0"/>
    <x v="4295"/>
    <s v="5/1 NEUTRE"/>
    <d v="2024-09-03T00:00:00"/>
    <s v="300064"/>
    <s v="SONOCO Métal Packaging Maroc"/>
    <n v="120820"/>
  </r>
  <r>
    <s v="Facture comptabilisée"/>
    <m/>
    <x v="0"/>
    <x v="4296"/>
    <s v="35/2024"/>
    <d v="2024-09-03T00:00:00"/>
    <s v="300101"/>
    <s v="ASMAE FORWARDING EXPRESS"/>
    <n v="3368.74"/>
  </r>
  <r>
    <s v="Facture comptabilisée"/>
    <m/>
    <x v="0"/>
    <x v="4297"/>
    <s v="36/2024"/>
    <d v="2024-09-03T00:00:00"/>
    <s v="300101"/>
    <s v="ASMAE FORWARDING EXPRESS"/>
    <n v="3368.74"/>
  </r>
  <r>
    <s v="Facture comptabilisée"/>
    <m/>
    <x v="0"/>
    <x v="4298"/>
    <s v="JIL PACK A"/>
    <d v="2024-09-03T00:00:00"/>
    <s v="300115"/>
    <s v="AUXILIAR CONSERVERA SA"/>
    <n v="368000.45699999999"/>
  </r>
  <r>
    <s v="Facture comptabilisée"/>
    <m/>
    <x v="0"/>
    <x v="4299"/>
    <s v="37/2024"/>
    <d v="2024-09-05T00:00:00"/>
    <s v="300043"/>
    <s v="DOUANE"/>
    <n v="1209"/>
  </r>
  <r>
    <s v="Facture comptabilisée"/>
    <m/>
    <x v="0"/>
    <x v="4300"/>
    <s v="87/2024 J"/>
    <d v="2024-09-05T00:00:00"/>
    <s v="300043"/>
    <s v="DOUANE"/>
    <n v="1209"/>
  </r>
  <r>
    <s v="Facture comptabilisée"/>
    <m/>
    <x v="0"/>
    <x v="4301"/>
    <s v="80/2024"/>
    <d v="2024-09-05T00:00:00"/>
    <s v="300321"/>
    <s v="JIL LOGISTIQUE"/>
    <n v="25300"/>
  </r>
  <r>
    <s v="Facture comptabilisée"/>
    <m/>
    <x v="0"/>
    <x v="4302"/>
    <s v="RO85 LOGI FOOD"/>
    <d v="2024-09-05T00:00:00"/>
    <s v="300381"/>
    <s v="ENVASES IBERICA"/>
    <n v="377192.277"/>
  </r>
  <r>
    <s v="Facture comptabilisée"/>
    <m/>
    <x v="0"/>
    <x v="4303"/>
    <s v="38/2024"/>
    <d v="2024-09-06T00:00:00"/>
    <s v="300043"/>
    <s v="DOUANE"/>
    <n v="1372"/>
  </r>
  <r>
    <s v="Facture comptabilisée"/>
    <m/>
    <x v="0"/>
    <x v="4304"/>
    <s v="20L"/>
    <d v="2024-09-06T00:00:00"/>
    <s v="300133"/>
    <s v="OP BOX "/>
    <n v="45576"/>
  </r>
  <r>
    <s v="Facture comptabilisée"/>
    <m/>
    <x v="0"/>
    <x v="4305"/>
    <s v="87/2024 J"/>
    <d v="2024-09-09T00:00:00"/>
    <s v="300043"/>
    <s v="DOUANE"/>
    <n v="11404"/>
  </r>
  <r>
    <s v="Facture comptabilisée"/>
    <m/>
    <x v="0"/>
    <x v="4306"/>
    <s v="87/2024 J"/>
    <d v="2024-09-09T00:00:00"/>
    <s v="300043"/>
    <s v="DOUANE"/>
    <n v="7427"/>
  </r>
  <r>
    <s v="Facture comptabilisée"/>
    <m/>
    <x v="0"/>
    <x v="4307"/>
    <s v="80/2024 J"/>
    <d v="2024-09-09T00:00:00"/>
    <s v="300043"/>
    <s v="DOUANE"/>
    <n v="1471"/>
  </r>
  <r>
    <s v="Facture comptabilisée"/>
    <m/>
    <x v="0"/>
    <x v="4308"/>
    <s v="5/1 NEUTRE"/>
    <d v="2024-09-09T00:00:00"/>
    <s v="300064"/>
    <s v="SONOCO Métal Packaging Maroc"/>
    <n v="120820"/>
  </r>
  <r>
    <s v="Facture comptabilisée"/>
    <m/>
    <x v="0"/>
    <x v="4309"/>
    <s v="A10"/>
    <d v="2024-09-09T00:00:00"/>
    <s v="300064"/>
    <s v="SONOCO Métal Packaging Maroc"/>
    <n v="125272"/>
  </r>
  <r>
    <s v="Facture comptabilisée"/>
    <m/>
    <x v="0"/>
    <x v="4310"/>
    <s v="37/2024"/>
    <d v="2024-09-09T00:00:00"/>
    <s v="300101"/>
    <s v="ASMAE FORWARDING EXPRESS"/>
    <n v="6621.38"/>
  </r>
  <r>
    <s v="Facture comptabilisée"/>
    <m/>
    <x v="0"/>
    <x v="4311"/>
    <s v="38/2024"/>
    <d v="2024-09-09T00:00:00"/>
    <s v="300101"/>
    <s v="ASMAE FORWARDING EXPRESS"/>
    <n v="3185.35"/>
  </r>
  <r>
    <s v="Facture comptabilisée"/>
    <m/>
    <x v="0"/>
    <x v="4312"/>
    <s v="VMM"/>
    <d v="2024-09-09T00:00:00"/>
    <s v="300115"/>
    <s v="AUXILIAR CONSERVERA SA"/>
    <n v="376363.35"/>
  </r>
  <r>
    <s v="Facture comptabilisée"/>
    <m/>
    <x v="0"/>
    <x v="4313"/>
    <s v="UNIVERS DELI"/>
    <d v="2024-09-09T00:00:00"/>
    <s v="300115"/>
    <s v="AUXILIAR CONSERVERA SA"/>
    <n v="107687.25"/>
  </r>
  <r>
    <s v="Facture comptabilisée"/>
    <m/>
    <x v="0"/>
    <x v="4314"/>
    <s v="5/1 IN OR"/>
    <d v="2024-09-10T00:00:00"/>
    <s v="300064"/>
    <s v="SONOCO Métal Packaging Maroc"/>
    <n v="120820"/>
  </r>
  <r>
    <s v="Facture comptabilisée"/>
    <m/>
    <x v="0"/>
    <x v="4315"/>
    <s v="UNIVERS DELI"/>
    <d v="2024-09-10T00:00:00"/>
    <s v="300115"/>
    <s v="AUXILIAR CONSERVERA SA"/>
    <n v="107687.25"/>
  </r>
  <r>
    <s v="Facture comptabilisée"/>
    <m/>
    <x v="0"/>
    <x v="4316"/>
    <s v="80/2024 J"/>
    <d v="2024-09-10T00:00:00"/>
    <s v="300191"/>
    <s v="JTTL"/>
    <n v="3301.32"/>
  </r>
  <r>
    <s v="Facture comptabilisée"/>
    <m/>
    <x v="0"/>
    <x v="4317"/>
    <m/>
    <d v="2024-09-11T00:00:00"/>
    <s v="300043"/>
    <s v="DOUANE"/>
    <n v="1393"/>
  </r>
  <r>
    <s v="Facture comptabilisée"/>
    <m/>
    <x v="0"/>
    <x v="4318"/>
    <s v="OUALILI"/>
    <d v="2024-09-11T00:00:00"/>
    <s v="300115"/>
    <s v="AUXILIAR CONSERVERA SA"/>
    <n v="120637.44"/>
  </r>
  <r>
    <s v="Facture comptabilisée"/>
    <m/>
    <x v="0"/>
    <x v="4319"/>
    <s v="UNIVERS DELI"/>
    <d v="2024-09-11T00:00:00"/>
    <s v="300115"/>
    <s v="AUXILIAR CONSERVERA SA"/>
    <n v="107687.25"/>
  </r>
  <r>
    <s v="Facture comptabilisée"/>
    <m/>
    <x v="0"/>
    <x v="4320"/>
    <m/>
    <d v="2024-09-12T00:00:00"/>
    <s v="300398"/>
    <s v="EXPERT FREIGHT"/>
    <n v="21922.79"/>
  </r>
  <r>
    <s v="Facture comptabilisée"/>
    <m/>
    <x v="0"/>
    <x v="4321"/>
    <s v="COMPLEMENT"/>
    <d v="2024-09-13T00:00:00"/>
    <s v="300043"/>
    <s v="DOUANE"/>
    <n v="4695"/>
  </r>
  <r>
    <s v="Facture comptabilisée"/>
    <m/>
    <x v="0"/>
    <x v="4322"/>
    <s v="81/2024 J"/>
    <d v="2024-09-13T00:00:00"/>
    <s v="300191"/>
    <s v="JTTL"/>
    <n v="29812.22"/>
  </r>
  <r>
    <s v="Facture comptabilisée"/>
    <m/>
    <x v="0"/>
    <x v="4323"/>
    <s v="82/2024 J"/>
    <d v="2024-09-13T00:00:00"/>
    <s v="300191"/>
    <s v="JTTL"/>
    <n v="7375.69"/>
  </r>
  <r>
    <s v="Facture comptabilisée"/>
    <m/>
    <x v="0"/>
    <x v="4324"/>
    <s v="83/2024 J"/>
    <d v="2024-09-14T00:00:00"/>
    <s v="300191"/>
    <s v="JTTL"/>
    <n v="18446.009999999998"/>
  </r>
  <r>
    <s v="Facture comptabilisée"/>
    <m/>
    <x v="0"/>
    <x v="4325"/>
    <s v="84/2024 J"/>
    <d v="2024-09-14T00:00:00"/>
    <s v="300191"/>
    <s v="JTTL"/>
    <n v="9797.3799999999992"/>
  </r>
  <r>
    <s v="Facture comptabilisée"/>
    <m/>
    <x v="0"/>
    <x v="4326"/>
    <s v="41/2024"/>
    <d v="2024-09-18T00:00:00"/>
    <s v="300043"/>
    <s v="DOUANE"/>
    <n v="628"/>
  </r>
  <r>
    <s v="Facture comptabilisée"/>
    <m/>
    <x v="0"/>
    <x v="4327"/>
    <s v="42/2024"/>
    <d v="2024-09-18T00:00:00"/>
    <s v="300043"/>
    <s v="DOUANE"/>
    <n v="592"/>
  </r>
  <r>
    <s v="Facture comptabilisée"/>
    <m/>
    <x v="0"/>
    <x v="4328"/>
    <s v="40/2024"/>
    <d v="2024-09-18T00:00:00"/>
    <s v="300043"/>
    <s v="DOUANE"/>
    <n v="577"/>
  </r>
  <r>
    <s v="Facture comptabilisée"/>
    <m/>
    <x v="0"/>
    <x v="4329"/>
    <s v="05/2024 G"/>
    <d v="2024-09-18T00:00:00"/>
    <s v="300043"/>
    <s v="DOUANE"/>
    <n v="1008"/>
  </r>
  <r>
    <s v="Facture comptabilisée"/>
    <m/>
    <x v="0"/>
    <x v="4330"/>
    <s v="5/1 neutre"/>
    <d v="2024-09-18T00:00:00"/>
    <s v="300064"/>
    <s v="SONOCO Métal Packaging Maroc"/>
    <n v="120820"/>
  </r>
  <r>
    <s v="Facture comptabilisée"/>
    <m/>
    <x v="0"/>
    <x v="4331"/>
    <s v="39/2024"/>
    <d v="2024-09-18T00:00:00"/>
    <s v="300101"/>
    <s v="ASMAE FORWARDING EXPRESS"/>
    <n v="3014.82"/>
  </r>
  <r>
    <s v="Facture comptabilisée"/>
    <m/>
    <x v="0"/>
    <x v="4332"/>
    <s v="BTE RO85"/>
    <d v="2024-09-18T00:00:00"/>
    <s v="300115"/>
    <s v="AUXILIAR CONSERVERA SA"/>
    <n v="312.39999999999998"/>
  </r>
  <r>
    <s v="Facture comptabilisée"/>
    <m/>
    <x v="0"/>
    <x v="4333"/>
    <s v="86/2024 J"/>
    <d v="2024-09-20T00:00:00"/>
    <s v="300043"/>
    <s v="DOUANE"/>
    <n v="391"/>
  </r>
  <r>
    <s v="Facture comptabilisée"/>
    <m/>
    <x v="0"/>
    <x v="4334"/>
    <s v="40/2024"/>
    <d v="2024-09-20T00:00:00"/>
    <s v="300101"/>
    <s v="ASMAE FORWARDING EXPRESS"/>
    <n v="4865.84"/>
  </r>
  <r>
    <s v="Facture comptabilisée"/>
    <m/>
    <x v="0"/>
    <x v="4335"/>
    <s v="41/2024"/>
    <d v="2024-09-20T00:00:00"/>
    <s v="300101"/>
    <s v="ASMAE FORWARDING EXPRESS"/>
    <n v="3848.91"/>
  </r>
  <r>
    <s v="Facture comptabilisée"/>
    <m/>
    <x v="0"/>
    <x v="4336"/>
    <s v="42/2024"/>
    <d v="2024-09-20T00:00:00"/>
    <s v="300101"/>
    <s v="ASMAE FORWARDING EXPRESS"/>
    <n v="4865.84"/>
  </r>
  <r>
    <s v="Facture comptabilisée"/>
    <m/>
    <x v="0"/>
    <x v="4337"/>
    <s v="JIL PACK A"/>
    <d v="2024-09-23T00:00:00"/>
    <s v="300115"/>
    <s v="AUXILIAR CONSERVERA SA"/>
    <n v="368000.45699999999"/>
  </r>
  <r>
    <s v="Facture comptabilisée"/>
    <m/>
    <x v="0"/>
    <x v="4338"/>
    <s v="85/2024 J"/>
    <d v="2024-09-23T00:00:00"/>
    <s v="300191"/>
    <s v="JTTL"/>
    <n v="26177.38"/>
  </r>
  <r>
    <s v="Facture comptabilisée"/>
    <m/>
    <x v="0"/>
    <x v="4339"/>
    <s v="05/2024 G"/>
    <d v="2024-09-23T00:00:00"/>
    <s v="300400"/>
    <s v="GAMMA TRANSIT"/>
    <n v="3848"/>
  </r>
  <r>
    <s v="Facture comptabilisée"/>
    <m/>
    <x v="0"/>
    <x v="4340"/>
    <s v="CONSIGN"/>
    <d v="2024-09-24T00:00:00"/>
    <s v="300064"/>
    <s v="SONOCO Métal Packaging Maroc"/>
    <n v="32640"/>
  </r>
  <r>
    <s v="Facture comptabilisée"/>
    <m/>
    <x v="0"/>
    <x v="4341"/>
    <s v="86/2024 J"/>
    <d v="2024-09-24T00:00:00"/>
    <s v="300191"/>
    <s v="JTTL"/>
    <n v="14239.2"/>
  </r>
  <r>
    <s v="Facture comptabilisée"/>
    <m/>
    <x v="0"/>
    <x v="4342"/>
    <s v="82/2024 J"/>
    <d v="2024-09-24T00:00:00"/>
    <s v="300191"/>
    <s v="JTTL"/>
    <n v="8515.2000000000007"/>
  </r>
  <r>
    <s v="Facture comptabilisée"/>
    <m/>
    <x v="0"/>
    <x v="4343"/>
    <s v="87/2024 J"/>
    <d v="2024-09-24T00:00:00"/>
    <s v="300191"/>
    <s v="JTTL"/>
    <n v="4446.25"/>
  </r>
  <r>
    <s v="Facture comptabilisée"/>
    <m/>
    <x v="0"/>
    <x v="4344"/>
    <s v="JIL PACK  A"/>
    <d v="2024-09-24T00:00:00"/>
    <s v="300416"/>
    <s v="BERLIN PACKAGING ITALY S.P.A"/>
    <n v="173078.39999999999"/>
  </r>
  <r>
    <s v="Facture comptabilisée"/>
    <m/>
    <x v="0"/>
    <x v="4345"/>
    <s v="COMPLEMENT"/>
    <d v="2024-09-25T00:00:00"/>
    <s v="300043"/>
    <s v="DOUANE"/>
    <n v="3510"/>
  </r>
  <r>
    <s v="Facture comptabilisée"/>
    <m/>
    <x v="0"/>
    <x v="4346"/>
    <s v="JIL PACK A"/>
    <d v="2024-09-25T00:00:00"/>
    <s v="300115"/>
    <s v="AUXILIAR CONSERVERA SA"/>
    <n v="335352.15999999997"/>
  </r>
  <r>
    <s v="Facture comptabilisée"/>
    <m/>
    <x v="0"/>
    <x v="4347"/>
    <s v="43/2024"/>
    <d v="2024-09-26T00:00:00"/>
    <s v="300043"/>
    <s v="DOUANE"/>
    <n v="1372"/>
  </r>
  <r>
    <s v="Facture comptabilisée"/>
    <m/>
    <x v="0"/>
    <x v="4348"/>
    <s v="5/1 or"/>
    <d v="2024-09-27T00:00:00"/>
    <s v="300064"/>
    <s v="SONOCO Métal Packaging Maroc"/>
    <n v="120820"/>
  </r>
  <r>
    <s v="Facture comptabilisée"/>
    <m/>
    <x v="0"/>
    <x v="4349"/>
    <s v="43/2024"/>
    <d v="2024-09-30T00:00:00"/>
    <s v="300101"/>
    <s v="ASMAE FORWARDING EXPRESS"/>
    <n v="3168.48"/>
  </r>
  <r>
    <s v="Facture comptabilisée"/>
    <m/>
    <x v="0"/>
    <x v="4350"/>
    <s v="UNIVERS DELI"/>
    <d v="2024-09-30T00:00:00"/>
    <s v="300115"/>
    <s v="AUXILIAR CONSERVERA SA"/>
    <n v="107621.602"/>
  </r>
  <r>
    <s v="Facture comptabilisée"/>
    <m/>
    <x v="0"/>
    <x v="4351"/>
    <s v="UNIVERS DELI"/>
    <d v="2024-10-01T00:00:00"/>
    <s v="300115"/>
    <s v="AUXILIAR CONSERVERA SA"/>
    <n v="107687.25"/>
  </r>
  <r>
    <s v="Facture comptabilisée"/>
    <m/>
    <x v="0"/>
    <x v="4352"/>
    <s v="UNIVERS DELI"/>
    <d v="2024-10-01T00:00:00"/>
    <s v="300115"/>
    <s v="AUXILIAR CONSERVERA SA"/>
    <n v="107687.25"/>
  </r>
  <r>
    <s v="Facture comptabilisée"/>
    <m/>
    <x v="0"/>
    <x v="4353"/>
    <s v="3800AM"/>
    <d v="2024-10-01T00:00:00"/>
    <s v="300133"/>
    <s v="OP BOX "/>
    <n v="6600"/>
  </r>
  <r>
    <s v="Facture comptabilisée"/>
    <m/>
    <x v="0"/>
    <x v="4354"/>
    <s v="COMPLEMENT"/>
    <d v="2024-10-02T00:00:00"/>
    <s v="300043"/>
    <s v="DOUANE"/>
    <n v="53"/>
  </r>
  <r>
    <s v="Facture comptabilisée"/>
    <m/>
    <x v="0"/>
    <x v="4355"/>
    <s v="44/2024"/>
    <d v="2024-10-02T00:00:00"/>
    <s v="300043"/>
    <s v="DOUANE"/>
    <n v="1482"/>
  </r>
  <r>
    <s v="Facture comptabilisée"/>
    <m/>
    <x v="0"/>
    <x v="4356"/>
    <s v="JIL PACK A"/>
    <d v="2024-10-02T00:00:00"/>
    <s v="300115"/>
    <s v="AUXILIAR CONSERVERA SA"/>
    <n v="368000.45699999999"/>
  </r>
  <r>
    <s v="Facture comptabilisée"/>
    <m/>
    <x v="0"/>
    <x v="4357"/>
    <s v="GLO FOOD "/>
    <d v="2024-10-02T00:00:00"/>
    <s v="300237"/>
    <s v="Saribekir Ambalaj - SBK"/>
    <n v="129368.8"/>
  </r>
  <r>
    <s v="Facture comptabilisée"/>
    <m/>
    <x v="0"/>
    <x v="4358"/>
    <s v="4600ML"/>
    <d v="2024-10-03T00:00:00"/>
    <s v="300133"/>
    <s v="OP BOX "/>
    <n v="36432"/>
  </r>
  <r>
    <s v="Facture comptabilisée"/>
    <m/>
    <x v="0"/>
    <x v="4359"/>
    <s v="4/4 OF"/>
    <d v="2024-10-04T00:00:00"/>
    <s v="300064"/>
    <s v="SONOCO Métal Packaging Maroc"/>
    <n v="168294"/>
  </r>
  <r>
    <s v="Facture comptabilisée"/>
    <m/>
    <x v="0"/>
    <x v="4360"/>
    <s v="88/2024 J"/>
    <d v="2024-10-04T00:00:00"/>
    <s v="300414"/>
    <s v="TRANS UNIVERS"/>
    <n v="2649.12"/>
  </r>
  <r>
    <s v="Facture comptabilisée"/>
    <m/>
    <x v="0"/>
    <x v="4361"/>
    <s v="88/2024 J "/>
    <d v="2024-10-07T00:00:00"/>
    <s v="300043"/>
    <s v="DOUANE"/>
    <n v="12145"/>
  </r>
  <r>
    <s v="Facture comptabilisée"/>
    <m/>
    <x v="0"/>
    <x v="4362"/>
    <s v="44/2024"/>
    <d v="2024-10-07T00:00:00"/>
    <s v="300101"/>
    <s v="ASMAE FORWARDING EXPRESS"/>
    <n v="3336.87"/>
  </r>
  <r>
    <s v="Facture comptabilisée"/>
    <m/>
    <x v="0"/>
    <x v="4363"/>
    <s v="JIL PACK A"/>
    <d v="2024-10-07T00:00:00"/>
    <s v="300115"/>
    <s v="AUXILIAR CONSERVERA SA"/>
    <n v="368000.45699999999"/>
  </r>
  <r>
    <s v="Facture comptabilisée"/>
    <m/>
    <x v="0"/>
    <x v="4364"/>
    <s v="VMM"/>
    <d v="2024-10-07T00:00:00"/>
    <s v="300115"/>
    <s v="AUXILIAR CONSERVERA SA"/>
    <n v="376363.97700000001"/>
  </r>
  <r>
    <s v="Facture comptabilisée"/>
    <m/>
    <x v="0"/>
    <x v="4365"/>
    <s v="JIL PACK A"/>
    <d v="2024-10-07T00:00:00"/>
    <s v="300381"/>
    <s v="ENVASES IBERICA"/>
    <n v="316730.05650000001"/>
  </r>
  <r>
    <s v="Facture comptabilisée"/>
    <m/>
    <x v="0"/>
    <x v="4366"/>
    <s v="45/2024"/>
    <d v="2024-10-08T00:00:00"/>
    <s v="300043"/>
    <s v="DOUANE"/>
    <n v="577"/>
  </r>
  <r>
    <s v="Facture comptabilisée"/>
    <m/>
    <x v="0"/>
    <x v="4367"/>
    <s v="46/2024"/>
    <d v="2024-10-08T00:00:00"/>
    <s v="300043"/>
    <s v="DOUANE"/>
    <n v="577"/>
  </r>
  <r>
    <s v="Facture comptabilisée"/>
    <m/>
    <x v="0"/>
    <x v="4368"/>
    <s v="47/2024"/>
    <d v="2024-10-08T00:00:00"/>
    <s v="300043"/>
    <s v="DOUANE"/>
    <n v="577"/>
  </r>
  <r>
    <s v="Facture comptabilisée"/>
    <m/>
    <x v="0"/>
    <x v="4369"/>
    <s v="88/2024 J"/>
    <d v="2024-10-08T00:00:00"/>
    <s v="300191"/>
    <s v="JTTL"/>
    <n v="1753.99"/>
  </r>
  <r>
    <s v="Facture comptabilisée"/>
    <m/>
    <x v="0"/>
    <x v="4370"/>
    <s v="COMPLEMENT"/>
    <d v="2024-10-09T00:00:00"/>
    <s v="300043"/>
    <s v="DOUANE"/>
    <n v="3187"/>
  </r>
  <r>
    <s v="Facture comptabilisée"/>
    <m/>
    <x v="0"/>
    <x v="4371"/>
    <s v="48/2024"/>
    <d v="2024-10-09T00:00:00"/>
    <s v="300043"/>
    <s v="DOUANE"/>
    <n v="1369"/>
  </r>
  <r>
    <s v="Facture comptabilisée"/>
    <m/>
    <x v="0"/>
    <x v="4372"/>
    <s v="CONSIGN"/>
    <d v="2024-10-09T00:00:00"/>
    <s v="300064"/>
    <s v="SONOCO Métal Packaging Maroc"/>
    <n v="30240"/>
  </r>
  <r>
    <s v="Facture comptabilisée"/>
    <m/>
    <x v="0"/>
    <x v="4373"/>
    <s v="5/1 NEUTRE"/>
    <d v="2024-10-09T00:00:00"/>
    <s v="300064"/>
    <s v="SONOCO Métal Packaging Maroc"/>
    <n v="120820"/>
  </r>
  <r>
    <s v="Facture comptabilisée"/>
    <m/>
    <x v="0"/>
    <x v="4374"/>
    <s v="VMM*1*"/>
    <d v="2024-10-09T00:00:00"/>
    <s v="300115"/>
    <s v="AUXILIAR CONSERVERA SA"/>
    <n v="114088.898"/>
  </r>
  <r>
    <s v="Facture comptabilisée"/>
    <m/>
    <x v="0"/>
    <x v="4375"/>
    <s v="JIL PACK A*2*"/>
    <d v="2024-10-09T00:00:00"/>
    <s v="300115"/>
    <s v="AUXILIAR CONSERVERA SA"/>
    <n v="256559.49"/>
  </r>
  <r>
    <s v="Facture comptabilisée"/>
    <m/>
    <x v="0"/>
    <x v="4376"/>
    <s v="GLO FOOD"/>
    <d v="2024-10-09T00:00:00"/>
    <s v="300237"/>
    <s v="Saribekir Ambalaj - SBK"/>
    <n v="129368.8"/>
  </r>
  <r>
    <s v="Facture comptabilisée"/>
    <m/>
    <x v="0"/>
    <x v="4377"/>
    <s v="51/2024"/>
    <d v="2024-10-10T00:00:00"/>
    <s v="300043"/>
    <s v="DOUANE"/>
    <n v="1367"/>
  </r>
  <r>
    <s v="Facture comptabilisée"/>
    <m/>
    <x v="0"/>
    <x v="4378"/>
    <s v="45/2024"/>
    <d v="2024-10-10T00:00:00"/>
    <s v="300101"/>
    <s v="ASMAE FORWARDING EXPRESS"/>
    <n v="3844.61"/>
  </r>
  <r>
    <s v="Facture comptabilisée"/>
    <m/>
    <x v="0"/>
    <x v="4379"/>
    <s v="46/2024"/>
    <d v="2024-10-10T00:00:00"/>
    <s v="300101"/>
    <s v="ASMAE FORWARDING EXPRESS"/>
    <n v="3506.11"/>
  </r>
  <r>
    <s v="Facture comptabilisée"/>
    <m/>
    <x v="0"/>
    <x v="4380"/>
    <s v="47/2024"/>
    <d v="2024-10-10T00:00:00"/>
    <s v="300101"/>
    <s v="ASMAE FORWARDING EXPRESS"/>
    <n v="3506.11"/>
  </r>
  <r>
    <s v="Facture comptabilisée"/>
    <m/>
    <x v="0"/>
    <x v="4381"/>
    <s v="JIL PACK A"/>
    <d v="2024-10-10T00:00:00"/>
    <s v="300115"/>
    <s v="AUXILIAR CONSERVERA SA"/>
    <n v="368000.45699999999"/>
  </r>
  <r>
    <s v="Facture comptabilisée"/>
    <m/>
    <x v="0"/>
    <x v="4382"/>
    <s v="JIL PACK A"/>
    <d v="2024-10-10T00:00:00"/>
    <s v="300115"/>
    <s v="AUXILIAR CONSERVERA SA"/>
    <n v="346254.57900000003"/>
  </r>
  <r>
    <s v="Facture comptabilisée"/>
    <m/>
    <x v="0"/>
    <x v="4383"/>
    <s v="49/2024"/>
    <d v="2024-10-11T00:00:00"/>
    <s v="300043"/>
    <s v="DOUANE"/>
    <n v="1373"/>
  </r>
  <r>
    <s v="Facture comptabilisée"/>
    <m/>
    <x v="0"/>
    <x v="4384"/>
    <s v="50/2024"/>
    <d v="2024-10-11T00:00:00"/>
    <s v="300043"/>
    <s v="DOUANE"/>
    <n v="516"/>
  </r>
  <r>
    <s v="Facture comptabilisée"/>
    <m/>
    <x v="0"/>
    <x v="4385"/>
    <s v="02/2024 G"/>
    <d v="2024-10-11T00:00:00"/>
    <s v="300400"/>
    <s v="GAMMA TRANSIT"/>
    <n v="2000"/>
  </r>
  <r>
    <s v="Facture comptabilisée"/>
    <m/>
    <x v="0"/>
    <x v="4386"/>
    <s v="89/2024 J"/>
    <d v="2024-10-14T00:00:00"/>
    <s v="300043"/>
    <s v="DOUANE"/>
    <n v="1348"/>
  </r>
  <r>
    <s v="Facture comptabilisée"/>
    <m/>
    <x v="0"/>
    <x v="4387"/>
    <s v="52/2024"/>
    <d v="2024-10-14T00:00:00"/>
    <s v="300043"/>
    <s v="DOUANE"/>
    <n v="1392"/>
  </r>
  <r>
    <s v="Facture comptabilisée"/>
    <m/>
    <x v="0"/>
    <x v="4388"/>
    <s v="JIL PACK A"/>
    <d v="2024-10-14T00:00:00"/>
    <s v="300381"/>
    <s v="ENVASES IBERICA"/>
    <n v="245453.89439999999"/>
  </r>
  <r>
    <s v="Facture comptabilisée"/>
    <m/>
    <x v="0"/>
    <x v="4389"/>
    <s v="5/1 NEUTRE"/>
    <d v="2024-10-15T00:00:00"/>
    <s v="300064"/>
    <s v="SONOCO Métal Packaging Maroc"/>
    <n v="103590"/>
  </r>
  <r>
    <s v="Facture comptabilisée"/>
    <m/>
    <x v="0"/>
    <x v="4390"/>
    <s v="91/2024 J"/>
    <d v="2024-10-15T00:00:00"/>
    <s v="300321"/>
    <s v="JIL LOGISTIQUE"/>
    <n v="40250"/>
  </r>
  <r>
    <s v="Facture comptabilisée"/>
    <m/>
    <x v="0"/>
    <x v="4391"/>
    <s v="IDNA FOOD"/>
    <d v="2024-10-15T00:00:00"/>
    <s v="300381"/>
    <s v="ENVASES IBERICA"/>
    <n v="280153.47360000003"/>
  </r>
  <r>
    <s v="Facture comptabilisée"/>
    <m/>
    <x v="0"/>
    <x v="4392"/>
    <s v="48/2024"/>
    <d v="2024-10-16T00:00:00"/>
    <s v="300101"/>
    <s v="ASMAE FORWARDING EXPRESS"/>
    <n v="3167.62"/>
  </r>
  <r>
    <s v="Facture comptabilisée"/>
    <m/>
    <x v="0"/>
    <x v="4393"/>
    <s v="49/2024"/>
    <d v="2024-10-16T00:00:00"/>
    <s v="300101"/>
    <s v="ASMAE FORWARDING EXPRESS"/>
    <n v="3167.62"/>
  </r>
  <r>
    <s v="Facture comptabilisée"/>
    <m/>
    <x v="0"/>
    <x v="4394"/>
    <s v="50/2024"/>
    <d v="2024-10-16T00:00:00"/>
    <s v="300101"/>
    <s v="ASMAE FORWARDING EXPRESS"/>
    <n v="14225.12"/>
  </r>
  <r>
    <s v="Facture comptabilisée"/>
    <m/>
    <x v="0"/>
    <x v="4395"/>
    <s v="51/2024"/>
    <d v="2024-10-16T00:00:00"/>
    <s v="300101"/>
    <s v="ASMAE FORWARDING EXPRESS"/>
    <n v="2998.37"/>
  </r>
  <r>
    <s v="Facture comptabilisée"/>
    <m/>
    <x v="0"/>
    <x v="4396"/>
    <s v="52/2024"/>
    <d v="2024-10-16T00:00:00"/>
    <s v="300101"/>
    <s v="ASMAE FORWARDING EXPRESS"/>
    <n v="3844.61"/>
  </r>
  <r>
    <s v="Facture comptabilisée"/>
    <m/>
    <x v="0"/>
    <x v="4397"/>
    <s v="JIL PACK A"/>
    <d v="2024-10-16T00:00:00"/>
    <s v="300115"/>
    <s v="AUXILIAR CONSERVERA SA"/>
    <n v="346254.57900000003"/>
  </r>
  <r>
    <s v="Facture comptabilisée"/>
    <m/>
    <x v="0"/>
    <x v="4398"/>
    <s v="89/2024 J"/>
    <d v="2024-10-16T00:00:00"/>
    <s v="300191"/>
    <s v="JTTL"/>
    <n v="3575.97"/>
  </r>
  <r>
    <s v="Facture comptabilisée"/>
    <m/>
    <x v="0"/>
    <x v="4399"/>
    <s v="89/2024 J"/>
    <d v="2024-10-16T00:00:00"/>
    <s v="300321"/>
    <s v="JIL LOGISTIQUE"/>
    <n v="31500"/>
  </r>
  <r>
    <s v="Facture comptabilisée"/>
    <m/>
    <x v="0"/>
    <x v="4400"/>
    <s v="JIL PACK A"/>
    <d v="2024-10-16T00:00:00"/>
    <s v="300381"/>
    <s v="ENVASES IBERICA"/>
    <n v="280153.47360000003"/>
  </r>
  <r>
    <s v="Facture comptabilisée"/>
    <m/>
    <x v="0"/>
    <x v="4401"/>
    <s v="COMPLEMENT"/>
    <d v="2024-10-17T00:00:00"/>
    <s v="300043"/>
    <s v="DOUANE"/>
    <n v="3597"/>
  </r>
  <r>
    <s v="Facture comptabilisée"/>
    <m/>
    <x v="0"/>
    <x v="4402"/>
    <s v="91/2024 J"/>
    <d v="2024-10-17T00:00:00"/>
    <s v="300043"/>
    <s v="DOUANE"/>
    <n v="1149"/>
  </r>
  <r>
    <s v="Facture comptabilisée"/>
    <m/>
    <x v="0"/>
    <x v="4403"/>
    <s v="53/2024"/>
    <d v="2024-10-17T00:00:00"/>
    <s v="300043"/>
    <s v="DOUANE"/>
    <n v="1364"/>
  </r>
  <r>
    <s v="Facture comptabilisée"/>
    <m/>
    <x v="0"/>
    <x v="4404"/>
    <s v="3.8 AM"/>
    <d v="2024-10-17T00:00:00"/>
    <s v="300133"/>
    <s v="OP BOX "/>
    <n v="13200"/>
  </r>
  <r>
    <s v="Facture comptabilisée"/>
    <m/>
    <x v="0"/>
    <x v="4405"/>
    <s v="JP A"/>
    <d v="2024-10-17T00:00:00"/>
    <s v="300220"/>
    <s v="ENVASES EUROPE"/>
    <n v="786272.25600000005"/>
  </r>
  <r>
    <s v="Facture comptabilisée"/>
    <m/>
    <x v="0"/>
    <x v="4406"/>
    <s v="92/2024 J"/>
    <d v="2024-10-18T00:00:00"/>
    <s v="300043"/>
    <s v="DOUANE"/>
    <n v="1346"/>
  </r>
  <r>
    <s v="Facture comptabilisée"/>
    <m/>
    <x v="0"/>
    <x v="4407"/>
    <s v="90/2024 J"/>
    <d v="2024-10-18T00:00:00"/>
    <s v="300043"/>
    <s v="DOUANE"/>
    <n v="1149"/>
  </r>
  <r>
    <s v="Facture comptabilisée"/>
    <m/>
    <x v="0"/>
    <x v="4408"/>
    <s v="2.3ML"/>
    <d v="2024-10-18T00:00:00"/>
    <s v="300133"/>
    <s v="OP BOX "/>
    <n v="46944"/>
  </r>
  <r>
    <s v="Facture comptabilisée"/>
    <m/>
    <x v="0"/>
    <x v="4409"/>
    <s v="JIL PACK A"/>
    <d v="2024-10-18T00:00:00"/>
    <s v="300381"/>
    <s v="ENVASES IBERICA"/>
    <n v="245453.89439999999"/>
  </r>
  <r>
    <s v="Facture comptabilisée"/>
    <m/>
    <x v="0"/>
    <x v="4410"/>
    <s v="92/2024 J"/>
    <d v="2024-10-19T00:00:00"/>
    <s v="300321"/>
    <s v="JIL LOGISTIQUE"/>
    <n v="31500"/>
  </r>
  <r>
    <s v="Facture comptabilisée"/>
    <m/>
    <x v="0"/>
    <x v="4411"/>
    <s v="90/2024 J"/>
    <d v="2024-10-21T00:00:00"/>
    <s v="300191"/>
    <s v="JTTL"/>
    <n v="3284.87"/>
  </r>
  <r>
    <s v="Facture comptabilisée"/>
    <m/>
    <x v="0"/>
    <x v="4412"/>
    <s v="91/2024 J"/>
    <d v="2024-10-21T00:00:00"/>
    <s v="300191"/>
    <s v="JTTL"/>
    <n v="3284.87"/>
  </r>
  <r>
    <s v="Facture comptabilisée"/>
    <m/>
    <x v="0"/>
    <x v="4413"/>
    <s v="92/2024 J"/>
    <d v="2024-10-21T00:00:00"/>
    <s v="300191"/>
    <s v="JTTL"/>
    <n v="3213.77"/>
  </r>
  <r>
    <s v="Facture comptabilisée"/>
    <m/>
    <x v="0"/>
    <x v="4414"/>
    <s v="90/2024 J"/>
    <d v="2024-10-21T00:00:00"/>
    <s v="300321"/>
    <s v="JIL LOGISTIQUE"/>
    <n v="42000"/>
  </r>
  <r>
    <s v="Facture comptabilisée"/>
    <m/>
    <x v="0"/>
    <x v="4415"/>
    <s v="JIL PACK A"/>
    <d v="2024-10-21T00:00:00"/>
    <s v="300381"/>
    <s v="ENVASES IBERICA"/>
    <n v="251997.61730000001"/>
  </r>
  <r>
    <s v="Facture comptabilisée"/>
    <m/>
    <x v="0"/>
    <x v="4416"/>
    <s v="1COMPLAINT"/>
    <d v="2024-10-21T00:00:00"/>
    <s v="300381"/>
    <s v="ENVASES IBERICA"/>
    <n v="126681.94"/>
  </r>
  <r>
    <s v="Facture comptabilisée"/>
    <m/>
    <x v="0"/>
    <x v="4417"/>
    <s v="RO85"/>
    <d v="2024-10-22T00:00:00"/>
    <s v="300381"/>
    <s v="ENVASES IBERICA"/>
    <n v="333934.96950000001"/>
  </r>
  <r>
    <s v="Facture comptabilisée"/>
    <m/>
    <x v="0"/>
    <x v="4418"/>
    <s v="JANAH"/>
    <d v="2024-10-22T00:00:00"/>
    <s v="300381"/>
    <s v="ENVASES IBERICA"/>
    <n v="358978.00949999999"/>
  </r>
  <r>
    <s v="Facture comptabilisée"/>
    <m/>
    <x v="0"/>
    <x v="4419"/>
    <s v="JIL PACK A"/>
    <d v="2024-10-22T00:00:00"/>
    <s v="300381"/>
    <s v="ENVASES IBERICA"/>
    <n v="287907.10519999999"/>
  </r>
  <r>
    <s v="Facture comptabilisée"/>
    <m/>
    <x v="0"/>
    <x v="4420"/>
    <s v="JIL PACK"/>
    <d v="2024-10-22T00:00:00"/>
    <s v="300397"/>
    <s v="SISECAM DIS TICARET A.S"/>
    <n v="144639.495"/>
  </r>
  <r>
    <s v="Facture comptabilisée"/>
    <m/>
    <x v="0"/>
    <x v="4421"/>
    <s v="93/2024 J"/>
    <d v="2024-10-23T00:00:00"/>
    <s v="300043"/>
    <s v="DOUANE"/>
    <n v="596"/>
  </r>
  <r>
    <s v="Facture comptabilisée"/>
    <m/>
    <x v="0"/>
    <x v="4422"/>
    <s v="53/2024"/>
    <d v="2024-10-23T00:00:00"/>
    <s v="300101"/>
    <s v="ASMAE FORWARDING EXPRESS"/>
    <n v="3336.87"/>
  </r>
  <r>
    <s v="Facture comptabilisée"/>
    <m/>
    <x v="0"/>
    <x v="4423"/>
    <s v="94/2024 J"/>
    <d v="2024-10-24T00:00:00"/>
    <s v="300043"/>
    <s v="DOUANE"/>
    <n v="1320"/>
  </r>
  <r>
    <s v="Facture comptabilisée"/>
    <m/>
    <x v="0"/>
    <x v="4424"/>
    <s v="95/2024 J"/>
    <d v="2024-10-24T00:00:00"/>
    <s v="300043"/>
    <s v="DOUANE"/>
    <n v="1171"/>
  </r>
  <r>
    <s v="Facture comptabilisée"/>
    <m/>
    <x v="0"/>
    <x v="4425"/>
    <s v="96/2024 J"/>
    <d v="2024-10-24T00:00:00"/>
    <s v="300043"/>
    <s v="DOUANE"/>
    <n v="1401"/>
  </r>
  <r>
    <s v="Facture comptabilisée"/>
    <m/>
    <x v="0"/>
    <x v="4426"/>
    <s v="52/2024"/>
    <d v="2024-10-24T00:00:00"/>
    <s v="300101"/>
    <s v="ASMAE FORWARDING EXPRESS"/>
    <n v="338.5"/>
  </r>
  <r>
    <s v="Facture comptabilisée"/>
    <m/>
    <x v="0"/>
    <x v="4427"/>
    <s v="93/2024 J"/>
    <d v="2024-10-24T00:00:00"/>
    <s v="300191"/>
    <s v="JTTL"/>
    <n v="8247.9500000000007"/>
  </r>
  <r>
    <s v="Facture comptabilisée"/>
    <m/>
    <x v="0"/>
    <x v="4428"/>
    <s v="fbn"/>
    <d v="2024-10-24T00:00:00"/>
    <s v="300356"/>
    <s v="MASSILY PORTUGAL"/>
    <n v="207537.88"/>
  </r>
  <r>
    <s v="Facture comptabilisée"/>
    <m/>
    <x v="0"/>
    <x v="4429"/>
    <s v="VMM"/>
    <d v="2024-10-24T00:00:00"/>
    <s v="300381"/>
    <s v="ENVASES IBERICA"/>
    <n v="340613.11349999998"/>
  </r>
  <r>
    <s v="Facture comptabilisée"/>
    <m/>
    <x v="0"/>
    <x v="4430"/>
    <s v="VMM"/>
    <d v="2024-10-24T00:00:00"/>
    <s v="300381"/>
    <s v="ENVASES IBERICA"/>
    <n v="340613.11349999998"/>
  </r>
  <r>
    <s v="Facture comptabilisée"/>
    <m/>
    <x v="0"/>
    <x v="4431"/>
    <s v="COMPLEMENT"/>
    <d v="2024-10-25T00:00:00"/>
    <s v="300043"/>
    <s v="DOUANE"/>
    <n v="3798"/>
  </r>
  <r>
    <s v="Facture comptabilisée"/>
    <m/>
    <x v="0"/>
    <x v="4432"/>
    <s v="94/2024 J"/>
    <d v="2024-10-25T00:00:00"/>
    <s v="300191"/>
    <s v="JTTL"/>
    <n v="3213.77"/>
  </r>
  <r>
    <s v="Facture comptabilisée"/>
    <m/>
    <x v="0"/>
    <x v="4433"/>
    <s v="94/2024 J"/>
    <d v="2024-10-25T00:00:00"/>
    <s v="300321"/>
    <s v="JIL LOGISTIQUE"/>
    <n v="42000"/>
  </r>
  <r>
    <s v="Facture comptabilisée"/>
    <m/>
    <x v="0"/>
    <x v="4434"/>
    <s v="96/2024 J"/>
    <d v="2024-10-25T00:00:00"/>
    <s v="300321"/>
    <s v="JIL LOGISTIQUE"/>
    <n v="42000"/>
  </r>
  <r>
    <s v="Facture comptabilisée"/>
    <m/>
    <x v="0"/>
    <x v="4435"/>
    <s v="95/2024 J"/>
    <d v="2024-10-26T00:00:00"/>
    <s v="300321"/>
    <s v="JIL LOGISTIQUE"/>
    <n v="42000"/>
  </r>
  <r>
    <s v="Facture comptabilisée"/>
    <m/>
    <x v="0"/>
    <x v="4436"/>
    <s v="98/2024 J"/>
    <d v="2024-10-28T00:00:00"/>
    <s v="300043"/>
    <s v="DOUANE"/>
    <n v="1343"/>
  </r>
  <r>
    <s v="Facture comptabilisée"/>
    <m/>
    <x v="0"/>
    <x v="4437"/>
    <s v="95/2024 J"/>
    <d v="2024-10-28T00:00:00"/>
    <s v="300191"/>
    <s v="JTTL"/>
    <n v="3261.17"/>
  </r>
  <r>
    <s v="Facture comptabilisée"/>
    <m/>
    <x v="0"/>
    <x v="4438"/>
    <s v="96/2024 J"/>
    <d v="2024-10-28T00:00:00"/>
    <s v="300191"/>
    <s v="JTTL"/>
    <n v="3284.87"/>
  </r>
  <r>
    <s v="Facture comptabilisée"/>
    <m/>
    <x v="0"/>
    <x v="4439"/>
    <s v="JIL PACK A"/>
    <d v="2024-10-28T00:00:00"/>
    <s v="300381"/>
    <s v="ENVASES IBERICA"/>
    <n v="358978.00949999999"/>
  </r>
  <r>
    <s v="Facture comptabilisée"/>
    <m/>
    <x v="0"/>
    <x v="4440"/>
    <s v="108/2024 J"/>
    <d v="2024-10-28T00:00:00"/>
    <s v="300398"/>
    <s v="EXPERT FREIGHT"/>
    <n v="29926.26"/>
  </r>
  <r>
    <s v="Facture comptabilisée"/>
    <m/>
    <x v="0"/>
    <x v="4441"/>
    <s v="106/2024 J"/>
    <d v="2024-10-28T00:00:00"/>
    <s v="300398"/>
    <s v="EXPERT FREIGHT"/>
    <n v="26944.560000000001"/>
  </r>
  <r>
    <s v="Facture comptabilisée"/>
    <m/>
    <x v="0"/>
    <x v="4442"/>
    <s v="54/2024"/>
    <d v="2024-10-29T00:00:00"/>
    <s v="300043"/>
    <s v="DOUANE"/>
    <n v="1006"/>
  </r>
  <r>
    <s v="Facture comptabilisée"/>
    <m/>
    <x v="0"/>
    <x v="4443"/>
    <s v="97/2024 J"/>
    <d v="2024-10-29T00:00:00"/>
    <s v="300043"/>
    <s v="DOUANE"/>
    <n v="1343"/>
  </r>
  <r>
    <s v="Facture comptabilisée"/>
    <m/>
    <x v="0"/>
    <x v="4444"/>
    <s v="97/2024 J"/>
    <d v="2024-10-29T00:00:00"/>
    <s v="300321"/>
    <s v="JIL LOGISTIQUE"/>
    <n v="40250"/>
  </r>
  <r>
    <s v="Facture comptabilisée"/>
    <m/>
    <x v="0"/>
    <x v="4445"/>
    <s v="Commande 14"/>
    <d v="2024-10-29T00:00:00"/>
    <s v="300344"/>
    <s v="PADEL NUESTRO"/>
    <n v="510814.73"/>
  </r>
  <r>
    <s v="Facture comptabilisée"/>
    <m/>
    <x v="0"/>
    <x v="4446"/>
    <s v="108/2024 J"/>
    <d v="2024-10-30T00:00:00"/>
    <s v="300043"/>
    <s v="DOUANE"/>
    <n v="1262"/>
  </r>
  <r>
    <s v="Facture comptabilisée"/>
    <m/>
    <x v="0"/>
    <x v="4447"/>
    <s v="99/2024 J"/>
    <d v="2024-10-30T00:00:00"/>
    <s v="300043"/>
    <s v="DOUANE"/>
    <n v="1400"/>
  </r>
  <r>
    <s v="Facture comptabilisée"/>
    <m/>
    <x v="0"/>
    <x v="4448"/>
    <s v="CONSIGN"/>
    <d v="2024-10-30T00:00:00"/>
    <s v="300064"/>
    <s v="SONOCO Métal Packaging Maroc"/>
    <n v="41430"/>
  </r>
  <r>
    <s v="Facture comptabilisée"/>
    <m/>
    <x v="0"/>
    <x v="4449"/>
    <s v="54/2024"/>
    <d v="2024-10-30T00:00:00"/>
    <s v="300101"/>
    <s v="ASMAE FORWARDING EXPRESS"/>
    <n v="3887.62"/>
  </r>
  <r>
    <s v="Facture comptabilisée"/>
    <m/>
    <x v="0"/>
    <x v="4450"/>
    <s v="97/2024 J"/>
    <d v="2024-10-30T00:00:00"/>
    <s v="300191"/>
    <s v="JTTL"/>
    <n v="3406.72"/>
  </r>
  <r>
    <s v="Facture comptabilisée"/>
    <m/>
    <x v="0"/>
    <x v="4451"/>
    <s v="98/2024 J"/>
    <d v="2024-10-30T00:00:00"/>
    <s v="300191"/>
    <s v="JTTL"/>
    <n v="3623.37"/>
  </r>
  <r>
    <s v="Facture comptabilisée"/>
    <m/>
    <x v="0"/>
    <x v="4452"/>
    <s v="98/2024 J"/>
    <d v="2024-10-30T00:00:00"/>
    <s v="300321"/>
    <s v="JIL LOGISTIQUE"/>
    <n v="40250"/>
  </r>
  <r>
    <s v="Facture comptabilisée"/>
    <m/>
    <x v="0"/>
    <x v="4453"/>
    <s v="99/2024 J"/>
    <d v="2024-10-30T00:00:00"/>
    <s v="300321"/>
    <s v="JIL LOGISTIQUE"/>
    <n v="42000"/>
  </r>
  <r>
    <s v="Facture comptabilisée"/>
    <m/>
    <x v="0"/>
    <x v="4454"/>
    <s v="1/4 CLUB FB"/>
    <d v="2024-10-30T00:00:00"/>
    <s v="300381"/>
    <s v="ENVASES IBERICA"/>
    <n v="287907.10519999999"/>
  </r>
  <r>
    <s v="Facture comptabilisée"/>
    <m/>
    <x v="0"/>
    <x v="4455"/>
    <s v="106/2024 J"/>
    <d v="2024-10-31T00:00:00"/>
    <s v="300043"/>
    <s v="DOUANE"/>
    <n v="1033"/>
  </r>
  <r>
    <s v="Facture comptabilisée"/>
    <m/>
    <x v="0"/>
    <x v="4456"/>
    <s v="100/2024 J"/>
    <d v="2024-10-31T00:00:00"/>
    <s v="300043"/>
    <s v="DOUANE"/>
    <n v="640"/>
  </r>
  <r>
    <s v="Facture comptabilisée"/>
    <m/>
    <x v="0"/>
    <x v="4457"/>
    <s v="CONSIGN"/>
    <d v="2024-10-31T00:00:00"/>
    <s v="300064"/>
    <s v="SONOCO Métal Packaging Maroc"/>
    <n v="12450"/>
  </r>
  <r>
    <s v="Facture comptabilisée"/>
    <m/>
    <x v="0"/>
    <x v="4458"/>
    <s v="67/2024 J"/>
    <d v="2024-10-31T00:00:00"/>
    <s v="300191"/>
    <s v="JTTL"/>
    <n v="11617"/>
  </r>
  <r>
    <s v="Facture comptabilisée"/>
    <m/>
    <x v="0"/>
    <x v="4459"/>
    <s v="99/2024 J"/>
    <d v="2024-10-31T00:00:00"/>
    <s v="300191"/>
    <s v="JTTL"/>
    <n v="3213.77"/>
  </r>
  <r>
    <s v="Facture comptabilisée"/>
    <m/>
    <x v="0"/>
    <x v="4460"/>
    <s v="GLO FOOD*1*"/>
    <d v="2024-10-31T00:00:00"/>
    <s v="300237"/>
    <s v="Saribekir Ambalaj - SBK"/>
    <n v="143228.79999999999"/>
  </r>
  <r>
    <s v="Facture comptabilisée"/>
    <m/>
    <x v="0"/>
    <x v="4461"/>
    <s v="GLO FOOD*2*"/>
    <d v="2024-10-31T00:00:00"/>
    <s v="300237"/>
    <s v="Saribekir Ambalaj - SBK"/>
    <n v="118623.71400000001"/>
  </r>
  <r>
    <s v="Facture comptabilisée"/>
    <m/>
    <x v="0"/>
    <x v="4462"/>
    <s v="VMM"/>
    <d v="2024-10-31T00:00:00"/>
    <s v="300381"/>
    <s v="ENVASES IBERICA"/>
    <n v="340613.11349999998"/>
  </r>
  <r>
    <s v="Facture comptabilisée"/>
    <m/>
    <x v="0"/>
    <x v="4463"/>
    <s v="COMPLEMENT"/>
    <d v="2024-11-01T00:00:00"/>
    <s v="300043"/>
    <s v="DOUANE"/>
    <n v="4297"/>
  </r>
  <r>
    <s v="Facture comptabilisée"/>
    <m/>
    <x v="0"/>
    <x v="4464"/>
    <s v="101/2024 J"/>
    <d v="2024-11-01T00:00:00"/>
    <s v="300043"/>
    <s v="DOUANE"/>
    <n v="1173"/>
  </r>
  <r>
    <s v="Facture comptabilisée"/>
    <m/>
    <x v="0"/>
    <x v="4465"/>
    <s v="101/2024 J"/>
    <d v="2024-11-04T00:00:00"/>
    <s v="300321"/>
    <s v="JIL LOGISTIQUE"/>
    <n v="42000"/>
  </r>
  <r>
    <s v="Facture comptabilisée"/>
    <m/>
    <x v="0"/>
    <x v="4466"/>
    <s v="JIL PACK A"/>
    <d v="2024-11-04T00:00:00"/>
    <s v="300381"/>
    <s v="ENVASES IBERICA"/>
    <n v="287907.10519999999"/>
  </r>
  <r>
    <s v="Facture comptabilisée"/>
    <m/>
    <x v="0"/>
    <x v="4467"/>
    <s v="107/2024 J"/>
    <d v="2024-11-04T00:00:00"/>
    <s v="300398"/>
    <s v="EXPERT FREIGHT"/>
    <n v="52778.13"/>
  </r>
  <r>
    <s v="Facture comptabilisée"/>
    <m/>
    <x v="0"/>
    <x v="4468"/>
    <s v="102/2024"/>
    <d v="2024-11-05T00:00:00"/>
    <s v="300043"/>
    <s v="DOUANE"/>
    <n v="1341"/>
  </r>
  <r>
    <s v="Facture comptabilisée"/>
    <m/>
    <x v="0"/>
    <x v="4469"/>
    <s v="100/2024 J"/>
    <d v="2024-11-05T00:00:00"/>
    <s v="300191"/>
    <s v="JTTL"/>
    <n v="8325.7999999999993"/>
  </r>
  <r>
    <s v="Facture comptabilisée"/>
    <m/>
    <x v="0"/>
    <x v="4470"/>
    <s v="101/2024 J"/>
    <d v="2024-11-05T00:00:00"/>
    <s v="300191"/>
    <s v="JTTL"/>
    <n v="3237.47"/>
  </r>
  <r>
    <s v="Facture comptabilisée"/>
    <m/>
    <x v="0"/>
    <x v="4471"/>
    <s v="IDNA FOOD"/>
    <d v="2024-11-05T00:00:00"/>
    <s v="300381"/>
    <s v="ENVASES IBERICA"/>
    <n v="333934.96950000001"/>
  </r>
  <r>
    <s v="Facture comptabilisée"/>
    <m/>
    <x v="0"/>
    <x v="4472"/>
    <s v="VMM"/>
    <d v="2024-11-06T00:00:00"/>
    <s v="300381"/>
    <s v="ENVASES IBERICA"/>
    <n v="340613.11349999998"/>
  </r>
  <r>
    <s v="Facture comptabilisée"/>
    <m/>
    <x v="0"/>
    <x v="4473"/>
    <s v="107/2024 J"/>
    <d v="2024-11-07T00:00:00"/>
    <s v="300043"/>
    <s v="DOUANE"/>
    <n v="1941"/>
  </r>
  <r>
    <s v="Facture comptabilisée"/>
    <m/>
    <x v="0"/>
    <x v="4474"/>
    <s v="COMPLEMENT"/>
    <d v="2024-11-07T00:00:00"/>
    <s v="300043"/>
    <s v="DOUANE"/>
    <n v="4813"/>
  </r>
  <r>
    <s v="Facture comptabilisée"/>
    <m/>
    <x v="0"/>
    <x v="4475"/>
    <s v="03/2024 ASNI"/>
    <d v="2024-11-07T00:00:00"/>
    <s v="300043"/>
    <s v="DOUANE"/>
    <n v="912"/>
  </r>
  <r>
    <s v="Facture comptabilisée"/>
    <m/>
    <x v="0"/>
    <x v="4476"/>
    <s v="54/2024"/>
    <d v="2024-11-07T00:00:00"/>
    <s v="300101"/>
    <s v="ASMAE FORWARDING EXPRESS"/>
    <n v="169.25"/>
  </r>
  <r>
    <s v="Facture comptabilisée"/>
    <m/>
    <x v="0"/>
    <x v="4477"/>
    <s v="JIL PACK A"/>
    <d v="2024-11-07T00:00:00"/>
    <s v="300115"/>
    <s v="AUXILIAR CONSERVERA SA"/>
    <n v="346254.57900000003"/>
  </r>
  <r>
    <s v="Facture comptabilisée"/>
    <m/>
    <x v="0"/>
    <x v="4478"/>
    <s v="3.8 AM"/>
    <d v="2024-11-07T00:00:00"/>
    <s v="300133"/>
    <s v="OP BOX "/>
    <n v="13200"/>
  </r>
  <r>
    <s v="Facture comptabilisée"/>
    <m/>
    <x v="0"/>
    <x v="4479"/>
    <s v="2300ML"/>
    <d v="2024-11-07T00:00:00"/>
    <s v="300133"/>
    <s v="OP BOX "/>
    <n v="44596.800000000003"/>
  </r>
  <r>
    <s v="Facture comptabilisée"/>
    <m/>
    <x v="0"/>
    <x v="4480"/>
    <s v="102/2024 J"/>
    <d v="2024-11-07T00:00:00"/>
    <s v="300321"/>
    <s v="JIL LOGISTIQUE"/>
    <n v="38500"/>
  </r>
  <r>
    <s v="Facture comptabilisée"/>
    <m/>
    <x v="0"/>
    <x v="4481"/>
    <s v="VMM"/>
    <d v="2024-11-07T00:00:00"/>
    <s v="300381"/>
    <s v="ENVASES IBERICA"/>
    <n v="340613.11349999998"/>
  </r>
  <r>
    <s v="Facture comptabilisée"/>
    <m/>
    <x v="0"/>
    <x v="4482"/>
    <s v="VMM"/>
    <d v="2024-11-07T00:00:00"/>
    <s v="300381"/>
    <s v="ENVASES IBERICA"/>
    <n v="323808.30900000001"/>
  </r>
  <r>
    <s v="Facture comptabilisée"/>
    <m/>
    <x v="0"/>
    <x v="4483"/>
    <s v="04/2024 ASNI"/>
    <d v="2024-11-08T00:00:00"/>
    <s v="300043"/>
    <s v="DOUANE"/>
    <n v="1316"/>
  </r>
  <r>
    <s v="Facture comptabilisée"/>
    <m/>
    <x v="0"/>
    <x v="4484"/>
    <s v="02/2024 ASNI"/>
    <d v="2024-11-08T00:00:00"/>
    <s v="300043"/>
    <s v="DOUANE"/>
    <n v="1332"/>
  </r>
  <r>
    <s v="Facture comptabilisée"/>
    <m/>
    <x v="0"/>
    <x v="4485"/>
    <d v="2026-01-05T00:00:00"/>
    <d v="2024-11-08T00:00:00"/>
    <s v="300064"/>
    <s v="SONOCO Métal Packaging Maroc"/>
    <n v="62238"/>
  </r>
  <r>
    <s v="Facture comptabilisée"/>
    <m/>
    <x v="0"/>
    <x v="4486"/>
    <s v="4/4 OF"/>
    <d v="2024-11-08T00:00:00"/>
    <s v="300064"/>
    <s v="SONOCO Métal Packaging Maroc"/>
    <n v="92418"/>
  </r>
  <r>
    <s v="Facture comptabilisée"/>
    <m/>
    <x v="0"/>
    <x v="4487"/>
    <s v="102/2024 J"/>
    <d v="2024-11-08T00:00:00"/>
    <s v="300191"/>
    <s v="JTTL"/>
    <n v="3237.47"/>
  </r>
  <r>
    <s v="Facture comptabilisée"/>
    <m/>
    <x v="0"/>
    <x v="4488"/>
    <s v="03/2024 ASNI"/>
    <d v="2024-11-08T00:00:00"/>
    <s v="300321"/>
    <s v="JIL LOGISTIQUE"/>
    <n v="40250"/>
  </r>
  <r>
    <s v="Facture comptabilisée"/>
    <m/>
    <x v="0"/>
    <x v="4489"/>
    <s v="04/2024 ASNI"/>
    <d v="2024-11-08T00:00:00"/>
    <s v="300321"/>
    <s v="JIL LOGISTIQUE"/>
    <n v="38500"/>
  </r>
  <r>
    <s v="Facture comptabilisée"/>
    <m/>
    <x v="0"/>
    <x v="4490"/>
    <s v="02/2024 ASNI"/>
    <d v="2024-11-08T00:00:00"/>
    <s v="300321"/>
    <s v="JIL LOGISTIQUE"/>
    <n v="38500"/>
  </r>
  <r>
    <s v="Facture comptabilisée"/>
    <m/>
    <x v="0"/>
    <x v="4491"/>
    <s v="2.3"/>
    <d v="2024-11-09T00:00:00"/>
    <s v="300133"/>
    <s v="OP BOX "/>
    <n v="49291.199999999997"/>
  </r>
  <r>
    <s v="Facture comptabilisée"/>
    <m/>
    <x v="0"/>
    <x v="4492"/>
    <s v="3.8"/>
    <d v="2024-11-09T00:00:00"/>
    <s v="300133"/>
    <s v="OP BOX "/>
    <n v="6600"/>
  </r>
  <r>
    <s v="Facture comptabilisée"/>
    <m/>
    <x v="0"/>
    <x v="4493"/>
    <s v="01/2024 ASNI"/>
    <d v="2024-11-11T00:00:00"/>
    <s v="300043"/>
    <s v="DOUANE"/>
    <n v="1277"/>
  </r>
  <r>
    <s v="Facture comptabilisée"/>
    <m/>
    <x v="0"/>
    <x v="4494"/>
    <s v="06/2024 ASNI"/>
    <d v="2024-11-11T00:00:00"/>
    <s v="300043"/>
    <s v="DOUANE"/>
    <n v="1332"/>
  </r>
  <r>
    <s v="Facture comptabilisée"/>
    <m/>
    <x v="0"/>
    <x v="4495"/>
    <s v="103/2024 J"/>
    <d v="2024-11-11T00:00:00"/>
    <s v="300043"/>
    <s v="DOUANE"/>
    <n v="1320"/>
  </r>
  <r>
    <s v="Facture comptabilisée"/>
    <m/>
    <x v="0"/>
    <x v="4496"/>
    <s v="JIL PACK A"/>
    <d v="2024-11-11T00:00:00"/>
    <s v="300115"/>
    <s v="AUXILIAR CONSERVERA SA"/>
    <n v="346278.83399999997"/>
  </r>
  <r>
    <s v="Facture comptabilisée"/>
    <m/>
    <x v="0"/>
    <x v="4497"/>
    <s v="JIL PACK A"/>
    <d v="2024-11-11T00:00:00"/>
    <s v="300115"/>
    <s v="AUXILIAR CONSERVERA SA"/>
    <n v="346262.66399999999"/>
  </r>
  <r>
    <s v="Facture comptabilisée"/>
    <m/>
    <x v="0"/>
    <x v="4498"/>
    <s v="PARTICI COMM ACC "/>
    <d v="2024-11-11T00:00:00"/>
    <s v="300115"/>
    <s v="AUXILIAR CONSERVERA SA"/>
    <n v="110000"/>
  </r>
  <r>
    <s v="Facture comptabilisée"/>
    <m/>
    <x v="0"/>
    <x v="4499"/>
    <s v="RO85 LOGI FOOD"/>
    <d v="2024-11-11T00:00:00"/>
    <s v="300381"/>
    <s v="ENVASES IBERICA"/>
    <n v="359972.36550000001"/>
  </r>
  <r>
    <s v="Facture comptabilisée"/>
    <m/>
    <x v="0"/>
    <x v="4500"/>
    <s v="COMPLEMENT"/>
    <d v="2024-11-12T00:00:00"/>
    <s v="300043"/>
    <s v="DOUANE"/>
    <n v="4640"/>
  </r>
  <r>
    <s v="Facture comptabilisée"/>
    <m/>
    <x v="0"/>
    <x v="4501"/>
    <s v="105/2024 J"/>
    <d v="2024-11-12T00:00:00"/>
    <s v="300043"/>
    <s v="DOUANE"/>
    <n v="1310"/>
  </r>
  <r>
    <s v="Facture comptabilisée"/>
    <m/>
    <x v="0"/>
    <x v="4502"/>
    <s v="04/2024 ASNI"/>
    <d v="2024-11-12T00:00:00"/>
    <s v="300321"/>
    <s v="JIL LOGISTIQUE"/>
    <n v="38500"/>
  </r>
  <r>
    <s v="Facture comptabilisée"/>
    <m/>
    <x v="0"/>
    <x v="4503"/>
    <s v="06/2024 ASNI"/>
    <d v="2024-11-12T00:00:00"/>
    <s v="300321"/>
    <s v="JIL LOGISTIQUE"/>
    <n v="38500"/>
  </r>
  <r>
    <s v="Facture comptabilisée"/>
    <m/>
    <x v="0"/>
    <x v="4504"/>
    <s v="JP+JPA"/>
    <d v="2024-11-12T00:00:00"/>
    <s v="300381"/>
    <s v="ENVASES IBERICA"/>
    <n v="335805.12900000002"/>
  </r>
  <r>
    <s v="Facture comptabilisée"/>
    <m/>
    <x v="0"/>
    <x v="4505"/>
    <s v="117/2024 J"/>
    <d v="2024-11-13T00:00:00"/>
    <s v="300043"/>
    <s v="DOUANE"/>
    <n v="2678"/>
  </r>
  <r>
    <s v="Facture comptabilisée"/>
    <m/>
    <x v="0"/>
    <x v="4506"/>
    <s v="104/2024 J"/>
    <d v="2024-11-13T00:00:00"/>
    <s v="300043"/>
    <s v="DOUANE"/>
    <n v="1310"/>
  </r>
  <r>
    <s v="Facture comptabilisée"/>
    <m/>
    <x v="0"/>
    <x v="4507"/>
    <s v="05/2024 ASNI"/>
    <d v="2024-11-13T00:00:00"/>
    <s v="300043"/>
    <s v="DOUANE"/>
    <n v="1384"/>
  </r>
  <r>
    <s v="Facture comptabilisée"/>
    <m/>
    <x v="0"/>
    <x v="4508"/>
    <s v="3800ML"/>
    <d v="2024-11-13T00:00:00"/>
    <s v="300133"/>
    <s v="OP BOX "/>
    <n v="35687.1"/>
  </r>
  <r>
    <s v="Facture comptabilisée"/>
    <m/>
    <x v="0"/>
    <x v="4509"/>
    <s v="103/2024 J"/>
    <d v="2024-11-13T00:00:00"/>
    <s v="300191"/>
    <s v="JTTL"/>
    <n v="3575.97"/>
  </r>
  <r>
    <s v="Facture comptabilisée"/>
    <m/>
    <x v="0"/>
    <x v="4510"/>
    <s v="103/2024 J"/>
    <d v="2024-11-13T00:00:00"/>
    <s v="300321"/>
    <s v="JIL LOGISTIQUE"/>
    <n v="21875"/>
  </r>
  <r>
    <s v="Facture comptabilisée"/>
    <m/>
    <x v="0"/>
    <x v="4511"/>
    <s v="01/2024 ASNI"/>
    <d v="2024-11-13T00:00:00"/>
    <s v="300423"/>
    <s v="ASNITRANS"/>
    <n v="3335.62"/>
  </r>
  <r>
    <s v="Facture comptabilisée"/>
    <m/>
    <x v="0"/>
    <x v="4512"/>
    <s v="02/2024 ASNI"/>
    <d v="2024-11-13T00:00:00"/>
    <s v="300423"/>
    <s v="ASNITRANS"/>
    <n v="3166.37"/>
  </r>
  <r>
    <s v="Facture comptabilisée"/>
    <m/>
    <x v="0"/>
    <x v="4513"/>
    <s v="03/2024 ASNI"/>
    <d v="2024-11-13T00:00:00"/>
    <s v="300423"/>
    <s v="ASNITRANS"/>
    <n v="3166.37"/>
  </r>
  <r>
    <s v="Facture comptabilisée"/>
    <m/>
    <x v="0"/>
    <x v="4514"/>
    <s v="04/2024 ASNI"/>
    <d v="2024-11-13T00:00:00"/>
    <s v="300423"/>
    <s v="ASNITRANS"/>
    <n v="3166.37"/>
  </r>
  <r>
    <s v="Facture comptabilisée"/>
    <m/>
    <x v="0"/>
    <x v="4515"/>
    <s v="COMPLEMENT"/>
    <d v="2024-11-14T00:00:00"/>
    <s v="300043"/>
    <s v="DOUANE"/>
    <n v="4873"/>
  </r>
  <r>
    <s v="Facture comptabilisée"/>
    <m/>
    <x v="0"/>
    <x v="4516"/>
    <s v="104/2024 J"/>
    <d v="2024-11-14T00:00:00"/>
    <s v="300191"/>
    <s v="JTTL"/>
    <n v="3284.87"/>
  </r>
  <r>
    <s v="Facture comptabilisée"/>
    <m/>
    <x v="0"/>
    <x v="4517"/>
    <s v="105/2024 J"/>
    <d v="2024-11-14T00:00:00"/>
    <s v="300191"/>
    <s v="JTTL"/>
    <n v="3284.87"/>
  </r>
  <r>
    <s v="Facture comptabilisée"/>
    <m/>
    <x v="0"/>
    <x v="4518"/>
    <s v="105/2024 J"/>
    <d v="2024-11-14T00:00:00"/>
    <s v="300321"/>
    <s v="JIL LOGISTIQUE"/>
    <n v="20125"/>
  </r>
  <r>
    <s v="Facture comptabilisée"/>
    <m/>
    <x v="0"/>
    <x v="4519"/>
    <s v="05/2024 ASNI"/>
    <d v="2024-11-14T00:00:00"/>
    <s v="300321"/>
    <s v="JIL LOGISTIQUE"/>
    <n v="38500"/>
  </r>
  <r>
    <s v="Facture comptabilisée"/>
    <m/>
    <x v="0"/>
    <x v="4520"/>
    <s v="104/2024 J"/>
    <d v="2024-11-14T00:00:00"/>
    <s v="300321"/>
    <s v="JIL LOGISTIQUE"/>
    <n v="20125"/>
  </r>
  <r>
    <s v="Facture comptabilisée"/>
    <m/>
    <x v="0"/>
    <x v="4521"/>
    <s v="06/2024 GAMMA"/>
    <d v="2024-11-14T00:00:00"/>
    <s v="300398"/>
    <s v="EXPERT FREIGHT"/>
    <n v="29573.3"/>
  </r>
  <r>
    <s v="Facture comptabilisée"/>
    <m/>
    <x v="0"/>
    <x v="4522"/>
    <s v="07/2024 ASNI"/>
    <d v="2024-11-15T00:00:00"/>
    <s v="300043"/>
    <s v="DOUANE"/>
    <n v="1301"/>
  </r>
  <r>
    <s v="Facture comptabilisée"/>
    <m/>
    <x v="0"/>
    <x v="4523"/>
    <s v="780ML"/>
    <d v="2024-11-15T00:00:00"/>
    <s v="300133"/>
    <s v="OP BOX "/>
    <n v="11952"/>
  </r>
  <r>
    <s v="Facture comptabilisée"/>
    <m/>
    <x v="0"/>
    <x v="4524"/>
    <s v="20L"/>
    <d v="2024-11-15T00:00:00"/>
    <s v="300133"/>
    <s v="OP BOX "/>
    <n v="41544.9"/>
  </r>
  <r>
    <s v="Facture comptabilisée"/>
    <m/>
    <x v="0"/>
    <x v="4525"/>
    <s v="07/2024 ASNI"/>
    <d v="2024-11-15T00:00:00"/>
    <s v="300321"/>
    <s v="JIL LOGISTIQUE"/>
    <n v="38500"/>
  </r>
  <r>
    <s v="Facture comptabilisée"/>
    <m/>
    <x v="0"/>
    <x v="4526"/>
    <s v="Commande  15"/>
    <d v="2024-11-18T00:00:00"/>
    <s v="300344"/>
    <s v="PADEL NUESTRO"/>
    <n v="344831.71"/>
  </r>
  <r>
    <s v="Facture comptabilisée"/>
    <m/>
    <x v="0"/>
    <x v="4527"/>
    <s v="COPAG"/>
    <d v="2024-11-19T00:00:00"/>
    <s v="300115"/>
    <s v="AUXILIAR CONSERVERA SA"/>
    <n v="203686.56"/>
  </r>
  <r>
    <s v="Facture comptabilisée"/>
    <m/>
    <x v="0"/>
    <x v="4528"/>
    <s v="4/4 NEUTRE"/>
    <d v="2024-11-20T00:00:00"/>
    <s v="300064"/>
    <s v="SONOCO Métal Packaging Maroc"/>
    <n v="108690"/>
  </r>
  <r>
    <s v="Facture comptabilisée"/>
    <m/>
    <x v="0"/>
    <x v="4529"/>
    <s v="5/1 NEUTRE"/>
    <d v="2024-11-20T00:00:00"/>
    <s v="300064"/>
    <s v="SONOCO Métal Packaging Maroc"/>
    <n v="31224"/>
  </r>
  <r>
    <s v="Facture comptabilisée"/>
    <m/>
    <x v="0"/>
    <x v="4530"/>
    <s v="100/2024 J"/>
    <d v="2024-11-20T00:00:00"/>
    <s v="300191"/>
    <s v="JTTL"/>
    <n v="164.34"/>
  </r>
  <r>
    <s v="Facture comptabilisée"/>
    <m/>
    <x v="0"/>
    <x v="4531"/>
    <s v="05/2024 ASNI"/>
    <d v="2024-11-20T00:00:00"/>
    <s v="300423"/>
    <s v="ASNITRANS"/>
    <n v="3166.37"/>
  </r>
  <r>
    <s v="Facture comptabilisée"/>
    <m/>
    <x v="0"/>
    <x v="4532"/>
    <s v="06/2024 ASNI"/>
    <d v="2024-11-20T00:00:00"/>
    <s v="300423"/>
    <s v="ASNITRANS"/>
    <n v="3166.37"/>
  </r>
  <r>
    <s v="Facture comptabilisée"/>
    <m/>
    <x v="0"/>
    <x v="4533"/>
    <s v="106/2024 J"/>
    <d v="2024-11-21T00:00:00"/>
    <s v="300191"/>
    <s v="JTTL"/>
    <n v="2865.12"/>
  </r>
  <r>
    <s v="Facture comptabilisée"/>
    <m/>
    <x v="0"/>
    <x v="4534"/>
    <s v="87/2024 J"/>
    <d v="2024-11-21T00:00:00"/>
    <s v="300191"/>
    <s v="JTTL"/>
    <n v="150.94999999999999"/>
  </r>
  <r>
    <s v="Facture comptabilisée"/>
    <m/>
    <x v="0"/>
    <x v="4535"/>
    <s v="107/2024 J"/>
    <d v="2024-11-21T00:00:00"/>
    <s v="300191"/>
    <s v="JTTL"/>
    <n v="4954.74"/>
  </r>
  <r>
    <s v="Facture comptabilisée"/>
    <m/>
    <x v="0"/>
    <x v="4536"/>
    <s v="108/2024 J"/>
    <d v="2024-11-21T00:00:00"/>
    <s v="300191"/>
    <s v="JTTL"/>
    <n v="3243.96"/>
  </r>
  <r>
    <s v="Facture comptabilisée"/>
    <m/>
    <x v="0"/>
    <x v="4537"/>
    <s v="84/2024 J"/>
    <d v="2024-11-21T00:00:00"/>
    <s v="300191"/>
    <s v="JTTL"/>
    <n v="190.09"/>
  </r>
  <r>
    <s v="Facture comptabilisée"/>
    <m/>
    <x v="0"/>
    <x v="4538"/>
    <s v="SILVER FOOD"/>
    <d v="2024-11-21T00:00:00"/>
    <s v="300381"/>
    <s v="ENVASES IBERICA"/>
    <n v="333934.96950000001"/>
  </r>
  <r>
    <s v="Facture comptabilisée"/>
    <m/>
    <x v="0"/>
    <x v="4539"/>
    <s v="RO85"/>
    <d v="2024-11-21T00:00:00"/>
    <s v="300381"/>
    <s v="ENVASES IBERICA"/>
    <n v="333934.96950000001"/>
  </r>
  <r>
    <s v="Facture comptabilisée"/>
    <m/>
    <x v="0"/>
    <x v="4540"/>
    <s v="115/2024 J"/>
    <d v="2024-11-21T00:00:00"/>
    <s v="300420"/>
    <s v="TRAFIMAR MAROC"/>
    <n v="9024.5"/>
  </r>
  <r>
    <s v="Facture comptabilisée"/>
    <m/>
    <x v="0"/>
    <x v="4541"/>
    <s v="55/2024"/>
    <d v="2024-11-22T00:00:00"/>
    <s v="300043"/>
    <s v="DOUANE"/>
    <n v="815"/>
  </r>
  <r>
    <s v="Facture comptabilisée"/>
    <m/>
    <x v="0"/>
    <x v="4542"/>
    <s v="06/2024 GAMMA"/>
    <d v="2024-11-22T00:00:00"/>
    <s v="300043"/>
    <s v="DOUANE"/>
    <n v="1045"/>
  </r>
  <r>
    <s v="Facture comptabilisée"/>
    <m/>
    <x v="0"/>
    <x v="4543"/>
    <s v="116/2024 J"/>
    <d v="2024-11-25T00:00:00"/>
    <s v="300043"/>
    <s v="DOUANE"/>
    <n v="740"/>
  </r>
  <r>
    <s v="Facture comptabilisée"/>
    <m/>
    <x v="0"/>
    <x v="4544"/>
    <s v="09/2024 ASNI"/>
    <d v="2024-11-25T00:00:00"/>
    <s v="300043"/>
    <s v="DOUANE"/>
    <n v="1291"/>
  </r>
  <r>
    <s v="Facture comptabilisée"/>
    <m/>
    <x v="0"/>
    <x v="4545"/>
    <s v="37/2024 AVOIR"/>
    <d v="2024-11-25T00:00:00"/>
    <s v="300101"/>
    <s v="ASMAE FORWARDING EXPRESS"/>
    <n v="2000"/>
  </r>
  <r>
    <s v="Facture comptabilisée"/>
    <m/>
    <x v="0"/>
    <x v="4546"/>
    <s v="JIL PACK A"/>
    <d v="2024-11-25T00:00:00"/>
    <s v="300381"/>
    <s v="ENVASES IBERICA"/>
    <n v="333934.96950000001"/>
  </r>
  <r>
    <s v="Facture comptabilisée"/>
    <m/>
    <x v="0"/>
    <x v="4547"/>
    <s v="IDNA FOOD"/>
    <d v="2024-11-25T00:00:00"/>
    <s v="300381"/>
    <s v="ENVASES IBERICA"/>
    <n v="333984.8677"/>
  </r>
  <r>
    <s v="Facture comptabilisée"/>
    <m/>
    <x v="0"/>
    <x v="4548"/>
    <s v="09/2024 ASNI"/>
    <d v="2024-11-26T00:00:00"/>
    <s v="300321"/>
    <s v="JIL LOGISTIQUE"/>
    <n v="35000"/>
  </r>
  <r>
    <s v="Facture comptabilisée"/>
    <m/>
    <x v="0"/>
    <x v="4549"/>
    <s v="COMPLEMENT"/>
    <d v="2024-11-27T00:00:00"/>
    <s v="300043"/>
    <s v="DOUANE"/>
    <n v="4358"/>
  </r>
  <r>
    <s v="Facture comptabilisée"/>
    <m/>
    <x v="0"/>
    <x v="4550"/>
    <s v="08/2024 ASNI"/>
    <d v="2024-11-27T00:00:00"/>
    <s v="300043"/>
    <s v="DOUANE"/>
    <n v="1289"/>
  </r>
  <r>
    <s v="Facture comptabilisée"/>
    <m/>
    <x v="0"/>
    <x v="4551"/>
    <s v="22/2024"/>
    <d v="2024-11-27T00:00:00"/>
    <s v="300101"/>
    <s v="ASMAE FORWARDING EXPRESS"/>
    <n v="3167.62"/>
  </r>
  <r>
    <s v="Facture comptabilisée"/>
    <m/>
    <x v="0"/>
    <x v="4552"/>
    <s v="07/2024 ASNI"/>
    <d v="2024-11-27T00:00:00"/>
    <s v="300423"/>
    <s v="ASNITRANS"/>
    <n v="3166.37"/>
  </r>
  <r>
    <s v="Facture comptabilisée"/>
    <m/>
    <x v="0"/>
    <x v="4553"/>
    <s v="110/2024 J"/>
    <d v="2024-11-28T00:00:00"/>
    <s v="300043"/>
    <s v="DOUANE"/>
    <n v="1301"/>
  </r>
  <r>
    <s v="Facture comptabilisée"/>
    <m/>
    <x v="0"/>
    <x v="4554"/>
    <s v="JIL PACK A"/>
    <d v="2024-11-28T00:00:00"/>
    <s v="300115"/>
    <s v="AUXILIAR CONSERVERA SA"/>
    <n v="346291.77"/>
  </r>
  <r>
    <s v="Facture comptabilisée"/>
    <m/>
    <x v="0"/>
    <x v="4555"/>
    <s v="JIL PACK A"/>
    <d v="2024-11-28T00:00:00"/>
    <s v="300115"/>
    <s v="AUXILIAR CONSERVERA SA"/>
    <n v="346254.57900000003"/>
  </r>
  <r>
    <s v="Facture comptabilisée"/>
    <m/>
    <x v="0"/>
    <x v="4556"/>
    <s v="AVEIRO"/>
    <d v="2024-11-28T00:00:00"/>
    <s v="300381"/>
    <s v="ENVASES IBERICA"/>
    <n v="333934.96950000001"/>
  </r>
  <r>
    <s v="Facture comptabilisée"/>
    <m/>
    <x v="0"/>
    <x v="4557"/>
    <s v="109/2024 J"/>
    <d v="2024-11-29T00:00:00"/>
    <s v="300043"/>
    <s v="DOUANE"/>
    <n v="1310"/>
  </r>
  <r>
    <s v="Facture comptabilisée"/>
    <m/>
    <x v="0"/>
    <x v="4558"/>
    <s v="10/2024 ASNI"/>
    <d v="2024-11-29T00:00:00"/>
    <s v="300043"/>
    <s v="DOUANE"/>
    <n v="1290"/>
  </r>
  <r>
    <s v="Facture comptabilisée"/>
    <m/>
    <x v="0"/>
    <x v="4559"/>
    <s v="VMM"/>
    <d v="2024-11-29T00:00:00"/>
    <s v="300381"/>
    <s v="ENVASES IBERICA"/>
    <n v="340613.11349999998"/>
  </r>
  <r>
    <s v="Facture comptabilisée"/>
    <m/>
    <x v="0"/>
    <x v="4560"/>
    <s v="08/2024 ASNI"/>
    <d v="2024-11-29T00:00:00"/>
    <s v="300423"/>
    <s v="ASNITRANS"/>
    <n v="2746.37"/>
  </r>
  <r>
    <s v="Facture comptabilisée"/>
    <m/>
    <x v="0"/>
    <x v="4561"/>
    <s v="09/2024 ASNI"/>
    <d v="2024-11-29T00:00:00"/>
    <s v="300423"/>
    <s v="ASNITRANS"/>
    <n v="3166.37"/>
  </r>
  <r>
    <s v="Facture comptabilisée"/>
    <m/>
    <x v="0"/>
    <x v="4562"/>
    <s v="111/2024 J"/>
    <d v="2024-11-30T00:00:00"/>
    <s v="300043"/>
    <s v="DOUANE"/>
    <n v="1310"/>
  </r>
  <r>
    <s v="Facture comptabilisée"/>
    <m/>
    <x v="0"/>
    <x v="4563"/>
    <s v="109/2024 J"/>
    <d v="2024-11-30T00:00:00"/>
    <s v="300191"/>
    <s v="JTTL"/>
    <n v="3237.47"/>
  </r>
  <r>
    <s v="Facture comptabilisée"/>
    <m/>
    <x v="0"/>
    <x v="4564"/>
    <s v="110/2024 J"/>
    <d v="2024-11-30T00:00:00"/>
    <s v="300191"/>
    <s v="JTTL"/>
    <n v="4784.3999999999996"/>
  </r>
  <r>
    <s v="Facture comptabilisée"/>
    <m/>
    <x v="0"/>
    <x v="4565"/>
    <s v="111/2024 J"/>
    <d v="2024-11-30T00:00:00"/>
    <s v="300191"/>
    <s v="JTTL"/>
    <n v="3237.47"/>
  </r>
  <r>
    <s v="Facture comptabilisée"/>
    <m/>
    <x v="0"/>
    <x v="4566"/>
    <s v="110/2024 J"/>
    <d v="2024-11-30T00:00:00"/>
    <s v="300321"/>
    <s v="JIL LOGISTIQUE"/>
    <n v="38500"/>
  </r>
  <r>
    <s v="Facture comptabilisée"/>
    <m/>
    <x v="0"/>
    <x v="4567"/>
    <s v="08/2024 ASNI"/>
    <d v="2024-11-30T00:00:00"/>
    <s v="300321"/>
    <s v="JIL LOGISTIQUE"/>
    <n v="35000"/>
  </r>
  <r>
    <s v="Facture comptabilisée"/>
    <m/>
    <x v="0"/>
    <x v="4568"/>
    <s v="10/2024 ASNI"/>
    <d v="2024-11-30T00:00:00"/>
    <s v="300321"/>
    <s v="JIL LOGISTIQUE"/>
    <n v="38500"/>
  </r>
  <r>
    <s v="Facture comptabilisée"/>
    <m/>
    <x v="0"/>
    <x v="4569"/>
    <s v="112/2024 J"/>
    <d v="2024-11-30T00:00:00"/>
    <s v="300321"/>
    <s v="JIL LOGISTIQUE"/>
    <n v="38500"/>
  </r>
  <r>
    <s v="Facture comptabilisée"/>
    <m/>
    <x v="0"/>
    <x v="4570"/>
    <s v="06/2024 GAMMA"/>
    <d v="2024-11-30T00:00:00"/>
    <s v="300400"/>
    <s v="GAMMA TRANSIT"/>
    <n v="3848"/>
  </r>
  <r>
    <s v="Facture comptabilisée"/>
    <m/>
    <x v="0"/>
    <x v="4571"/>
    <s v="10/2024 ASNI"/>
    <d v="2024-11-30T00:00:00"/>
    <s v="300423"/>
    <s v="ASNITRANS"/>
    <n v="3369.8"/>
  </r>
  <r>
    <s v="Facture comptabilisée"/>
    <m/>
    <x v="0"/>
    <x v="4572"/>
    <s v="12/2024 ASNI"/>
    <d v="2024-12-02T00:00:00"/>
    <s v="300043"/>
    <s v="DOUANE"/>
    <n v="1320"/>
  </r>
  <r>
    <s v="Facture comptabilisée"/>
    <m/>
    <x v="0"/>
    <x v="4573"/>
    <s v="112/2024 J"/>
    <d v="2024-12-02T00:00:00"/>
    <s v="300043"/>
    <s v="DOUANE"/>
    <n v="1302"/>
  </r>
  <r>
    <s v="Facture comptabilisée"/>
    <m/>
    <x v="0"/>
    <x v="4574"/>
    <s v="115/2024 J"/>
    <d v="2024-12-02T00:00:00"/>
    <s v="300043"/>
    <s v="DOUANE"/>
    <n v="1144"/>
  </r>
  <r>
    <s v="Facture comptabilisée"/>
    <m/>
    <x v="0"/>
    <x v="4575"/>
    <s v="VMM*1*"/>
    <d v="2024-12-02T00:00:00"/>
    <s v="300115"/>
    <s v="AUXILIAR CONSERVERA SA"/>
    <n v="69058.572"/>
  </r>
  <r>
    <s v="Facture comptabilisée"/>
    <m/>
    <x v="0"/>
    <x v="4576"/>
    <s v="JIL PACK A*2*"/>
    <d v="2024-12-02T00:00:00"/>
    <s v="300115"/>
    <s v="AUXILIAR CONSERVERA SA"/>
    <n v="226372.98420000001"/>
  </r>
  <r>
    <s v="Facture comptabilisée"/>
    <m/>
    <x v="0"/>
    <x v="4577"/>
    <s v="111/2024 J"/>
    <d v="2024-12-02T00:00:00"/>
    <s v="300321"/>
    <s v="JIL LOGISTIQUE"/>
    <n v="21875"/>
  </r>
  <r>
    <s v="Facture comptabilisée"/>
    <m/>
    <x v="0"/>
    <x v="4578"/>
    <s v="109/2024 J"/>
    <d v="2024-12-02T00:00:00"/>
    <s v="300321"/>
    <s v="JIL LOGISTIQUE"/>
    <n v="21875"/>
  </r>
  <r>
    <s v="Facture comptabilisée"/>
    <m/>
    <x v="0"/>
    <x v="4579"/>
    <s v="JIL PACK A"/>
    <d v="2024-12-02T00:00:00"/>
    <s v="300381"/>
    <s v="ENVASES IBERICA"/>
    <n v="333934.96950000001"/>
  </r>
  <r>
    <s v="Facture comptabilisée"/>
    <m/>
    <x v="0"/>
    <x v="4580"/>
    <s v="COMPLEMENT"/>
    <d v="2024-12-03T00:00:00"/>
    <s v="300043"/>
    <s v="DOUANE"/>
    <n v="4903"/>
  </r>
  <r>
    <s v="Facture comptabilisée"/>
    <m/>
    <x v="0"/>
    <x v="4581"/>
    <s v="114/2024 J"/>
    <d v="2024-12-03T00:00:00"/>
    <s v="300043"/>
    <s v="DOUANE"/>
    <n v="35483"/>
  </r>
  <r>
    <s v="Facture comptabilisée"/>
    <m/>
    <x v="0"/>
    <x v="4582"/>
    <s v="12/2024 ASNI"/>
    <d v="2024-12-03T00:00:00"/>
    <s v="300321"/>
    <s v="JIL LOGISTIQUE"/>
    <n v="33250"/>
  </r>
  <r>
    <s v="Facture comptabilisée"/>
    <m/>
    <x v="0"/>
    <x v="4583"/>
    <s v="RO 85 NEUTRE"/>
    <d v="2024-12-03T00:00:00"/>
    <s v="300381"/>
    <s v="ENVASES IBERICA"/>
    <n v="674.3"/>
  </r>
  <r>
    <s v="Facture comptabilisée"/>
    <m/>
    <x v="0"/>
    <x v="4584"/>
    <s v="11/2024 ASNI"/>
    <d v="2024-12-04T00:00:00"/>
    <s v="300043"/>
    <s v="DOUANE"/>
    <n v="1280"/>
  </r>
  <r>
    <s v="Facture comptabilisée"/>
    <m/>
    <x v="0"/>
    <x v="4585"/>
    <s v="VMM"/>
    <d v="2024-12-04T00:00:00"/>
    <s v="300115"/>
    <s v="AUXILIAR CONSERVERA SA"/>
    <n v="3068.12"/>
  </r>
  <r>
    <s v="Facture comptabilisée"/>
    <m/>
    <x v="0"/>
    <x v="4586"/>
    <s v="112/2024 J"/>
    <d v="2024-12-04T00:00:00"/>
    <s v="300191"/>
    <s v="JTTL"/>
    <n v="3430.42"/>
  </r>
  <r>
    <s v="Facture comptabilisée"/>
    <m/>
    <x v="0"/>
    <x v="4587"/>
    <s v="VMM"/>
    <d v="2024-12-04T00:00:00"/>
    <s v="300381"/>
    <s v="ENVASES IBERICA"/>
    <n v="340613.11349999998"/>
  </r>
  <r>
    <s v="Facture comptabilisée"/>
    <m/>
    <x v="0"/>
    <x v="4588"/>
    <s v="VMM"/>
    <d v="2024-12-04T00:00:00"/>
    <s v="300381"/>
    <s v="ENVASES IBERICA"/>
    <n v="340613.11349999998"/>
  </r>
  <r>
    <s v="Facture comptabilisée"/>
    <m/>
    <x v="0"/>
    <x v="4589"/>
    <s v="113/2024 J"/>
    <d v="2024-12-05T00:00:00"/>
    <s v="300043"/>
    <s v="DOUANE"/>
    <n v="1137"/>
  </r>
  <r>
    <s v="Facture comptabilisée"/>
    <m/>
    <x v="0"/>
    <x v="4590"/>
    <s v="11/2024 ASNI"/>
    <d v="2024-12-05T00:00:00"/>
    <s v="300321"/>
    <s v="JIL LOGISTIQUE"/>
    <n v="35000"/>
  </r>
  <r>
    <s v="Facture comptabilisée"/>
    <m/>
    <x v="0"/>
    <x v="4591"/>
    <s v=" 5/1"/>
    <d v="2024-12-06T00:00:00"/>
    <s v="300064"/>
    <s v="SONOCO Métal Packaging Maroc"/>
    <n v="93252"/>
  </r>
  <r>
    <s v="Facture comptabilisée"/>
    <m/>
    <x v="0"/>
    <x v="4592"/>
    <d v="2026-04-04T00:00:00"/>
    <d v="2024-12-06T00:00:00"/>
    <s v="300064"/>
    <s v="SONOCO Métal Packaging Maroc"/>
    <n v="43602"/>
  </r>
  <r>
    <s v="Facture comptabilisée"/>
    <m/>
    <x v="0"/>
    <x v="4593"/>
    <s v="10L"/>
    <d v="2024-12-06T00:00:00"/>
    <s v="300133"/>
    <s v="OP BOX "/>
    <n v="11981.84"/>
  </r>
  <r>
    <s v="Facture comptabilisée"/>
    <m/>
    <x v="0"/>
    <x v="4594"/>
    <s v="113/2024 J"/>
    <d v="2024-12-06T00:00:00"/>
    <s v="300321"/>
    <s v="JIL LOGISTIQUE"/>
    <n v="20125"/>
  </r>
  <r>
    <s v="Facture comptabilisée"/>
    <m/>
    <x v="0"/>
    <x v="4595"/>
    <s v="COMPLEMENT"/>
    <d v="2024-12-09T00:00:00"/>
    <s v="300043"/>
    <s v="DOUANE"/>
    <n v="4666"/>
  </r>
  <r>
    <s v="Facture comptabilisée"/>
    <m/>
    <x v="0"/>
    <x v="4596"/>
    <s v="13/2024 ASNI"/>
    <d v="2024-12-09T00:00:00"/>
    <s v="300043"/>
    <s v="DOUANE"/>
    <n v="1302"/>
  </r>
  <r>
    <s v="Facture comptabilisée"/>
    <m/>
    <x v="0"/>
    <x v="4597"/>
    <s v="14/2024 ASNI"/>
    <d v="2024-12-09T00:00:00"/>
    <s v="300043"/>
    <s v="DOUANE"/>
    <n v="1302"/>
  </r>
  <r>
    <s v="Facture comptabilisée"/>
    <m/>
    <x v="0"/>
    <x v="4598"/>
    <s v="13/2024 ASNI"/>
    <d v="2024-12-09T00:00:00"/>
    <s v="300321"/>
    <s v="JIL LOGISTIQUE"/>
    <n v="31500"/>
  </r>
  <r>
    <s v="Facture comptabilisée"/>
    <m/>
    <x v="0"/>
    <x v="4599"/>
    <s v="VMM"/>
    <d v="2024-12-09T00:00:00"/>
    <s v="300381"/>
    <s v="ENVASES IBERICA"/>
    <n v="340613.11349999998"/>
  </r>
  <r>
    <s v="Facture comptabilisée"/>
    <m/>
    <x v="0"/>
    <x v="4600"/>
    <s v="VMM"/>
    <d v="2024-12-09T00:00:00"/>
    <s v="300381"/>
    <s v="ENVASES IBERICA"/>
    <n v="340613.11349999998"/>
  </r>
  <r>
    <s v="Facture comptabilisée"/>
    <m/>
    <x v="0"/>
    <x v="4601"/>
    <s v="VMM"/>
    <d v="2024-12-09T00:00:00"/>
    <s v="300381"/>
    <s v="ENVASES IBERICA"/>
    <n v="340613.11349999998"/>
  </r>
  <r>
    <s v="Facture comptabilisée"/>
    <m/>
    <x v="0"/>
    <x v="4602"/>
    <s v="113/2024 J"/>
    <d v="2024-12-10T00:00:00"/>
    <s v="300191"/>
    <s v="JTTL"/>
    <n v="3284.87"/>
  </r>
  <r>
    <s v="Facture comptabilisée"/>
    <m/>
    <x v="0"/>
    <x v="4603"/>
    <s v="114/2024 J"/>
    <d v="2024-12-10T00:00:00"/>
    <s v="300191"/>
    <s v="JTTL"/>
    <n v="31090.43"/>
  </r>
  <r>
    <s v="Facture comptabilisée"/>
    <m/>
    <x v="0"/>
    <x v="4604"/>
    <s v="115/2024 J"/>
    <d v="2024-12-10T00:00:00"/>
    <s v="300191"/>
    <s v="JTTL"/>
    <n v="10002.959999999999"/>
  </r>
  <r>
    <s v="Facture comptabilisée"/>
    <m/>
    <x v="0"/>
    <x v="4605"/>
    <s v="14/2024 ASNI"/>
    <d v="2024-12-10T00:00:00"/>
    <s v="300321"/>
    <s v="JIL LOGISTIQUE"/>
    <n v="31500"/>
  </r>
  <r>
    <s v="Facture comptabilisée"/>
    <m/>
    <x v="0"/>
    <x v="4606"/>
    <s v="JIL PACK A"/>
    <d v="2024-12-10T00:00:00"/>
    <s v="300381"/>
    <s v="ENVASES IBERICA"/>
    <n v="333934.96950000001"/>
  </r>
  <r>
    <s v="Facture comptabilisée"/>
    <m/>
    <x v="0"/>
    <x v="4607"/>
    <s v="JIL PACK A"/>
    <d v="2024-12-10T00:00:00"/>
    <s v="300381"/>
    <s v="ENVASES IBERICA"/>
    <n v="333934.96950000001"/>
  </r>
  <r>
    <s v="Facture comptabilisée"/>
    <m/>
    <x v="0"/>
    <x v="4608"/>
    <s v="VMM"/>
    <d v="2024-12-10T00:00:00"/>
    <s v="300381"/>
    <s v="ENVASES IBERICA"/>
    <n v="340613.11349999998"/>
  </r>
  <r>
    <s v="Facture comptabilisée"/>
    <m/>
    <x v="0"/>
    <x v="4609"/>
    <s v="VMM"/>
    <d v="2024-12-10T00:00:00"/>
    <s v="300381"/>
    <s v="ENVASES IBERICA"/>
    <n v="340613.11349999998"/>
  </r>
  <r>
    <s v="Facture comptabilisée"/>
    <m/>
    <x v="0"/>
    <x v="4610"/>
    <s v="11/2024 ASNI"/>
    <d v="2024-12-10T00:00:00"/>
    <s v="300423"/>
    <s v="ASNITRANS"/>
    <n v="3166.37"/>
  </r>
  <r>
    <s v="Facture comptabilisée"/>
    <m/>
    <x v="0"/>
    <x v="4611"/>
    <s v="12/2024 ASNI"/>
    <d v="2024-12-10T00:00:00"/>
    <s v="300423"/>
    <s v="ASNITRANS"/>
    <n v="3335.62"/>
  </r>
  <r>
    <s v="Facture comptabilisée"/>
    <m/>
    <x v="0"/>
    <x v="4612"/>
    <s v="COMPLEMENT"/>
    <d v="2024-12-11T00:00:00"/>
    <s v="300043"/>
    <s v="DOUANE"/>
    <n v="4693"/>
  </r>
  <r>
    <s v="Facture comptabilisée"/>
    <m/>
    <x v="0"/>
    <x v="4613"/>
    <s v="17/2024 ASNI"/>
    <d v="2024-12-11T00:00:00"/>
    <s v="300043"/>
    <s v="DOUANE"/>
    <n v="1305"/>
  </r>
  <r>
    <s v="Facture comptabilisée"/>
    <m/>
    <x v="0"/>
    <x v="4614"/>
    <s v="16/2024 ASNI"/>
    <d v="2024-12-11T00:00:00"/>
    <s v="300043"/>
    <s v="DOUANE"/>
    <n v="1305"/>
  </r>
  <r>
    <s v="Facture comptabilisée"/>
    <m/>
    <x v="0"/>
    <x v="4615"/>
    <s v="15/2024 ASNI"/>
    <d v="2024-12-11T00:00:00"/>
    <s v="300043"/>
    <s v="DOUANE"/>
    <n v="1305"/>
  </r>
  <r>
    <s v="Facture comptabilisée"/>
    <m/>
    <x v="0"/>
    <x v="4616"/>
    <s v="JIL PACK A"/>
    <d v="2024-12-11T00:00:00"/>
    <s v="300115"/>
    <s v="AUXILIAR CONSERVERA SA"/>
    <n v="346254.57900000003"/>
  </r>
  <r>
    <s v="Facture comptabilisée"/>
    <m/>
    <x v="0"/>
    <x v="4617"/>
    <s v="JIL PACK A"/>
    <d v="2024-12-11T00:00:00"/>
    <s v="300115"/>
    <s v="AUXILIAR CONSERVERA SA"/>
    <n v="346254.57900000003"/>
  </r>
  <r>
    <s v="Facture comptabilisée"/>
    <m/>
    <x v="0"/>
    <x v="4618"/>
    <s v="5.5 AM"/>
    <d v="2024-12-11T00:00:00"/>
    <s v="300133"/>
    <s v="OP BOX "/>
    <n v="11970"/>
  </r>
  <r>
    <s v="Facture comptabilisée"/>
    <m/>
    <x v="0"/>
    <x v="4619"/>
    <s v="22/2024 ASNI"/>
    <d v="2024-12-12T00:00:00"/>
    <s v="300043"/>
    <s v="DOUANE"/>
    <n v="1300"/>
  </r>
  <r>
    <s v="Facture comptabilisée"/>
    <m/>
    <x v="0"/>
    <x v="4620"/>
    <s v="26/2024 ASNI"/>
    <d v="2024-12-12T00:00:00"/>
    <s v="300043"/>
    <s v="DOUANE"/>
    <n v="1300"/>
  </r>
  <r>
    <s v="Facture comptabilisée"/>
    <m/>
    <x v="0"/>
    <x v="4621"/>
    <s v="25/2024 ASNI"/>
    <d v="2024-12-12T00:00:00"/>
    <s v="300043"/>
    <s v="DOUANE"/>
    <n v="1278"/>
  </r>
  <r>
    <s v="Facture comptabilisée"/>
    <m/>
    <x v="0"/>
    <x v="4622"/>
    <s v="24/2024 ASNI"/>
    <d v="2024-12-12T00:00:00"/>
    <s v="300043"/>
    <s v="DOUANE"/>
    <n v="1296"/>
  </r>
  <r>
    <s v="Facture comptabilisée"/>
    <m/>
    <x v="0"/>
    <x v="4623"/>
    <s v="23/2024 ASNI"/>
    <d v="2024-12-12T00:00:00"/>
    <s v="300043"/>
    <s v="DOUANE"/>
    <n v="1278"/>
  </r>
  <r>
    <s v="Facture comptabilisée"/>
    <m/>
    <x v="0"/>
    <x v="4624"/>
    <s v="JIL PACK A"/>
    <d v="2024-12-12T00:00:00"/>
    <s v="300115"/>
    <s v="AUXILIAR CONSERVERA SA"/>
    <n v="346254.57900000003"/>
  </r>
  <r>
    <s v="Facture comptabilisée"/>
    <m/>
    <x v="0"/>
    <x v="4625"/>
    <s v="15/2024 ASNI"/>
    <d v="2024-12-12T00:00:00"/>
    <s v="300321"/>
    <s v="JIL LOGISTIQUE"/>
    <n v="31500"/>
  </r>
  <r>
    <s v="Facture comptabilisée"/>
    <m/>
    <x v="0"/>
    <x v="4626"/>
    <s v="17/2024 ASNI"/>
    <d v="2024-12-12T00:00:00"/>
    <s v="300321"/>
    <s v="JIL LOGISTIQUE"/>
    <n v="31500"/>
  </r>
  <r>
    <s v="Facture comptabilisée"/>
    <m/>
    <x v="0"/>
    <x v="4627"/>
    <s v="16/2024 ASNI"/>
    <d v="2024-12-12T00:00:00"/>
    <s v="300321"/>
    <s v="JIL LOGISTIQUE"/>
    <n v="31500"/>
  </r>
  <r>
    <s v="Facture comptabilisée"/>
    <m/>
    <x v="0"/>
    <x v="4628"/>
    <s v="27/2024 ASNI"/>
    <d v="2024-12-13T00:00:00"/>
    <s v="300043"/>
    <s v="DOUANE"/>
    <n v="1296"/>
  </r>
  <r>
    <s v="Facture comptabilisée"/>
    <m/>
    <x v="0"/>
    <x v="4629"/>
    <s v="5500 AM"/>
    <d v="2024-12-13T00:00:00"/>
    <s v="300133"/>
    <s v="OP BOX "/>
    <n v="27205.200000000001"/>
  </r>
  <r>
    <s v="Facture comptabilisée"/>
    <m/>
    <x v="0"/>
    <x v="4630"/>
    <s v="23/2024 ASNI"/>
    <d v="2024-12-13T00:00:00"/>
    <s v="300321"/>
    <s v="JIL LOGISTIQUE"/>
    <n v="35000"/>
  </r>
  <r>
    <s v="Facture comptabilisée"/>
    <m/>
    <x v="0"/>
    <x v="4631"/>
    <s v="22/2024 ASNI"/>
    <d v="2024-12-13T00:00:00"/>
    <s v="300321"/>
    <s v="JIL LOGISTIQUE"/>
    <n v="31500"/>
  </r>
  <r>
    <s v="Facture comptabilisée"/>
    <m/>
    <x v="0"/>
    <x v="4632"/>
    <s v="26/2024 ASNI"/>
    <d v="2024-12-13T00:00:00"/>
    <s v="300321"/>
    <s v="JIL LOGISTIQUE"/>
    <n v="31500"/>
  </r>
  <r>
    <s v="Facture comptabilisée"/>
    <m/>
    <x v="0"/>
    <x v="4633"/>
    <s v="24/2024 ASNI"/>
    <d v="2024-12-13T00:00:00"/>
    <s v="300321"/>
    <s v="JIL LOGISTIQUE"/>
    <n v="20125"/>
  </r>
  <r>
    <s v="Facture comptabilisée"/>
    <m/>
    <x v="0"/>
    <x v="4634"/>
    <s v="JP A*SILVER*"/>
    <d v="2024-12-13T00:00:00"/>
    <s v="300381"/>
    <s v="ENVASES IBERICA"/>
    <n v="333934.96950000001"/>
  </r>
  <r>
    <s v="Facture comptabilisée"/>
    <m/>
    <x v="0"/>
    <x v="4635"/>
    <s v="JIL PACK A"/>
    <d v="2024-12-13T00:00:00"/>
    <s v="300381"/>
    <s v="ENVASES IBERICA"/>
    <n v="333934.96950000001"/>
  </r>
  <r>
    <s v="Facture comptabilisée"/>
    <m/>
    <x v="0"/>
    <x v="4636"/>
    <s v="LOGI FOOD"/>
    <d v="2024-12-13T00:00:00"/>
    <s v="300381"/>
    <s v="ENVASES IBERICA"/>
    <n v="357709.20899999997"/>
  </r>
  <r>
    <s v="Facture comptabilisée"/>
    <m/>
    <x v="0"/>
    <x v="4637"/>
    <s v="27/2024 ASNI"/>
    <d v="2024-12-14T00:00:00"/>
    <s v="300321"/>
    <s v="JIL LOGISTIQUE"/>
    <n v="21000"/>
  </r>
  <r>
    <s v="Facture comptabilisée"/>
    <m/>
    <x v="0"/>
    <x v="4638"/>
    <s v="25/2024 ASNI"/>
    <d v="2024-12-14T00:00:00"/>
    <s v="300321"/>
    <s v="JIL LOGISTIQUE"/>
    <n v="35000"/>
  </r>
  <r>
    <s v="Facture comptabilisée"/>
    <m/>
    <x v="0"/>
    <x v="4639"/>
    <s v="COMPLEMENT"/>
    <d v="2024-12-16T00:00:00"/>
    <s v="300043"/>
    <s v="DOUANE"/>
    <n v="3668"/>
  </r>
  <r>
    <s v="Facture comptabilisée"/>
    <m/>
    <x v="0"/>
    <x v="4640"/>
    <s v="19/2024 ASNI"/>
    <d v="2024-12-16T00:00:00"/>
    <s v="300043"/>
    <s v="DOUANE"/>
    <n v="1294"/>
  </r>
  <r>
    <s v="Facture comptabilisée"/>
    <m/>
    <x v="0"/>
    <x v="4641"/>
    <s v="20/2024 ASNI"/>
    <d v="2024-12-16T00:00:00"/>
    <s v="300043"/>
    <s v="DOUANE"/>
    <n v="1277"/>
  </r>
  <r>
    <s v="Facture comptabilisée"/>
    <m/>
    <x v="0"/>
    <x v="4642"/>
    <s v="21/2024 ASNI"/>
    <d v="2024-12-16T00:00:00"/>
    <s v="300043"/>
    <s v="DOUANE"/>
    <n v="1352"/>
  </r>
  <r>
    <s v="Facture comptabilisée"/>
    <m/>
    <x v="0"/>
    <x v="4643"/>
    <s v="18/2024 ASNI"/>
    <d v="2024-12-16T00:00:00"/>
    <s v="300043"/>
    <s v="DOUANE"/>
    <n v="1277"/>
  </r>
  <r>
    <s v="Facture comptabilisée"/>
    <m/>
    <x v="0"/>
    <x v="4644"/>
    <s v="BTE JITNEY"/>
    <d v="2024-12-16T00:00:00"/>
    <s v="300115"/>
    <s v="AUXILIAR CONSERVERA SA"/>
    <n v="5587.56"/>
  </r>
  <r>
    <s v="Facture comptabilisée"/>
    <m/>
    <x v="0"/>
    <x v="4645"/>
    <s v="SILVER FOOD"/>
    <d v="2024-12-16T00:00:00"/>
    <s v="300381"/>
    <s v="ENVASES IBERICA"/>
    <n v="333934.96950000001"/>
  </r>
  <r>
    <s v="Facture comptabilisée"/>
    <m/>
    <x v="0"/>
    <x v="4646"/>
    <s v="13/2024 ASNI"/>
    <d v="2024-12-16T00:00:00"/>
    <s v="300423"/>
    <s v="ASNITRANS"/>
    <n v="3166.37"/>
  </r>
  <r>
    <s v="Facture comptabilisée"/>
    <m/>
    <x v="0"/>
    <x v="4647"/>
    <s v="14/2024 ASNI"/>
    <d v="2024-12-16T00:00:00"/>
    <s v="300423"/>
    <s v="ASNITRANS"/>
    <n v="3166.37"/>
  </r>
  <r>
    <s v="Facture comptabilisée"/>
    <m/>
    <x v="0"/>
    <x v="4648"/>
    <s v="15/2024 ASNI"/>
    <d v="2024-12-16T00:00:00"/>
    <s v="300423"/>
    <s v="ASNITRANS"/>
    <n v="3166.37"/>
  </r>
  <r>
    <s v="Facture comptabilisée"/>
    <m/>
    <x v="0"/>
    <x v="4649"/>
    <s v="16/2024 ASNI"/>
    <d v="2024-12-16T00:00:00"/>
    <s v="300423"/>
    <s v="ASNITRANS"/>
    <n v="3166.37"/>
  </r>
  <r>
    <s v="Facture comptabilisée"/>
    <m/>
    <x v="0"/>
    <x v="4650"/>
    <s v="17/2024 ASNI"/>
    <d v="2024-12-16T00:00:00"/>
    <s v="300423"/>
    <s v="ASNITRANS"/>
    <n v="3166.37"/>
  </r>
  <r>
    <s v="Facture comptabilisée"/>
    <m/>
    <x v="0"/>
    <x v="4651"/>
    <s v="20/2024 ASNI"/>
    <d v="2024-12-17T00:00:00"/>
    <s v="300321"/>
    <s v="JIL LOGISTIQUE"/>
    <n v="35000"/>
  </r>
  <r>
    <s v="Facture comptabilisée"/>
    <m/>
    <x v="0"/>
    <x v="4652"/>
    <s v="21/2024 ASNI"/>
    <d v="2024-12-17T00:00:00"/>
    <s v="300321"/>
    <s v="JIL LOGISTIQUE"/>
    <n v="31500"/>
  </r>
  <r>
    <s v="Facture comptabilisée"/>
    <m/>
    <x v="0"/>
    <x v="4653"/>
    <s v="18/2024 ASNI"/>
    <d v="2024-12-17T00:00:00"/>
    <s v="300321"/>
    <s v="JIL LOGISTIQUE"/>
    <n v="31500"/>
  </r>
  <r>
    <s v="Facture comptabilisée"/>
    <m/>
    <x v="0"/>
    <x v="4654"/>
    <s v="19/2024 ASNI"/>
    <d v="2024-12-17T00:00:00"/>
    <s v="300321"/>
    <s v="JIL LOGISTIQUE"/>
    <n v="20125"/>
  </r>
  <r>
    <s v="Facture comptabilisée"/>
    <m/>
    <x v="0"/>
    <x v="4655"/>
    <s v="JIL PACK A"/>
    <d v="2024-12-17T00:00:00"/>
    <s v="300381"/>
    <s v="ENVASES IBERICA"/>
    <n v="333934.96950000001"/>
  </r>
  <r>
    <s v="Facture comptabilisée"/>
    <m/>
    <x v="0"/>
    <x v="4656"/>
    <s v="29/2024 ASNI"/>
    <d v="2024-12-18T00:00:00"/>
    <s v="300043"/>
    <s v="DOUANE"/>
    <n v="1277"/>
  </r>
  <r>
    <s v="Facture comptabilisée"/>
    <m/>
    <x v="0"/>
    <x v="4657"/>
    <s v="GLO FOOD"/>
    <d v="2024-12-18T00:00:00"/>
    <s v="300237"/>
    <s v="Saribekir Ambalaj - SBK"/>
    <n v="125757.1271"/>
  </r>
  <r>
    <s v="Facture comptabilisée"/>
    <m/>
    <x v="0"/>
    <x v="4658"/>
    <s v="28/2024 ASNI"/>
    <d v="2024-12-20T00:00:00"/>
    <s v="300043"/>
    <s v="DOUANE"/>
    <n v="1273"/>
  </r>
  <r>
    <s v="Facture comptabilisée"/>
    <m/>
    <x v="0"/>
    <x v="4659"/>
    <s v="CONSIGN"/>
    <d v="2024-12-20T00:00:00"/>
    <s v="300064"/>
    <s v="SONOCO Métal Packaging Maroc"/>
    <n v="26970"/>
  </r>
  <r>
    <s v="Facture comptabilisée"/>
    <m/>
    <x v="0"/>
    <x v="4660"/>
    <s v="29/2024 ASNI"/>
    <d v="2024-12-20T00:00:00"/>
    <s v="300321"/>
    <s v="JIL LOGISTIQUE"/>
    <n v="31500"/>
  </r>
  <r>
    <s v="Facture comptabilisée"/>
    <m/>
    <x v="0"/>
    <x v="4661"/>
    <s v="28/2024 ASNI"/>
    <d v="2024-12-21T00:00:00"/>
    <s v="300321"/>
    <s v="JIL LOGISTIQUE"/>
    <n v="35000"/>
  </r>
  <r>
    <s v="Facture comptabilisée"/>
    <m/>
    <x v="0"/>
    <x v="4662"/>
    <s v="18/2024 ASNI"/>
    <d v="2024-12-21T00:00:00"/>
    <s v="300423"/>
    <s v="ASNITRANS"/>
    <n v="3609.47"/>
  </r>
  <r>
    <s v="Facture comptabilisée"/>
    <m/>
    <x v="0"/>
    <x v="4663"/>
    <s v="19/2024 ASNI"/>
    <d v="2024-12-21T00:00:00"/>
    <s v="300423"/>
    <s v="ASNITRANS"/>
    <n v="3504.87"/>
  </r>
  <r>
    <s v="Facture comptabilisée"/>
    <m/>
    <x v="0"/>
    <x v="4664"/>
    <s v="20/2024 ASNI"/>
    <d v="2024-12-21T00:00:00"/>
    <s v="300423"/>
    <s v="ASNITRANS"/>
    <n v="3166.37"/>
  </r>
  <r>
    <s v="Facture comptabilisée"/>
    <m/>
    <x v="0"/>
    <x v="4665"/>
    <s v="21/2024 ASNI"/>
    <d v="2024-12-21T00:00:00"/>
    <s v="300423"/>
    <s v="ASNITRANS"/>
    <n v="3166.37"/>
  </r>
  <r>
    <s v="Facture comptabilisée"/>
    <m/>
    <x v="0"/>
    <x v="4666"/>
    <s v="22/2024 ASNI"/>
    <d v="2024-12-21T00:00:00"/>
    <s v="300423"/>
    <s v="ASNITRANS"/>
    <n v="3166.37"/>
  </r>
  <r>
    <s v="Facture comptabilisée"/>
    <m/>
    <x v="0"/>
    <x v="4667"/>
    <s v="23/2024 ASNI"/>
    <d v="2024-12-21T00:00:00"/>
    <s v="300423"/>
    <s v="ASNITRANS"/>
    <n v="3166.37"/>
  </r>
  <r>
    <s v="Facture comptabilisée"/>
    <m/>
    <x v="0"/>
    <x v="4668"/>
    <s v="24/2024 ASNI"/>
    <d v="2024-12-21T00:00:00"/>
    <s v="300423"/>
    <s v="ASNITRANS"/>
    <n v="3166.37"/>
  </r>
  <r>
    <s v="Facture comptabilisée"/>
    <m/>
    <x v="0"/>
    <x v="4669"/>
    <s v="25/2024 ASNI"/>
    <d v="2024-12-21T00:00:00"/>
    <s v="300423"/>
    <s v="ASNITRANS"/>
    <n v="3166.37"/>
  </r>
  <r>
    <s v="Facture comptabilisée"/>
    <m/>
    <x v="0"/>
    <x v="4670"/>
    <s v="26/2024 ASNI"/>
    <d v="2024-12-21T00:00:00"/>
    <s v="300423"/>
    <s v="ASNITRANS"/>
    <n v="3166.37"/>
  </r>
  <r>
    <s v="Facture comptabilisée"/>
    <m/>
    <x v="0"/>
    <x v="4671"/>
    <s v="27/2024 ASNI"/>
    <d v="2024-12-21T00:00:00"/>
    <s v="300423"/>
    <s v="ASNITRANS"/>
    <n v="3166.37"/>
  </r>
  <r>
    <s v="Facture comptabilisée"/>
    <m/>
    <x v="0"/>
    <x v="4672"/>
    <s v="116/2024 J"/>
    <d v="2024-12-25T00:00:00"/>
    <s v="300191"/>
    <s v="JTTL"/>
    <n v="8331.4"/>
  </r>
  <r>
    <s v="Facture comptabilisée"/>
    <m/>
    <x v="0"/>
    <x v="4673"/>
    <s v="117/2024 J"/>
    <d v="2024-12-25T00:00:00"/>
    <s v="300191"/>
    <s v="JTTL"/>
    <n v="9085.5300000000007"/>
  </r>
  <r>
    <s v="Facture comptabilisée"/>
    <m/>
    <x v="0"/>
    <x v="4674"/>
    <s v="28/2024 ASNI"/>
    <d v="2024-12-26T00:00:00"/>
    <s v="300423"/>
    <s v="ASNITRANS"/>
    <n v="3166.37"/>
  </r>
  <r>
    <s v="Facture comptabilisée"/>
    <m/>
    <x v="0"/>
    <x v="4675"/>
    <s v="29/2024 ASNI"/>
    <d v="2024-12-26T00:00:00"/>
    <s v="300423"/>
    <s v="ASNITRANS"/>
    <n v="3166.37"/>
  </r>
  <r>
    <s v="Facture comptabilisée"/>
    <m/>
    <x v="0"/>
    <x v="4676"/>
    <s v="118/2024 J"/>
    <d v="2024-12-27T00:00:00"/>
    <s v="300043"/>
    <s v="DOUANE"/>
    <n v="15627"/>
  </r>
  <r>
    <s v="Facture comptabilisée"/>
    <m/>
    <x v="0"/>
    <x v="4677"/>
    <s v="DEUX DOMAINE*1*"/>
    <d v="2024-12-27T00:00:00"/>
    <s v="300115"/>
    <s v="AUXILIAR CONSERVERA SA"/>
    <n v="116716.05"/>
  </r>
  <r>
    <s v="Facture comptabilisée"/>
    <m/>
    <x v="0"/>
    <x v="4678"/>
    <s v="JIL PACK A*2*"/>
    <d v="2024-12-27T00:00:00"/>
    <s v="300115"/>
    <s v="AUXILIAR CONSERVERA SA"/>
    <n v="191222.46"/>
  </r>
  <r>
    <s v="Facture comptabilisée"/>
    <m/>
    <x v="0"/>
    <x v="4679"/>
    <s v="RFA 311224"/>
    <d v="2024-12-31T00:00:00"/>
    <s v="300115"/>
    <s v="AUXILIAR CONSERVERA SA"/>
    <n v="819253.49"/>
  </r>
  <r>
    <s v="Facture comptabilisée"/>
    <m/>
    <x v="0"/>
    <x v="4680"/>
    <s v="RFA 311224"/>
    <d v="2024-12-31T00:00:00"/>
    <s v="300115"/>
    <s v="AUXILIAR CONSERVERA SA"/>
    <n v="48804.25"/>
  </r>
  <r>
    <s v="Facture comptabilisée"/>
    <m/>
    <x v="0"/>
    <x v="4681"/>
    <s v="118/2024 J"/>
    <d v="2024-12-31T00:00:00"/>
    <s v="300191"/>
    <s v="JTTL"/>
    <n v="9080.1299999999992"/>
  </r>
  <r>
    <s v="Facture comptabilisée"/>
    <m/>
    <x v="0"/>
    <x v="4682"/>
    <s v="JIL PACK A"/>
    <d v="2025-01-02T00:00:00"/>
    <s v="300220"/>
    <s v="ENVASES EUROPE"/>
    <n v="785832.23400000005"/>
  </r>
  <r>
    <s v="Facture comptabilisée"/>
    <m/>
    <x v="0"/>
    <x v="4683"/>
    <s v="COMPLEMENT"/>
    <d v="2025-01-06T00:00:00"/>
    <s v="300043"/>
    <s v="DOUANE"/>
    <n v="4264"/>
  </r>
  <r>
    <s v="Facture comptabilisée"/>
    <m/>
    <x v="0"/>
    <x v="4684"/>
    <s v="JIL PACK A"/>
    <d v="2025-01-07T00:00:00"/>
    <s v="300115"/>
    <s v="AUXILIAR CONSERVERA SA"/>
    <n v="346254.57900000003"/>
  </r>
  <r>
    <s v="Facture comptabilisée"/>
    <m/>
    <x v="0"/>
    <x v="4685"/>
    <s v="01/2025 J"/>
    <d v="2025-01-07T00:00:00"/>
    <s v="300321"/>
    <s v="JIL LOGISTIQUE"/>
    <n v="18000"/>
  </r>
  <r>
    <s v="Facture comptabilisée"/>
    <m/>
    <x v="0"/>
    <x v="4686"/>
    <s v="JIL PACK A"/>
    <d v="2025-01-07T00:00:00"/>
    <s v="300381"/>
    <s v="ENVASES IBERICA"/>
    <n v="333934.96950000001"/>
  </r>
  <r>
    <s v="Facture comptabilisée"/>
    <m/>
    <x v="0"/>
    <x v="4687"/>
    <s v="JIL PACK A"/>
    <d v="2025-01-07T00:00:00"/>
    <s v="300381"/>
    <s v="ENVASES IBERICA"/>
    <n v="333934.96950000001"/>
  </r>
  <r>
    <s v="Facture comptabilisée"/>
    <m/>
    <x v="0"/>
    <x v="4688"/>
    <s v="JIL PACK A"/>
    <d v="2025-01-07T00:00:00"/>
    <s v="300381"/>
    <s v="ENVASES IBERICA"/>
    <n v="333934.96950000001"/>
  </r>
  <r>
    <s v="Facture comptabilisée"/>
    <m/>
    <x v="0"/>
    <x v="4689"/>
    <s v="01/2025 J"/>
    <d v="2025-01-08T00:00:00"/>
    <s v="300043"/>
    <s v="DOUANE"/>
    <n v="1294"/>
  </r>
  <r>
    <s v="Facture comptabilisée"/>
    <m/>
    <x v="0"/>
    <x v="4690"/>
    <s v="01/2025 ASNI"/>
    <d v="2025-01-09T00:00:00"/>
    <s v="300043"/>
    <s v="DOUANE"/>
    <n v="1273"/>
  </r>
  <r>
    <s v="Facture comptabilisée"/>
    <m/>
    <x v="0"/>
    <x v="4691"/>
    <s v="01/2025 J"/>
    <d v="2025-01-09T00:00:00"/>
    <s v="300191"/>
    <s v="JTTL"/>
    <n v="3277.56"/>
  </r>
  <r>
    <s v="Facture comptabilisée"/>
    <m/>
    <x v="0"/>
    <x v="4692"/>
    <s v="02/2025 ASNI"/>
    <d v="2025-01-10T00:00:00"/>
    <s v="300043"/>
    <s v="DOUANE"/>
    <n v="1272"/>
  </r>
  <r>
    <s v="Facture comptabilisée"/>
    <m/>
    <x v="0"/>
    <x v="4693"/>
    <s v="03/2025 ASNI"/>
    <d v="2025-01-10T00:00:00"/>
    <s v="300043"/>
    <s v="DOUANE"/>
    <n v="1272"/>
  </r>
  <r>
    <s v="Facture comptabilisée"/>
    <m/>
    <x v="0"/>
    <x v="4694"/>
    <s v="JIL PACK "/>
    <d v="2025-01-10T00:00:00"/>
    <s v="300115"/>
    <s v="AUXILIAR CONSERVERA SA"/>
    <n v="107687.25"/>
  </r>
  <r>
    <s v="Facture comptabilisée"/>
    <m/>
    <x v="0"/>
    <x v="4695"/>
    <d v="2025-01-01T00:00:00"/>
    <d v="2025-01-10T00:00:00"/>
    <s v="300321"/>
    <s v="JIL LOGISTIQUE"/>
    <n v="30000"/>
  </r>
  <r>
    <s v="Facture comptabilisée"/>
    <m/>
    <x v="0"/>
    <x v="4696"/>
    <s v="04/2025 ASNI"/>
    <d v="2025-01-10T00:00:00"/>
    <s v="300391"/>
    <s v="COSCO SHIPING"/>
    <n v="4858.68"/>
  </r>
  <r>
    <s v="Facture comptabilisée"/>
    <m/>
    <x v="0"/>
    <x v="4697"/>
    <s v="COMPLEMENT"/>
    <d v="2025-01-13T00:00:00"/>
    <s v="300043"/>
    <s v="DOUANE"/>
    <n v="4527"/>
  </r>
  <r>
    <s v="Facture comptabilisée"/>
    <m/>
    <x v="0"/>
    <x v="4698"/>
    <d v="2025-01-01T00:00:00"/>
    <d v="2025-01-13T00:00:00"/>
    <s v="300043"/>
    <s v="DOUANE"/>
    <n v="1132"/>
  </r>
  <r>
    <s v="Facture comptabilisée"/>
    <m/>
    <x v="0"/>
    <x v="4699"/>
    <s v="03/2025 ASNI"/>
    <d v="2025-01-13T00:00:00"/>
    <s v="300321"/>
    <s v="JIL LOGISTIQUE"/>
    <n v="30000"/>
  </r>
  <r>
    <s v="Facture comptabilisée"/>
    <m/>
    <x v="0"/>
    <x v="4700"/>
    <s v="02/2025 ASNI"/>
    <d v="2025-01-13T00:00:00"/>
    <s v="300321"/>
    <s v="JIL LOGISTIQUE"/>
    <n v="30000"/>
  </r>
  <r>
    <s v="Facture comptabilisée"/>
    <m/>
    <x v="0"/>
    <x v="4701"/>
    <d v="2025-02-01T00:00:00"/>
    <d v="2025-01-15T00:00:00"/>
    <s v="300043"/>
    <s v="DOUANE"/>
    <n v="576"/>
  </r>
  <r>
    <s v="Facture comptabilisée"/>
    <m/>
    <x v="0"/>
    <x v="4702"/>
    <d v="2025-01-01T00:00:00"/>
    <d v="2025-01-16T00:00:00"/>
    <s v="300101"/>
    <s v="ASMAE FORWARDING EXPRESS"/>
    <n v="3547.65"/>
  </r>
  <r>
    <s v="Facture comptabilisée"/>
    <m/>
    <x v="0"/>
    <x v="4703"/>
    <s v="10AM"/>
    <d v="2025-01-16T00:00:00"/>
    <s v="300133"/>
    <s v="OP BOX "/>
    <n v="41918.68"/>
  </r>
  <r>
    <s v="Facture comptabilisée"/>
    <m/>
    <x v="0"/>
    <x v="4704"/>
    <s v="1/4 CLUB CONIQUE"/>
    <d v="2025-01-16T00:00:00"/>
    <s v="300220"/>
    <s v="ENVASES EUROPE"/>
    <n v="785951.29799999995"/>
  </r>
  <r>
    <s v="Facture comptabilisée"/>
    <m/>
    <x v="0"/>
    <x v="4705"/>
    <s v="01/2025 ASNI"/>
    <d v="2025-01-16T00:00:00"/>
    <s v="300423"/>
    <s v="ASNITRANS"/>
    <n v="3206.46"/>
  </r>
  <r>
    <s v="Facture comptabilisée"/>
    <m/>
    <x v="0"/>
    <x v="4706"/>
    <s v="02/2025 ASNI"/>
    <d v="2025-01-16T00:00:00"/>
    <s v="300423"/>
    <s v="ASNITRANS"/>
    <n v="3206.46"/>
  </r>
  <r>
    <s v="Facture comptabilisée"/>
    <m/>
    <x v="0"/>
    <x v="4707"/>
    <s v="03/2025 ASNI"/>
    <d v="2025-01-16T00:00:00"/>
    <s v="300423"/>
    <s v="ASNITRANS"/>
    <n v="3376.19"/>
  </r>
  <r>
    <s v="Facture comptabilisée"/>
    <m/>
    <x v="0"/>
    <x v="4708"/>
    <s v="660 ML"/>
    <d v="2025-01-19T00:00:00"/>
    <s v="300397"/>
    <s v="SISECAM DIS TICARET A.S"/>
    <n v="11489.17"/>
  </r>
  <r>
    <s v="Facture comptabilisée"/>
    <m/>
    <x v="0"/>
    <x v="4709"/>
    <s v="04/2025 ASNI"/>
    <d v="2025-01-20T00:00:00"/>
    <s v="300043"/>
    <s v="DOUANE"/>
    <n v="445"/>
  </r>
  <r>
    <s v="Facture comptabilisée"/>
    <m/>
    <x v="0"/>
    <x v="4710"/>
    <s v="2.3"/>
    <d v="2025-01-20T00:00:00"/>
    <s v="300133"/>
    <s v="OP BOX "/>
    <n v="48028.95"/>
  </r>
  <r>
    <s v="Facture comptabilisée"/>
    <m/>
    <x v="0"/>
    <x v="4711"/>
    <s v="COMPLEMENT"/>
    <d v="2025-01-22T00:00:00"/>
    <s v="300043"/>
    <s v="DOUANE"/>
    <n v="5102"/>
  </r>
  <r>
    <s v="Facture comptabilisée"/>
    <m/>
    <x v="0"/>
    <x v="4712"/>
    <s v="COMPLEMENT"/>
    <d v="2025-01-22T00:00:00"/>
    <s v="300043"/>
    <s v="DOUANE"/>
    <n v="3773"/>
  </r>
  <r>
    <s v="Facture comptabilisée"/>
    <m/>
    <x v="0"/>
    <x v="4713"/>
    <d v="2025-02-01T00:00:00"/>
    <d v="2025-01-22T00:00:00"/>
    <s v="300101"/>
    <s v="ASMAE FORWARDING EXPRESS"/>
    <n v="3377.92"/>
  </r>
  <r>
    <s v="Facture comptabilisée"/>
    <m/>
    <x v="0"/>
    <x v="4714"/>
    <s v="20L"/>
    <d v="2025-01-22T00:00:00"/>
    <s v="300133"/>
    <s v="OP BOX "/>
    <n v="27205.200000000001"/>
  </r>
  <r>
    <s v="Facture comptabilisée"/>
    <m/>
    <x v="0"/>
    <x v="4715"/>
    <s v="5500 AM"/>
    <d v="2025-01-22T00:00:00"/>
    <s v="300133"/>
    <s v="OP BOX "/>
    <n v="11970"/>
  </r>
  <r>
    <s v="Facture comptabilisée"/>
    <m/>
    <x v="0"/>
    <x v="4716"/>
    <s v="2.3"/>
    <d v="2025-01-22T00:00:00"/>
    <s v="300133"/>
    <s v="OP BOX "/>
    <n v="9388.7999999999993"/>
  </r>
  <r>
    <s v="Facture comptabilisée"/>
    <m/>
    <x v="0"/>
    <x v="4717"/>
    <s v="3.8"/>
    <d v="2025-01-22T00:00:00"/>
    <s v="300133"/>
    <s v="OP BOX "/>
    <n v="33000"/>
  </r>
  <r>
    <s v="Facture comptabilisée"/>
    <m/>
    <x v="0"/>
    <x v="4718"/>
    <s v="JIL PACK A"/>
    <d v="2025-01-23T00:00:00"/>
    <s v="300220"/>
    <s v="ENVASES EUROPE"/>
    <n v="1075221.5759999999"/>
  </r>
  <r>
    <s v="Facture comptabilisée"/>
    <m/>
    <x v="0"/>
    <x v="4719"/>
    <s v="RO 85 NEUTRE"/>
    <d v="2025-01-23T00:00:00"/>
    <s v="300381"/>
    <s v="ENVASES IBERICA"/>
    <n v="333934.96950000001"/>
  </r>
  <r>
    <s v="Facture comptabilisée"/>
    <m/>
    <x v="0"/>
    <x v="4720"/>
    <s v="LOGI FOOD*1*"/>
    <d v="2025-01-23T00:00:00"/>
    <s v="300381"/>
    <s v="ENVASES IBERICA"/>
    <n v="139469.36850000001"/>
  </r>
  <r>
    <s v="Facture comptabilisée"/>
    <m/>
    <x v="0"/>
    <x v="4721"/>
    <s v="JIL PACK A*2*"/>
    <d v="2025-01-23T00:00:00"/>
    <s v="300381"/>
    <s v="ENVASES IBERICA"/>
    <n v="207023.25599999999"/>
  </r>
  <r>
    <s v="Facture comptabilisée"/>
    <m/>
    <x v="0"/>
    <x v="4722"/>
    <s v="04/2025 ASNI"/>
    <d v="2025-01-23T00:00:00"/>
    <s v="300426"/>
    <s v="GF METHOD"/>
    <n v="1800"/>
  </r>
  <r>
    <s v="Facture comptabilisée"/>
    <m/>
    <x v="0"/>
    <x v="4723"/>
    <s v="JIL PACK"/>
    <d v="2025-01-24T00:00:00"/>
    <s v="300115"/>
    <s v="AUXILIAR CONSERVERA SA"/>
    <n v="107687.25"/>
  </r>
  <r>
    <s v="Facture comptabilisée"/>
    <m/>
    <x v="0"/>
    <x v="4724"/>
    <s v="JP CASA"/>
    <d v="2025-01-24T00:00:00"/>
    <s v="300397"/>
    <s v="SISECAM DIS TICARET A.S"/>
    <n v="83797.213499999998"/>
  </r>
  <r>
    <s v="Facture comptabilisée"/>
    <m/>
    <x v="0"/>
    <x v="4725"/>
    <s v="04/2025 ASNI"/>
    <d v="2025-01-25T00:00:00"/>
    <s v="300423"/>
    <s v="ASNITRANS"/>
    <n v="1200"/>
  </r>
  <r>
    <s v="Facture comptabilisée"/>
    <m/>
    <x v="0"/>
    <x v="4726"/>
    <s v="06/2025 ASNI"/>
    <d v="2025-01-27T00:00:00"/>
    <s v="300043"/>
    <s v="DOUANE"/>
    <n v="1277"/>
  </r>
  <r>
    <s v="Facture comptabilisée"/>
    <m/>
    <x v="0"/>
    <x v="4727"/>
    <s v="07/2025 ASNI"/>
    <d v="2025-01-27T00:00:00"/>
    <s v="300043"/>
    <s v="DOUANE"/>
    <n v="1316"/>
  </r>
  <r>
    <s v="Facture comptabilisée"/>
    <m/>
    <x v="0"/>
    <x v="4728"/>
    <s v="5500AP"/>
    <d v="2025-01-27T00:00:00"/>
    <s v="300133"/>
    <s v="OP BOX "/>
    <n v="21341.25"/>
  </r>
  <r>
    <s v="Facture comptabilisée"/>
    <m/>
    <x v="0"/>
    <x v="4729"/>
    <s v="JIL PACK A"/>
    <d v="2025-01-27T00:00:00"/>
    <s v="300381"/>
    <s v="ENVASES IBERICA"/>
    <n v="333934.96950000001"/>
  </r>
  <r>
    <s v="Facture comptabilisée"/>
    <m/>
    <x v="0"/>
    <x v="4730"/>
    <s v="05/2025 ASNI"/>
    <d v="2025-01-28T00:00:00"/>
    <s v="300043"/>
    <s v="DOUANE"/>
    <n v="2658"/>
  </r>
  <r>
    <s v="Facture comptabilisée"/>
    <m/>
    <x v="0"/>
    <x v="4731"/>
    <s v="1. JP+2.ANDALOUS"/>
    <d v="2025-01-28T00:00:00"/>
    <s v="300237"/>
    <s v="Saribekir Ambalaj - SBK"/>
    <n v="319629.32319999998"/>
  </r>
  <r>
    <s v="Facture comptabilisée"/>
    <m/>
    <x v="0"/>
    <x v="4732"/>
    <s v="LOGI FOOD"/>
    <d v="2025-01-28T00:00:00"/>
    <s v="300381"/>
    <s v="ENVASES IBERICA"/>
    <n v="354558.6495"/>
  </r>
  <r>
    <s v="Facture comptabilisée"/>
    <m/>
    <x v="0"/>
    <x v="4733"/>
    <s v="28/2025 ASNI"/>
    <d v="2025-01-29T00:00:00"/>
    <s v="300043"/>
    <s v="DOUANE"/>
    <n v="1273"/>
  </r>
  <r>
    <s v="Facture comptabilisée"/>
    <m/>
    <x v="0"/>
    <x v="4734"/>
    <d v="2025-03-01T00:00:00"/>
    <d v="2025-01-29T00:00:00"/>
    <s v="300043"/>
    <s v="DOUANE"/>
    <n v="576"/>
  </r>
  <r>
    <s v="Facture comptabilisée"/>
    <m/>
    <x v="0"/>
    <x v="4735"/>
    <s v="QUALIAGRO"/>
    <d v="2025-01-29T00:00:00"/>
    <s v="300115"/>
    <s v="AUXILIAR CONSERVERA SA"/>
    <n v="216452.02040000001"/>
  </r>
  <r>
    <s v="Facture comptabilisée"/>
    <m/>
    <x v="0"/>
    <x v="4736"/>
    <s v="07/2025 ASNI"/>
    <d v="2025-01-29T00:00:00"/>
    <s v="300321"/>
    <s v="JIL LOGISTIQUE"/>
    <n v="30000"/>
  </r>
  <r>
    <s v="Facture comptabilisée"/>
    <m/>
    <x v="0"/>
    <x v="4737"/>
    <s v="06/2025 ASNI"/>
    <d v="2025-01-29T00:00:00"/>
    <s v="300321"/>
    <s v="JIL LOGISTIQUE"/>
    <n v="27000"/>
  </r>
  <r>
    <s v="Facture comptabilisée"/>
    <m/>
    <x v="0"/>
    <x v="4738"/>
    <s v="08/2025 ASNI"/>
    <d v="2025-01-30T00:00:00"/>
    <s v="300321"/>
    <s v="JIL LOGISTIQUE"/>
    <n v="30000"/>
  </r>
  <r>
    <s v="Facture comptabilisée"/>
    <m/>
    <x v="0"/>
    <x v="4739"/>
    <s v="05/2025 ASNI"/>
    <d v="2025-01-30T00:00:00"/>
    <s v="300423"/>
    <s v="ASNITRANS"/>
    <n v="8195.6299999999992"/>
  </r>
  <r>
    <s v="Facture comptabilisée"/>
    <m/>
    <x v="0"/>
    <x v="4740"/>
    <s v="06/2025 ASNI"/>
    <d v="2025-01-30T00:00:00"/>
    <s v="300423"/>
    <s v="ASNITRANS"/>
    <n v="3376.19"/>
  </r>
  <r>
    <s v="Facture comptabilisée"/>
    <m/>
    <x v="0"/>
    <x v="4741"/>
    <s v="07/2025 ASNI"/>
    <d v="2025-01-30T00:00:00"/>
    <s v="300423"/>
    <s v="ASNITRANS"/>
    <n v="3545.92"/>
  </r>
  <r>
    <s v="Facture comptabilisée"/>
    <m/>
    <x v="0"/>
    <x v="4742"/>
    <s v="09/2025 ASNI"/>
    <d v="2025-01-31T00:00:00"/>
    <s v="300043"/>
    <s v="DOUANE"/>
    <n v="1337"/>
  </r>
  <r>
    <s v="Facture comptabilisée"/>
    <m/>
    <x v="0"/>
    <x v="4743"/>
    <s v="JP AGADIR"/>
    <d v="2025-01-31T00:00:00"/>
    <s v="300381"/>
    <s v="ENVASES IBERICA"/>
    <n v="333934.96950000001"/>
  </r>
  <r>
    <s v="Facture comptabilisée"/>
    <m/>
    <x v="0"/>
    <x v="4744"/>
    <s v="JP AGADIR"/>
    <d v="2025-01-31T00:00:00"/>
    <s v="300381"/>
    <s v="ENVASES IBERICA"/>
    <n v="333934.96950000001"/>
  </r>
  <r>
    <s v="Facture comptabilisée"/>
    <m/>
    <x v="0"/>
    <x v="4745"/>
    <s v="08/2025 ASNI"/>
    <d v="2025-01-31T00:00:00"/>
    <s v="300423"/>
    <s v="ASNITRANS"/>
    <n v="3206.46"/>
  </r>
  <r>
    <s v="Facture comptabilisée"/>
    <m/>
    <x v="0"/>
    <x v="4746"/>
    <s v="09/2025 ASNI"/>
    <d v="2025-01-31T00:00:00"/>
    <s v="300423"/>
    <s v="ASNITRANS"/>
    <n v="3206.46"/>
  </r>
  <r>
    <s v="Facture comptabilisée"/>
    <m/>
    <x v="0"/>
    <x v="4747"/>
    <s v="09/2025 ASNI"/>
    <d v="2025-02-01T00:00:00"/>
    <s v="300321"/>
    <s v="JIL LOGISTIQUE"/>
    <n v="27000"/>
  </r>
  <r>
    <s v="Facture comptabilisée"/>
    <m/>
    <x v="0"/>
    <x v="4748"/>
    <d v="2025-04-01T00:00:00"/>
    <d v="2025-02-03T00:00:00"/>
    <s v="300043"/>
    <s v="DOUANE"/>
    <n v="848"/>
  </r>
  <r>
    <s v="Facture comptabilisée"/>
    <m/>
    <x v="0"/>
    <x v="4749"/>
    <s v="2300ML"/>
    <d v="2025-02-03T00:00:00"/>
    <s v="300133"/>
    <s v="OP BOX "/>
    <n v="44596.800000000003"/>
  </r>
  <r>
    <s v="Facture comptabilisée"/>
    <m/>
    <x v="0"/>
    <x v="4750"/>
    <s v="COMMANDE 16"/>
    <d v="2025-02-03T00:00:00"/>
    <s v="300344"/>
    <s v="PADEL NUESTRO"/>
    <n v="195411.64"/>
  </r>
  <r>
    <s v="Facture comptabilisée"/>
    <m/>
    <x v="0"/>
    <x v="4751"/>
    <s v="14/2025 ASNI"/>
    <d v="2025-02-04T00:00:00"/>
    <s v="300043"/>
    <s v="DOUANE"/>
    <n v="1265"/>
  </r>
  <r>
    <s v="Facture comptabilisée"/>
    <m/>
    <x v="0"/>
    <x v="4752"/>
    <s v="15/2025 ASNI"/>
    <d v="2025-02-04T00:00:00"/>
    <s v="300043"/>
    <s v="DOUANE"/>
    <n v="1265"/>
  </r>
  <r>
    <s v="Facture comptabilisée"/>
    <m/>
    <x v="0"/>
    <x v="4753"/>
    <d v="2025-03-01T00:00:00"/>
    <d v="2025-02-04T00:00:00"/>
    <s v="300101"/>
    <s v="ASMAE FORWARDING EXPRESS"/>
    <n v="3208.19"/>
  </r>
  <r>
    <s v="Facture comptabilisée"/>
    <m/>
    <x v="0"/>
    <x v="4754"/>
    <d v="2025-04-01T00:00:00"/>
    <d v="2025-02-05T00:00:00"/>
    <s v="300101"/>
    <s v="ASMAE FORWARDING EXPRESS"/>
    <n v="3208.19"/>
  </r>
  <r>
    <s v="Facture comptabilisée"/>
    <m/>
    <x v="0"/>
    <x v="4755"/>
    <s v="14/2025 ASNI"/>
    <d v="2025-02-05T00:00:00"/>
    <s v="300321"/>
    <s v="JIL LOGISTIQUE"/>
    <n v="30000"/>
  </r>
  <r>
    <s v="Facture comptabilisée"/>
    <m/>
    <x v="0"/>
    <x v="4756"/>
    <s v="15/2025 ASNI"/>
    <d v="2025-02-05T00:00:00"/>
    <s v="300321"/>
    <s v="JIL LOGISTIQUE"/>
    <n v="30000"/>
  </r>
  <r>
    <s v="Facture comptabilisée"/>
    <m/>
    <x v="0"/>
    <x v="4757"/>
    <s v="COMPLEMENT"/>
    <d v="2025-02-07T00:00:00"/>
    <s v="300043"/>
    <s v="DOUANE"/>
    <n v="4431"/>
  </r>
  <r>
    <s v="Facture comptabilisée"/>
    <m/>
    <x v="0"/>
    <x v="4758"/>
    <s v="22L+1KG+5KG"/>
    <d v="2025-02-10T00:00:00"/>
    <s v="300356"/>
    <s v="MASSILY PORTUGAL"/>
    <n v="215070.647"/>
  </r>
  <r>
    <s v="Facture comptabilisée"/>
    <m/>
    <x v="0"/>
    <x v="4759"/>
    <s v="JIL PACK  A "/>
    <d v="2025-02-11T00:00:00"/>
    <s v="300220"/>
    <s v="ENVASES EUROPE"/>
    <n v="1142064"/>
  </r>
  <r>
    <s v="Facture comptabilisée"/>
    <m/>
    <x v="0"/>
    <x v="4760"/>
    <s v="JIL PACK A"/>
    <d v="2025-02-11T00:00:00"/>
    <s v="300381"/>
    <s v="ENVASES IBERICA"/>
    <n v="333934.96950000001"/>
  </r>
  <r>
    <s v="Facture comptabilisée"/>
    <m/>
    <x v="0"/>
    <x v="4761"/>
    <s v="JIL PACK A"/>
    <d v="2025-02-11T00:00:00"/>
    <s v="300381"/>
    <s v="ENVASES IBERICA"/>
    <n v="333934.96950000001"/>
  </r>
  <r>
    <s v="Facture comptabilisée"/>
    <m/>
    <x v="0"/>
    <x v="4762"/>
    <s v="10/2025 ASNI"/>
    <d v="2025-02-12T00:00:00"/>
    <s v="300043"/>
    <s v="DOUANE"/>
    <n v="2630"/>
  </r>
  <r>
    <s v="Facture comptabilisée"/>
    <m/>
    <x v="0"/>
    <x v="4763"/>
    <s v="ANDALOUS+GLO FOOD"/>
    <d v="2025-02-12T00:00:00"/>
    <s v="300237"/>
    <s v="Saribekir Ambalaj - SBK"/>
    <n v="201653.32"/>
  </r>
  <r>
    <s v="Facture comptabilisée"/>
    <m/>
    <x v="0"/>
    <x v="4764"/>
    <s v="COMPLEMENT"/>
    <d v="2025-02-12T00:00:00"/>
    <s v="300423"/>
    <s v="ASNITRANS"/>
    <n v="420"/>
  </r>
  <r>
    <s v="Facture comptabilisée"/>
    <m/>
    <x v="0"/>
    <x v="4765"/>
    <d v="2025-05-01T00:00:00"/>
    <d v="2025-02-13T00:00:00"/>
    <s v="300043"/>
    <s v="DOUANE"/>
    <n v="842"/>
  </r>
  <r>
    <s v="Facture comptabilisée"/>
    <m/>
    <x v="0"/>
    <x v="4766"/>
    <s v="10/2025 ASNI"/>
    <d v="2025-02-13T00:00:00"/>
    <s v="300423"/>
    <s v="ASNITRANS"/>
    <n v="8170.81"/>
  </r>
  <r>
    <s v="Facture comptabilisée"/>
    <m/>
    <x v="0"/>
    <x v="4767"/>
    <s v="11/2025 ASNI"/>
    <d v="2025-02-14T00:00:00"/>
    <s v="300043"/>
    <s v="DOUANE"/>
    <n v="1269"/>
  </r>
  <r>
    <s v="Facture comptabilisée"/>
    <m/>
    <x v="0"/>
    <x v="4768"/>
    <s v="2300 ML"/>
    <d v="2025-02-14T00:00:00"/>
    <s v="300133"/>
    <s v="OP BOX "/>
    <n v="49291.199999999997"/>
  </r>
  <r>
    <s v="Facture comptabilisée"/>
    <m/>
    <x v="0"/>
    <x v="4769"/>
    <s v="13/2025 ASNI"/>
    <d v="2025-02-17T00:00:00"/>
    <s v="300043"/>
    <s v="DOUANE"/>
    <n v="1273"/>
  </r>
  <r>
    <s v="Facture comptabilisée"/>
    <m/>
    <x v="0"/>
    <x v="4770"/>
    <s v="11/2025 ASNI"/>
    <d v="2025-02-17T00:00:00"/>
    <s v="300321"/>
    <s v="JIL LOGISTIQUE"/>
    <n v="30000"/>
  </r>
  <r>
    <s v="Facture comptabilisée"/>
    <m/>
    <x v="0"/>
    <x v="4771"/>
    <s v="JIL PACK A"/>
    <d v="2025-02-17T00:00:00"/>
    <s v="300381"/>
    <s v="ENVASES IBERICA"/>
    <n v="333934.96950000001"/>
  </r>
  <r>
    <s v="Facture comptabilisée"/>
    <m/>
    <x v="0"/>
    <x v="4772"/>
    <s v="13/2025 ASNI"/>
    <d v="2025-02-18T00:00:00"/>
    <s v="300321"/>
    <s v="JIL LOGISTIQUE"/>
    <n v="30000"/>
  </r>
  <r>
    <s v="Facture comptabilisée"/>
    <m/>
    <x v="0"/>
    <x v="4773"/>
    <s v="LOGI FOOD"/>
    <d v="2025-02-18T00:00:00"/>
    <s v="300381"/>
    <s v="ENVASES IBERICA"/>
    <n v="352643.59350000002"/>
  </r>
  <r>
    <s v="Facture comptabilisée"/>
    <m/>
    <x v="0"/>
    <x v="4774"/>
    <s v="11/2025 ASNI"/>
    <d v="2025-02-18T00:00:00"/>
    <s v="300423"/>
    <s v="ASNITRANS"/>
    <n v="3376.19"/>
  </r>
  <r>
    <s v="Facture comptabilisée"/>
    <m/>
    <x v="0"/>
    <x v="4775"/>
    <s v="12/2025 ASNI"/>
    <d v="2025-02-19T00:00:00"/>
    <s v="300043"/>
    <s v="DOUANE"/>
    <n v="3564"/>
  </r>
  <r>
    <s v="Facture comptabilisée"/>
    <m/>
    <x v="0"/>
    <x v="4776"/>
    <s v="16/2025 ASNI"/>
    <d v="2025-02-19T00:00:00"/>
    <s v="300043"/>
    <s v="DOUANE"/>
    <n v="1272"/>
  </r>
  <r>
    <s v="Facture comptabilisée"/>
    <m/>
    <x v="0"/>
    <x v="4777"/>
    <d v="2025-05-01T00:00:00"/>
    <d v="2025-02-19T00:00:00"/>
    <s v="300101"/>
    <s v="ASMAE FORWARDING EXPRESS"/>
    <n v="4097.92"/>
  </r>
  <r>
    <s v="Facture comptabilisée"/>
    <m/>
    <x v="0"/>
    <x v="4778"/>
    <s v="RO85 NEUTRE"/>
    <d v="2025-02-19T00:00:00"/>
    <s v="300115"/>
    <s v="AUXILIAR CONSERVERA SA"/>
    <n v="346254.57900000003"/>
  </r>
  <r>
    <s v="Facture comptabilisée"/>
    <m/>
    <x v="0"/>
    <x v="4779"/>
    <s v="JP A*1*"/>
    <d v="2025-02-19T00:00:00"/>
    <s v="300220"/>
    <s v="ENVASES EUROPE"/>
    <n v="1187746.56"/>
  </r>
  <r>
    <s v="Facture comptabilisée"/>
    <m/>
    <x v="0"/>
    <x v="4780"/>
    <s v="JP A *2*"/>
    <d v="2025-02-19T00:00:00"/>
    <s v="300220"/>
    <s v="ENVASES EUROPE"/>
    <n v="785832.23400000005"/>
  </r>
  <r>
    <s v="Facture comptabilisée"/>
    <m/>
    <x v="0"/>
    <x v="4781"/>
    <s v="COMLEMENT"/>
    <d v="2025-02-20T00:00:00"/>
    <s v="300043"/>
    <s v="DOUANE"/>
    <n v="4737"/>
  </r>
  <r>
    <s v="Facture comptabilisée"/>
    <m/>
    <x v="0"/>
    <x v="4782"/>
    <s v="17/2025 ASNI"/>
    <d v="2025-02-20T00:00:00"/>
    <s v="300043"/>
    <s v="DOUANE"/>
    <n v="1329"/>
  </r>
  <r>
    <s v="Facture comptabilisée"/>
    <m/>
    <x v="0"/>
    <x v="4783"/>
    <s v="02/2025 J"/>
    <d v="2025-02-20T00:00:00"/>
    <s v="300043"/>
    <s v="DOUANE"/>
    <n v="564"/>
  </r>
  <r>
    <s v="Facture comptabilisée"/>
    <m/>
    <x v="0"/>
    <x v="4784"/>
    <s v="16/2025 ASNI "/>
    <d v="2025-02-20T00:00:00"/>
    <s v="300321"/>
    <s v="JIL LOGISTIQUE"/>
    <n v="30000"/>
  </r>
  <r>
    <s v="Facture comptabilisée"/>
    <m/>
    <x v="0"/>
    <x v="4785"/>
    <s v="17/2025 ASNI"/>
    <d v="2025-02-20T00:00:00"/>
    <s v="300321"/>
    <s v="JIL LOGISTIQUE"/>
    <n v="27000"/>
  </r>
  <r>
    <s v="Facture comptabilisée"/>
    <m/>
    <x v="0"/>
    <x v="4786"/>
    <s v="03/2025 J"/>
    <d v="2025-02-21T00:00:00"/>
    <s v="300043"/>
    <s v="DOUANE"/>
    <n v="1248"/>
  </r>
  <r>
    <s v="Facture comptabilisée"/>
    <m/>
    <x v="0"/>
    <x v="4787"/>
    <s v="JIL PACK A"/>
    <d v="2025-02-21T00:00:00"/>
    <s v="300115"/>
    <s v="AUXILIAR CONSERVERA SA"/>
    <n v="346254.57900000003"/>
  </r>
  <r>
    <s v="Facture comptabilisée"/>
    <m/>
    <x v="0"/>
    <x v="4788"/>
    <s v="02/2025 J"/>
    <d v="2025-02-21T00:00:00"/>
    <s v="300191"/>
    <s v="JTTL"/>
    <n v="2704.66"/>
  </r>
  <r>
    <s v="Facture comptabilisée"/>
    <m/>
    <x v="0"/>
    <x v="4789"/>
    <s v="JIL PACK*1*"/>
    <d v="2025-02-21T00:00:00"/>
    <s v="300381"/>
    <s v="ENVASES IBERICA"/>
    <n v="106648.542"/>
  </r>
  <r>
    <s v="Facture comptabilisée"/>
    <m/>
    <x v="0"/>
    <x v="4790"/>
    <s v="JIL PACK A"/>
    <d v="2025-02-21T00:00:00"/>
    <s v="300381"/>
    <s v="ENVASES IBERICA"/>
    <n v="333934.96950000001"/>
  </r>
  <r>
    <s v="Facture comptabilisée"/>
    <m/>
    <x v="0"/>
    <x v="4791"/>
    <s v="JIL PACK A*2*"/>
    <d v="2025-02-21T00:00:00"/>
    <s v="300381"/>
    <s v="ENVASES IBERICA"/>
    <n v="196378.97399999999"/>
  </r>
  <r>
    <s v="Facture comptabilisée"/>
    <m/>
    <x v="0"/>
    <x v="4792"/>
    <s v="12/2025 ASNI"/>
    <d v="2025-02-21T00:00:00"/>
    <s v="300423"/>
    <s v="ASNITRANS"/>
    <n v="8655.0400000000009"/>
  </r>
  <r>
    <s v="Facture comptabilisée"/>
    <m/>
    <x v="0"/>
    <x v="4793"/>
    <s v="13/2025 ASNI"/>
    <d v="2025-02-22T00:00:00"/>
    <s v="300423"/>
    <s v="ASNITRANS"/>
    <n v="3715.64"/>
  </r>
  <r>
    <s v="Facture comptabilisée"/>
    <m/>
    <x v="0"/>
    <x v="4794"/>
    <s v="14/2025 SNI"/>
    <d v="2025-02-22T00:00:00"/>
    <s v="300423"/>
    <s v="ASNITRANS"/>
    <n v="3376.19"/>
  </r>
  <r>
    <s v="Facture comptabilisée"/>
    <m/>
    <x v="0"/>
    <x v="4795"/>
    <s v="15/2025 ASNI"/>
    <d v="2025-02-22T00:00:00"/>
    <s v="300423"/>
    <s v="ASNITRANS"/>
    <n v="3176.19"/>
  </r>
  <r>
    <s v="Facture comptabilisée"/>
    <m/>
    <x v="0"/>
    <x v="4796"/>
    <s v="21/2025 ASNI"/>
    <d v="2025-02-24T00:00:00"/>
    <s v="300043"/>
    <s v="DOUANE"/>
    <n v="1278"/>
  </r>
  <r>
    <s v="Facture comptabilisée"/>
    <m/>
    <x v="0"/>
    <x v="4797"/>
    <s v="20/2025 ASNI"/>
    <d v="2025-02-24T00:00:00"/>
    <s v="300043"/>
    <s v="DOUANE"/>
    <n v="1180"/>
  </r>
  <r>
    <s v="Facture comptabilisée"/>
    <m/>
    <x v="0"/>
    <x v="4798"/>
    <s v="04/2025 J"/>
    <d v="2025-02-24T00:00:00"/>
    <s v="300043"/>
    <s v="DOUANE"/>
    <n v="1297"/>
  </r>
  <r>
    <s v="Facture comptabilisée"/>
    <m/>
    <x v="0"/>
    <x v="4799"/>
    <s v="RO 63 OR"/>
    <d v="2025-02-24T00:00:00"/>
    <s v="300081"/>
    <s v="JIL EMBALLAGES"/>
    <n v="8802.625"/>
  </r>
  <r>
    <s v="Facture comptabilisée"/>
    <m/>
    <x v="0"/>
    <x v="4800"/>
    <s v="03/2025 J"/>
    <d v="2025-02-24T00:00:00"/>
    <s v="300191"/>
    <s v="JTTL"/>
    <n v="3494.69"/>
  </r>
  <r>
    <s v="Facture comptabilisée"/>
    <m/>
    <x v="0"/>
    <x v="4801"/>
    <s v="GLO FOOD"/>
    <d v="2025-02-24T00:00:00"/>
    <s v="300237"/>
    <s v="Saribekir Ambalaj - SBK"/>
    <n v="129406.2"/>
  </r>
  <r>
    <s v="Facture comptabilisée"/>
    <m/>
    <x v="0"/>
    <x v="4802"/>
    <s v="03/2025 J"/>
    <d v="2025-02-24T00:00:00"/>
    <s v="300321"/>
    <s v="JIL LOGISTIQUE"/>
    <n v="17250"/>
  </r>
  <r>
    <s v="Facture comptabilisée"/>
    <m/>
    <x v="0"/>
    <x v="4803"/>
    <s v="RO85 NEUTRE"/>
    <d v="2025-02-24T00:00:00"/>
    <s v="300381"/>
    <s v="ENVASES IBERICA"/>
    <n v="333934.96950000001"/>
  </r>
  <r>
    <s v="Facture comptabilisée"/>
    <m/>
    <x v="0"/>
    <x v="4804"/>
    <s v="04/2025 J"/>
    <d v="2025-02-25T00:00:00"/>
    <s v="300321"/>
    <s v="JIL LOGISTIQUE"/>
    <n v="17250"/>
  </r>
  <r>
    <s v="Facture comptabilisée"/>
    <m/>
    <x v="0"/>
    <x v="4805"/>
    <s v="JIL PACK A"/>
    <d v="2025-02-25T00:00:00"/>
    <s v="300381"/>
    <s v="ENVASES IBERICA"/>
    <n v="333934.96950000001"/>
  </r>
  <r>
    <s v="Facture comptabilisée"/>
    <m/>
    <x v="0"/>
    <x v="4806"/>
    <s v="COMPLEMENT"/>
    <d v="2025-02-26T00:00:00"/>
    <s v="300043"/>
    <s v="DOUANE"/>
    <n v="4918"/>
  </r>
  <r>
    <s v="Facture comptabilisée"/>
    <m/>
    <x v="0"/>
    <x v="4807"/>
    <s v="19/2025 ASNI"/>
    <d v="2025-02-26T00:00:00"/>
    <s v="300043"/>
    <s v="DOUANE"/>
    <n v="1271"/>
  </r>
  <r>
    <s v="Facture comptabilisée"/>
    <m/>
    <x v="0"/>
    <x v="4808"/>
    <s v="05/2025 J"/>
    <d v="2025-02-26T00:00:00"/>
    <s v="300043"/>
    <s v="DOUANE"/>
    <n v="5334"/>
  </r>
  <r>
    <s v="Facture comptabilisée"/>
    <m/>
    <x v="0"/>
    <x v="4809"/>
    <s v="2.3 ML"/>
    <d v="2025-02-26T00:00:00"/>
    <s v="300133"/>
    <s v="OP BOX "/>
    <n v="46944"/>
  </r>
  <r>
    <s v="Facture comptabilisée"/>
    <m/>
    <x v="0"/>
    <x v="4810"/>
    <s v="20L"/>
    <d v="2025-02-26T00:00:00"/>
    <s v="300133"/>
    <s v="OP BOX "/>
    <n v="34006.5"/>
  </r>
  <r>
    <s v="Facture comptabilisée"/>
    <m/>
    <x v="0"/>
    <x v="4811"/>
    <s v="04/2025 J"/>
    <d v="2025-02-26T00:00:00"/>
    <s v="300191"/>
    <s v="JTTL"/>
    <n v="3494.69"/>
  </r>
  <r>
    <s v="Facture comptabilisée"/>
    <m/>
    <x v="0"/>
    <x v="4812"/>
    <m/>
    <d v="2025-02-26T00:00:00"/>
    <s v="300321"/>
    <s v="JIL LOGISTIQUE"/>
    <n v="30000"/>
  </r>
  <r>
    <s v="Facture comptabilisée"/>
    <m/>
    <x v="0"/>
    <x v="4813"/>
    <s v="16/2025 ASNI"/>
    <d v="2025-02-26T00:00:00"/>
    <s v="300423"/>
    <s v="ASNITRANS"/>
    <n v="3206.46"/>
  </r>
  <r>
    <s v="Facture comptabilisée"/>
    <m/>
    <x v="0"/>
    <x v="4814"/>
    <s v="17/2025 ASNI"/>
    <d v="2025-02-26T00:00:00"/>
    <s v="300423"/>
    <s v="ASNITRANS"/>
    <n v="3206.46"/>
  </r>
  <r>
    <s v="Facture comptabilisée"/>
    <m/>
    <x v="0"/>
    <x v="4815"/>
    <s v="18/2025 ASNI"/>
    <d v="2025-02-27T00:00:00"/>
    <s v="300043"/>
    <s v="DOUANE"/>
    <n v="1270"/>
  </r>
  <r>
    <s v="Facture comptabilisée"/>
    <m/>
    <x v="0"/>
    <x v="4816"/>
    <m/>
    <d v="2025-02-27T00:00:00"/>
    <s v="300321"/>
    <s v="JIL LOGISTIQUE"/>
    <n v="30000"/>
  </r>
  <r>
    <s v="Facture comptabilisée"/>
    <m/>
    <x v="0"/>
    <x v="4817"/>
    <m/>
    <d v="2025-02-27T00:00:00"/>
    <s v="300321"/>
    <s v="JIL LOGISTIQUE"/>
    <n v="27000"/>
  </r>
  <r>
    <s v="Facture comptabilisée"/>
    <m/>
    <x v="0"/>
    <x v="4818"/>
    <m/>
    <d v="2025-02-27T00:00:00"/>
    <s v="300398"/>
    <s v="EXPERT FREIGHT"/>
    <n v="16824.45"/>
  </r>
  <r>
    <s v="Facture comptabilisée"/>
    <m/>
    <x v="0"/>
    <x v="4819"/>
    <s v="20L"/>
    <d v="2025-02-28T00:00:00"/>
    <s v="300133"/>
    <s v="OP BOX "/>
    <n v="54230.400000000001"/>
  </r>
  <r>
    <s v="Facture comptabilisée"/>
    <m/>
    <x v="0"/>
    <x v="4820"/>
    <s v="05/2025 J"/>
    <d v="2025-02-28T00:00:00"/>
    <s v="300191"/>
    <s v="JTTL"/>
    <n v="4254.7700000000004"/>
  </r>
  <r>
    <s v="Facture comptabilisée"/>
    <m/>
    <x v="0"/>
    <x v="4821"/>
    <m/>
    <d v="2025-02-28T00:00:00"/>
    <s v="300321"/>
    <s v="JIL LOGISTIQUE"/>
    <n v="30000"/>
  </r>
  <r>
    <s v="Facture comptabilisée"/>
    <m/>
    <x v="0"/>
    <x v="4822"/>
    <s v="18/2025 ASNI"/>
    <d v="2025-02-28T00:00:00"/>
    <s v="300423"/>
    <s v="ASNITRANS"/>
    <n v="3206.46"/>
  </r>
  <r>
    <s v="Facture comptabilisée"/>
    <m/>
    <x v="0"/>
    <x v="4823"/>
    <s v="19/2025 ASNI"/>
    <d v="2025-02-28T00:00:00"/>
    <s v="300423"/>
    <s v="ASNITRANS"/>
    <n v="3206.46"/>
  </r>
  <r>
    <s v="Facture comptabilisée"/>
    <m/>
    <x v="0"/>
    <x v="4824"/>
    <s v="20/2025 ASNI"/>
    <d v="2025-02-28T00:00:00"/>
    <s v="300423"/>
    <s v="ASNITRANS"/>
    <n v="3376.19"/>
  </r>
  <r>
    <s v="Facture comptabilisée"/>
    <m/>
    <x v="0"/>
    <x v="4825"/>
    <s v="21/2025 ASNI"/>
    <d v="2025-02-28T00:00:00"/>
    <s v="300423"/>
    <s v="ASNITRANS"/>
    <n v="3376.19"/>
  </r>
  <r>
    <s v="Facture comptabilisée"/>
    <m/>
    <x v="0"/>
    <x v="4826"/>
    <s v="COMMANDE 17"/>
    <d v="2025-03-03T00:00:00"/>
    <s v="300344"/>
    <s v="PADEL NUESTRO"/>
    <n v="408527.46010000003"/>
  </r>
  <r>
    <s v="Facture comptabilisée"/>
    <m/>
    <x v="0"/>
    <x v="4827"/>
    <s v="VMM"/>
    <d v="2025-03-03T00:00:00"/>
    <s v="300381"/>
    <s v="ENVASES IBERICA"/>
    <n v="336893.45909999998"/>
  </r>
  <r>
    <s v="Facture comptabilisée"/>
    <m/>
    <x v="0"/>
    <x v="4828"/>
    <s v="COMPLEMENT"/>
    <d v="2025-03-05T00:00:00"/>
    <s v="300043"/>
    <s v="DOUANE"/>
    <n v="4735"/>
  </r>
  <r>
    <s v="Facture comptabilisée"/>
    <m/>
    <x v="0"/>
    <x v="4829"/>
    <s v="22/2025 ASNI"/>
    <d v="2025-03-05T00:00:00"/>
    <s v="300043"/>
    <s v="DOUANE"/>
    <n v="1131"/>
  </r>
  <r>
    <s v="Facture comptabilisée"/>
    <m/>
    <x v="0"/>
    <x v="4830"/>
    <s v="24/2025 ASNI"/>
    <d v="2025-03-06T00:00:00"/>
    <s v="300043"/>
    <s v="DOUANE"/>
    <n v="1288"/>
  </r>
  <r>
    <s v="Facture comptabilisée"/>
    <m/>
    <x v="0"/>
    <x v="4831"/>
    <s v="GLO FOOD*1*"/>
    <d v="2025-03-06T00:00:00"/>
    <s v="300237"/>
    <s v="Saribekir Ambalaj - SBK"/>
    <n v="129373.2"/>
  </r>
  <r>
    <s v="Facture comptabilisée"/>
    <m/>
    <x v="0"/>
    <x v="4832"/>
    <s v="GLO FOOD"/>
    <d v="2025-03-06T00:00:00"/>
    <s v="300237"/>
    <s v="Saribekir Ambalaj - SBK"/>
    <n v="80769.149999999994"/>
  </r>
  <r>
    <s v="Facture comptabilisée"/>
    <m/>
    <x v="0"/>
    <x v="4833"/>
    <s v="23/2025 ASNI"/>
    <d v="2025-03-07T00:00:00"/>
    <s v="300043"/>
    <s v="DOUANE"/>
    <n v="3811"/>
  </r>
  <r>
    <s v="Facture comptabilisée"/>
    <m/>
    <x v="0"/>
    <x v="4834"/>
    <s v="LGMC+JP A"/>
    <d v="2025-03-07T00:00:00"/>
    <s v="300220"/>
    <s v="ENVASES EUROPE"/>
    <n v="1086970.8959999999"/>
  </r>
  <r>
    <s v="Facture comptabilisée"/>
    <m/>
    <x v="0"/>
    <x v="4835"/>
    <m/>
    <d v="2025-03-07T00:00:00"/>
    <s v="300321"/>
    <s v="JIL LOGISTIQUE"/>
    <n v="27000"/>
  </r>
  <r>
    <s v="Facture comptabilisée"/>
    <m/>
    <x v="0"/>
    <x v="4836"/>
    <s v="LOGI FOOD"/>
    <d v="2025-03-07T00:00:00"/>
    <s v="300381"/>
    <s v="ENVASES IBERICA"/>
    <n v="352643.59350000002"/>
  </r>
  <r>
    <s v="Facture comptabilisée"/>
    <m/>
    <x v="0"/>
    <x v="4837"/>
    <s v="RFA"/>
    <d v="2025-03-07T00:00:00"/>
    <s v="300381"/>
    <s v="ENVASES IBERICA"/>
    <n v="385214.06"/>
  </r>
  <r>
    <s v="Facture comptabilisée"/>
    <m/>
    <x v="0"/>
    <x v="4838"/>
    <s v="22/2025 ASNI"/>
    <d v="2025-03-08T00:00:00"/>
    <s v="300423"/>
    <s v="ASNITRANS"/>
    <n v="6790.42"/>
  </r>
  <r>
    <s v="Facture comptabilisée"/>
    <m/>
    <x v="0"/>
    <x v="4839"/>
    <s v="06/2025 J"/>
    <d v="2025-03-10T00:00:00"/>
    <s v="300043"/>
    <s v="DOUANE"/>
    <n v="757"/>
  </r>
  <r>
    <s v="Facture comptabilisée"/>
    <m/>
    <x v="0"/>
    <x v="4840"/>
    <s v="23/2025 ASNI"/>
    <d v="2025-03-10T00:00:00"/>
    <s v="300423"/>
    <s v="ASNITRANS"/>
    <n v="9149.51"/>
  </r>
  <r>
    <s v="Facture comptabilisée"/>
    <m/>
    <x v="0"/>
    <x v="4841"/>
    <s v="25/2025 ASNI"/>
    <d v="2025-03-11T00:00:00"/>
    <s v="300043"/>
    <s v="DOUANE"/>
    <n v="1345"/>
  </r>
  <r>
    <s v="Facture comptabilisée"/>
    <m/>
    <x v="0"/>
    <x v="4842"/>
    <s v="27/2025 ASNI"/>
    <d v="2025-03-11T00:00:00"/>
    <s v="300043"/>
    <s v="DOUANE"/>
    <n v="2887"/>
  </r>
  <r>
    <s v="Facture comptabilisée"/>
    <m/>
    <x v="0"/>
    <x v="4843"/>
    <s v="CC18"/>
    <d v="2025-03-11T00:00:00"/>
    <s v="300344"/>
    <s v="PADEL NUESTRO"/>
    <n v="96548.955199999997"/>
  </r>
  <r>
    <s v="Facture comptabilisée"/>
    <m/>
    <x v="0"/>
    <x v="4844"/>
    <s v="CC18 BIS"/>
    <d v="2025-03-11T00:00:00"/>
    <s v="300344"/>
    <s v="PADEL NUESTRO"/>
    <n v="133489.019"/>
  </r>
  <r>
    <s v="Facture comptabilisée"/>
    <m/>
    <x v="0"/>
    <x v="4845"/>
    <s v="06/2025 J"/>
    <d v="2025-03-12T00:00:00"/>
    <s v="300191"/>
    <s v="JTTL"/>
    <n v="8354.8700000000008"/>
  </r>
  <r>
    <s v="Facture comptabilisée"/>
    <m/>
    <x v="0"/>
    <x v="4846"/>
    <m/>
    <d v="2025-03-12T00:00:00"/>
    <s v="300321"/>
    <s v="JIL LOGISTIQUE"/>
    <n v="27000"/>
  </r>
  <r>
    <s v="Facture comptabilisée"/>
    <m/>
    <x v="0"/>
    <x v="4847"/>
    <s v="27/2025 ASNI"/>
    <d v="2025-03-12T00:00:00"/>
    <s v="300321"/>
    <s v="JIL LOGISTIQUE"/>
    <n v="52131.199999999997"/>
  </r>
  <r>
    <s v="Facture comptabilisée"/>
    <m/>
    <x v="0"/>
    <x v="4848"/>
    <s v="26/2025 ASNI"/>
    <d v="2025-03-13T00:00:00"/>
    <s v="300321"/>
    <s v="JIL LOGISTIQUE"/>
    <n v="30000"/>
  </r>
  <r>
    <s v="Facture comptabilisée"/>
    <m/>
    <x v="0"/>
    <x v="4849"/>
    <s v="JP AGADIR"/>
    <d v="2025-03-13T00:00:00"/>
    <s v="300381"/>
    <s v="ENVASES IBERICA"/>
    <n v="333934.96950000001"/>
  </r>
  <r>
    <s v="Facture comptabilisée"/>
    <m/>
    <x v="0"/>
    <x v="4850"/>
    <s v="24/2025 ASNI"/>
    <d v="2025-03-14T00:00:00"/>
    <s v="300423"/>
    <s v="ASNITRANS"/>
    <n v="3206.46"/>
  </r>
  <r>
    <s v="Facture comptabilisée"/>
    <m/>
    <x v="0"/>
    <x v="4851"/>
    <s v="25/2025 ASNI"/>
    <d v="2025-03-14T00:00:00"/>
    <s v="300423"/>
    <s v="ASNITRANS"/>
    <n v="3206.46"/>
  </r>
  <r>
    <s v="Facture comptabilisée"/>
    <m/>
    <x v="0"/>
    <x v="4852"/>
    <s v="COMPLEMENT"/>
    <d v="2025-03-17T00:00:00"/>
    <s v="300043"/>
    <s v="DOUANE"/>
    <n v="4178"/>
  </r>
  <r>
    <s v="Facture comptabilisée"/>
    <m/>
    <x v="0"/>
    <x v="4853"/>
    <s v="26/2025 ASNI"/>
    <d v="2025-03-17T00:00:00"/>
    <s v="300043"/>
    <s v="DOUANE"/>
    <n v="1282"/>
  </r>
  <r>
    <s v="Facture comptabilisée"/>
    <m/>
    <x v="0"/>
    <x v="4854"/>
    <s v="GLO FOOD"/>
    <d v="2025-03-17T00:00:00"/>
    <s v="300237"/>
    <s v="Saribekir Ambalaj - SBK"/>
    <n v="129373.2"/>
  </r>
  <r>
    <s v="Facture comptabilisée"/>
    <m/>
    <x v="0"/>
    <x v="4855"/>
    <m/>
    <d v="2025-03-17T00:00:00"/>
    <s v="300321"/>
    <s v="JIL LOGISTIQUE"/>
    <n v="30000"/>
  </r>
  <r>
    <s v="Facture comptabilisée"/>
    <m/>
    <x v="0"/>
    <x v="4856"/>
    <m/>
    <d v="2025-03-17T00:00:00"/>
    <s v="300321"/>
    <s v="JIL LOGISTIQUE"/>
    <n v="27000"/>
  </r>
  <r>
    <s v="Facture comptabilisée"/>
    <m/>
    <x v="0"/>
    <x v="4857"/>
    <s v="JP A"/>
    <d v="2025-03-17T00:00:00"/>
    <s v="300381"/>
    <s v="ENVASES IBERICA"/>
    <n v="287907.10519999999"/>
  </r>
  <r>
    <s v="Facture comptabilisée"/>
    <m/>
    <x v="0"/>
    <x v="4858"/>
    <s v="JIL PACK"/>
    <d v="2025-03-17T00:00:00"/>
    <s v="300381"/>
    <s v="ENVASES IBERICA"/>
    <n v="287907.10519999999"/>
  </r>
  <r>
    <s v="Facture comptabilisée"/>
    <m/>
    <x v="0"/>
    <x v="4859"/>
    <s v="D65"/>
    <d v="2025-03-17T00:00:00"/>
    <s v="300381"/>
    <s v="ENVASES IBERICA"/>
    <n v="19.1675"/>
  </r>
  <r>
    <s v="Facture comptabilisée"/>
    <m/>
    <x v="0"/>
    <x v="4860"/>
    <s v="07/2025 J"/>
    <d v="2025-03-18T00:00:00"/>
    <s v="300364"/>
    <s v="CMA CGM MAROC"/>
    <n v="4639.558"/>
  </r>
  <r>
    <s v="Facture comptabilisée"/>
    <m/>
    <x v="0"/>
    <x v="4861"/>
    <s v="29/2025 ASNI"/>
    <d v="2025-03-19T00:00:00"/>
    <s v="300043"/>
    <s v="DOUANE"/>
    <n v="1135"/>
  </r>
  <r>
    <s v="Facture comptabilisée"/>
    <m/>
    <x v="0"/>
    <x v="4862"/>
    <s v="28/2025 ASNI"/>
    <d v="2025-03-19T00:00:00"/>
    <s v="300043"/>
    <s v="DOUANE"/>
    <n v="1135"/>
  </r>
  <r>
    <s v="Facture comptabilisée"/>
    <m/>
    <x v="0"/>
    <x v="4863"/>
    <m/>
    <d v="2025-03-20T00:00:00"/>
    <s v="300321"/>
    <s v="JIL LOGISTIQUE"/>
    <n v="30000"/>
  </r>
  <r>
    <s v="Facture comptabilisée"/>
    <m/>
    <x v="0"/>
    <x v="4864"/>
    <s v="VMM"/>
    <d v="2025-03-20T00:00:00"/>
    <s v="300381"/>
    <s v="ENVASES IBERICA"/>
    <n v="340613.11349999998"/>
  </r>
  <r>
    <s v="Facture comptabilisée"/>
    <m/>
    <x v="0"/>
    <x v="4865"/>
    <s v="JIL PACK A"/>
    <d v="2025-03-20T00:00:00"/>
    <s v="300381"/>
    <s v="ENVASES IBERICA"/>
    <n v="333934.96950000001"/>
  </r>
  <r>
    <s v="Facture comptabilisée"/>
    <m/>
    <x v="0"/>
    <x v="4866"/>
    <s v="26/2025 ASNI"/>
    <d v="2025-03-20T00:00:00"/>
    <s v="300423"/>
    <s v="ASNITRANS"/>
    <n v="3206.46"/>
  </r>
  <r>
    <s v="Facture comptabilisée"/>
    <m/>
    <x v="0"/>
    <x v="4867"/>
    <s v="27/2025 ASNI"/>
    <d v="2025-03-20T00:00:00"/>
    <s v="300423"/>
    <s v="ASNITRANS"/>
    <n v="3206.46"/>
  </r>
  <r>
    <s v="Facture comptabilisée"/>
    <m/>
    <x v="0"/>
    <x v="4868"/>
    <s v="31/2025 ASNI"/>
    <d v="2025-03-24T00:00:00"/>
    <s v="300043"/>
    <s v="DOUANE"/>
    <n v="1272"/>
  </r>
  <r>
    <s v="Facture comptabilisée"/>
    <m/>
    <x v="0"/>
    <x v="4869"/>
    <s v="30/2025 ASNI"/>
    <d v="2025-03-24T00:00:00"/>
    <s v="300043"/>
    <s v="DOUANE"/>
    <n v="1293"/>
  </r>
  <r>
    <s v="Facture comptabilisée"/>
    <m/>
    <x v="0"/>
    <x v="4870"/>
    <s v="LGMC+JP A"/>
    <d v="2025-03-24T00:00:00"/>
    <s v="300220"/>
    <s v="ENVASES EUROPE"/>
    <n v="1057551.264"/>
  </r>
  <r>
    <s v="Facture comptabilisée"/>
    <m/>
    <x v="0"/>
    <x v="4871"/>
    <s v="JIL PACK"/>
    <d v="2025-03-24T00:00:00"/>
    <s v="300375"/>
    <s v="BASTURK CAM SANAYI VE TICARET"/>
    <n v="126992.03"/>
  </r>
  <r>
    <s v="Facture comptabilisée"/>
    <m/>
    <x v="0"/>
    <x v="4872"/>
    <s v="COMPLEMENT"/>
    <d v="2025-03-25T00:00:00"/>
    <s v="300043"/>
    <s v="DOUANE"/>
    <n v="3921"/>
  </r>
  <r>
    <s v="Facture comptabilisée"/>
    <m/>
    <x v="0"/>
    <x v="4873"/>
    <m/>
    <d v="2025-03-25T00:00:00"/>
    <s v="300321"/>
    <s v="JIL LOGISTIQUE"/>
    <n v="52131.199999999997"/>
  </r>
  <r>
    <s v="Facture comptabilisée"/>
    <m/>
    <x v="0"/>
    <x v="4874"/>
    <m/>
    <d v="2025-03-25T00:00:00"/>
    <s v="300321"/>
    <s v="JIL LOGISTIQUE"/>
    <n v="27000"/>
  </r>
  <r>
    <s v="Facture comptabilisée"/>
    <m/>
    <x v="0"/>
    <x v="4875"/>
    <m/>
    <d v="2025-03-25T00:00:00"/>
    <s v="300321"/>
    <s v="JIL LOGISTIQUE"/>
    <n v="30000"/>
  </r>
  <r>
    <s v="Facture comptabilisée"/>
    <m/>
    <x v="0"/>
    <x v="4876"/>
    <m/>
    <d v="2025-03-25T00:00:00"/>
    <s v="300321"/>
    <s v="JIL LOGISTIQUE"/>
    <n v="30000"/>
  </r>
  <r>
    <s v="Facture comptabilisée"/>
    <m/>
    <x v="0"/>
    <x v="4877"/>
    <s v="JIL PACK A"/>
    <d v="2025-03-25T00:00:00"/>
    <s v="300381"/>
    <s v="ENVASES IBERICA"/>
    <n v="329549.3223"/>
  </r>
  <r>
    <s v="Facture comptabilisée"/>
    <m/>
    <x v="0"/>
    <x v="4878"/>
    <s v="JIL PACK A"/>
    <d v="2025-03-25T00:00:00"/>
    <s v="300381"/>
    <s v="ENVASES IBERICA"/>
    <n v="333934.96950000001"/>
  </r>
  <r>
    <s v="Facture comptabilisée"/>
    <m/>
    <x v="0"/>
    <x v="4879"/>
    <s v="28/2025 ASNI"/>
    <d v="2025-03-25T00:00:00"/>
    <s v="300423"/>
    <s v="ASNITRANS"/>
    <n v="3206.46"/>
  </r>
  <r>
    <s v="Facture comptabilisée"/>
    <m/>
    <x v="0"/>
    <x v="4880"/>
    <s v="29/2025 ASNI"/>
    <d v="2025-03-25T00:00:00"/>
    <s v="300423"/>
    <s v="ASNITRANS"/>
    <n v="3206.46"/>
  </r>
  <r>
    <s v="Facture comptabilisée"/>
    <m/>
    <x v="0"/>
    <x v="4881"/>
    <m/>
    <d v="2025-03-26T00:00:00"/>
    <s v="300321"/>
    <s v="JIL LOGISTIQUE"/>
    <n v="27000"/>
  </r>
  <r>
    <s v="Facture comptabilisée"/>
    <m/>
    <x v="0"/>
    <x v="4882"/>
    <m/>
    <d v="2025-03-26T00:00:00"/>
    <s v="300321"/>
    <s v="JIL LOGISTIQUE"/>
    <n v="30000"/>
  </r>
  <r>
    <s v="Facture comptabilisée"/>
    <m/>
    <x v="0"/>
    <x v="4883"/>
    <s v="JIL PACK A"/>
    <d v="2025-03-26T00:00:00"/>
    <s v="300381"/>
    <s v="ENVASES IBERICA"/>
    <n v="333934.96950000001"/>
  </r>
  <r>
    <s v="Facture comptabilisée"/>
    <m/>
    <x v="0"/>
    <x v="4884"/>
    <s v="1/4 CLUB DR"/>
    <d v="2025-03-26T00:00:00"/>
    <s v="300381"/>
    <s v="ENVASES IBERICA"/>
    <n v="287907.10519999999"/>
  </r>
  <r>
    <s v="Facture comptabilisée"/>
    <m/>
    <x v="0"/>
    <x v="4885"/>
    <s v="COMPLEMENT"/>
    <d v="2025-03-27T00:00:00"/>
    <s v="300043"/>
    <s v="DOUANE"/>
    <n v="4466"/>
  </r>
  <r>
    <s v="Facture comptabilisée"/>
    <m/>
    <x v="0"/>
    <x v="4886"/>
    <s v="32/2025 ASNI"/>
    <d v="2025-03-27T00:00:00"/>
    <s v="300043"/>
    <s v="DOUANE"/>
    <n v="1265"/>
  </r>
  <r>
    <s v="Facture comptabilisée"/>
    <m/>
    <x v="0"/>
    <x v="4887"/>
    <s v="280 ML"/>
    <d v="2025-03-27T00:00:00"/>
    <s v="300133"/>
    <s v="OP BOX "/>
    <n v="13860"/>
  </r>
  <r>
    <s v="Facture comptabilisée"/>
    <m/>
    <x v="0"/>
    <x v="4888"/>
    <s v="PLAST"/>
    <d v="2025-03-27T00:00:00"/>
    <s v="300133"/>
    <s v="OP BOX "/>
    <n v="56980.82"/>
  </r>
  <r>
    <s v="Facture comptabilisée"/>
    <m/>
    <x v="0"/>
    <x v="4889"/>
    <m/>
    <d v="2025-03-27T00:00:00"/>
    <s v="300321"/>
    <s v="JIL LOGISTIQUE"/>
    <n v="30000"/>
  </r>
  <r>
    <s v="Facture comptabilisée"/>
    <m/>
    <x v="0"/>
    <x v="4890"/>
    <s v="JIL PACK A"/>
    <d v="2025-03-27T00:00:00"/>
    <s v="300381"/>
    <s v="ENVASES IBERICA"/>
    <n v="333934.96950000001"/>
  </r>
  <r>
    <s v="Facture comptabilisée"/>
    <m/>
    <x v="0"/>
    <x v="4891"/>
    <s v="37/2025 ASNI"/>
    <d v="2025-03-28T00:00:00"/>
    <s v="300043"/>
    <s v="DOUANE"/>
    <n v="6391"/>
  </r>
  <r>
    <s v="Facture comptabilisée"/>
    <m/>
    <x v="0"/>
    <x v="4892"/>
    <s v="35/2025 ASNI"/>
    <d v="2025-03-28T00:00:00"/>
    <s v="300043"/>
    <s v="DOUANE"/>
    <n v="1253"/>
  </r>
  <r>
    <s v="Facture comptabilisée"/>
    <m/>
    <x v="0"/>
    <x v="4893"/>
    <s v="36/2025 ASNI"/>
    <d v="2025-03-28T00:00:00"/>
    <s v="300043"/>
    <s v="DOUANE"/>
    <n v="3651"/>
  </r>
  <r>
    <s v="Facture comptabilisée"/>
    <m/>
    <x v="0"/>
    <x v="4894"/>
    <s v="33/2025 ASNI"/>
    <d v="2025-03-28T00:00:00"/>
    <s v="300043"/>
    <s v="DOUANE"/>
    <n v="1122"/>
  </r>
  <r>
    <s v="Facture comptabilisée"/>
    <m/>
    <x v="0"/>
    <x v="4895"/>
    <s v="34/2025 ASNI"/>
    <d v="2025-03-28T00:00:00"/>
    <s v="300043"/>
    <s v="DOUANE"/>
    <n v="1268"/>
  </r>
  <r>
    <s v="Facture comptabilisée"/>
    <m/>
    <x v="0"/>
    <x v="4896"/>
    <s v="07/2025 J"/>
    <d v="2025-03-28T00:00:00"/>
    <s v="300043"/>
    <s v="DOUANE"/>
    <n v="622"/>
  </r>
  <r>
    <s v="Facture comptabilisée"/>
    <m/>
    <x v="0"/>
    <x v="4897"/>
    <s v="30/2025 ASNI"/>
    <d v="2025-03-29T00:00:00"/>
    <s v="300423"/>
    <s v="ASNITRANS"/>
    <n v="3206.46"/>
  </r>
  <r>
    <s v="Facture comptabilisée"/>
    <m/>
    <x v="0"/>
    <x v="4898"/>
    <s v="31/2025 ASNI"/>
    <d v="2025-03-29T00:00:00"/>
    <s v="300423"/>
    <s v="ASNITRANS"/>
    <n v="3206.46"/>
  </r>
  <r>
    <s v="Facture comptabilisée"/>
    <m/>
    <x v="0"/>
    <x v="4899"/>
    <s v="32/2025 ASNI"/>
    <d v="2025-03-29T00:00:00"/>
    <s v="300423"/>
    <s v="ASNITRANS"/>
    <n v="3206.46"/>
  </r>
  <r>
    <s v="Facture comptabilisée"/>
    <m/>
    <x v="0"/>
    <x v="4900"/>
    <s v="33/2025 ASNI"/>
    <d v="2025-03-29T00:00:00"/>
    <s v="300423"/>
    <s v="ASNITRANS"/>
    <n v="3206.46"/>
  </r>
  <r>
    <s v="Facture comptabilisée"/>
    <m/>
    <x v="0"/>
    <x v="4901"/>
    <s v="34/2025 ASNI"/>
    <d v="2025-03-29T00:00:00"/>
    <s v="300423"/>
    <s v="ASNITRANS"/>
    <n v="3206.46"/>
  </r>
  <r>
    <s v="Facture comptabilisée"/>
    <m/>
    <x v="0"/>
    <x v="4902"/>
    <s v="35/2025 ASNI"/>
    <d v="2025-03-29T00:00:00"/>
    <s v="300423"/>
    <s v="ASNITRANS"/>
    <n v="3206.46"/>
  </r>
  <r>
    <s v="Facture comptabilisée"/>
    <m/>
    <x v="0"/>
    <x v="4903"/>
    <s v="36/2025 ASNI"/>
    <d v="2025-03-29T00:00:00"/>
    <s v="300423"/>
    <s v="ASNITRANS"/>
    <n v="3206.46"/>
  </r>
  <r>
    <s v="Facture comptabilisée"/>
    <m/>
    <x v="0"/>
    <x v="4904"/>
    <s v="37/2025 ASNI"/>
    <d v="2025-03-29T00:00:00"/>
    <s v="300423"/>
    <s v="ASNITRANS"/>
    <n v="16449.98"/>
  </r>
  <r>
    <s v="Facture comptabilisée"/>
    <m/>
    <x v="0"/>
    <x v="4905"/>
    <s v="CHERIF CONSERVES"/>
    <d v="2025-03-31T00:00:00"/>
    <s v="300115"/>
    <s v="AUXILIAR CONSERVERA SA"/>
    <n v="107687.25"/>
  </r>
  <r>
    <s v="Facture comptabilisée"/>
    <m/>
    <x v="0"/>
    <x v="4906"/>
    <s v="38/2025 ASNI"/>
    <d v="2025-04-02T00:00:00"/>
    <s v="300043"/>
    <s v="DOUANE"/>
    <n v="1269"/>
  </r>
  <r>
    <s v="Facture comptabilisée"/>
    <m/>
    <x v="0"/>
    <x v="4907"/>
    <s v="20L"/>
    <d v="2025-04-03T00:00:00"/>
    <s v="300133"/>
    <s v="OP BOX "/>
    <n v="35461.800000000003"/>
  </r>
  <r>
    <s v="Facture comptabilisée"/>
    <m/>
    <x v="0"/>
    <x v="4908"/>
    <s v="1/4 CLUB FB CONIQ"/>
    <d v="2025-04-03T00:00:00"/>
    <s v="300220"/>
    <s v="ENVASES EUROPE"/>
    <n v="785832.23400000005"/>
  </r>
  <r>
    <s v="Facture comptabilisée"/>
    <m/>
    <x v="0"/>
    <x v="4909"/>
    <s v="JP A   2"/>
    <d v="2025-04-03T00:00:00"/>
    <s v="300220"/>
    <s v="ENVASES EUROPE"/>
    <n v="786422.53799999994"/>
  </r>
  <r>
    <s v="Facture comptabilisée"/>
    <m/>
    <x v="0"/>
    <x v="4910"/>
    <s v="10/2025 J"/>
    <d v="2025-04-03T00:00:00"/>
    <s v="300364"/>
    <s v="CMA CGM MAROC"/>
    <n v="8889.116"/>
  </r>
  <r>
    <s v="Facture comptabilisée"/>
    <m/>
    <x v="0"/>
    <x v="4911"/>
    <s v="07/2025 J"/>
    <d v="2025-04-07T00:00:00"/>
    <s v="300191"/>
    <s v="JTTL"/>
    <n v="2644.83"/>
  </r>
  <r>
    <s v="Facture comptabilisée"/>
    <m/>
    <x v="0"/>
    <x v="4912"/>
    <s v="41/2025 ASNI"/>
    <d v="2025-04-07T00:00:00"/>
    <s v="300321"/>
    <s v="JIL LOGISTIQUE"/>
    <n v="27000"/>
  </r>
  <r>
    <s v="Facture comptabilisée"/>
    <m/>
    <x v="0"/>
    <x v="4913"/>
    <s v="COMMANDE 20"/>
    <d v="2025-04-07T00:00:00"/>
    <s v="300344"/>
    <s v="PADEL NUESTRO"/>
    <n v="33116.17"/>
  </r>
  <r>
    <s v="Facture comptabilisée"/>
    <m/>
    <x v="0"/>
    <x v="4914"/>
    <s v="09/2025 J"/>
    <d v="2025-04-07T00:00:00"/>
    <s v="300364"/>
    <s v="CMA CGM MAROC"/>
    <n v="4639.558"/>
  </r>
  <r>
    <s v="Facture comptabilisée"/>
    <m/>
    <x v="0"/>
    <x v="4915"/>
    <s v="JIL PACK A"/>
    <d v="2025-04-07T00:00:00"/>
    <s v="300381"/>
    <s v="ENVASES IBERICA"/>
    <n v="333934.96950000001"/>
  </r>
  <r>
    <s v="Facture comptabilisée"/>
    <m/>
    <x v="0"/>
    <x v="4916"/>
    <s v="JIL PACK "/>
    <d v="2025-04-07T00:00:00"/>
    <s v="300381"/>
    <s v="ENVASES IBERICA"/>
    <n v="287907.10519999999"/>
  </r>
  <r>
    <s v="Facture comptabilisée"/>
    <m/>
    <x v="0"/>
    <x v="4917"/>
    <s v="JIL PACK A"/>
    <d v="2025-04-08T00:00:00"/>
    <s v="300381"/>
    <s v="ENVASES IBERICA"/>
    <n v="287907.10519999999"/>
  </r>
  <r>
    <s v="Facture comptabilisée"/>
    <m/>
    <x v="0"/>
    <x v="4918"/>
    <s v="38/2025 ASNI"/>
    <d v="2025-04-08T00:00:00"/>
    <s v="300423"/>
    <s v="ASNITRANS"/>
    <n v="3376.19"/>
  </r>
  <r>
    <s v="Facture comptabilisée"/>
    <m/>
    <x v="0"/>
    <x v="4919"/>
    <s v="06/2025 A"/>
    <d v="2025-04-09T00:00:00"/>
    <s v="300043"/>
    <s v="DOUANE"/>
    <n v="507"/>
  </r>
  <r>
    <s v="Facture comptabilisée"/>
    <m/>
    <x v="0"/>
    <x v="4920"/>
    <m/>
    <d v="2025-04-09T00:00:00"/>
    <s v="300043"/>
    <s v="DOUANE"/>
    <n v="31887"/>
  </r>
  <r>
    <s v="Facture comptabilisée"/>
    <m/>
    <x v="0"/>
    <x v="4921"/>
    <s v="LOGI FOOD"/>
    <d v="2025-04-09T00:00:00"/>
    <s v="300381"/>
    <s v="ENVASES IBERICA"/>
    <n v="352643.59350000002"/>
  </r>
  <r>
    <s v="Facture comptabilisée"/>
    <m/>
    <x v="0"/>
    <x v="4922"/>
    <s v="42/2025 ASNI"/>
    <d v="2025-04-10T00:00:00"/>
    <s v="300043"/>
    <s v="DOUANE"/>
    <n v="1278"/>
  </r>
  <r>
    <s v="Facture comptabilisée"/>
    <m/>
    <x v="0"/>
    <x v="4923"/>
    <s v="41/2025 ASNI"/>
    <d v="2025-04-10T00:00:00"/>
    <s v="300043"/>
    <s v="DOUANE"/>
    <n v="1132"/>
  </r>
  <r>
    <s v="Facture comptabilisée"/>
    <m/>
    <x v="0"/>
    <x v="4924"/>
    <s v="40/2025 ASNI"/>
    <d v="2025-04-10T00:00:00"/>
    <s v="300043"/>
    <s v="DOUANE"/>
    <n v="1132"/>
  </r>
  <r>
    <s v="Facture comptabilisée"/>
    <m/>
    <x v="0"/>
    <x v="4925"/>
    <s v="01/2025 GAMMA"/>
    <d v="2025-04-10T00:00:00"/>
    <s v="300398"/>
    <s v="EXPERT FREIGHT"/>
    <n v="17020.82"/>
  </r>
  <r>
    <s v="Facture comptabilisée"/>
    <m/>
    <x v="0"/>
    <x v="4926"/>
    <s v="39/2025 ASNI"/>
    <d v="2025-04-11T00:00:00"/>
    <s v="300043"/>
    <s v="DOUANE"/>
    <n v="1336"/>
  </r>
  <r>
    <s v="Facture comptabilisée"/>
    <m/>
    <x v="0"/>
    <x v="4927"/>
    <s v="JIL PACK A"/>
    <d v="2025-04-11T00:00:00"/>
    <s v="300381"/>
    <s v="ENVASES IBERICA"/>
    <n v="333934.96950000001"/>
  </r>
  <r>
    <s v="Facture comptabilisée"/>
    <m/>
    <x v="0"/>
    <x v="4928"/>
    <m/>
    <d v="2025-04-12T00:00:00"/>
    <s v="300191"/>
    <s v="JTTL"/>
    <n v="12795.72"/>
  </r>
  <r>
    <s v="Facture comptabilisée"/>
    <m/>
    <x v="0"/>
    <x v="4929"/>
    <s v="40/2025 ASNI"/>
    <d v="2025-04-12T00:00:00"/>
    <s v="300321"/>
    <s v="JIL LOGISTIQUE"/>
    <n v="30000"/>
  </r>
  <r>
    <s v="Facture comptabilisée"/>
    <m/>
    <x v="0"/>
    <x v="4930"/>
    <s v="COMPLEMENT"/>
    <d v="2025-04-14T00:00:00"/>
    <s v="300043"/>
    <s v="DOUANE"/>
    <n v="4168"/>
  </r>
  <r>
    <s v="Facture comptabilisée"/>
    <m/>
    <x v="0"/>
    <x v="4931"/>
    <s v="10/2025 J"/>
    <d v="2025-04-14T00:00:00"/>
    <s v="300043"/>
    <s v="DOUANE"/>
    <n v="977"/>
  </r>
  <r>
    <s v="Facture comptabilisée"/>
    <m/>
    <x v="0"/>
    <x v="4932"/>
    <s v="DESIGN MARRAKECH "/>
    <d v="2025-04-14T00:00:00"/>
    <s v="300354"/>
    <s v="HMY"/>
    <n v="17600"/>
  </r>
  <r>
    <s v="Facture comptabilisée"/>
    <m/>
    <x v="0"/>
    <x v="4933"/>
    <s v="1/4 CLUB DR"/>
    <d v="2025-04-14T00:00:00"/>
    <s v="300381"/>
    <s v="ENVASES IBERICA"/>
    <n v="287907.10519999999"/>
  </r>
  <r>
    <s v="Facture comptabilisée"/>
    <m/>
    <x v="0"/>
    <x v="4934"/>
    <s v="44/2025 ASNI"/>
    <d v="2025-04-15T00:00:00"/>
    <s v="300043"/>
    <s v="DOUANE"/>
    <n v="1288"/>
  </r>
  <r>
    <s v="Facture comptabilisée"/>
    <m/>
    <x v="0"/>
    <x v="4935"/>
    <s v="5500ML"/>
    <d v="2025-04-15T00:00:00"/>
    <s v="300133"/>
    <s v="OP BOX "/>
    <n v="40136.400000000001"/>
  </r>
  <r>
    <s v="Facture comptabilisée"/>
    <m/>
    <x v="0"/>
    <x v="4936"/>
    <s v="2300ML"/>
    <d v="2025-04-15T00:00:00"/>
    <s v="300133"/>
    <s v="OP BOX "/>
    <n v="42249.599999999999"/>
  </r>
  <r>
    <s v="Facture comptabilisée"/>
    <m/>
    <x v="0"/>
    <x v="4937"/>
    <s v="VMM"/>
    <d v="2025-04-15T00:00:00"/>
    <s v="300381"/>
    <s v="ENVASES IBERICA"/>
    <n v="340613.11349999998"/>
  </r>
  <r>
    <s v="Facture comptabilisée"/>
    <m/>
    <x v="0"/>
    <x v="4938"/>
    <s v="39/2025 ASNI"/>
    <d v="2025-04-15T00:00:00"/>
    <s v="300423"/>
    <s v="ASNITRANS"/>
    <n v="3206.46"/>
  </r>
  <r>
    <s v="Facture comptabilisée"/>
    <m/>
    <x v="0"/>
    <x v="4939"/>
    <s v="40/2025 ASNI"/>
    <d v="2025-04-15T00:00:00"/>
    <s v="300423"/>
    <s v="ASNITRANS"/>
    <n v="3206.46"/>
  </r>
  <r>
    <s v="Facture comptabilisée"/>
    <m/>
    <x v="0"/>
    <x v="4940"/>
    <s v="41/2025 ASNI"/>
    <d v="2025-04-15T00:00:00"/>
    <s v="300423"/>
    <s v="ASNITRANS"/>
    <n v="3376.19"/>
  </r>
  <r>
    <s v="Facture comptabilisée"/>
    <m/>
    <x v="0"/>
    <x v="4941"/>
    <s v="42/2025 ASNI"/>
    <d v="2025-04-15T00:00:00"/>
    <s v="300423"/>
    <s v="ASNITRANS"/>
    <n v="3376.19"/>
  </r>
  <r>
    <s v="Facture comptabilisée"/>
    <m/>
    <x v="0"/>
    <x v="4942"/>
    <s v="43/2025 ASNI"/>
    <d v="2025-04-16T00:00:00"/>
    <s v="300043"/>
    <s v="DOUANE"/>
    <n v="1134"/>
  </r>
  <r>
    <s v="Facture comptabilisée"/>
    <m/>
    <x v="0"/>
    <x v="4943"/>
    <s v="09/2025 J"/>
    <d v="2025-04-16T00:00:00"/>
    <s v="300043"/>
    <s v="DOUANE"/>
    <n v="619"/>
  </r>
  <r>
    <s v="Facture comptabilisée"/>
    <m/>
    <x v="0"/>
    <x v="4944"/>
    <s v="JIL PACK A"/>
    <d v="2025-04-16T00:00:00"/>
    <s v="300381"/>
    <s v="ENVASES IBERICA"/>
    <n v="333934.96950000001"/>
  </r>
  <r>
    <s v="Facture comptabilisée"/>
    <m/>
    <x v="0"/>
    <x v="4945"/>
    <s v="JIL PACK A"/>
    <d v="2025-04-16T00:00:00"/>
    <s v="300381"/>
    <s v="ENVASES IBERICA"/>
    <n v="333934.96950000001"/>
  </r>
  <r>
    <s v="Facture comptabilisée"/>
    <m/>
    <x v="0"/>
    <x v="4946"/>
    <s v="COMPLEMENT"/>
    <d v="2025-04-17T00:00:00"/>
    <s v="300043"/>
    <s v="DOUANE"/>
    <n v="4649"/>
  </r>
  <r>
    <s v="Facture comptabilisée"/>
    <m/>
    <x v="0"/>
    <x v="4947"/>
    <s v="47/2025 ASNI"/>
    <d v="2025-04-17T00:00:00"/>
    <s v="300043"/>
    <s v="DOUANE"/>
    <n v="1305"/>
  </r>
  <r>
    <s v="Facture comptabilisée"/>
    <m/>
    <x v="0"/>
    <x v="4948"/>
    <s v="42/2025 ASNI"/>
    <d v="2025-04-17T00:00:00"/>
    <s v="300321"/>
    <s v="JIL LOGISTIQUE"/>
    <n v="30000"/>
  </r>
  <r>
    <s v="Facture comptabilisée"/>
    <m/>
    <x v="0"/>
    <x v="4949"/>
    <s v="39/2025 ASNI"/>
    <d v="2025-04-17T00:00:00"/>
    <s v="300321"/>
    <s v="JIL LOGISTIQUE"/>
    <n v="27000"/>
  </r>
  <r>
    <s v="Facture comptabilisée"/>
    <m/>
    <x v="0"/>
    <x v="4950"/>
    <m/>
    <d v="2025-04-17T00:00:00"/>
    <s v="300321"/>
    <s v="JIL LOGISTIQUE"/>
    <n v="30000"/>
  </r>
  <r>
    <s v="Facture comptabilisée"/>
    <m/>
    <x v="0"/>
    <x v="4951"/>
    <m/>
    <d v="2025-04-17T00:00:00"/>
    <s v="300321"/>
    <s v="JIL LOGISTIQUE"/>
    <n v="30000"/>
  </r>
  <r>
    <s v="Facture comptabilisée"/>
    <m/>
    <x v="0"/>
    <x v="4952"/>
    <s v="22L+1KG+5KG"/>
    <d v="2025-04-17T00:00:00"/>
    <s v="300356"/>
    <s v="MASSILY PORTUGAL"/>
    <n v="191219.6"/>
  </r>
  <r>
    <s v="Facture comptabilisée"/>
    <m/>
    <x v="0"/>
    <x v="4953"/>
    <m/>
    <d v="2025-04-18T00:00:00"/>
    <s v="300321"/>
    <s v="JIL LOGISTIQUE"/>
    <n v="27000"/>
  </r>
  <r>
    <s v="Facture comptabilisée"/>
    <m/>
    <x v="0"/>
    <x v="4954"/>
    <s v="01/2025 GAMMA"/>
    <d v="2025-04-18T00:00:00"/>
    <s v="300400"/>
    <s v="GAMMA TRANSIT"/>
    <n v="35102.9"/>
  </r>
  <r>
    <s v="Facture comptabilisée"/>
    <m/>
    <x v="0"/>
    <x v="4955"/>
    <s v="43/2025 ASNI"/>
    <d v="2025-04-18T00:00:00"/>
    <s v="300423"/>
    <s v="ASNITRANS"/>
    <n v="3206.46"/>
  </r>
  <r>
    <s v="Facture comptabilisée"/>
    <m/>
    <x v="0"/>
    <x v="4956"/>
    <s v="44/2025 ASNI"/>
    <d v="2025-04-18T00:00:00"/>
    <s v="300423"/>
    <s v="ASNITRANS"/>
    <n v="8859.86"/>
  </r>
  <r>
    <s v="Facture comptabilisée"/>
    <m/>
    <x v="0"/>
    <x v="4957"/>
    <s v="46/2025 ASNI"/>
    <d v="2025-04-21T00:00:00"/>
    <s v="300043"/>
    <s v="DOUANE"/>
    <n v="1284"/>
  </r>
  <r>
    <s v="Facture comptabilisée"/>
    <m/>
    <x v="0"/>
    <x v="4958"/>
    <s v="45/2025 ASNI"/>
    <d v="2025-04-21T00:00:00"/>
    <s v="300043"/>
    <s v="DOUANE"/>
    <n v="1284"/>
  </r>
  <r>
    <s v="Facture comptabilisée"/>
    <m/>
    <x v="0"/>
    <x v="4959"/>
    <s v="06/2025 A"/>
    <d v="2025-04-21T00:00:00"/>
    <s v="300101"/>
    <s v="ASMAE FORWARDING EXPRESS"/>
    <n v="3887.1"/>
  </r>
  <r>
    <s v="Facture comptabilisée"/>
    <m/>
    <x v="0"/>
    <x v="4960"/>
    <s v="09/2025 J"/>
    <d v="2025-04-21T00:00:00"/>
    <s v="300191"/>
    <s v="JTTL"/>
    <n v="2556.5"/>
  </r>
  <r>
    <s v="Facture comptabilisée"/>
    <m/>
    <x v="0"/>
    <x v="4961"/>
    <s v="JI PACK A"/>
    <d v="2025-04-21T00:00:00"/>
    <s v="300381"/>
    <s v="ENVASES IBERICA"/>
    <n v="333934.96950000001"/>
  </r>
  <r>
    <s v="Facture comptabilisée"/>
    <m/>
    <x v="0"/>
    <x v="4962"/>
    <s v="IDNA FOOD"/>
    <d v="2025-04-21T00:00:00"/>
    <s v="300381"/>
    <s v="ENVASES IBERICA"/>
    <n v="333934.96950000001"/>
  </r>
  <r>
    <s v="Facture comptabilisée"/>
    <m/>
    <x v="0"/>
    <x v="4963"/>
    <s v="JI PACK A"/>
    <d v="2025-04-21T00:00:00"/>
    <s v="300381"/>
    <s v="ENVASES IBERICA"/>
    <n v="333934.96950000001"/>
  </r>
  <r>
    <s v="Facture comptabilisée"/>
    <m/>
    <x v="0"/>
    <x v="4964"/>
    <d v="2025-07-01T00:00:00"/>
    <d v="2025-04-22T00:00:00"/>
    <s v="300043"/>
    <s v="DOUANE"/>
    <n v="884"/>
  </r>
  <r>
    <s v="Facture comptabilisée"/>
    <m/>
    <x v="0"/>
    <x v="4965"/>
    <s v="10/2025 J"/>
    <d v="2025-04-22T00:00:00"/>
    <s v="300191"/>
    <s v="JTTL"/>
    <n v="4471.5"/>
  </r>
  <r>
    <s v="Facture comptabilisée"/>
    <m/>
    <x v="0"/>
    <x v="4966"/>
    <m/>
    <d v="2025-04-22T00:00:00"/>
    <s v="300321"/>
    <s v="JIL LOGISTIQUE"/>
    <n v="27000"/>
  </r>
  <r>
    <s v="Facture comptabilisée"/>
    <m/>
    <x v="0"/>
    <x v="4967"/>
    <s v="JIL PACK A"/>
    <d v="2025-04-22T00:00:00"/>
    <s v="300381"/>
    <s v="ENVASES IBERICA"/>
    <n v="333934.96950000001"/>
  </r>
  <r>
    <s v="Facture comptabilisée"/>
    <m/>
    <x v="0"/>
    <x v="4968"/>
    <s v="49/2025 ASNI"/>
    <d v="2025-04-23T00:00:00"/>
    <s v="300043"/>
    <s v="DOUANE"/>
    <n v="1288"/>
  </r>
  <r>
    <s v="Facture comptabilisée"/>
    <m/>
    <x v="0"/>
    <x v="4969"/>
    <s v="51/2025 ASNI"/>
    <d v="2025-04-24T00:00:00"/>
    <s v="300043"/>
    <s v="DOUANE"/>
    <n v="1284"/>
  </r>
  <r>
    <s v="Facture comptabilisée"/>
    <m/>
    <x v="0"/>
    <x v="4970"/>
    <s v="50/2025 ASNI"/>
    <d v="2025-04-24T00:00:00"/>
    <s v="300043"/>
    <s v="DOUANE"/>
    <n v="1284"/>
  </r>
  <r>
    <s v="Facture comptabilisée"/>
    <m/>
    <x v="0"/>
    <x v="4971"/>
    <s v="48/2025 ASNI"/>
    <d v="2025-04-24T00:00:00"/>
    <s v="300043"/>
    <s v="DOUANE"/>
    <n v="1284"/>
  </r>
  <r>
    <s v="Facture comptabilisée"/>
    <m/>
    <x v="0"/>
    <x v="4972"/>
    <s v="JP A"/>
    <d v="2025-04-24T00:00:00"/>
    <s v="300220"/>
    <s v="ENVASES EUROPE"/>
    <n v="1133858.8799999999"/>
  </r>
  <r>
    <s v="Facture comptabilisée"/>
    <m/>
    <x v="0"/>
    <x v="4973"/>
    <s v="45/2025 ASNI"/>
    <d v="2025-04-24T00:00:00"/>
    <s v="300423"/>
    <s v="ASNITRANS"/>
    <n v="3545.92"/>
  </r>
  <r>
    <s v="Facture comptabilisée"/>
    <m/>
    <x v="0"/>
    <x v="4974"/>
    <s v="46/2025 ASNI"/>
    <d v="2025-04-24T00:00:00"/>
    <s v="300423"/>
    <s v="ASNITRANS"/>
    <n v="3376.19"/>
  </r>
  <r>
    <s v="Facture comptabilisée"/>
    <m/>
    <x v="0"/>
    <x v="4975"/>
    <s v="47/2025 ASNI"/>
    <d v="2025-04-24T00:00:00"/>
    <s v="300423"/>
    <s v="ASNITRANS"/>
    <n v="3206.46"/>
  </r>
  <r>
    <s v="Facture comptabilisée"/>
    <m/>
    <x v="0"/>
    <x v="4976"/>
    <s v="COMPLEMENT"/>
    <d v="2025-04-25T00:00:00"/>
    <s v="300043"/>
    <s v="DOUANE"/>
    <n v="2833"/>
  </r>
  <r>
    <s v="Facture comptabilisée"/>
    <m/>
    <x v="0"/>
    <x v="4977"/>
    <s v="JP"/>
    <d v="2025-04-25T00:00:00"/>
    <s v="300154"/>
    <s v="VMM"/>
    <n v="223566.72"/>
  </r>
  <r>
    <s v="Facture comptabilisée"/>
    <m/>
    <x v="0"/>
    <x v="4978"/>
    <s v="ANDALOUS FOOD"/>
    <d v="2025-04-25T00:00:00"/>
    <s v="300237"/>
    <s v="Saribekir Ambalaj - SBK"/>
    <n v="445713.84"/>
  </r>
  <r>
    <s v="Facture comptabilisée"/>
    <m/>
    <x v="0"/>
    <x v="4979"/>
    <m/>
    <d v="2025-04-25T00:00:00"/>
    <s v="300321"/>
    <s v="JIL LOGISTIQUE"/>
    <n v="30000"/>
  </r>
  <r>
    <s v="Facture comptabilisée"/>
    <m/>
    <x v="0"/>
    <x v="4980"/>
    <m/>
    <d v="2025-04-25T00:00:00"/>
    <s v="300321"/>
    <s v="JIL LOGISTIQUE"/>
    <n v="27000"/>
  </r>
  <r>
    <s v="Facture comptabilisée"/>
    <m/>
    <x v="0"/>
    <x v="4981"/>
    <m/>
    <d v="2025-04-25T00:00:00"/>
    <s v="300321"/>
    <s v="JIL LOGISTIQUE"/>
    <n v="30000"/>
  </r>
  <r>
    <s v="Facture comptabilisée"/>
    <m/>
    <x v="0"/>
    <x v="4982"/>
    <m/>
    <d v="2025-04-25T00:00:00"/>
    <s v="300321"/>
    <s v="JIL LOGISTIQUE"/>
    <n v="30000"/>
  </r>
  <r>
    <s v="Facture comptabilisée"/>
    <m/>
    <x v="0"/>
    <x v="4983"/>
    <s v="LOGI FOOD"/>
    <d v="2025-04-25T00:00:00"/>
    <s v="300381"/>
    <s v="ENVASES IBERICA"/>
    <n v="352643.59350000002"/>
  </r>
  <r>
    <s v="Facture comptabilisée"/>
    <m/>
    <x v="0"/>
    <x v="4984"/>
    <m/>
    <d v="2025-04-28T00:00:00"/>
    <s v="300321"/>
    <s v="JIL LOGISTIQUE"/>
    <n v="30000"/>
  </r>
  <r>
    <s v="Facture comptabilisée"/>
    <m/>
    <x v="0"/>
    <x v="4985"/>
    <s v="JP  "/>
    <d v="2025-04-28T00:00:00"/>
    <s v="300373"/>
    <s v="MIDDLE EAST GLASS CONTAINERS-SADAT CO.S.A.E"/>
    <n v="179863.29680000001"/>
  </r>
  <r>
    <s v="Facture comptabilisée"/>
    <m/>
    <x v="0"/>
    <x v="4986"/>
    <s v="720 ML"/>
    <d v="2025-04-28T00:00:00"/>
    <s v="300373"/>
    <s v="MIDDLE EAST GLASS CONTAINERS-SADAT CO.S.A.E"/>
    <n v="169679.092"/>
  </r>
  <r>
    <s v="Facture comptabilisée"/>
    <m/>
    <x v="0"/>
    <x v="4987"/>
    <s v="JI PACK A"/>
    <d v="2025-04-28T00:00:00"/>
    <s v="300381"/>
    <s v="ENVASES IBERICA"/>
    <n v="333934.96950000001"/>
  </r>
  <r>
    <s v="Facture comptabilisée"/>
    <m/>
    <x v="0"/>
    <x v="4988"/>
    <s v="JI PACK A"/>
    <d v="2025-04-28T00:00:00"/>
    <s v="300381"/>
    <s v="ENVASES IBERICA"/>
    <n v="333934.96950000001"/>
  </r>
  <r>
    <s v="Facture comptabilisée"/>
    <m/>
    <x v="0"/>
    <x v="4989"/>
    <s v="11/2025 J"/>
    <d v="2025-04-29T00:00:00"/>
    <s v="300043"/>
    <s v="DOUANE"/>
    <n v="1341"/>
  </r>
  <r>
    <s v="Facture comptabilisée"/>
    <m/>
    <x v="0"/>
    <x v="4990"/>
    <s v="JTTL COMPLEMENT"/>
    <d v="2025-04-29T00:00:00"/>
    <s v="300191"/>
    <s v="JTTL"/>
    <n v="153.63"/>
  </r>
  <r>
    <s v="Facture comptabilisée"/>
    <m/>
    <x v="0"/>
    <x v="4991"/>
    <s v="12/2025 J"/>
    <d v="2025-04-29T00:00:00"/>
    <s v="300344"/>
    <s v="PADEL NUESTRO"/>
    <n v="9583.2312000000002"/>
  </r>
  <r>
    <s v="Facture comptabilisée"/>
    <m/>
    <x v="0"/>
    <x v="4992"/>
    <s v="AVEIRO"/>
    <d v="2025-04-29T00:00:00"/>
    <s v="300381"/>
    <s v="ENVASES IBERICA"/>
    <n v="333942.16899999999"/>
  </r>
  <r>
    <s v="Facture comptabilisée"/>
    <m/>
    <x v="0"/>
    <x v="4993"/>
    <s v="48/2025 ASNI"/>
    <d v="2025-04-29T00:00:00"/>
    <s v="300423"/>
    <s v="ASNITRANS"/>
    <n v="3206.46"/>
  </r>
  <r>
    <s v="Facture comptabilisée"/>
    <m/>
    <x v="0"/>
    <x v="4994"/>
    <s v="49/2025 ASNI"/>
    <d v="2025-04-29T00:00:00"/>
    <s v="300423"/>
    <s v="ASNITRANS"/>
    <n v="3206.46"/>
  </r>
  <r>
    <s v="Facture comptabilisée"/>
    <m/>
    <x v="0"/>
    <x v="4995"/>
    <s v="50/2025 ASNI"/>
    <d v="2025-04-29T00:00:00"/>
    <s v="300423"/>
    <s v="ASNITRANS"/>
    <n v="3206.46"/>
  </r>
  <r>
    <s v="Facture comptabilisée"/>
    <m/>
    <x v="0"/>
    <x v="4996"/>
    <s v="51/2025 ASNI"/>
    <d v="2025-04-29T00:00:00"/>
    <s v="300423"/>
    <s v="ASNITRANS"/>
    <n v="3206.46"/>
  </r>
  <r>
    <s v="Facture comptabilisée"/>
    <m/>
    <x v="0"/>
    <x v="4997"/>
    <s v="01/2025 GAMMA"/>
    <d v="2025-04-30T00:00:00"/>
    <s v="300043"/>
    <s v="DOUANE"/>
    <n v="595"/>
  </r>
  <r>
    <s v="Facture comptabilisée"/>
    <m/>
    <x v="0"/>
    <x v="4998"/>
    <s v="11/2025 J"/>
    <d v="2025-04-30T00:00:00"/>
    <s v="300191"/>
    <s v="JTTL"/>
    <n v="3277.56"/>
  </r>
  <r>
    <s v="Facture comptabilisée"/>
    <m/>
    <x v="0"/>
    <x v="4999"/>
    <s v="11/2025 J"/>
    <d v="2025-04-30T00:00:00"/>
    <s v="300321"/>
    <s v="JIL LOGISTIQUE"/>
    <n v="25500"/>
  </r>
  <r>
    <s v="Facture comptabilisée"/>
    <m/>
    <x v="0"/>
    <x v="5000"/>
    <s v="JIL PACK A"/>
    <d v="2025-04-30T00:00:00"/>
    <s v="300381"/>
    <s v="ENVASES IBERICA"/>
    <n v="361037.16"/>
  </r>
  <r>
    <s v="Facture comptabilisée"/>
    <m/>
    <x v="0"/>
    <x v="5001"/>
    <s v="54/2025 ASNI"/>
    <d v="2025-05-02T00:00:00"/>
    <s v="300043"/>
    <s v="DOUANE"/>
    <n v="1282"/>
  </r>
  <r>
    <s v="Facture comptabilisée"/>
    <m/>
    <x v="0"/>
    <x v="5002"/>
    <s v="53/2025 ASNI"/>
    <d v="2025-05-02T00:00:00"/>
    <s v="300043"/>
    <s v="DOUANE"/>
    <n v="1282"/>
  </r>
  <r>
    <s v="Facture comptabilisée"/>
    <m/>
    <x v="0"/>
    <x v="5003"/>
    <s v="52/2025 ASNI"/>
    <d v="2025-05-02T00:00:00"/>
    <s v="300043"/>
    <s v="DOUANE"/>
    <n v="1282"/>
  </r>
  <r>
    <s v="Facture comptabilisée"/>
    <m/>
    <x v="0"/>
    <x v="5004"/>
    <s v="54/2025 ASNI"/>
    <d v="2025-05-02T00:00:00"/>
    <s v="300321"/>
    <s v="JIL LOGISTIQUE"/>
    <n v="30000"/>
  </r>
  <r>
    <s v="Facture comptabilisée"/>
    <m/>
    <x v="0"/>
    <x v="5005"/>
    <s v="52/2025 ASNI"/>
    <d v="2025-05-03T00:00:00"/>
    <s v="300321"/>
    <s v="JIL LOGISTIQUE"/>
    <n v="30000"/>
  </r>
  <r>
    <s v="Facture comptabilisée"/>
    <m/>
    <x v="0"/>
    <x v="5006"/>
    <s v="53/2025 ASNI"/>
    <d v="2025-05-03T00:00:00"/>
    <s v="300321"/>
    <s v="JIL LOGISTIQUE"/>
    <n v="30000"/>
  </r>
  <r>
    <s v="Facture comptabilisée"/>
    <m/>
    <x v="0"/>
    <x v="5007"/>
    <s v="55/2025 ASNI"/>
    <d v="2025-05-03T00:00:00"/>
    <s v="300321"/>
    <s v="JIL LOGISTIQUE"/>
    <n v="30000"/>
  </r>
  <r>
    <s v="Facture comptabilisée"/>
    <m/>
    <x v="0"/>
    <x v="5008"/>
    <s v="55/2025 ASNI"/>
    <d v="2025-05-05T00:00:00"/>
    <s v="300043"/>
    <s v="DOUANE"/>
    <n v="1366"/>
  </r>
  <r>
    <s v="Facture comptabilisée"/>
    <m/>
    <x v="0"/>
    <x v="5009"/>
    <s v="CHERIF CONSERVES"/>
    <d v="2025-05-06T00:00:00"/>
    <s v="300115"/>
    <s v="AUXILIAR CONSERVERA SA"/>
    <n v="107687.25"/>
  </r>
  <r>
    <s v="Facture comptabilisée"/>
    <m/>
    <x v="0"/>
    <x v="5010"/>
    <s v="COMPLEMENT"/>
    <d v="2025-05-07T00:00:00"/>
    <s v="300043"/>
    <s v="DOUANE"/>
    <n v="4139"/>
  </r>
  <r>
    <s v="Facture comptabilisée"/>
    <m/>
    <x v="0"/>
    <x v="5011"/>
    <s v="12/2025 J"/>
    <d v="2025-05-07T00:00:00"/>
    <s v="300043"/>
    <s v="DOUANE"/>
    <n v="396"/>
  </r>
  <r>
    <s v="Facture comptabilisée"/>
    <m/>
    <x v="0"/>
    <x v="5012"/>
    <d v="2025-07-01T00:00:00"/>
    <d v="2025-05-08T00:00:00"/>
    <s v="300101"/>
    <s v="ASMAE FORWARDING EXPRESS"/>
    <n v="4097.92"/>
  </r>
  <r>
    <s v="Facture comptabilisée"/>
    <m/>
    <x v="0"/>
    <x v="5013"/>
    <s v="CHERIF CONSERVES"/>
    <d v="2025-05-08T00:00:00"/>
    <s v="300115"/>
    <s v="AUXILIAR CONSERVERA SA"/>
    <n v="107687.25"/>
  </r>
  <r>
    <s v="Facture comptabilisée"/>
    <m/>
    <x v="0"/>
    <x v="5014"/>
    <s v="LGMC"/>
    <d v="2025-05-08T00:00:00"/>
    <s v="300220"/>
    <s v="ENVASES EUROPE"/>
    <n v="948672.34"/>
  </r>
  <r>
    <s v="Facture comptabilisée"/>
    <m/>
    <x v="0"/>
    <x v="5015"/>
    <s v="JI PACK A"/>
    <d v="2025-05-08T00:00:00"/>
    <s v="300381"/>
    <s v="ENVASES IBERICA"/>
    <n v="333907.20000000001"/>
  </r>
  <r>
    <s v="Facture comptabilisée"/>
    <m/>
    <x v="0"/>
    <x v="5016"/>
    <s v="LOGI FOOD"/>
    <d v="2025-05-08T00:00:00"/>
    <s v="300381"/>
    <s v="ENVASES IBERICA"/>
    <n v="348786.9"/>
  </r>
  <r>
    <s v="Facture comptabilisée"/>
    <m/>
    <x v="0"/>
    <x v="5017"/>
    <s v="17/2025 J"/>
    <d v="2025-05-09T00:00:00"/>
    <s v="300043"/>
    <s v="DOUANE"/>
    <n v="21807"/>
  </r>
  <r>
    <s v="Facture comptabilisée"/>
    <m/>
    <x v="0"/>
    <x v="5018"/>
    <s v="12/2025 J"/>
    <d v="2025-05-09T00:00:00"/>
    <s v="300191"/>
    <s v="JTTL"/>
    <n v="1621.1"/>
  </r>
  <r>
    <s v="Facture comptabilisée"/>
    <m/>
    <x v="0"/>
    <x v="5019"/>
    <s v="JP "/>
    <d v="2025-05-09T00:00:00"/>
    <s v="300237"/>
    <s v="Saribekir Ambalaj - SBK"/>
    <n v="231831.01259999999"/>
  </r>
  <r>
    <s v="Facture comptabilisée"/>
    <m/>
    <x v="0"/>
    <x v="5020"/>
    <s v="JI PACK A"/>
    <d v="2025-05-09T00:00:00"/>
    <s v="300381"/>
    <s v="ENVASES IBERICA"/>
    <n v="333907.20000000001"/>
  </r>
  <r>
    <s v="Facture comptabilisée"/>
    <m/>
    <x v="0"/>
    <x v="5021"/>
    <s v="52/2025 ASNI"/>
    <d v="2025-05-09T00:00:00"/>
    <s v="300423"/>
    <s v="ASNITRANS"/>
    <n v="3850.13"/>
  </r>
  <r>
    <s v="Facture comptabilisée"/>
    <m/>
    <x v="0"/>
    <x v="5022"/>
    <s v="53/2025 ASNI"/>
    <d v="2025-05-09T00:00:00"/>
    <s v="300423"/>
    <s v="ASNITRANS"/>
    <n v="3376.19"/>
  </r>
  <r>
    <s v="Facture comptabilisée"/>
    <m/>
    <x v="0"/>
    <x v="5023"/>
    <s v="54/2025 ASNI"/>
    <d v="2025-05-09T00:00:00"/>
    <s v="300423"/>
    <s v="ASNITRANS"/>
    <n v="3376.19"/>
  </r>
  <r>
    <s v="Facture comptabilisée"/>
    <m/>
    <x v="0"/>
    <x v="5024"/>
    <s v="55/2025 ASNI"/>
    <d v="2025-05-09T00:00:00"/>
    <s v="300423"/>
    <s v="ASNITRANS"/>
    <n v="3376.19"/>
  </r>
  <r>
    <s v="Facture comptabilisée"/>
    <m/>
    <x v="0"/>
    <x v="5025"/>
    <s v="57/2025 ASNI"/>
    <d v="2025-05-12T00:00:00"/>
    <s v="300043"/>
    <s v="DOUANE"/>
    <n v="1317"/>
  </r>
  <r>
    <s v="Facture comptabilisée"/>
    <m/>
    <x v="0"/>
    <x v="5026"/>
    <s v="58/2025 ASNI"/>
    <d v="2025-05-12T00:00:00"/>
    <s v="300043"/>
    <s v="DOUANE"/>
    <n v="1269"/>
  </r>
  <r>
    <s v="Facture comptabilisée"/>
    <m/>
    <x v="0"/>
    <x v="5027"/>
    <s v="59/2025 ASNI"/>
    <d v="2025-05-12T00:00:00"/>
    <s v="300043"/>
    <s v="DOUANE"/>
    <n v="1269"/>
  </r>
  <r>
    <s v="Facture comptabilisée"/>
    <m/>
    <x v="0"/>
    <x v="5028"/>
    <d v="2025-09-01T00:00:00"/>
    <d v="2025-05-12T00:00:00"/>
    <s v="300043"/>
    <s v="DOUANE"/>
    <n v="576"/>
  </r>
  <r>
    <s v="Facture comptabilisée"/>
    <m/>
    <x v="0"/>
    <x v="5029"/>
    <d v="2025-08-01T00:00:00"/>
    <d v="2025-05-12T00:00:00"/>
    <s v="300043"/>
    <s v="DOUANE"/>
    <n v="576"/>
  </r>
  <r>
    <s v="Facture comptabilisée"/>
    <m/>
    <x v="0"/>
    <x v="5030"/>
    <s v="13/2025 J"/>
    <d v="2025-05-12T00:00:00"/>
    <s v="300043"/>
    <s v="DOUANE"/>
    <n v="6254"/>
  </r>
  <r>
    <s v="Facture comptabilisée"/>
    <m/>
    <x v="0"/>
    <x v="5031"/>
    <s v="18L"/>
    <d v="2025-05-12T00:00:00"/>
    <s v="300133"/>
    <s v="OP BOX "/>
    <n v="61188"/>
  </r>
  <r>
    <s v="Facture comptabilisée"/>
    <m/>
    <x v="0"/>
    <x v="5032"/>
    <s v="COMPLEMENT"/>
    <d v="2025-05-13T00:00:00"/>
    <s v="300043"/>
    <s v="DOUANE"/>
    <n v="4485"/>
  </r>
  <r>
    <s v="Facture comptabilisée"/>
    <m/>
    <x v="0"/>
    <x v="5033"/>
    <s v="56/2025 ASNI"/>
    <d v="2025-05-13T00:00:00"/>
    <s v="300043"/>
    <s v="DOUANE"/>
    <n v="3306"/>
  </r>
  <r>
    <s v="Facture comptabilisée"/>
    <m/>
    <x v="0"/>
    <x v="5034"/>
    <d v="2025-08-01T00:00:00"/>
    <d v="2025-05-13T00:00:00"/>
    <s v="300101"/>
    <s v="ASMAE FORWARDING EXPRESS"/>
    <n v="3377.92"/>
  </r>
  <r>
    <s v="Facture comptabilisée"/>
    <m/>
    <x v="0"/>
    <x v="5035"/>
    <d v="2025-09-01T00:00:00"/>
    <d v="2025-05-13T00:00:00"/>
    <s v="300101"/>
    <s v="ASMAE FORWARDING EXPRESS"/>
    <n v="3547.64"/>
  </r>
  <r>
    <s v="Facture comptabilisée"/>
    <m/>
    <x v="0"/>
    <x v="5036"/>
    <s v="2300ML"/>
    <d v="2025-05-13T00:00:00"/>
    <s v="300133"/>
    <s v="OP BOX "/>
    <n v="46944"/>
  </r>
  <r>
    <s v="Facture comptabilisée"/>
    <m/>
    <x v="0"/>
    <x v="5037"/>
    <s v="58/2025 ASNI"/>
    <d v="2025-05-13T00:00:00"/>
    <s v="300321"/>
    <s v="JIL LOGISTIQUE"/>
    <n v="30000"/>
  </r>
  <r>
    <s v="Facture comptabilisée"/>
    <m/>
    <x v="0"/>
    <x v="5038"/>
    <s v="59/2025 ASNI"/>
    <d v="2025-05-13T00:00:00"/>
    <s v="300321"/>
    <s v="JIL LOGISTIQUE"/>
    <n v="30000"/>
  </r>
  <r>
    <s v="Facture comptabilisée"/>
    <m/>
    <x v="0"/>
    <x v="5039"/>
    <m/>
    <d v="2025-05-13T00:00:00"/>
    <s v="300321"/>
    <s v="JIL LOGISTIQUE"/>
    <n v="27000"/>
  </r>
  <r>
    <s v="Facture comptabilisée"/>
    <m/>
    <x v="0"/>
    <x v="5040"/>
    <s v="13/2025 J"/>
    <d v="2025-05-14T00:00:00"/>
    <s v="300191"/>
    <s v="JTTL"/>
    <n v="2990.33"/>
  </r>
  <r>
    <s v="Facture comptabilisée"/>
    <m/>
    <x v="0"/>
    <x v="5041"/>
    <s v="56/2025 ASNI"/>
    <d v="2025-05-14T00:00:00"/>
    <s v="300321"/>
    <s v="JIL LOGISTIQUE"/>
    <n v="67875"/>
  </r>
  <r>
    <s v="Facture comptabilisée"/>
    <m/>
    <x v="0"/>
    <x v="5042"/>
    <s v="COMPLEMENT"/>
    <d v="2025-05-15T00:00:00"/>
    <s v="300043"/>
    <s v="DOUANE"/>
    <n v="3933"/>
  </r>
  <r>
    <s v="Facture comptabilisée"/>
    <m/>
    <x v="0"/>
    <x v="5043"/>
    <s v="56/2025 ASNI"/>
    <d v="2025-05-15T00:00:00"/>
    <s v="300423"/>
    <s v="ASNITRANS"/>
    <n v="3206.46"/>
  </r>
  <r>
    <s v="Facture comptabilisée"/>
    <m/>
    <x v="0"/>
    <x v="5044"/>
    <s v="57/2025 ASNI"/>
    <d v="2025-05-15T00:00:00"/>
    <s v="300423"/>
    <s v="ASNITRANS"/>
    <n v="3376.19"/>
  </r>
  <r>
    <s v="Facture comptabilisée"/>
    <m/>
    <x v="0"/>
    <x v="5045"/>
    <s v="58/2025 ASNI"/>
    <d v="2025-05-15T00:00:00"/>
    <s v="300423"/>
    <s v="ASNITRANS"/>
    <n v="3376.19"/>
  </r>
  <r>
    <s v="Facture comptabilisée"/>
    <m/>
    <x v="0"/>
    <x v="5046"/>
    <s v="59/2025 ASNI"/>
    <d v="2025-05-15T00:00:00"/>
    <s v="300423"/>
    <s v="ASNITRANS"/>
    <n v="3206.46"/>
  </r>
  <r>
    <s v="Facture comptabilisée"/>
    <m/>
    <x v="0"/>
    <x v="5047"/>
    <s v="16/2025 J"/>
    <d v="2025-05-16T00:00:00"/>
    <s v="300043"/>
    <s v="DOUANE"/>
    <n v="7660"/>
  </r>
  <r>
    <s v="Facture comptabilisée"/>
    <m/>
    <x v="0"/>
    <x v="5048"/>
    <s v="14/2025 J"/>
    <d v="2025-05-19T00:00:00"/>
    <s v="300043"/>
    <s v="DOUANE"/>
    <n v="1430"/>
  </r>
  <r>
    <s v="Facture comptabilisée"/>
    <m/>
    <x v="0"/>
    <x v="5049"/>
    <s v="60/2025 ASNI"/>
    <d v="2025-05-20T00:00:00"/>
    <s v="300043"/>
    <s v="DOUANE"/>
    <n v="5138"/>
  </r>
  <r>
    <s v="Facture comptabilisée"/>
    <m/>
    <x v="0"/>
    <x v="5050"/>
    <s v="15/2025 J"/>
    <d v="2025-05-20T00:00:00"/>
    <s v="300043"/>
    <s v="DOUANE"/>
    <n v="723"/>
  </r>
  <r>
    <s v="Facture comptabilisée"/>
    <m/>
    <x v="0"/>
    <x v="5051"/>
    <s v="JP"/>
    <d v="2025-05-20T00:00:00"/>
    <s v="300154"/>
    <s v="VMM"/>
    <n v="558916.80000000005"/>
  </r>
  <r>
    <s v="Facture comptabilisée"/>
    <m/>
    <x v="0"/>
    <x v="5052"/>
    <s v="14/2025 J"/>
    <d v="2025-05-21T00:00:00"/>
    <s v="300191"/>
    <s v="JTTL"/>
    <n v="8293.42"/>
  </r>
  <r>
    <s v="Facture comptabilisée"/>
    <m/>
    <x v="0"/>
    <x v="5053"/>
    <s v="15/2014 J"/>
    <d v="2025-05-21T00:00:00"/>
    <s v="300191"/>
    <s v="JTTL"/>
    <n v="8812.81"/>
  </r>
  <r>
    <s v="Facture comptabilisée"/>
    <m/>
    <x v="0"/>
    <x v="5054"/>
    <s v="16/2025 J"/>
    <d v="2025-05-21T00:00:00"/>
    <s v="300191"/>
    <s v="JTTL"/>
    <n v="6445.31"/>
  </r>
  <r>
    <s v="Facture comptabilisée"/>
    <m/>
    <x v="0"/>
    <x v="5055"/>
    <s v="60/2025 ASNI"/>
    <d v="2025-05-21T00:00:00"/>
    <s v="300423"/>
    <s v="ASNITRANS"/>
    <n v="15498.44"/>
  </r>
  <r>
    <s v="Facture comptabilisée"/>
    <m/>
    <x v="0"/>
    <x v="5056"/>
    <s v="COMPLEMENT"/>
    <d v="2025-05-23T00:00:00"/>
    <s v="300423"/>
    <s v="ASNITRANS"/>
    <n v="200"/>
  </r>
  <r>
    <s v="Facture comptabilisée"/>
    <m/>
    <x v="0"/>
    <x v="5057"/>
    <s v="20L"/>
    <d v="2025-05-26T00:00:00"/>
    <s v="300133"/>
    <s v="OP BOX "/>
    <n v="13068"/>
  </r>
  <r>
    <s v="Facture comptabilisée"/>
    <m/>
    <x v="0"/>
    <x v="5058"/>
    <s v="280"/>
    <d v="2025-05-26T00:00:00"/>
    <s v="300133"/>
    <s v="OP BOX "/>
    <n v="18000"/>
  </r>
  <r>
    <s v="Facture comptabilisée"/>
    <m/>
    <x v="0"/>
    <x v="5059"/>
    <s v="17/2025 J"/>
    <d v="2025-05-26T00:00:00"/>
    <s v="300191"/>
    <s v="JTTL"/>
    <n v="15634.47"/>
  </r>
  <r>
    <s v="Facture comptabilisée"/>
    <m/>
    <x v="0"/>
    <x v="5060"/>
    <s v="JI PACK A"/>
    <d v="2025-05-26T00:00:00"/>
    <s v="300381"/>
    <s v="ENVASES IBERICA"/>
    <n v="333907.20000000001"/>
  </r>
  <r>
    <s v="Facture comptabilisée"/>
    <m/>
    <x v="0"/>
    <x v="5061"/>
    <s v="JI PACK A"/>
    <d v="2025-05-27T00:00:00"/>
    <s v="300381"/>
    <s v="ENVASES IBERICA"/>
    <n v="333907.20000000001"/>
  </r>
  <r>
    <s v="Facture comptabilisée"/>
    <m/>
    <x v="0"/>
    <x v="5062"/>
    <s v="LOGI FOOD"/>
    <d v="2025-05-27T00:00:00"/>
    <s v="300381"/>
    <s v="ENVASES IBERICA"/>
    <n v="350430.696"/>
  </r>
  <r>
    <s v="Facture comptabilisée"/>
    <m/>
    <x v="0"/>
    <x v="5063"/>
    <s v="19/2025 J"/>
    <d v="2025-05-27T00:00:00"/>
    <s v="300391"/>
    <s v="COSCO SHIPING"/>
    <n v="9313.8160000000007"/>
  </r>
  <r>
    <s v="Facture comptabilisée"/>
    <m/>
    <x v="0"/>
    <x v="5064"/>
    <s v="COMPLEMENT"/>
    <d v="2025-05-28T00:00:00"/>
    <s v="300043"/>
    <s v="DOUANE"/>
    <n v="4328"/>
  </r>
  <r>
    <s v="Facture comptabilisée"/>
    <m/>
    <x v="0"/>
    <x v="5065"/>
    <s v="61/2025 ASNI"/>
    <d v="2025-05-29T00:00:00"/>
    <s v="300043"/>
    <s v="DOUANE"/>
    <n v="1278"/>
  </r>
  <r>
    <s v="Facture comptabilisée"/>
    <m/>
    <x v="0"/>
    <x v="5066"/>
    <s v="62/2025 ASNI"/>
    <d v="2025-05-29T00:00:00"/>
    <s v="300043"/>
    <s v="DOUANE"/>
    <n v="1330"/>
  </r>
  <r>
    <s v="Facture comptabilisée"/>
    <m/>
    <x v="0"/>
    <x v="5067"/>
    <s v="JP A"/>
    <d v="2025-05-29T00:00:00"/>
    <s v="300115"/>
    <s v="AUXILIAR CONSERVERA SA"/>
    <n v="346254.57900000003"/>
  </r>
  <r>
    <s v="Facture comptabilisée"/>
    <m/>
    <x v="0"/>
    <x v="5068"/>
    <s v="20L"/>
    <d v="2025-05-29T00:00:00"/>
    <s v="300133"/>
    <s v="OP BOX "/>
    <n v="6534"/>
  </r>
  <r>
    <s v="Facture comptabilisée"/>
    <m/>
    <x v="0"/>
    <x v="5069"/>
    <s v="JP "/>
    <d v="2025-05-29T00:00:00"/>
    <s v="300237"/>
    <s v="Saribekir Ambalaj - SBK"/>
    <n v="250701.50599999999"/>
  </r>
  <r>
    <s v="Facture comptabilisée"/>
    <m/>
    <x v="0"/>
    <x v="5070"/>
    <s v="GLO FOOD"/>
    <d v="2025-05-29T00:00:00"/>
    <s v="300237"/>
    <s v="Saribekir Ambalaj - SBK"/>
    <n v="103038.804"/>
  </r>
  <r>
    <s v="Facture comptabilisée"/>
    <m/>
    <x v="0"/>
    <x v="5071"/>
    <s v="63/2025 ASNI"/>
    <d v="2025-05-30T00:00:00"/>
    <s v="300043"/>
    <s v="DOUANE"/>
    <n v="1273"/>
  </r>
  <r>
    <s v="Facture comptabilisée"/>
    <m/>
    <x v="0"/>
    <x v="5072"/>
    <s v="61/2025 ASNI"/>
    <d v="2025-05-30T00:00:00"/>
    <s v="300321"/>
    <s v="JIL LOGISTIQUE"/>
    <n v="30000"/>
  </r>
  <r>
    <s v="Facture comptabilisée"/>
    <m/>
    <x v="0"/>
    <x v="5073"/>
    <s v="62/2025 ASNI"/>
    <d v="2025-05-30T00:00:00"/>
    <s v="300321"/>
    <s v="JIL LOGISTIQUE"/>
    <n v="27000"/>
  </r>
  <r>
    <s v="Facture comptabilisée"/>
    <m/>
    <x v="0"/>
    <x v="5074"/>
    <s v="63/2025 ASNI"/>
    <d v="2025-05-30T00:00:00"/>
    <s v="300321"/>
    <s v="JIL LOGISTIQUE"/>
    <n v="30000"/>
  </r>
  <r>
    <s v="Facture comptabilisée"/>
    <m/>
    <x v="0"/>
    <x v="5075"/>
    <s v="JI PACK A"/>
    <d v="2025-05-30T00:00:00"/>
    <s v="300381"/>
    <s v="ENVASES IBERICA"/>
    <n v="324394.95"/>
  </r>
  <r>
    <s v="Facture comptabilisée"/>
    <m/>
    <x v="0"/>
    <x v="5076"/>
    <s v="61/2025 ASNI"/>
    <d v="2025-05-31T00:00:00"/>
    <s v="300423"/>
    <s v="ASNITRANS"/>
    <n v="3650.07"/>
  </r>
  <r>
    <s v="Facture comptabilisée"/>
    <m/>
    <x v="0"/>
    <x v="5077"/>
    <s v="62/2025 ASNI"/>
    <d v="2025-05-31T00:00:00"/>
    <s v="300423"/>
    <s v="ASNITRANS"/>
    <n v="3206.46"/>
  </r>
  <r>
    <s v="Facture comptabilisée"/>
    <m/>
    <x v="0"/>
    <x v="5078"/>
    <s v="63/2025 ASNI"/>
    <d v="2025-05-31T00:00:00"/>
    <s v="300423"/>
    <s v="ASNITRANS"/>
    <n v="3206.46"/>
  </r>
  <r>
    <s v="Facture comptabilisée"/>
    <m/>
    <x v="0"/>
    <x v="5079"/>
    <s v="COMPLEMENT"/>
    <d v="2025-06-02T00:00:00"/>
    <s v="300043"/>
    <s v="DOUANE"/>
    <n v="3915"/>
  </r>
  <r>
    <s v="Facture comptabilisée"/>
    <m/>
    <x v="0"/>
    <x v="5080"/>
    <s v="65/2025 ASNI"/>
    <d v="2025-06-02T00:00:00"/>
    <s v="300043"/>
    <s v="DOUANE"/>
    <n v="1265"/>
  </r>
  <r>
    <s v="Facture comptabilisée"/>
    <m/>
    <x v="0"/>
    <x v="5081"/>
    <s v="18/2025 J"/>
    <d v="2025-06-02T00:00:00"/>
    <s v="300043"/>
    <s v="DOUANE"/>
    <n v="1300"/>
  </r>
  <r>
    <s v="Facture comptabilisée"/>
    <m/>
    <x v="0"/>
    <x v="5082"/>
    <s v="18/2025 J"/>
    <d v="2025-06-02T00:00:00"/>
    <s v="300191"/>
    <s v="JTTL"/>
    <n v="3810.44"/>
  </r>
  <r>
    <s v="Facture comptabilisée"/>
    <m/>
    <x v="0"/>
    <x v="5083"/>
    <s v="64/2025 ASNI"/>
    <d v="2025-06-03T00:00:00"/>
    <s v="300043"/>
    <s v="DOUANE"/>
    <n v="3781"/>
  </r>
  <r>
    <s v="Facture comptabilisée"/>
    <m/>
    <x v="0"/>
    <x v="5084"/>
    <s v="Commande 19"/>
    <d v="2025-06-03T00:00:00"/>
    <s v="300344"/>
    <s v="PADEL NUESTRO"/>
    <n v="272321.81579999998"/>
  </r>
  <r>
    <s v="Facture comptabilisée"/>
    <m/>
    <x v="0"/>
    <x v="5085"/>
    <s v="19/2025 J"/>
    <d v="2025-06-04T00:00:00"/>
    <s v="300043"/>
    <s v="DOUANE"/>
    <n v="1017"/>
  </r>
  <r>
    <s v="Facture comptabilisée"/>
    <m/>
    <x v="0"/>
    <x v="5086"/>
    <s v="18/2025 J"/>
    <d v="2025-06-04T00:00:00"/>
    <s v="300321"/>
    <s v="JIL LOGISTIQUE"/>
    <n v="18000"/>
  </r>
  <r>
    <s v="Facture comptabilisée"/>
    <m/>
    <x v="0"/>
    <x v="5087"/>
    <s v="65/2025 ASNI"/>
    <d v="2025-06-04T00:00:00"/>
    <s v="300321"/>
    <s v="JIL LOGISTIQUE"/>
    <n v="30000"/>
  </r>
  <r>
    <s v="Facture comptabilisée"/>
    <m/>
    <x v="0"/>
    <x v="5088"/>
    <s v="LOGI FOOD"/>
    <d v="2025-06-04T00:00:00"/>
    <s v="300381"/>
    <s v="ENVASES IBERICA"/>
    <n v="341693.79200000002"/>
  </r>
  <r>
    <s v="Facture comptabilisée"/>
    <m/>
    <x v="0"/>
    <x v="5089"/>
    <s v="VMM"/>
    <d v="2025-06-05T00:00:00"/>
    <s v="300115"/>
    <s v="AUXILIAR CONSERVERA SA"/>
    <n v="141039.35999999999"/>
  </r>
  <r>
    <s v="Facture comptabilisée"/>
    <m/>
    <x v="0"/>
    <x v="5090"/>
    <s v="VMM"/>
    <d v="2025-06-05T00:00:00"/>
    <s v="300115"/>
    <s v="AUXILIAR CONSERVERA SA"/>
    <n v="141039.35999999999"/>
  </r>
  <r>
    <s v="Facture comptabilisée"/>
    <m/>
    <x v="0"/>
    <x v="5091"/>
    <s v="VMM"/>
    <d v="2025-06-06T00:00:00"/>
    <s v="300115"/>
    <s v="AUXILIAR CONSERVERA SA"/>
    <n v="141039.35999999999"/>
  </r>
  <r>
    <s v="Facture comptabilisée"/>
    <m/>
    <x v="0"/>
    <x v="5092"/>
    <s v="VMM"/>
    <d v="2025-06-06T00:00:00"/>
    <s v="300115"/>
    <s v="AUXILIAR CONSERVERA SA"/>
    <n v="141039.35999999999"/>
  </r>
  <r>
    <s v="Facture comptabilisée"/>
    <m/>
    <x v="0"/>
    <x v="5093"/>
    <s v="19/2025 J"/>
    <d v="2025-06-06T00:00:00"/>
    <s v="300191"/>
    <s v="JTTL"/>
    <n v="4710.38"/>
  </r>
  <r>
    <s v="Facture comptabilisée"/>
    <m/>
    <x v="0"/>
    <x v="5094"/>
    <s v="64/2025 ASNI"/>
    <d v="2025-06-06T00:00:00"/>
    <s v="300423"/>
    <s v="ASNITRANS"/>
    <n v="9227.5400000000009"/>
  </r>
  <r>
    <s v="Facture comptabilisée"/>
    <m/>
    <x v="0"/>
    <x v="5095"/>
    <s v="VMM"/>
    <d v="2025-06-09T00:00:00"/>
    <s v="300115"/>
    <s v="AUXILIAR CONSERVERA SA"/>
    <n v="141039.35999999999"/>
  </r>
  <r>
    <s v="Facture comptabilisée"/>
    <m/>
    <x v="0"/>
    <x v="5096"/>
    <s v="VMM"/>
    <d v="2025-06-09T00:00:00"/>
    <s v="300115"/>
    <s v="AUXILIAR CONSERVERA SA"/>
    <n v="141039.35999999999"/>
  </r>
  <r>
    <s v="Facture comptabilisée"/>
    <m/>
    <x v="0"/>
    <x v="5097"/>
    <s v="JP A"/>
    <d v="2025-06-09T00:00:00"/>
    <s v="300381"/>
    <s v="ENVASES IBERICA"/>
    <n v="192885.264"/>
  </r>
  <r>
    <s v="Facture comptabilisée"/>
    <m/>
    <x v="0"/>
    <x v="5098"/>
    <s v="JI PACK A"/>
    <d v="2025-06-09T00:00:00"/>
    <s v="300381"/>
    <s v="ENVASES IBERICA"/>
    <n v="333907.20000000001"/>
  </r>
  <r>
    <s v="Facture comptabilisée"/>
    <m/>
    <x v="0"/>
    <x v="5099"/>
    <s v="67/2025 ASNI"/>
    <d v="2025-06-10T00:00:00"/>
    <s v="300043"/>
    <s v="DOUANE"/>
    <n v="1298"/>
  </r>
  <r>
    <s v="Facture comptabilisée"/>
    <m/>
    <x v="0"/>
    <x v="5100"/>
    <s v="VMM"/>
    <d v="2025-06-10T00:00:00"/>
    <s v="300115"/>
    <s v="AUXILIAR CONSERVERA SA"/>
    <n v="141039.35999999999"/>
  </r>
  <r>
    <s v="Facture comptabilisée"/>
    <m/>
    <x v="0"/>
    <x v="5101"/>
    <s v="VMM"/>
    <d v="2025-06-10T00:00:00"/>
    <s v="300115"/>
    <s v="AUXILIAR CONSERVERA SA"/>
    <n v="141039.35999999999"/>
  </r>
  <r>
    <s v="Facture comptabilisée"/>
    <m/>
    <x v="0"/>
    <x v="5102"/>
    <s v="JP A"/>
    <d v="2025-06-10T00:00:00"/>
    <s v="300115"/>
    <s v="AUXILIAR CONSERVERA SA"/>
    <n v="346254.57900000003"/>
  </r>
  <r>
    <s v="Facture comptabilisée"/>
    <m/>
    <x v="0"/>
    <x v="5103"/>
    <s v="COMPLEMENT"/>
    <d v="2025-06-11T00:00:00"/>
    <s v="300043"/>
    <s v="DOUANE"/>
    <n v="4472"/>
  </r>
  <r>
    <s v="Facture comptabilisée"/>
    <m/>
    <x v="0"/>
    <x v="5104"/>
    <d v="2025-11-01T00:00:00"/>
    <d v="2025-06-11T00:00:00"/>
    <s v="300043"/>
    <s v="DOUANE"/>
    <n v="613"/>
  </r>
  <r>
    <s v="Facture comptabilisée"/>
    <m/>
    <x v="0"/>
    <x v="5105"/>
    <d v="2025-12-01T00:00:00"/>
    <d v="2025-06-11T00:00:00"/>
    <s v="300043"/>
    <s v="DOUANE"/>
    <n v="613"/>
  </r>
  <r>
    <s v="Facture comptabilisée"/>
    <m/>
    <x v="0"/>
    <x v="5106"/>
    <s v="67/2025 ASNI"/>
    <d v="2025-06-11T00:00:00"/>
    <s v="300321"/>
    <s v="JIL LOGISTIQUE"/>
    <n v="27000"/>
  </r>
  <r>
    <s v="Facture comptabilisée"/>
    <m/>
    <x v="0"/>
    <x v="5107"/>
    <s v="68/2025 ASNI"/>
    <d v="2025-06-12T00:00:00"/>
    <s v="300043"/>
    <s v="DOUANE"/>
    <n v="1285"/>
  </r>
  <r>
    <s v="Facture comptabilisée"/>
    <m/>
    <x v="0"/>
    <x v="5108"/>
    <s v="66/2025 ASNI"/>
    <d v="2025-06-12T00:00:00"/>
    <s v="300043"/>
    <s v="DOUANE"/>
    <n v="836"/>
  </r>
  <r>
    <s v="Facture comptabilisée"/>
    <m/>
    <x v="0"/>
    <x v="5109"/>
    <s v="15/2025"/>
    <d v="2025-06-12T00:00:00"/>
    <s v="300043"/>
    <s v="DOUANE"/>
    <n v="613"/>
  </r>
  <r>
    <s v="Facture comptabilisée"/>
    <m/>
    <x v="0"/>
    <x v="5110"/>
    <d v="2025-10-01T00:00:00"/>
    <d v="2025-06-12T00:00:00"/>
    <s v="300043"/>
    <s v="DOUANE"/>
    <n v="613"/>
  </r>
  <r>
    <s v="Facture comptabilisée"/>
    <m/>
    <x v="0"/>
    <x v="5111"/>
    <s v="17/2025"/>
    <d v="2025-06-12T00:00:00"/>
    <s v="300043"/>
    <s v="DOUANE"/>
    <n v="613"/>
  </r>
  <r>
    <s v="Facture comptabilisée"/>
    <m/>
    <x v="0"/>
    <x v="5112"/>
    <s v="13/2025 "/>
    <d v="2025-06-12T00:00:00"/>
    <s v="300043"/>
    <s v="DOUANE"/>
    <n v="612"/>
  </r>
  <r>
    <s v="Facture comptabilisée"/>
    <m/>
    <x v="0"/>
    <x v="5113"/>
    <s v="20/2025 J"/>
    <d v="2025-06-12T00:00:00"/>
    <s v="300043"/>
    <s v="DOUANE"/>
    <n v="1307"/>
  </r>
  <r>
    <s v="Facture comptabilisée"/>
    <m/>
    <x v="0"/>
    <x v="5114"/>
    <s v="16/2025 "/>
    <d v="2025-06-12T00:00:00"/>
    <s v="300043"/>
    <s v="DOUANE"/>
    <n v="613"/>
  </r>
  <r>
    <s v="Facture comptabilisée"/>
    <m/>
    <x v="0"/>
    <x v="5115"/>
    <s v="21/2025 J"/>
    <d v="2025-06-12T00:00:00"/>
    <s v="300364"/>
    <s v="CMA CGM MAROC"/>
    <n v="8889.116"/>
  </r>
  <r>
    <s v="Facture comptabilisée"/>
    <m/>
    <x v="0"/>
    <x v="5116"/>
    <s v="JP A"/>
    <d v="2025-06-12T00:00:00"/>
    <s v="300381"/>
    <s v="ENVASES IBERICA"/>
    <n v="192885.264"/>
  </r>
  <r>
    <s v="Facture comptabilisée"/>
    <m/>
    <x v="0"/>
    <x v="5117"/>
    <s v="VMM"/>
    <d v="2025-06-12T00:00:00"/>
    <s v="300381"/>
    <s v="ENVASES IBERICA"/>
    <n v="340585.34399999998"/>
  </r>
  <r>
    <s v="Facture comptabilisée"/>
    <m/>
    <x v="0"/>
    <x v="5118"/>
    <s v="65/2025 ASNI"/>
    <d v="2025-06-12T00:00:00"/>
    <s v="300423"/>
    <s v="ASNITRANS"/>
    <n v="3206.46"/>
  </r>
  <r>
    <s v="Facture comptabilisée"/>
    <m/>
    <x v="0"/>
    <x v="5119"/>
    <s v="14/2025"/>
    <d v="2025-06-13T00:00:00"/>
    <s v="300043"/>
    <s v="DOUANE"/>
    <n v="616"/>
  </r>
  <r>
    <s v="Facture comptabilisée"/>
    <m/>
    <x v="0"/>
    <x v="5120"/>
    <s v="5500 AP/AM"/>
    <d v="2025-06-13T00:00:00"/>
    <s v="300133"/>
    <s v="OP BOX "/>
    <n v="23184"/>
  </r>
  <r>
    <s v="Facture comptabilisée"/>
    <m/>
    <x v="0"/>
    <x v="5121"/>
    <s v="PLASTIQUE"/>
    <d v="2025-06-13T00:00:00"/>
    <s v="300133"/>
    <s v="OP BOX "/>
    <n v="35712"/>
  </r>
  <r>
    <s v="Facture comptabilisée"/>
    <m/>
    <x v="0"/>
    <x v="5122"/>
    <s v="1200"/>
    <d v="2025-06-13T00:00:00"/>
    <s v="300133"/>
    <s v="OP BOX "/>
    <n v="7752"/>
  </r>
  <r>
    <s v="Facture comptabilisée"/>
    <m/>
    <x v="0"/>
    <x v="5123"/>
    <s v="VMM"/>
    <d v="2025-06-13T00:00:00"/>
    <s v="300381"/>
    <s v="ENVASES IBERICA"/>
    <n v="340585.34399999998"/>
  </r>
  <r>
    <s v="Facture comptabilisée"/>
    <m/>
    <x v="0"/>
    <x v="5124"/>
    <s v="71/2025 ASNI"/>
    <d v="2025-06-16T00:00:00"/>
    <s v="300043"/>
    <s v="DOUANE"/>
    <n v="1303"/>
  </r>
  <r>
    <s v="Facture comptabilisée"/>
    <m/>
    <x v="0"/>
    <x v="5125"/>
    <s v="70/2025 ASNI"/>
    <d v="2025-06-16T00:00:00"/>
    <s v="300043"/>
    <s v="DOUANE"/>
    <n v="829"/>
  </r>
  <r>
    <s v="Facture comptabilisée"/>
    <m/>
    <x v="0"/>
    <x v="5126"/>
    <d v="2025-10-01T00:00:00"/>
    <d v="2025-06-16T00:00:00"/>
    <s v="300101"/>
    <s v="ASMAE FORWARDING EXPRESS"/>
    <n v="4566.01"/>
  </r>
  <r>
    <s v="Facture comptabilisée"/>
    <m/>
    <x v="0"/>
    <x v="5127"/>
    <d v="2025-11-01T00:00:00"/>
    <d v="2025-06-16T00:00:00"/>
    <s v="300101"/>
    <s v="ASMAE FORWARDING EXPRESS"/>
    <n v="3547.64"/>
  </r>
  <r>
    <s v="Facture comptabilisée"/>
    <m/>
    <x v="0"/>
    <x v="5128"/>
    <d v="2025-12-01T00:00:00"/>
    <d v="2025-06-16T00:00:00"/>
    <s v="300101"/>
    <s v="ASMAE FORWARDING EXPRESS"/>
    <n v="3887.1"/>
  </r>
  <r>
    <s v="Facture comptabilisée"/>
    <m/>
    <x v="0"/>
    <x v="5129"/>
    <s v="JP A"/>
    <d v="2025-06-16T00:00:00"/>
    <s v="300115"/>
    <s v="AUXILIAR CONSERVERA SA"/>
    <n v="346254.57900000003"/>
  </r>
  <r>
    <s v="Facture comptabilisée"/>
    <m/>
    <x v="0"/>
    <x v="5130"/>
    <s v="20/2025 J"/>
    <d v="2025-06-16T00:00:00"/>
    <s v="300191"/>
    <s v="JTTL"/>
    <n v="3277.56"/>
  </r>
  <r>
    <s v="Facture comptabilisée"/>
    <m/>
    <x v="0"/>
    <x v="5131"/>
    <s v="VMM"/>
    <d v="2025-06-16T00:00:00"/>
    <s v="300381"/>
    <s v="ENVASES IBERICA"/>
    <n v="340585.34399999998"/>
  </r>
  <r>
    <s v="Facture comptabilisée"/>
    <m/>
    <x v="0"/>
    <x v="5132"/>
    <s v="COMPLEMENT"/>
    <d v="2025-06-17T00:00:00"/>
    <s v="300043"/>
    <s v="DOUANE"/>
    <n v="4147"/>
  </r>
  <r>
    <s v="Facture comptabilisée"/>
    <m/>
    <x v="0"/>
    <x v="5133"/>
    <s v="69/2025 ASNI"/>
    <d v="2025-06-17T00:00:00"/>
    <s v="300043"/>
    <s v="DOUANE"/>
    <n v="1305"/>
  </r>
  <r>
    <s v="Facture comptabilisée"/>
    <m/>
    <x v="0"/>
    <x v="5134"/>
    <s v="70/2025 ASNI"/>
    <d v="2025-06-17T00:00:00"/>
    <s v="300321"/>
    <s v="JIL LOGISTIQUE"/>
    <n v="30000"/>
  </r>
  <r>
    <s v="Facture comptabilisée"/>
    <m/>
    <x v="0"/>
    <x v="5135"/>
    <s v="66/2025 ASNI"/>
    <d v="2025-06-17T00:00:00"/>
    <s v="300321"/>
    <s v="JIL LOGISTIQUE"/>
    <n v="31500"/>
  </r>
  <r>
    <s v="Facture comptabilisée"/>
    <m/>
    <x v="0"/>
    <x v="5136"/>
    <s v="68/2025 ASNI"/>
    <d v="2025-06-17T00:00:00"/>
    <s v="300321"/>
    <s v="JIL LOGISTIQUE"/>
    <n v="31500"/>
  </r>
  <r>
    <s v="Facture comptabilisée"/>
    <m/>
    <x v="0"/>
    <x v="5137"/>
    <s v="71/2025 ASNI"/>
    <d v="2025-06-17T00:00:00"/>
    <s v="300321"/>
    <s v="JIL LOGISTIQUE"/>
    <n v="27000"/>
  </r>
  <r>
    <s v="Facture comptabilisée"/>
    <m/>
    <x v="0"/>
    <x v="5138"/>
    <s v="20/2025 J"/>
    <d v="2025-06-17T00:00:00"/>
    <s v="300321"/>
    <s v="JIL LOGISTIQUE"/>
    <n v="21000"/>
  </r>
  <r>
    <s v="Facture comptabilisée"/>
    <m/>
    <x v="0"/>
    <x v="5139"/>
    <s v="72/2025 ASNI"/>
    <d v="2025-06-18T00:00:00"/>
    <s v="300043"/>
    <s v="DOUANE"/>
    <n v="1303"/>
  </r>
  <r>
    <s v="Facture comptabilisée"/>
    <m/>
    <x v="0"/>
    <x v="5140"/>
    <s v="22/2025 J"/>
    <d v="2025-06-18T00:00:00"/>
    <s v="300043"/>
    <s v="DOUANE"/>
    <n v="1312"/>
  </r>
  <r>
    <s v="Facture comptabilisée"/>
    <m/>
    <x v="0"/>
    <x v="5141"/>
    <s v="21/2025 J"/>
    <d v="2025-06-18T00:00:00"/>
    <s v="300043"/>
    <s v="DOUANE"/>
    <n v="377"/>
  </r>
  <r>
    <s v="Facture comptabilisée"/>
    <m/>
    <x v="0"/>
    <x v="5142"/>
    <s v="69/2025 ASNI"/>
    <d v="2025-06-18T00:00:00"/>
    <s v="300321"/>
    <s v="JIL LOGISTIQUE"/>
    <n v="27000"/>
  </r>
  <r>
    <s v="Facture comptabilisée"/>
    <m/>
    <x v="0"/>
    <x v="5143"/>
    <s v="66/2025 ASNI"/>
    <d v="2025-06-18T00:00:00"/>
    <s v="300423"/>
    <s v="ASNITRANS"/>
    <n v="3989.59"/>
  </r>
  <r>
    <s v="Facture comptabilisée"/>
    <m/>
    <x v="0"/>
    <x v="5144"/>
    <s v="67/2025 ASNI"/>
    <d v="2025-06-18T00:00:00"/>
    <s v="300423"/>
    <s v="ASNITRANS"/>
    <n v="3715.64"/>
  </r>
  <r>
    <s v="Facture comptabilisée"/>
    <m/>
    <x v="0"/>
    <x v="5145"/>
    <s v="68/2025 ASNI"/>
    <d v="2025-06-18T00:00:00"/>
    <s v="300423"/>
    <s v="ASNITRANS"/>
    <n v="3206.46"/>
  </r>
  <r>
    <s v="Facture comptabilisée"/>
    <m/>
    <x v="0"/>
    <x v="5146"/>
    <s v="21/2025 J"/>
    <d v="2025-06-19T00:00:00"/>
    <s v="300191"/>
    <s v="JTTL"/>
    <n v="4093.2"/>
  </r>
  <r>
    <s v="Facture comptabilisée"/>
    <m/>
    <x v="0"/>
    <x v="5147"/>
    <s v="JP A 2"/>
    <d v="2025-06-19T00:00:00"/>
    <s v="300220"/>
    <s v="ENVASES EUROPE"/>
    <n v="1099707.8400000001"/>
  </r>
  <r>
    <s v="Facture comptabilisée"/>
    <m/>
    <x v="0"/>
    <x v="5148"/>
    <s v="JP A *1*"/>
    <d v="2025-06-19T00:00:00"/>
    <s v="300220"/>
    <s v="ENVASES EUROPE"/>
    <n v="1099707.8400000001"/>
  </r>
  <r>
    <s v="Facture comptabilisée"/>
    <m/>
    <x v="0"/>
    <x v="5149"/>
    <s v="SILVER+JPA"/>
    <d v="2025-06-19T00:00:00"/>
    <s v="300220"/>
    <s v="ENVASES EUROPE"/>
    <n v="1270329.9839999999"/>
  </r>
  <r>
    <s v="Facture comptabilisée"/>
    <m/>
    <x v="0"/>
    <x v="5150"/>
    <s v="72/2025 ASNI"/>
    <d v="2025-06-19T00:00:00"/>
    <s v="300321"/>
    <s v="JIL LOGISTIQUE"/>
    <n v="25300"/>
  </r>
  <r>
    <s v="Facture comptabilisée"/>
    <m/>
    <x v="0"/>
    <x v="5151"/>
    <s v="22/2025 J"/>
    <d v="2025-06-20T00:00:00"/>
    <s v="300191"/>
    <s v="JTTL"/>
    <n v="3277.56"/>
  </r>
  <r>
    <s v="Facture comptabilisée"/>
    <m/>
    <x v="0"/>
    <x v="5152"/>
    <s v="22/2025 ASNI"/>
    <d v="2025-06-20T00:00:00"/>
    <s v="300321"/>
    <s v="JIL LOGISTIQUE"/>
    <n v="15400"/>
  </r>
  <r>
    <s v="Facture comptabilisée"/>
    <m/>
    <x v="0"/>
    <x v="5153"/>
    <s v="SILVER FOOD"/>
    <d v="2025-06-20T00:00:00"/>
    <s v="300381"/>
    <s v="ENVASES IBERICA"/>
    <n v="333907.20000000001"/>
  </r>
  <r>
    <s v="Facture comptabilisée"/>
    <m/>
    <x v="0"/>
    <x v="5154"/>
    <s v="JPA*SILVER FOOD*"/>
    <d v="2025-06-20T00:00:00"/>
    <s v="300381"/>
    <s v="ENVASES IBERICA"/>
    <n v="187527.34"/>
  </r>
  <r>
    <s v="Facture comptabilisée"/>
    <m/>
    <x v="0"/>
    <x v="5155"/>
    <s v="69/2025 ASNI"/>
    <d v="2025-06-21T00:00:00"/>
    <s v="300423"/>
    <s v="ASNITRANS"/>
    <n v="3206.46"/>
  </r>
  <r>
    <s v="Facture comptabilisée"/>
    <m/>
    <x v="0"/>
    <x v="5156"/>
    <s v="70/2025 ASNI"/>
    <d v="2025-06-21T00:00:00"/>
    <s v="300423"/>
    <s v="ASNITRANS"/>
    <n v="3206.46"/>
  </r>
  <r>
    <s v="Facture comptabilisée"/>
    <m/>
    <x v="0"/>
    <x v="5157"/>
    <s v="71/2025 ASNI"/>
    <d v="2025-06-21T00:00:00"/>
    <s v="300423"/>
    <s v="ASNITRANS"/>
    <n v="3206.46"/>
  </r>
  <r>
    <s v="Facture comptabilisée"/>
    <m/>
    <x v="0"/>
    <x v="5158"/>
    <s v="72/2025 ASNI"/>
    <d v="2025-06-21T00:00:00"/>
    <s v="300423"/>
    <s v="ASNITRANS"/>
    <n v="3206.46"/>
  </r>
  <r>
    <s v="Facture comptabilisée"/>
    <m/>
    <x v="0"/>
    <x v="5159"/>
    <s v="73/2025 ASNI"/>
    <d v="2025-06-23T00:00:00"/>
    <s v="300043"/>
    <s v="DOUANE"/>
    <n v="1280"/>
  </r>
  <r>
    <s v="Facture comptabilisée"/>
    <m/>
    <x v="0"/>
    <x v="5160"/>
    <s v="74/2025 ASNI"/>
    <d v="2025-06-23T00:00:00"/>
    <s v="300043"/>
    <s v="DOUANE"/>
    <n v="814"/>
  </r>
  <r>
    <s v="Facture comptabilisée"/>
    <m/>
    <x v="0"/>
    <x v="5161"/>
    <s v="13/2025"/>
    <d v="2025-06-23T00:00:00"/>
    <s v="300101"/>
    <s v="ASMAE FORWARDING EXPRESS"/>
    <n v="3038.46"/>
  </r>
  <r>
    <s v="Facture comptabilisée"/>
    <m/>
    <x v="0"/>
    <x v="5162"/>
    <s v="14/2025"/>
    <d v="2025-06-23T00:00:00"/>
    <s v="300101"/>
    <s v="ASMAE FORWARDING EXPRESS"/>
    <n v="3377.92"/>
  </r>
  <r>
    <s v="Facture comptabilisée"/>
    <m/>
    <x v="0"/>
    <x v="5163"/>
    <s v="15/2025"/>
    <d v="2025-06-23T00:00:00"/>
    <s v="300101"/>
    <s v="ASMAE FORWARDING EXPRESS"/>
    <n v="3038.46"/>
  </r>
  <r>
    <s v="Facture comptabilisée"/>
    <m/>
    <x v="0"/>
    <x v="5164"/>
    <s v="16/2025"/>
    <d v="2025-06-23T00:00:00"/>
    <s v="300101"/>
    <s v="ASMAE FORWARDING EXPRESS"/>
    <n v="3208.19"/>
  </r>
  <r>
    <s v="Facture comptabilisée"/>
    <m/>
    <x v="0"/>
    <x v="5165"/>
    <s v="17/2025"/>
    <d v="2025-06-23T00:00:00"/>
    <s v="300101"/>
    <s v="ASMAE FORWARDING EXPRESS"/>
    <n v="4566.01"/>
  </r>
  <r>
    <s v="Facture comptabilisée"/>
    <m/>
    <x v="0"/>
    <x v="5166"/>
    <s v="2.3"/>
    <d v="2025-06-23T00:00:00"/>
    <s v="300133"/>
    <s v="OP BOX "/>
    <n v="45648"/>
  </r>
  <r>
    <s v="Facture comptabilisée"/>
    <m/>
    <x v="0"/>
    <x v="5167"/>
    <s v="JP A *1*"/>
    <d v="2025-06-23T00:00:00"/>
    <s v="300381"/>
    <s v="ENVASES IBERICA"/>
    <n v="294624"/>
  </r>
  <r>
    <s v="Facture comptabilisée"/>
    <m/>
    <x v="0"/>
    <x v="5168"/>
    <s v="JP 2"/>
    <d v="2025-06-23T00:00:00"/>
    <s v="300381"/>
    <s v="ENVASES IBERICA"/>
    <n v="294624"/>
  </r>
  <r>
    <s v="Facture comptabilisée"/>
    <m/>
    <x v="0"/>
    <x v="5169"/>
    <s v="78/2025 ASNI"/>
    <d v="2025-06-24T00:00:00"/>
    <s v="300043"/>
    <s v="DOUANE"/>
    <n v="4388"/>
  </r>
  <r>
    <s v="Facture comptabilisée"/>
    <m/>
    <x v="0"/>
    <x v="5170"/>
    <s v="73/2025 ASNI"/>
    <d v="2025-06-24T00:00:00"/>
    <s v="300321"/>
    <s v="JIL LOGISTIQUE"/>
    <n v="25300"/>
  </r>
  <r>
    <s v="Facture comptabilisée"/>
    <m/>
    <x v="0"/>
    <x v="5171"/>
    <s v="74/2025 ASNI"/>
    <d v="2025-06-24T00:00:00"/>
    <s v="300321"/>
    <s v="JIL LOGISTIQUE"/>
    <n v="25300"/>
  </r>
  <r>
    <s v="Facture comptabilisée"/>
    <m/>
    <x v="0"/>
    <x v="5172"/>
    <s v="JP A"/>
    <d v="2025-06-24T00:00:00"/>
    <s v="300381"/>
    <s v="ENVASES IBERICA"/>
    <n v="192885.264"/>
  </r>
  <r>
    <s v="Facture comptabilisée"/>
    <m/>
    <x v="0"/>
    <x v="5173"/>
    <s v="JP"/>
    <d v="2025-06-24T00:00:00"/>
    <s v="300381"/>
    <s v="ENVASES IBERICA"/>
    <n v="192885.264"/>
  </r>
  <r>
    <s v="Facture comptabilisée"/>
    <m/>
    <x v="0"/>
    <x v="5174"/>
    <s v="LOGI FOOD"/>
    <d v="2025-06-24T00:00:00"/>
    <s v="300381"/>
    <s v="ENVASES IBERICA"/>
    <n v="350749.87199999997"/>
  </r>
  <r>
    <s v="Facture comptabilisée"/>
    <m/>
    <x v="0"/>
    <x v="5175"/>
    <m/>
    <d v="2025-06-25T00:00:00"/>
    <s v="300391"/>
    <s v="COSCO SHIPING"/>
    <n v="9307.68"/>
  </r>
  <r>
    <s v="Facture comptabilisée"/>
    <m/>
    <x v="0"/>
    <x v="5176"/>
    <s v="COMPLEMENT"/>
    <d v="2025-06-26T00:00:00"/>
    <s v="300043"/>
    <s v="DOUANE"/>
    <n v="4054"/>
  </r>
  <r>
    <s v="Facture comptabilisée"/>
    <m/>
    <x v="0"/>
    <x v="5177"/>
    <s v="77/2025 ASNI"/>
    <d v="2025-06-26T00:00:00"/>
    <s v="300043"/>
    <s v="DOUANE"/>
    <n v="1340"/>
  </r>
  <r>
    <s v="Facture comptabilisée"/>
    <m/>
    <x v="0"/>
    <x v="5178"/>
    <s v="75/2025 ASNI"/>
    <d v="2025-06-26T00:00:00"/>
    <s v="300043"/>
    <s v="DOUANE"/>
    <n v="832"/>
  </r>
  <r>
    <s v="Facture comptabilisée"/>
    <m/>
    <x v="0"/>
    <x v="5179"/>
    <s v="76/2025 ASNI"/>
    <d v="2025-06-26T00:00:00"/>
    <s v="300043"/>
    <s v="DOUANE"/>
    <n v="832"/>
  </r>
  <r>
    <s v="Facture comptabilisée"/>
    <m/>
    <x v="0"/>
    <x v="5180"/>
    <s v="78/2025 ASNI"/>
    <d v="2025-06-26T00:00:00"/>
    <s v="300321"/>
    <s v="JIL LOGISTIQUE"/>
    <n v="56595"/>
  </r>
  <r>
    <s v="Facture comptabilisée"/>
    <m/>
    <x v="0"/>
    <x v="5181"/>
    <s v="JIL PACK A"/>
    <d v="2025-06-26T00:00:00"/>
    <s v="300381"/>
    <s v="ENVASES IBERICA"/>
    <n v="333907.20000000001"/>
  </r>
  <r>
    <s v="Facture comptabilisée"/>
    <m/>
    <x v="0"/>
    <x v="5182"/>
    <s v="73/2025 ASNI"/>
    <d v="2025-06-26T00:00:00"/>
    <s v="300423"/>
    <s v="ASNITRANS"/>
    <n v="3206.46"/>
  </r>
  <r>
    <s v="Facture comptabilisée"/>
    <m/>
    <x v="0"/>
    <x v="5183"/>
    <s v="74/2025 ASNI"/>
    <d v="2025-06-26T00:00:00"/>
    <s v="300423"/>
    <s v="ASNITRANS"/>
    <n v="3376.19"/>
  </r>
  <r>
    <s v="Facture comptabilisée"/>
    <m/>
    <x v="0"/>
    <x v="5184"/>
    <m/>
    <d v="2025-06-27T00:00:00"/>
    <s v="300321"/>
    <s v="JIL LOGISTIQUE"/>
    <n v="25300"/>
  </r>
  <r>
    <s v="Facture comptabilisée"/>
    <m/>
    <x v="0"/>
    <x v="5185"/>
    <s v="JP A"/>
    <d v="2025-06-27T00:00:00"/>
    <s v="300381"/>
    <s v="ENVASES IBERICA"/>
    <n v="192038.63800000001"/>
  </r>
  <r>
    <s v="Facture comptabilisée"/>
    <m/>
    <x v="0"/>
    <x v="5186"/>
    <s v="76/2025 ASNI"/>
    <d v="2025-06-28T00:00:00"/>
    <s v="300321"/>
    <s v="JIL LOGISTIQUE"/>
    <n v="27500"/>
  </r>
  <r>
    <s v="Facture comptabilisée"/>
    <m/>
    <x v="0"/>
    <x v="5187"/>
    <s v="75/2025 ASNI"/>
    <d v="2025-06-28T00:00:00"/>
    <s v="300321"/>
    <s v="JIL LOGISTIQUE"/>
    <n v="27500"/>
  </r>
  <r>
    <s v="Facture comptabilisée"/>
    <m/>
    <x v="0"/>
    <x v="5188"/>
    <s v="79/2025 ASNI"/>
    <d v="2025-06-30T00:00:00"/>
    <s v="300043"/>
    <s v="DOUANE"/>
    <n v="1288"/>
  </r>
  <r>
    <s v="Facture comptabilisée"/>
    <m/>
    <x v="0"/>
    <x v="5189"/>
    <s v="JP A 2"/>
    <d v="2025-06-30T00:00:00"/>
    <s v="300220"/>
    <s v="ENVASES EUROPE"/>
    <n v="1142064"/>
  </r>
  <r>
    <s v="Facture comptabilisée"/>
    <m/>
    <x v="0"/>
    <x v="5190"/>
    <s v="JP A *1*"/>
    <d v="2025-06-30T00:00:00"/>
    <s v="300220"/>
    <s v="ENVASES EUROPE"/>
    <n v="1142064"/>
  </r>
  <r>
    <s v="Facture comptabilisée"/>
    <m/>
    <x v="0"/>
    <x v="5191"/>
    <s v="JP A   1"/>
    <d v="2025-06-30T00:00:00"/>
    <s v="300381"/>
    <s v="ENVASES IBERICA"/>
    <n v="307377.40000000002"/>
  </r>
  <r>
    <s v="Facture comptabilisée"/>
    <m/>
    <x v="0"/>
    <x v="5192"/>
    <s v="JP A   2"/>
    <d v="2025-06-30T00:00:00"/>
    <s v="300381"/>
    <s v="ENVASES IBERICA"/>
    <n v="307377.40000000002"/>
  </r>
  <r>
    <s v="Facture comptabilisée"/>
    <m/>
    <x v="0"/>
    <x v="5193"/>
    <s v="RO85 "/>
    <d v="2025-06-30T00:00:00"/>
    <s v="300381"/>
    <s v="ENVASES IBERICA"/>
    <n v="842.27"/>
  </r>
  <r>
    <s v="Facture comptabilisée"/>
    <m/>
    <x v="0"/>
    <x v="5194"/>
    <s v="75/2025 ASNI"/>
    <d v="2025-06-30T00:00:00"/>
    <s v="300423"/>
    <s v="ASNITRANS"/>
    <n v="3206.46"/>
  </r>
  <r>
    <s v="Facture comptabilisée"/>
    <m/>
    <x v="0"/>
    <x v="5195"/>
    <s v="76/2025 ASNI"/>
    <d v="2025-06-30T00:00:00"/>
    <s v="300423"/>
    <s v="ASNITRANS"/>
    <n v="3206.46"/>
  </r>
  <r>
    <s v="Facture comptabilisée"/>
    <m/>
    <x v="0"/>
    <x v="5196"/>
    <s v="77/2025 ASNI"/>
    <d v="2025-06-30T00:00:00"/>
    <s v="300423"/>
    <s v="ASNITRANS"/>
    <n v="3206.46"/>
  </r>
  <r>
    <s v="Facture comptabilisée"/>
    <m/>
    <x v="0"/>
    <x v="5197"/>
    <s v="78/2025 ASNI"/>
    <d v="2025-06-30T00:00:00"/>
    <s v="300423"/>
    <s v="ASNITRANS"/>
    <n v="3579.86"/>
  </r>
  <r>
    <s v="Facture comptabilisée"/>
    <m/>
    <x v="0"/>
    <x v="5198"/>
    <s v="79/2025 ASNI"/>
    <d v="2025-06-30T00:00:00"/>
    <s v="300423"/>
    <s v="ASNITRANS"/>
    <n v="3206.46"/>
  </r>
  <r>
    <s v="Facture comptabilisée"/>
    <m/>
    <x v="0"/>
    <x v="5199"/>
    <s v="82/2025 ASNI"/>
    <d v="2025-07-01T00:00:00"/>
    <s v="300043"/>
    <s v="DOUANE"/>
    <n v="829"/>
  </r>
  <r>
    <s v="Facture comptabilisée"/>
    <m/>
    <x v="0"/>
    <x v="5200"/>
    <s v="79/2025 ASNI"/>
    <d v="2025-07-01T00:00:00"/>
    <s v="300321"/>
    <s v="JIL LOGISTIQUE"/>
    <n v="27500"/>
  </r>
  <r>
    <s v="Facture comptabilisée"/>
    <m/>
    <x v="0"/>
    <x v="5201"/>
    <m/>
    <d v="2025-07-01T00:00:00"/>
    <s v="300321"/>
    <s v="JIL LOGISTIQUE"/>
    <n v="27500"/>
  </r>
  <r>
    <s v="Facture comptabilisée"/>
    <m/>
    <x v="0"/>
    <x v="5202"/>
    <s v="JP A"/>
    <d v="2025-07-01T00:00:00"/>
    <s v="300381"/>
    <s v="ENVASES IBERICA"/>
    <n v="230657.47099999999"/>
  </r>
  <r>
    <s v="Facture comptabilisée"/>
    <m/>
    <x v="0"/>
    <x v="5203"/>
    <s v="COMPLEMENT"/>
    <d v="2025-07-02T00:00:00"/>
    <s v="300043"/>
    <s v="DOUANE"/>
    <n v="3725"/>
  </r>
  <r>
    <s v="Facture comptabilisée"/>
    <m/>
    <x v="0"/>
    <x v="5204"/>
    <s v="VMM"/>
    <d v="2025-07-02T00:00:00"/>
    <s v="300381"/>
    <s v="ENVASES IBERICA"/>
    <n v="340585.34399999998"/>
  </r>
  <r>
    <s v="Facture comptabilisée"/>
    <m/>
    <x v="0"/>
    <x v="5205"/>
    <s v="23/2025 J"/>
    <d v="2025-07-03T00:00:00"/>
    <s v="300043"/>
    <s v="DOUANE"/>
    <n v="390"/>
  </r>
  <r>
    <s v="Facture comptabilisée"/>
    <m/>
    <x v="0"/>
    <x v="5206"/>
    <s v="1/4 CLUB ALU CON"/>
    <d v="2025-07-03T00:00:00"/>
    <s v="300220"/>
    <s v="ENVASES EUROPE"/>
    <n v="24371.49"/>
  </r>
  <r>
    <s v="Facture comptabilisée"/>
    <m/>
    <x v="0"/>
    <x v="5207"/>
    <s v="80/2025 ASNI"/>
    <d v="2025-07-04T00:00:00"/>
    <s v="300043"/>
    <s v="DOUANE"/>
    <n v="1308"/>
  </r>
  <r>
    <s v="Facture comptabilisée"/>
    <m/>
    <x v="0"/>
    <x v="5208"/>
    <s v="24/2025 J"/>
    <d v="2025-07-04T00:00:00"/>
    <s v="300043"/>
    <s v="DOUANE"/>
    <n v="6818"/>
  </r>
  <r>
    <s v="Facture comptabilisée"/>
    <m/>
    <x v="0"/>
    <x v="5209"/>
    <s v="JP A"/>
    <d v="2025-07-04T00:00:00"/>
    <s v="300220"/>
    <s v="ENVASES EUROPE"/>
    <n v="716975.16"/>
  </r>
  <r>
    <s v="Facture comptabilisée"/>
    <m/>
    <x v="0"/>
    <x v="5210"/>
    <s v="GLO FOOD"/>
    <d v="2025-07-04T00:00:00"/>
    <s v="300237"/>
    <s v="Saribekir Ambalaj - SBK"/>
    <n v="126710.6093"/>
  </r>
  <r>
    <s v="Facture comptabilisée"/>
    <m/>
    <x v="0"/>
    <x v="5211"/>
    <m/>
    <d v="2025-07-05T00:00:00"/>
    <s v="300321"/>
    <s v="JIL LOGISTIQUE"/>
    <n v="25300"/>
  </r>
  <r>
    <s v="Facture comptabilisée"/>
    <m/>
    <x v="0"/>
    <x v="5212"/>
    <s v="81/2025 ASNI"/>
    <d v="2025-07-07T00:00:00"/>
    <s v="300043"/>
    <s v="DOUANE"/>
    <n v="954"/>
  </r>
  <r>
    <s v="Facture comptabilisée"/>
    <m/>
    <x v="0"/>
    <x v="5213"/>
    <d v="2026-01-05T00:00:00"/>
    <d v="2025-07-07T00:00:00"/>
    <s v="300064"/>
    <s v="SONOCO Métal Packaging Maroc"/>
    <n v="126980"/>
  </r>
  <r>
    <s v="Facture comptabilisée"/>
    <m/>
    <x v="0"/>
    <x v="5214"/>
    <d v="2026-01-05T00:00:00"/>
    <d v="2025-07-07T00:00:00"/>
    <s v="300064"/>
    <s v="SONOCO Métal Packaging Maroc"/>
    <n v="126980"/>
  </r>
  <r>
    <s v="Facture comptabilisée"/>
    <m/>
    <x v="0"/>
    <x v="5215"/>
    <d v="2026-01-05T00:00:00"/>
    <d v="2025-07-07T00:00:00"/>
    <s v="300064"/>
    <s v="SONOCO Métal Packaging Maroc"/>
    <n v="126980"/>
  </r>
  <r>
    <s v="Facture comptabilisée"/>
    <m/>
    <x v="0"/>
    <x v="5216"/>
    <s v="23/2025 J"/>
    <d v="2025-07-07T00:00:00"/>
    <s v="300191"/>
    <s v="JTTL"/>
    <n v="67086.600000000006"/>
  </r>
  <r>
    <s v="Facture comptabilisée"/>
    <m/>
    <x v="0"/>
    <x v="5217"/>
    <s v="JIL PACK A*1*"/>
    <d v="2025-07-07T00:00:00"/>
    <s v="300381"/>
    <s v="ENVASES IBERICA"/>
    <n v="307377.40000000002"/>
  </r>
  <r>
    <s v="Facture comptabilisée"/>
    <m/>
    <x v="0"/>
    <x v="5218"/>
    <s v="JIL PACK A*2*"/>
    <d v="2025-07-07T00:00:00"/>
    <s v="300381"/>
    <s v="ENVASES IBERICA"/>
    <n v="307377.40000000002"/>
  </r>
  <r>
    <s v="Facture comptabilisée"/>
    <m/>
    <x v="0"/>
    <x v="5219"/>
    <s v="83/2025 ASNI"/>
    <d v="2025-07-08T00:00:00"/>
    <s v="300043"/>
    <s v="DOUANE"/>
    <n v="2631"/>
  </r>
  <r>
    <s v="Facture comptabilisée"/>
    <m/>
    <x v="0"/>
    <x v="5220"/>
    <s v="CHERIF"/>
    <d v="2025-07-08T00:00:00"/>
    <s v="300115"/>
    <s v="AUXILIAR CONSERVERA SA"/>
    <n v="107687.25"/>
  </r>
  <r>
    <s v="Facture comptabilisée"/>
    <m/>
    <x v="0"/>
    <x v="5221"/>
    <s v="18L"/>
    <d v="2025-07-08T00:00:00"/>
    <s v="300133"/>
    <s v="OP BOX "/>
    <n v="33939"/>
  </r>
  <r>
    <s v="Facture comptabilisée"/>
    <m/>
    <x v="0"/>
    <x v="5222"/>
    <m/>
    <d v="2025-07-08T00:00:00"/>
    <s v="300321"/>
    <s v="JIL LOGISTIQUE"/>
    <n v="27500"/>
  </r>
  <r>
    <s v="Facture comptabilisée"/>
    <m/>
    <x v="0"/>
    <x v="5223"/>
    <s v="COMPLEMENT"/>
    <d v="2025-07-09T00:00:00"/>
    <s v="300043"/>
    <s v="DOUANE"/>
    <n v="3762"/>
  </r>
  <r>
    <s v="Facture comptabilisée"/>
    <m/>
    <x v="0"/>
    <x v="5224"/>
    <s v="UNIVERS DELI"/>
    <d v="2025-07-09T00:00:00"/>
    <s v="300115"/>
    <s v="AUXILIAR CONSERVERA SA"/>
    <n v="107687.25"/>
  </r>
  <r>
    <s v="Facture comptabilisée"/>
    <m/>
    <x v="0"/>
    <x v="5225"/>
    <s v="24/2025 J"/>
    <d v="2025-07-09T00:00:00"/>
    <s v="300191"/>
    <s v="JTTL"/>
    <n v="6084.76"/>
  </r>
  <r>
    <s v="Facture comptabilisée"/>
    <m/>
    <x v="0"/>
    <x v="5226"/>
    <s v="JP A"/>
    <d v="2025-07-09T00:00:00"/>
    <s v="300220"/>
    <s v="ENVASES EUROPE"/>
    <n v="659529.45299999998"/>
  </r>
  <r>
    <s v="Facture comptabilisée"/>
    <m/>
    <x v="0"/>
    <x v="5227"/>
    <s v="UNIVERS DELI"/>
    <d v="2025-07-10T00:00:00"/>
    <s v="300115"/>
    <s v="AUXILIAR CONSERVERA SA"/>
    <n v="107687.25"/>
  </r>
  <r>
    <s v="Facture comptabilisée"/>
    <m/>
    <x v="0"/>
    <x v="5228"/>
    <s v="83/2025 ASNI"/>
    <d v="2025-07-10T00:00:00"/>
    <s v="300321"/>
    <s v="JIL LOGISTIQUE"/>
    <n v="56918.400000000001"/>
  </r>
  <r>
    <s v="Facture comptabilisée"/>
    <m/>
    <x v="0"/>
    <x v="5229"/>
    <s v="VMM"/>
    <d v="2025-07-10T00:00:00"/>
    <s v="300381"/>
    <s v="ENVASES IBERICA"/>
    <n v="340585.34399999998"/>
  </r>
  <r>
    <s v="Facture comptabilisée"/>
    <m/>
    <x v="0"/>
    <x v="5230"/>
    <s v="80/2025 ASNI"/>
    <d v="2025-07-10T00:00:00"/>
    <s v="300423"/>
    <s v="ASNITRANS"/>
    <n v="3206.46"/>
  </r>
  <r>
    <s v="Facture comptabilisée"/>
    <m/>
    <x v="0"/>
    <x v="5231"/>
    <s v="81/2025 ASNI"/>
    <d v="2025-07-10T00:00:00"/>
    <s v="300423"/>
    <s v="ASNITRANS"/>
    <n v="3715.64"/>
  </r>
  <r>
    <s v="Facture comptabilisée"/>
    <m/>
    <x v="0"/>
    <x v="5232"/>
    <s v="82/2025 ASNI"/>
    <d v="2025-07-10T00:00:00"/>
    <s v="300423"/>
    <s v="ASNITRANS"/>
    <n v="3306.46"/>
  </r>
  <r>
    <s v="Facture comptabilisée"/>
    <m/>
    <x v="0"/>
    <x v="5233"/>
    <s v="25/2025 J"/>
    <d v="2025-07-11T00:00:00"/>
    <s v="300043"/>
    <s v="DOUANE"/>
    <n v="1137"/>
  </r>
  <r>
    <s v="Facture comptabilisée"/>
    <m/>
    <x v="0"/>
    <x v="5234"/>
    <s v="LES DEUX DOM*2*"/>
    <d v="2025-07-11T00:00:00"/>
    <s v="300115"/>
    <s v="AUXILIAR CONSERVERA SA"/>
    <n v="194615.861"/>
  </r>
  <r>
    <s v="Facture comptabilisée"/>
    <m/>
    <x v="0"/>
    <x v="5235"/>
    <s v="VMM*1*"/>
    <d v="2025-07-11T00:00:00"/>
    <s v="300115"/>
    <s v="AUXILIAR CONSERVERA SA"/>
    <n v="31342.080000000002"/>
  </r>
  <r>
    <s v="Facture comptabilisée"/>
    <m/>
    <x v="0"/>
    <x v="5236"/>
    <s v="ANDAL+JP+GLO"/>
    <d v="2025-07-11T00:00:00"/>
    <s v="300237"/>
    <s v="Saribekir Ambalaj - SBK"/>
    <n v="248089.60000000001"/>
  </r>
  <r>
    <s v="Facture comptabilisée"/>
    <m/>
    <x v="0"/>
    <x v="5237"/>
    <s v="VMM"/>
    <d v="2025-07-11T00:00:00"/>
    <s v="300381"/>
    <s v="ENVASES IBERICA"/>
    <n v="340585.34399999998"/>
  </r>
  <r>
    <s v="Facture comptabilisée"/>
    <m/>
    <x v="0"/>
    <x v="5238"/>
    <s v="20/2025 "/>
    <d v="2025-07-12T00:00:00"/>
    <s v="300043"/>
    <s v="DOUANE"/>
    <n v="576"/>
  </r>
  <r>
    <s v="Facture comptabilisée"/>
    <m/>
    <x v="0"/>
    <x v="5239"/>
    <s v="84/2025 ASNI"/>
    <d v="2025-07-14T00:00:00"/>
    <s v="300043"/>
    <s v="DOUANE"/>
    <n v="1303"/>
  </r>
  <r>
    <s v="Facture comptabilisée"/>
    <m/>
    <x v="0"/>
    <x v="5240"/>
    <s v="85/2025 ASNI"/>
    <d v="2025-07-14T00:00:00"/>
    <s v="300043"/>
    <s v="DOUANE"/>
    <n v="1303"/>
  </r>
  <r>
    <s v="Facture comptabilisée"/>
    <m/>
    <x v="0"/>
    <x v="5241"/>
    <s v="19/2025"/>
    <d v="2025-07-14T00:00:00"/>
    <s v="300043"/>
    <s v="DOUANE"/>
    <n v="576"/>
  </r>
  <r>
    <s v="Facture comptabilisée"/>
    <m/>
    <x v="0"/>
    <x v="5242"/>
    <s v="21/2025 "/>
    <d v="2025-07-14T00:00:00"/>
    <s v="300043"/>
    <s v="DOUANE"/>
    <n v="576"/>
  </r>
  <r>
    <s v="Facture comptabilisée"/>
    <m/>
    <x v="0"/>
    <x v="5243"/>
    <s v="COMPLEMENT"/>
    <d v="2025-07-14T00:00:00"/>
    <s v="300043"/>
    <s v="DOUANE"/>
    <n v="5055"/>
  </r>
  <r>
    <s v="Facture comptabilisée"/>
    <m/>
    <x v="0"/>
    <x v="5244"/>
    <s v="25/2025 J"/>
    <d v="2025-07-14T00:00:00"/>
    <s v="300191"/>
    <s v="JTTL"/>
    <n v="4586.91"/>
  </r>
  <r>
    <s v="Facture comptabilisée"/>
    <m/>
    <x v="0"/>
    <x v="5245"/>
    <s v="LOGI FOOD"/>
    <d v="2025-07-14T00:00:00"/>
    <s v="300381"/>
    <s v="ENVASES IBERICA"/>
    <n v="343138.75199999998"/>
  </r>
  <r>
    <s v="Facture comptabilisée"/>
    <m/>
    <x v="0"/>
    <x v="5246"/>
    <s v="UNIVERS DELI"/>
    <d v="2025-07-15T00:00:00"/>
    <s v="300115"/>
    <s v="AUXILIAR CONSERVERA SA"/>
    <n v="107687.25"/>
  </r>
  <r>
    <s v="Facture comptabilisée"/>
    <m/>
    <x v="0"/>
    <x v="5247"/>
    <s v="CHERIF"/>
    <d v="2025-07-15T00:00:00"/>
    <s v="300115"/>
    <s v="AUXILIAR CONSERVERA SA"/>
    <n v="107687.25"/>
  </r>
  <r>
    <s v="Facture comptabilisée"/>
    <m/>
    <x v="0"/>
    <x v="5248"/>
    <s v="84/2025 ASNI"/>
    <d v="2025-07-15T00:00:00"/>
    <s v="300321"/>
    <s v="JIL LOGISTIQUE"/>
    <n v="25300"/>
  </r>
  <r>
    <s v="Facture comptabilisée"/>
    <m/>
    <x v="0"/>
    <x v="5249"/>
    <s v="83/2025 ASNI"/>
    <d v="2025-07-15T00:00:00"/>
    <s v="300423"/>
    <s v="ASNITRANS"/>
    <n v="3239.29"/>
  </r>
  <r>
    <s v="Facture comptabilisée"/>
    <m/>
    <x v="0"/>
    <x v="5250"/>
    <s v="86/2025 ASNI"/>
    <d v="2025-07-16T00:00:00"/>
    <s v="300043"/>
    <s v="DOUANE"/>
    <n v="1311"/>
  </r>
  <r>
    <s v="Facture comptabilisée"/>
    <m/>
    <x v="0"/>
    <x v="5251"/>
    <s v="85/2025 ASNI"/>
    <d v="2025-07-16T00:00:00"/>
    <s v="300321"/>
    <s v="JIL LOGISTIQUE"/>
    <n v="25300"/>
  </r>
  <r>
    <s v="Facture comptabilisée"/>
    <m/>
    <x v="0"/>
    <x v="5252"/>
    <s v="87/2025 ASNI"/>
    <d v="2025-07-17T00:00:00"/>
    <s v="300043"/>
    <s v="DOUANE"/>
    <n v="7185"/>
  </r>
  <r>
    <s v="Facture comptabilisée"/>
    <m/>
    <x v="0"/>
    <x v="5253"/>
    <s v="18/2025"/>
    <d v="2025-07-17T00:00:00"/>
    <s v="300043"/>
    <s v="DOUANE"/>
    <n v="576"/>
  </r>
  <r>
    <s v="Facture comptabilisée"/>
    <m/>
    <x v="0"/>
    <x v="5254"/>
    <s v="22/2025"/>
    <d v="2025-07-17T00:00:00"/>
    <s v="300043"/>
    <s v="DOUANE"/>
    <n v="576"/>
  </r>
  <r>
    <s v="Facture comptabilisée"/>
    <m/>
    <x v="0"/>
    <x v="5255"/>
    <s v="86/2025 ASNI"/>
    <d v="2025-07-17T00:00:00"/>
    <s v="300321"/>
    <s v="JIL LOGISTIQUE"/>
    <n v="25300"/>
  </r>
  <r>
    <s v="Facture comptabilisée"/>
    <m/>
    <x v="0"/>
    <x v="5256"/>
    <s v="22L"/>
    <d v="2025-07-17T00:00:00"/>
    <s v="300356"/>
    <s v="MASSILY PORTUGAL"/>
    <n v="207050.84400000001"/>
  </r>
  <r>
    <s v="Facture comptabilisée"/>
    <m/>
    <x v="0"/>
    <x v="5257"/>
    <s v="94/2025 ASNI"/>
    <d v="2025-07-17T00:00:00"/>
    <s v="300364"/>
    <s v="CMA CGM MAROC"/>
    <n v="6782.6419999999998"/>
  </r>
  <r>
    <s v="Facture comptabilisée"/>
    <m/>
    <x v="0"/>
    <x v="5258"/>
    <s v="20L"/>
    <d v="2025-07-18T00:00:00"/>
    <s v="300133"/>
    <s v="OP BOX "/>
    <n v="32670"/>
  </r>
  <r>
    <s v="Facture comptabilisée"/>
    <m/>
    <x v="0"/>
    <x v="5259"/>
    <s v="JP A"/>
    <d v="2025-07-18T00:00:00"/>
    <s v="300381"/>
    <s v="ENVASES IBERICA"/>
    <n v="287907.10519999999"/>
  </r>
  <r>
    <s v="Facture comptabilisée"/>
    <m/>
    <x v="0"/>
    <x v="5260"/>
    <s v="JP A"/>
    <d v="2025-07-18T00:00:00"/>
    <s v="300381"/>
    <s v="ENVASES IBERICA"/>
    <n v="287907.10519999999"/>
  </r>
  <r>
    <s v="Facture comptabilisée"/>
    <m/>
    <x v="0"/>
    <x v="5261"/>
    <s v="88/2025 ASNI"/>
    <d v="2025-07-18T00:00:00"/>
    <s v="300398"/>
    <s v="EXPERT FREIGHT"/>
    <n v="52465.51"/>
  </r>
  <r>
    <s v="Facture comptabilisée"/>
    <m/>
    <x v="0"/>
    <x v="5262"/>
    <s v="89/2025 ASNI"/>
    <d v="2025-07-18T00:00:00"/>
    <s v="300398"/>
    <s v="EXPERT FREIGHT"/>
    <n v="52465.51"/>
  </r>
  <r>
    <s v="Facture comptabilisée"/>
    <m/>
    <x v="0"/>
    <x v="5263"/>
    <s v="88/2025 ASNI"/>
    <d v="2025-07-18T00:00:00"/>
    <s v="300398"/>
    <s v="EXPERT FREIGHT"/>
    <n v="2298"/>
  </r>
  <r>
    <s v="Facture comptabilisée"/>
    <m/>
    <x v="0"/>
    <x v="5264"/>
    <s v="89/2025 ASNI"/>
    <d v="2025-07-18T00:00:00"/>
    <s v="300398"/>
    <s v="EXPERT FREIGHT"/>
    <n v="2298"/>
  </r>
  <r>
    <s v="Facture comptabilisée"/>
    <m/>
    <x v="0"/>
    <x v="5265"/>
    <s v="93/2025 ASNI"/>
    <d v="2025-07-21T00:00:00"/>
    <s v="300043"/>
    <s v="DOUANE"/>
    <n v="1134"/>
  </r>
  <r>
    <s v="Facture comptabilisée"/>
    <m/>
    <x v="0"/>
    <x v="5266"/>
    <s v="COMPLEMENT"/>
    <d v="2025-07-21T00:00:00"/>
    <s v="300043"/>
    <s v="DOUANE"/>
    <n v="3939"/>
  </r>
  <r>
    <s v="Facture comptabilisée"/>
    <m/>
    <x v="0"/>
    <x v="5267"/>
    <s v="92/2025 ASNI"/>
    <d v="2025-07-21T00:00:00"/>
    <s v="300043"/>
    <s v="DOUANE"/>
    <n v="1134"/>
  </r>
  <r>
    <s v="Facture comptabilisée"/>
    <m/>
    <x v="0"/>
    <x v="5268"/>
    <s v="PLASTIQUE"/>
    <d v="2025-07-21T00:00:00"/>
    <s v="300081"/>
    <s v="JIL EMBALLAGES"/>
    <n v="91969.75"/>
  </r>
  <r>
    <s v="Facture comptabilisée"/>
    <m/>
    <x v="0"/>
    <x v="5269"/>
    <s v="JP A   2"/>
    <d v="2025-07-21T00:00:00"/>
    <s v="300381"/>
    <s v="ENVASES IBERICA"/>
    <n v="307377.40000000002"/>
  </r>
  <r>
    <s v="Facture comptabilisée"/>
    <m/>
    <x v="0"/>
    <x v="5270"/>
    <s v="JP A   1"/>
    <d v="2025-07-21T00:00:00"/>
    <s v="300381"/>
    <s v="ENVASES IBERICA"/>
    <n v="307377.40000000002"/>
  </r>
  <r>
    <s v="Facture comptabilisée"/>
    <m/>
    <x v="0"/>
    <x v="5271"/>
    <s v="84/2025 ASNI"/>
    <d v="2025-07-21T00:00:00"/>
    <s v="300423"/>
    <s v="ASNITRANS"/>
    <n v="3206.46"/>
  </r>
  <r>
    <s v="Facture comptabilisée"/>
    <m/>
    <x v="0"/>
    <x v="5272"/>
    <s v="85/2025 ASNI"/>
    <d v="2025-07-21T00:00:00"/>
    <s v="300423"/>
    <s v="ASNITRANS"/>
    <n v="3545.92"/>
  </r>
  <r>
    <s v="Facture comptabilisée"/>
    <m/>
    <x v="0"/>
    <x v="5273"/>
    <s v="86/2025 ASNI"/>
    <d v="2025-07-21T00:00:00"/>
    <s v="300423"/>
    <s v="ASNITRANS"/>
    <n v="3206.46"/>
  </r>
  <r>
    <s v="Facture comptabilisée"/>
    <m/>
    <x v="0"/>
    <x v="5274"/>
    <s v="COMPLI 24/2025 AS"/>
    <d v="2025-07-21T00:00:00"/>
    <s v="300537"/>
    <s v="TST"/>
    <n v="832"/>
  </r>
  <r>
    <s v="Facture comptabilisée"/>
    <m/>
    <x v="0"/>
    <x v="5275"/>
    <s v="23/2025"/>
    <d v="2025-07-22T00:00:00"/>
    <s v="300043"/>
    <s v="DOUANE"/>
    <n v="887"/>
  </r>
  <r>
    <s v="Facture comptabilisée"/>
    <m/>
    <x v="0"/>
    <x v="5276"/>
    <s v="93/2025 ASNI"/>
    <d v="2025-07-22T00:00:00"/>
    <s v="300321"/>
    <s v="JIL LOGISTIQUE"/>
    <n v="27500"/>
  </r>
  <r>
    <s v="Facture comptabilisée"/>
    <m/>
    <x v="0"/>
    <x v="5277"/>
    <s v="92/2025 ASNI"/>
    <d v="2025-07-22T00:00:00"/>
    <s v="300321"/>
    <s v="JIL LOGISTIQUE"/>
    <n v="27500"/>
  </r>
  <r>
    <s v="Facture comptabilisée"/>
    <m/>
    <x v="0"/>
    <x v="5278"/>
    <s v="VMM"/>
    <d v="2025-07-22T00:00:00"/>
    <s v="300381"/>
    <s v="ENVASES IBERICA"/>
    <n v="340585.34399999998"/>
  </r>
  <r>
    <s v="Facture comptabilisée"/>
    <m/>
    <x v="0"/>
    <x v="5279"/>
    <s v="VMM"/>
    <d v="2025-07-22T00:00:00"/>
    <s v="300381"/>
    <s v="ENVASES IBERICA"/>
    <n v="340585.34399999998"/>
  </r>
  <r>
    <s v="Facture comptabilisée"/>
    <m/>
    <x v="0"/>
    <x v="5280"/>
    <s v="87/2025 ASNI"/>
    <d v="2025-07-22T00:00:00"/>
    <s v="300423"/>
    <s v="ASNITRANS"/>
    <n v="16855.54"/>
  </r>
  <r>
    <s v="Facture comptabilisée"/>
    <m/>
    <x v="0"/>
    <x v="5281"/>
    <s v="18/2025"/>
    <d v="2025-07-23T00:00:00"/>
    <s v="300101"/>
    <s v="ASMAE FORWARDING EXPRESS"/>
    <n v="3038.46"/>
  </r>
  <r>
    <s v="Facture comptabilisée"/>
    <m/>
    <x v="0"/>
    <x v="5282"/>
    <s v="19/2025"/>
    <d v="2025-07-23T00:00:00"/>
    <s v="300101"/>
    <s v="ASMAE FORWARDING EXPRESS"/>
    <n v="3547.64"/>
  </r>
  <r>
    <s v="Facture comptabilisée"/>
    <m/>
    <x v="0"/>
    <x v="5283"/>
    <s v="20/2025"/>
    <d v="2025-07-23T00:00:00"/>
    <s v="300101"/>
    <s v="ASMAE FORWARDING EXPRESS"/>
    <n v="3547.64"/>
  </r>
  <r>
    <s v="Facture comptabilisée"/>
    <m/>
    <x v="0"/>
    <x v="5284"/>
    <s v="21/2025"/>
    <d v="2025-07-23T00:00:00"/>
    <s v="300101"/>
    <s v="ASMAE FORWARDING EXPRESS"/>
    <n v="3547.64"/>
  </r>
  <r>
    <s v="Facture comptabilisée"/>
    <m/>
    <x v="0"/>
    <x v="5285"/>
    <s v="22/2025"/>
    <d v="2025-07-23T00:00:00"/>
    <s v="300101"/>
    <s v="ASMAE FORWARDING EXPRESS"/>
    <n v="3208.19"/>
  </r>
  <r>
    <s v="Facture comptabilisée"/>
    <m/>
    <x v="0"/>
    <x v="5286"/>
    <s v="24/2025"/>
    <d v="2025-07-24T00:00:00"/>
    <s v="300043"/>
    <s v="DOUANE"/>
    <n v="824"/>
  </r>
  <r>
    <s v="Facture comptabilisée"/>
    <m/>
    <x v="0"/>
    <x v="5287"/>
    <s v="90/2025 ASNI"/>
    <d v="2025-07-24T00:00:00"/>
    <s v="300043"/>
    <s v="DOUANE"/>
    <n v="1322"/>
  </r>
  <r>
    <s v="Facture comptabilisée"/>
    <m/>
    <x v="0"/>
    <x v="5288"/>
    <s v="91/2025 ASNI"/>
    <d v="2025-07-24T00:00:00"/>
    <s v="300043"/>
    <s v="DOUANE"/>
    <n v="1322"/>
  </r>
  <r>
    <s v="Facture comptabilisée"/>
    <m/>
    <x v="0"/>
    <x v="5289"/>
    <s v="23/2025"/>
    <d v="2025-07-24T00:00:00"/>
    <s v="300101"/>
    <s v="ASMAE FORWARDING EXPRESS"/>
    <n v="5244.92"/>
  </r>
  <r>
    <s v="Facture comptabilisée"/>
    <m/>
    <x v="0"/>
    <x v="5290"/>
    <s v="LOGI FOOD"/>
    <d v="2025-07-24T00:00:00"/>
    <s v="300381"/>
    <s v="ENVASES IBERICA"/>
    <n v="355181.50799999997"/>
  </r>
  <r>
    <s v="Facture comptabilisée"/>
    <m/>
    <x v="0"/>
    <x v="5291"/>
    <s v="94/2025 ASNI"/>
    <d v="2025-07-25T00:00:00"/>
    <s v="300043"/>
    <s v="DOUANE"/>
    <n v="5652"/>
  </r>
  <r>
    <s v="Facture comptabilisée"/>
    <m/>
    <x v="0"/>
    <x v="5292"/>
    <s v="88/2025 ASNI"/>
    <d v="2025-07-25T00:00:00"/>
    <s v="300043"/>
    <s v="DOUANE"/>
    <n v="2197"/>
  </r>
  <r>
    <s v="Facture comptabilisée"/>
    <m/>
    <x v="0"/>
    <x v="5293"/>
    <s v="89/2025 ASNI"/>
    <d v="2025-07-25T00:00:00"/>
    <s v="300043"/>
    <s v="DOUANE"/>
    <n v="2279"/>
  </r>
  <r>
    <s v="Facture comptabilisée"/>
    <m/>
    <x v="0"/>
    <x v="5294"/>
    <s v="COMPLEMENT"/>
    <d v="2025-07-25T00:00:00"/>
    <s v="300043"/>
    <s v="DOUANE"/>
    <n v="3480"/>
  </r>
  <r>
    <s v="Facture comptabilisée"/>
    <m/>
    <x v="0"/>
    <x v="5295"/>
    <s v="91/2025 ASNI"/>
    <d v="2025-07-25T00:00:00"/>
    <s v="300321"/>
    <s v="JIL LOGISTIQUE"/>
    <n v="25300"/>
  </r>
  <r>
    <s v="Facture comptabilisée"/>
    <m/>
    <x v="0"/>
    <x v="5296"/>
    <s v="90/2025 ASNI"/>
    <d v="2025-07-25T00:00:00"/>
    <s v="300321"/>
    <s v="JIL LOGISTIQUE"/>
    <n v="25300"/>
  </r>
  <r>
    <s v="Facture comptabilisée"/>
    <m/>
    <x v="0"/>
    <x v="5297"/>
    <s v="95/2025 ASNI"/>
    <d v="2025-07-28T00:00:00"/>
    <s v="300043"/>
    <s v="DOUANE"/>
    <n v="1369"/>
  </r>
  <r>
    <s v="Facture comptabilisée"/>
    <m/>
    <x v="0"/>
    <x v="5298"/>
    <s v="COMPLEMENT"/>
    <d v="2025-07-28T00:00:00"/>
    <s v="300043"/>
    <s v="DOUANE"/>
    <n v="4482"/>
  </r>
  <r>
    <s v="Facture comptabilisée"/>
    <m/>
    <x v="0"/>
    <x v="5299"/>
    <s v="26/2025 J"/>
    <d v="2025-07-29T00:00:00"/>
    <s v="300043"/>
    <s v="DOUANE"/>
    <n v="612"/>
  </r>
  <r>
    <s v="Facture comptabilisée"/>
    <m/>
    <x v="0"/>
    <x v="5300"/>
    <s v="95/2025 ASNI"/>
    <d v="2025-07-29T00:00:00"/>
    <s v="300321"/>
    <s v="JIL LOGISTIQUE"/>
    <n v="25300"/>
  </r>
  <r>
    <s v="Facture comptabilisée"/>
    <m/>
    <x v="0"/>
    <x v="5301"/>
    <s v="88/2025 ASNI"/>
    <d v="2025-07-29T00:00:00"/>
    <s v="300423"/>
    <s v="ASNITRANS"/>
    <n v="4193.8"/>
  </r>
  <r>
    <s v="Facture comptabilisée"/>
    <m/>
    <x v="0"/>
    <x v="5302"/>
    <s v="89/2025 ASNI"/>
    <d v="2025-07-29T00:00:00"/>
    <s v="300423"/>
    <s v="ASNITRANS"/>
    <n v="4310.1400000000003"/>
  </r>
  <r>
    <s v="Facture comptabilisée"/>
    <m/>
    <x v="0"/>
    <x v="5303"/>
    <s v="UNIVERS DELI"/>
    <d v="2025-07-30T00:00:00"/>
    <s v="300115"/>
    <s v="AUXILIAR CONSERVERA SA"/>
    <n v="110373.71400000001"/>
  </r>
  <r>
    <s v="Facture comptabilisée"/>
    <m/>
    <x v="0"/>
    <x v="5304"/>
    <s v="JP A *1*"/>
    <d v="2025-07-30T00:00:00"/>
    <s v="300220"/>
    <s v="ENVASES EUROPE"/>
    <n v="1142064"/>
  </r>
  <r>
    <s v="Facture comptabilisée"/>
    <m/>
    <x v="0"/>
    <x v="5305"/>
    <s v="JP A *2*"/>
    <d v="2025-07-30T00:00:00"/>
    <s v="300220"/>
    <s v="ENVASES EUROPE"/>
    <n v="1142064"/>
  </r>
  <r>
    <s v="Facture comptabilisée"/>
    <m/>
    <x v="0"/>
    <x v="5306"/>
    <s v="2300ML"/>
    <d v="2025-07-31T00:00:00"/>
    <s v="300133"/>
    <s v="OP BOX "/>
    <n v="57748"/>
  </r>
  <r>
    <s v="Facture comptabilisée"/>
    <m/>
    <x v="0"/>
    <x v="5307"/>
    <s v="26/2025 J"/>
    <d v="2025-07-31T00:00:00"/>
    <s v="300191"/>
    <s v="JTTL"/>
    <n v="8284.85"/>
  </r>
  <r>
    <s v="Facture comptabilisée"/>
    <m/>
    <x v="0"/>
    <x v="5308"/>
    <s v="90/2025 ASNI"/>
    <d v="2025-07-31T00:00:00"/>
    <s v="300423"/>
    <s v="ASNITRANS"/>
    <n v="3136.38"/>
  </r>
  <r>
    <s v="Facture comptabilisée"/>
    <m/>
    <x v="0"/>
    <x v="5309"/>
    <s v="91/2025 ASNI"/>
    <d v="2025-07-31T00:00:00"/>
    <s v="300423"/>
    <s v="ASNITRANS"/>
    <n v="3136.38"/>
  </r>
  <r>
    <s v="Facture comptabilisée"/>
    <m/>
    <x v="0"/>
    <x v="5310"/>
    <s v="92/2025 ASNI"/>
    <d v="2025-07-31T00:00:00"/>
    <s v="300423"/>
    <s v="ASNITRANS"/>
    <n v="3376.19"/>
  </r>
  <r>
    <s v="Facture comptabilisée"/>
    <m/>
    <x v="0"/>
    <x v="5311"/>
    <s v="93/2025 ASNI"/>
    <d v="2025-07-31T00:00:00"/>
    <s v="300423"/>
    <s v="ASNITRANS"/>
    <n v="3206.46"/>
  </r>
  <r>
    <s v="Facture comptabilisée"/>
    <m/>
    <x v="0"/>
    <x v="5312"/>
    <s v="94/2025 ASNI"/>
    <d v="2025-07-31T00:00:00"/>
    <s v="300423"/>
    <s v="ASNITRANS"/>
    <n v="15716.65"/>
  </r>
  <r>
    <s v="Facture comptabilisée"/>
    <m/>
    <x v="0"/>
    <x v="5313"/>
    <s v="95/2025 ASNI"/>
    <d v="2025-07-31T00:00:00"/>
    <s v="300423"/>
    <s v="ASNITRANS"/>
    <n v="3136.38"/>
  </r>
  <r>
    <s v="Facture comptabilisée"/>
    <m/>
    <x v="0"/>
    <x v="5314"/>
    <s v="98/2025 ASNI"/>
    <d v="2025-08-01T00:00:00"/>
    <s v="300364"/>
    <s v="CMA CGM MAROC"/>
    <n v="3586.3159999999998"/>
  </r>
  <r>
    <s v="Facture comptabilisée"/>
    <m/>
    <x v="0"/>
    <x v="5315"/>
    <s v="JP A"/>
    <d v="2025-08-01T00:00:00"/>
    <s v="300381"/>
    <s v="ENVASES IBERICA"/>
    <n v="333524.598"/>
  </r>
  <r>
    <s v="Facture comptabilisée"/>
    <m/>
    <x v="0"/>
    <x v="5316"/>
    <s v="LOGI FOOD"/>
    <d v="2025-08-01T00:00:00"/>
    <s v="300381"/>
    <s v="ENVASES IBERICA"/>
    <n v="353217.348"/>
  </r>
  <r>
    <s v="Facture comptabilisée"/>
    <m/>
    <x v="0"/>
    <x v="5317"/>
    <s v="99/2025 ASNI"/>
    <d v="2025-08-01T00:00:00"/>
    <s v="300398"/>
    <s v="EXPERT FREIGHT"/>
    <n v="52456.66"/>
  </r>
  <r>
    <s v="Facture comptabilisée"/>
    <m/>
    <x v="0"/>
    <x v="5318"/>
    <s v="25/2025"/>
    <d v="2025-08-02T00:00:00"/>
    <s v="300043"/>
    <s v="DOUANE"/>
    <n v="516"/>
  </r>
  <r>
    <s v="Facture comptabilisée"/>
    <m/>
    <x v="0"/>
    <x v="5319"/>
    <s v="97/2025 ASNI"/>
    <d v="2025-08-04T00:00:00"/>
    <s v="300043"/>
    <s v="DOUANE"/>
    <n v="1289"/>
  </r>
  <r>
    <s v="Facture comptabilisée"/>
    <m/>
    <x v="0"/>
    <x v="5320"/>
    <s v="UNIVERS DELI"/>
    <d v="2025-08-04T00:00:00"/>
    <s v="300115"/>
    <s v="AUXILIAR CONSERVERA SA"/>
    <n v="110373.71400000001"/>
  </r>
  <r>
    <s v="Facture comptabilisée"/>
    <m/>
    <x v="0"/>
    <x v="5321"/>
    <s v="JP A"/>
    <d v="2025-08-04T00:00:00"/>
    <s v="300115"/>
    <s v="AUXILIAR CONSERVERA SA"/>
    <n v="346254.57900000003"/>
  </r>
  <r>
    <s v="Facture comptabilisée"/>
    <m/>
    <x v="0"/>
    <x v="5322"/>
    <s v="JP A"/>
    <d v="2025-08-04T00:00:00"/>
    <s v="300220"/>
    <s v="ENVASES EUROPE"/>
    <n v="1164358.8"/>
  </r>
  <r>
    <s v="Facture comptabilisée"/>
    <m/>
    <x v="0"/>
    <x v="5323"/>
    <s v="97/2025 ASNI"/>
    <d v="2025-08-04T00:00:00"/>
    <s v="300321"/>
    <s v="JIL LOGISTIQUE"/>
    <n v="27500"/>
  </r>
  <r>
    <s v="Facture comptabilisée"/>
    <m/>
    <x v="0"/>
    <x v="5324"/>
    <s v="96/2025 ASNI"/>
    <d v="2025-08-05T00:00:00"/>
    <s v="300043"/>
    <s v="DOUANE"/>
    <n v="1357"/>
  </r>
  <r>
    <s v="Facture comptabilisée"/>
    <m/>
    <x v="0"/>
    <x v="5325"/>
    <s v="COMPLEMENT"/>
    <d v="2025-08-05T00:00:00"/>
    <s v="300043"/>
    <s v="DOUANE"/>
    <n v="4022"/>
  </r>
  <r>
    <s v="Facture comptabilisée"/>
    <m/>
    <x v="0"/>
    <x v="5326"/>
    <s v="JP A"/>
    <d v="2025-08-05T00:00:00"/>
    <s v="300115"/>
    <s v="AUXILIAR CONSERVERA SA"/>
    <n v="346254.57900000003"/>
  </r>
  <r>
    <s v="Facture comptabilisée"/>
    <m/>
    <x v="0"/>
    <x v="5327"/>
    <s v="JP+ANDALOUS"/>
    <d v="2025-08-05T00:00:00"/>
    <s v="300237"/>
    <s v="Saribekir Ambalaj - SBK"/>
    <n v="384615"/>
  </r>
  <r>
    <s v="Facture comptabilisée"/>
    <m/>
    <x v="0"/>
    <x v="5328"/>
    <s v="U.D"/>
    <d v="2025-08-06T00:00:00"/>
    <s v="300115"/>
    <s v="AUXILIAR CONSERVERA SA"/>
    <n v="110373.71400000001"/>
  </r>
  <r>
    <s v="Facture comptabilisée"/>
    <m/>
    <x v="0"/>
    <x v="5329"/>
    <s v="QUATY 100ML"/>
    <d v="2025-08-06T00:00:00"/>
    <s v="300220"/>
    <s v="ENVASES EUROPE"/>
    <n v="1040116.968"/>
  </r>
  <r>
    <s v="Facture comptabilisée"/>
    <m/>
    <x v="0"/>
    <x v="5330"/>
    <s v="96/2025 ASNI"/>
    <d v="2025-08-06T00:00:00"/>
    <s v="300321"/>
    <s v="JIL LOGISTIQUE"/>
    <n v="25300"/>
  </r>
  <r>
    <s v="Facture comptabilisée"/>
    <m/>
    <x v="0"/>
    <x v="5331"/>
    <s v="JP A"/>
    <d v="2025-08-06T00:00:00"/>
    <s v="300381"/>
    <s v="ENVASES IBERICA"/>
    <n v="333907.20000000001"/>
  </r>
  <r>
    <s v="Facture comptabilisée"/>
    <m/>
    <x v="0"/>
    <x v="5332"/>
    <s v="26/2025"/>
    <d v="2025-08-07T00:00:00"/>
    <s v="300043"/>
    <s v="DOUANE"/>
    <n v="576"/>
  </r>
  <r>
    <s v="Facture comptabilisée"/>
    <m/>
    <x v="0"/>
    <x v="5333"/>
    <s v="98/2025 ASNI"/>
    <d v="2025-08-07T00:00:00"/>
    <s v="300043"/>
    <s v="DOUANE"/>
    <n v="2266"/>
  </r>
  <r>
    <s v="Facture comptabilisée"/>
    <m/>
    <x v="0"/>
    <x v="5334"/>
    <s v="U .D*cherif*"/>
    <d v="2025-08-07T00:00:00"/>
    <s v="300115"/>
    <s v="AUXILIAR CONSERVERA SA"/>
    <n v="110373.71400000001"/>
  </r>
  <r>
    <s v="Facture comptabilisée"/>
    <m/>
    <x v="0"/>
    <x v="5335"/>
    <s v="JP A"/>
    <d v="2025-08-07T00:00:00"/>
    <s v="300115"/>
    <s v="AUXILIAR CONSERVERA SA"/>
    <n v="203686.56"/>
  </r>
  <r>
    <s v="Facture comptabilisée"/>
    <m/>
    <x v="0"/>
    <x v="5336"/>
    <s v="99/2025 ASNI"/>
    <d v="2025-08-08T00:00:00"/>
    <s v="300043"/>
    <s v="DOUANE"/>
    <n v="2278"/>
  </r>
  <r>
    <s v="Facture comptabilisée"/>
    <m/>
    <x v="0"/>
    <x v="5337"/>
    <s v="27/2025 J"/>
    <d v="2025-08-08T00:00:00"/>
    <s v="300043"/>
    <s v="DOUANE"/>
    <n v="893"/>
  </r>
  <r>
    <s v="Facture comptabilisée"/>
    <m/>
    <x v="0"/>
    <x v="5338"/>
    <s v="COMPLEMENT"/>
    <d v="2025-08-08T00:00:00"/>
    <s v="300043"/>
    <s v="DOUANE"/>
    <n v="4591"/>
  </r>
  <r>
    <s v="Facture comptabilisée"/>
    <m/>
    <x v="0"/>
    <x v="5339"/>
    <s v="24/2025"/>
    <d v="2025-08-08T00:00:00"/>
    <s v="300101"/>
    <s v="ASMAE FORWARDING EXPRESS"/>
    <n v="3860.14"/>
  </r>
  <r>
    <s v="Facture comptabilisée"/>
    <m/>
    <x v="0"/>
    <x v="5340"/>
    <s v="25/2025"/>
    <d v="2025-08-08T00:00:00"/>
    <s v="300101"/>
    <s v="ASMAE FORWARDING EXPRESS"/>
    <n v="3297.05"/>
  </r>
  <r>
    <s v="Facture comptabilisée"/>
    <m/>
    <x v="0"/>
    <x v="5341"/>
    <s v="JP A"/>
    <d v="2025-08-08T00:00:00"/>
    <s v="300381"/>
    <s v="ENVASES IBERICA"/>
    <n v="333907.20000000001"/>
  </r>
  <r>
    <s v="Facture comptabilisée"/>
    <m/>
    <x v="0"/>
    <x v="5342"/>
    <s v="96/2025 ASNI"/>
    <d v="2025-08-08T00:00:00"/>
    <s v="300423"/>
    <s v="ASNITRANS"/>
    <n v="3136.38"/>
  </r>
  <r>
    <s v="Facture comptabilisée"/>
    <m/>
    <x v="0"/>
    <x v="5343"/>
    <s v="97/2025 ASNI"/>
    <d v="2025-08-08T00:00:00"/>
    <s v="300423"/>
    <s v="ASNITRANS"/>
    <n v="3136.38"/>
  </r>
  <r>
    <s v="Facture comptabilisée"/>
    <m/>
    <x v="0"/>
    <x v="5344"/>
    <s v="28/2025"/>
    <d v="2025-08-09T00:00:00"/>
    <s v="300043"/>
    <s v="DOUANE"/>
    <n v="1274"/>
  </r>
  <r>
    <s v="Facture comptabilisée"/>
    <m/>
    <x v="0"/>
    <x v="5345"/>
    <s v="27/2025"/>
    <d v="2025-08-09T00:00:00"/>
    <s v="300043"/>
    <s v="DOUANE"/>
    <n v="1274"/>
  </r>
  <r>
    <s v="Facture comptabilisée"/>
    <m/>
    <x v="0"/>
    <x v="5346"/>
    <s v="102/2025 ASNI"/>
    <d v="2025-08-11T00:00:00"/>
    <s v="300043"/>
    <s v="DOUANE"/>
    <n v="1306"/>
  </r>
  <r>
    <s v="Facture comptabilisée"/>
    <m/>
    <x v="0"/>
    <x v="5347"/>
    <s v="100/2025 ASNI"/>
    <d v="2025-08-12T00:00:00"/>
    <s v="300043"/>
    <s v="DOUANE"/>
    <n v="3234"/>
  </r>
  <r>
    <s v="Facture comptabilisée"/>
    <m/>
    <x v="0"/>
    <x v="5348"/>
    <s v="26/2025"/>
    <d v="2025-08-12T00:00:00"/>
    <s v="300101"/>
    <s v="ASMAE FORWARDING EXPRESS"/>
    <n v="3132.72"/>
  </r>
  <r>
    <s v="Facture comptabilisée"/>
    <m/>
    <x v="0"/>
    <x v="5349"/>
    <s v="27/2025"/>
    <d v="2025-08-12T00:00:00"/>
    <s v="300101"/>
    <s v="ASMAE FORWARDING EXPRESS"/>
    <n v="3132.72"/>
  </r>
  <r>
    <s v="Facture comptabilisée"/>
    <m/>
    <x v="0"/>
    <x v="5350"/>
    <s v="28/2025"/>
    <d v="2025-08-12T00:00:00"/>
    <s v="300101"/>
    <s v="ASMAE FORWARDING EXPRESS"/>
    <n v="3132.72"/>
  </r>
  <r>
    <s v="Facture comptabilisée"/>
    <m/>
    <x v="0"/>
    <x v="5351"/>
    <s v="JP A"/>
    <d v="2025-08-12T00:00:00"/>
    <s v="300381"/>
    <s v="ENVASES IBERICA"/>
    <n v="333907.20000000001"/>
  </r>
  <r>
    <s v="Facture comptabilisée"/>
    <m/>
    <x v="0"/>
    <x v="5352"/>
    <s v="JP A"/>
    <d v="2025-08-12T00:00:00"/>
    <s v="300381"/>
    <s v="ENVASES IBERICA"/>
    <n v="333907.20000000001"/>
  </r>
  <r>
    <s v="Facture comptabilisée"/>
    <m/>
    <x v="0"/>
    <x v="5353"/>
    <s v="98/2025 ASNI"/>
    <d v="2025-08-12T00:00:00"/>
    <s v="300423"/>
    <s v="ASNITRANS"/>
    <n v="3533.16"/>
  </r>
  <r>
    <s v="Facture comptabilisée"/>
    <m/>
    <x v="0"/>
    <x v="5354"/>
    <s v="99/2025 ASNI"/>
    <d v="2025-08-12T00:00:00"/>
    <s v="300423"/>
    <s v="ASNITRANS"/>
    <n v="4182.58"/>
  </r>
  <r>
    <s v="Facture comptabilisée"/>
    <m/>
    <x v="0"/>
    <x v="5355"/>
    <s v="COMPLEMENT"/>
    <d v="2025-08-13T00:00:00"/>
    <s v="300043"/>
    <s v="DOUANE"/>
    <n v="3991"/>
  </r>
  <r>
    <s v="Facture comptabilisée"/>
    <m/>
    <x v="0"/>
    <x v="5356"/>
    <s v="101/2025 ASNI"/>
    <d v="2025-08-13T00:00:00"/>
    <s v="300043"/>
    <s v="DOUANE"/>
    <n v="1297"/>
  </r>
  <r>
    <s v="Facture comptabilisée"/>
    <m/>
    <x v="0"/>
    <x v="5357"/>
    <s v="27/2025 J"/>
    <d v="2025-08-13T00:00:00"/>
    <s v="300191"/>
    <s v="JTTL"/>
    <n v="8322.25"/>
  </r>
  <r>
    <s v="Facture comptabilisée"/>
    <m/>
    <x v="0"/>
    <x v="5358"/>
    <s v="JP A"/>
    <d v="2025-08-14T00:00:00"/>
    <s v="300115"/>
    <s v="AUXILIAR CONSERVERA SA"/>
    <n v="341443.10200000001"/>
  </r>
  <r>
    <s v="Facture comptabilisée"/>
    <m/>
    <x v="0"/>
    <x v="5359"/>
    <s v="34/2025"/>
    <d v="2025-08-15T00:00:00"/>
    <s v="300043"/>
    <s v="DOUANE"/>
    <n v="575"/>
  </r>
  <r>
    <s v="Facture comptabilisée"/>
    <m/>
    <x v="0"/>
    <x v="5360"/>
    <s v="105/2025 ASNI"/>
    <d v="2025-08-15T00:00:00"/>
    <s v="300043"/>
    <s v="DOUANE"/>
    <n v="1300"/>
  </r>
  <r>
    <s v="Facture comptabilisée"/>
    <m/>
    <x v="0"/>
    <x v="5361"/>
    <s v="104/2025 ASNI"/>
    <d v="2025-08-15T00:00:00"/>
    <s v="300043"/>
    <s v="DOUANE"/>
    <n v="1300"/>
  </r>
  <r>
    <s v="Facture comptabilisée"/>
    <m/>
    <x v="0"/>
    <x v="5362"/>
    <s v="100/2025 ASNI"/>
    <d v="2025-08-15T00:00:00"/>
    <s v="300321"/>
    <s v="JIL LOGISTIQUE"/>
    <n v="57750"/>
  </r>
  <r>
    <s v="Facture comptabilisée"/>
    <m/>
    <x v="0"/>
    <x v="5363"/>
    <s v="102/2025 ASNI"/>
    <d v="2025-08-15T00:00:00"/>
    <s v="300321"/>
    <s v="JIL LOGISTIQUE"/>
    <n v="27500"/>
  </r>
  <r>
    <s v="Facture comptabilisée"/>
    <m/>
    <x v="0"/>
    <x v="5364"/>
    <s v="101/2025 ASNI"/>
    <d v="2025-08-15T00:00:00"/>
    <s v="300321"/>
    <s v="JIL LOGISTIQUE"/>
    <n v="27500"/>
  </r>
  <r>
    <s v="Facture comptabilisée"/>
    <m/>
    <x v="0"/>
    <x v="5365"/>
    <s v="105/2025 ASNI"/>
    <d v="2025-08-15T00:00:00"/>
    <s v="300321"/>
    <s v="JIL LOGISTIQUE"/>
    <n v="25300"/>
  </r>
  <r>
    <s v="Facture comptabilisée"/>
    <m/>
    <x v="0"/>
    <x v="5366"/>
    <s v="104/2025 ASNI"/>
    <d v="2025-08-15T00:00:00"/>
    <s v="300321"/>
    <s v="JIL LOGISTIQUE"/>
    <n v="25300"/>
  </r>
  <r>
    <s v="Facture comptabilisée"/>
    <m/>
    <x v="0"/>
    <x v="5367"/>
    <s v="103/2025 ASNI"/>
    <d v="2025-08-15T00:00:00"/>
    <s v="300398"/>
    <s v="EXPERT FREIGHT"/>
    <n v="54868.83"/>
  </r>
  <r>
    <s v="Facture comptabilisée"/>
    <m/>
    <x v="0"/>
    <x v="5368"/>
    <s v="29/2025"/>
    <d v="2025-08-16T00:00:00"/>
    <s v="300043"/>
    <s v="DOUANE"/>
    <n v="576"/>
  </r>
  <r>
    <s v="Facture comptabilisée"/>
    <m/>
    <x v="0"/>
    <x v="5369"/>
    <s v="JP A"/>
    <d v="2025-08-18T00:00:00"/>
    <s v="300115"/>
    <s v="AUXILIAR CONSERVERA SA"/>
    <n v="341443.10200000001"/>
  </r>
  <r>
    <s v="Facture comptabilisée"/>
    <m/>
    <x v="0"/>
    <x v="5370"/>
    <s v="JP A*cibel*"/>
    <d v="2025-08-18T00:00:00"/>
    <s v="300220"/>
    <s v="ENVASES EUROPE"/>
    <n v="1256737.68"/>
  </r>
  <r>
    <s v="Facture comptabilisée"/>
    <m/>
    <x v="0"/>
    <x v="5371"/>
    <s v="JP A"/>
    <d v="2025-08-18T00:00:00"/>
    <s v="300220"/>
    <s v="ENVASES EUROPE"/>
    <n v="1217916.216"/>
  </r>
  <r>
    <s v="Facture comptabilisée"/>
    <m/>
    <x v="0"/>
    <x v="5372"/>
    <s v="JP A"/>
    <d v="2025-08-18T00:00:00"/>
    <s v="300381"/>
    <s v="ENVASES IBERICA"/>
    <n v="287907.10519999999"/>
  </r>
  <r>
    <s v="Facture comptabilisée"/>
    <m/>
    <x v="0"/>
    <x v="5373"/>
    <s v="LOGI FOOD"/>
    <d v="2025-08-18T00:00:00"/>
    <s v="300381"/>
    <s v="ENVASES IBERICA"/>
    <n v="343464.6765"/>
  </r>
  <r>
    <s v="Facture comptabilisée"/>
    <m/>
    <x v="0"/>
    <x v="5374"/>
    <s v="COMPLEMENT"/>
    <d v="2025-08-19T00:00:00"/>
    <s v="300043"/>
    <s v="DOUANE"/>
    <n v="4976"/>
  </r>
  <r>
    <s v="Facture comptabilisée"/>
    <m/>
    <x v="0"/>
    <x v="5375"/>
    <s v="33/2025"/>
    <d v="2025-08-19T00:00:00"/>
    <s v="300043"/>
    <s v="DOUANE"/>
    <n v="1257"/>
  </r>
  <r>
    <s v="Facture comptabilisée"/>
    <m/>
    <x v="0"/>
    <x v="5376"/>
    <s v="VMM"/>
    <d v="2025-08-19T00:00:00"/>
    <s v="300381"/>
    <s v="ENVASES IBERICA"/>
    <n v="340585.34399999998"/>
  </r>
  <r>
    <s v="Facture comptabilisée"/>
    <m/>
    <x v="0"/>
    <x v="5377"/>
    <s v="VMM"/>
    <d v="2025-08-19T00:00:00"/>
    <s v="300381"/>
    <s v="ENVASES IBERICA"/>
    <n v="340585.34399999998"/>
  </r>
  <r>
    <s v="Facture comptabilisée"/>
    <m/>
    <x v="0"/>
    <x v="5378"/>
    <s v="100/2025 ASNI"/>
    <d v="2025-08-19T00:00:00"/>
    <s v="300423"/>
    <s v="ASNITRANS"/>
    <n v="3629.39"/>
  </r>
  <r>
    <s v="Facture comptabilisée"/>
    <m/>
    <x v="0"/>
    <x v="5379"/>
    <s v="101/2025 ASNI"/>
    <d v="2025-08-19T00:00:00"/>
    <s v="300423"/>
    <s v="ASNITRANS"/>
    <n v="3958.06"/>
  </r>
  <r>
    <s v="Facture comptabilisée"/>
    <m/>
    <x v="0"/>
    <x v="5380"/>
    <s v="102/2025 ASNI"/>
    <d v="2025-08-19T00:00:00"/>
    <s v="300423"/>
    <s v="ASNITRANS"/>
    <n v="3136.38"/>
  </r>
  <r>
    <s v="Facture comptabilisée"/>
    <m/>
    <x v="0"/>
    <x v="5381"/>
    <s v="LGMC+JP A"/>
    <d v="2025-08-21T00:00:00"/>
    <s v="300220"/>
    <s v="ENVASES EUROPE"/>
    <n v="1195245.216"/>
  </r>
  <r>
    <s v="Facture comptabilisée"/>
    <m/>
    <x v="0"/>
    <x v="5382"/>
    <s v="103/2025 ASNI"/>
    <d v="2025-08-22T00:00:00"/>
    <s v="300043"/>
    <s v="DOUANE"/>
    <n v="2274"/>
  </r>
  <r>
    <s v="Facture comptabilisée"/>
    <m/>
    <x v="0"/>
    <x v="5383"/>
    <s v="35/2025"/>
    <d v="2025-08-22T00:00:00"/>
    <s v="300043"/>
    <s v="DOUANE"/>
    <n v="817"/>
  </r>
  <r>
    <s v="Facture comptabilisée"/>
    <m/>
    <x v="0"/>
    <x v="5384"/>
    <s v="107/2025 ASNI"/>
    <d v="2025-08-22T00:00:00"/>
    <s v="300043"/>
    <s v="DOUANE"/>
    <n v="1152"/>
  </r>
  <r>
    <s v="Facture comptabilisée"/>
    <m/>
    <x v="0"/>
    <x v="5385"/>
    <s v="106/2025 ASNI"/>
    <d v="2025-08-22T00:00:00"/>
    <s v="300043"/>
    <s v="DOUANE"/>
    <n v="1329"/>
  </r>
  <r>
    <s v="Facture comptabilisée"/>
    <m/>
    <x v="0"/>
    <x v="5386"/>
    <s v="JP A"/>
    <d v="2025-08-22T00:00:00"/>
    <s v="300115"/>
    <s v="AUXILIAR CONSERVERA SA"/>
    <n v="341443.10200000001"/>
  </r>
  <r>
    <s v="Facture comptabilisée"/>
    <m/>
    <x v="0"/>
    <x v="5387"/>
    <s v="JP A"/>
    <d v="2025-08-22T00:00:00"/>
    <s v="300115"/>
    <s v="AUXILIAR CONSERVERA SA"/>
    <n v="341443.10200000001"/>
  </r>
  <r>
    <s v="Facture comptabilisée"/>
    <m/>
    <x v="0"/>
    <x v="5388"/>
    <s v="2.3"/>
    <d v="2025-08-22T00:00:00"/>
    <s v="300133"/>
    <s v="OP BOX "/>
    <n v="45648"/>
  </r>
  <r>
    <s v="Facture comptabilisée"/>
    <m/>
    <x v="0"/>
    <x v="5389"/>
    <s v="280ML"/>
    <d v="2025-08-22T00:00:00"/>
    <s v="300133"/>
    <s v="OP BOX "/>
    <n v="39106.800000000003"/>
  </r>
  <r>
    <s v="Facture comptabilisée"/>
    <m/>
    <x v="0"/>
    <x v="5390"/>
    <s v="103/2025 ASNI"/>
    <d v="2025-08-23T00:00:00"/>
    <s v="300423"/>
    <s v="ASNITRANS"/>
    <n v="4504.62"/>
  </r>
  <r>
    <s v="Facture comptabilisée"/>
    <m/>
    <x v="0"/>
    <x v="5391"/>
    <s v="112/2025 ASNI"/>
    <d v="2025-08-25T00:00:00"/>
    <s v="300043"/>
    <s v="DOUANE"/>
    <n v="1317"/>
  </r>
  <r>
    <s v="Facture comptabilisée"/>
    <m/>
    <x v="0"/>
    <x v="5392"/>
    <s v="113/2025 ASNI"/>
    <d v="2025-08-25T00:00:00"/>
    <s v="300043"/>
    <s v="DOUANE"/>
    <n v="1317"/>
  </r>
  <r>
    <s v="Facture comptabilisée"/>
    <m/>
    <x v="0"/>
    <x v="5393"/>
    <s v="JP A"/>
    <d v="2025-08-25T00:00:00"/>
    <s v="300220"/>
    <s v="ENVASES EUROPE"/>
    <n v="1256737.68"/>
  </r>
  <r>
    <s v="Facture comptabilisée"/>
    <m/>
    <x v="0"/>
    <x v="5394"/>
    <s v="ANDA*JP* 1"/>
    <d v="2025-08-25T00:00:00"/>
    <s v="300237"/>
    <s v="Saribekir Ambalaj - SBK"/>
    <n v="385447.7"/>
  </r>
  <r>
    <s v="Facture comptabilisée"/>
    <m/>
    <x v="0"/>
    <x v="5395"/>
    <s v="GLO FOOD  2"/>
    <d v="2025-08-25T00:00:00"/>
    <s v="300237"/>
    <s v="Saribekir Ambalaj - SBK"/>
    <n v="127776"/>
  </r>
  <r>
    <s v="Facture comptabilisée"/>
    <m/>
    <x v="0"/>
    <x v="5396"/>
    <s v="JPA *JP* 3"/>
    <d v="2025-08-25T00:00:00"/>
    <s v="300237"/>
    <s v="Saribekir Ambalaj - SBK"/>
    <n v="152212.5"/>
  </r>
  <r>
    <s v="Facture comptabilisée"/>
    <m/>
    <x v="0"/>
    <x v="5397"/>
    <s v="107/2025 ASNI"/>
    <d v="2025-08-25T00:00:00"/>
    <s v="300321"/>
    <s v="JIL LOGISTIQUE"/>
    <n v="27500"/>
  </r>
  <r>
    <s v="Facture comptabilisée"/>
    <m/>
    <x v="0"/>
    <x v="5398"/>
    <s v="JP A"/>
    <d v="2025-08-25T00:00:00"/>
    <s v="300381"/>
    <s v="ENVASES IBERICA"/>
    <n v="333907.20000000001"/>
  </r>
  <r>
    <s v="Facture comptabilisée"/>
    <m/>
    <x v="0"/>
    <x v="5399"/>
    <s v="COMPLEMENT"/>
    <d v="2025-08-26T00:00:00"/>
    <s v="300043"/>
    <s v="DOUANE"/>
    <n v="4724"/>
  </r>
  <r>
    <s v="Facture comptabilisée"/>
    <m/>
    <x v="0"/>
    <x v="5400"/>
    <s v="110/2025 ASNI"/>
    <d v="2025-08-26T00:00:00"/>
    <s v="300043"/>
    <s v="DOUANE"/>
    <n v="4350"/>
  </r>
  <r>
    <s v="Facture comptabilisée"/>
    <m/>
    <x v="0"/>
    <x v="5401"/>
    <s v="111/2025 ASNI"/>
    <d v="2025-08-26T00:00:00"/>
    <s v="300043"/>
    <s v="DOUANE"/>
    <n v="4226"/>
  </r>
  <r>
    <s v="Facture comptabilisée"/>
    <m/>
    <x v="0"/>
    <x v="5402"/>
    <s v="36/2025"/>
    <d v="2025-08-26T00:00:00"/>
    <s v="300043"/>
    <s v="DOUANE"/>
    <n v="1245"/>
  </r>
  <r>
    <s v="Facture comptabilisée"/>
    <m/>
    <x v="0"/>
    <x v="5403"/>
    <s v="JP A"/>
    <d v="2025-08-26T00:00:00"/>
    <s v="300220"/>
    <s v="ENVASES EUROPE"/>
    <n v="1217911.8038999999"/>
  </r>
  <r>
    <s v="Facture comptabilisée"/>
    <m/>
    <x v="0"/>
    <x v="5404"/>
    <s v="113/2025 ASNI"/>
    <d v="2025-08-26T00:00:00"/>
    <s v="300321"/>
    <s v="JIL LOGISTIQUE"/>
    <n v="25300"/>
  </r>
  <r>
    <s v="Facture comptabilisée"/>
    <m/>
    <x v="0"/>
    <x v="5405"/>
    <s v="112/2025 ASNI"/>
    <d v="2025-08-26T00:00:00"/>
    <s v="300321"/>
    <s v="JIL LOGISTIQUE"/>
    <n v="25300"/>
  </r>
  <r>
    <s v="Facture comptabilisée"/>
    <m/>
    <x v="0"/>
    <x v="5406"/>
    <s v="106/2025 ASNI"/>
    <d v="2025-08-26T00:00:00"/>
    <s v="300321"/>
    <s v="JIL LOGISTIQUE"/>
    <n v="25300"/>
  </r>
  <r>
    <s v="Facture comptabilisée"/>
    <m/>
    <x v="0"/>
    <x v="5407"/>
    <s v="VMM"/>
    <d v="2025-08-26T00:00:00"/>
    <s v="300381"/>
    <s v="ENVASES IBERICA"/>
    <n v="340585.34399999998"/>
  </r>
  <r>
    <s v="Facture comptabilisée"/>
    <m/>
    <x v="0"/>
    <x v="5408"/>
    <s v="JP A"/>
    <d v="2025-08-26T00:00:00"/>
    <s v="300381"/>
    <s v="ENVASES IBERICA"/>
    <n v="333907.20000000001"/>
  </r>
  <r>
    <s v="Facture comptabilisée"/>
    <m/>
    <x v="0"/>
    <x v="5409"/>
    <s v="JP A"/>
    <d v="2025-08-26T00:00:00"/>
    <s v="300381"/>
    <s v="ENVASES IBERICA"/>
    <n v="333907.20000000001"/>
  </r>
  <r>
    <s v="Facture comptabilisée"/>
    <m/>
    <x v="0"/>
    <x v="5410"/>
    <s v="104/2025 ASNI"/>
    <d v="2025-08-26T00:00:00"/>
    <s v="300423"/>
    <s v="ASNITRANS"/>
    <n v="3300.72"/>
  </r>
  <r>
    <s v="Facture comptabilisée"/>
    <m/>
    <x v="0"/>
    <x v="5411"/>
    <s v="105/2025 ASNI"/>
    <d v="2025-08-26T00:00:00"/>
    <s v="300423"/>
    <s v="ASNITRANS"/>
    <n v="3136.38"/>
  </r>
  <r>
    <s v="Facture comptabilisée"/>
    <m/>
    <x v="0"/>
    <x v="5412"/>
    <s v="106/2025 ASNI"/>
    <d v="2025-08-26T00:00:00"/>
    <s v="300423"/>
    <s v="ASNITRANS"/>
    <n v="3136.38"/>
  </r>
  <r>
    <s v="Facture comptabilisée"/>
    <m/>
    <x v="0"/>
    <x v="5413"/>
    <s v="107/2025 ASNI"/>
    <d v="2025-08-26T00:00:00"/>
    <s v="300423"/>
    <s v="ASNITRANS"/>
    <n v="3629.39"/>
  </r>
  <r>
    <s v="Facture comptabilisée"/>
    <m/>
    <x v="0"/>
    <x v="5414"/>
    <s v="108/2025 ASNI"/>
    <d v="2025-08-27T00:00:00"/>
    <s v="300043"/>
    <s v="DOUANE"/>
    <n v="1304"/>
  </r>
  <r>
    <s v="Facture comptabilisée"/>
    <m/>
    <x v="0"/>
    <x v="5415"/>
    <s v="114/2025 ASNI"/>
    <d v="2025-08-27T00:00:00"/>
    <s v="300043"/>
    <s v="DOUANE"/>
    <n v="4149"/>
  </r>
  <r>
    <s v="Facture comptabilisée"/>
    <m/>
    <x v="0"/>
    <x v="5416"/>
    <s v="29/2025"/>
    <d v="2025-08-27T00:00:00"/>
    <s v="300101"/>
    <s v="ASMAE FORWARDING EXPRESS"/>
    <n v="4447.41"/>
  </r>
  <r>
    <s v="Facture comptabilisée"/>
    <m/>
    <x v="0"/>
    <x v="5417"/>
    <s v="111/2025 ASNI"/>
    <d v="2025-08-27T00:00:00"/>
    <s v="300321"/>
    <s v="JIL LOGISTIQUE"/>
    <n v="57750"/>
  </r>
  <r>
    <s v="Facture comptabilisée"/>
    <m/>
    <x v="0"/>
    <x v="5418"/>
    <s v="110/2025 ASNI"/>
    <d v="2025-08-27T00:00:00"/>
    <s v="300321"/>
    <s v="JIL LOGISTIQUE"/>
    <n v="57750"/>
  </r>
  <r>
    <s v="Facture comptabilisée"/>
    <m/>
    <x v="0"/>
    <x v="5419"/>
    <s v="VMM"/>
    <d v="2025-08-27T00:00:00"/>
    <s v="300381"/>
    <s v="ENVASES IBERICA"/>
    <n v="340585.34399999998"/>
  </r>
  <r>
    <s v="Facture comptabilisée"/>
    <m/>
    <x v="0"/>
    <x v="5420"/>
    <s v="115/2025 ASNI"/>
    <d v="2025-08-28T00:00:00"/>
    <s v="300043"/>
    <s v="DOUANE"/>
    <n v="1302"/>
  </r>
  <r>
    <s v="Facture comptabilisée"/>
    <m/>
    <x v="0"/>
    <x v="5421"/>
    <s v="109/2025 ASNI"/>
    <d v="2025-08-28T00:00:00"/>
    <s v="300043"/>
    <s v="DOUANE"/>
    <n v="1317"/>
  </r>
  <r>
    <s v="Facture comptabilisée"/>
    <m/>
    <x v="0"/>
    <x v="5422"/>
    <s v="31/2025"/>
    <d v="2025-08-28T00:00:00"/>
    <s v="300043"/>
    <s v="DOUANE"/>
    <n v="1244"/>
  </r>
  <r>
    <s v="Facture comptabilisée"/>
    <m/>
    <x v="0"/>
    <x v="5423"/>
    <s v="VMM"/>
    <d v="2025-08-28T00:00:00"/>
    <s v="300381"/>
    <s v="ENVASES IBERICA"/>
    <n v="340585.34399999998"/>
  </r>
  <r>
    <s v="Facture comptabilisée"/>
    <m/>
    <x v="0"/>
    <x v="5424"/>
    <s v="COMPLEMENT"/>
    <d v="2025-08-29T00:00:00"/>
    <s v="300043"/>
    <s v="DOUANE"/>
    <n v="4719"/>
  </r>
  <r>
    <s v="Facture comptabilisée"/>
    <m/>
    <x v="0"/>
    <x v="5425"/>
    <s v="116/2025 ASNI"/>
    <d v="2025-08-29T00:00:00"/>
    <s v="300043"/>
    <s v="DOUANE"/>
    <n v="1305"/>
  </r>
  <r>
    <s v="Facture comptabilisée"/>
    <m/>
    <x v="0"/>
    <x v="5426"/>
    <s v="117/2025 ASNI"/>
    <d v="2025-08-29T00:00:00"/>
    <s v="300043"/>
    <s v="DOUANE"/>
    <n v="1319"/>
  </r>
  <r>
    <s v="Facture comptabilisée"/>
    <m/>
    <x v="0"/>
    <x v="5427"/>
    <s v="118/2025 ASNI"/>
    <d v="2025-08-29T00:00:00"/>
    <s v="300043"/>
    <s v="DOUANE"/>
    <n v="4347"/>
  </r>
  <r>
    <s v="Facture comptabilisée"/>
    <m/>
    <x v="0"/>
    <x v="5428"/>
    <s v="U.D"/>
    <d v="2025-08-29T00:00:00"/>
    <s v="300064"/>
    <s v="SONOCO Métal Packaging Maroc"/>
    <n v="126980"/>
  </r>
  <r>
    <s v="Facture comptabilisée"/>
    <m/>
    <x v="0"/>
    <x v="5429"/>
    <s v="U.D"/>
    <d v="2025-08-29T00:00:00"/>
    <s v="300064"/>
    <s v="SONOCO Métal Packaging Maroc"/>
    <n v="126980"/>
  </r>
  <r>
    <s v="Facture comptabilisée"/>
    <m/>
    <x v="0"/>
    <x v="5430"/>
    <s v="109/2025 ASNI"/>
    <d v="2025-08-29T00:00:00"/>
    <s v="300321"/>
    <s v="JIL LOGISTIQUE"/>
    <n v="25300"/>
  </r>
  <r>
    <s v="Facture comptabilisée"/>
    <m/>
    <x v="0"/>
    <x v="5431"/>
    <s v="119/2025 ASNI"/>
    <d v="2025-08-29T00:00:00"/>
    <s v="300364"/>
    <s v="CMA CGM MAROC"/>
    <n v="6782.6419999999998"/>
  </r>
  <r>
    <s v="Facture comptabilisée"/>
    <m/>
    <x v="0"/>
    <x v="5432"/>
    <s v="120/2025 ASNI"/>
    <d v="2025-08-29T00:00:00"/>
    <s v="300364"/>
    <s v="CMA CGM MAROC"/>
    <n v="3586.3159999999998"/>
  </r>
  <r>
    <s v="Facture comptabilisée"/>
    <m/>
    <x v="0"/>
    <x v="5433"/>
    <s v="116/2025 ASNI"/>
    <d v="2025-08-30T00:00:00"/>
    <s v="300321"/>
    <s v="JIL LOGISTIQUE"/>
    <n v="27500"/>
  </r>
  <r>
    <s v="Facture comptabilisée"/>
    <m/>
    <x v="0"/>
    <x v="5434"/>
    <s v="117/2025 ASNI"/>
    <d v="2025-08-30T00:00:00"/>
    <s v="300321"/>
    <s v="JIL LOGISTIQUE"/>
    <n v="25300"/>
  </r>
  <r>
    <s v="Facture comptabilisée"/>
    <m/>
    <x v="0"/>
    <x v="5435"/>
    <s v="114/2025 ASNI"/>
    <d v="2025-08-30T00:00:00"/>
    <s v="300321"/>
    <s v="JIL LOGISTIQUE"/>
    <n v="57750"/>
  </r>
  <r>
    <s v="Facture comptabilisée"/>
    <m/>
    <x v="0"/>
    <x v="5436"/>
    <s v="108/2025 ASNI"/>
    <d v="2025-08-30T00:00:00"/>
    <s v="300321"/>
    <s v="JIL LOGISTIQUE"/>
    <n v="27500"/>
  </r>
  <r>
    <s v="Facture comptabilisée"/>
    <m/>
    <x v="0"/>
    <x v="5437"/>
    <s v="115/2025 ASNI"/>
    <d v="2025-08-30T00:00:00"/>
    <s v="300321"/>
    <s v="JIL LOGISTIQUE"/>
    <n v="27500"/>
  </r>
  <r>
    <s v="Facture comptabilisée"/>
    <m/>
    <x v="0"/>
    <x v="5438"/>
    <s v="108/2025 ASNI"/>
    <d v="2025-08-31T00:00:00"/>
    <s v="300423"/>
    <s v="ASNITRANS"/>
    <n v="3136.38"/>
  </r>
  <r>
    <s v="Facture comptabilisée"/>
    <m/>
    <x v="0"/>
    <x v="5439"/>
    <s v="109/2025 ASNI"/>
    <d v="2025-08-31T00:00:00"/>
    <s v="300423"/>
    <s v="ASNITRANS"/>
    <n v="3136.38"/>
  </r>
  <r>
    <s v="Facture comptabilisée"/>
    <m/>
    <x v="0"/>
    <x v="5440"/>
    <s v="110/2025 ASNI"/>
    <d v="2025-08-31T00:00:00"/>
    <s v="300423"/>
    <s v="ASNITRANS"/>
    <n v="3958.06"/>
  </r>
  <r>
    <s v="Facture comptabilisée"/>
    <m/>
    <x v="0"/>
    <x v="5441"/>
    <s v="111/2025 ASNI"/>
    <d v="2025-08-31T00:00:00"/>
    <s v="300423"/>
    <s v="ASNITRANS"/>
    <n v="3958.06"/>
  </r>
  <r>
    <s v="Facture comptabilisée"/>
    <m/>
    <x v="0"/>
    <x v="5442"/>
    <s v="112/2025 ASNI"/>
    <d v="2025-08-31T00:00:00"/>
    <s v="300423"/>
    <s v="ASNITRANS"/>
    <n v="3465.05"/>
  </r>
  <r>
    <s v="Facture comptabilisée"/>
    <m/>
    <x v="0"/>
    <x v="5443"/>
    <s v="113/2025 ASNI"/>
    <d v="2025-08-31T00:00:00"/>
    <s v="300423"/>
    <s v="ASNITRANS"/>
    <n v="3465.05"/>
  </r>
  <r>
    <s v="Facture comptabilisée"/>
    <m/>
    <x v="0"/>
    <x v="5444"/>
    <s v="114/2025 ASNI"/>
    <d v="2025-08-31T00:00:00"/>
    <s v="300423"/>
    <s v="ASNITRANS"/>
    <n v="3136.38"/>
  </r>
  <r>
    <s v="Facture comptabilisée"/>
    <m/>
    <x v="0"/>
    <x v="5445"/>
    <s v="115/2025 ASNI"/>
    <d v="2025-08-31T00:00:00"/>
    <s v="300423"/>
    <s v="ASNITRANS"/>
    <n v="3136.38"/>
  </r>
  <r>
    <s v="Facture comptabilisée"/>
    <m/>
    <x v="0"/>
    <x v="5446"/>
    <s v="116/2025 ASNI"/>
    <d v="2025-08-31T00:00:00"/>
    <s v="300423"/>
    <s v="ASNITRANS"/>
    <n v="3136.38"/>
  </r>
  <r>
    <s v="Facture comptabilisée"/>
    <m/>
    <x v="0"/>
    <x v="5447"/>
    <s v="117/2025 ASNI"/>
    <d v="2025-08-31T00:00:00"/>
    <s v="300423"/>
    <s v="ASNITRANS"/>
    <n v="3136.38"/>
  </r>
  <r>
    <s v="Facture comptabilisée"/>
    <m/>
    <x v="0"/>
    <x v="5448"/>
    <s v="118/2025 ASNI"/>
    <d v="2025-08-31T00:00:00"/>
    <s v="300423"/>
    <s v="ASNITRANS"/>
    <n v="3136.38"/>
  </r>
  <r>
    <s v="Facture comptabilisée"/>
    <m/>
    <x v="0"/>
    <x v="5449"/>
    <s v="COMPLEMENT"/>
    <d v="2025-09-01T00:00:00"/>
    <s v="300043"/>
    <s v="DOUANE"/>
    <n v="3573"/>
  </r>
  <r>
    <s v="Facture comptabilisée"/>
    <m/>
    <x v="0"/>
    <x v="5450"/>
    <s v="125/2025 ASNI"/>
    <d v="2025-09-01T00:00:00"/>
    <s v="300043"/>
    <s v="DOUANE"/>
    <n v="1319"/>
  </r>
  <r>
    <s v="Facture comptabilisée"/>
    <m/>
    <x v="0"/>
    <x v="5451"/>
    <s v="121/2025 ASNI"/>
    <d v="2025-09-01T00:00:00"/>
    <s v="300043"/>
    <s v="DOUANE"/>
    <n v="4223"/>
  </r>
  <r>
    <s v="Facture comptabilisée"/>
    <m/>
    <x v="0"/>
    <x v="5452"/>
    <s v="JP A"/>
    <d v="2025-09-01T00:00:00"/>
    <s v="300115"/>
    <s v="AUXILIAR CONSERVERA SA"/>
    <n v="341443.10200000001"/>
  </r>
  <r>
    <s v="Facture comptabilisée"/>
    <m/>
    <x v="0"/>
    <x v="5453"/>
    <s v="118/2025 ASNI"/>
    <d v="2025-09-01T00:00:00"/>
    <s v="300321"/>
    <s v="JIL LOGISTIQUE"/>
    <n v="57750"/>
  </r>
  <r>
    <s v="Facture comptabilisée"/>
    <m/>
    <x v="0"/>
    <x v="5454"/>
    <s v="COMPLEMENT"/>
    <d v="2025-09-02T00:00:00"/>
    <s v="300043"/>
    <s v="DOUANE"/>
    <n v="2744"/>
  </r>
  <r>
    <s v="Facture comptabilisée"/>
    <m/>
    <x v="0"/>
    <x v="5455"/>
    <s v="28/2025 J"/>
    <d v="2025-09-02T00:00:00"/>
    <s v="300043"/>
    <s v="DOUANE"/>
    <n v="1217"/>
  </r>
  <r>
    <s v="Facture comptabilisée"/>
    <m/>
    <x v="0"/>
    <x v="5456"/>
    <s v="UNIVERS DELI"/>
    <d v="2025-09-02T00:00:00"/>
    <s v="300115"/>
    <s v="AUXILIAR CONSERVERA SA"/>
    <n v="110044.5852"/>
  </r>
  <r>
    <s v="Facture comptabilisée"/>
    <m/>
    <x v="0"/>
    <x v="5457"/>
    <s v="JP A"/>
    <d v="2025-09-02T00:00:00"/>
    <s v="300115"/>
    <s v="AUXILIAR CONSERVERA SA"/>
    <n v="341443.10200000001"/>
  </r>
  <r>
    <s v="Facture comptabilisée"/>
    <m/>
    <x v="0"/>
    <x v="5458"/>
    <s v="121/2025 ASNI"/>
    <d v="2025-09-02T00:00:00"/>
    <s v="300321"/>
    <s v="JIL LOGISTIQUE"/>
    <n v="57750"/>
  </r>
  <r>
    <s v="Facture comptabilisée"/>
    <m/>
    <x v="0"/>
    <x v="5459"/>
    <s v="125/2025 ASNI"/>
    <d v="2025-09-02T00:00:00"/>
    <s v="300321"/>
    <s v="JIL LOGISTIQUE"/>
    <n v="25300"/>
  </r>
  <r>
    <s v="Facture comptabilisée"/>
    <m/>
    <x v="0"/>
    <x v="5460"/>
    <s v="30/2025"/>
    <d v="2025-09-03T00:00:00"/>
    <s v="300043"/>
    <s v="DOUANE"/>
    <n v="1257"/>
  </r>
  <r>
    <s v="Facture comptabilisée"/>
    <m/>
    <x v="0"/>
    <x v="5461"/>
    <s v="32/2025"/>
    <d v="2025-09-03T00:00:00"/>
    <s v="300043"/>
    <s v="DOUANE"/>
    <n v="1256"/>
  </r>
  <r>
    <s v="Facture comptabilisée"/>
    <m/>
    <x v="0"/>
    <x v="5462"/>
    <s v="JP A"/>
    <d v="2025-09-03T00:00:00"/>
    <s v="300381"/>
    <s v="ENVASES IBERICA"/>
    <n v="294417.27149999997"/>
  </r>
  <r>
    <s v="Facture comptabilisée"/>
    <m/>
    <x v="0"/>
    <x v="5463"/>
    <s v="JP A"/>
    <d v="2025-09-03T00:00:00"/>
    <s v="300381"/>
    <s v="ENVASES IBERICA"/>
    <n v="295389.20400000003"/>
  </r>
  <r>
    <s v="Facture comptabilisée"/>
    <m/>
    <x v="0"/>
    <x v="5464"/>
    <s v="LOGI FOOD"/>
    <d v="2025-09-03T00:00:00"/>
    <s v="300381"/>
    <s v="ENVASES IBERICA"/>
    <n v="338745.62920000002"/>
  </r>
  <r>
    <s v="Facture comptabilisée"/>
    <m/>
    <x v="0"/>
    <x v="5465"/>
    <s v="JP A"/>
    <d v="2025-09-03T00:00:00"/>
    <s v="300381"/>
    <s v="ENVASES IBERICA"/>
    <n v="333907.20000000001"/>
  </r>
  <r>
    <s v="Facture comptabilisée"/>
    <m/>
    <x v="0"/>
    <x v="5466"/>
    <s v="JP A"/>
    <d v="2025-09-03T00:00:00"/>
    <s v="300381"/>
    <s v="ENVASES IBERICA"/>
    <n v="333907.20000000001"/>
  </r>
  <r>
    <s v="Facture comptabilisée"/>
    <m/>
    <x v="0"/>
    <x v="5467"/>
    <s v="119/2025 ASNI"/>
    <d v="2025-09-04T00:00:00"/>
    <s v="300043"/>
    <s v="DOUANE"/>
    <n v="7503"/>
  </r>
  <r>
    <s v="Facture comptabilisée"/>
    <m/>
    <x v="0"/>
    <x v="5468"/>
    <s v="37/2025"/>
    <d v="2025-09-08T00:00:00"/>
    <s v="300043"/>
    <s v="DOUANE"/>
    <n v="1263"/>
  </r>
  <r>
    <s v="Facture comptabilisée"/>
    <m/>
    <x v="0"/>
    <x v="5469"/>
    <s v="38/2025"/>
    <d v="2025-09-08T00:00:00"/>
    <s v="300043"/>
    <s v="DOUANE"/>
    <n v="575"/>
  </r>
  <r>
    <s v="Facture comptabilisée"/>
    <m/>
    <x v="0"/>
    <x v="5470"/>
    <s v="122/2025 ASNI"/>
    <d v="2025-09-08T00:00:00"/>
    <s v="300043"/>
    <s v="DOUANE"/>
    <n v="1312"/>
  </r>
  <r>
    <s v="Facture comptabilisée"/>
    <m/>
    <x v="0"/>
    <x v="5471"/>
    <s v="123/2025 ASNI"/>
    <d v="2025-09-08T00:00:00"/>
    <s v="300043"/>
    <s v="DOUANE"/>
    <n v="1312"/>
  </r>
  <r>
    <s v="Facture comptabilisée"/>
    <m/>
    <x v="0"/>
    <x v="5472"/>
    <s v="124/2025 ASNI"/>
    <d v="2025-09-08T00:00:00"/>
    <s v="300043"/>
    <s v="DOUANE"/>
    <n v="1320"/>
  </r>
  <r>
    <s v="Facture comptabilisée"/>
    <m/>
    <x v="0"/>
    <x v="5473"/>
    <s v="U.D"/>
    <d v="2025-09-08T00:00:00"/>
    <s v="300064"/>
    <s v="SONOCO Métal Packaging Maroc"/>
    <n v="126980"/>
  </r>
  <r>
    <s v="Facture comptabilisée"/>
    <m/>
    <x v="0"/>
    <x v="5474"/>
    <s v="U.D"/>
    <d v="2025-09-08T00:00:00"/>
    <s v="300064"/>
    <s v="SONOCO Métal Packaging Maroc"/>
    <n v="126980"/>
  </r>
  <r>
    <s v="Facture comptabilisée"/>
    <m/>
    <x v="0"/>
    <x v="5475"/>
    <s v="30/2025"/>
    <d v="2025-09-08T00:00:00"/>
    <s v="300101"/>
    <s v="ASMAE FORWARDING EXPRESS"/>
    <n v="2968.38"/>
  </r>
  <r>
    <s v="Facture comptabilisée"/>
    <m/>
    <x v="0"/>
    <x v="5476"/>
    <s v="31/2025"/>
    <d v="2025-09-08T00:00:00"/>
    <s v="300101"/>
    <s v="ASMAE FORWARDING EXPRESS"/>
    <n v="4118.74"/>
  </r>
  <r>
    <s v="Facture comptabilisée"/>
    <m/>
    <x v="0"/>
    <x v="5477"/>
    <s v="32/2025"/>
    <d v="2025-09-08T00:00:00"/>
    <s v="300101"/>
    <s v="ASMAE FORWARDING EXPRESS"/>
    <n v="7734.14"/>
  </r>
  <r>
    <s v="Facture comptabilisée"/>
    <m/>
    <x v="0"/>
    <x v="5478"/>
    <s v="33/2025"/>
    <d v="2025-09-08T00:00:00"/>
    <s v="300101"/>
    <s v="ASMAE FORWARDING EXPRESS"/>
    <n v="3790.06"/>
  </r>
  <r>
    <s v="Facture comptabilisée"/>
    <m/>
    <x v="0"/>
    <x v="5479"/>
    <s v="34/2025"/>
    <d v="2025-09-08T00:00:00"/>
    <s v="300101"/>
    <s v="ASMAE FORWARDING EXPRESS"/>
    <n v="4447.41"/>
  </r>
  <r>
    <s v="Facture comptabilisée"/>
    <m/>
    <x v="0"/>
    <x v="5480"/>
    <s v="35/2025"/>
    <d v="2025-09-08T00:00:00"/>
    <s v="300101"/>
    <s v="ASMAE FORWARDING EXPRESS"/>
    <n v="6857.68"/>
  </r>
  <r>
    <s v="Facture comptabilisée"/>
    <m/>
    <x v="0"/>
    <x v="5481"/>
    <s v="36/2025"/>
    <d v="2025-09-08T00:00:00"/>
    <s v="300101"/>
    <s v="ASMAE FORWARDING EXPRESS"/>
    <n v="3297.05"/>
  </r>
  <r>
    <s v="Facture comptabilisée"/>
    <m/>
    <x v="0"/>
    <x v="5482"/>
    <s v="120/2025 ASNI"/>
    <d v="2025-09-09T00:00:00"/>
    <s v="300043"/>
    <s v="DOUANE"/>
    <n v="3506"/>
  </r>
  <r>
    <s v="Facture comptabilisée"/>
    <m/>
    <x v="0"/>
    <x v="5483"/>
    <s v="122/2025 ASNI"/>
    <d v="2025-09-09T00:00:00"/>
    <s v="300321"/>
    <s v="JIL LOGISTIQUE"/>
    <n v="27500"/>
  </r>
  <r>
    <s v="Facture comptabilisée"/>
    <m/>
    <x v="0"/>
    <x v="5484"/>
    <s v="123/2025 ASNI"/>
    <d v="2025-09-09T00:00:00"/>
    <s v="300321"/>
    <s v="JIL LOGISTIQUE"/>
    <n v="27500"/>
  </r>
  <r>
    <s v="Facture comptabilisée"/>
    <m/>
    <x v="0"/>
    <x v="5485"/>
    <s v="124/2025 ASNI"/>
    <d v="2025-09-09T00:00:00"/>
    <s v="300321"/>
    <s v="JIL LOGISTIQUE"/>
    <n v="25300"/>
  </r>
  <r>
    <s v="Facture comptabilisée"/>
    <m/>
    <x v="0"/>
    <x v="5486"/>
    <s v="LOGI FOOD"/>
    <d v="2025-09-09T00:00:00"/>
    <s v="300381"/>
    <s v="ENVASES IBERICA"/>
    <n v="359416.728"/>
  </r>
  <r>
    <s v="Facture comptabilisée"/>
    <m/>
    <x v="0"/>
    <x v="5487"/>
    <s v="VMM"/>
    <d v="2025-09-09T00:00:00"/>
    <s v="300381"/>
    <s v="ENVASES IBERICA"/>
    <n v="340585.34399999998"/>
  </r>
  <r>
    <s v="Facture comptabilisée"/>
    <m/>
    <x v="0"/>
    <x v="5488"/>
    <s v="2300ML"/>
    <d v="2025-09-10T00:00:00"/>
    <s v="300133"/>
    <s v="OP BOX "/>
    <n v="45648"/>
  </r>
  <r>
    <s v="Facture comptabilisée"/>
    <m/>
    <x v="0"/>
    <x v="5489"/>
    <s v="10AM"/>
    <d v="2025-09-10T00:00:00"/>
    <s v="300133"/>
    <s v="OP BOX "/>
    <n v="31125.46"/>
  </r>
  <r>
    <s v="Facture comptabilisée"/>
    <m/>
    <x v="0"/>
    <x v="5490"/>
    <s v="119/2025 ASNI"/>
    <d v="2025-09-10T00:00:00"/>
    <s v="300423"/>
    <s v="ASNITRANS"/>
    <n v="9409.64"/>
  </r>
  <r>
    <s v="Facture comptabilisée"/>
    <m/>
    <x v="0"/>
    <x v="5491"/>
    <s v="120/2025 ASNI"/>
    <d v="2025-09-10T00:00:00"/>
    <s v="300423"/>
    <s v="ASNITRANS"/>
    <n v="4423.3100000000004"/>
  </r>
  <r>
    <s v="Facture comptabilisée"/>
    <m/>
    <x v="0"/>
    <x v="5492"/>
    <s v="127/2025 ASNI"/>
    <d v="2025-09-11T00:00:00"/>
    <s v="300043"/>
    <s v="DOUANE"/>
    <n v="1324"/>
  </r>
  <r>
    <s v="Facture comptabilisée"/>
    <m/>
    <x v="0"/>
    <x v="5493"/>
    <s v="128/2025 ASNI"/>
    <d v="2025-09-11T00:00:00"/>
    <s v="300043"/>
    <s v="DOUANE"/>
    <n v="1384"/>
  </r>
  <r>
    <s v="Facture comptabilisée"/>
    <m/>
    <x v="0"/>
    <x v="5494"/>
    <s v="126/2025 ASNI"/>
    <d v="2025-09-12T00:00:00"/>
    <s v="300043"/>
    <s v="DOUANE"/>
    <n v="1323"/>
  </r>
  <r>
    <s v="Facture comptabilisée"/>
    <m/>
    <x v="0"/>
    <x v="5495"/>
    <s v="COMPLEMENT"/>
    <d v="2025-09-12T00:00:00"/>
    <s v="300043"/>
    <s v="DOUANE"/>
    <n v="3746"/>
  </r>
  <r>
    <s v="Facture comptabilisée"/>
    <m/>
    <x v="0"/>
    <x v="5496"/>
    <s v="28/2025 J"/>
    <d v="2025-09-12T00:00:00"/>
    <s v="300191"/>
    <s v="JTTL"/>
    <n v="8287.19"/>
  </r>
  <r>
    <s v="Facture comptabilisée"/>
    <m/>
    <x v="0"/>
    <x v="5497"/>
    <s v="128/2025 ASNI"/>
    <d v="2025-09-12T00:00:00"/>
    <s v="300321"/>
    <s v="JIL LOGISTIQUE"/>
    <n v="25300"/>
  </r>
  <r>
    <s v="Facture comptabilisée"/>
    <m/>
    <x v="0"/>
    <x v="5498"/>
    <s v="127/2025 ASNI"/>
    <d v="2025-09-12T00:00:00"/>
    <s v="300321"/>
    <s v="JIL LOGISTIQUE"/>
    <n v="25300"/>
  </r>
  <r>
    <s v="Facture comptabilisée"/>
    <m/>
    <x v="0"/>
    <x v="5499"/>
    <s v="121/2025 ASNI"/>
    <d v="2025-09-12T00:00:00"/>
    <s v="300423"/>
    <s v="ASNITRANS"/>
    <n v="3136.38"/>
  </r>
  <r>
    <s v="Facture comptabilisée"/>
    <m/>
    <x v="0"/>
    <x v="5500"/>
    <s v="122/2025 SNI"/>
    <d v="2025-09-12T00:00:00"/>
    <s v="300423"/>
    <s v="ASNITRANS"/>
    <n v="3300.72"/>
  </r>
  <r>
    <s v="Facture comptabilisée"/>
    <m/>
    <x v="0"/>
    <x v="5501"/>
    <s v="123/2025 ASNI"/>
    <d v="2025-09-12T00:00:00"/>
    <s v="300423"/>
    <s v="ASNITRANS"/>
    <n v="3300.72"/>
  </r>
  <r>
    <s v="Facture comptabilisée"/>
    <m/>
    <x v="0"/>
    <x v="5502"/>
    <s v="124/2025 ASNI"/>
    <d v="2025-09-12T00:00:00"/>
    <s v="300423"/>
    <s v="ASNITRANS"/>
    <n v="3300.72"/>
  </r>
  <r>
    <s v="Facture comptabilisée"/>
    <m/>
    <x v="0"/>
    <x v="5503"/>
    <s v="125/2025 ASNI"/>
    <d v="2025-09-12T00:00:00"/>
    <s v="300423"/>
    <s v="ASNITRANS"/>
    <n v="3300.72"/>
  </r>
  <r>
    <s v="Facture comptabilisée"/>
    <m/>
    <x v="0"/>
    <x v="5504"/>
    <s v="29/2025 J"/>
    <d v="2025-09-13T00:00:00"/>
    <s v="300043"/>
    <s v="DOUANE"/>
    <n v="2285"/>
  </r>
  <r>
    <s v="Facture comptabilisée"/>
    <m/>
    <x v="0"/>
    <x v="5505"/>
    <s v="126/2025 ASNI"/>
    <d v="2025-09-13T00:00:00"/>
    <s v="300321"/>
    <s v="JIL LOGISTIQUE"/>
    <n v="25300"/>
  </r>
  <r>
    <s v="Facture comptabilisée"/>
    <m/>
    <x v="0"/>
    <x v="5506"/>
    <s v="VMM"/>
    <d v="2025-09-13T00:00:00"/>
    <s v="300381"/>
    <s v="ENVASES IBERICA"/>
    <n v="340585.34399999998"/>
  </r>
  <r>
    <s v="Facture comptabilisée"/>
    <m/>
    <x v="0"/>
    <x v="5507"/>
    <s v="JP"/>
    <d v="2025-09-15T00:00:00"/>
    <s v="300344"/>
    <s v="PADEL NUESTRO"/>
    <n v="427993.91"/>
  </r>
  <r>
    <s v="Facture comptabilisée"/>
    <m/>
    <x v="0"/>
    <x v="5508"/>
    <s v="JIL PACK A"/>
    <d v="2025-09-15T00:00:00"/>
    <s v="300381"/>
    <s v="ENVASES IBERICA"/>
    <n v="346409.38199999998"/>
  </r>
  <r>
    <s v="Facture comptabilisée"/>
    <m/>
    <x v="0"/>
    <x v="5509"/>
    <s v="37/2025"/>
    <d v="2025-09-16T00:00:00"/>
    <s v="300101"/>
    <s v="ASMAE FORWARDING EXPRESS"/>
    <n v="3790.94"/>
  </r>
  <r>
    <s v="Facture comptabilisée"/>
    <m/>
    <x v="0"/>
    <x v="5510"/>
    <s v="38/2025"/>
    <d v="2025-09-16T00:00:00"/>
    <s v="300101"/>
    <s v="ASMAE FORWARDING EXPRESS"/>
    <n v="3790.94"/>
  </r>
  <r>
    <s v="Facture comptabilisée"/>
    <m/>
    <x v="0"/>
    <x v="5511"/>
    <s v="U.D"/>
    <d v="2025-09-16T00:00:00"/>
    <s v="300115"/>
    <s v="AUXILIAR CONSERVERA SA"/>
    <n v="110526.66899999999"/>
  </r>
  <r>
    <s v="Facture comptabilisée"/>
    <m/>
    <x v="0"/>
    <x v="5512"/>
    <d v="2026-01-05T00:00:00"/>
    <d v="2025-09-17T00:00:00"/>
    <s v="300064"/>
    <s v="SONOCO Métal Packaging Maroc"/>
    <n v="126980"/>
  </r>
  <r>
    <s v="Facture comptabilisée"/>
    <m/>
    <x v="0"/>
    <x v="5513"/>
    <s v="29/2025 J"/>
    <d v="2025-09-17T00:00:00"/>
    <s v="300191"/>
    <s v="JTTL"/>
    <n v="22500.93"/>
  </r>
  <r>
    <s v="Facture comptabilisée"/>
    <m/>
    <x v="0"/>
    <x v="5514"/>
    <s v="LOGI FOOD"/>
    <d v="2025-09-17T00:00:00"/>
    <s v="300381"/>
    <s v="ENVASES IBERICA"/>
    <n v="364646.304"/>
  </r>
  <r>
    <s v="Facture comptabilisée"/>
    <m/>
    <x v="0"/>
    <x v="5515"/>
    <s v="126/2025 ASNI"/>
    <d v="2025-09-17T00:00:00"/>
    <s v="300423"/>
    <s v="ASNITRANS"/>
    <n v="3138.65"/>
  </r>
  <r>
    <s v="Facture comptabilisée"/>
    <m/>
    <x v="0"/>
    <x v="5516"/>
    <s v="127/2025 ASNI"/>
    <d v="2025-09-17T00:00:00"/>
    <s v="300423"/>
    <s v="ASNITRANS"/>
    <n v="3138.65"/>
  </r>
  <r>
    <s v="Facture comptabilisée"/>
    <m/>
    <x v="0"/>
    <x v="5517"/>
    <s v="128/2025 ASNI"/>
    <d v="2025-09-17T00:00:00"/>
    <s v="300423"/>
    <s v="ASNITRANS"/>
    <n v="3138.65"/>
  </r>
  <r>
    <s v="Facture comptabilisée"/>
    <m/>
    <x v="0"/>
    <x v="5518"/>
    <s v="130/2025 ASNI"/>
    <d v="2025-09-18T00:00:00"/>
    <s v="300043"/>
    <s v="DOUANE"/>
    <n v="1355"/>
  </r>
  <r>
    <s v="Facture comptabilisée"/>
    <m/>
    <x v="0"/>
    <x v="5519"/>
    <s v="U.D"/>
    <d v="2025-09-18T00:00:00"/>
    <s v="300115"/>
    <s v="AUXILIAR CONSERVERA SA"/>
    <n v="110526.66899999999"/>
  </r>
  <r>
    <s v="Facture comptabilisée"/>
    <m/>
    <x v="0"/>
    <x v="5520"/>
    <s v="129/2025 ASNI"/>
    <d v="2025-09-19T00:00:00"/>
    <s v="300043"/>
    <s v="DOUANE"/>
    <n v="1408"/>
  </r>
  <r>
    <s v="Facture comptabilisée"/>
    <m/>
    <x v="0"/>
    <x v="5521"/>
    <s v="41/2025"/>
    <d v="2025-09-19T00:00:00"/>
    <s v="300043"/>
    <s v="DOUANE"/>
    <n v="577"/>
  </r>
  <r>
    <s v="Facture comptabilisée"/>
    <m/>
    <x v="0"/>
    <x v="5522"/>
    <s v="U.D"/>
    <d v="2025-09-19T00:00:00"/>
    <s v="300115"/>
    <s v="AUXILIAR CONSERVERA SA"/>
    <n v="110526.66899999999"/>
  </r>
  <r>
    <s v="Facture comptabilisée"/>
    <m/>
    <x v="0"/>
    <x v="5523"/>
    <s v="130/2025 ASNI"/>
    <d v="2025-09-19T00:00:00"/>
    <s v="300321"/>
    <s v="JIL LOGISTIQUE"/>
    <n v="27500"/>
  </r>
  <r>
    <s v="Facture comptabilisée"/>
    <m/>
    <x v="0"/>
    <x v="5524"/>
    <s v="129/2025 ASNI"/>
    <d v="2025-09-20T00:00:00"/>
    <s v="300321"/>
    <s v="JIL LOGISTIQUE"/>
    <n v="25300"/>
  </r>
  <r>
    <s v="Facture comptabilisée"/>
    <m/>
    <x v="0"/>
    <x v="5525"/>
    <s v="COMPLEMENT"/>
    <d v="2025-09-22T00:00:00"/>
    <s v="300043"/>
    <s v="DOUANE"/>
    <n v="3699"/>
  </r>
  <r>
    <s v="Facture comptabilisée"/>
    <m/>
    <x v="0"/>
    <x v="5526"/>
    <s v="40/2025"/>
    <d v="2025-09-22T00:00:00"/>
    <s v="300043"/>
    <s v="DOUANE"/>
    <n v="521"/>
  </r>
  <r>
    <s v="Facture comptabilisée"/>
    <m/>
    <x v="0"/>
    <x v="5527"/>
    <s v="39/2025"/>
    <d v="2025-09-22T00:00:00"/>
    <s v="300043"/>
    <s v="DOUANE"/>
    <n v="577"/>
  </r>
  <r>
    <s v="Facture comptabilisée"/>
    <m/>
    <x v="0"/>
    <x v="5528"/>
    <s v="129/2025 ASNI"/>
    <d v="2025-09-23T00:00:00"/>
    <s v="300423"/>
    <s v="ASNITRANS"/>
    <n v="3138.65"/>
  </r>
  <r>
    <s v="Facture comptabilisée"/>
    <m/>
    <x v="0"/>
    <x v="5529"/>
    <s v="130/2025 ASNI"/>
    <d v="2025-09-23T00:00:00"/>
    <s v="300423"/>
    <s v="ASNITRANS"/>
    <n v="3138.65"/>
  </r>
  <r>
    <s v="Facture comptabilisée"/>
    <m/>
    <x v="0"/>
    <x v="5530"/>
    <s v="LOGI FOOD"/>
    <d v="2025-09-24T00:00:00"/>
    <s v="300381"/>
    <s v="ENVASES IBERICA"/>
    <n v="359269.41600000003"/>
  </r>
  <r>
    <s v="Facture comptabilisée"/>
    <m/>
    <x v="0"/>
    <x v="5531"/>
    <s v="131/2025 ASNI"/>
    <d v="2025-09-26T00:00:00"/>
    <s v="300043"/>
    <s v="DOUANE"/>
    <n v="1388"/>
  </r>
  <r>
    <s v="Facture comptabilisée"/>
    <m/>
    <x v="0"/>
    <x v="5532"/>
    <s v="39/2025"/>
    <d v="2025-09-26T00:00:00"/>
    <s v="300101"/>
    <s v="ASMAE FORWARDING EXPRESS"/>
    <n v="3299.67"/>
  </r>
  <r>
    <s v="Facture comptabilisée"/>
    <m/>
    <x v="0"/>
    <x v="5533"/>
    <s v="40/2025"/>
    <d v="2025-09-26T00:00:00"/>
    <s v="300101"/>
    <s v="ASMAE FORWARDING EXPRESS"/>
    <n v="3299.67"/>
  </r>
  <r>
    <s v="Facture comptabilisée"/>
    <m/>
    <x v="0"/>
    <x v="5534"/>
    <s v="41/2025"/>
    <d v="2025-09-26T00:00:00"/>
    <s v="300101"/>
    <s v="ASMAE FORWARDING EXPRESS"/>
    <n v="2970.65"/>
  </r>
  <r>
    <s v="Facture comptabilisée"/>
    <m/>
    <x v="0"/>
    <x v="5535"/>
    <s v="131/2025 ASNI"/>
    <d v="2025-09-26T00:00:00"/>
    <s v="300321"/>
    <s v="JIL LOGISTIQUE"/>
    <n v="25300"/>
  </r>
  <r>
    <s v="Facture comptabilisée"/>
    <m/>
    <x v="0"/>
    <x v="5536"/>
    <s v="COMPLEMENT"/>
    <d v="2025-09-29T00:00:00"/>
    <s v="300043"/>
    <s v="DOUANE"/>
    <n v="3672"/>
  </r>
  <r>
    <s v="Facture comptabilisée"/>
    <m/>
    <x v="0"/>
    <x v="5537"/>
    <s v="2K500"/>
    <d v="2025-09-30T00:00:00"/>
    <s v="300064"/>
    <s v="SONOCO Métal Packaging Maroc"/>
    <n v="175840"/>
  </r>
  <r>
    <s v="Facture comptabilisée"/>
    <m/>
    <x v="0"/>
    <x v="5538"/>
    <s v="2,3 NOIR"/>
    <d v="2025-09-30T00:00:00"/>
    <s v="300133"/>
    <s v="OP BOX "/>
    <n v="16548.48"/>
  </r>
  <r>
    <s v="Facture comptabilisée"/>
    <m/>
    <x v="0"/>
    <x v="5539"/>
    <s v="COMPLEMENT"/>
    <d v="2025-09-30T00:00:00"/>
    <s v="300191"/>
    <s v="JTTL"/>
    <n v="509.78"/>
  </r>
  <r>
    <s v="Facture comptabilisée"/>
    <m/>
    <x v="0"/>
    <x v="5540"/>
    <s v="131/2025 ASNI"/>
    <d v="2025-09-30T00:00:00"/>
    <s v="300423"/>
    <s v="ASNITRANS"/>
    <n v="3303.07"/>
  </r>
  <r>
    <s v="Facture comptabilisée"/>
    <m/>
    <x v="0"/>
    <x v="5541"/>
    <s v="NEW PEPPERS"/>
    <d v="2025-10-01T00:00:00"/>
    <s v="300115"/>
    <s v="AUXILIAR CONSERVERA SA"/>
    <n v="110526.66899999999"/>
  </r>
  <r>
    <s v="Facture comptabilisée"/>
    <m/>
    <x v="0"/>
    <x v="5542"/>
    <s v="VMM"/>
    <d v="2025-10-01T00:00:00"/>
    <s v="300381"/>
    <s v="ENVASES IBERICA"/>
    <n v="340585.34399999998"/>
  </r>
  <r>
    <s v="Facture comptabilisée"/>
    <m/>
    <x v="0"/>
    <x v="5543"/>
    <s v="132/2025 ASNI"/>
    <d v="2025-10-02T00:00:00"/>
    <s v="300398"/>
    <s v="EXPERT FREIGHT"/>
    <n v="55318.52"/>
  </r>
  <r>
    <s v="Facture comptabilisée"/>
    <m/>
    <x v="0"/>
    <x v="5544"/>
    <s v="133/2025 ASNI"/>
    <d v="2025-10-03T00:00:00"/>
    <s v="300043"/>
    <s v="DOUANE"/>
    <n v="1360"/>
  </r>
  <r>
    <s v="Facture comptabilisée"/>
    <m/>
    <x v="0"/>
    <x v="5545"/>
    <s v="42/2025 AS"/>
    <d v="2025-10-03T00:00:00"/>
    <s v="300043"/>
    <s v="DOUANE"/>
    <n v="577"/>
  </r>
  <r>
    <s v="Facture comptabilisée"/>
    <m/>
    <x v="0"/>
    <x v="5546"/>
    <s v="JP A"/>
    <d v="2025-10-03T00:00:00"/>
    <s v="300115"/>
    <s v="AUXILIAR CONSERVERA SA"/>
    <n v="345984.90299999999"/>
  </r>
  <r>
    <s v="Facture comptabilisée"/>
    <m/>
    <x v="0"/>
    <x v="5547"/>
    <s v="GLO+JP"/>
    <d v="2025-10-03T00:00:00"/>
    <s v="300237"/>
    <s v="Saribekir Ambalaj - SBK"/>
    <n v="130656.57"/>
  </r>
  <r>
    <s v="Facture comptabilisée"/>
    <m/>
    <x v="0"/>
    <x v="5548"/>
    <s v="133/2025 ASNI"/>
    <d v="2025-10-04T00:00:00"/>
    <s v="300321"/>
    <s v="JIL LOGISTIQUE"/>
    <n v="33000"/>
  </r>
  <r>
    <s v="Facture comptabilisée"/>
    <m/>
    <x v="0"/>
    <x v="5549"/>
    <s v="5/1 NEUTRE"/>
    <d v="2025-10-06T00:00:00"/>
    <s v="300064"/>
    <s v="SONOCO Métal Packaging Maroc"/>
    <n v="126980"/>
  </r>
  <r>
    <s v="Facture comptabilisée"/>
    <m/>
    <x v="0"/>
    <x v="5550"/>
    <s v="JP A"/>
    <d v="2025-10-06T00:00:00"/>
    <s v="300115"/>
    <s v="AUXILIAR CONSERVERA SA"/>
    <n v="346257.81300000002"/>
  </r>
  <r>
    <s v="Facture comptabilisée"/>
    <m/>
    <x v="0"/>
    <x v="5551"/>
    <s v="VMM"/>
    <d v="2025-10-06T00:00:00"/>
    <s v="300381"/>
    <s v="ENVASES IBERICA"/>
    <n v="340585.34399999998"/>
  </r>
  <r>
    <s v="Facture comptabilisée"/>
    <m/>
    <x v="0"/>
    <x v="5552"/>
    <s v="COMPLEMENT"/>
    <d v="2025-10-07T00:00:00"/>
    <s v="300043"/>
    <s v="DOUANE"/>
    <n v="4051"/>
  </r>
  <r>
    <s v="Facture comptabilisée"/>
    <m/>
    <x v="0"/>
    <x v="5553"/>
    <s v="132/2025 ASNI"/>
    <d v="2025-10-07T00:00:00"/>
    <s v="300043"/>
    <s v="DOUANE"/>
    <n v="2220"/>
  </r>
  <r>
    <s v="Facture comptabilisée"/>
    <m/>
    <x v="0"/>
    <x v="5554"/>
    <s v="VMM"/>
    <d v="2025-10-07T00:00:00"/>
    <s v="300381"/>
    <s v="ENVASES IBERICA"/>
    <n v="341420.11200000002"/>
  </r>
  <r>
    <s v="Facture comptabilisée"/>
    <m/>
    <x v="0"/>
    <x v="5555"/>
    <s v="134/2025 ASNI"/>
    <d v="2025-10-08T00:00:00"/>
    <s v="300043"/>
    <s v="DOUANE"/>
    <n v="1352"/>
  </r>
  <r>
    <s v="Facture comptabilisée"/>
    <m/>
    <x v="0"/>
    <x v="5556"/>
    <s v="135/2025 ASNI"/>
    <d v="2025-10-08T00:00:00"/>
    <s v="300043"/>
    <s v="DOUANE"/>
    <n v="1349"/>
  </r>
  <r>
    <s v="Facture comptabilisée"/>
    <m/>
    <x v="0"/>
    <x v="5557"/>
    <s v="44/2025 AS"/>
    <d v="2025-10-08T00:00:00"/>
    <s v="300043"/>
    <s v="DOUANE"/>
    <n v="1285"/>
  </r>
  <r>
    <s v="Facture comptabilisée"/>
    <m/>
    <x v="0"/>
    <x v="5558"/>
    <s v="NEW PEPPERS"/>
    <d v="2025-10-08T00:00:00"/>
    <s v="300115"/>
    <s v="AUXILIAR CONSERVERA SA"/>
    <n v="110373.71400000001"/>
  </r>
  <r>
    <s v="Facture comptabilisée"/>
    <m/>
    <x v="0"/>
    <x v="5559"/>
    <s v="PLASTIQUE"/>
    <d v="2025-10-08T00:00:00"/>
    <s v="300133"/>
    <s v="OP BOX "/>
    <n v="49741.2"/>
  </r>
  <r>
    <s v="Facture comptabilisée"/>
    <m/>
    <x v="0"/>
    <x v="5560"/>
    <s v="1/4 CLUB ALU29"/>
    <d v="2025-10-08T00:00:00"/>
    <s v="300220"/>
    <s v="ENVASES EUROPE"/>
    <n v="1217916.216"/>
  </r>
  <r>
    <s v="Facture comptabilisée"/>
    <m/>
    <x v="0"/>
    <x v="5561"/>
    <s v="LOGI FOOD"/>
    <d v="2025-10-08T00:00:00"/>
    <s v="300381"/>
    <s v="ENVASES IBERICA"/>
    <n v="353437.21600000001"/>
  </r>
  <r>
    <s v="Facture comptabilisée"/>
    <m/>
    <x v="0"/>
    <x v="5562"/>
    <s v="132/2025 ASNI"/>
    <d v="2025-10-08T00:00:00"/>
    <s v="300423"/>
    <s v="ASNITRANS"/>
    <n v="4274.2"/>
  </r>
  <r>
    <s v="Facture comptabilisée"/>
    <m/>
    <x v="0"/>
    <x v="5563"/>
    <s v="45/2025 AS"/>
    <d v="2025-10-09T00:00:00"/>
    <s v="300043"/>
    <s v="DOUANE"/>
    <n v="1280"/>
  </r>
  <r>
    <s v="Facture comptabilisée"/>
    <m/>
    <x v="0"/>
    <x v="5564"/>
    <s v="NEW PEPPERS"/>
    <d v="2025-10-09T00:00:00"/>
    <s v="300115"/>
    <s v="AUXILIAR CONSERVERA SA"/>
    <n v="110526.66899999999"/>
  </r>
  <r>
    <s v="Facture comptabilisée"/>
    <m/>
    <x v="0"/>
    <x v="5565"/>
    <s v="2.3 ML"/>
    <d v="2025-10-09T00:00:00"/>
    <s v="300133"/>
    <s v="OP BOX "/>
    <n v="45648"/>
  </r>
  <r>
    <s v="Facture comptabilisée"/>
    <m/>
    <x v="0"/>
    <x v="5566"/>
    <s v="1/4 CLUB ALU 29"/>
    <d v="2025-10-09T00:00:00"/>
    <s v="300220"/>
    <s v="ENVASES EUROPE"/>
    <n v="29956.52"/>
  </r>
  <r>
    <s v="Facture comptabilisée"/>
    <m/>
    <x v="0"/>
    <x v="5567"/>
    <s v="134/2025 ASNI"/>
    <d v="2025-10-09T00:00:00"/>
    <s v="300321"/>
    <s v="JIL LOGISTIQUE"/>
    <n v="31900"/>
  </r>
  <r>
    <s v="Facture comptabilisée"/>
    <m/>
    <x v="0"/>
    <x v="5568"/>
    <s v="136/2025 ASNI"/>
    <d v="2025-10-10T00:00:00"/>
    <s v="300043"/>
    <s v="DOUANE"/>
    <n v="1388"/>
  </r>
  <r>
    <s v="Facture comptabilisée"/>
    <m/>
    <x v="0"/>
    <x v="5569"/>
    <s v="42/2025 AS"/>
    <d v="2025-10-10T00:00:00"/>
    <s v="300101"/>
    <s v="ASMAE FORWARDING EXPRESS"/>
    <n v="3139.01"/>
  </r>
  <r>
    <s v="Facture comptabilisée"/>
    <m/>
    <x v="0"/>
    <x v="5570"/>
    <s v="135/2025 ASNI"/>
    <d v="2025-10-10T00:00:00"/>
    <s v="300321"/>
    <s v="JIL LOGISTIQUE"/>
    <n v="29700"/>
  </r>
  <r>
    <s v="Facture comptabilisée"/>
    <m/>
    <x v="0"/>
    <x v="5571"/>
    <s v="133/2025 ASNI"/>
    <d v="2025-10-10T00:00:00"/>
    <s v="300423"/>
    <s v="ASNITRANS"/>
    <n v="3142.22"/>
  </r>
  <r>
    <s v="Facture comptabilisée"/>
    <m/>
    <x v="0"/>
    <x v="5572"/>
    <s v="136/2025 ASNI"/>
    <d v="2025-10-11T00:00:00"/>
    <s v="300321"/>
    <s v="JIL LOGISTIQUE"/>
    <n v="31900"/>
  </r>
  <r>
    <s v="Facture comptabilisée"/>
    <m/>
    <x v="0"/>
    <x v="5573"/>
    <s v="137/2025 ASNI"/>
    <d v="2025-10-13T00:00:00"/>
    <s v="300043"/>
    <s v="DOUANE"/>
    <n v="4255"/>
  </r>
  <r>
    <s v="Facture comptabilisée"/>
    <m/>
    <x v="0"/>
    <x v="5574"/>
    <s v="43/2025 AS"/>
    <d v="2025-10-13T00:00:00"/>
    <s v="300043"/>
    <s v="DOUANE"/>
    <n v="577"/>
  </r>
  <r>
    <s v="Facture comptabilisée"/>
    <m/>
    <x v="0"/>
    <x v="5575"/>
    <s v="NEW PEPPERS"/>
    <d v="2025-10-13T00:00:00"/>
    <s v="300115"/>
    <s v="AUXILIAR CONSERVERA SA"/>
    <n v="110373.71400000001"/>
  </r>
  <r>
    <s v="Facture comptabilisée"/>
    <m/>
    <x v="0"/>
    <x v="5576"/>
    <s v="JP A"/>
    <d v="2025-10-13T00:00:00"/>
    <s v="300220"/>
    <s v="ENVASES EUROPE"/>
    <n v="1142064"/>
  </r>
  <r>
    <s v="Facture comptabilisée"/>
    <m/>
    <x v="0"/>
    <x v="5577"/>
    <s v="137/2025 ASNI"/>
    <d v="2025-10-14T00:00:00"/>
    <s v="300321"/>
    <s v="JIL LOGISTIQUE"/>
    <n v="57750"/>
  </r>
  <r>
    <s v="Facture comptabilisée"/>
    <m/>
    <x v="0"/>
    <x v="5578"/>
    <s v="134/2025 ASNI"/>
    <d v="2025-10-15T00:00:00"/>
    <s v="300423"/>
    <s v="ASNITRANS"/>
    <n v="3142.22"/>
  </r>
  <r>
    <s v="Facture comptabilisée"/>
    <m/>
    <x v="0"/>
    <x v="5579"/>
    <s v="135/2025 ASNI"/>
    <d v="2025-10-15T00:00:00"/>
    <s v="300423"/>
    <s v="ASNITRANS"/>
    <n v="3142.22"/>
  </r>
  <r>
    <s v="Facture comptabilisée"/>
    <m/>
    <x v="0"/>
    <x v="5580"/>
    <s v="136/2025 ASNI"/>
    <d v="2025-10-15T00:00:00"/>
    <s v="300423"/>
    <s v="ASNITRANS"/>
    <n v="3142.22"/>
  </r>
  <r>
    <s v="Facture comptabilisée"/>
    <m/>
    <x v="0"/>
    <x v="5581"/>
    <s v="COMPLIMENT"/>
    <d v="2025-10-16T00:00:00"/>
    <s v="300043"/>
    <s v="DOUANE"/>
    <n v="4328"/>
  </r>
  <r>
    <s v="Facture comptabilisée"/>
    <m/>
    <x v="0"/>
    <x v="5582"/>
    <s v="JP A"/>
    <d v="2025-10-16T00:00:00"/>
    <s v="300220"/>
    <s v="ENVASES EUROPE"/>
    <n v="1092643.2"/>
  </r>
  <r>
    <s v="Facture comptabilisée"/>
    <m/>
    <x v="0"/>
    <x v="5583"/>
    <s v="D65"/>
    <d v="2025-10-16T00:00:00"/>
    <s v="300381"/>
    <s v="ENVASES IBERICA"/>
    <n v="813.54349999999999"/>
  </r>
  <r>
    <s v="Facture comptabilisée"/>
    <m/>
    <x v="0"/>
    <x v="5584"/>
    <s v="48/2025 AS"/>
    <d v="2025-10-17T00:00:00"/>
    <s v="300043"/>
    <s v="DOUANE"/>
    <n v="576"/>
  </r>
  <r>
    <s v="Facture comptabilisée"/>
    <m/>
    <x v="0"/>
    <x v="5585"/>
    <s v="GLO FOOD*1*"/>
    <d v="2025-10-17T00:00:00"/>
    <s v="300237"/>
    <s v="Saribekir Ambalaj - SBK"/>
    <n v="129972.48"/>
  </r>
  <r>
    <s v="Facture comptabilisée"/>
    <m/>
    <x v="0"/>
    <x v="5586"/>
    <s v="VICTUS*JP*"/>
    <d v="2025-10-17T00:00:00"/>
    <s v="300237"/>
    <s v="Saribekir Ambalaj - SBK"/>
    <n v="125677.2"/>
  </r>
  <r>
    <s v="Facture comptabilisée"/>
    <m/>
    <x v="0"/>
    <x v="5587"/>
    <s v="47/2025 AS"/>
    <d v="2025-10-20T00:00:00"/>
    <s v="300043"/>
    <s v="DOUANE"/>
    <n v="577"/>
  </r>
  <r>
    <s v="Facture comptabilisée"/>
    <m/>
    <x v="0"/>
    <x v="5588"/>
    <s v="LOGI FOOD"/>
    <d v="2025-10-20T00:00:00"/>
    <s v="300381"/>
    <s v="ENVASES IBERICA"/>
    <n v="352650.47399999999"/>
  </r>
  <r>
    <s v="Facture comptabilisée"/>
    <m/>
    <x v="0"/>
    <x v="5589"/>
    <s v="COMPLIMENT"/>
    <d v="2025-10-21T00:00:00"/>
    <s v="300043"/>
    <s v="DOUANE"/>
    <n v="3751"/>
  </r>
  <r>
    <s v="Facture comptabilisée"/>
    <m/>
    <x v="0"/>
    <x v="5590"/>
    <s v="31/2025 J"/>
    <d v="2025-10-21T00:00:00"/>
    <s v="300043"/>
    <s v="DOUANE"/>
    <n v="47766"/>
  </r>
  <r>
    <s v="Facture comptabilisée"/>
    <m/>
    <x v="0"/>
    <x v="5591"/>
    <s v="CONSIGN"/>
    <d v="2025-10-21T00:00:00"/>
    <s v="300064"/>
    <s v="SONOCO Métal Packaging Maroc"/>
    <n v="23250"/>
  </r>
  <r>
    <s v="Facture comptabilisée"/>
    <m/>
    <x v="0"/>
    <x v="5592"/>
    <s v="43/2025 AS"/>
    <d v="2025-10-21T00:00:00"/>
    <s v="300101"/>
    <s v="ASMAE FORWARDING EXPRESS"/>
    <n v="3139.01"/>
  </r>
  <r>
    <s v="Facture comptabilisée"/>
    <m/>
    <x v="0"/>
    <x v="5593"/>
    <s v="44/2025 AS"/>
    <d v="2025-10-21T00:00:00"/>
    <s v="300101"/>
    <s v="ASMAE FORWARDING EXPRESS"/>
    <n v="3139.01"/>
  </r>
  <r>
    <s v="Facture comptabilisée"/>
    <m/>
    <x v="0"/>
    <x v="5594"/>
    <s v="45/2025 AS"/>
    <d v="2025-10-21T00:00:00"/>
    <s v="300101"/>
    <s v="ASMAE FORWARDING EXPRESS"/>
    <n v="2974.22"/>
  </r>
  <r>
    <s v="Facture comptabilisée"/>
    <m/>
    <x v="0"/>
    <x v="5595"/>
    <s v="137/2025 ASNI"/>
    <d v="2025-10-21T00:00:00"/>
    <s v="300423"/>
    <s v="ASNITRANS"/>
    <n v="3142.22"/>
  </r>
  <r>
    <s v="Facture comptabilisée"/>
    <m/>
    <x v="0"/>
    <x v="5596"/>
    <s v="138/2025 ASNI"/>
    <d v="2025-10-22T00:00:00"/>
    <s v="300043"/>
    <s v="DOUANE"/>
    <n v="1377"/>
  </r>
  <r>
    <s v="Facture comptabilisée"/>
    <m/>
    <x v="0"/>
    <x v="5597"/>
    <s v="VMM"/>
    <d v="2025-10-22T00:00:00"/>
    <s v="300381"/>
    <s v="ENVASES IBERICA"/>
    <n v="341420.11200000002"/>
  </r>
  <r>
    <s v="Facture comptabilisée"/>
    <m/>
    <x v="0"/>
    <x v="5598"/>
    <s v="138/2025 ASNI"/>
    <d v="2025-10-23T00:00:00"/>
    <s v="300321"/>
    <s v="JIL LOGISTIQUE"/>
    <n v="25300"/>
  </r>
  <r>
    <s v="Facture comptabilisée"/>
    <m/>
    <x v="0"/>
    <x v="5599"/>
    <s v="TUNAMAX"/>
    <d v="2025-10-23T00:00:00"/>
    <s v="300381"/>
    <s v="ENVASES IBERICA"/>
    <n v="324160.69400000002"/>
  </r>
  <r>
    <s v="Facture comptabilisée"/>
    <m/>
    <x v="0"/>
    <x v="5600"/>
    <s v="VMM"/>
    <d v="2025-10-23T00:00:00"/>
    <s v="300381"/>
    <s v="ENVASES IBERICA"/>
    <n v="341420.11200000002"/>
  </r>
  <r>
    <s v="Facture comptabilisée"/>
    <m/>
    <x v="0"/>
    <x v="5601"/>
    <s v="140/2025 ASNI"/>
    <d v="2025-10-24T00:00:00"/>
    <s v="300043"/>
    <s v="DOUANE"/>
    <n v="1360"/>
  </r>
  <r>
    <s v="Facture comptabilisée"/>
    <m/>
    <x v="0"/>
    <x v="5602"/>
    <s v="COMPL 23/2025 J"/>
    <d v="2025-10-24T00:00:00"/>
    <s v="300191"/>
    <s v="JTTL"/>
    <n v="523.75"/>
  </r>
  <r>
    <s v="Facture comptabilisée"/>
    <m/>
    <x v="0"/>
    <x v="5603"/>
    <s v="GLO FOOD"/>
    <d v="2025-10-24T00:00:00"/>
    <s v="300237"/>
    <s v="Saribekir Ambalaj - SBK"/>
    <n v="82069.02"/>
  </r>
  <r>
    <s v="Facture comptabilisée"/>
    <m/>
    <x v="0"/>
    <x v="5604"/>
    <s v="30/2025 J"/>
    <d v="2025-10-25T00:00:00"/>
    <s v="300043"/>
    <s v="DOUANE"/>
    <n v="611"/>
  </r>
  <r>
    <s v="Facture comptabilisée"/>
    <m/>
    <x v="0"/>
    <x v="5605"/>
    <s v="140/2025 ASNI"/>
    <d v="2025-10-25T00:00:00"/>
    <s v="300321"/>
    <s v="JIL LOGISTIQUE"/>
    <n v="30800"/>
  </r>
  <r>
    <s v="Facture comptabilisée"/>
    <m/>
    <x v="0"/>
    <x v="5606"/>
    <s v="142/2025 ASNI"/>
    <d v="2025-10-27T00:00:00"/>
    <s v="300043"/>
    <s v="DOUANE"/>
    <n v="1300"/>
  </r>
  <r>
    <s v="Facture comptabilisée"/>
    <m/>
    <x v="0"/>
    <x v="5607"/>
    <s v="139/2025 ASNI"/>
    <d v="2025-10-27T00:00:00"/>
    <s v="300043"/>
    <s v="DOUANE"/>
    <n v="1361"/>
  </r>
  <r>
    <s v="Facture comptabilisée"/>
    <m/>
    <x v="0"/>
    <x v="5608"/>
    <s v="COMMANDE 21"/>
    <d v="2025-10-27T00:00:00"/>
    <s v="300344"/>
    <s v="PADEL NUESTRO"/>
    <n v="243217.08"/>
  </r>
  <r>
    <s v="Facture comptabilisée"/>
    <m/>
    <x v="0"/>
    <x v="5609"/>
    <s v="LOGI FOOD"/>
    <d v="2025-10-27T00:00:00"/>
    <s v="300381"/>
    <s v="ENVASES IBERICA"/>
    <n v="346490.1"/>
  </r>
  <r>
    <s v="Facture comptabilisée"/>
    <m/>
    <x v="0"/>
    <x v="5610"/>
    <s v="138/2025 ASNI"/>
    <d v="2025-10-27T00:00:00"/>
    <s v="300423"/>
    <s v="ASNITRANS"/>
    <n v="3144.75"/>
  </r>
  <r>
    <s v="Facture comptabilisée"/>
    <m/>
    <x v="0"/>
    <x v="5611"/>
    <s v="JP A"/>
    <d v="2025-10-28T00:00:00"/>
    <s v="300220"/>
    <s v="ENVASES EUROPE"/>
    <n v="1114654.4639999999"/>
  </r>
  <r>
    <s v="Facture comptabilisée"/>
    <m/>
    <x v="0"/>
    <x v="5612"/>
    <s v="139/2025 ASNI"/>
    <d v="2025-10-28T00:00:00"/>
    <s v="300321"/>
    <s v="JIL LOGISTIQUE"/>
    <n v="30800"/>
  </r>
  <r>
    <s v="Facture comptabilisée"/>
    <m/>
    <x v="0"/>
    <x v="5613"/>
    <s v="142/2025 ASNI"/>
    <d v="2025-10-28T00:00:00"/>
    <s v="300321"/>
    <s v="JIL LOGISTIQUE"/>
    <n v="29150"/>
  </r>
  <r>
    <s v="Facture comptabilisée"/>
    <m/>
    <x v="0"/>
    <x v="5614"/>
    <s v="141/2025 ASNI"/>
    <d v="2025-10-29T00:00:00"/>
    <s v="300043"/>
    <s v="DOUANE"/>
    <n v="1358"/>
  </r>
  <r>
    <s v="Facture comptabilisée"/>
    <m/>
    <x v="0"/>
    <x v="5615"/>
    <s v="30/2025 J"/>
    <d v="2025-10-29T00:00:00"/>
    <s v="300191"/>
    <s v="JTTL"/>
    <n v="8410.7199999999993"/>
  </r>
  <r>
    <s v="Facture comptabilisée"/>
    <m/>
    <x v="0"/>
    <x v="5616"/>
    <s v="JP A"/>
    <d v="2025-10-30T00:00:00"/>
    <s v="300115"/>
    <s v="AUXILIAR CONSERVERA SA"/>
    <n v="335757.31199999998"/>
  </r>
  <r>
    <s v="Facture comptabilisée"/>
    <m/>
    <x v="0"/>
    <x v="5617"/>
    <s v="141/2025 ASNI"/>
    <d v="2025-10-30T00:00:00"/>
    <s v="300321"/>
    <s v="JIL LOGISTIQUE"/>
    <n v="25300"/>
  </r>
  <r>
    <s v="Facture comptabilisée"/>
    <m/>
    <x v="0"/>
    <x v="5618"/>
    <s v="JP A"/>
    <d v="2025-10-31T00:00:00"/>
    <s v="300115"/>
    <s v="AUXILIAR CONSERVERA SA"/>
    <n v="335757.31199999998"/>
  </r>
  <r>
    <s v="Facture comptabilisée"/>
    <m/>
    <x v="0"/>
    <x v="5619"/>
    <s v="31/2025 J"/>
    <d v="2025-10-31T00:00:00"/>
    <s v="300191"/>
    <s v="JTTL"/>
    <n v="27807.09"/>
  </r>
  <r>
    <s v="Facture comptabilisée"/>
    <m/>
    <x v="0"/>
    <x v="5620"/>
    <s v="139/2025 ASNI"/>
    <d v="2025-10-31T00:00:00"/>
    <s v="300423"/>
    <s v="ASNITRANS"/>
    <n v="3309.73"/>
  </r>
  <r>
    <s v="Facture comptabilisée"/>
    <m/>
    <x v="0"/>
    <x v="5621"/>
    <s v="140/2025 ASNI"/>
    <d v="2025-10-31T00:00:00"/>
    <s v="300423"/>
    <s v="ASNITRANS"/>
    <n v="3144.75"/>
  </r>
  <r>
    <s v="Facture comptabilisée"/>
    <m/>
    <x v="0"/>
    <x v="5622"/>
    <s v="141/2025 ASNI"/>
    <d v="2025-10-31T00:00:00"/>
    <s v="300423"/>
    <s v="ASNITRANS"/>
    <n v="3201.75"/>
  </r>
  <r>
    <s v="Facture comptabilisée"/>
    <m/>
    <x v="0"/>
    <x v="5623"/>
    <s v="142/2025 ASNI"/>
    <d v="2025-10-31T00:00:00"/>
    <s v="300423"/>
    <s v="ASNITRANS"/>
    <n v="3309.73"/>
  </r>
  <r>
    <s v="Facture comptabilisée"/>
    <m/>
    <x v="0"/>
    <x v="5624"/>
    <s v="46/2025 AS"/>
    <d v="2025-11-03T00:00:00"/>
    <s v="300043"/>
    <s v="DOUANE"/>
    <n v="1294"/>
  </r>
  <r>
    <s v="Facture comptabilisée"/>
    <m/>
    <x v="0"/>
    <x v="5625"/>
    <s v="ORGA FOOD"/>
    <d v="2025-11-03T00:00:00"/>
    <s v="300115"/>
    <s v="AUXILIAR CONSERVERA SA"/>
    <n v="213506.7"/>
  </r>
  <r>
    <s v="Facture comptabilisée"/>
    <m/>
    <x v="0"/>
    <x v="5626"/>
    <s v="COMPLIMENT"/>
    <d v="2025-11-04T00:00:00"/>
    <s v="300043"/>
    <s v="DOUANE"/>
    <n v="2572"/>
  </r>
  <r>
    <s v="Facture comptabilisée"/>
    <m/>
    <x v="0"/>
    <x v="5627"/>
    <s v="22LFBCB"/>
    <d v="2025-11-04T00:00:00"/>
    <s v="300356"/>
    <s v="MASSILY PORTUGAL"/>
    <n v="226769.97200000001"/>
  </r>
  <r>
    <s v="Facture comptabilisée"/>
    <m/>
    <x v="0"/>
    <x v="5628"/>
    <s v="143/2025 ASNI"/>
    <d v="2025-11-05T00:00:00"/>
    <s v="300043"/>
    <s v="DOUANE"/>
    <n v="3956"/>
  </r>
  <r>
    <s v="Facture comptabilisée"/>
    <m/>
    <x v="0"/>
    <x v="5629"/>
    <s v="JILPACK"/>
    <d v="2025-11-05T00:00:00"/>
    <s v="300556"/>
    <s v="SAHGUN AMBALAJ KIMYA VE GIDA SAN"/>
    <n v="166980"/>
  </r>
  <r>
    <s v="Facture comptabilisée"/>
    <m/>
    <x v="0"/>
    <x v="5630"/>
    <s v="JP A +ECHANTILLON"/>
    <d v="2025-11-06T00:00:00"/>
    <s v="300115"/>
    <s v="AUXILIAR CONSERVERA SA"/>
    <n v="335757.31199999998"/>
  </r>
  <r>
    <s v="Facture comptabilisée"/>
    <m/>
    <x v="0"/>
    <x v="5631"/>
    <s v="JP A+ECHANTILLON"/>
    <d v="2025-11-06T00:00:00"/>
    <s v="300115"/>
    <s v="AUXILIAR CONSERVERA SA"/>
    <n v="335757.31199999998"/>
  </r>
  <r>
    <s v="Facture comptabilisée"/>
    <m/>
    <x v="0"/>
    <x v="5632"/>
    <s v="JP A"/>
    <d v="2025-11-06T00:00:00"/>
    <s v="300220"/>
    <s v="ENVASES EUROPE"/>
    <n v="1217916.216"/>
  </r>
  <r>
    <s v="Facture comptabilisée"/>
    <m/>
    <x v="0"/>
    <x v="5633"/>
    <s v="143/2025 ASNI"/>
    <d v="2025-11-06T00:00:00"/>
    <s v="300321"/>
    <s v="JIL LOGISTIQUE"/>
    <n v="57750"/>
  </r>
  <r>
    <s v="Facture comptabilisée"/>
    <m/>
    <x v="0"/>
    <x v="5634"/>
    <s v="5/1 NEUTRE"/>
    <d v="2025-11-07T00:00:00"/>
    <s v="300064"/>
    <s v="SONOCO Métal Packaging Maroc"/>
    <n v="126980"/>
  </r>
  <r>
    <s v="Facture comptabilisée"/>
    <m/>
    <x v="0"/>
    <x v="5635"/>
    <s v="3800 AP"/>
    <d v="2025-11-07T00:00:00"/>
    <s v="300133"/>
    <s v="OP BOX "/>
    <n v="25502.400000000001"/>
  </r>
  <r>
    <s v="Facture comptabilisée"/>
    <m/>
    <x v="0"/>
    <x v="5636"/>
    <s v="870 ML"/>
    <d v="2025-11-07T00:00:00"/>
    <s v="300133"/>
    <s v="OP BOX "/>
    <n v="11664"/>
  </r>
  <r>
    <s v="Facture comptabilisée"/>
    <m/>
    <x v="0"/>
    <x v="5637"/>
    <s v="50/2025 AS"/>
    <d v="2025-11-08T00:00:00"/>
    <s v="300043"/>
    <s v="DOUANE"/>
    <n v="714"/>
  </r>
  <r>
    <s v="Facture comptabilisée"/>
    <m/>
    <x v="0"/>
    <x v="5638"/>
    <s v="49/2025 AS"/>
    <d v="2025-11-10T00:00:00"/>
    <s v="300043"/>
    <s v="DOUANE"/>
    <n v="1293"/>
  </r>
  <r>
    <s v="Facture comptabilisée"/>
    <m/>
    <x v="0"/>
    <x v="5639"/>
    <s v="52/2025 AS"/>
    <d v="2025-11-10T00:00:00"/>
    <s v="300043"/>
    <s v="DOUANE"/>
    <n v="1293"/>
  </r>
  <r>
    <s v="Facture comptabilisée"/>
    <m/>
    <x v="0"/>
    <x v="5640"/>
    <s v="COMPLIMENT"/>
    <d v="2025-11-11T00:00:00"/>
    <s v="300043"/>
    <s v="DOUANE"/>
    <n v="2346"/>
  </r>
  <r>
    <s v="Facture comptabilisée"/>
    <m/>
    <x v="0"/>
    <x v="5641"/>
    <s v="32/2025 J"/>
    <d v="2025-11-11T00:00:00"/>
    <s v="300043"/>
    <s v="DOUANE"/>
    <n v="1080"/>
  </r>
  <r>
    <s v="Facture comptabilisée"/>
    <m/>
    <x v="0"/>
    <x v="5642"/>
    <s v="46/2025 AS"/>
    <d v="2025-11-11T00:00:00"/>
    <s v="300101"/>
    <s v="ASMAE FORWARDING EXPRESS"/>
    <n v="2976.75"/>
  </r>
  <r>
    <s v="Facture comptabilisée"/>
    <m/>
    <x v="0"/>
    <x v="5643"/>
    <s v="47/2025 AS"/>
    <d v="2025-11-11T00:00:00"/>
    <s v="300101"/>
    <s v="ASMAE FORWARDING EXPRESS"/>
    <n v="4131.62"/>
  </r>
  <r>
    <s v="Facture comptabilisée"/>
    <m/>
    <x v="0"/>
    <x v="5644"/>
    <s v="JP"/>
    <d v="2025-11-11T00:00:00"/>
    <s v="300356"/>
    <s v="MASSILY PORTUGAL"/>
    <n v="226769.97200000001"/>
  </r>
  <r>
    <s v="Facture comptabilisée"/>
    <m/>
    <x v="0"/>
    <x v="5645"/>
    <s v="JP"/>
    <d v="2025-11-11T00:00:00"/>
    <s v="300375"/>
    <s v="BASTURK CAM SANAYI VE TICARET"/>
    <n v="127908.9427"/>
  </r>
  <r>
    <s v="Facture comptabilisée"/>
    <m/>
    <x v="0"/>
    <x v="5646"/>
    <s v="JP"/>
    <d v="2025-11-11T00:00:00"/>
    <s v="300375"/>
    <s v="BASTURK CAM SANAYI VE TICARET"/>
    <n v="102699.4397"/>
  </r>
  <r>
    <s v="Facture comptabilisée"/>
    <m/>
    <x v="0"/>
    <x v="5647"/>
    <s v="143/2025 ASNI"/>
    <d v="2025-11-11T00:00:00"/>
    <s v="300423"/>
    <s v="ASNITRANS"/>
    <n v="3639.69"/>
  </r>
  <r>
    <s v="Facture comptabilisée"/>
    <m/>
    <x v="0"/>
    <x v="5648"/>
    <s v="33/2025 J"/>
    <d v="2025-11-12T00:00:00"/>
    <s v="300043"/>
    <s v="DOUANE"/>
    <n v="6834"/>
  </r>
  <r>
    <s v="Facture comptabilisée"/>
    <m/>
    <x v="0"/>
    <x v="5649"/>
    <s v="48/2025 AS"/>
    <d v="2025-11-12T00:00:00"/>
    <s v="300101"/>
    <s v="ASMAE FORWARDING EXPRESS"/>
    <n v="5558.92"/>
  </r>
  <r>
    <s v="Facture comptabilisée"/>
    <m/>
    <x v="0"/>
    <x v="5650"/>
    <s v="LOGI FOOD"/>
    <d v="2025-11-12T00:00:00"/>
    <s v="300381"/>
    <s v="ENVASES IBERICA"/>
    <n v="371275.34399999998"/>
  </r>
  <r>
    <s v="Facture comptabilisée"/>
    <m/>
    <x v="0"/>
    <x v="5651"/>
    <s v="144/2025 ASNI"/>
    <d v="2025-11-13T00:00:00"/>
    <s v="300043"/>
    <s v="DOUANE"/>
    <n v="4307"/>
  </r>
  <r>
    <s v="Facture comptabilisée"/>
    <m/>
    <x v="0"/>
    <x v="5652"/>
    <s v="51/2025 AS"/>
    <d v="2025-11-13T00:00:00"/>
    <s v="300043"/>
    <s v="DOUANE"/>
    <n v="1590"/>
  </r>
  <r>
    <s v="Facture comptabilisée"/>
    <m/>
    <x v="0"/>
    <x v="5653"/>
    <s v="COMPLI 46/2025 AS"/>
    <d v="2025-11-13T00:00:00"/>
    <s v="300101"/>
    <s v="ASMAE FORWARDING EXPRESS"/>
    <n v="164.98"/>
  </r>
  <r>
    <s v="Facture comptabilisée"/>
    <m/>
    <x v="0"/>
    <x v="5654"/>
    <s v="32/2025 J"/>
    <d v="2025-11-13T00:00:00"/>
    <s v="300191"/>
    <s v="JTTL"/>
    <n v="15122.82"/>
  </r>
  <r>
    <s v="Facture comptabilisée"/>
    <m/>
    <x v="0"/>
    <x v="5655"/>
    <s v="33/2025 J"/>
    <d v="2025-11-13T00:00:00"/>
    <s v="300191"/>
    <s v="JTTL"/>
    <n v="5448.68"/>
  </r>
  <r>
    <s v="Facture comptabilisée"/>
    <m/>
    <x v="0"/>
    <x v="5656"/>
    <s v="ANDALUS"/>
    <d v="2025-11-13T00:00:00"/>
    <s v="300237"/>
    <s v="Saribekir Ambalaj - SBK"/>
    <n v="361202.6"/>
  </r>
  <r>
    <s v="Facture comptabilisée"/>
    <m/>
    <x v="0"/>
    <x v="5657"/>
    <s v="JP CASA"/>
    <d v="2025-11-13T00:00:00"/>
    <s v="300237"/>
    <s v="Saribekir Ambalaj - SBK"/>
    <n v="126033.60000000001"/>
  </r>
  <r>
    <s v="Facture comptabilisée"/>
    <m/>
    <x v="0"/>
    <x v="5658"/>
    <s v="145/2025 ASNI"/>
    <d v="2025-11-14T00:00:00"/>
    <s v="300043"/>
    <s v="DOUANE"/>
    <n v="1461"/>
  </r>
  <r>
    <s v="Facture comptabilisée"/>
    <m/>
    <x v="0"/>
    <x v="5659"/>
    <s v="49/2025 AS"/>
    <d v="2025-11-14T00:00:00"/>
    <s v="300101"/>
    <s v="ASMAE FORWARDING EXPRESS"/>
    <n v="3471.69"/>
  </r>
  <r>
    <s v="Facture comptabilisée"/>
    <m/>
    <x v="0"/>
    <x v="5660"/>
    <s v="50/2025 AS"/>
    <d v="2025-11-14T00:00:00"/>
    <s v="300101"/>
    <s v="ASMAE FORWARDING EXPRESS"/>
    <n v="3802.41"/>
  </r>
  <r>
    <s v="Facture comptabilisée"/>
    <m/>
    <x v="0"/>
    <x v="5661"/>
    <s v="145/2025 ASNI"/>
    <d v="2025-11-15T00:00:00"/>
    <s v="300321"/>
    <s v="JIL LOGISTIQUE"/>
    <n v="30800"/>
  </r>
  <r>
    <s v="Facture comptabilisée"/>
    <m/>
    <x v="0"/>
    <x v="5662"/>
    <s v="144/2025 ASNI"/>
    <d v="2025-11-15T00:00:00"/>
    <s v="300321"/>
    <s v="JIL LOGISTIQUE"/>
    <n v="56548.800000000003"/>
  </r>
  <r>
    <s v="Facture comptabilisée"/>
    <m/>
    <x v="0"/>
    <x v="5663"/>
    <s v="53/2025 AS"/>
    <d v="2025-11-17T00:00:00"/>
    <s v="300043"/>
    <s v="DOUANE"/>
    <n v="861"/>
  </r>
  <r>
    <s v="Facture comptabilisée"/>
    <m/>
    <x v="0"/>
    <x v="5664"/>
    <s v="LOGI FOOD"/>
    <d v="2025-11-17T00:00:00"/>
    <s v="300381"/>
    <s v="ENVASES IBERICA"/>
    <n v="371403.90100000001"/>
  </r>
  <r>
    <s v="Facture comptabilisée"/>
    <m/>
    <x v="0"/>
    <x v="5665"/>
    <s v="COMPLIMENT"/>
    <d v="2025-11-19T00:00:00"/>
    <s v="300043"/>
    <s v="DOUANE"/>
    <n v="3271"/>
  </r>
  <r>
    <s v="Facture comptabilisée"/>
    <m/>
    <x v="0"/>
    <x v="5666"/>
    <s v="54/2025 AS"/>
    <d v="2025-11-19T00:00:00"/>
    <s v="300043"/>
    <s v="DOUANE"/>
    <n v="903"/>
  </r>
  <r>
    <s v="Facture comptabilisée"/>
    <m/>
    <x v="0"/>
    <x v="5667"/>
    <s v="147/2025 ASNI"/>
    <d v="2025-11-20T00:00:00"/>
    <s v="300043"/>
    <s v="DOUANE"/>
    <n v="1452"/>
  </r>
  <r>
    <s v="Facture comptabilisée"/>
    <m/>
    <x v="0"/>
    <x v="5668"/>
    <s v="PLASTIQUE"/>
    <d v="2025-11-20T00:00:00"/>
    <s v="300133"/>
    <s v="OP BOX "/>
    <n v="45648"/>
  </r>
  <r>
    <s v="Facture comptabilisée"/>
    <m/>
    <x v="0"/>
    <x v="5669"/>
    <s v="PLASTIQUE"/>
    <d v="2025-11-20T00:00:00"/>
    <s v="300133"/>
    <s v="OP BOX "/>
    <n v="40708.800000000003"/>
  </r>
  <r>
    <s v="Facture comptabilisée"/>
    <m/>
    <x v="0"/>
    <x v="5670"/>
    <s v="1/4 CLUB ALU 29"/>
    <d v="2025-11-20T00:00:00"/>
    <s v="300220"/>
    <s v="ENVASES EUROPE"/>
    <n v="979181.28"/>
  </r>
  <r>
    <s v="Facture comptabilisée"/>
    <m/>
    <x v="0"/>
    <x v="5671"/>
    <s v="144/2025 ASNI"/>
    <d v="2025-11-20T00:00:00"/>
    <s v="300423"/>
    <s v="ASNITRANS"/>
    <n v="3146.72"/>
  </r>
  <r>
    <s v="Facture comptabilisée"/>
    <m/>
    <x v="0"/>
    <x v="5672"/>
    <s v="145/2025 ASNI"/>
    <d v="2025-11-20T00:00:00"/>
    <s v="300423"/>
    <s v="ASNITRANS"/>
    <n v="3148.87"/>
  </r>
  <r>
    <s v="Facture comptabilisée"/>
    <m/>
    <x v="0"/>
    <x v="5673"/>
    <d v="2026-01-05T00:00:00"/>
    <d v="2025-11-21T00:00:00"/>
    <s v="300064"/>
    <s v="SONOCO Métal Packaging Maroc"/>
    <n v="65406"/>
  </r>
  <r>
    <s v="Facture comptabilisée"/>
    <m/>
    <x v="0"/>
    <x v="5674"/>
    <s v="51/2025 AS"/>
    <d v="2025-11-21T00:00:00"/>
    <s v="300101"/>
    <s v="ASMAE FORWARDING EXPRESS"/>
    <n v="3805.21"/>
  </r>
  <r>
    <s v="Facture comptabilisée"/>
    <m/>
    <x v="0"/>
    <x v="5675"/>
    <s v="52/2025 AS"/>
    <d v="2025-11-21T00:00:00"/>
    <s v="300101"/>
    <s v="ASMAE FORWARDING EXPRESS"/>
    <n v="4134.6499999999996"/>
  </r>
  <r>
    <s v="Facture comptabilisée"/>
    <m/>
    <x v="0"/>
    <x v="5676"/>
    <s v="147/2025 ASNI"/>
    <d v="2025-11-21T00:00:00"/>
    <s v="300321"/>
    <s v="JIL LOGISTIQUE"/>
    <n v="29850.05"/>
  </r>
  <r>
    <s v="Facture comptabilisée"/>
    <m/>
    <x v="0"/>
    <x v="5677"/>
    <s v="34/2025 J"/>
    <d v="2025-11-22T00:00:00"/>
    <s v="300043"/>
    <s v="DOUANE"/>
    <n v="398"/>
  </r>
  <r>
    <s v="Facture comptabilisée"/>
    <m/>
    <x v="0"/>
    <x v="5678"/>
    <s v="146/2025 ASNI"/>
    <d v="2025-11-24T00:00:00"/>
    <s v="300043"/>
    <s v="DOUANE"/>
    <n v="3707"/>
  </r>
  <r>
    <s v="Facture comptabilisée"/>
    <m/>
    <x v="0"/>
    <x v="5679"/>
    <s v="COMPLIMENT"/>
    <d v="2025-11-24T00:00:00"/>
    <s v="300043"/>
    <s v="DOUANE"/>
    <n v="3078"/>
  </r>
  <r>
    <s v="Facture comptabilisée"/>
    <m/>
    <x v="0"/>
    <x v="5680"/>
    <s v="3.8 TRAN CVC JA"/>
    <d v="2025-11-24T00:00:00"/>
    <s v="300133"/>
    <s v="OP BOX "/>
    <n v="53222.400000000001"/>
  </r>
  <r>
    <s v="Facture comptabilisée"/>
    <m/>
    <x v="0"/>
    <x v="5681"/>
    <s v="COMPL 32/2025 J"/>
    <d v="2025-11-24T00:00:00"/>
    <s v="300191"/>
    <s v="JTTL"/>
    <n v="328.21"/>
  </r>
  <r>
    <s v="Facture comptabilisée"/>
    <m/>
    <x v="0"/>
    <x v="5682"/>
    <s v="150/2025 ASNI"/>
    <d v="2025-11-25T00:00:00"/>
    <s v="300043"/>
    <s v="DOUANE"/>
    <n v="3494"/>
  </r>
  <r>
    <s v="Facture comptabilisée"/>
    <m/>
    <x v="0"/>
    <x v="5683"/>
    <s v="34/2025 J CMPLI"/>
    <d v="2025-11-25T00:00:00"/>
    <s v="300043"/>
    <s v="DOUANE"/>
    <n v="122"/>
  </r>
  <r>
    <s v="Facture comptabilisée"/>
    <m/>
    <x v="0"/>
    <x v="5684"/>
    <s v="LOGI FOOD"/>
    <d v="2025-11-25T00:00:00"/>
    <s v="300381"/>
    <s v="ENVASES IBERICA"/>
    <n v="344900.13799999998"/>
  </r>
  <r>
    <s v="Facture comptabilisée"/>
    <m/>
    <x v="0"/>
    <x v="5685"/>
    <s v="146/2025 ASNI"/>
    <d v="2025-11-25T00:00:00"/>
    <s v="300423"/>
    <s v="ASNITRANS"/>
    <n v="8776.39"/>
  </r>
  <r>
    <s v="Facture comptabilisée"/>
    <m/>
    <x v="0"/>
    <x v="5686"/>
    <s v="148/2025 ASNI"/>
    <d v="2025-11-26T00:00:00"/>
    <s v="300043"/>
    <s v="DOUANE"/>
    <n v="3870"/>
  </r>
  <r>
    <s v="Facture comptabilisée"/>
    <m/>
    <x v="0"/>
    <x v="5687"/>
    <s v="U.D"/>
    <d v="2025-11-26T00:00:00"/>
    <s v="300064"/>
    <s v="SONOCO Métal Packaging Maroc"/>
    <n v="54540"/>
  </r>
  <r>
    <s v="Facture comptabilisée"/>
    <m/>
    <x v="0"/>
    <x v="5688"/>
    <s v="5500 AM"/>
    <d v="2025-11-26T00:00:00"/>
    <s v="300133"/>
    <s v="OP BOX "/>
    <n v="11592"/>
  </r>
  <r>
    <s v="Facture comptabilisée"/>
    <m/>
    <x v="0"/>
    <x v="5689"/>
    <s v="34/2025 J"/>
    <d v="2025-11-26T00:00:00"/>
    <s v="300191"/>
    <s v="JTTL"/>
    <n v="8451.25"/>
  </r>
  <r>
    <s v="Facture comptabilisée"/>
    <m/>
    <x v="0"/>
    <x v="5690"/>
    <s v="147/2025 ASNI"/>
    <d v="2025-11-26T00:00:00"/>
    <s v="300423"/>
    <s v="ASNITRANS"/>
    <n v="3148.87"/>
  </r>
  <r>
    <s v="Facture comptabilisée"/>
    <m/>
    <x v="0"/>
    <x v="5691"/>
    <s v="149/2025 ASNI"/>
    <d v="2025-11-27T00:00:00"/>
    <s v="300043"/>
    <s v="DOUANE"/>
    <n v="1365"/>
  </r>
  <r>
    <s v="Facture comptabilisée"/>
    <m/>
    <x v="0"/>
    <x v="5692"/>
    <s v="149/2025 ASNI"/>
    <d v="2025-11-28T00:00:00"/>
    <s v="300321"/>
    <s v="JIL LOGISTIQUE"/>
    <n v="29209.119999999999"/>
  </r>
  <r>
    <s v="Facture comptabilisée"/>
    <m/>
    <x v="0"/>
    <x v="5693"/>
    <s v="150/2025 ASNI"/>
    <d v="2025-11-28T00:00:00"/>
    <s v="300321"/>
    <s v="JIL LOGISTIQUE"/>
    <n v="51739.6"/>
  </r>
  <r>
    <s v="Facture comptabilisée"/>
    <m/>
    <x v="0"/>
    <x v="5694"/>
    <s v="148/2025 ASNI"/>
    <d v="2025-11-28T00:00:00"/>
    <s v="300423"/>
    <s v="ASNITRANS"/>
    <n v="8991.08"/>
  </r>
  <r>
    <s v="Facture comptabilisée"/>
    <m/>
    <x v="0"/>
    <x v="5695"/>
    <s v="149/2025 ASNI"/>
    <d v="2025-11-29T00:00:00"/>
    <s v="300423"/>
    <s v="ASNITRANS"/>
    <n v="3148.87"/>
  </r>
  <r>
    <s v="Facture comptabilisée"/>
    <m/>
    <x v="0"/>
    <x v="5696"/>
    <s v="150/2025 ASNI"/>
    <d v="2025-11-29T00:00:00"/>
    <s v="300423"/>
    <s v="ASNITRANS"/>
    <n v="3148.87"/>
  </r>
  <r>
    <s v="Facture comptabilisée"/>
    <m/>
    <x v="0"/>
    <x v="5697"/>
    <s v="53/2025 AS"/>
    <d v="2025-12-01T00:00:00"/>
    <s v="300101"/>
    <s v="ASMAE FORWARDING EXPRESS"/>
    <n v="7333.71"/>
  </r>
  <r>
    <s v="Facture comptabilisée"/>
    <m/>
    <x v="0"/>
    <x v="5698"/>
    <s v="COMPLIMENT"/>
    <d v="2025-12-02T00:00:00"/>
    <s v="300043"/>
    <s v="DOUANE"/>
    <n v="2652"/>
  </r>
  <r>
    <s v="Facture comptabilisée"/>
    <m/>
    <x v="0"/>
    <x v="5699"/>
    <s v="U D"/>
    <d v="2025-12-02T00:00:00"/>
    <s v="300064"/>
    <s v="SONOCO Métal Packaging Maroc"/>
    <n v="72650"/>
  </r>
  <r>
    <s v="Facture comptabilisée"/>
    <m/>
    <x v="0"/>
    <x v="5700"/>
    <s v="SILVER FOOD"/>
    <d v="2025-12-02T00:00:00"/>
    <s v="300381"/>
    <s v="ENVASES IBERICA"/>
    <n v="333907.20000000001"/>
  </r>
  <r>
    <s v="Facture comptabilisée"/>
    <m/>
    <x v="0"/>
    <x v="5701"/>
    <s v="TUNAMAX"/>
    <d v="2025-12-02T00:00:00"/>
    <s v="300381"/>
    <s v="ENVASES IBERICA"/>
    <n v="333907.20000000001"/>
  </r>
  <r>
    <s v="Facture comptabilisée"/>
    <m/>
    <x v="0"/>
    <x v="5702"/>
    <s v="CHRONO FISH"/>
    <d v="2025-12-03T00:00:00"/>
    <s v="300064"/>
    <s v="SONOCO Métal Packaging Maroc"/>
    <n v="175840"/>
  </r>
  <r>
    <s v="Facture comptabilisée"/>
    <m/>
    <x v="0"/>
    <x v="5703"/>
    <s v="151/2025 ASNI"/>
    <d v="2025-12-03T00:00:00"/>
    <s v="300321"/>
    <s v="JIL LOGISTIQUE"/>
    <n v="29209.119999999999"/>
  </r>
  <r>
    <s v="Facture comptabilisée"/>
    <m/>
    <x v="0"/>
    <x v="5704"/>
    <s v="151/2025"/>
    <d v="2025-12-04T00:00:00"/>
    <s v="300043"/>
    <s v="DOUANE"/>
    <n v="1334"/>
  </r>
  <r>
    <s v="Facture comptabilisée"/>
    <m/>
    <x v="0"/>
    <x v="5705"/>
    <s v="35/2025 J"/>
    <d v="2025-12-04T00:00:00"/>
    <s v="300043"/>
    <s v="DOUANE"/>
    <n v="633"/>
  </r>
  <r>
    <s v="Facture comptabilisée"/>
    <m/>
    <x v="0"/>
    <x v="5706"/>
    <s v="JP+GLO FOOD"/>
    <d v="2025-12-04T00:00:00"/>
    <s v="300237"/>
    <s v="Saribekir Ambalaj - SBK"/>
    <n v="80600.63"/>
  </r>
  <r>
    <s v="Facture comptabilisée"/>
    <m/>
    <x v="0"/>
    <x v="5707"/>
    <s v="152/2025 ASNI"/>
    <d v="2025-12-05T00:00:00"/>
    <s v="300043"/>
    <s v="DOUANE"/>
    <n v="1308"/>
  </r>
  <r>
    <s v="Facture comptabilisée"/>
    <m/>
    <x v="0"/>
    <x v="5708"/>
    <s v="152/2025 ASNI"/>
    <d v="2025-12-06T00:00:00"/>
    <s v="300321"/>
    <s v="JIL LOGISTIQUE"/>
    <n v="20900"/>
  </r>
  <r>
    <s v="Facture comptabilisée"/>
    <m/>
    <x v="0"/>
    <x v="5709"/>
    <s v="COMPLIMENT"/>
    <d v="2025-12-08T00:00:00"/>
    <s v="300043"/>
    <s v="DOUANE"/>
    <n v="3909"/>
  </r>
  <r>
    <s v="Facture comptabilisée"/>
    <m/>
    <x v="0"/>
    <x v="5710"/>
    <s v="54/2025 AS"/>
    <d v="2025-12-09T00:00:00"/>
    <s v="300101"/>
    <s v="ASMAE FORWARDING EXPRESS"/>
    <n v="4137.95"/>
  </r>
  <r>
    <s v="Facture comptabilisée"/>
    <m/>
    <x v="0"/>
    <x v="5711"/>
    <s v="35/2025 J"/>
    <d v="2025-12-09T00:00:00"/>
    <s v="300191"/>
    <s v="JTTL"/>
    <n v="15505.26"/>
  </r>
  <r>
    <s v="Facture comptabilisée"/>
    <m/>
    <x v="0"/>
    <x v="5712"/>
    <s v="JIL PACK A"/>
    <d v="2025-12-09T00:00:00"/>
    <s v="300381"/>
    <s v="ENVASES IBERICA"/>
    <n v="320184.2611"/>
  </r>
  <r>
    <s v="Facture comptabilisée"/>
    <m/>
    <x v="0"/>
    <x v="5713"/>
    <s v="37/2025 J"/>
    <d v="2025-12-10T00:00:00"/>
    <s v="300043"/>
    <s v="DOUANE"/>
    <n v="1638"/>
  </r>
  <r>
    <s v="Facture comptabilisée"/>
    <m/>
    <x v="0"/>
    <x v="5714"/>
    <s v="COMPLIMENT"/>
    <d v="2025-12-11T00:00:00"/>
    <s v="300043"/>
    <s v="DOUANE"/>
    <n v="2754"/>
  </r>
  <r>
    <s v="Facture comptabilisée"/>
    <m/>
    <x v="0"/>
    <x v="5715"/>
    <s v="153/2025 ASNI"/>
    <d v="2025-12-11T00:00:00"/>
    <s v="300043"/>
    <s v="DOUANE"/>
    <n v="1280"/>
  </r>
  <r>
    <s v="Facture comptabilisée"/>
    <m/>
    <x v="0"/>
    <x v="5716"/>
    <s v="38/2025 J"/>
    <d v="2025-12-13T00:00:00"/>
    <s v="300043"/>
    <s v="DOUANE"/>
    <n v="637"/>
  </r>
  <r>
    <s v="Facture comptabilisée"/>
    <m/>
    <x v="0"/>
    <x v="5717"/>
    <s v="36/2025 J"/>
    <d v="2025-12-13T00:00:00"/>
    <s v="300043"/>
    <s v="DOUANE"/>
    <n v="699"/>
  </r>
  <r>
    <s v="Facture comptabilisée"/>
    <m/>
    <x v="0"/>
    <x v="5718"/>
    <s v="153/2025 ASNI"/>
    <d v="2025-12-13T00:00:00"/>
    <s v="300321"/>
    <s v="JIL LOGISTIQUE"/>
    <n v="28149"/>
  </r>
  <r>
    <s v="Facture comptabilisée"/>
    <m/>
    <x v="0"/>
    <x v="5719"/>
    <s v="JP A +ECHANTILLON"/>
    <d v="2025-12-15T00:00:00"/>
    <s v="300115"/>
    <s v="AUXILIAR CONSERVERA SA"/>
    <n v="329160.98599999998"/>
  </r>
  <r>
    <s v="Facture comptabilisée"/>
    <m/>
    <x v="0"/>
    <x v="5720"/>
    <s v="36/2025 J"/>
    <d v="2025-12-15T00:00:00"/>
    <s v="300191"/>
    <s v="JTTL"/>
    <n v="7805.27"/>
  </r>
  <r>
    <s v="Facture comptabilisée"/>
    <m/>
    <x v="0"/>
    <x v="5721"/>
    <s v="37/2025 J"/>
    <d v="2025-12-15T00:00:00"/>
    <s v="300191"/>
    <s v="JTTL"/>
    <n v="18224.89"/>
  </r>
  <r>
    <s v="Facture comptabilisée"/>
    <m/>
    <x v="0"/>
    <x v="5722"/>
    <s v="COMPLI 35/2025 J"/>
    <d v="2025-12-15T00:00:00"/>
    <s v="300191"/>
    <s v="JTTL"/>
    <n v="6974"/>
  </r>
  <r>
    <s v="Facture comptabilisée"/>
    <m/>
    <x v="0"/>
    <x v="5723"/>
    <s v="38/2025 J"/>
    <d v="2025-12-15T00:00:00"/>
    <s v="300191"/>
    <s v="JTTL"/>
    <n v="7596.87"/>
  </r>
  <r>
    <s v="Facture comptabilisée"/>
    <m/>
    <x v="0"/>
    <x v="5724"/>
    <s v="JP A"/>
    <d v="2025-12-15T00:00:00"/>
    <s v="300381"/>
    <s v="ENVASES IBERICA"/>
    <n v="360407.45400000003"/>
  </r>
  <r>
    <s v="Facture comptabilisée"/>
    <m/>
    <x v="0"/>
    <x v="5725"/>
    <s v="151/2025 ASNI"/>
    <d v="2025-12-15T00:00:00"/>
    <s v="300423"/>
    <s v="ASNITRANS"/>
    <n v="3314.17"/>
  </r>
  <r>
    <s v="Facture comptabilisée"/>
    <m/>
    <x v="0"/>
    <x v="5726"/>
    <s v="152/2025 ASNI"/>
    <d v="2025-12-15T00:00:00"/>
    <s v="300423"/>
    <s v="ASNITRANS"/>
    <n v="3148.87"/>
  </r>
  <r>
    <s v="Facture comptabilisée"/>
    <m/>
    <x v="0"/>
    <x v="5727"/>
    <s v="COMPLIMENT"/>
    <d v="2025-12-17T00:00:00"/>
    <s v="300043"/>
    <s v="DOUANE"/>
    <n v="3337"/>
  </r>
  <r>
    <s v="Facture comptabilisée"/>
    <m/>
    <x v="0"/>
    <x v="5728"/>
    <s v="VMM"/>
    <d v="2025-12-17T00:00:00"/>
    <s v="300381"/>
    <s v="ENVASES IBERICA"/>
    <n v="341420.11200000002"/>
  </r>
  <r>
    <s v="Facture comptabilisée"/>
    <m/>
    <x v="0"/>
    <x v="5729"/>
    <s v="153/2025 ASNI"/>
    <d v="2025-12-17T00:00:00"/>
    <s v="300423"/>
    <s v="ASNITRANS"/>
    <n v="3152.11"/>
  </r>
  <r>
    <s v="Facture comptabilisée"/>
    <m/>
    <x v="0"/>
    <x v="5730"/>
    <s v="VMM"/>
    <d v="2025-12-19T00:00:00"/>
    <s v="300381"/>
    <s v="ENVASES IBERICA"/>
    <n v="335576.73599999998"/>
  </r>
  <r>
    <s v="Facture comptabilisée"/>
    <m/>
    <x v="0"/>
    <x v="5731"/>
    <s v="VMM"/>
    <d v="2025-12-19T00:00:00"/>
    <s v="300381"/>
    <s v="ENVASES IBERICA"/>
    <n v="335576.73599999998"/>
  </r>
  <r>
    <s v="Facture comptabilisée"/>
    <m/>
    <x v="0"/>
    <x v="5732"/>
    <s v="LOGIFOOD"/>
    <d v="2025-12-19T00:00:00"/>
    <s v="300381"/>
    <s v="ENVASES IBERICA"/>
    <n v="361798.272"/>
  </r>
  <r>
    <s v="Facture comptabilisée"/>
    <m/>
    <x v="0"/>
    <x v="5733"/>
    <s v="COMPLIMENT"/>
    <d v="2025-12-22T00:00:00"/>
    <s v="300043"/>
    <s v="DOUANE"/>
    <n v="3017"/>
  </r>
  <r>
    <s v="Facture comptabilisée"/>
    <m/>
    <x v="0"/>
    <x v="5734"/>
    <s v="154/2025 ASNI"/>
    <d v="2025-12-22T00:00:00"/>
    <s v="300043"/>
    <s v="DOUANE"/>
    <n v="1411"/>
  </r>
  <r>
    <s v="Facture comptabilisée"/>
    <m/>
    <x v="0"/>
    <x v="5735"/>
    <s v="155/2025 ASNI"/>
    <d v="2025-12-23T00:00:00"/>
    <s v="300043"/>
    <s v="DOUANE"/>
    <n v="1341"/>
  </r>
  <r>
    <s v="Facture comptabilisée"/>
    <m/>
    <x v="0"/>
    <x v="5736"/>
    <s v="154/2025 ASNI"/>
    <d v="2025-12-24T00:00:00"/>
    <s v="300423"/>
    <s v="ASNITRANS"/>
    <n v="3483.2"/>
  </r>
  <r>
    <s v="Facture comptabilisée"/>
    <m/>
    <x v="0"/>
    <x v="5737"/>
    <s v="COMPLIMENT"/>
    <d v="2025-12-25T00:00:00"/>
    <s v="300043"/>
    <s v="DOUANE"/>
    <n v="3223"/>
  </r>
  <r>
    <s v="Facture comptabilisée"/>
    <m/>
    <x v="0"/>
    <x v="5738"/>
    <s v="55/2025 AS"/>
    <d v="2025-12-25T00:00:00"/>
    <s v="300043"/>
    <s v="DOUANE"/>
    <n v="1240"/>
  </r>
  <r>
    <s v="Facture comptabilisée"/>
    <m/>
    <x v="0"/>
    <x v="5739"/>
    <s v="2300ML"/>
    <d v="2025-12-27T00:00:00"/>
    <s v="300133"/>
    <s v="OP BOX "/>
    <n v="34924"/>
  </r>
  <r>
    <s v="Facture comptabilisée"/>
    <m/>
    <x v="0"/>
    <x v="5740"/>
    <s v="155/2025 ASNI"/>
    <d v="2025-12-27T00:00:00"/>
    <s v="300423"/>
    <s v="ASNITRANS"/>
    <n v="3152.11"/>
  </r>
  <r>
    <s v="Facture comptabilisée"/>
    <m/>
    <x v="0"/>
    <x v="5741"/>
    <s v="156/2025 ASNI"/>
    <d v="2025-12-29T00:00:00"/>
    <s v="300043"/>
    <s v="DOUANE"/>
    <n v="1322"/>
  </r>
  <r>
    <s v="Facture comptabilisée"/>
    <m/>
    <x v="0"/>
    <x v="5742"/>
    <s v="157/2025 ASNI"/>
    <d v="2025-12-29T00:00:00"/>
    <s v="300043"/>
    <s v="DOUANE"/>
    <n v="1322"/>
  </r>
  <r>
    <s v="Facture comptabilisée"/>
    <m/>
    <x v="0"/>
    <x v="5743"/>
    <s v="COMPLIMENT"/>
    <d v="2025-12-30T00:00:00"/>
    <s v="300043"/>
    <s v="DOUANE"/>
    <n v="4739"/>
  </r>
  <r>
    <s v="Facture comptabilisée"/>
    <m/>
    <x v="0"/>
    <x v="5744"/>
    <s v="158/2025 ASNI"/>
    <d v="2025-12-30T00:00:00"/>
    <s v="300043"/>
    <s v="DOUANE"/>
    <n v="1405"/>
  </r>
  <r>
    <s v="Facture comptabilisée"/>
    <m/>
    <x v="0"/>
    <x v="5745"/>
    <s v="TUNAMAX"/>
    <d v="2025-12-30T00:00:00"/>
    <s v="300416"/>
    <s v="BERLIN PACKAGING ITALY S.P.A"/>
    <n v="80735.820000000007"/>
  </r>
  <r>
    <s v="Facture comptabilisée"/>
    <m/>
    <x v="0"/>
    <x v="5746"/>
    <s v="55/2025 AS"/>
    <d v="2025-12-31T00:00:00"/>
    <s v="300101"/>
    <s v="ASMAE FORWARDING EXPRESS"/>
    <n v="4142.9399999999996"/>
  </r>
  <r>
    <s v="Facture comptabilisée"/>
    <m/>
    <x v="0"/>
    <x v="5747"/>
    <s v="VICTUS"/>
    <d v="2025-12-31T00:00:00"/>
    <s v="300237"/>
    <s v="Saribekir Ambalaj - SBK"/>
    <n v="103366.56"/>
  </r>
  <r>
    <s v="Facture comptabilisée"/>
    <m/>
    <x v="0"/>
    <x v="5748"/>
    <s v="RFA"/>
    <d v="2025-12-31T00:00:00"/>
    <s v="300381"/>
    <s v="ENVASES IBERICA"/>
    <n v="1968628.31"/>
  </r>
  <r>
    <s v="Facture comptabilisée"/>
    <m/>
    <x v="0"/>
    <x v="5749"/>
    <s v="156/2025 ASNI"/>
    <d v="2025-12-31T00:00:00"/>
    <s v="300423"/>
    <s v="ASNITRANS"/>
    <n v="3979.85"/>
  </r>
  <r>
    <s v="Facture comptabilisée"/>
    <m/>
    <x v="0"/>
    <x v="5750"/>
    <s v="157/2025 ASNI"/>
    <d v="2025-12-31T00:00:00"/>
    <s v="300423"/>
    <s v="ASNITRANS"/>
    <n v="3979.85"/>
  </r>
  <r>
    <s v="Facture comptabilisée"/>
    <m/>
    <x v="0"/>
    <x v="5751"/>
    <s v="158/2025 ASNI"/>
    <d v="2025-12-31T00:00:00"/>
    <s v="300423"/>
    <s v="ASNITRANS"/>
    <n v="5249.04"/>
  </r>
  <r>
    <s v="Facture comptabilisée"/>
    <m/>
    <x v="0"/>
    <x v="5752"/>
    <s v="01/2026 JTTL"/>
    <d v="2026-01-05T00:00:00"/>
    <s v="300043"/>
    <s v="DOUANE"/>
    <n v="532"/>
  </r>
  <r>
    <s v="Facture comptabilisée"/>
    <m/>
    <x v="0"/>
    <x v="5753"/>
    <s v="01/2026 JTTL"/>
    <d v="2026-01-08T00:00:00"/>
    <s v="300191"/>
    <s v="JTTL"/>
    <n v="8813.24"/>
  </r>
  <r>
    <s v="Facture comptabilisée"/>
    <m/>
    <x v="0"/>
    <x v="5754"/>
    <s v="JP A"/>
    <d v="2026-01-08T00:00:00"/>
    <s v="300220"/>
    <s v="ENVASES EUROPE"/>
    <n v="1141118.352"/>
  </r>
  <r>
    <s v="Facture comptabilisée"/>
    <m/>
    <x v="0"/>
    <x v="5755"/>
    <s v="154/2025 ASNI"/>
    <d v="2026-01-08T00:00:00"/>
    <s v="300321"/>
    <s v="JIL LOGISTIQUE"/>
    <n v="31850"/>
  </r>
  <r>
    <s v="Facture comptabilisée"/>
    <m/>
    <x v="0"/>
    <x v="5756"/>
    <s v="155/2025 ASNI"/>
    <d v="2026-01-08T00:00:00"/>
    <s v="300321"/>
    <s v="JIL LOGISTIQUE"/>
    <n v="28600"/>
  </r>
  <r>
    <s v="Facture comptabilisée"/>
    <m/>
    <x v="0"/>
    <x v="5757"/>
    <s v="ARMOIRE   JP"/>
    <d v="2026-01-09T00:00:00"/>
    <s v="300338"/>
    <s v="PANEM INTERNATIONAL SAS"/>
    <n v="84623"/>
  </r>
  <r>
    <s v="Facture comptabilisée"/>
    <m/>
    <x v="0"/>
    <x v="5758"/>
    <s v="IDNA FOOD"/>
    <d v="2026-01-09T00:00:00"/>
    <s v="300381"/>
    <s v="ENVASES IBERICA"/>
    <n v="333907.20000000001"/>
  </r>
  <r>
    <s v="Facture comptabilisée"/>
    <m/>
    <x v="0"/>
    <x v="5759"/>
    <s v="LOGI FOOD"/>
    <d v="2026-01-09T00:00:00"/>
    <s v="300381"/>
    <s v="ENVASES IBERICA"/>
    <n v="368930.62800000003"/>
  </r>
  <r>
    <s v="Facture comptabilisée"/>
    <m/>
    <x v="0"/>
    <x v="5760"/>
    <s v="IDNA FOOD"/>
    <d v="2026-01-09T00:00:00"/>
    <s v="300381"/>
    <s v="ENVASES IBERICA"/>
    <n v="333907.20000000001"/>
  </r>
  <r>
    <s v="Facture comptabilisée"/>
    <m/>
    <x v="0"/>
    <x v="5761"/>
    <s v="03/2026 ASNI"/>
    <d v="2026-01-12T00:00:00"/>
    <s v="300043"/>
    <s v="DOUANE"/>
    <n v="1308"/>
  </r>
  <r>
    <s v="Facture comptabilisée"/>
    <m/>
    <x v="0"/>
    <x v="5762"/>
    <s v="01/2026 ASNI"/>
    <d v="2026-01-12T00:00:00"/>
    <s v="300043"/>
    <s v="DOUANE"/>
    <n v="1308"/>
  </r>
  <r>
    <s v="Facture comptabilisée"/>
    <m/>
    <x v="0"/>
    <x v="5763"/>
    <s v="02/2026 ASNI"/>
    <d v="2026-01-12T00:00:00"/>
    <s v="300043"/>
    <s v="DOUANE"/>
    <n v="1423"/>
  </r>
  <r>
    <s v="Facture comptabilisée"/>
    <m/>
    <x v="0"/>
    <x v="5764"/>
    <s v="COMPLEMENT"/>
    <d v="2026-01-12T00:00:00"/>
    <s v="300043"/>
    <s v="DOUANE"/>
    <n v="2920"/>
  </r>
  <r>
    <s v="Facture comptabilisée"/>
    <m/>
    <x v="0"/>
    <x v="5765"/>
    <s v="5500ML"/>
    <d v="2026-01-12T00:00:00"/>
    <s v="300133"/>
    <s v="OP BOX "/>
    <n v="17353.73"/>
  </r>
  <r>
    <s v="Facture comptabilisée"/>
    <m/>
    <x v="0"/>
    <x v="5766"/>
    <s v="2300ML"/>
    <d v="2026-01-12T00:00:00"/>
    <s v="300133"/>
    <s v="OP BOX "/>
    <n v="45648"/>
  </r>
  <r>
    <s v="Facture comptabilisée"/>
    <m/>
    <x v="0"/>
    <x v="5767"/>
    <s v="03/2026 ASNI"/>
    <d v="2026-01-12T00:00:00"/>
    <s v="300321"/>
    <s v="JIL LOGISTIQUE"/>
    <n v="24700"/>
  </r>
  <r>
    <s v="Facture comptabilisée"/>
    <m/>
    <x v="0"/>
    <x v="5768"/>
    <s v="JP AIN SEBAA"/>
    <d v="2026-01-12T00:00:00"/>
    <s v="300381"/>
    <s v="ENVASES IBERICA"/>
    <n v="333907.20000000001"/>
  </r>
  <r>
    <s v="Facture comptabilisée"/>
    <m/>
    <x v="0"/>
    <x v="5769"/>
    <s v="IDNA FOOD"/>
    <d v="2026-01-12T00:00:00"/>
    <s v="300381"/>
    <s v="ENVASES IBERICA"/>
    <n v="333907.20000000001"/>
  </r>
  <r>
    <s v="Facture comptabilisée"/>
    <m/>
    <x v="0"/>
    <x v="5770"/>
    <s v="20L"/>
    <d v="2026-01-13T00:00:00"/>
    <s v="300133"/>
    <s v="OP BOX "/>
    <n v="32670"/>
  </r>
  <r>
    <s v="Facture comptabilisée"/>
    <m/>
    <x v="0"/>
    <x v="5771"/>
    <s v="IDNA FOOD"/>
    <d v="2026-01-13T00:00:00"/>
    <s v="300381"/>
    <s v="ENVASES IBERICA"/>
    <n v="333907.20000000001"/>
  </r>
  <r>
    <s v="Facture comptabilisée"/>
    <m/>
    <x v="0"/>
    <x v="5772"/>
    <s v="02/2026 ASNI"/>
    <d v="2026-01-14T00:00:00"/>
    <s v="300321"/>
    <s v="JIL LOGISTIQUE"/>
    <n v="24700"/>
  </r>
  <r>
    <s v="Facture comptabilisée"/>
    <m/>
    <x v="0"/>
    <x v="5773"/>
    <s v="01/2026 ASNI"/>
    <d v="2026-01-14T00:00:00"/>
    <s v="300321"/>
    <s v="JIL LOGISTIQUE"/>
    <n v="24700"/>
  </r>
  <r>
    <s v="Facture comptabilisée"/>
    <m/>
    <x v="0"/>
    <x v="5774"/>
    <s v="04/2026 ASNI"/>
    <d v="2026-01-14T00:00:00"/>
    <s v="300321"/>
    <s v="JIL LOGISTIQUE"/>
    <n v="24700"/>
  </r>
  <r>
    <s v="Facture comptabilisée"/>
    <m/>
    <x v="0"/>
    <x v="5775"/>
    <s v="05/2026 ASNI"/>
    <d v="2026-01-14T00:00:00"/>
    <s v="300321"/>
    <s v="JIL LOGISTIQUE"/>
    <n v="24700"/>
  </r>
  <r>
    <s v="Facture comptabilisée"/>
    <m/>
    <x v="0"/>
    <x v="5776"/>
    <s v="06/2026 ASNI"/>
    <d v="2026-01-14T00:00:00"/>
    <s v="300321"/>
    <s v="JIL LOGISTIQUE"/>
    <n v="24700"/>
  </r>
  <r>
    <s v="Facture comptabilisée"/>
    <m/>
    <x v="0"/>
    <x v="5777"/>
    <s v="LOGI FOOD"/>
    <d v="2026-01-14T00:00:00"/>
    <s v="300381"/>
    <s v="ENVASES IBERICA"/>
    <n v="369725.95439999999"/>
  </r>
  <r>
    <s v="Facture comptabilisée"/>
    <m/>
    <x v="0"/>
    <x v="5778"/>
    <s v="04/2026 ASNI "/>
    <d v="2026-01-15T00:00:00"/>
    <s v="300043"/>
    <s v="DOUANE"/>
    <n v="1306"/>
  </r>
  <r>
    <s v="Facture comptabilisée"/>
    <m/>
    <x v="0"/>
    <x v="5779"/>
    <s v="05/2026 ASNI"/>
    <d v="2026-01-15T00:00:00"/>
    <s v="300043"/>
    <s v="DOUANE"/>
    <n v="1306"/>
  </r>
  <r>
    <s v="Facture comptabilisée"/>
    <m/>
    <x v="0"/>
    <x v="5780"/>
    <s v="18L"/>
    <d v="2026-01-15T00:00:00"/>
    <s v="300133"/>
    <s v="OP BOX "/>
    <n v="39456.46"/>
  </r>
  <r>
    <s v="Facture comptabilisée"/>
    <m/>
    <x v="0"/>
    <x v="5781"/>
    <s v="JP CASA"/>
    <d v="2026-01-15T00:00:00"/>
    <s v="300381"/>
    <s v="ENVASES IBERICA"/>
    <n v="333907.20000000001"/>
  </r>
  <r>
    <s v="Facture comptabilisée"/>
    <m/>
    <x v="0"/>
    <x v="5782"/>
    <s v="06/2026 ASNI"/>
    <d v="2026-01-16T00:00:00"/>
    <s v="300043"/>
    <s v="DOUANE"/>
    <n v="1305"/>
  </r>
  <r>
    <s v="Facture comptabilisée"/>
    <m/>
    <x v="0"/>
    <x v="5783"/>
    <s v="18L NOIR"/>
    <d v="2026-01-16T00:00:00"/>
    <s v="300133"/>
    <s v="OP BOX "/>
    <n v="19766.88"/>
  </r>
  <r>
    <s v="Facture comptabilisée"/>
    <m/>
    <x v="0"/>
    <x v="5784"/>
    <s v="07/2026 ASNI"/>
    <d v="2026-01-16T00:00:00"/>
    <s v="300321"/>
    <s v="JIL LOGISTIQUE"/>
    <n v="24700"/>
  </r>
  <r>
    <s v="Facture comptabilisée"/>
    <m/>
    <x v="0"/>
    <x v="5785"/>
    <s v="08/2026 ASNI"/>
    <d v="2026-01-19T00:00:00"/>
    <s v="300043"/>
    <s v="DOUANE"/>
    <n v="1420"/>
  </r>
  <r>
    <s v="Facture comptabilisée"/>
    <m/>
    <x v="0"/>
    <x v="5786"/>
    <s v="07/2026 ASNI"/>
    <d v="2026-01-19T00:00:00"/>
    <s v="300043"/>
    <s v="DOUANE"/>
    <n v="1303"/>
  </r>
  <r>
    <s v="Facture comptabilisée"/>
    <m/>
    <x v="0"/>
    <x v="5787"/>
    <s v="JP A"/>
    <d v="2026-01-19T00:00:00"/>
    <s v="300381"/>
    <s v="ENVASES IBERICA"/>
    <n v="333907.20000000001"/>
  </r>
  <r>
    <s v="Facture comptabilisée"/>
    <m/>
    <x v="0"/>
    <x v="5788"/>
    <s v="3800 AP"/>
    <d v="2026-01-20T00:00:00"/>
    <s v="300133"/>
    <s v="OP BOX "/>
    <n v="25502.400000000001"/>
  </r>
  <r>
    <s v="Facture comptabilisée"/>
    <m/>
    <x v="0"/>
    <x v="5789"/>
    <s v="01/2026 ASNI"/>
    <d v="2026-01-20T00:00:00"/>
    <s v="300423"/>
    <s v="ASNITRANS"/>
    <n v="3185.22"/>
  </r>
  <r>
    <s v="Facture comptabilisée"/>
    <m/>
    <x v="0"/>
    <x v="5790"/>
    <s v="02/2026 ASNI"/>
    <d v="2026-01-20T00:00:00"/>
    <s v="300423"/>
    <s v="ASNITRANS"/>
    <n v="3185.22"/>
  </r>
  <r>
    <s v="Facture comptabilisée"/>
    <m/>
    <x v="0"/>
    <x v="5791"/>
    <s v="03/2026 ASNI"/>
    <d v="2026-01-20T00:00:00"/>
    <s v="300423"/>
    <s v="ASNITRANS"/>
    <n v="3845.95"/>
  </r>
  <r>
    <s v="Facture comptabilisée"/>
    <m/>
    <x v="0"/>
    <x v="5792"/>
    <s v="05/2026 ASNI"/>
    <d v="2026-01-20T00:00:00"/>
    <s v="300423"/>
    <s v="ASNITRANS"/>
    <n v="3185.22"/>
  </r>
  <r>
    <s v="Facture comptabilisée"/>
    <m/>
    <x v="0"/>
    <x v="5793"/>
    <s v="06/2026 ASNI"/>
    <d v="2026-01-20T00:00:00"/>
    <s v="300423"/>
    <s v="ASNITRANS"/>
    <n v="3516.31"/>
  </r>
  <r>
    <s v="Facture comptabilisée"/>
    <m/>
    <x v="0"/>
    <x v="5794"/>
    <s v="08/2026 ASNI"/>
    <d v="2026-01-21T00:00:00"/>
    <s v="300321"/>
    <s v="JIL LOGISTIQUE"/>
    <n v="24700"/>
  </r>
  <r>
    <s v="Facture comptabilisée"/>
    <m/>
    <x v="0"/>
    <x v="5795"/>
    <s v="04/2026 ASNI "/>
    <d v="2026-01-21T00:00:00"/>
    <s v="300423"/>
    <s v="ASNITRANS"/>
    <n v="3185.22"/>
  </r>
  <r>
    <s v="Facture comptabilisée"/>
    <m/>
    <x v="0"/>
    <x v="5796"/>
    <s v="09/2026 ASNI"/>
    <d v="2026-01-22T00:00:00"/>
    <s v="300043"/>
    <s v="DOUANE"/>
    <n v="1312"/>
  </r>
  <r>
    <s v="Facture comptabilisée"/>
    <m/>
    <x v="0"/>
    <x v="5797"/>
    <s v="QUALIAGRO"/>
    <d v="2026-01-22T00:00:00"/>
    <s v="300115"/>
    <s v="AUXILIAR CONSERVERA SA"/>
    <n v="232323.63"/>
  </r>
  <r>
    <s v="Facture comptabilisée"/>
    <m/>
    <x v="0"/>
    <x v="5798"/>
    <s v="JP"/>
    <d v="2026-01-22T00:00:00"/>
    <s v="300115"/>
    <s v="AUXILIAR CONSERVERA SA"/>
    <n v="16722.633399999999"/>
  </r>
  <r>
    <s v="Facture comptabilisée"/>
    <m/>
    <x v="0"/>
    <x v="5799"/>
    <s v="COMMANDE 22"/>
    <d v="2026-01-22T00:00:00"/>
    <s v="300344"/>
    <s v="PADEL NUESTRO"/>
    <n v="224601.57"/>
  </r>
  <r>
    <s v="Facture comptabilisée"/>
    <m/>
    <x v="0"/>
    <x v="5800"/>
    <s v="09/2026 ASNI"/>
    <d v="2026-01-24T00:00:00"/>
    <s v="300321"/>
    <s v="JIL LOGISTIQUE"/>
    <n v="28600"/>
  </r>
  <r>
    <s v="Facture comptabilisée"/>
    <m/>
    <x v="0"/>
    <x v="5801"/>
    <s v="COMPLIMENT"/>
    <d v="2026-01-26T00:00:00"/>
    <s v="300043"/>
    <s v="DOUANE"/>
    <n v="3353"/>
  </r>
  <r>
    <s v="Facture comptabilisée"/>
    <m/>
    <x v="0"/>
    <x v="5802"/>
    <s v="JP"/>
    <d v="2026-01-26T00:00:00"/>
    <s v="300381"/>
    <s v="ENVASES IBERICA"/>
    <n v="333907.20000000001"/>
  </r>
  <r>
    <s v="Facture comptabilisée"/>
    <m/>
    <x v="0"/>
    <x v="5803"/>
    <s v="LOGI FOOD"/>
    <d v="2026-01-26T00:00:00"/>
    <s v="300381"/>
    <s v="ENVASES IBERICA"/>
    <n v="357470.78399999999"/>
  </r>
  <r>
    <s v="Facture comptabilisée"/>
    <m/>
    <x v="0"/>
    <x v="5804"/>
    <s v="07/2026 ASNI"/>
    <d v="2026-01-26T00:00:00"/>
    <s v="300423"/>
    <s v="ASNITRANS"/>
    <n v="3847.41"/>
  </r>
  <r>
    <s v="Facture comptabilisée"/>
    <m/>
    <x v="0"/>
    <x v="5805"/>
    <s v="08/2026 ASNI"/>
    <d v="2026-01-26T00:00:00"/>
    <s v="300423"/>
    <s v="ASNITRANS"/>
    <n v="4509.6000000000004"/>
  </r>
  <r>
    <s v="Facture comptabilisée"/>
    <m/>
    <x v="0"/>
    <x v="5806"/>
    <s v="02/2026 JTTL"/>
    <d v="2026-01-27T00:00:00"/>
    <s v="300043"/>
    <s v="DOUANE"/>
    <n v="432"/>
  </r>
  <r>
    <s v="Facture comptabilisée"/>
    <m/>
    <x v="0"/>
    <x v="5807"/>
    <s v="2300ML"/>
    <d v="2026-01-27T00:00:00"/>
    <s v="300133"/>
    <s v="OP BOX "/>
    <n v="45648"/>
  </r>
  <r>
    <s v="Facture comptabilisée"/>
    <m/>
    <x v="0"/>
    <x v="5808"/>
    <s v="158/2025 ASNI"/>
    <d v="2026-01-28T00:00:00"/>
    <s v="300321"/>
    <s v="JIL LOGISTIQUE"/>
    <n v="30225"/>
  </r>
  <r>
    <s v="Facture comptabilisée"/>
    <m/>
    <x v="0"/>
    <x v="5809"/>
    <s v="157/2025 ASNI"/>
    <d v="2026-01-28T00:00:00"/>
    <s v="300321"/>
    <s v="JIL LOGISTIQUE"/>
    <n v="30225"/>
  </r>
  <r>
    <s v="Facture comptabilisée"/>
    <m/>
    <x v="0"/>
    <x v="5810"/>
    <s v="156/2025 ASNI"/>
    <d v="2026-01-28T00:00:00"/>
    <s v="300321"/>
    <s v="JIL LOGISTIQUE"/>
    <n v="30225"/>
  </r>
  <r>
    <s v="Facture comptabilisée"/>
    <m/>
    <x v="0"/>
    <x v="5811"/>
    <s v="09/2026 ASNI"/>
    <d v="2026-01-29T00:00:00"/>
    <s v="300423"/>
    <s v="ASNITRANS"/>
    <n v="3516.31"/>
  </r>
  <r>
    <s v="Facture comptabilisée"/>
    <m/>
    <x v="0"/>
    <x v="5812"/>
    <s v="02/2026 JTTL"/>
    <d v="2026-01-30T00:00:00"/>
    <s v="300191"/>
    <s v="JTTL"/>
    <n v="7009.94"/>
  </r>
  <r>
    <s v="Facture comptabilisée"/>
    <m/>
    <x v="0"/>
    <x v="5813"/>
    <s v="10/2026 ASNI"/>
    <d v="2026-02-02T00:00:00"/>
    <s v="300043"/>
    <s v="DOUANE"/>
    <n v="1319"/>
  </r>
  <r>
    <s v="Facture comptabilisée"/>
    <m/>
    <x v="0"/>
    <x v="5814"/>
    <s v="11/2026 ASNI"/>
    <d v="2026-02-02T00:00:00"/>
    <s v="300043"/>
    <s v="DOUANE"/>
    <n v="1389"/>
  </r>
  <r>
    <s v="Facture comptabilisée"/>
    <m/>
    <x v="0"/>
    <x v="5815"/>
    <s v="03/2026 JTTL"/>
    <d v="2026-02-02T00:00:00"/>
    <s v="300043"/>
    <s v="DOUANE"/>
    <n v="492"/>
  </r>
  <r>
    <s v="Facture comptabilisée"/>
    <m/>
    <x v="0"/>
    <x v="5816"/>
    <s v="11/2026 ASNI"/>
    <d v="2026-02-02T00:00:00"/>
    <s v="300321"/>
    <s v="JIL LOGISTIQUE"/>
    <n v="23400"/>
  </r>
  <r>
    <s v="Facture comptabilisée"/>
    <m/>
    <x v="0"/>
    <x v="5817"/>
    <s v="10/2026 ASNI"/>
    <d v="2026-02-02T00:00:00"/>
    <s v="300321"/>
    <s v="JIL LOGISTIQUE"/>
    <n v="23400"/>
  </r>
  <r>
    <s v="Facture comptabilisée"/>
    <m/>
    <x v="0"/>
    <x v="5818"/>
    <s v="LOGI FOOD"/>
    <d v="2026-02-02T00:00:00"/>
    <s v="300381"/>
    <s v="ENVASES IBERICA"/>
    <n v="351191.80800000002"/>
  </r>
  <r>
    <s v="Facture comptabilisée"/>
    <m/>
    <x v="0"/>
    <x v="5819"/>
    <s v="04/2026 JTTL"/>
    <d v="2026-02-02T00:00:00"/>
    <s v="300568"/>
    <s v="SCHENKER MAROC"/>
    <n v="5873.9"/>
  </r>
  <r>
    <s v="Facture comptabilisée"/>
    <m/>
    <x v="0"/>
    <x v="5820"/>
    <s v="03/2026 JTTL"/>
    <d v="2026-02-03T00:00:00"/>
    <s v="300191"/>
    <s v="JTTL"/>
    <n v="14116.56"/>
  </r>
  <r>
    <s v="Facture comptabilisée"/>
    <m/>
    <x v="0"/>
    <x v="5821"/>
    <s v="TUNAMAX"/>
    <d v="2026-02-03T00:00:00"/>
    <s v="300381"/>
    <s v="ENVASES IBERICA"/>
    <n v="324160.69400000002"/>
  </r>
  <r>
    <s v="Facture comptabilisée"/>
    <m/>
    <x v="0"/>
    <x v="5822"/>
    <s v="JP  A"/>
    <d v="2026-02-03T00:00:00"/>
    <s v="300381"/>
    <s v="ENVASES IBERICA"/>
    <n v="333907.20000000001"/>
  </r>
  <r>
    <s v="Facture comptabilisée"/>
    <m/>
    <x v="0"/>
    <x v="5823"/>
    <s v="JP A "/>
    <d v="2026-02-03T00:00:00"/>
    <s v="300381"/>
    <s v="ENVASES IBERICA"/>
    <n v="333907.20000000001"/>
  </r>
  <r>
    <s v="Facture comptabilisée"/>
    <m/>
    <x v="0"/>
    <x v="5824"/>
    <s v="04/2026 JTTL"/>
    <d v="2026-02-05T00:00:00"/>
    <s v="300043"/>
    <s v="DOUANE"/>
    <n v="224"/>
  </r>
  <r>
    <s v="Facture comptabilisée"/>
    <m/>
    <x v="0"/>
    <x v="5825"/>
    <s v="JP A "/>
    <d v="2026-02-05T00:00:00"/>
    <s v="300381"/>
    <s v="ENVASES IBERICA"/>
    <n v="333907.20000000001"/>
  </r>
  <r>
    <s v="Facture comptabilisée"/>
    <m/>
    <x v="0"/>
    <x v="5826"/>
    <s v="SILVER FOOD"/>
    <d v="2026-02-05T00:00:00"/>
    <s v="300381"/>
    <s v="ENVASES IBERICA"/>
    <n v="333907.20000000001"/>
  </r>
  <r>
    <s v="Facture comptabilisée"/>
    <m/>
    <x v="0"/>
    <x v="5827"/>
    <s v="COMPLIMENT"/>
    <d v="2026-02-06T00:00:00"/>
    <s v="300043"/>
    <s v="DOUANE"/>
    <n v="3689"/>
  </r>
  <r>
    <s v="Facture comptabilisée"/>
    <m/>
    <x v="0"/>
    <x v="5828"/>
    <s v="12/2026 ASNI"/>
    <d v="2026-02-06T00:00:00"/>
    <s v="300043"/>
    <s v="DOUANE"/>
    <n v="1369"/>
  </r>
  <r>
    <s v="Facture comptabilisée"/>
    <m/>
    <x v="0"/>
    <x v="5829"/>
    <s v="12/2026 ASNI"/>
    <d v="2026-02-07T00:00:00"/>
    <s v="300321"/>
    <s v="JIL LOGISTIQUE"/>
    <n v="23400"/>
  </r>
  <r>
    <s v="Facture comptabilisée"/>
    <m/>
    <x v="0"/>
    <x v="5830"/>
    <s v="15/2026 ASNI"/>
    <d v="2026-02-07T00:00:00"/>
    <s v="300321"/>
    <s v="JIL LOGISTIQUE"/>
    <n v="27300"/>
  </r>
  <r>
    <s v="Facture comptabilisée"/>
    <m/>
    <x v="0"/>
    <x v="5831"/>
    <s v="01/2026 ASFOEX"/>
    <d v="2026-02-09T00:00:00"/>
    <s v="300043"/>
    <s v="DOUANE"/>
    <n v="6268"/>
  </r>
  <r>
    <s v="Facture comptabilisée"/>
    <m/>
    <x v="0"/>
    <x v="5832"/>
    <s v="13/2026 ASNI"/>
    <d v="2026-02-09T00:00:00"/>
    <s v="300043"/>
    <s v="DOUANE"/>
    <n v="1322"/>
  </r>
  <r>
    <s v="Facture comptabilisée"/>
    <m/>
    <x v="0"/>
    <x v="5833"/>
    <s v="18/2026 ASNI"/>
    <d v="2026-02-09T00:00:00"/>
    <s v="300043"/>
    <s v="DOUANE"/>
    <n v="1286"/>
  </r>
  <r>
    <s v="Facture comptabilisée"/>
    <m/>
    <x v="0"/>
    <x v="5834"/>
    <s v="14/2026 ASNI"/>
    <d v="2026-02-09T00:00:00"/>
    <s v="300043"/>
    <s v="DOUANE"/>
    <n v="1322"/>
  </r>
  <r>
    <s v="Facture comptabilisée"/>
    <m/>
    <x v="0"/>
    <x v="5835"/>
    <s v="16/2026 ASNI"/>
    <d v="2026-02-10T00:00:00"/>
    <s v="300043"/>
    <s v="DOUANE"/>
    <n v="1314"/>
  </r>
  <r>
    <s v="Facture comptabilisée"/>
    <m/>
    <x v="0"/>
    <x v="5836"/>
    <s v="15/2026 ASNI"/>
    <d v="2026-02-10T00:00:00"/>
    <s v="300043"/>
    <s v="DOUANE"/>
    <n v="1314"/>
  </r>
  <r>
    <s v="Facture comptabilisée"/>
    <m/>
    <x v="0"/>
    <x v="5837"/>
    <s v="04/2026 JTTL"/>
    <d v="2026-02-10T00:00:00"/>
    <s v="300191"/>
    <s v="JTTL"/>
    <n v="1640.5"/>
  </r>
  <r>
    <s v="Facture comptabilisée"/>
    <m/>
    <x v="0"/>
    <x v="5838"/>
    <s v="13/2026 ASNI"/>
    <d v="2026-02-10T00:00:00"/>
    <s v="300321"/>
    <s v="JIL LOGISTIQUE"/>
    <n v="27300"/>
  </r>
  <r>
    <s v="Facture comptabilisée"/>
    <m/>
    <x v="0"/>
    <x v="5839"/>
    <s v="16/2026 ASNI"/>
    <d v="2026-02-10T00:00:00"/>
    <s v="300321"/>
    <s v="JIL LOGISTIQUE"/>
    <n v="25782.6"/>
  </r>
  <r>
    <s v="Facture comptabilisée"/>
    <m/>
    <x v="0"/>
    <x v="5840"/>
    <s v="14/2026 ASNI"/>
    <d v="2026-02-10T00:00:00"/>
    <s v="300321"/>
    <s v="JIL LOGISTIQUE"/>
    <n v="27300"/>
  </r>
  <r>
    <s v="Facture comptabilisée"/>
    <m/>
    <x v="0"/>
    <x v="5841"/>
    <s v="1L OLINIA"/>
    <d v="2026-02-11T00:00:00"/>
    <s v="300115"/>
    <s v="AUXILIAR CONSERVERA SA"/>
    <n v="233734.3052"/>
  </r>
  <r>
    <s v="Facture comptabilisée"/>
    <m/>
    <x v="0"/>
    <x v="5842"/>
    <s v="10/2026 ASNI"/>
    <d v="2026-02-11T00:00:00"/>
    <s v="300423"/>
    <s v="ASNITRANS"/>
    <n v="3185.22"/>
  </r>
  <r>
    <s v="Facture comptabilisée"/>
    <m/>
    <x v="0"/>
    <x v="5843"/>
    <s v="11/2026 ASNI"/>
    <d v="2026-02-11T00:00:00"/>
    <s v="300423"/>
    <s v="ASNITRANS"/>
    <n v="3185.22"/>
  </r>
  <r>
    <s v="Facture comptabilisée"/>
    <m/>
    <x v="0"/>
    <x v="5844"/>
    <s v="12/2026 ASNI"/>
    <d v="2026-02-11T00:00:00"/>
    <s v="300423"/>
    <s v="ASNITRANS"/>
    <n v="3209.23"/>
  </r>
  <r>
    <s v="Facture comptabilisée"/>
    <m/>
    <x v="0"/>
    <x v="5845"/>
    <s v="13/2026 ASNI"/>
    <d v="2026-02-11T00:00:00"/>
    <s v="300423"/>
    <s v="ASNITRANS"/>
    <n v="3543.96"/>
  </r>
  <r>
    <s v="Facture comptabilisée"/>
    <m/>
    <x v="0"/>
    <x v="5846"/>
    <s v="01/2026 ASFOEX"/>
    <d v="2026-02-12T00:00:00"/>
    <s v="300101"/>
    <s v="ASMAE FORWARDING EXPRESS"/>
    <n v="9847.4500000000007"/>
  </r>
  <r>
    <s v="Facture comptabilisée"/>
    <m/>
    <x v="0"/>
    <x v="5847"/>
    <s v="2300ML"/>
    <d v="2026-02-13T00:00:00"/>
    <s v="300133"/>
    <s v="OP BOX "/>
    <n v="13694.4"/>
  </r>
  <r>
    <s v="Facture comptabilisée"/>
    <m/>
    <x v="0"/>
    <x v="5848"/>
    <s v="JP CASA "/>
    <d v="2026-02-13T00:00:00"/>
    <s v="300375"/>
    <s v="BASTURK CAM SANAYI VE TICARET"/>
    <n v="96176.2978"/>
  </r>
  <r>
    <s v="Facture comptabilisée"/>
    <m/>
    <x v="0"/>
    <x v="5849"/>
    <s v="17/2026 ASNI"/>
    <d v="2026-02-16T00:00:00"/>
    <s v="300043"/>
    <s v="DOUANE"/>
    <n v="3917"/>
  </r>
  <r>
    <s v="Facture comptabilisée"/>
    <m/>
    <x v="0"/>
    <x v="5850"/>
    <s v="COMPLIMENT"/>
    <d v="2026-02-16T00:00:00"/>
    <s v="300043"/>
    <s v="DOUANE"/>
    <n v="2468"/>
  </r>
  <r>
    <s v="Facture comptabilisée"/>
    <m/>
    <x v="0"/>
    <x v="5851"/>
    <s v="2300ML"/>
    <d v="2026-02-16T00:00:00"/>
    <s v="300133"/>
    <s v="OP BOX "/>
    <n v="31953.599999999999"/>
  </r>
  <r>
    <s v="Facture comptabilisée"/>
    <m/>
    <x v="0"/>
    <x v="5852"/>
    <s v="VMM "/>
    <d v="2026-02-16T00:00:00"/>
    <s v="300381"/>
    <s v="ENVASES IBERICA"/>
    <n v="335159.35200000001"/>
  </r>
  <r>
    <s v="Facture comptabilisée"/>
    <m/>
    <x v="0"/>
    <x v="5853"/>
    <s v="LOGI FOOD"/>
    <d v="2026-02-16T00:00:00"/>
    <s v="300381"/>
    <s v="ENVASES IBERICA"/>
    <n v="353082.31199999998"/>
  </r>
  <r>
    <s v="Facture comptabilisée"/>
    <m/>
    <x v="0"/>
    <x v="5854"/>
    <s v="JP A"/>
    <d v="2026-02-16T00:00:00"/>
    <s v="300381"/>
    <s v="ENVASES IBERICA"/>
    <n v="333907.20000000001"/>
  </r>
  <r>
    <s v="Facture comptabilisée"/>
    <m/>
    <x v="0"/>
    <x v="5855"/>
    <s v="JP+VMM"/>
    <d v="2026-02-16T00:00:00"/>
    <s v="300381"/>
    <s v="ENVASES IBERICA"/>
    <n v="334422.79200000002"/>
  </r>
  <r>
    <s v="Facture comptabilisée"/>
    <m/>
    <x v="0"/>
    <x v="5856"/>
    <s v="14/2026 ASNI"/>
    <d v="2026-02-17T00:00:00"/>
    <s v="300423"/>
    <s v="ASNITRANS"/>
    <n v="3209.23"/>
  </r>
  <r>
    <s v="Facture comptabilisée"/>
    <m/>
    <x v="0"/>
    <x v="5857"/>
    <s v="15/2026 ASNI "/>
    <d v="2026-02-17T00:00:00"/>
    <s v="300423"/>
    <s v="ASNITRANS"/>
    <n v="3543.96"/>
  </r>
  <r>
    <s v="Facture comptabilisée"/>
    <m/>
    <x v="0"/>
    <x v="5858"/>
    <s v="16/2026 ASNI"/>
    <d v="2026-02-17T00:00:00"/>
    <s v="300423"/>
    <s v="ASNITRANS"/>
    <n v="3209.23"/>
  </r>
  <r>
    <s v="Facture comptabilisée"/>
    <m/>
    <x v="0"/>
    <x v="5859"/>
    <s v="17/2026 ASNI"/>
    <d v="2026-02-18T00:00:00"/>
    <s v="300423"/>
    <s v="ASNITRANS"/>
    <n v="9676.2900000000009"/>
  </r>
  <r>
    <s v="Facture comptabilisée"/>
    <m/>
    <x v="0"/>
    <x v="5860"/>
    <s v="20/2026 ASNI"/>
    <d v="2026-02-19T00:00:00"/>
    <s v="300043"/>
    <s v="DOUANE"/>
    <n v="1310"/>
  </r>
  <r>
    <s v="Facture comptabilisée"/>
    <m/>
    <x v="0"/>
    <x v="5861"/>
    <s v="19/2026 ASNI "/>
    <d v="2026-02-19T00:00:00"/>
    <s v="300043"/>
    <s v="DOUANE"/>
    <n v="1313"/>
  </r>
  <r>
    <s v="Facture comptabilisée"/>
    <m/>
    <x v="0"/>
    <x v="5862"/>
    <s v="22/2026 ASNI"/>
    <d v="2026-02-19T00:00:00"/>
    <s v="300043"/>
    <s v="DOUANE"/>
    <n v="1373"/>
  </r>
  <r>
    <s v="Facture comptabilisée"/>
    <m/>
    <x v="0"/>
    <x v="5863"/>
    <s v="21/2026 ASNI"/>
    <d v="2026-02-19T00:00:00"/>
    <s v="300043"/>
    <s v="DOUANE"/>
    <n v="1316"/>
  </r>
  <r>
    <s v="Facture comptabilisée"/>
    <m/>
    <x v="0"/>
    <x v="5864"/>
    <s v="SILVER FOOD"/>
    <d v="2026-02-19T00:00:00"/>
    <s v="300381"/>
    <s v="ENVASES IBERICA"/>
    <n v="333907.20000000001"/>
  </r>
  <r>
    <s v="Facture comptabilisée"/>
    <m/>
    <x v="0"/>
    <x v="5865"/>
    <s v="TUNAMAX"/>
    <d v="2026-02-19T00:00:00"/>
    <s v="300381"/>
    <s v="ENVASES IBERICA"/>
    <n v="333907.20000000001"/>
  </r>
  <r>
    <s v="Facture comptabilisée"/>
    <m/>
    <x v="0"/>
    <x v="5866"/>
    <s v="21/2026 ASNI"/>
    <d v="2026-02-20T00:00:00"/>
    <s v="300321"/>
    <s v="JIL LOGISTIQUE"/>
    <n v="23400"/>
  </r>
  <r>
    <s v="Facture comptabilisée"/>
    <m/>
    <x v="0"/>
    <x v="5867"/>
    <s v="18/2026 ASNI"/>
    <d v="2026-02-20T00:00:00"/>
    <s v="300423"/>
    <s v="ASNITRANS"/>
    <n v="3543.96"/>
  </r>
  <r>
    <s v="Facture comptabilisée"/>
    <m/>
    <x v="0"/>
    <x v="5868"/>
    <s v="20L"/>
    <d v="2026-02-21T00:00:00"/>
    <s v="300133"/>
    <s v="OP BOX "/>
    <n v="32670"/>
  </r>
  <r>
    <s v="Facture comptabilisée"/>
    <m/>
    <x v="0"/>
    <x v="5869"/>
    <s v="20L"/>
    <d v="2026-02-21T00:00:00"/>
    <s v="300133"/>
    <s v="OP BOX "/>
    <n v="12751.2"/>
  </r>
  <r>
    <s v="Facture comptabilisée"/>
    <m/>
    <x v="0"/>
    <x v="5870"/>
    <s v="2300ML"/>
    <d v="2026-02-21T00:00:00"/>
    <s v="300133"/>
    <s v="OP BOX "/>
    <n v="45648"/>
  </r>
  <r>
    <s v="Facture comptabilisée"/>
    <m/>
    <x v="0"/>
    <x v="5871"/>
    <s v="20/2026 ASNI"/>
    <d v="2026-02-21T00:00:00"/>
    <s v="300321"/>
    <s v="JIL LOGISTIQUE"/>
    <n v="27300"/>
  </r>
  <r>
    <s v="Facture comptabilisée"/>
    <m/>
    <x v="0"/>
    <x v="5872"/>
    <s v="22/2026 ASNI"/>
    <d v="2026-02-21T00:00:00"/>
    <s v="300321"/>
    <s v="JIL LOGISTIQUE"/>
    <n v="23400"/>
  </r>
  <r>
    <s v="Facture comptabilisée"/>
    <m/>
    <x v="0"/>
    <x v="5873"/>
    <s v="19/2026 ASNI"/>
    <d v="2026-02-21T00:00:00"/>
    <s v="300321"/>
    <s v="JIL LOGISTIQUE"/>
    <n v="23400"/>
  </r>
  <r>
    <s v="Facture comptabilisée"/>
    <m/>
    <x v="0"/>
    <x v="5874"/>
    <s v="23/2026 ASNI"/>
    <d v="2026-02-23T00:00:00"/>
    <s v="300043"/>
    <s v="DOUANE"/>
    <n v="1308"/>
  </r>
  <r>
    <s v="Facture comptabilisée"/>
    <m/>
    <x v="0"/>
    <x v="5875"/>
    <s v="24/2026 ASNI"/>
    <d v="2026-02-23T00:00:00"/>
    <s v="300043"/>
    <s v="DOUANE"/>
    <n v="1308"/>
  </r>
  <r>
    <s v="Facture comptabilisée"/>
    <m/>
    <x v="0"/>
    <x v="5876"/>
    <s v="GLO FOOD"/>
    <d v="2026-02-23T00:00:00"/>
    <s v="300237"/>
    <s v="Saribekir Ambalaj - SBK"/>
    <n v="134552"/>
  </r>
  <r>
    <s v="Facture comptabilisée"/>
    <m/>
    <x v="0"/>
    <x v="5877"/>
    <s v="GLO FOOD"/>
    <d v="2026-02-23T00:00:00"/>
    <s v="300237"/>
    <s v="Saribekir Ambalaj - SBK"/>
    <n v="134552"/>
  </r>
  <r>
    <s v="Facture comptabilisée"/>
    <m/>
    <x v="0"/>
    <x v="5878"/>
    <s v="GLO FOOD"/>
    <d v="2026-02-23T00:00:00"/>
    <s v="300237"/>
    <s v="Saribekir Ambalaj - SBK"/>
    <n v="117418.4"/>
  </r>
  <r>
    <s v="Facture comptabilisée"/>
    <m/>
    <x v="0"/>
    <x v="5879"/>
    <s v="LOGI FOOD"/>
    <d v="2026-02-23T00:00:00"/>
    <s v="300381"/>
    <s v="ENVASES IBERICA"/>
    <n v="355289.74800000002"/>
  </r>
  <r>
    <s v="Facture comptabilisée"/>
    <m/>
    <x v="0"/>
    <x v="5880"/>
    <s v="23/2026 ASNI"/>
    <d v="2026-02-24T00:00:00"/>
    <s v="300321"/>
    <s v="JIL LOGISTIQUE"/>
    <n v="23400"/>
  </r>
  <r>
    <s v="Facture comptabilisée"/>
    <m/>
    <x v="0"/>
    <x v="5881"/>
    <s v="24/2026 ASNI"/>
    <d v="2026-02-24T00:00:00"/>
    <s v="300321"/>
    <s v="JIL LOGISTIQUE"/>
    <n v="23400"/>
  </r>
  <r>
    <s v="Facture comptabilisée"/>
    <m/>
    <x v="0"/>
    <x v="5882"/>
    <s v="19/2026 ASNI"/>
    <d v="2026-02-25T00:00:00"/>
    <s v="300423"/>
    <s v="ASNITRANS"/>
    <n v="3209.23"/>
  </r>
  <r>
    <s v="Facture comptabilisée"/>
    <m/>
    <x v="0"/>
    <x v="5883"/>
    <s v="20/2026 ASNI "/>
    <d v="2026-02-25T00:00:00"/>
    <s v="300423"/>
    <s v="ASNITRANS"/>
    <n v="3209.23"/>
  </r>
  <r>
    <s v="Facture comptabilisée"/>
    <m/>
    <x v="0"/>
    <x v="5884"/>
    <s v="21/2026 ASNI"/>
    <d v="2026-02-25T00:00:00"/>
    <s v="300423"/>
    <s v="ASNITRANS"/>
    <n v="3543.96"/>
  </r>
  <r>
    <s v="Facture comptabilisée"/>
    <m/>
    <x v="0"/>
    <x v="5885"/>
    <s v="22/2026 ASNI"/>
    <d v="2026-02-25T00:00:00"/>
    <s v="300423"/>
    <s v="ASNITRANS"/>
    <n v="3209.23"/>
  </r>
  <r>
    <s v="Facture comptabilisée"/>
    <m/>
    <x v="0"/>
    <x v="5886"/>
    <s v="25/2026 ASNI"/>
    <d v="2026-02-26T00:00:00"/>
    <s v="300043"/>
    <s v="DOUANE"/>
    <n v="1390"/>
  </r>
  <r>
    <s v="Facture comptabilisée"/>
    <m/>
    <x v="0"/>
    <x v="5887"/>
    <s v="JP AGADIR"/>
    <d v="2026-02-26T00:00:00"/>
    <s v="300381"/>
    <s v="ENVASES IBERICA"/>
    <n v="333907.20000000001"/>
  </r>
  <r>
    <s v="Facture comptabilisée"/>
    <m/>
    <x v="0"/>
    <x v="5888"/>
    <s v="COMPLIMENT"/>
    <d v="2026-02-27T00:00:00"/>
    <s v="300043"/>
    <s v="DOUANE"/>
    <n v="2723"/>
  </r>
  <r>
    <s v="Facture comptabilisée"/>
    <m/>
    <x v="0"/>
    <x v="5889"/>
    <s v="23/2026 ASNI"/>
    <d v="2026-02-28T00:00:00"/>
    <s v="300423"/>
    <s v="ASNITRANS"/>
    <n v="3878.69"/>
  </r>
  <r>
    <s v="Facture comptabilisée"/>
    <m/>
    <x v="0"/>
    <x v="5890"/>
    <s v="24/2026 ASNI"/>
    <d v="2026-02-28T00:00:00"/>
    <s v="300423"/>
    <s v="ASNITRANS"/>
    <n v="4325"/>
  </r>
  <r>
    <s v="Facture comptabilisée"/>
    <m/>
    <x v="0"/>
    <x v="5891"/>
    <s v="25/2026 ASNI"/>
    <d v="2026-02-28T00:00:00"/>
    <s v="300423"/>
    <s v="ASNITRANS"/>
    <n v="3543.96"/>
  </r>
  <r>
    <s v="Facture comptabilisée"/>
    <m/>
    <x v="0"/>
    <x v="5892"/>
    <s v="26/2026 ASNI"/>
    <d v="2026-03-02T00:00:00"/>
    <s v="300043"/>
    <s v="DOUANE"/>
    <n v="1310"/>
  </r>
  <r>
    <s v="Facture comptabilisée"/>
    <m/>
    <x v="0"/>
    <x v="5893"/>
    <s v="JP AGADIR"/>
    <d v="2026-03-02T00:00:00"/>
    <s v="300381"/>
    <s v="ENVASES IBERICA"/>
    <n v="333907.20000000001"/>
  </r>
  <r>
    <s v="Facture comptabilisée"/>
    <m/>
    <x v="0"/>
    <x v="5894"/>
    <s v="LOGI FOOD"/>
    <d v="2026-03-02T00:00:00"/>
    <s v="300381"/>
    <s v="ENVASES IBERICA"/>
    <n v="353168.24400000001"/>
  </r>
  <r>
    <s v="Facture comptabilisée"/>
    <m/>
    <x v="0"/>
    <x v="5895"/>
    <s v="02/2026 ASFOEX"/>
    <d v="2026-03-03T00:00:00"/>
    <s v="300043"/>
    <s v="DOUANE"/>
    <n v="932"/>
  </r>
  <r>
    <s v="Facture comptabilisée"/>
    <m/>
    <x v="0"/>
    <x v="5896"/>
    <s v="26/2026 ASNI"/>
    <d v="2026-03-03T00:00:00"/>
    <s v="300321"/>
    <s v="JIL LOGISTIQUE"/>
    <n v="35100"/>
  </r>
  <r>
    <s v="Facture comptabilisée"/>
    <m/>
    <x v="0"/>
    <x v="5897"/>
    <s v="JP CASA +VMM"/>
    <d v="2026-03-03T00:00:00"/>
    <s v="300381"/>
    <s v="ENVASES IBERICA"/>
    <n v="334741.96799999999"/>
  </r>
  <r>
    <s v="Facture comptabilisée"/>
    <m/>
    <x v="0"/>
    <x v="5898"/>
    <s v="TUNAMAX"/>
    <d v="2026-03-03T00:00:00"/>
    <s v="300381"/>
    <s v="ENVASES IBERICA"/>
    <n v="333907.20000000001"/>
  </r>
  <r>
    <s v="Facture comptabilisée"/>
    <m/>
    <x v="0"/>
    <x v="5899"/>
    <s v="JP AGADIR"/>
    <d v="2026-03-03T00:00:00"/>
    <s v="300381"/>
    <s v="ENVASES IBERICA"/>
    <n v="333907.20000000001"/>
  </r>
  <r>
    <s v="Facture comptabilisée"/>
    <m/>
    <x v="0"/>
    <x v="5900"/>
    <s v="28/2026 ASNI"/>
    <d v="2026-03-04T00:00:00"/>
    <s v="300043"/>
    <s v="DOUANE"/>
    <n v="1308"/>
  </r>
  <r>
    <s v="Facture comptabilisée"/>
    <m/>
    <x v="0"/>
    <x v="5901"/>
    <s v="27/2026 ASNI"/>
    <d v="2026-03-04T00:00:00"/>
    <s v="300043"/>
    <s v="DOUANE"/>
    <n v="1372"/>
  </r>
  <r>
    <s v="Facture comptabilisée"/>
    <m/>
    <x v="0"/>
    <x v="5902"/>
    <s v="25/2026 ASNI"/>
    <d v="2026-03-04T00:00:00"/>
    <s v="300321"/>
    <s v="JIL LOGISTIQUE"/>
    <n v="27300"/>
  </r>
  <r>
    <s v="Facture comptabilisée"/>
    <m/>
    <x v="0"/>
    <x v="5903"/>
    <s v="27/2026 ASNI"/>
    <d v="2026-03-04T00:00:00"/>
    <s v="300321"/>
    <s v="JIL LOGISTIQUE"/>
    <n v="23400"/>
  </r>
  <r>
    <s v="Facture comptabilisée"/>
    <m/>
    <x v="0"/>
    <x v="5904"/>
    <s v="28/2026 ASNI"/>
    <d v="2026-03-04T00:00:00"/>
    <s v="300321"/>
    <s v="JIL LOGISTIQUE"/>
    <n v="37700"/>
  </r>
  <r>
    <s v="Facture comptabilisée"/>
    <m/>
    <x v="0"/>
    <x v="5905"/>
    <s v="JP CASA"/>
    <d v="2026-03-05T00:00:00"/>
    <s v="300381"/>
    <s v="ENVASES IBERICA"/>
    <n v="333907.20000000001"/>
  </r>
  <r>
    <s v="Facture comptabilisée"/>
    <m/>
    <x v="0"/>
    <x v="5906"/>
    <s v="LOGI FOOD"/>
    <d v="2026-03-05T00:00:00"/>
    <s v="300381"/>
    <s v="ENVASES IBERICA"/>
    <n v="357280.70400000003"/>
  </r>
  <r>
    <s v="Facture comptabilisée"/>
    <m/>
    <x v="0"/>
    <x v="5907"/>
    <s v="JP A"/>
    <d v="2026-03-05T00:00:00"/>
    <s v="300381"/>
    <s v="ENVASES IBERICA"/>
    <n v="333907.20000000001"/>
  </r>
  <r>
    <s v="Facture comptabilisée"/>
    <m/>
    <x v="0"/>
    <x v="5908"/>
    <s v="COMPLIMENT"/>
    <d v="2026-03-06T00:00:00"/>
    <s v="300043"/>
    <s v="DOUANE"/>
    <n v="4307"/>
  </r>
  <r>
    <s v="Facture comptabilisée"/>
    <m/>
    <x v="0"/>
    <x v="5909"/>
    <s v="35/2026 ASNI"/>
    <d v="2026-03-06T00:00:00"/>
    <s v="300043"/>
    <s v="DOUANE"/>
    <n v="1308"/>
  </r>
  <r>
    <s v="Facture comptabilisée"/>
    <m/>
    <x v="0"/>
    <x v="5910"/>
    <s v="34/2026 ASNI"/>
    <d v="2026-03-06T00:00:00"/>
    <s v="300043"/>
    <s v="DOUANE"/>
    <n v="1308"/>
  </r>
  <r>
    <s v="Facture comptabilisée"/>
    <m/>
    <x v="0"/>
    <x v="5911"/>
    <s v="29/2026 ASNI"/>
    <d v="2026-03-06T00:00:00"/>
    <s v="300043"/>
    <s v="DOUANE"/>
    <n v="1310"/>
  </r>
  <r>
    <s v="Facture comptabilisée"/>
    <m/>
    <x v="0"/>
    <x v="5912"/>
    <s v="JP CASA"/>
    <d v="2026-03-06T00:00:00"/>
    <s v="300381"/>
    <s v="ENVASES IBERICA"/>
    <n v="333907.20000000001"/>
  </r>
  <r>
    <s v="Facture comptabilisée"/>
    <m/>
    <x v="0"/>
    <x v="5913"/>
    <s v="29/2026 ASNI"/>
    <d v="2026-03-07T00:00:00"/>
    <s v="300321"/>
    <s v="JIL LOGISTIQUE"/>
    <n v="23400"/>
  </r>
  <r>
    <s v="Facture comptabilisée"/>
    <m/>
    <x v="0"/>
    <x v="5914"/>
    <s v="34/2026 ASNI"/>
    <d v="2026-03-07T00:00:00"/>
    <s v="300321"/>
    <s v="JIL LOGISTIQUE"/>
    <n v="27300"/>
  </r>
  <r>
    <s v="Facture comptabilisée"/>
    <m/>
    <x v="0"/>
    <x v="5915"/>
    <s v="35/2026 ASNI"/>
    <d v="2026-03-07T00:00:00"/>
    <s v="300321"/>
    <s v="JIL LOGISTIQUE"/>
    <n v="23400"/>
  </r>
  <r>
    <s v="Facture comptabilisée"/>
    <m/>
    <x v="0"/>
    <x v="5916"/>
    <s v="26/2026 ASNI"/>
    <d v="2026-03-07T00:00:00"/>
    <s v="300423"/>
    <s v="ASNITRANS"/>
    <n v="3543.96"/>
  </r>
  <r>
    <s v="Facture comptabilisée"/>
    <m/>
    <x v="0"/>
    <x v="5917"/>
    <s v="27/2026 ASNI"/>
    <d v="2026-03-07T00:00:00"/>
    <s v="300423"/>
    <s v="ASNITRANS"/>
    <n v="3543.96"/>
  </r>
  <r>
    <s v="Facture comptabilisée"/>
    <m/>
    <x v="0"/>
    <x v="5918"/>
    <s v="28/2026 ASNI"/>
    <d v="2026-03-07T00:00:00"/>
    <s v="300423"/>
    <s v="ASNITRANS"/>
    <n v="3209.23"/>
  </r>
  <r>
    <s v="Facture comptabilisée"/>
    <m/>
    <x v="0"/>
    <x v="5919"/>
    <s v="33/2026 ASNI"/>
    <d v="2026-03-08T00:00:00"/>
    <s v="300321"/>
    <s v="JIL LOGISTIQUE"/>
    <n v="23400"/>
  </r>
  <r>
    <s v="Facture comptabilisée"/>
    <m/>
    <x v="0"/>
    <x v="5920"/>
    <s v="32/2026 ASNI"/>
    <d v="2026-03-08T00:00:00"/>
    <s v="300321"/>
    <s v="JIL LOGISTIQUE"/>
    <n v="23400"/>
  </r>
  <r>
    <s v="Facture comptabilisée"/>
    <m/>
    <x v="0"/>
    <x v="5921"/>
    <s v="02/2026 ASFOEX"/>
    <d v="2026-03-09T00:00:00"/>
    <s v="300043"/>
    <s v="DOUANE"/>
    <n v="9630"/>
  </r>
  <r>
    <s v="Facture comptabilisée"/>
    <m/>
    <x v="0"/>
    <x v="5922"/>
    <s v="33/2026 ASNI"/>
    <d v="2026-03-09T00:00:00"/>
    <s v="300043"/>
    <s v="DOUANE"/>
    <n v="1384"/>
  </r>
  <r>
    <s v="Facture comptabilisée"/>
    <m/>
    <x v="0"/>
    <x v="5923"/>
    <s v="31/2026 ASNI"/>
    <d v="2026-03-09T00:00:00"/>
    <s v="300043"/>
    <s v="DOUANE"/>
    <n v="1308"/>
  </r>
  <r>
    <s v="Facture comptabilisée"/>
    <m/>
    <x v="0"/>
    <x v="5924"/>
    <s v="32/2026 ASNI"/>
    <d v="2026-03-09T00:00:00"/>
    <s v="300043"/>
    <s v="DOUANE"/>
    <n v="1308"/>
  </r>
  <r>
    <s v="Facture comptabilisée"/>
    <m/>
    <x v="0"/>
    <x v="5925"/>
    <s v="30/2026 ASNI"/>
    <d v="2026-03-09T00:00:00"/>
    <s v="300043"/>
    <s v="DOUANE"/>
    <n v="1308"/>
  </r>
  <r>
    <s v="Facture comptabilisée"/>
    <m/>
    <x v="0"/>
    <x v="5926"/>
    <s v="31/2026 ASNI"/>
    <d v="2026-03-10T00:00:00"/>
    <s v="300321"/>
    <s v="JIL LOGISTIQUE"/>
    <n v="27300"/>
  </r>
  <r>
    <s v="Facture comptabilisée"/>
    <m/>
    <x v="0"/>
    <x v="5927"/>
    <s v="30/2026 ASNI"/>
    <d v="2026-03-10T00:00:00"/>
    <s v="300321"/>
    <s v="JIL LOGISTIQUE"/>
    <n v="23400"/>
  </r>
  <r>
    <s v="Facture comptabilisée"/>
    <m/>
    <x v="0"/>
    <x v="5928"/>
    <s v="660ML"/>
    <d v="2026-03-10T00:00:00"/>
    <s v="300375"/>
    <s v="BASTURK CAM SANAYI VE TICARET"/>
    <n v="192352.5956"/>
  </r>
  <r>
    <s v="Facture comptabilisée"/>
    <m/>
    <x v="0"/>
    <x v="5929"/>
    <s v="JP AGADIR"/>
    <d v="2026-03-11T00:00:00"/>
    <s v="300381"/>
    <s v="ENVASES IBERICA"/>
    <n v="333907.20000000001"/>
  </r>
  <r>
    <s v="Facture comptabilisée"/>
    <m/>
    <x v="0"/>
    <x v="5930"/>
    <s v="LOGI FOOD"/>
    <d v="2026-03-11T00:00:00"/>
    <s v="300381"/>
    <s v="ENVASES IBERICA"/>
    <n v="350749.87199999997"/>
  </r>
  <r>
    <s v="Facture comptabilisée"/>
    <m/>
    <x v="0"/>
    <x v="5931"/>
    <s v="COMPLIMENT"/>
    <d v="2026-03-13T00:00:00"/>
    <s v="300043"/>
    <s v="DOUANE"/>
    <n v="2404"/>
  </r>
  <r>
    <s v="Facture comptabilisée"/>
    <m/>
    <x v="0"/>
    <x v="5932"/>
    <s v="37/2026 ASNI"/>
    <d v="2026-03-13T00:00:00"/>
    <s v="300043"/>
    <s v="DOUANE"/>
    <n v="1377"/>
  </r>
  <r>
    <s v="Facture comptabilisée"/>
    <m/>
    <x v="0"/>
    <x v="5933"/>
    <s v="36/2026 ASNI"/>
    <d v="2026-03-13T00:00:00"/>
    <s v="300043"/>
    <s v="DOUANE"/>
    <n v="1316"/>
  </r>
  <r>
    <s v="Facture comptabilisée"/>
    <m/>
    <x v="0"/>
    <x v="5934"/>
    <s v="4600ML"/>
    <d v="2026-03-13T00:00:00"/>
    <s v="300133"/>
    <s v="OP BOX "/>
    <n v="21106.799999999999"/>
  </r>
  <r>
    <s v="Facture comptabilisée"/>
    <m/>
    <x v="0"/>
    <x v="5935"/>
    <s v="TUNAMAX"/>
    <d v="2026-03-13T00:00:00"/>
    <s v="300381"/>
    <s v="ENVASES IBERICA"/>
    <n v="324160.69400000002"/>
  </r>
  <r>
    <s v="Facture comptabilisée"/>
    <m/>
    <x v="0"/>
    <x v="5936"/>
    <s v="LOGI FOOD"/>
    <d v="2026-03-13T00:00:00"/>
    <s v="300381"/>
    <s v="ENVASES IBERICA"/>
    <n v="349816.89600000001"/>
  </r>
  <r>
    <s v="Facture comptabilisée"/>
    <m/>
    <x v="0"/>
    <x v="5937"/>
    <s v="CUMAREX *atuneros"/>
    <d v="2026-03-13T00:00:00"/>
    <s v="300381"/>
    <s v="ENVASES IBERICA"/>
    <n v="333907.20000000001"/>
  </r>
  <r>
    <s v="Facture comptabilisée"/>
    <m/>
    <x v="0"/>
    <x v="5938"/>
    <s v="30/2026 ASNI"/>
    <d v="2026-03-13T00:00:00"/>
    <s v="300423"/>
    <s v="ASNITRANS"/>
    <n v="3543.96"/>
  </r>
  <r>
    <s v="Facture comptabilisée"/>
    <m/>
    <x v="0"/>
    <x v="5939"/>
    <s v="31/2026 ASNI"/>
    <d v="2026-03-13T00:00:00"/>
    <s v="300423"/>
    <s v="ASNITRANS"/>
    <n v="3878.69"/>
  </r>
  <r>
    <s v="Facture comptabilisée"/>
    <m/>
    <x v="0"/>
    <x v="5940"/>
    <s v="32/2026 ASNI"/>
    <d v="2026-03-13T00:00:00"/>
    <s v="300423"/>
    <s v="ASNITRANS"/>
    <n v="3878.69"/>
  </r>
  <r>
    <s v="Facture comptabilisée"/>
    <m/>
    <x v="0"/>
    <x v="5941"/>
    <s v="33/2026 ASNI "/>
    <d v="2026-03-13T00:00:00"/>
    <s v="300423"/>
    <s v="ASNITRANS"/>
    <n v="3878.69"/>
  </r>
  <r>
    <s v="Facture comptabilisée"/>
    <m/>
    <x v="0"/>
    <x v="5942"/>
    <s v="34/2026 ASNI"/>
    <d v="2026-03-13T00:00:00"/>
    <s v="300423"/>
    <s v="ASNITRANS"/>
    <n v="3209.23"/>
  </r>
  <r>
    <s v="Facture comptabilisée"/>
    <m/>
    <x v="0"/>
    <x v="5943"/>
    <s v="35/2026 ASNI"/>
    <d v="2026-03-13T00:00:00"/>
    <s v="300423"/>
    <s v="ASNITRANS"/>
    <n v="3209.23"/>
  </r>
  <r>
    <s v="Facture comptabilisée"/>
    <m/>
    <x v="0"/>
    <x v="5944"/>
    <s v="29/2026 ASNI"/>
    <d v="2026-03-13T00:00:00"/>
    <s v="300423"/>
    <s v="ASNITRANS"/>
    <n v="3209.23"/>
  </r>
  <r>
    <s v="Facture comptabilisée"/>
    <m/>
    <x v="0"/>
    <x v="5945"/>
    <s v="36/2026 ASNI"/>
    <d v="2026-03-14T00:00:00"/>
    <s v="300321"/>
    <s v="JIL LOGISTIQUE"/>
    <n v="27300"/>
  </r>
  <r>
    <s v="Facture comptabilisée"/>
    <m/>
    <x v="0"/>
    <x v="5946"/>
    <s v="38/2026 ASNI"/>
    <d v="2026-03-16T00:00:00"/>
    <s v="300043"/>
    <s v="DOUANE"/>
    <n v="1362"/>
  </r>
  <r>
    <s v="Facture comptabilisée"/>
    <m/>
    <x v="0"/>
    <x v="5947"/>
    <s v="39/2026 ASNI"/>
    <d v="2026-03-16T00:00:00"/>
    <s v="300043"/>
    <s v="DOUANE"/>
    <n v="1278"/>
  </r>
  <r>
    <s v="Facture comptabilisée"/>
    <m/>
    <x v="0"/>
    <x v="5948"/>
    <s v="JP A"/>
    <d v="2026-03-16T00:00:00"/>
    <s v="300115"/>
    <s v="AUXILIAR CONSERVERA SA"/>
    <n v="346264.28100000002"/>
  </r>
  <r>
    <s v="Facture comptabilisée"/>
    <m/>
    <x v="0"/>
    <x v="5949"/>
    <s v="JP A"/>
    <d v="2026-03-16T00:00:00"/>
    <s v="300115"/>
    <s v="AUXILIAR CONSERVERA SA"/>
    <n v="346283.685"/>
  </r>
  <r>
    <s v="Facture comptabilisée"/>
    <m/>
    <x v="0"/>
    <x v="5950"/>
    <s v="JP AIN SEBAA "/>
    <d v="2026-03-16T00:00:00"/>
    <s v="300381"/>
    <s v="ENVASES IBERICA"/>
    <n v="333907.20000000001"/>
  </r>
  <r>
    <s v="Facture comptabilisée"/>
    <m/>
    <x v="0"/>
    <x v="5951"/>
    <s v="40/2026 ASNI"/>
    <d v="2026-03-17T00:00:00"/>
    <s v="300043"/>
    <s v="DOUANE"/>
    <n v="1309"/>
  </r>
  <r>
    <s v="Facture comptabilisée"/>
    <m/>
    <x v="0"/>
    <x v="5952"/>
    <s v="COMPLIMENT"/>
    <d v="2026-03-18T00:00:00"/>
    <s v="300043"/>
    <s v="DOUANE"/>
    <n v="3006"/>
  </r>
  <r>
    <s v="Facture comptabilisée"/>
    <m/>
    <x v="0"/>
    <x v="5953"/>
    <s v="41/2026 ASNI"/>
    <d v="2026-03-18T00:00:00"/>
    <s v="300043"/>
    <s v="DOUANE"/>
    <n v="1319"/>
  </r>
  <r>
    <s v="Facture comptabilisée"/>
    <m/>
    <x v="0"/>
    <x v="5954"/>
    <s v="39/2026 ASNI"/>
    <d v="2026-03-18T00:00:00"/>
    <s v="300321"/>
    <s v="JIL LOGISTIQUE"/>
    <n v="23400"/>
  </r>
  <r>
    <s v="Facture comptabilisée"/>
    <m/>
    <x v="0"/>
    <x v="5955"/>
    <s v="JP A"/>
    <d v="2026-03-18T00:00:00"/>
    <s v="300381"/>
    <s v="ENVASES IBERICA"/>
    <n v="333907.20000000001"/>
  </r>
  <r>
    <s v="Facture comptabilisée"/>
    <m/>
    <x v="0"/>
    <x v="5956"/>
    <s v="JP CASA"/>
    <d v="2026-03-18T00:00:00"/>
    <s v="300381"/>
    <s v="ENVASES IBERICA"/>
    <n v="333907.20000000001"/>
  </r>
  <r>
    <s v="Facture comptabilisée"/>
    <m/>
    <x v="0"/>
    <x v="5957"/>
    <s v="COMPLIMENT"/>
    <d v="2026-03-19T00:00:00"/>
    <s v="300043"/>
    <s v="DOUANE"/>
    <n v="3010"/>
  </r>
  <r>
    <s v="Facture comptabilisée"/>
    <m/>
    <x v="0"/>
    <x v="5958"/>
    <s v="38/2026 ASNI"/>
    <d v="2026-03-19T00:00:00"/>
    <s v="300321"/>
    <s v="JIL LOGISTIQUE"/>
    <n v="23400"/>
  </r>
  <r>
    <s v="Facture comptabilisée"/>
    <m/>
    <x v="0"/>
    <x v="5959"/>
    <s v="40/2026 ASNI"/>
    <d v="2026-03-19T00:00:00"/>
    <s v="300321"/>
    <s v="JIL LOGISTIQUE"/>
    <n v="23400"/>
  </r>
  <r>
    <s v="Facture comptabilisée"/>
    <m/>
    <x v="0"/>
    <x v="5960"/>
    <s v="43/2026 ASNI"/>
    <d v="2026-03-22T00:00:00"/>
    <s v="300321"/>
    <s v="JIL LOGISTIQUE"/>
    <n v="23400"/>
  </r>
  <r>
    <s v="Facture comptabilisée"/>
    <m/>
    <x v="0"/>
    <x v="5961"/>
    <s v="GLO FOOD"/>
    <d v="2026-03-23T00:00:00"/>
    <s v="300237"/>
    <s v="Saribekir Ambalaj - SBK"/>
    <n v="111804"/>
  </r>
  <r>
    <s v="Facture comptabilisée"/>
    <m/>
    <x v="0"/>
    <x v="5962"/>
    <s v="43/2026 ASNI"/>
    <d v="2026-03-24T00:00:00"/>
    <s v="300043"/>
    <s v="DOUANE"/>
    <n v="1306"/>
  </r>
  <r>
    <s v="Facture comptabilisée"/>
    <m/>
    <x v="0"/>
    <x v="5963"/>
    <s v="45/2026 ASNI"/>
    <d v="2026-03-24T00:00:00"/>
    <s v="300043"/>
    <s v="DOUANE"/>
    <n v="1288"/>
  </r>
  <r>
    <s v="Facture comptabilisée"/>
    <m/>
    <x v="0"/>
    <x v="5964"/>
    <s v="42/2026 ASNI"/>
    <d v="2026-03-25T00:00:00"/>
    <s v="300043"/>
    <s v="DOUANE"/>
    <n v="1306"/>
  </r>
  <r>
    <s v="Facture comptabilisée"/>
    <m/>
    <x v="0"/>
    <x v="5965"/>
    <s v="05/2026 JTTL"/>
    <d v="2026-03-25T00:00:00"/>
    <s v="300043"/>
    <s v="DOUANE"/>
    <n v="1276"/>
  </r>
  <r>
    <s v="Facture comptabilisée"/>
    <m/>
    <x v="0"/>
    <x v="5966"/>
    <s v="5500 AP"/>
    <d v="2026-03-25T00:00:00"/>
    <s v="300133"/>
    <s v="OP BOX "/>
    <n v="71186.399999999994"/>
  </r>
  <r>
    <s v="Facture comptabilisée"/>
    <m/>
    <x v="0"/>
    <x v="5967"/>
    <s v="38/2026 ASNI"/>
    <d v="2026-03-25T00:00:00"/>
    <s v="300423"/>
    <s v="ASNITRANS"/>
    <n v="3886.34"/>
  </r>
  <r>
    <s v="Facture comptabilisée"/>
    <m/>
    <x v="0"/>
    <x v="5968"/>
    <s v="39/2026 ASNI"/>
    <d v="2026-03-25T00:00:00"/>
    <s v="300423"/>
    <s v="ASNITRANS"/>
    <n v="3550.72"/>
  </r>
  <r>
    <s v="Facture comptabilisée"/>
    <m/>
    <x v="0"/>
    <x v="5969"/>
    <s v="40/2026 ASNI"/>
    <d v="2026-03-25T00:00:00"/>
    <s v="300423"/>
    <s v="ASNITRANS"/>
    <n v="3886.34"/>
  </r>
  <r>
    <s v="Facture comptabilisée"/>
    <m/>
    <x v="0"/>
    <x v="5970"/>
    <s v="41/2026 ASNI"/>
    <d v="2026-03-25T00:00:00"/>
    <s v="300423"/>
    <s v="ASNITRANS"/>
    <n v="3550.72"/>
  </r>
  <r>
    <s v="Facture comptabilisée"/>
    <m/>
    <x v="0"/>
    <x v="5971"/>
    <s v="36/2026 ASNI"/>
    <d v="2026-03-25T00:00:00"/>
    <s v="300423"/>
    <s v="ASNITRANS"/>
    <n v="3215.1"/>
  </r>
  <r>
    <s v="Facture comptabilisée"/>
    <m/>
    <x v="0"/>
    <x v="5972"/>
    <s v="37/2026 ASNI"/>
    <d v="2026-03-25T00:00:00"/>
    <s v="300423"/>
    <s v="ASNITRANS"/>
    <n v="3215.1"/>
  </r>
  <r>
    <s v="Facture comptabilisée"/>
    <m/>
    <x v="0"/>
    <x v="5973"/>
    <s v="44/2026 ASNI"/>
    <d v="2026-03-26T00:00:00"/>
    <s v="300043"/>
    <s v="DOUANE"/>
    <n v="1290"/>
  </r>
  <r>
    <s v="Facture comptabilisée"/>
    <m/>
    <x v="0"/>
    <x v="5974"/>
    <s v="600 ML"/>
    <d v="2026-03-26T00:00:00"/>
    <s v="300133"/>
    <s v="OP BOX "/>
    <n v="26395.599999999999"/>
  </r>
  <r>
    <s v="Facture comptabilisée"/>
    <m/>
    <x v="0"/>
    <x v="5975"/>
    <s v="42/2026 ASNI"/>
    <d v="2026-03-26T00:00:00"/>
    <s v="300321"/>
    <s v="JIL LOGISTIQUE"/>
    <n v="27300"/>
  </r>
  <r>
    <s v="Facture comptabilisée"/>
    <m/>
    <x v="0"/>
    <x v="5976"/>
    <s v="05/2026 JTTL"/>
    <d v="2026-03-27T00:00:00"/>
    <s v="300191"/>
    <s v="JTTL"/>
    <n v="28510.92"/>
  </r>
  <r>
    <s v="Facture comptabilisée"/>
    <m/>
    <x v="0"/>
    <x v="5977"/>
    <s v="COMPLIMENT"/>
    <d v="2026-03-30T00:00:00"/>
    <s v="300043"/>
    <s v="DOUANE"/>
    <n v="4232"/>
  </r>
  <r>
    <s v="Facture comptabilisée"/>
    <m/>
    <x v="0"/>
    <x v="5978"/>
    <s v="SILVER FOOD"/>
    <d v="2026-03-30T00:00:00"/>
    <s v="300381"/>
    <s v="ENVASES IBERICA"/>
    <n v="333907.20000000001"/>
  </r>
  <r>
    <s v="Facture comptabilisée"/>
    <m/>
    <x v="0"/>
    <x v="5979"/>
    <s v="JP CASA"/>
    <d v="2026-03-30T00:00:00"/>
    <s v="300381"/>
    <s v="ENVASES IBERICA"/>
    <n v="333907.20000000001"/>
  </r>
  <r>
    <s v="Facture comptabilisée"/>
    <m/>
    <x v="0"/>
    <x v="5980"/>
    <s v="42/2026 ASNI"/>
    <d v="2026-03-30T00:00:00"/>
    <s v="300423"/>
    <s v="ASNITRANS"/>
    <n v="4550.09"/>
  </r>
  <r>
    <s v="Facture comptabilisée"/>
    <m/>
    <x v="0"/>
    <x v="5981"/>
    <s v="43/2026 ASNI"/>
    <d v="2026-03-30T00:00:00"/>
    <s v="300423"/>
    <s v="ASNITRANS"/>
    <n v="3215.1"/>
  </r>
  <r>
    <s v="Facture comptabilisée"/>
    <m/>
    <x v="0"/>
    <x v="5982"/>
    <s v="41/2026 ASNI"/>
    <d v="2026-03-31T00:00:00"/>
    <s v="300321"/>
    <s v="JIL LOGISTIQUE"/>
    <n v="27300"/>
  </r>
  <r>
    <s v="Facture comptabilisée"/>
    <m/>
    <x v="0"/>
    <x v="5983"/>
    <s v="37/2026 ASNI"/>
    <d v="2026-03-31T00:00:00"/>
    <s v="300321"/>
    <s v="JIL LOGISTIQUE"/>
    <n v="27300"/>
  </r>
  <r>
    <s v="Facture comptabilisée"/>
    <m/>
    <x v="0"/>
    <x v="5984"/>
    <s v="47/2026 ASNI"/>
    <d v="2026-03-31T00:00:00"/>
    <s v="300321"/>
    <s v="JIL LOGISTIQUE"/>
    <n v="23400"/>
  </r>
  <r>
    <s v="Facture comptabilisée"/>
    <m/>
    <x v="0"/>
    <x v="5985"/>
    <s v="46/2026 ASNI"/>
    <d v="2026-03-31T00:00:00"/>
    <s v="300321"/>
    <s v="JIL LOGISTIQUE"/>
    <n v="23400"/>
  </r>
  <r>
    <s v="Facture comptabilisée"/>
    <m/>
    <x v="0"/>
    <x v="5986"/>
    <s v="44/2026 ASNI"/>
    <d v="2026-03-31T00:00:00"/>
    <s v="300423"/>
    <s v="ASNITRANS"/>
    <n v="7578.18"/>
  </r>
  <r>
    <s v="Facture comptabilisée"/>
    <m/>
    <x v="0"/>
    <x v="5987"/>
    <s v="45/2026 ASNI"/>
    <d v="2026-03-31T00:00:00"/>
    <s v="300423"/>
    <s v="ASNITRANS"/>
    <n v="5340.7"/>
  </r>
  <r>
    <m/>
    <m/>
    <x v="1"/>
    <x v="5988"/>
    <m/>
    <m/>
    <m/>
    <m/>
    <m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5">
  <r>
    <s v="Standard"/>
    <x v="0"/>
    <s v="Boite Fer Blanc OF 1/10 Thon - Ro80 - 065x038 - MDM - LUKA THV BLEU"/>
    <x v="0"/>
    <s v="FBFI"/>
    <n v="0"/>
  </r>
  <r>
    <s v="Standard"/>
    <x v="1"/>
    <s v="Bidon 1/2L Cylindrique - 073x138 - C6 - MIPA - DILUANT UNIVERSEL"/>
    <x v="0"/>
    <s v="FBIDI"/>
    <n v="0"/>
  </r>
  <r>
    <s v="Standard"/>
    <x v="2"/>
    <s v="Bidon 1L Cylindrique - 108x131 - ST32 - AIGLOR VERNIBOIS"/>
    <x v="0"/>
    <s v="FBIDI"/>
    <n v="0"/>
  </r>
  <r>
    <s v="Standard"/>
    <x v="3"/>
    <s v="Bidon 1L Cylindrique - 108x131 - ST42 - EUROTEX - TINTE BOIS"/>
    <x v="0"/>
    <s v="FBIDI"/>
    <n v="0"/>
  </r>
  <r>
    <s v="Standard"/>
    <x v="4"/>
    <s v="Bidon 1/4L Cylindrique - 071X080 - C6 - FBN"/>
    <x v="0"/>
    <s v="FBIDN"/>
    <n v="0"/>
  </r>
  <r>
    <s v="Standard"/>
    <x v="5"/>
    <s v="Bidon 1/2L Cylindrique - 071x138 - C6 - FBN"/>
    <x v="0"/>
    <s v="FBIDN"/>
    <n v="0"/>
  </r>
  <r>
    <s v="Standard"/>
    <x v="6"/>
    <s v="Bidon 1/2L Cylindrique - 071x146 - C6 - FBN"/>
    <x v="0"/>
    <s v="FBIDN"/>
    <n v="0"/>
  </r>
  <r>
    <s v="Standard"/>
    <x v="7"/>
    <s v="Bidon 1L Cylindrique - 108x131 - ST42 - FBN"/>
    <x v="0"/>
    <s v="FBIDN"/>
    <n v="0"/>
  </r>
  <r>
    <s v="Standard"/>
    <x v="8"/>
    <s v="Bidon 1L Rect Haut - 115x59x187 - C7 32 - MIPA DIL UNIVERSEL"/>
    <x v="0"/>
    <s v="FBIDI"/>
    <n v="0"/>
  </r>
  <r>
    <s v="Standard"/>
    <x v="9"/>
    <s v="Bidon 1L Rectangulaire Court - 166x063x119 - C6 - FB CB"/>
    <x v="0"/>
    <s v="FBIDN"/>
    <n v="0"/>
  </r>
  <r>
    <s v="Standard"/>
    <x v="10"/>
    <s v="Bidon 1L Rectangulaire Court - 166x063x119 - C6 - FBN"/>
    <x v="0"/>
    <s v="FBIDN"/>
    <n v="0"/>
  </r>
  <r>
    <s v="Standard"/>
    <x v="11"/>
    <s v="Bidon 1L Rectangulaire Haut - 115x59x187 - ST32 - FB CB"/>
    <x v="0"/>
    <s v="FBIDN"/>
    <n v="0"/>
  </r>
  <r>
    <s v="Standard"/>
    <x v="12"/>
    <s v="Bidon 1L Rectangulaire Haut (vernis) - 115x59x187 - ST32 - PPT"/>
    <x v="0"/>
    <s v="FBIDN"/>
    <n v="0"/>
  </r>
  <r>
    <s v="Standard"/>
    <x v="13"/>
    <s v="Bidon 1/2L Rectangulaire (vernis) - 115x59x105 - ST32 - PPT"/>
    <x v="0"/>
    <s v="FBIDN"/>
    <n v="0"/>
  </r>
  <r>
    <s v="Standard"/>
    <x v="14"/>
    <s v="Bidon 1/2L Rectangulaire (diluant) - 115x59x105 - ST32 - PPT"/>
    <x v="0"/>
    <s v="FBIDN"/>
    <n v="0"/>
  </r>
  <r>
    <s v="Standard"/>
    <x v="15"/>
    <s v="Bidon 1L Rectangulaire Haut (diluant) - 115x59x187 - ST32 - PPT"/>
    <x v="0"/>
    <s v="FBIDN"/>
    <n v="0"/>
  </r>
  <r>
    <s v="Standard"/>
    <x v="16"/>
    <s v="Bidon 1/2L Rectangulaire - 115x59x105 - ST32 - FB CB"/>
    <x v="0"/>
    <s v="FBIDN"/>
    <n v="0"/>
  </r>
  <r>
    <s v="Standard"/>
    <x v="17"/>
    <s v="Bidon 5L Rectangulaire - 150x120x295 - ST42 - FB CB"/>
    <x v="0"/>
    <s v="FBIDN"/>
    <n v="0"/>
  </r>
  <r>
    <s v="Standard"/>
    <x v="18"/>
    <s v="Bidon 5L Rectangulaire - 150x120x295 - ST42 - FBN"/>
    <x v="0"/>
    <s v="FBIDN"/>
    <n v="0"/>
  </r>
  <r>
    <s v="Standard"/>
    <x v="19"/>
    <s v="Bidon 1L Rect Court - 166x063x119 - C6 - PRODEC VERT"/>
    <x v="0"/>
    <s v="FBIDN"/>
    <n v="0"/>
  </r>
  <r>
    <s v="Standard"/>
    <x v="20"/>
    <s v="Boite 4,5kg Tulipe - 169x190x210 - OS - FBN - VI OR ALIM"/>
    <x v="0"/>
    <s v="FBVN"/>
    <n v="0"/>
  </r>
  <r>
    <s v="Standard"/>
    <x v="21"/>
    <s v="Boite ALU Dingley P21 Gold - 115ml - BPANI"/>
    <x v="0"/>
    <s v="ALFN"/>
    <n v="0"/>
  </r>
  <r>
    <s v="Standard"/>
    <x v="22"/>
    <s v="Boite 1/4kg - 071x080 - OS - MIPA CELLULO OPAQUE"/>
    <x v="0"/>
    <s v="FBIDI"/>
    <n v="0"/>
  </r>
  <r>
    <s v="Standard"/>
    <x v="23"/>
    <s v="Boite 1/4kg - 071x080 - OS - EUROCOULEUR - Euro Auto"/>
    <x v="0"/>
    <s v="FBIDI"/>
    <n v="0"/>
  </r>
  <r>
    <s v="Standard"/>
    <x v="24"/>
    <s v="Boite 1/2kg Courte - 108x070 - OS - AIGLOCAR"/>
    <x v="0"/>
    <s v="FBIDI"/>
    <n v="0"/>
  </r>
  <r>
    <s v="Standard"/>
    <x v="25"/>
    <s v="Boite 1/2kg Courte - 108x070 - OS - AIGLOLAC"/>
    <x v="0"/>
    <s v="FBIDI"/>
    <n v="0"/>
  </r>
  <r>
    <s v="Standard"/>
    <x v="26"/>
    <s v="Boite 1/2kg Courte - 108x070 - OS - AIGLOR APPRET"/>
    <x v="0"/>
    <s v="FBIDI"/>
    <n v="0"/>
  </r>
  <r>
    <s v="Standard"/>
    <x v="27"/>
    <s v="Boite 1/2kg L - 086x110 - OS - EUROTEX NOVOLACK"/>
    <x v="0"/>
    <s v="FBIDI"/>
    <n v="0"/>
  </r>
  <r>
    <s v="Standard"/>
    <x v="28"/>
    <s v="Boite 1/2kg L - 086x110 - OS - MANUPEINT MANULAQUE"/>
    <x v="0"/>
    <s v="FBIDI"/>
    <n v="0"/>
  </r>
  <r>
    <s v="Standard"/>
    <x v="29"/>
    <s v="Boite 1/2kg L - 086x110 - OS - SONAFIP TENSIFT"/>
    <x v="0"/>
    <s v="FBIDI"/>
    <n v="0"/>
  </r>
  <r>
    <s v="Standard"/>
    <x v="30"/>
    <s v="Boite 1/2kg Courte - 108x070 - OS - MIPA Pate a lustrer"/>
    <x v="0"/>
    <s v="FBIDI"/>
    <n v="0"/>
  </r>
  <r>
    <s v="Standard"/>
    <x v="31"/>
    <s v="Boite 1/2kg Courte - 108x070 - OS - MIPA Pate a polir P7"/>
    <x v="0"/>
    <s v="FBIDI"/>
    <n v="0"/>
  </r>
  <r>
    <s v="Standard"/>
    <x v="32"/>
    <s v="Boite 1/2kg Courte - 108x070 - OS - MIPA Peinture Cellulosique"/>
    <x v="0"/>
    <s v="FBIDI"/>
    <n v="0"/>
  </r>
  <r>
    <s v="Standard"/>
    <x v="33"/>
    <s v="Boite 1/2kg L - 086x110 - OS - SONAFIP CLASSICO LAC"/>
    <x v="0"/>
    <s v="FBIDI"/>
    <n v="0"/>
  </r>
  <r>
    <s v="Standard"/>
    <x v="34"/>
    <s v="Boite 1/2kg Courte - 108x070 - OS - TISSIR STARFER"/>
    <x v="0"/>
    <s v="FBIDI"/>
    <n v="0"/>
  </r>
  <r>
    <s v="Standard"/>
    <x v="35"/>
    <s v="Boite 1/2kg L - 086x110 - OS - EUROCOULEUR - EUROLAQUE"/>
    <x v="0"/>
    <s v="FBIDI"/>
    <n v="0"/>
  </r>
  <r>
    <s v="Standard"/>
    <x v="36"/>
    <s v="Boite 1/2kg Courte - 108x070 - OS - SONACOLOR - SONAFER"/>
    <x v="0"/>
    <s v="FBIDI"/>
    <n v="0"/>
  </r>
  <r>
    <s v="Standard"/>
    <x v="37"/>
    <s v="Boite 1/2kg L - 086x110 - OS - COPROCHIM - VERNICOP"/>
    <x v="0"/>
    <s v="FBIDI"/>
    <n v="0"/>
  </r>
  <r>
    <s v="Standard"/>
    <x v="38"/>
    <s v="Boite 1/2kg L - 086x110 - OS - EUROTEX-K10"/>
    <x v="0"/>
    <s v="FBIDI"/>
    <n v="0"/>
  </r>
  <r>
    <s v="Standard"/>
    <x v="39"/>
    <s v="Boite 1kg Courte - 108x099 - OS - AIGLOROUILLE"/>
    <x v="0"/>
    <s v="FBIDI"/>
    <n v="0"/>
  </r>
  <r>
    <s v="Standard"/>
    <x v="40"/>
    <s v="Boite 1kg Courte - 108x099 - OS - AIGLOZINC"/>
    <x v="0"/>
    <s v="FBIDI"/>
    <n v="0"/>
  </r>
  <r>
    <s v="Standard"/>
    <x v="41"/>
    <s v="Boite 1kg Courte - 108x099 - OS - TISSIR STARFER"/>
    <x v="0"/>
    <s v="FBIDI"/>
    <n v="0"/>
  </r>
  <r>
    <s v="Standard"/>
    <x v="42"/>
    <s v="Boite 1kg Longue - 108x131 - OS - AIGLOFLEX"/>
    <x v="0"/>
    <s v="FBIDI"/>
    <n v="0"/>
  </r>
  <r>
    <s v="Standard"/>
    <x v="43"/>
    <s v="Boite 1kg Longue - 108x131 - OS - AIGLOR SURFABOIS"/>
    <x v="0"/>
    <s v="FBIDI"/>
    <n v="0"/>
  </r>
  <r>
    <s v="Standard"/>
    <x v="44"/>
    <s v="Boite 1kg Longue - 108x131 - OS - EUROTEX NOVOLACK"/>
    <x v="0"/>
    <s v="FBIDI"/>
    <n v="0"/>
  </r>
  <r>
    <s v="Standard"/>
    <x v="45"/>
    <s v="Boite 1kg Longue - 108x131 - OS - MIPA CELLULO METAL G"/>
    <x v="0"/>
    <s v="FBIDI"/>
    <n v="0"/>
  </r>
  <r>
    <s v="Standard"/>
    <x v="46"/>
    <s v="Boite 1kg Longue - 108x131 - OS - MIPA CELLULO OPAQUE V"/>
    <x v="0"/>
    <s v="FBIDI"/>
    <n v="0"/>
  </r>
  <r>
    <s v="Standard"/>
    <x v="47"/>
    <s v="Boite 1kg Longue - 108x131 - OS - MIPA MILLAFLEX"/>
    <x v="0"/>
    <s v="FBIDI"/>
    <n v="0"/>
  </r>
  <r>
    <s v="Standard"/>
    <x v="48"/>
    <s v="Boite 1kg Longue - 108x131 -OS - AIGLOCAR"/>
    <x v="0"/>
    <s v="FBIDI"/>
    <n v="0"/>
  </r>
  <r>
    <s v="Standard"/>
    <x v="49"/>
    <s v="Boite 1kg Moyenne - 108x125 - OS - AIGLOLAC"/>
    <x v="0"/>
    <s v="FBIDI"/>
    <n v="0"/>
  </r>
  <r>
    <s v="Standard"/>
    <x v="50"/>
    <s v="Boite 1kg Moyenne - 108x125 - OS - AIGLOR APPRET"/>
    <x v="0"/>
    <s v="FBIDI"/>
    <n v="0"/>
  </r>
  <r>
    <s v="Standard"/>
    <x v="51"/>
    <s v="Boite 1kg Moyenne - 108x125 - OS - MANUP MANULAQUE"/>
    <x v="0"/>
    <s v="FBIDI"/>
    <n v="0"/>
  </r>
  <r>
    <s v="Standard"/>
    <x v="52"/>
    <s v="Boite 1kg Moyenne - 108x125 - OS - SONAFIP JAWHARA"/>
    <x v="0"/>
    <s v="FBIDI"/>
    <n v="0"/>
  </r>
  <r>
    <s v="Standard"/>
    <x v="53"/>
    <s v="Boite 1kg Moyenne - 108x125 - OS - SONAFIP TENSIFTE"/>
    <x v="0"/>
    <s v="FBIDI"/>
    <n v="0"/>
  </r>
  <r>
    <s v="Standard"/>
    <x v="54"/>
    <s v="Boite 1kg Moyenne - 108x125 - OS - TISSIR C4"/>
    <x v="0"/>
    <s v="FBIDI"/>
    <n v="0"/>
  </r>
  <r>
    <s v="Standard"/>
    <x v="55"/>
    <s v="Boite 1kg Moyenne - 108x125 - OS - MIPA MILLALAC"/>
    <x v="0"/>
    <s v="FBIDI"/>
    <n v="0"/>
  </r>
  <r>
    <s v="Standard"/>
    <x v="56"/>
    <s v="Boite 1kg Longue - 108x131 - OS - MIPA APPRET"/>
    <x v="0"/>
    <s v="FBIDI"/>
    <n v="0"/>
  </r>
  <r>
    <s v="Standard"/>
    <x v="57"/>
    <s v="Boite 1kg Moyenne - 108x125 - OS - ARENA ARENALAC"/>
    <x v="0"/>
    <s v="FBIDI"/>
    <n v="0"/>
  </r>
  <r>
    <s v="Standard"/>
    <x v="58"/>
    <s v="Boite 1kg Moyenne - 108x125 - OS - SONAFIP CLASSICO LAC"/>
    <x v="0"/>
    <s v="FBIDI"/>
    <n v="0"/>
  </r>
  <r>
    <s v="Standard"/>
    <x v="59"/>
    <s v="Boite 1kg Longue - 108x131 - OS - BENCHRIF - MATCO - CERA"/>
    <x v="0"/>
    <s v="FBIDI"/>
    <n v="0"/>
  </r>
  <r>
    <s v="Standard"/>
    <x v="60"/>
    <s v="Boite 1kg Longue - 108x131 - OS - MUSTANG - MUSTLAC"/>
    <x v="0"/>
    <s v="FBIDI"/>
    <n v="0"/>
  </r>
  <r>
    <s v="Standard"/>
    <x v="61"/>
    <s v="Boite 1kg Longue - 108x131 - OS - EUROCOULEUR - Bateau Laque"/>
    <x v="0"/>
    <s v="FBIDI"/>
    <n v="0"/>
  </r>
  <r>
    <s v="Standard"/>
    <x v="62"/>
    <s v="Boite 1kg Longue - 108x131 - OS - EUROCOULEUR - Euro Auto"/>
    <x v="0"/>
    <s v="FBIDI"/>
    <n v="0"/>
  </r>
  <r>
    <s v="Standard"/>
    <x v="63"/>
    <s v="Boite 1kg Longue - 108x131 - OS - EUROCOULEUR - Euro Laque"/>
    <x v="0"/>
    <s v="FBIDI"/>
    <n v="0"/>
  </r>
  <r>
    <s v="Standard"/>
    <x v="64"/>
    <s v="Boite 1kg Longue - 108x131 - OS - EUROCOULEUR - Euro Wood"/>
    <x v="0"/>
    <s v="FBIDI"/>
    <n v="0"/>
  </r>
  <r>
    <s v="Standard"/>
    <x v="65"/>
    <s v="Boite 1kg Courte - 108x099 - OS - EUROCOULEUR - Euro Fer"/>
    <x v="0"/>
    <s v="FBIDI"/>
    <n v="0"/>
  </r>
  <r>
    <s v="Standard"/>
    <x v="66"/>
    <s v="Boite 1kg Courte - 108x099 - OS - EUROCOULEUR - Chromat"/>
    <x v="0"/>
    <s v="FBIDI"/>
    <n v="0"/>
  </r>
  <r>
    <s v="Standard"/>
    <x v="67"/>
    <s v="Boite 1kg Moyenne - 108x125 - OS - EUROCOULEUR- Goudron Cellulosique "/>
    <x v="0"/>
    <s v="FBIDI"/>
    <n v="0"/>
  </r>
  <r>
    <s v="Standard"/>
    <x v="68"/>
    <s v="Boite 1kg Longue - 108x131 - OS - OUSSOUD - BOUCHES PORES"/>
    <x v="0"/>
    <s v="FBIDI"/>
    <n v="0"/>
  </r>
  <r>
    <s v="Standard"/>
    <x v="69"/>
    <s v="Boite 1kg Longue - 108x131 - OS - HFF - GALAXY LAC"/>
    <x v="0"/>
    <s v="FBIDI"/>
    <n v="0"/>
  </r>
  <r>
    <s v="Standard"/>
    <x v="70"/>
    <s v="Boite 1kg Courte - 108x099 - OS - SONACOLOR - SONAFER"/>
    <x v="0"/>
    <s v="FBIDI"/>
    <n v="0"/>
  </r>
  <r>
    <s v="Standard"/>
    <x v="71"/>
    <s v="Boite 1kg Longue - 108x131 - OS - OUSSOUD - VERNIS CELLULO BRILLANT"/>
    <x v="0"/>
    <s v="FBIDI"/>
    <n v="0"/>
  </r>
  <r>
    <s v="Standard"/>
    <x v="72"/>
    <s v="Boite 1kg Longue - 108x131 - OS - OUSSOUD - VERNIS SYNTH BRILLANT"/>
    <x v="0"/>
    <s v="FBIDI"/>
    <n v="0"/>
  </r>
  <r>
    <s v="Standard"/>
    <x v="73"/>
    <s v="Boite 1kg Longue - 108x99 - OS - OUSSOUD - ANTIROUILLE"/>
    <x v="0"/>
    <s v="FBIDI"/>
    <n v="0"/>
  </r>
  <r>
    <s v="Standard"/>
    <x v="74"/>
    <s v="Boite 1kg Longue - 108x131 - OS - COPROCHIM - VERNICOP"/>
    <x v="0"/>
    <s v="FBIDI"/>
    <n v="0"/>
  </r>
  <r>
    <s v="Standard"/>
    <x v="75"/>
    <s v="Boite 1kg Longue - 108x131 - OS - SHAMSCOLOR - SHAMSWOOD"/>
    <x v="0"/>
    <s v="FBIDI"/>
    <n v="0"/>
  </r>
  <r>
    <s v="Standard"/>
    <x v="76"/>
    <s v="Boite 1kg Longue - 108x131 - OS - SHAMSCOLOR - SHAMSLAC"/>
    <x v="0"/>
    <s v="FBIDI"/>
    <n v="0"/>
  </r>
  <r>
    <s v="Standard"/>
    <x v="77"/>
    <s v="Boite 1kg Longue - 108x131 - OS - SHAMSCOLOR - OMALAC"/>
    <x v="0"/>
    <s v="FBIDI"/>
    <n v="0"/>
  </r>
  <r>
    <s v="Standard"/>
    <x v="78"/>
    <s v="Boite 1kg Longue - 108x99 - OS - SHAMSCOLOR - SHAMSOFER"/>
    <x v="0"/>
    <s v="FBIDI"/>
    <n v="0"/>
  </r>
  <r>
    <s v="Standard"/>
    <x v="79"/>
    <s v="Boite 1kg - 108x125 - OS - SOFACHIME - SOFALAC"/>
    <x v="0"/>
    <s v="FBIDI"/>
    <n v="0"/>
  </r>
  <r>
    <s v="Standard"/>
    <x v="80"/>
    <s v="Boite 1kg - 108x125 - OS - SOFACHIME - P3D AXALAQUE"/>
    <x v="0"/>
    <s v="FBIDI"/>
    <n v="0"/>
  </r>
  <r>
    <s v="Standard"/>
    <x v="81"/>
    <s v="Boite 1kg Longue - 108x131 - OS - EUROTEX NOVACOLOR"/>
    <x v="0"/>
    <s v="FBIDI"/>
    <n v="0"/>
  </r>
  <r>
    <s v="Standard"/>
    <x v="82"/>
    <s v="Boite 1kg Longue - 108x131 - OS - EUROTEX K10"/>
    <x v="0"/>
    <s v="FBIDI"/>
    <n v="0"/>
  </r>
  <r>
    <s v="Standard"/>
    <x v="83"/>
    <s v="Boite 1kg Longue - 108x131 - OS - BENCHRIF - MATCO - ENCAUSTIQUE"/>
    <x v="0"/>
    <s v="FBIDI"/>
    <n v="0"/>
  </r>
  <r>
    <s v="Standard"/>
    <x v="84"/>
    <s v="Boite 1kg Longue - 108x131 - OS - EUROTEX - EUROMAT"/>
    <x v="0"/>
    <s v="FBIDI"/>
    <n v="0"/>
  </r>
  <r>
    <s v="Standard"/>
    <x v="85"/>
    <s v="Boite 1kg Longue - 108x125 - OS - COPROCHIM - COPROLAC"/>
    <x v="0"/>
    <s v="FBIDI"/>
    <n v="0"/>
  </r>
  <r>
    <s v="Standard"/>
    <x v="86"/>
    <s v="Boite 1kg Longue - 108x131 - OS - CHROMA COLOR"/>
    <x v="0"/>
    <s v="FBIDI"/>
    <n v="0"/>
  </r>
  <r>
    <s v="Standard"/>
    <x v="87"/>
    <s v="Boite 1kg Longue -108x131 -OS-MUSTANG-VERNIS TITANG"/>
    <x v="0"/>
    <s v="FBIDI"/>
    <n v="0"/>
  </r>
  <r>
    <s v="Standard"/>
    <x v="88"/>
    <s v="Boite 1kg Courte - 108x099 - OS - SOFACHIM AXAFER"/>
    <x v="0"/>
    <s v="FBIDI"/>
    <n v="0"/>
  </r>
  <r>
    <s v="Standard"/>
    <x v="89"/>
    <s v="Boite 3,5kg T - 169x180x171 - Pails - SONAFIP MAXIPLAST"/>
    <x v="0"/>
    <s v="FBIDI"/>
    <n v="0"/>
  </r>
  <r>
    <s v="Standard"/>
    <x v="90"/>
    <s v="Boite 3,5kg T Jonc - 169x180x171 - Pails - AIGLOR AIGLOZINC"/>
    <x v="0"/>
    <s v="FBIDI"/>
    <n v="0"/>
  </r>
  <r>
    <s v="Standard"/>
    <x v="91"/>
    <s v="Boite 3,5kg T Jonc - 169x180x171 - Pails - AIGLOR GOUDRON AUTO"/>
    <x v="0"/>
    <s v="FBIDI"/>
    <n v="0"/>
  </r>
  <r>
    <s v="Standard"/>
    <x v="92"/>
    <s v="Boite 3,5kg T Jonc - 169x180x171 - Pails - AIGLOROUILLE G7040"/>
    <x v="0"/>
    <s v="FBIDI"/>
    <n v="0"/>
  </r>
  <r>
    <s v="Standard"/>
    <x v="93"/>
    <s v="Boite 3,5kg T Jonc - 169x180x171 - Pails - AIGLOROUILLE R3016"/>
    <x v="0"/>
    <s v="FBIDI"/>
    <n v="0"/>
  </r>
  <r>
    <s v="Standard"/>
    <x v="94"/>
    <s v="Boite 3.5kg T - 169x180x171 - Pails - EUROCOULEUR - Chromat"/>
    <x v="0"/>
    <s v="FBIDI"/>
    <n v="0"/>
  </r>
  <r>
    <s v="Standard"/>
    <x v="95"/>
    <s v="Boite 3.5kg T - 169x180x171 - Pails -EUROCOULEUR-Goudron Cellulosique"/>
    <x v="0"/>
    <s v="FBIDI"/>
    <n v="0"/>
  </r>
  <r>
    <s v="Standard"/>
    <x v="96"/>
    <s v="Boite 3.5kg T - 169x180x171 - Pails - EUROCOULEUR - EuroPlast 77"/>
    <x v="0"/>
    <s v="FBIDI"/>
    <n v="0"/>
  </r>
  <r>
    <s v="Standard"/>
    <x v="97"/>
    <s v="Boite 3.5kg T - 169x180x171 - Pails - SONAFIP JAWHARA"/>
    <x v="0"/>
    <s v="FBIDI"/>
    <n v="0"/>
  </r>
  <r>
    <s v="Standard"/>
    <x v="98"/>
    <s v="Boite 3.5kg T - 169x180x171 - Pails - TRICOL - BATAL 202"/>
    <x v="0"/>
    <s v="FBIDI"/>
    <n v="0"/>
  </r>
  <r>
    <s v="Standard"/>
    <x v="99"/>
    <s v="Boite 3,5kg T Jonc - 169x180x171 - Pails - CHROMA COLOR"/>
    <x v="0"/>
    <s v="FBIDI"/>
    <n v="0"/>
  </r>
  <r>
    <s v="Standard"/>
    <x v="100"/>
    <s v="Boite 3,5kg T Jonc - 169x180x171 - Pails - PRODEC-SBAGHTI VINYL PLUS"/>
    <x v="0"/>
    <s v="FBIDI"/>
    <n v="0"/>
  </r>
  <r>
    <s v="Standard"/>
    <x v="101"/>
    <s v="Boite 4L Tulipe - 180x197 - EUROTEX - LAQUE"/>
    <x v="0"/>
    <s v="FBIDI"/>
    <n v="0"/>
  </r>
  <r>
    <s v="Standard"/>
    <x v="102"/>
    <s v="Boite 4L Tulipe - 180x197 - EUROTEX - K10"/>
    <x v="0"/>
    <s v="FBIDI"/>
    <n v="0"/>
  </r>
  <r>
    <s v="Standard"/>
    <x v="103"/>
    <s v="Boite 4L Tulipe - 180x197 - EUROTEX - NOVOLACK"/>
    <x v="0"/>
    <s v="FBIDI"/>
    <n v="0"/>
  </r>
  <r>
    <s v="Standard"/>
    <x v="104"/>
    <s v="Boite 3L5 Tulipe - 180x170 - EUROTEX - EUROMAT"/>
    <x v="0"/>
    <s v="FBIDI"/>
    <n v="0"/>
  </r>
  <r>
    <s v="Standard"/>
    <x v="105"/>
    <s v="Boite 4L Tulipe - 180x197 - EUROTEX - GENERIQUE"/>
    <x v="0"/>
    <s v="FBIDI"/>
    <n v="0"/>
  </r>
  <r>
    <s v="Standard"/>
    <x v="106"/>
    <s v="Boite 4L Tulipe - 180x197 - OUSSOUD AL MAGHREB - VERNIS SYNTHETIQUE"/>
    <x v="0"/>
    <s v="FBIDI"/>
    <n v="0"/>
  </r>
  <r>
    <s v="Standard"/>
    <x v="107"/>
    <s v="Boite 4L Tulipe - 180x197 - OUSSOUD AL MAGHREB - ANTI ROUILLE"/>
    <x v="0"/>
    <s v="FBIDI"/>
    <n v="0"/>
  </r>
  <r>
    <s v="Standard"/>
    <x v="108"/>
    <s v="Boite 4L Tulipe - 180x197 - EUROTEX - NOVA COLOR"/>
    <x v="0"/>
    <s v="FBIDI"/>
    <n v="0"/>
  </r>
  <r>
    <s v="Standard"/>
    <x v="109"/>
    <s v="Boite 1/2H_OF-73x110-Mouluree-VI_BlanC_ORGADFOOD-TISSA Maquereaux ST"/>
    <x v="0"/>
    <s v="FBVI"/>
    <n v="0"/>
  </r>
  <r>
    <s v="Standard"/>
    <x v="110"/>
    <s v="Boite 4,5kg T Jonc - 169x180x217 - Pails - MANUP MANULAQUE"/>
    <x v="0"/>
    <s v="FBIDI"/>
    <n v="0"/>
  </r>
  <r>
    <s v="Standard"/>
    <x v="111"/>
    <s v="Boite 4,5kg T Jonc - 169x180x217 - Pails - TISSIR STARFER"/>
    <x v="0"/>
    <s v="FBIDI"/>
    <n v="0"/>
  </r>
  <r>
    <s v="Standard"/>
    <x v="112"/>
    <s v="Boite 4,5kg T Jonc - 169x180x217 - Pails - TISSIR C4"/>
    <x v="0"/>
    <s v="FBIDI"/>
    <n v="0"/>
  </r>
  <r>
    <s v="Standard"/>
    <x v="113"/>
    <s v="Boite 4,5kg T Jonc - 169x180x208 - Pails - SOFACHIME - 3D LAQUE"/>
    <x v="0"/>
    <s v="FBIDI"/>
    <n v="0"/>
  </r>
  <r>
    <s v="Standard"/>
    <x v="114"/>
    <s v="Boite 4,5kg T Jonc - 169x180x208 - Pails - EUROCOULEUR- Bateau Laque"/>
    <x v="0"/>
    <s v="FBIDI"/>
    <n v="0"/>
  </r>
  <r>
    <s v="Standard"/>
    <x v="115"/>
    <s v="Boite 4,5kg T Jonc - 169x180x208 - Pails - EUROCOULEUR - Euro Fer"/>
    <x v="0"/>
    <s v="FBIDI"/>
    <n v="0"/>
  </r>
  <r>
    <s v="Standard"/>
    <x v="116"/>
    <s v="Boite 4,5kg T - 169x180x208 - Pails - SONAFIP JAWHARA"/>
    <x v="0"/>
    <s v="FBIDI"/>
    <n v="0"/>
  </r>
  <r>
    <s v="Standard"/>
    <x v="117"/>
    <s v="Boite 4,5kg T - 169x180x208 - Pails - SONACOLOR - SONAFER"/>
    <x v="0"/>
    <s v="FBIDI"/>
    <n v="0"/>
  </r>
  <r>
    <s v="Standard"/>
    <x v="118"/>
    <s v="Boite 4,5kg T - 169x180x208 - Pails - OUSSOUD - ANTIROUILLE"/>
    <x v="0"/>
    <s v="FBIDI"/>
    <n v="0"/>
  </r>
  <r>
    <s v="Standard"/>
    <x v="119"/>
    <s v="Boite 4,5kg T - 169x180x208 - Pails -SOFACHIM AXA FER"/>
    <x v="0"/>
    <s v="FBIDI"/>
    <n v="0"/>
  </r>
  <r>
    <s v="Standard"/>
    <x v="120"/>
    <s v="Boite 5kg T - 168x180x235 - Pails - MUSTANG - MUSTLAC"/>
    <x v="0"/>
    <s v="FBIDI"/>
    <n v="0"/>
  </r>
  <r>
    <s v="Standard"/>
    <x v="121"/>
    <s v="Boite 5kg T avec Jonc - 168x180x235 - Pails - SOFACHIME - AXA LAQUE"/>
    <x v="0"/>
    <s v="FBIDI"/>
    <n v="0"/>
  </r>
  <r>
    <s v="Standard"/>
    <x v="122"/>
    <s v="Boite 5kg T avec Jonc - 168x180x235 - Pails - SOFACHIME - SOFALAC"/>
    <x v="0"/>
    <s v="FBIDI"/>
    <n v="0"/>
  </r>
  <r>
    <s v="Standard"/>
    <x v="123"/>
    <s v="Boite 5kg T avec Jonc - 168x180x235 - Pails - MIPA - MILLALAC"/>
    <x v="0"/>
    <s v="FBIDI"/>
    <n v="0"/>
  </r>
  <r>
    <s v="Standard"/>
    <x v="124"/>
    <s v="Boite 5kg T avec Jonc - 168x180x235 - Pails -EUROCOULEUR- Euro Laque"/>
    <x v="0"/>
    <s v="FBIDI"/>
    <n v="0"/>
  </r>
  <r>
    <s v="Standard"/>
    <x v="125"/>
    <s v="Boite 5kg T avec Jonc - 168x180x235 - Pails - TRICOL -TRICOLAC"/>
    <x v="0"/>
    <s v="FBIDI"/>
    <n v="0"/>
  </r>
  <r>
    <s v="Standard"/>
    <x v="126"/>
    <s v="Boite 5kg T avec Jonc - 168x180x235 - Pails - AIGLOR - AIGLOLAC"/>
    <x v="0"/>
    <s v="FBIDI"/>
    <n v="0"/>
  </r>
  <r>
    <s v="Standard"/>
    <x v="127"/>
    <s v="Boite 5kg T avec Jonc - 168x180x235 - Pails - AIGLOR - AIGLOCAR"/>
    <x v="0"/>
    <s v="FBIDI"/>
    <n v="0"/>
  </r>
  <r>
    <s v="Standard"/>
    <x v="128"/>
    <s v="Boite 5kg T avec Jonc - 168x180x235 - Pails - AIGLOR - APPRET"/>
    <x v="0"/>
    <s v="FBIDI"/>
    <n v="0"/>
  </r>
  <r>
    <s v="Standard"/>
    <x v="129"/>
    <s v="Boite 5kg T avec Jonc - 168x180x235 - Pails -RESIPRO-DURCISSEUR EPOXY"/>
    <x v="0"/>
    <s v="FBIDI"/>
    <n v="0"/>
  </r>
  <r>
    <s v="Standard"/>
    <x v="130"/>
    <s v="Boite 5kg T avec Jonc - 168x180x235 - Pails -COPROCHIM-COPROLAC"/>
    <x v="0"/>
    <s v="FBIDI"/>
    <n v="0"/>
  </r>
  <r>
    <s v="Standard"/>
    <x v="131"/>
    <s v="Boite 5kg T avec Jonc - 168x180x235 - Pails -CHROMA COLOR"/>
    <x v="0"/>
    <s v="FBIDI"/>
    <n v="0"/>
  </r>
  <r>
    <s v="Standard"/>
    <x v="132"/>
    <s v="Boite 5kg T avec Jonc - 168x180x235 - Pails -BOULMANE-JOTEX"/>
    <x v="0"/>
    <s v="FBIDI"/>
    <n v="0"/>
  </r>
  <r>
    <s v="Standard"/>
    <x v="133"/>
    <s v="Boite 5kg T avec Jonc - 168x180x235 -Pails -PRODEC-SBAGHTI LAQUE PLUS"/>
    <x v="0"/>
    <s v="FBIDI"/>
    <n v="0"/>
  </r>
  <r>
    <s v="Standard"/>
    <x v="134"/>
    <s v="Boite 5kg T avec Jonc - 168x180x235 -Pails -PRODEC-G4+"/>
    <x v="0"/>
    <s v="FBIDI"/>
    <n v="0"/>
  </r>
  <r>
    <s v="Standard"/>
    <x v="135"/>
    <s v="Boite 5kg T avec Jonc - 168x180x235 -Pails -PRODEC-SBAGHTI LAQUE"/>
    <x v="0"/>
    <s v="FBIDI"/>
    <n v="0"/>
  </r>
  <r>
    <s v="Standard"/>
    <x v="136"/>
    <s v="Boite FB Club AC 125ml - Litho 2 C - Epoxy - SF Silver Rouge"/>
    <x v="0"/>
    <s v="FBFI"/>
    <n v="0"/>
  </r>
  <r>
    <s v="Standard"/>
    <x v="137"/>
    <s v="Boite FB Club AC 125ml 525 Jaune Sar HV- Epoxy-AMADIR "/>
    <x v="0"/>
    <s v="FBFI"/>
    <n v="0"/>
  </r>
  <r>
    <s v="Standard"/>
    <x v="138"/>
    <s v="Boite FB Club AC 125ml Citadelle Jau Sar HV- Epoxy-AMADIR "/>
    <x v="0"/>
    <s v="FBFI"/>
    <n v="0"/>
  </r>
  <r>
    <s v="Standard"/>
    <x v="139"/>
    <s v="Boite FB Club AC 125ml - Litho 2 C - Epoxy - SF Atlanta Rouge"/>
    <x v="0"/>
    <s v="FBFI"/>
    <n v="0"/>
  </r>
  <r>
    <s v="Standard"/>
    <x v="140"/>
    <s v="Boite FB Club AC 125ml -Litho-Epoxy-TAM FILETS THON"/>
    <x v="0"/>
    <s v="FBFI"/>
    <n v="0"/>
  </r>
  <r>
    <s v="Standard"/>
    <x v="141"/>
    <s v="Boite FB Club AC 125ml - Litho 2 C - Epoxy - SF Ginny Rouge"/>
    <x v="0"/>
    <s v="FBFI"/>
    <n v="0"/>
  </r>
  <r>
    <s v="Standard"/>
    <x v="142"/>
    <s v="Boite FB Club AC 125ml - Litho 2 C - OC Oceamic Rouge SHV "/>
    <x v="0"/>
    <s v="FBFI"/>
    <n v="0"/>
  </r>
  <r>
    <s v="Standard"/>
    <x v="143"/>
    <s v="Boite FB Club AC 125ml - Litho 2 C - OC Rosa Rouge SHV "/>
    <x v="0"/>
    <s v="FBFI"/>
    <n v="0"/>
  </r>
  <r>
    <s v="Standard"/>
    <x v="144"/>
    <s v="Boite 1KG700 LUNCHEON - 099x243 - AL MARAI - OUSSOL DINDE"/>
    <x v="0"/>
    <s v="FBLI"/>
    <n v="0"/>
  </r>
  <r>
    <s v="Standard"/>
    <x v="145"/>
    <s v="Boite 800G LUNCHEON - 073x225 - AL MARAI - OUSSOL DINDE"/>
    <x v="0"/>
    <s v="FBLI"/>
    <n v="0"/>
  </r>
  <r>
    <s v="Standard"/>
    <x v="146"/>
    <s v="Boite 350G LUNCHEON - 073x110 - AL MARAI - OUSSOL DINDE"/>
    <x v="0"/>
    <s v="FBLI"/>
    <n v="0"/>
  </r>
  <r>
    <s v="Standard"/>
    <x v="147"/>
    <s v="Boite 350G RET- 073x70x110 - COPAG - LUNCH JAYDA BOEUF"/>
    <x v="0"/>
    <s v="FBLI"/>
    <n v="0"/>
  </r>
  <r>
    <s v="Standard"/>
    <x v="148"/>
    <s v="Boite 800G LUNCHEON - 073x225 - COPAG - LUNCH JAYDA BOEUF"/>
    <x v="0"/>
    <s v="FBLI"/>
    <n v="0"/>
  </r>
  <r>
    <s v="Standard"/>
    <x v="149"/>
    <s v="Boite 1KG700 LUNCHEON - 099x243 - COPAG - LUNCH JAYDA BOEUF"/>
    <x v="0"/>
    <s v="FBLI"/>
    <n v="0"/>
  </r>
  <r>
    <s v="Standard"/>
    <x v="150"/>
    <s v="Boite 350G LUNCHEON - 073x110 - AL MARAI - OUSSOL POULET"/>
    <x v="0"/>
    <s v="FBLI"/>
    <n v="0"/>
  </r>
  <r>
    <s v="Standard"/>
    <x v="151"/>
    <s v="Boite 800G LUNCHEON - 073x225 - AL MARAI - OUSSOL POULET"/>
    <x v="0"/>
    <s v="FBLI"/>
    <n v="0"/>
  </r>
  <r>
    <s v="Standard"/>
    <x v="152"/>
    <s v="Boite 1KG700 LUNCHEON - 099x243 - AL MARAI - OUSSOL POULET"/>
    <x v="0"/>
    <s v="FBLI"/>
    <n v="0"/>
  </r>
  <r>
    <s v="Standard"/>
    <x v="153"/>
    <s v="Boite 1KG700 LUNCHEON - 099x243 - FOODIS - LUNCH DINDE "/>
    <x v="0"/>
    <s v="FBLI"/>
    <n v="0"/>
  </r>
  <r>
    <s v="Standard"/>
    <x v="154"/>
    <s v="Boite 800G LUNCHEON - 073x225 - FOODIS - LUNCH DINDE"/>
    <x v="0"/>
    <s v="FBLI"/>
    <n v="0"/>
  </r>
  <r>
    <s v="Standard"/>
    <x v="155"/>
    <s v="Boite 800G LUNCHEON - 073x225 - SAHEL - LUNCH DINDE"/>
    <x v="0"/>
    <s v="FBLI"/>
    <n v="0"/>
  </r>
  <r>
    <s v="Standard"/>
    <x v="156"/>
    <s v="Boite 800G LUNCHEON - 073x225 - SAHEL - LUNCH POULET"/>
    <x v="0"/>
    <s v="FBLI"/>
    <n v="0"/>
  </r>
  <r>
    <s v="Standard"/>
    <x v="157"/>
    <s v="Boite 800G LUNCHEON - 073x225 -AL FIRDAOUSS - LUNCH DINDE"/>
    <x v="0"/>
    <s v="FBLI"/>
    <n v="0"/>
  </r>
  <r>
    <s v="Standard"/>
    <x v="158"/>
    <s v="Boite 800G LUNCHEON - 073x225 -AL FIRDAOUSS - LUNCH POULET BEST COCK"/>
    <x v="0"/>
    <s v="FBLI"/>
    <n v="0"/>
  </r>
  <r>
    <s v="Standard"/>
    <x v="159"/>
    <s v="Boite 1KG700 LUNCHEON - 099x243 - AL FIRDAOUSS - LUNCH DINDE "/>
    <x v="0"/>
    <s v="FBLI"/>
    <n v="0"/>
  </r>
  <r>
    <s v="Standard"/>
    <x v="160"/>
    <s v="Boite 400G RET-070X110-OSKAY Terrine Adultes-COPAG"/>
    <x v="0"/>
    <s v="FBLI"/>
    <n v="0"/>
  </r>
  <r>
    <s v="Standard"/>
    <x v="161"/>
    <s v="Boite 400G RET-070X110-OSKAY Terrine Junior-COPAG"/>
    <x v="0"/>
    <s v="FBLI"/>
    <n v="0"/>
  </r>
  <r>
    <s v="Standard"/>
    <x v="162"/>
    <s v="Boite 400G RET-070X110-QUATY Terrine Adultes-COPAG"/>
    <x v="0"/>
    <s v="FBLI"/>
    <n v="0"/>
  </r>
  <r>
    <s v="Standard"/>
    <x v="163"/>
    <s v="Boite 400G RET-070X110-QUATY Terrine Junior-COPAG"/>
    <x v="0"/>
    <s v="FBLI"/>
    <n v="0"/>
  </r>
  <r>
    <s v="Standard"/>
    <x v="164"/>
    <s v="Boite 800G LUNCHEON - 073x225 -AL FIRDAOUSS - LUNCH PIQUANTE"/>
    <x v="0"/>
    <s v="FBLI"/>
    <n v="0"/>
  </r>
  <r>
    <s v="Standard"/>
    <x v="165"/>
    <s v="Boite 1KG700 LUNCHEON - 099x243 - AL FIRDAOUSS - LUNCH PIQUANTE"/>
    <x v="0"/>
    <s v="FBLI"/>
    <n v="0"/>
  </r>
  <r>
    <s v="Standard"/>
    <x v="166"/>
    <s v="Boite 1/2 Haute OF - 73x110 - Mouluree - INTEROIL - BECHAR EL KHEIR"/>
    <x v="0"/>
    <s v="FBVI"/>
    <n v="0"/>
  </r>
  <r>
    <s v="Standard"/>
    <x v="167"/>
    <s v="Boite 800G LUNCHEON - 073x225 -AL FIRDAOUSS - BEST COCK OLIVES"/>
    <x v="0"/>
    <s v="FBLI"/>
    <n v="0"/>
  </r>
  <r>
    <s v="Standard"/>
    <x v="168"/>
    <s v="Boite 800G LUNCHEON - 073x225 -SOMAFACO - BONBURG LUNCHON POULET"/>
    <x v="0"/>
    <s v="FBLI"/>
    <n v="0"/>
  </r>
  <r>
    <s v="Standard"/>
    <x v="169"/>
    <s v="Boite 350G LUNCHEON DINDE  - 073x110 - FOODIS"/>
    <x v="0"/>
    <s v="FBLI"/>
    <n v="0"/>
  </r>
  <r>
    <s v="Standard"/>
    <x v="170"/>
    <s v="Boite 1KG700 NIEMA BŒUF &amp; VOLAILLES -EUROMAR"/>
    <x v="0"/>
    <s v="FBLI"/>
    <n v="0"/>
  </r>
  <r>
    <s v="Standard"/>
    <x v="171"/>
    <s v="Boite 400G RET-070X110-AYDI Boulettes Bœuf Chien-COPAG"/>
    <x v="0"/>
    <s v="FBLI"/>
    <n v="0"/>
  </r>
  <r>
    <s v="Standard"/>
    <x v="172"/>
    <s v="Boite 400G RET-070X110-AYDI Boulettes Volailles Chien-COPAG"/>
    <x v="0"/>
    <s v="FBLI"/>
    <n v="0"/>
  </r>
  <r>
    <s v="Standard"/>
    <x v="173"/>
    <s v="Boite 400G RET-070X110-ODACE Boulettes Saumon Chat-COPAG"/>
    <x v="0"/>
    <s v="FBLI"/>
    <n v="0"/>
  </r>
  <r>
    <s v="Standard"/>
    <x v="174"/>
    <s v="Boite 400G RET-070X110-ODACE Boulettes Volaille Chat-COPAG"/>
    <x v="0"/>
    <s v="FBLI"/>
    <n v="0"/>
  </r>
  <r>
    <s v="Standard"/>
    <x v="175"/>
    <s v="Boite 400G RET-070X110-OSKAY Boulettes Viandes Chien Adulte-COPAG"/>
    <x v="0"/>
    <s v="FBLI"/>
    <n v="0"/>
  </r>
  <r>
    <s v="Standard"/>
    <x v="176"/>
    <s v="Boite 400G RET-070X110-OSKAY Boulettes Volailles Chien Adulte-COPAG"/>
    <x v="0"/>
    <s v="FBLI"/>
    <n v="0"/>
  </r>
  <r>
    <s v="Standard"/>
    <x v="177"/>
    <s v="Boite 400G RET-070X110-QUATY Boulettes Volaille Chat Adulte-COPAG"/>
    <x v="0"/>
    <s v="FBLI"/>
    <n v="0"/>
  </r>
  <r>
    <s v="Standard"/>
    <x v="178"/>
    <s v="Boite 400G RET-070X110-QUATY Boulettes Saumon Chat Adulte-COPAG"/>
    <x v="0"/>
    <s v="FBLI"/>
    <n v="0"/>
  </r>
  <r>
    <s v="Standard"/>
    <x v="179"/>
    <s v="Boite 400G RET-070X110-QUATY Boulettes Boeuf Chat Adulte-COPAG"/>
    <x v="0"/>
    <s v="FBLI"/>
    <n v="0"/>
  </r>
  <r>
    <s v="Standard"/>
    <x v="180"/>
    <s v="Boite 400G RET-070X110-ODACE Boulettes au Bœuf  Chat-COPAG"/>
    <x v="0"/>
    <s v="FBLI"/>
    <n v="0"/>
  </r>
  <r>
    <s v="Standard"/>
    <x v="181"/>
    <s v="Boite 350G luncheon meat DINDE OF -073X110-Al Firdaouss"/>
    <x v="0"/>
    <s v="FBLI"/>
    <n v="0"/>
  </r>
  <r>
    <s v="Standard"/>
    <x v="182"/>
    <s v="Boite 350GLuncheon meat POULET Bestcoock OF  -073X110-Al Firdaouss "/>
    <x v="0"/>
    <s v="FBLI"/>
    <n v="0"/>
  </r>
  <r>
    <s v="Standard"/>
    <x v="183"/>
    <s v="Boite 400G RET NEUTRE (1/2H PET FOOD) - 070X110"/>
    <x v="0"/>
    <s v="FBLN"/>
    <n v="0"/>
  </r>
  <r>
    <s v="Standard"/>
    <x v="184"/>
    <s v="Seau 3.5 kg Tronco VI + CVC VIVE - NOTAM - Miel Zemzami"/>
    <x v="0"/>
    <s v="FBVI"/>
    <n v="0"/>
  </r>
  <r>
    <s v="Standard"/>
    <x v="185"/>
    <s v="Seau 3.5 kg Tronco VI + CVC VIVE - MIEL DAR ESSALAM - EUCALYPTUS 4KG"/>
    <x v="0"/>
    <s v="FBVI"/>
    <n v="0"/>
  </r>
  <r>
    <s v="Standard"/>
    <x v="186"/>
    <s v="Seau 3.5 kg Tronconique VI - MIEL DAR ESSALAM - MIEL 4KG300"/>
    <x v="0"/>
    <s v="FBVI"/>
    <n v="0"/>
  </r>
  <r>
    <s v="Standard"/>
    <x v="187"/>
    <s v="Boite 5/1 - 153x245 - Univers Food Zébrée by Casa Oliva - BPANI"/>
    <x v="0"/>
    <s v="FBVI"/>
    <n v="0"/>
  </r>
  <r>
    <s v="Standard"/>
    <x v="188"/>
    <s v="Boite 5/1 - 153x245 - Univers Food Zébrée by Univ Food - BPANI"/>
    <x v="0"/>
    <s v="FBVI"/>
    <n v="0"/>
  </r>
  <r>
    <s v="Standard"/>
    <x v="189"/>
    <s v="Boite 5/1 - 153x245 - New Peppers Sweet African Pepper - BPANI"/>
    <x v="0"/>
    <s v="FBVI"/>
    <n v="0"/>
  </r>
  <r>
    <s v="Standard"/>
    <x v="190"/>
    <s v="Boite 5/1 - 153x245 - ENNASR/MFI - OVD FATMA - Vernis Int. Or"/>
    <x v="0"/>
    <s v="FBVI"/>
    <n v="0"/>
  </r>
  <r>
    <s v="Standard"/>
    <x v="191"/>
    <s v="Boite 5/1 - 153x245 - ENNASR/MFI - Conf. Abricot DINAR - VI Blanc"/>
    <x v="0"/>
    <s v="FBVI"/>
    <n v="0"/>
  </r>
  <r>
    <s v="Standard"/>
    <x v="192"/>
    <s v="Boite 5/1 - 153x245 - SMARCOS - DCT KATCHA - VI Blanc"/>
    <x v="0"/>
    <s v="FBVI"/>
    <n v="0"/>
  </r>
  <r>
    <s v="Standard"/>
    <x v="193"/>
    <s v="Boite 5/1 - 153x245 - ENNASR/MFI - Conf. Fraises DINAR - VI Blanc"/>
    <x v="0"/>
    <s v="FBVI"/>
    <n v="0"/>
  </r>
  <r>
    <s v="Standard"/>
    <x v="194"/>
    <s v="Boite 5/1-153x245 Spec LM- VMM / STAR -Sauce Pizza - VI Blanc"/>
    <x v="0"/>
    <s v="FBVI"/>
    <n v="0"/>
  </r>
  <r>
    <s v="Standard"/>
    <x v="195"/>
    <s v="Boite 5/1 - 153x242 - GLO FOODS - Seven Abricot - Blanc Epoxy"/>
    <x v="0"/>
    <s v="FBVI"/>
    <n v="0"/>
  </r>
  <r>
    <s v="Standard"/>
    <x v="196"/>
    <s v="Boite 4/4 - 096x115 - Silver - G3 "/>
    <x v="0"/>
    <s v="FBVN"/>
    <n v="0"/>
  </r>
  <r>
    <s v="Standard"/>
    <x v="197"/>
    <s v="Boite Fer Blanc OF 1/2 Basse RET TAMIMA - 099x68"/>
    <x v="0"/>
    <s v="FBFI"/>
    <n v="0"/>
  </r>
  <r>
    <s v="Standard"/>
    <x v="198"/>
    <s v="Boite Fer Blanc OF 1/2 Basse RET LOGIFOOD - PETIT PECHEUR - 096x68"/>
    <x v="0"/>
    <s v="FBFI"/>
    <n v="0"/>
  </r>
  <r>
    <s v="Standard"/>
    <x v="199"/>
    <s v="Boite Fer Blanc OF 1/2 Basse RET TAM- THON HUILE VGT - 096x68"/>
    <x v="0"/>
    <s v="FBFI"/>
    <n v="0"/>
  </r>
  <r>
    <s v="Standard"/>
    <x v="200"/>
    <s v="Boite Fer Blanc OF 1/2 Basse RET TAM- THON AU NATUREL - 096x68"/>
    <x v="0"/>
    <s v="FBFI"/>
    <n v="0"/>
  </r>
  <r>
    <s v="Standard"/>
    <x v="201"/>
    <s v="Boite Fer Blanc OF 1/10 Thon -Ro80 - 065x038 "/>
    <x v="0"/>
    <s v="FBFN"/>
    <n v="0"/>
  </r>
  <r>
    <s v="Standard"/>
    <x v="202"/>
    <s v="Boite FB Droite 1/4 Club - 125ml - 122x028 - VIVE"/>
    <x v="0"/>
    <s v="FBFN"/>
    <n v="0"/>
  </r>
  <r>
    <s v="Standard"/>
    <x v="203"/>
    <s v="Boite FB Droite 1/4 Club - 125ml - 122x028 - BPANI"/>
    <x v="0"/>
    <s v="FBFN"/>
    <n v="0"/>
  </r>
  <r>
    <s v="Standard"/>
    <x v="204"/>
    <s v="Boite 1/10kg - 055x055 - OS - FBN"/>
    <x v="0"/>
    <s v="FBIDN"/>
    <n v="0"/>
  </r>
  <r>
    <s v="Standard"/>
    <x v="205"/>
    <s v="Boite 1/4kg - 071x080 - OS - FBN"/>
    <x v="0"/>
    <s v="FBIDN"/>
    <n v="0"/>
  </r>
  <r>
    <s v="Standard"/>
    <x v="206"/>
    <s v="Boite 1/2kg Courte - 108x070 - BR - FBN"/>
    <x v="0"/>
    <s v="FBIDN"/>
    <n v="0"/>
  </r>
  <r>
    <s v="Standard"/>
    <x v="207"/>
    <s v="Boite 1/2kg Courte - 108x070 - OS - FBN"/>
    <x v="0"/>
    <s v="FBIDN"/>
    <n v="0"/>
  </r>
  <r>
    <s v="Standard"/>
    <x v="208"/>
    <s v="Boite 1/2kg Longue - 086x110 - OS - FBN"/>
    <x v="0"/>
    <s v="FBIDN"/>
    <n v="0"/>
  </r>
  <r>
    <s v="Standard"/>
    <x v="209"/>
    <s v="Boite Fer Blanc OF 1/2 Haute - 073x110 - Mouluree - VIVE - BPANI"/>
    <x v="0"/>
    <s v="FBVN"/>
    <n v="0"/>
  </r>
  <r>
    <s v="Standard"/>
    <x v="210"/>
    <s v="Boite Fer Blanc OS 1/2 Haute - 073x110 - Mouluree - VIVE - BPA NI"/>
    <x v="0"/>
    <s v="FBVN"/>
    <n v="0"/>
  </r>
  <r>
    <s v="Standard"/>
    <x v="211"/>
    <s v="Boite FB OS_70 1/2 Haute RET - 070x110 - Mouluree - VIVE BPANI"/>
    <x v="0"/>
    <s v="FBVN"/>
    <n v="0"/>
  </r>
  <r>
    <s v="Standard"/>
    <x v="212"/>
    <s v="Boite FB OF_73 1/2 Haute RET - 070x110 - Mouluree - VIVE BPANI"/>
    <x v="0"/>
    <s v="FBVN"/>
    <n v="0"/>
  </r>
  <r>
    <s v="Standard"/>
    <x v="213"/>
    <s v="Boite Fer Blanc 1/2 Basse RET - 096x68 - VIVE"/>
    <x v="0"/>
    <s v="FBFN"/>
    <n v="0"/>
  </r>
  <r>
    <s v="Standard"/>
    <x v="214"/>
    <s v="Boite 1/2 Haute OF - 73x110 - Mouluree - BPANI - MIEL - MIEL DU MAROC"/>
    <x v="0"/>
    <s v="FBVI"/>
    <n v="0"/>
  </r>
  <r>
    <s v="Standard"/>
    <x v="215"/>
    <s v="Boite 1/2 Haute OF - 73x110 - Mouluree - BPANI - MIEL - NOTAM ZEMZAMI"/>
    <x v="0"/>
    <s v="FBVI"/>
    <n v="0"/>
  </r>
  <r>
    <s v="Standard"/>
    <x v="216"/>
    <s v="Boite Fer Blanc 1/2 Basse- OF EPOXI "/>
    <x v="0"/>
    <s v="FBFN"/>
    <n v="0"/>
  </r>
  <r>
    <s v="Standard"/>
    <x v="217"/>
    <s v="Boite 1kg Courte - 108x099 - OS - FBN"/>
    <x v="0"/>
    <s v="FBIDN"/>
    <n v="0"/>
  </r>
  <r>
    <s v="Standard"/>
    <x v="218"/>
    <s v="Boite 1kg Courte - 108x105 - BR - FBN"/>
    <x v="0"/>
    <s v="FBIDN"/>
    <n v="0"/>
  </r>
  <r>
    <s v="Standard"/>
    <x v="219"/>
    <s v="Boite 1kg Longue - 108x131 - OS - FBN"/>
    <x v="0"/>
    <s v="FBIDN"/>
    <n v="0"/>
  </r>
  <r>
    <s v="Standard"/>
    <x v="220"/>
    <s v="Boite 1kg Moyenne - 108x125 - OS - FBN"/>
    <x v="0"/>
    <s v="FBIDN"/>
    <n v="0"/>
  </r>
  <r>
    <s v="Standard"/>
    <x v="221"/>
    <s v="Boite OF 4/4 - 099x120 - Silver - G3 - BPANI"/>
    <x v="0"/>
    <s v="FBVN"/>
    <n v="0"/>
  </r>
  <r>
    <s v="Standard"/>
    <x v="222"/>
    <s v="Boite Fer Blanc OS 4/4 - 099x120 - Mouluree - VIVE - BPA NI"/>
    <x v="0"/>
    <s v="FBVN"/>
    <n v="0"/>
  </r>
  <r>
    <s v="Standard"/>
    <x v="223"/>
    <s v="Boite 4/4 OF - 099x120 - Mouluree - BPANI - MIEL - MIEL DU MAROC"/>
    <x v="0"/>
    <s v="FBVI"/>
    <n v="0"/>
  </r>
  <r>
    <s v="Standard"/>
    <x v="224"/>
    <s v="Boite 4/4 OF - 099x120 - Mouluree - NOTAM - Miel Zemzami"/>
    <x v="0"/>
    <s v="FBVI"/>
    <n v="0"/>
  </r>
  <r>
    <s v="Standard"/>
    <x v="225"/>
    <s v="Boite 4/4 - 099x120 - ENNASR/MFI - OVD FATMA - Vernis Int. Or"/>
    <x v="0"/>
    <s v="FBVI"/>
    <n v="0"/>
  </r>
  <r>
    <s v="Standard"/>
    <x v="226"/>
    <s v="Boite 4/4 - 099x120 - Mouluree - BPANI -Victus - Dar AL Assal - "/>
    <x v="0"/>
    <s v="FBVI"/>
    <n v="0"/>
  </r>
  <r>
    <s v="Standard"/>
    <x v="227"/>
    <s v="Boite 4/4 OF - 099x120 - LOGI FOOD-LE P'TIT PECHEUR Thon HV  "/>
    <x v="0"/>
    <s v="FBVI"/>
    <n v="0"/>
  </r>
  <r>
    <s v="Standard"/>
    <x v="228"/>
    <s v="Boite 4/4 OF - 099x120 - JANANE ZEM. - AASAL L'BLAD"/>
    <x v="0"/>
    <s v="FBVI"/>
    <n v="0"/>
  </r>
  <r>
    <s v="Standard"/>
    <x v="229"/>
    <s v="Boite 4/4 OF - 099x120 - JANANE ZEM. - MULTIFLEURS"/>
    <x v="0"/>
    <s v="FBVI"/>
    <n v="0"/>
  </r>
  <r>
    <s v="Standard"/>
    <x v="230"/>
    <s v="Boite Fer Blanc 2K500 - Mouluree - 153x120 - BPA NI"/>
    <x v="0"/>
    <s v="FBFN"/>
    <n v="0"/>
  </r>
  <r>
    <s v="Standard"/>
    <x v="231"/>
    <s v="Boite 4/4 - 099x120 - ENNASR/MFI - Dinar Abricot - Blanc Epoxy"/>
    <x v="0"/>
    <s v="FBVI"/>
    <n v="0"/>
  </r>
  <r>
    <s v="Standard"/>
    <x v="232"/>
    <s v="Boite A10 - 153x180 -Silver - 0.25 - G4 BPANI"/>
    <x v="0"/>
    <s v="FBVN"/>
    <n v="0"/>
  </r>
  <r>
    <s v="Standard"/>
    <x v="233"/>
    <s v="Boite Fer Blanc 1K700 - Mouluree - 153x100 - BPA NI"/>
    <x v="0"/>
    <s v="FBFN"/>
    <n v="0"/>
  </r>
  <r>
    <s v="Standard"/>
    <x v="234"/>
    <s v="Boite 4/4 - 099x109 - GLO FOODS - Seven Abricot - Blanc Epoxy"/>
    <x v="0"/>
    <s v="FBVI"/>
    <n v="0"/>
  </r>
  <r>
    <s v="Standard"/>
    <x v="235"/>
    <s v="Boite 3,5kg Tronconique - 169x180x171 - Pails -FB CB"/>
    <x v="0"/>
    <s v="FBIDN"/>
    <n v="0"/>
  </r>
  <r>
    <s v="Standard"/>
    <x v="236"/>
    <s v="Boite 3,5kg Tulipe - 169x190x182 - OS - FB CB"/>
    <x v="0"/>
    <s v="FBIDN"/>
    <n v="0"/>
  </r>
  <r>
    <s v="Standard"/>
    <x v="237"/>
    <s v="Boite 3,5kg Tronconique VI - 169x180x171 - Pails -FB CB"/>
    <x v="0"/>
    <s v="FBIDN"/>
    <n v="0"/>
  </r>
  <r>
    <s v="Standard"/>
    <x v="238"/>
    <s v="Boite 4/4 - 099x109 - GLO FOODS - KOUNOUZ - "/>
    <x v="0"/>
    <s v="FBVI"/>
    <n v="0"/>
  </r>
  <r>
    <s v="Standard"/>
    <x v="239"/>
    <s v="Boite Fer Blanc OF 1/10 Thon - Ro80 - 065x038 - VMM PESCADA"/>
    <x v="0"/>
    <s v="FBFI"/>
    <n v="0"/>
  </r>
  <r>
    <s v="Standard"/>
    <x v="240"/>
    <s v="Boite Fer Blanc OF 1/10 Thon - Ro80 - 065x038 - TAMIMA ROUGE"/>
    <x v="0"/>
    <s v="FBFI"/>
    <n v="0"/>
  </r>
  <r>
    <s v="Standard"/>
    <x v="241"/>
    <s v="Boite 1/2kg Longue - 086x110 - OS - PPT"/>
    <x v="0"/>
    <s v="FBIDN"/>
    <n v="0"/>
  </r>
  <r>
    <s v="Standard"/>
    <x v="242"/>
    <s v="Boite Fer Blanc OF 1/10 Thon - Ro80 - 065x038 - TAMIMA BLEU"/>
    <x v="0"/>
    <s v="FBFI"/>
    <n v="0"/>
  </r>
  <r>
    <s v="Standard"/>
    <x v="243"/>
    <s v="Boite Fer Blanc OF 1/10 Thon - Ro80 - 065x038 - MDM - LUKA TST ROUGE"/>
    <x v="0"/>
    <s v="FBFI"/>
    <n v="0"/>
  </r>
  <r>
    <s v="Standard"/>
    <x v="244"/>
    <s v="Boite FB OF 1/10 Thon - Ro80 - 65x38 - LOGIFOOD PTIT PECHEUR HV BLEU"/>
    <x v="0"/>
    <s v="FBFI"/>
    <n v="0"/>
  </r>
  <r>
    <s v="Standard"/>
    <x v="245"/>
    <s v="Boite FB OF 1/10 Thon - Ro80 - 65x38 - LOGIFOOD PTIT PECHEUR ST ROUGE"/>
    <x v="0"/>
    <s v="FBFI"/>
    <n v="0"/>
  </r>
  <r>
    <s v="Standard"/>
    <x v="246"/>
    <s v="Boite Fer Blanc OF 1/10 Thon - Ro80 - 065x038 - JF - ISADORA HV"/>
    <x v="0"/>
    <s v="FBFI"/>
    <n v="0"/>
  </r>
  <r>
    <s v="Standard"/>
    <x v="247"/>
    <s v="Boite Fer Blanc OF 1/10 Thon - Ro80 - 065x038 - JF - ISADORA ST"/>
    <x v="0"/>
    <s v="FBFI"/>
    <n v="0"/>
  </r>
  <r>
    <s v="Standard"/>
    <x v="248"/>
    <s v="Boite Fer Blanc OF 1/10 Thon - Ro80 - 065x038 - LOGIF - GOLDY HV"/>
    <x v="0"/>
    <s v="FBFI"/>
    <n v="0"/>
  </r>
  <r>
    <s v="Standard"/>
    <x v="249"/>
    <s v="Boite Fer Blanc OF 1/10 Thon - Ro80 - 065x038 - LOGIF - GOLDY ST"/>
    <x v="0"/>
    <s v="FBFI"/>
    <n v="0"/>
  </r>
  <r>
    <s v="Standard"/>
    <x v="250"/>
    <s v="Boite Fer Blanc OF 1/10 Thon - Ro80 - 065x038 - LOGIF - MIRO HV"/>
    <x v="0"/>
    <s v="FBFI"/>
    <n v="0"/>
  </r>
  <r>
    <s v="Standard"/>
    <x v="251"/>
    <s v="Boite FB OF 1/10 Thon - Ro80 - 65x38 - LOGIFOOD PTIT PECHEUR PIMENT"/>
    <x v="0"/>
    <s v="FBFI"/>
    <n v="0"/>
  </r>
  <r>
    <s v="Standard"/>
    <x v="252"/>
    <s v="Boite 4,5kg Tronconique - 168x180x205 - Pails - FB CB"/>
    <x v="0"/>
    <s v="FBIDN"/>
    <n v="0"/>
  </r>
  <r>
    <s v="Standard"/>
    <x v="253"/>
    <s v="Boite 4,5kg Tulipe - 169x190x210 - OS - FB CB"/>
    <x v="0"/>
    <s v="FBIDN"/>
    <n v="0"/>
  </r>
  <r>
    <s v="Standard"/>
    <x v="254"/>
    <s v="Boite 5kg Tronconique - 168x180x235 - Pails - FB CB"/>
    <x v="0"/>
    <s v="FBIDN"/>
    <n v="0"/>
  </r>
  <r>
    <s v="Standard"/>
    <x v="255"/>
    <s v="Boite 5kg Tulipe - 169x190x252 - OS - FB CB"/>
    <x v="0"/>
    <s v="FBIDN"/>
    <n v="0"/>
  </r>
  <r>
    <s v="Standard"/>
    <x v="256"/>
    <s v="Boite 5/1 - 153x245 - Ext Silver - Int Blanc Ceramique G4 BPANI"/>
    <x v="0"/>
    <s v="FBVN"/>
    <n v="0"/>
  </r>
  <r>
    <s v="Standard"/>
    <x v="257"/>
    <s v="Boite 5kg Tulipe VI - 169x190x252 - OS - FB CB"/>
    <x v="0"/>
    <s v="FBIDN"/>
    <n v="0"/>
  </r>
  <r>
    <s v="Standard"/>
    <x v="258"/>
    <s v="Boite 5kg Tronconique VI - 168x180x235 - Pails - FB CB"/>
    <x v="0"/>
    <s v="FBIDN"/>
    <n v="0"/>
  </r>
  <r>
    <s v="Standard"/>
    <x v="259"/>
    <s v="Boite Fer Blanc 5Kg Brut (Abricot) - 153x273 - Mouluree - VE  "/>
    <x v="0"/>
    <s v="FBVN"/>
    <n v="0"/>
  </r>
  <r>
    <s v="Standard"/>
    <x v="260"/>
    <s v="Boite 5/1 - 153x245 - Ext Silver - Int Vernis Or G4 BPANI"/>
    <x v="0"/>
    <s v="FBVN"/>
    <n v="0"/>
  </r>
  <r>
    <s v="Standard"/>
    <x v="261"/>
    <s v="Boite ALU Conique EED 1/4 Club 22 Silver - 90ml - BPANI"/>
    <x v="0"/>
    <s v="ALFN"/>
    <n v="0"/>
  </r>
  <r>
    <s v="Standard"/>
    <x v="262"/>
    <s v="Boite ALU Conique EED 1/4 Club 27 Silver - 120ml - BPANI"/>
    <x v="0"/>
    <s v="ALFN"/>
    <n v="0"/>
  </r>
  <r>
    <s v="Standard"/>
    <x v="263"/>
    <s v="Boite ALU Conique EED 1/4 Club 29 Silver - 125ml - BPANI"/>
    <x v="0"/>
    <s v="ALFN"/>
    <n v="0"/>
  </r>
  <r>
    <s v="Standard"/>
    <x v="264"/>
    <s v="Boite ALU Droite EES 1/4 Club 27 Silver - 120ml - BPANI"/>
    <x v="0"/>
    <s v="ALFN"/>
    <n v="0"/>
  </r>
  <r>
    <s v="Standard"/>
    <x v="265"/>
    <s v="Boite 4/4 Fds TFS-099x12-ENNASR/MFI-Dinar Abricot - Blanc Epoxy"/>
    <x v="0"/>
    <s v="FBVI"/>
    <n v="0"/>
  </r>
  <r>
    <s v="Standard"/>
    <x v="266"/>
    <s v="Boite Fer Blanc RET OF 1/5 Thon -Ro160 - 080x041,5 "/>
    <x v="0"/>
    <s v="FBFN"/>
    <n v="0"/>
  </r>
  <r>
    <s v="Standard"/>
    <x v="267"/>
    <s v="Boite FB RET OF 1/5 Ro160-TAM THON HUILE VGT-080x041,5 "/>
    <x v="0"/>
    <s v="FBFN"/>
    <n v="0"/>
  </r>
  <r>
    <s v="Standard"/>
    <x v="268"/>
    <s v="Boite FB RET OF 1/5 Ro160-TAM THON NATUREL-080x041,5 "/>
    <x v="0"/>
    <s v="FBFN"/>
    <n v="0"/>
  </r>
  <r>
    <s v="Standard"/>
    <x v="269"/>
    <s v="Boite 4/4 -099x119- BPANI WHITE PIGMENT_VICTUS JANANE EL AASAL "/>
    <x v="0"/>
    <s v="FBVI"/>
    <n v="0"/>
  </r>
  <r>
    <s v="Standard"/>
    <x v="270"/>
    <s v="Boite 4/4 -099x119- BPANI WHITE PIGMENT_VICTUS DAR EL AASAL "/>
    <x v="0"/>
    <s v="FBVI"/>
    <n v="0"/>
  </r>
  <r>
    <s v="Standard"/>
    <x v="271"/>
    <s v="Boite 1/2 Oval 340ml"/>
    <x v="0"/>
    <s v="FBFN"/>
    <n v="0"/>
  </r>
  <r>
    <s v="Standard"/>
    <x v="272"/>
    <s v="Boite FB Conique EED 1/4 Club - 125ml - 122x028 - BPANI"/>
    <x v="0"/>
    <s v="FBFN"/>
    <n v="0"/>
  </r>
  <r>
    <s v="Standard"/>
    <x v="273"/>
    <s v="Boite OF 4/4 - 099x120 - Silver - G4 - EPOXY"/>
    <x v="0"/>
    <s v="FBVN"/>
    <n v="0"/>
  </r>
  <r>
    <s v="Standard"/>
    <x v="274"/>
    <s v="Boite 5/1 - 153x245 - Ext Gold - Int Blanc Ceramique G4 BPANI"/>
    <x v="0"/>
    <s v="FBVN"/>
    <n v="0"/>
  </r>
  <r>
    <s v="Standard"/>
    <x v="275"/>
    <s v="Boite A10 - 153x180 -Silver - 0.21 - G3 BPANI"/>
    <x v="0"/>
    <s v="FBVN"/>
    <n v="0"/>
  </r>
  <r>
    <s v="Standard"/>
    <x v="276"/>
    <s v="Boite A10 - 153x180 -Silver - 0.25 - G3 BPANI"/>
    <x v="0"/>
    <s v="FBVN"/>
    <n v="0"/>
  </r>
  <r>
    <s v="Standard"/>
    <x v="277"/>
    <s v="Boite OF 4/4 - 099x120 - Silver - G4 - BPANI"/>
    <x v="0"/>
    <s v="FBVN"/>
    <n v="0"/>
  </r>
  <r>
    <s v="Standard"/>
    <x v="278"/>
    <s v="Boite OF 4/4 - 099x109 - Silver - G4 - EPOXY"/>
    <x v="0"/>
    <s v="FBVN"/>
    <n v="0"/>
  </r>
  <r>
    <s v="Standard"/>
    <x v="279"/>
    <s v="Boite 1/4 Lisse OF - 73x58 - Mouluree - BPANI - MIEL - NOTAM ZEMZAMI"/>
    <x v="0"/>
    <s v="FBVI"/>
    <n v="0"/>
  </r>
  <r>
    <s v="Standard"/>
    <x v="280"/>
    <s v="Estagnon 20L Cylindrique - 240x240x370 - ST42 - FB CB"/>
    <x v="0"/>
    <s v="FBIDN"/>
    <n v="0"/>
  </r>
  <r>
    <s v="Standard"/>
    <x v="281"/>
    <s v="Seau 22L T - 285x305x335 - Pails - BZO COLOR - SUPER BZO LAC"/>
    <x v="0"/>
    <s v="FBIDI"/>
    <n v="0"/>
  </r>
  <r>
    <s v="Standard"/>
    <x v="282"/>
    <s v="Seau 22L T - 285x305x335 - Pails - EUROTEX IRIPLAST OCEAN"/>
    <x v="0"/>
    <s v="FBIDI"/>
    <n v="0"/>
  </r>
  <r>
    <s v="Standard"/>
    <x v="283"/>
    <s v="Seau 22L T - 285x305x335 - Pails - EUROTEX MAT PROF"/>
    <x v="0"/>
    <s v="FBIDI"/>
    <n v="0"/>
  </r>
  <r>
    <s v="Standard"/>
    <x v="284"/>
    <s v="Seau 22L T - 285x305x335 - Pails - TISSIR - MARINA"/>
    <x v="0"/>
    <s v="FBIDI"/>
    <n v="0"/>
  </r>
  <r>
    <s v="Standard"/>
    <x v="285"/>
    <s v="Seau 15L T - 285x305x257 - Pails - SUPRAFLEX EXTRALAC"/>
    <x v="0"/>
    <s v="FBIDI"/>
    <n v="0"/>
  </r>
  <r>
    <s v="Standard"/>
    <x v="286"/>
    <s v="Seau 22L T - 285x305x335 - Pails - EUROTEX OCEANO PLUS"/>
    <x v="0"/>
    <s v="FBIDI"/>
    <n v="0"/>
  </r>
  <r>
    <s v="Standard"/>
    <x v="287"/>
    <s v="Seau 22L T - 285x305x335 - Pails - BZO COLOR - BZO STAR VINYL"/>
    <x v="0"/>
    <s v="FBIDI"/>
    <n v="0"/>
  </r>
  <r>
    <s v="Standard"/>
    <x v="288"/>
    <s v="Seau 22L T - 285x305x335 - Pails - EUROTEX EURO 800"/>
    <x v="0"/>
    <s v="FBIDI"/>
    <n v="0"/>
  </r>
  <r>
    <s v="Standard"/>
    <x v="289"/>
    <s v="Seau 22L T - 285x305x335 - Pails - SOFACHIM P3D AXAPLAST"/>
    <x v="0"/>
    <s v="FBIDI"/>
    <n v="0"/>
  </r>
  <r>
    <s v="Standard"/>
    <x v="290"/>
    <s v="Seau 22L T - 285x305x335 - Pails - TISSIR - PEINT INDUSTR"/>
    <x v="0"/>
    <s v="FBIDI"/>
    <n v="0"/>
  </r>
  <r>
    <s v="Standard"/>
    <x v="291"/>
    <s v="Seau 22L T - 285x305x335 - Pails - JAFEP PLASTICO 305"/>
    <x v="0"/>
    <s v="FBIDI"/>
    <n v="0"/>
  </r>
  <r>
    <s v="Standard"/>
    <x v="292"/>
    <s v="Seau 22L T - 285x305x335 - Pails - JAFEP PLASTICO 405"/>
    <x v="0"/>
    <s v="FBIDI"/>
    <n v="0"/>
  </r>
  <r>
    <s v="Standard"/>
    <x v="293"/>
    <s v="Seau 22L T - 285x305x335 - Pails - MAXICOLOR STARFORCE"/>
    <x v="0"/>
    <s v="FBIDI"/>
    <n v="0"/>
  </r>
  <r>
    <s v="Standard"/>
    <x v="294"/>
    <s v="Seau 22L T - 285x305x335 - Pails - MAXICOLOR DELTA"/>
    <x v="0"/>
    <s v="FBIDI"/>
    <n v="0"/>
  </r>
  <r>
    <s v="Standard"/>
    <x v="295"/>
    <s v="Seau 15L T - 285x305x252 - Pails - SONAFIP CLASSICOLAC"/>
    <x v="0"/>
    <s v="FBIDI"/>
    <n v="0"/>
  </r>
  <r>
    <s v="Standard"/>
    <x v="296"/>
    <s v="Seau 22L T - 285x305x335 - Pails - EUROCOULEUR - Acry Facade 108"/>
    <x v="0"/>
    <s v="FBIDI"/>
    <n v="0"/>
  </r>
  <r>
    <s v="Standard"/>
    <x v="297"/>
    <s v="Seau 15L T - 285x305x252 - Pails - EUROCOULEUR - Euro Laque"/>
    <x v="0"/>
    <s v="FBIDI"/>
    <n v="0"/>
  </r>
  <r>
    <s v="Standard"/>
    <x v="298"/>
    <s v="Seau 22L T - 285x305x335 - Pails - EUROCOULEUR - EuroPlast 77"/>
    <x v="0"/>
    <s v="FBIDI"/>
    <n v="0"/>
  </r>
  <r>
    <s v="Standard"/>
    <x v="299"/>
    <s v="Seau 22L T - 285x305x335 - Pails - EUROCOULEUR - EuroVinyl 115"/>
    <x v="0"/>
    <s v="FBIDI"/>
    <n v="0"/>
  </r>
  <r>
    <s v="Standard"/>
    <x v="300"/>
    <s v="Seau 22L T - 285x305x335 - Pails - BZO COLOR - BZO VINYL"/>
    <x v="0"/>
    <s v="FBIDI"/>
    <n v="0"/>
  </r>
  <r>
    <s v="Standard"/>
    <x v="301"/>
    <s v="Seau 22L T - 285x305x335 - Pails - BZO COLOR - BZO MAT"/>
    <x v="0"/>
    <s v="FBIDI"/>
    <n v="0"/>
  </r>
  <r>
    <s v="Standard"/>
    <x v="302"/>
    <s v="Seau 22L T - 285x305x335 - Pails - SOFACHIM P3D CITYPLAST"/>
    <x v="0"/>
    <s v="FBIDI"/>
    <n v="0"/>
  </r>
  <r>
    <s v="Standard"/>
    <x v="303"/>
    <s v="Seau 22L T - 285x305x335 - Pails - SOFACHIM P3D 3DPLAST"/>
    <x v="0"/>
    <s v="FBIDI"/>
    <n v="0"/>
  </r>
  <r>
    <s v="Standard"/>
    <x v="304"/>
    <s v="Seau 22L T - 285x305x335 - Pails - BZO COLOR - BZO LAC"/>
    <x v="0"/>
    <s v="FBIDI"/>
    <n v="0"/>
  </r>
  <r>
    <s v="Standard"/>
    <x v="305"/>
    <s v="Seau 22L Tronconique - 285x305x335 - Pails - FB CB"/>
    <x v="0"/>
    <s v="FBIDN"/>
    <n v="0"/>
  </r>
  <r>
    <s v="Standard"/>
    <x v="306"/>
    <s v="Seau 15L Tronconique - 285x305x257 - Pails - FB CB"/>
    <x v="0"/>
    <s v="FBIDN"/>
    <n v="0"/>
  </r>
  <r>
    <s v="Standard"/>
    <x v="307"/>
    <s v="Seau 17L Tronconique - 285x305x295 - Pails - FB CB"/>
    <x v="0"/>
    <s v="FBIDN"/>
    <n v="0"/>
  </r>
  <r>
    <s v="Standard"/>
    <x v="308"/>
    <s v="Seau 10L Tronconique - 285x305x295 - Pails - FB CB"/>
    <x v="0"/>
    <s v="FBIDN"/>
    <n v="0"/>
  </r>
  <r>
    <s v="Standard"/>
    <x v="309"/>
    <s v="Seau 22L Tronco SANS VERNIS INTERIEUR - 285x305x335 - Pails - FB CB"/>
    <x v="0"/>
    <s v="FBIDN"/>
    <n v="0"/>
  </r>
  <r>
    <s v="Standard"/>
    <x v="310"/>
    <s v="Seau 22L T - 285x305x335 - Pails - MAXICOLOR - DETRAFLEX 250 M"/>
    <x v="0"/>
    <s v="FBIDI"/>
    <n v="0"/>
  </r>
  <r>
    <s v="Standard"/>
    <x v="311"/>
    <s v="Seau 22L T - 285x305x335 - Pails - MAXICOLOR SOULTANA"/>
    <x v="0"/>
    <s v="FBIDI"/>
    <n v="0"/>
  </r>
  <r>
    <s v="Standard"/>
    <x v="312"/>
    <s v="Seau 22L T - 285x305x335 - Pails - HFF - ETOILE VINYL"/>
    <x v="0"/>
    <s v="FBIDI"/>
    <n v="0"/>
  </r>
  <r>
    <s v="Standard"/>
    <x v="313"/>
    <s v="Seau 22L T - 285x305x335 - Pails - MAXICOLOR DETRAFLEX A 150"/>
    <x v="0"/>
    <s v="FBIDI"/>
    <n v="0"/>
  </r>
  <r>
    <s v="Standard"/>
    <x v="314"/>
    <s v="Seau 22L T - 285x305x335 - Pails - HFF - GALAXY VYNIL"/>
    <x v="0"/>
    <s v="FBIDI"/>
    <n v="0"/>
  </r>
  <r>
    <s v="Standard"/>
    <x v="315"/>
    <s v="Seau 22L T - 285x305x335 - Pails - SAADA - VINYL SV703"/>
    <x v="0"/>
    <s v="FBIDI"/>
    <n v="0"/>
  </r>
  <r>
    <s v="Standard"/>
    <x v="316"/>
    <s v="Seau 22L T - 285x305x335 - Pails - TRICOL - TRICOLAC"/>
    <x v="0"/>
    <s v="FBIDI"/>
    <n v="0"/>
  </r>
  <r>
    <s v="Standard"/>
    <x v="317"/>
    <s v="Seau 22L T - 285x305x335 - Pails - TRICOL - BATAL 202"/>
    <x v="0"/>
    <s v="FBIDI"/>
    <n v="0"/>
  </r>
  <r>
    <s v="Standard"/>
    <x v="318"/>
    <s v="Seau 22L T - 285x305x335 - Pails - SONACOLOR - SONAQUA"/>
    <x v="0"/>
    <s v="FBIDI"/>
    <n v="0"/>
  </r>
  <r>
    <s v="Standard"/>
    <x v="319"/>
    <s v="Seau 22L T - 285x305x335 - Pails - SIDNI COLOR - SIDNIPLAST V8"/>
    <x v="0"/>
    <s v="FBIDI"/>
    <n v="0"/>
  </r>
  <r>
    <s v="Standard"/>
    <x v="320"/>
    <s v="Seau 22L T - 285x305x335 - Pails - SIDNI COLOR - V55 MODE VINYL"/>
    <x v="0"/>
    <s v="FBIDI"/>
    <n v="0"/>
  </r>
  <r>
    <s v="Standard"/>
    <x v="321"/>
    <s v="Seau 22L T - 285x305x335 - Pails - SIDNI COLOR - PLASTOLUX"/>
    <x v="0"/>
    <s v="FBIDI"/>
    <n v="0"/>
  </r>
  <r>
    <s v="Standard"/>
    <x v="322"/>
    <s v="Seau 22L T - 285x305x335 - Pails - SIDNI COLOR - DMAX "/>
    <x v="0"/>
    <s v="FBIDI"/>
    <n v="0"/>
  </r>
  <r>
    <s v="Standard"/>
    <x v="323"/>
    <s v="Seau 22L T - 285x305x335 - Pails - SIDNI COLOR - VINYLAX V12"/>
    <x v="0"/>
    <s v="FBIDI"/>
    <n v="0"/>
  </r>
  <r>
    <s v="Standard"/>
    <x v="324"/>
    <s v="Seau 22L T - 285x305x335 - Pails - SIDNI COLOR - VINYLOOK"/>
    <x v="0"/>
    <s v="FBIDI"/>
    <n v="0"/>
  </r>
  <r>
    <s v="Standard"/>
    <x v="325"/>
    <s v="Seau 22L T - 285x305x335 - Pails - SIDNI COLOR - SIDNILAC EXTRA"/>
    <x v="0"/>
    <s v="FBIDI"/>
    <n v="0"/>
  </r>
  <r>
    <s v="Standard"/>
    <x v="326"/>
    <s v="Seau 22L T - 285x305x335 - Pails - SIDNI COLOR - ECOMAIL"/>
    <x v="0"/>
    <s v="FBIDI"/>
    <n v="0"/>
  </r>
  <r>
    <s v="Standard"/>
    <x v="327"/>
    <s v="Seau 22L T - 285x305x335 - Pails - MAXICOLOR - ONDAVINYL"/>
    <x v="1"/>
    <m/>
    <m/>
  </r>
  <r>
    <m/>
    <x v="328"/>
    <m/>
    <x v="1"/>
    <m/>
    <m/>
  </r>
  <r>
    <m/>
    <x v="329"/>
    <s v="FBIDI"/>
    <x v="2"/>
    <m/>
    <m/>
  </r>
  <r>
    <s v="Standard"/>
    <x v="330"/>
    <s v="Seau 22L T - 285x305x335 - Pails - MAXICOLOR - MASTER"/>
    <x v="1"/>
    <m/>
    <m/>
  </r>
  <r>
    <m/>
    <x v="328"/>
    <m/>
    <x v="1"/>
    <m/>
    <m/>
  </r>
  <r>
    <s v=" ILM"/>
    <x v="329"/>
    <s v="FBIDI"/>
    <x v="2"/>
    <m/>
    <m/>
  </r>
  <r>
    <s v="Standard"/>
    <x v="331"/>
    <s v="Seau 22L T - 285x305x335 - Pails - AR PEINT - VINYLPEINT"/>
    <x v="0"/>
    <s v="FBIDI"/>
    <n v="0"/>
  </r>
  <r>
    <s v="Standard"/>
    <x v="332"/>
    <s v="Seau 22L T - 285x305x335 - Pails - AR PEINT - EXTRAPEINT"/>
    <x v="0"/>
    <s v="FBIDI"/>
    <n v="0"/>
  </r>
  <r>
    <s v="Standard"/>
    <x v="333"/>
    <s v="Seau 22L T - 285x305x335 - Pails - COPROCHIM - LUXEPLAST"/>
    <x v="0"/>
    <s v="FBIDI"/>
    <n v="0"/>
  </r>
  <r>
    <s v="Standard"/>
    <x v="334"/>
    <s v="Seau 22L T - 285x305x335 - Pails - SBAGHTANA - S2"/>
    <x v="0"/>
    <s v="FBIDI"/>
    <n v="0"/>
  </r>
  <r>
    <s v="Standard"/>
    <x v="335"/>
    <s v="Seau 22L T - 285x305x335 - Pails - TRICOL - ZENLAC"/>
    <x v="0"/>
    <s v="FBIDI"/>
    <n v="0"/>
  </r>
  <r>
    <s v="Standard"/>
    <x v="336"/>
    <s v="Seau 22L T - 285x305x335 - Pails - TRICOL - EXTRANYL"/>
    <x v="0"/>
    <s v="FBIDI"/>
    <n v="0"/>
  </r>
  <r>
    <s v="Standard"/>
    <x v="337"/>
    <s v="Seau 22L T - 285x305x335 - Pails - MUSTANG - MUST403"/>
    <x v="0"/>
    <s v="FBIDI"/>
    <n v="0"/>
  </r>
  <r>
    <s v="Standard"/>
    <x v="338"/>
    <s v="Seau 22L T - 285x305x335 - Pails - MUSTANG - MUST602"/>
    <x v="0"/>
    <s v="FBIDI"/>
    <n v="0"/>
  </r>
  <r>
    <s v="Standard"/>
    <x v="339"/>
    <s v="Seau 22L T - 285x305x335 - Pails - MUSTANG - MUST801"/>
    <x v="0"/>
    <s v="FBIDI"/>
    <n v="0"/>
  </r>
  <r>
    <s v="Standard"/>
    <x v="340"/>
    <s v="Seau 22L T - 285x305x335 - Pails - MUSTANG - MUSTLAK"/>
    <x v="0"/>
    <s v="FBIDI"/>
    <n v="0"/>
  </r>
  <r>
    <s v="Standard"/>
    <x v="341"/>
    <s v="Seau 15L T - 285x305x250 - Pails - EUROTEX - EUROMAT"/>
    <x v="0"/>
    <s v="FBIDI"/>
    <n v="0"/>
  </r>
  <r>
    <s v="Standard"/>
    <x v="342"/>
    <s v="Seau 15L T - 285x305x250 - Pails - EUROTEX - GENERIQUE"/>
    <x v="0"/>
    <s v="FBIDI"/>
    <n v="0"/>
  </r>
  <r>
    <s v="Standard"/>
    <x v="343"/>
    <s v="Seau 20L T - 292x365 - Pails - EUROTEX - GENERIQUE"/>
    <x v="0"/>
    <s v="FBIDI"/>
    <n v="0"/>
  </r>
  <r>
    <s v="Standard"/>
    <x v="344"/>
    <s v="Seau 15L T - 285x305x250 - Pails - EUROTEX - K10"/>
    <x v="0"/>
    <s v="FBIDI"/>
    <n v="0"/>
  </r>
  <r>
    <s v="Standard"/>
    <x v="345"/>
    <s v="Seau 22L T - 285x305x335 - Pails - DECOPIN - V508"/>
    <x v="0"/>
    <s v="FBIDI"/>
    <n v="0"/>
  </r>
  <r>
    <s v="Standard"/>
    <x v="346"/>
    <s v="Seau 22L T - 285x305x335 - Pails - SUPRAFLEX - ACQUAVINYL +"/>
    <x v="0"/>
    <s v="FBIDI"/>
    <n v="0"/>
  </r>
  <r>
    <s v="Standard"/>
    <x v="347"/>
    <s v="Seau 22L T - 285x305x335 - Pails - SUPRAFLEX - EXTRAVINYL +"/>
    <x v="0"/>
    <s v="FBIDI"/>
    <n v="0"/>
  </r>
  <r>
    <s v="Standard"/>
    <x v="348"/>
    <s v="Seau 22L T - 285x305x335 - Pails - SUPRAFLEX - SUPRAVINYL +"/>
    <x v="0"/>
    <s v="FBIDI"/>
    <n v="0"/>
  </r>
  <r>
    <s v="Standard"/>
    <x v="349"/>
    <s v="Seau 22L T - 285x305x335 - Pails - SUPRAFLEX - ECOBLANC NEW"/>
    <x v="0"/>
    <s v="FBIDI"/>
    <n v="0"/>
  </r>
  <r>
    <s v="Standard"/>
    <x v="350"/>
    <s v="Seau 22L T - 285x305x335 - Pails - SAADA PEINTURE - SV501 VINYL"/>
    <x v="0"/>
    <s v="FBIDI"/>
    <n v="0"/>
  </r>
  <r>
    <s v="Standard"/>
    <x v="351"/>
    <s v="Seau 22L T - 285x305x335 - Pails - SAADA PEINTURE - AL MANARA VINYL"/>
    <x v="0"/>
    <s v="FBIDI"/>
    <n v="0"/>
  </r>
  <r>
    <s v="Standard"/>
    <x v="352"/>
    <s v="Seau 22L T - 285x305x335 - Pails - RESIPRO-RESIPROX100-RESINE EPOXY"/>
    <x v="0"/>
    <s v="FBIDI"/>
    <n v="0"/>
  </r>
  <r>
    <s v="Standard"/>
    <x v="353"/>
    <s v="Seau 22L T - 285x305x335 - Pails - SONACOLOR - SONAVINYL"/>
    <x v="0"/>
    <s v="FBIDI"/>
    <n v="0"/>
  </r>
  <r>
    <s v="Standard"/>
    <x v="354"/>
    <s v="Seau 22L T - 285x305x335 - Pails - SOFACHIM P3D SOFALATEX"/>
    <x v="0"/>
    <s v="FBIDI"/>
    <n v="0"/>
  </r>
  <r>
    <s v="Standard"/>
    <x v="355"/>
    <s v="Seau 22L T - 285x305x335 - Pails - SOFACHIM P3D SOFAPLAST"/>
    <x v="0"/>
    <s v="FBIDI"/>
    <n v="0"/>
  </r>
  <r>
    <s v="Standard"/>
    <x v="356"/>
    <s v="Seau 22L T - 285x305x335 - Pails - SOFACHIM P3D VOX LATEX"/>
    <x v="0"/>
    <s v="FBIDI"/>
    <n v="0"/>
  </r>
  <r>
    <s v="Standard"/>
    <x v="357"/>
    <s v="Seau 22L T - 285x305x335 - Pails - CHROMA COLOR"/>
    <x v="0"/>
    <s v="FBIDI"/>
    <n v="0"/>
  </r>
  <r>
    <s v="Standard"/>
    <x v="358"/>
    <s v="Seau 22L T - 285x305x335 - Pails - AR PEINT -ARSTANDARD"/>
    <x v="0"/>
    <s v="FBIDI"/>
    <n v="0"/>
  </r>
  <r>
    <s v="Standard"/>
    <x v="359"/>
    <s v="Seau 22L T - 285x305x335 - Pails - PRODEC -SBAGHTI VINYL PLUS"/>
    <x v="0"/>
    <s v="FBIDI"/>
    <n v="0"/>
  </r>
  <r>
    <s v="Standard"/>
    <x v="360"/>
    <s v="Seau 18L T - D305- Pails - PRODEC -SBAGHTI LAQUE PLUS / NV"/>
    <x v="0"/>
    <s v="FBIDI"/>
    <n v="0"/>
  </r>
  <r>
    <s v="Standard"/>
    <x v="361"/>
    <s v="Seau 15L T - D305- Pails - PRODEC -SBAGHTI LAQUE PLUS"/>
    <x v="0"/>
    <s v="FBIDI"/>
    <n v="0"/>
  </r>
  <r>
    <s v="Standard"/>
    <x v="362"/>
    <s v="Seau 22L T - 285x305x335 - ODASSIA - ODAVINYL"/>
    <x v="0"/>
    <s v="FBIDI"/>
    <n v="0"/>
  </r>
  <r>
    <s v="Standard"/>
    <x v="363"/>
    <s v="Seau 22L T - 285x305x335 - ODASSIA - ODAPLAST"/>
    <x v="0"/>
    <s v="FBIDI"/>
    <n v="0"/>
  </r>
  <r>
    <s v="Standard"/>
    <x v="364"/>
    <s v="Seau 22L T - 285x305x335 - ODASSIA - VINYTEK"/>
    <x v="0"/>
    <s v="FBIDI"/>
    <n v="0"/>
  </r>
  <r>
    <s v="Standard"/>
    <x v="365"/>
    <s v="Seau 22L T - 285x305x335 - ODASSIA - ODAQUA"/>
    <x v="0"/>
    <s v="FBIDI"/>
    <n v="0"/>
  </r>
  <r>
    <s v="Standard"/>
    <x v="366"/>
    <s v="Seau 22L T - 285x305x335 - Pails-DECOPIN - FLEUR"/>
    <x v="0"/>
    <s v="FBIDI"/>
    <n v="0"/>
  </r>
  <r>
    <s v="Standard"/>
    <x v="367"/>
    <s v="Seau 22L T - 285x305x335 - Pails-MIDI MAT BATIMENT"/>
    <x v="0"/>
    <s v="FBIDI"/>
    <n v="0"/>
  </r>
  <r>
    <s v="Standard"/>
    <x v="368"/>
    <s v="Seau 22L T - 285x305x335 - Pails-MIDI SUD FACADE"/>
    <x v="0"/>
    <s v="FBIDI"/>
    <n v="0"/>
  </r>
  <r>
    <s v="Standard"/>
    <x v="369"/>
    <s v="Seau 22L T - 285x305x335 - Pails-MIDI NYL MAT 214"/>
    <x v="0"/>
    <s v="FBIDI"/>
    <n v="0"/>
  </r>
  <r>
    <s v="Standard"/>
    <x v="370"/>
    <s v="Seau 22L T - 285x305x335 - Pails-FACOP-BAHIA SUD"/>
    <x v="0"/>
    <s v="FBIDI"/>
    <n v="0"/>
  </r>
  <r>
    <s v="Standard"/>
    <x v="371"/>
    <s v="Seau 22L T - 285x305x335 - Pails-FACOP-EUROVINYL"/>
    <x v="0"/>
    <s v="FBIDI"/>
    <n v="0"/>
  </r>
  <r>
    <s v="Standard"/>
    <x v="372"/>
    <s v="Seau 22L T - 285x305x335 - Pails-FACOP-SUPER FACONYL"/>
    <x v="0"/>
    <s v="FBIDI"/>
    <n v="0"/>
  </r>
  <r>
    <s v="Standard"/>
    <x v="373"/>
    <s v="Seau 22L T - 285x305x335 - Pails - PRODEC -DAREX PLAST PLUS"/>
    <x v="0"/>
    <s v="FBIDI"/>
    <n v="0"/>
  </r>
  <r>
    <s v="Standard"/>
    <x v="374"/>
    <s v="Seau 22L T - 285x305x335 - Pails - PRODEC PRO 99"/>
    <x v="0"/>
    <s v="FBIDI"/>
    <n v="0"/>
  </r>
  <r>
    <s v="Standard"/>
    <x v="375"/>
    <s v="Seau 22L T - 285x305x335 - Pails - PRODEC -PROSUD 2011"/>
    <x v="0"/>
    <s v="FBIDI"/>
    <n v="0"/>
  </r>
  <r>
    <s v="Standard"/>
    <x v="376"/>
    <s v="Seau 15L T - D305- Pails - PRODEC -SBAGHTI LAQUE"/>
    <x v="0"/>
    <s v="FBIDI"/>
    <n v="0"/>
  </r>
  <r>
    <s v="Standard"/>
    <x v="377"/>
    <s v="Boite Fer Blanc OS Jitney Lisse - 52x88 - VI Blanc BPANI"/>
    <x v="0"/>
    <s v="FBVN"/>
    <n v="0"/>
  </r>
  <r>
    <s v="Standard"/>
    <x v="378"/>
    <s v="Pot JK - Rond Plastique PP Transparent 850 AP"/>
    <x v="0"/>
    <s v="PLAN"/>
    <n v="0"/>
  </r>
  <r>
    <s v="Standard"/>
    <x v="379"/>
    <s v="Pot JK - Rond Plastique PP Neutre Blanc 1200 AP"/>
    <x v="0"/>
    <s v="PLAN"/>
    <n v="0"/>
  </r>
  <r>
    <s v="Standard"/>
    <x v="380"/>
    <s v="Pot Rond Plastique PP Neutre Blanc 180 SA"/>
    <x v="0"/>
    <s v="PLAN"/>
    <n v="0"/>
  </r>
  <r>
    <s v="Standard"/>
    <x v="381"/>
    <s v="Pot Rond Plastique PP Transparent 180 SA"/>
    <x v="0"/>
    <s v="PLAN"/>
    <n v="0"/>
  </r>
  <r>
    <s v="Standard"/>
    <x v="382"/>
    <s v="Pot Rond Plastique PP Neutre Blanc 280 SA"/>
    <x v="0"/>
    <s v="PLAN"/>
    <n v="0"/>
  </r>
  <r>
    <s v="Standard"/>
    <x v="383"/>
    <s v="Pot Rond Plastique PP Transparent 280 SA"/>
    <x v="0"/>
    <s v="PLAN"/>
    <n v="0"/>
  </r>
  <r>
    <s v="Standard"/>
    <x v="384"/>
    <s v="Pot Rond Plastique PP Neutre Blanc 600 AP "/>
    <x v="0"/>
    <s v="PLAN"/>
    <n v="0"/>
  </r>
  <r>
    <s v="Standard"/>
    <x v="385"/>
    <s v="Pot Rond Plastique PP Transparent 600 AP"/>
    <x v="0"/>
    <s v="PLAN"/>
    <n v="0"/>
  </r>
  <r>
    <s v="Standard"/>
    <x v="386"/>
    <s v="Pot Rond Plastique PP Neutre Blanc 870 AP"/>
    <x v="0"/>
    <s v="PLAN"/>
    <n v="0"/>
  </r>
  <r>
    <s v="Standard"/>
    <x v="387"/>
    <s v="Pot Rond Plastique PP Transparent 870 AP"/>
    <x v="0"/>
    <s v="PLAN"/>
    <n v="0"/>
  </r>
  <r>
    <s v="Standard"/>
    <x v="388"/>
    <s v="Pot Rond Plastique PP Neutre Blanc 1200 AP"/>
    <x v="0"/>
    <s v="PLAN"/>
    <n v="0"/>
  </r>
  <r>
    <s v="Standard"/>
    <x v="389"/>
    <s v="Pot Rond Plastique PP Transparent 1200 AP"/>
    <x v="0"/>
    <s v="PLAN"/>
    <n v="0"/>
  </r>
  <r>
    <s v="Standard"/>
    <x v="390"/>
    <s v="Seau JK - Rond Plastique PP Transparent 1500 AP"/>
    <x v="0"/>
    <s v="PLAN"/>
    <n v="0"/>
  </r>
  <r>
    <s v="Standard"/>
    <x v="391"/>
    <s v="Seau JK Rond Plastique PP Neutre Blanc 21L AP"/>
    <x v="0"/>
    <s v="PLAN"/>
    <n v="0"/>
  </r>
  <r>
    <s v="Standard"/>
    <x v="392"/>
    <s v="Seau Rond Plastique PP Neutre Blanc 2300 AP"/>
    <x v="0"/>
    <s v="PLAN"/>
    <n v="0"/>
  </r>
  <r>
    <s v="Standard"/>
    <x v="393"/>
    <s v="Seau Rond Plastique PP Transparent 2300 AP"/>
    <x v="0"/>
    <s v="PLAN"/>
    <n v="0"/>
  </r>
  <r>
    <s v="Standard"/>
    <x v="394"/>
    <s v="Seau Rond Plastique PP Neutre Blanc 1700 AP"/>
    <x v="0"/>
    <s v="PLAN"/>
    <n v="0"/>
  </r>
  <r>
    <s v="Standard"/>
    <x v="395"/>
    <s v="Seau Rond Plastique PP Transparent 1700 AP"/>
    <x v="0"/>
    <s v="PLAN"/>
    <n v="0"/>
  </r>
  <r>
    <s v="Standard"/>
    <x v="396"/>
    <s v="Seau Rond Plastique PP Neutre Blanc 3800 AM"/>
    <x v="0"/>
    <s v="PLAN"/>
    <n v="0"/>
  </r>
  <r>
    <s v="Standard"/>
    <x v="397"/>
    <s v="Seau Rond Plastique PP Neutre 3800  AM Bleu"/>
    <x v="0"/>
    <s v="PLAN"/>
    <n v="0"/>
  </r>
  <r>
    <s v="Standard"/>
    <x v="398"/>
    <s v="Seau Rond Plastique PP Neutre Blanc 3800 AP"/>
    <x v="0"/>
    <s v="PLAN"/>
    <n v="0"/>
  </r>
  <r>
    <s v="Standard"/>
    <x v="399"/>
    <s v="Seau Rond Plastique PP Transparent 3800 AP"/>
    <x v="0"/>
    <s v="PLAN"/>
    <n v="0"/>
  </r>
  <r>
    <s v="Standard"/>
    <x v="400"/>
    <s v="Seau Rond Plastique PP Neutre Blanc 4000 InvBox AM"/>
    <x v="0"/>
    <s v="PLAN"/>
    <n v="0"/>
  </r>
  <r>
    <s v="Standard"/>
    <x v="401"/>
    <s v="Seau Rond Plastique PP Neutre  4000 InvBox AM Noir"/>
    <x v="0"/>
    <s v="PLAN"/>
    <n v="0"/>
  </r>
  <r>
    <s v="Standard"/>
    <x v="402"/>
    <s v="Seau Rond Plastique PP Neutre 3800  AM Rouge"/>
    <x v="0"/>
    <s v="PLAN"/>
    <n v="0"/>
  </r>
  <r>
    <s v="Standard"/>
    <x v="403"/>
    <s v="Seau Rond Plastique PP Neutre 4600  AM Rouge"/>
    <x v="0"/>
    <s v="PLAN"/>
    <n v="0"/>
  </r>
  <r>
    <s v="Standard"/>
    <x v="404"/>
    <s v="Seau Rond Plastique PP Neutre Blanc 4600 AM"/>
    <x v="0"/>
    <s v="PLAN"/>
    <n v="0"/>
  </r>
  <r>
    <s v="Standard"/>
    <x v="405"/>
    <s v="Seau Rond Plastique PP Neutre Blanc 4600 AP"/>
    <x v="0"/>
    <s v="PLAN"/>
    <n v="0"/>
  </r>
  <r>
    <s v="Standard"/>
    <x v="406"/>
    <s v="Seau Rond Plastique PP Transparent 4600 AP"/>
    <x v="0"/>
    <s v="PLAN"/>
    <n v="0"/>
  </r>
  <r>
    <s v="Standard"/>
    <x v="407"/>
    <s v="Seau Rond Plastique PP Neutre Blanc 5500 AP"/>
    <x v="0"/>
    <s v="PLAN"/>
    <n v="0"/>
  </r>
  <r>
    <s v="Standard"/>
    <x v="408"/>
    <s v="Seau Rond Plastique PP Neutre Blanc 5500 AM"/>
    <x v="0"/>
    <s v="PLAN"/>
    <n v="0"/>
  </r>
  <r>
    <s v="Standard"/>
    <x v="409"/>
    <s v="Seau Rond Plastique PP Transparent 5500 AP"/>
    <x v="0"/>
    <s v="PLAN"/>
    <n v="0"/>
  </r>
  <r>
    <s v="Standard"/>
    <x v="410"/>
    <s v="Seau Rond Plastique PP Neutre Blanc 10000 AM"/>
    <x v="0"/>
    <s v="PLAN"/>
    <n v="0"/>
  </r>
  <r>
    <s v="Standard"/>
    <x v="411"/>
    <s v="Seau &quot;ANID&quot; Rond Plastique PP Neutre Blanc 17/18L AP"/>
    <x v="0"/>
    <s v="PLAN"/>
    <n v="0"/>
  </r>
  <r>
    <s v="Standard"/>
    <x v="412"/>
    <s v="Seau Rond Plastique PP Neutre Blanc 10000 AP"/>
    <x v="0"/>
    <s v="PLAN"/>
    <n v="0"/>
  </r>
  <r>
    <s v="Standard"/>
    <x v="413"/>
    <s v="Seau &quot;ANID&quot; Rond Plastique PP Neutre Blanc 19/20L AM"/>
    <x v="0"/>
    <s v="PLAN"/>
    <n v="0"/>
  </r>
  <r>
    <s v="Standard"/>
    <x v="414"/>
    <s v="Seau Rond Plastique OP PP Neutre Blanc 20000 AM"/>
    <x v="0"/>
    <s v="PLAN"/>
    <n v="0"/>
  </r>
  <r>
    <s v="Standard"/>
    <x v="415"/>
    <s v="Seau Rond Plastique OP PP Neutre Blanc 18000 AM"/>
    <x v="0"/>
    <s v="PLAN"/>
    <n v="0"/>
  </r>
  <r>
    <s v="Standard"/>
    <x v="416"/>
    <s v="Seau Rond Plastique OP PP Rouge 18000 AM"/>
    <x v="0"/>
    <s v="PLAN"/>
    <n v="0"/>
  </r>
  <r>
    <s v="Standard"/>
    <x v="417"/>
    <s v="Seau Rond Plastique OP PP NOIR 18000 AM"/>
    <x v="0"/>
    <s v="PLAN"/>
    <n v="0"/>
  </r>
  <r>
    <s v="Standard"/>
    <x v="418"/>
    <s v="Seau &quot;ANID&quot; Rond Plastique PP Neutre Blanc 17/18L AM"/>
    <x v="0"/>
    <s v="PLAN"/>
    <n v="0"/>
  </r>
  <r>
    <s v="Standard"/>
    <x v="419"/>
    <s v="Seau Rond Plastique PP Neutre Noir 2300 AP"/>
    <x v="0"/>
    <s v="PLAN"/>
    <n v="0"/>
  </r>
  <r>
    <s v="Standard"/>
    <x v="420"/>
    <s v="Seau RECT Plastique PP Neutre Blanc 4000 AM"/>
    <x v="0"/>
    <s v="PLAN"/>
    <n v="0"/>
  </r>
  <r>
    <s v="Standard"/>
    <x v="421"/>
    <s v="Seau RECT Plastique PP Noir  4000 AM"/>
    <x v="0"/>
    <s v="PLAN"/>
    <n v="0"/>
  </r>
  <r>
    <s v="Standard"/>
    <x v="422"/>
    <s v="Seau RECT Plastique PP Neutre Blanc 5000 AM"/>
    <x v="0"/>
    <s v="PLAN"/>
    <n v="0"/>
  </r>
  <r>
    <s v="Standard"/>
    <x v="423"/>
    <s v="Seau Rond Plastique PP Transparent 10000 AP"/>
    <x v="0"/>
    <s v="PLAN"/>
    <n v="0"/>
  </r>
  <r>
    <s v="Standard"/>
    <x v="424"/>
    <s v="Seau 30L Sans Anse Hobbock"/>
    <x v="0"/>
    <s v="PLAN"/>
    <n v="0"/>
  </r>
  <r>
    <s v="Standard"/>
    <x v="425"/>
    <s v="PET pilljar 100ml clear with 40mm snap on neck"/>
    <x v="0"/>
    <s v="PET"/>
    <n v="0"/>
  </r>
  <r>
    <s v="Standard"/>
    <x v="426"/>
    <s v="Boite 1kg Courte - 108x099 - OS -PPT"/>
    <x v="0"/>
    <s v="FBIDN"/>
    <n v="0"/>
  </r>
  <r>
    <s v="Standard"/>
    <x v="427"/>
    <s v="Boite 1kg Longue - 108x131 - OS - Blanc PPT"/>
    <x v="0"/>
    <s v="FBIDN"/>
    <n v="0"/>
  </r>
  <r>
    <s v="Standard"/>
    <x v="428"/>
    <s v="Boite 5kg Tronconique - 168x180x235 - Pails - FB CB - Blanc PPT"/>
    <x v="0"/>
    <s v="FBIDN"/>
    <n v="0"/>
  </r>
  <r>
    <s v="Standard"/>
    <x v="429"/>
    <s v="Boite 4L Tronconique - 180X195 - Pails - FB CB - Blanc PPT"/>
    <x v="0"/>
    <s v="FBIDN"/>
    <n v="0"/>
  </r>
  <r>
    <s v="Standard"/>
    <x v="430"/>
    <s v="Bidon 5L QUALIAGRO Les Domaines ARG BIO V.X BPANI"/>
    <x v="0"/>
    <s v="FBBII"/>
    <n v="0"/>
  </r>
  <r>
    <s v="Standard"/>
    <x v="431"/>
    <s v="Bidon 2.5L QUALIAGRO Les Domaines ARG BIO V.X BPANI"/>
    <x v="0"/>
    <s v="FBBII"/>
    <n v="0"/>
  </r>
  <r>
    <s v="Standard"/>
    <x v="432"/>
    <s v="Bidon 4L Bourchanin Olinia BPANI"/>
    <x v="0"/>
    <s v="FBBII"/>
    <n v="0"/>
  </r>
  <r>
    <s v="Standard"/>
    <x v="433"/>
    <s v="Bidon 2.5L QUALIAGRO Les Domaines ARG CONV V.X BPANI"/>
    <x v="0"/>
    <s v="FBBII"/>
    <n v="0"/>
  </r>
  <r>
    <s v="Standard"/>
    <x v="434"/>
    <s v="Bidon 1L Bourchanin Olinia BPANI"/>
    <x v="0"/>
    <s v="FBBII"/>
    <n v="0"/>
  </r>
  <r>
    <s v="Standard"/>
    <x v="435"/>
    <s v="Bidon 5L Rect Or - BPANI - Huile Olive"/>
    <x v="0"/>
    <s v="FBBIN"/>
    <n v="0"/>
  </r>
  <r>
    <s v="Standard"/>
    <x v="436"/>
    <s v="Bidon 1L Rect Or - BPANI - Huile Olive"/>
    <x v="0"/>
    <s v="FBBIN"/>
    <n v="0"/>
  </r>
  <r>
    <s v="Standard"/>
    <x v="437"/>
    <s v="Bidon 3L Rect Or - BPANI - Huile Olive"/>
    <x v="0"/>
    <s v="FBBIN"/>
    <n v="0"/>
  </r>
  <r>
    <s v="Standard"/>
    <x v="438"/>
    <s v="Bidon 2.5L Rect Or - BPANI - Huile Olive"/>
    <x v="0"/>
    <s v="FBBIN"/>
    <n v="0"/>
  </r>
  <r>
    <s v="Standard"/>
    <x v="439"/>
    <s v="Bidon 250ML Rect Or - BPANI - Huile Olive"/>
    <x v="0"/>
    <s v="FBBIN"/>
    <n v="0"/>
  </r>
  <r>
    <s v="Standard"/>
    <x v="440"/>
    <s v="Bidon 1/2L Rect Or - BPANI - Huile Olive"/>
    <x v="0"/>
    <s v="FBBIN"/>
    <n v="0"/>
  </r>
  <r>
    <s v="Standard"/>
    <x v="441"/>
    <s v="Bidon 10L Rect Or - BPANI - Huile Olive"/>
    <x v="0"/>
    <s v="FBBIN"/>
    <n v="0"/>
  </r>
  <r>
    <m/>
    <x v="328"/>
    <m/>
    <x v="1"/>
    <m/>
    <m/>
  </r>
</pivotCacheRecords>
</file>

<file path=xl/pivotCache/pivotCacheRecords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</r>
  <r>
    <x v="1"/>
    <x v="1"/>
  </r>
  <r>
    <x v="2"/>
    <x v="0"/>
  </r>
  <r>
    <x v="3"/>
    <x v="2"/>
  </r>
  <r>
    <x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2CD8B-9BAF-4EE1-98A2-E9C9A07575E0}" name="Tableau croisé dynamique1" cacheId="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D4:D2838" firstHeaderRow="1" firstDataRow="1" firstDataCol="1"/>
  <pivotFields count="1">
    <pivotField axis="axisRow" showAll="0">
      <items count="2834">
        <item x="1829"/>
        <item x="1686"/>
        <item x="2078"/>
        <item x="896"/>
        <item x="1481"/>
        <item x="276"/>
        <item x="2778"/>
        <item x="2098"/>
        <item x="2174"/>
        <item x="1139"/>
        <item x="176"/>
        <item x="1163"/>
        <item x="2380"/>
        <item x="1377"/>
        <item x="2430"/>
        <item x="1376"/>
        <item x="1390"/>
        <item x="2619"/>
        <item x="2437"/>
        <item x="487"/>
        <item x="2236"/>
        <item x="2432"/>
        <item x="1136"/>
        <item x="2392"/>
        <item x="1993"/>
        <item x="1195"/>
        <item x="660"/>
        <item x="2363"/>
        <item x="2436"/>
        <item x="2465"/>
        <item x="2490"/>
        <item x="2414"/>
        <item x="326"/>
        <item x="327"/>
        <item x="2630"/>
        <item x="2114"/>
        <item x="2356"/>
        <item x="2162"/>
        <item x="1958"/>
        <item x="884"/>
        <item x="1660"/>
        <item x="954"/>
        <item x="1093"/>
        <item x="1913"/>
        <item x="2512"/>
        <item x="274"/>
        <item x="2158"/>
        <item x="1194"/>
        <item x="2766"/>
        <item x="2564"/>
        <item x="1264"/>
        <item x="1357"/>
        <item x="2696"/>
        <item x="1860"/>
        <item x="2330"/>
        <item x="287"/>
        <item x="2769"/>
        <item x="1223"/>
        <item x="977"/>
        <item x="1776"/>
        <item x="2216"/>
        <item x="1963"/>
        <item x="1708"/>
        <item x="2123"/>
        <item x="1488"/>
        <item x="1332"/>
        <item x="1326"/>
        <item x="2476"/>
        <item x="1446"/>
        <item x="1152"/>
        <item x="1657"/>
        <item x="1628"/>
        <item x="491"/>
        <item x="673"/>
        <item x="786"/>
        <item x="1111"/>
        <item x="2062"/>
        <item x="1733"/>
        <item x="265"/>
        <item x="1523"/>
        <item x="1427"/>
        <item x="861"/>
        <item x="652"/>
        <item x="539"/>
        <item x="2284"/>
        <item x="2760"/>
        <item x="2718"/>
        <item x="1822"/>
        <item x="771"/>
        <item x="328"/>
        <item x="707"/>
        <item x="1124"/>
        <item x="2089"/>
        <item x="2729"/>
        <item x="777"/>
        <item x="989"/>
        <item x="2662"/>
        <item x="1847"/>
        <item x="2433"/>
        <item x="699"/>
        <item x="1208"/>
        <item x="1569"/>
        <item x="329"/>
        <item x="925"/>
        <item x="2336"/>
        <item x="2396"/>
        <item x="2335"/>
        <item x="1462"/>
        <item x="1880"/>
        <item x="191"/>
        <item x="2225"/>
        <item x="1"/>
        <item x="2140"/>
        <item x="981"/>
        <item x="1985"/>
        <item x="2112"/>
        <item x="820"/>
        <item x="2811"/>
        <item x="1164"/>
        <item x="1538"/>
        <item x="1839"/>
        <item x="2812"/>
        <item x="2033"/>
        <item x="1130"/>
        <item x="330"/>
        <item x="1166"/>
        <item x="2753"/>
        <item x="1530"/>
        <item x="883"/>
        <item x="2686"/>
        <item x="493"/>
        <item x="1437"/>
        <item x="0"/>
        <item x="1068"/>
        <item x="2469"/>
        <item x="931"/>
        <item x="945"/>
        <item x="2376"/>
        <item x="795"/>
        <item x="1797"/>
        <item x="331"/>
        <item x="1907"/>
        <item x="332"/>
        <item x="2782"/>
        <item x="241"/>
        <item x="2247"/>
        <item x="2313"/>
        <item x="2451"/>
        <item x="1359"/>
        <item x="271"/>
        <item x="1324"/>
        <item x="333"/>
        <item x="747"/>
        <item x="2298"/>
        <item x="1008"/>
        <item x="1903"/>
        <item x="2764"/>
        <item x="488"/>
        <item x="334"/>
        <item x="2107"/>
        <item x="1295"/>
        <item x="2685"/>
        <item x="448"/>
        <item x="1815"/>
        <item x="2651"/>
        <item x="1381"/>
        <item x="2749"/>
        <item x="2108"/>
        <item x="2222"/>
        <item x="248"/>
        <item x="2658"/>
        <item x="2585"/>
        <item x="1274"/>
        <item x="272"/>
        <item x="1307"/>
        <item x="865"/>
        <item x="2082"/>
        <item x="569"/>
        <item x="2031"/>
        <item x="1929"/>
        <item x="275"/>
        <item x="2816"/>
        <item x="1722"/>
        <item x="1040"/>
        <item x="2043"/>
        <item x="2597"/>
        <item x="850"/>
        <item x="2608"/>
        <item x="2010"/>
        <item x="2790"/>
        <item x="1687"/>
        <item x="2791"/>
        <item x="605"/>
        <item x="735"/>
        <item x="1949"/>
        <item x="1625"/>
        <item x="149"/>
        <item x="2132"/>
        <item x="930"/>
        <item x="335"/>
        <item x="889"/>
        <item x="2207"/>
        <item x="2669"/>
        <item x="1540"/>
        <item x="504"/>
        <item x="2146"/>
        <item x="336"/>
        <item x="337"/>
        <item x="260"/>
        <item x="513"/>
        <item x="266"/>
        <item x="492"/>
        <item x="1819"/>
        <item x="612"/>
        <item x="1267"/>
        <item x="1041"/>
        <item x="1647"/>
        <item x="1905"/>
        <item x="1532"/>
        <item x="1720"/>
        <item x="913"/>
        <item x="1053"/>
        <item x="338"/>
        <item x="339"/>
        <item x="958"/>
        <item x="1518"/>
        <item x="757"/>
        <item x="1700"/>
        <item x="340"/>
        <item x="552"/>
        <item x="1474"/>
        <item x="1255"/>
        <item x="341"/>
        <item x="1012"/>
        <item x="704"/>
        <item x="1935"/>
        <item x="1840"/>
        <item x="893"/>
        <item x="342"/>
        <item x="690"/>
        <item x="1125"/>
        <item x="343"/>
        <item x="1495"/>
        <item x="345"/>
        <item x="1520"/>
        <item x="1874"/>
        <item x="1714"/>
        <item x="1246"/>
        <item x="346"/>
        <item x="1003"/>
        <item x="1663"/>
        <item x="2290"/>
        <item x="2297"/>
        <item x="2185"/>
        <item x="694"/>
        <item x="1447"/>
        <item x="1426"/>
        <item x="347"/>
        <item x="490"/>
        <item x="1816"/>
        <item x="2353"/>
        <item x="738"/>
        <item x="1865"/>
        <item x="348"/>
        <item x="1382"/>
        <item x="526"/>
        <item x="619"/>
        <item x="349"/>
        <item x="2201"/>
        <item x="419"/>
        <item x="932"/>
        <item x="2093"/>
        <item x="1577"/>
        <item x="1857"/>
        <item x="668"/>
        <item x="1498"/>
        <item x="1967"/>
        <item x="1249"/>
        <item x="1747"/>
        <item x="1280"/>
        <item x="1932"/>
        <item x="1001"/>
        <item x="350"/>
        <item x="589"/>
        <item x="2077"/>
        <item x="1404"/>
        <item x="624"/>
        <item x="1861"/>
        <item x="1287"/>
        <item x="1113"/>
        <item x="351"/>
        <item x="1294"/>
        <item x="811"/>
        <item x="793"/>
        <item x="1796"/>
        <item x="1546"/>
        <item x="352"/>
        <item x="1204"/>
        <item x="961"/>
        <item x="880"/>
        <item x="791"/>
        <item x="1170"/>
        <item x="1407"/>
        <item x="155"/>
        <item x="2340"/>
        <item x="1496"/>
        <item x="1193"/>
        <item x="2674"/>
        <item x="1292"/>
        <item x="2069"/>
        <item x="2574"/>
        <item x="2461"/>
        <item x="831"/>
        <item x="2620"/>
        <item x="503"/>
        <item x="744"/>
        <item x="1933"/>
        <item x="749"/>
        <item x="2639"/>
        <item x="2762"/>
        <item x="23"/>
        <item x="876"/>
        <item x="186"/>
        <item x="2541"/>
        <item x="2357"/>
        <item x="2394"/>
        <item x="300"/>
        <item x="2168"/>
        <item x="1870"/>
        <item x="1863"/>
        <item x="2170"/>
        <item x="2053"/>
        <item x="2240"/>
        <item x="2142"/>
        <item x="1655"/>
        <item x="277"/>
        <item x="1886"/>
        <item x="554"/>
        <item x="1794"/>
        <item x="2309"/>
        <item x="1349"/>
        <item x="550"/>
        <item x="2629"/>
        <item x="2217"/>
        <item x="1515"/>
        <item x="159"/>
        <item x="788"/>
        <item x="1614"/>
        <item x="2397"/>
        <item x="1573"/>
        <item x="1155"/>
        <item x="2804"/>
        <item x="2487"/>
        <item x="2568"/>
        <item x="2523"/>
        <item x="1828"/>
        <item x="1370"/>
        <item x="1568"/>
        <item x="901"/>
        <item x="643"/>
        <item x="1253"/>
        <item x="995"/>
        <item x="2702"/>
        <item x="2664"/>
        <item x="1601"/>
        <item x="1242"/>
        <item x="678"/>
        <item x="1216"/>
        <item x="1002"/>
        <item x="2726"/>
        <item x="489"/>
        <item x="1490"/>
        <item x="2416"/>
        <item x="1742"/>
        <item x="2631"/>
        <item x="1021"/>
        <item x="2759"/>
        <item x="2530"/>
        <item x="1363"/>
        <item x="2130"/>
        <item x="1234"/>
        <item x="1121"/>
        <item x="200"/>
        <item x="25"/>
        <item x="1244"/>
        <item x="812"/>
        <item x="985"/>
        <item x="1734"/>
        <item x="2591"/>
        <item x="2624"/>
        <item x="2232"/>
        <item x="17"/>
        <item x="2421"/>
        <item x="1257"/>
        <item x="502"/>
        <item x="994"/>
        <item x="18"/>
        <item x="2139"/>
        <item x="16"/>
        <item x="1362"/>
        <item x="1471"/>
        <item x="190"/>
        <item x="19"/>
        <item x="2809"/>
        <item x="574"/>
        <item x="21"/>
        <item x="681"/>
        <item x="538"/>
        <item x="1570"/>
        <item x="1200"/>
        <item x="443"/>
        <item x="1296"/>
        <item x="1764"/>
        <item x="22"/>
        <item x="630"/>
        <item x="817"/>
        <item x="611"/>
        <item x="2411"/>
        <item x="978"/>
        <item x="2701"/>
        <item x="655"/>
        <item x="2276"/>
        <item x="2717"/>
        <item x="720"/>
        <item x="2270"/>
        <item x="1988"/>
        <item x="531"/>
        <item x="2036"/>
        <item x="353"/>
        <item x="146"/>
        <item x="355"/>
        <item x="1676"/>
        <item x="908"/>
        <item x="1484"/>
        <item x="1957"/>
        <item x="627"/>
        <item x="684"/>
        <item x="1906"/>
        <item x="356"/>
        <item x="1521"/>
        <item x="535"/>
        <item x="357"/>
        <item x="1868"/>
        <item x="761"/>
        <item x="943"/>
        <item x="358"/>
        <item x="1197"/>
        <item x="677"/>
        <item x="1228"/>
        <item x="566"/>
        <item x="1773"/>
        <item x="1056"/>
        <item x="1811"/>
        <item x="1379"/>
        <item x="1817"/>
        <item x="888"/>
        <item x="870"/>
        <item x="821"/>
        <item x="846"/>
        <item x="359"/>
        <item x="813"/>
        <item x="1824"/>
        <item x="1384"/>
        <item x="144"/>
        <item x="74"/>
        <item x="578"/>
        <item x="827"/>
        <item x="1487"/>
        <item x="1713"/>
        <item x="2037"/>
        <item x="969"/>
        <item x="765"/>
        <item x="83"/>
        <item x="360"/>
        <item x="1071"/>
        <item x="2731"/>
        <item x="1646"/>
        <item x="1781"/>
        <item x="1329"/>
        <item x="2646"/>
        <item x="986"/>
        <item x="1022"/>
        <item x="2306"/>
        <item x="722"/>
        <item x="2384"/>
        <item x="2385"/>
        <item x="2707"/>
        <item x="1110"/>
        <item x="2058"/>
        <item x="590"/>
        <item x="2007"/>
        <item x="768"/>
        <item x="1224"/>
        <item x="2516"/>
        <item x="2266"/>
        <item x="2773"/>
        <item x="20"/>
        <item x="2481"/>
        <item x="2047"/>
        <item x="2390"/>
        <item x="1513"/>
        <item x="2536"/>
        <item x="2295"/>
        <item x="2230"/>
        <item x="2301"/>
        <item x="2274"/>
        <item x="2072"/>
        <item x="1869"/>
        <item x="444"/>
        <item x="1990"/>
        <item x="245"/>
        <item x="225"/>
        <item x="154"/>
        <item x="2473"/>
        <item x="361"/>
        <item x="2450"/>
        <item x="745"/>
        <item x="816"/>
        <item x="1175"/>
        <item x="1029"/>
        <item x="1970"/>
        <item x="710"/>
        <item x="24"/>
        <item x="1431"/>
        <item x="145"/>
        <item x="2238"/>
        <item x="1098"/>
        <item x="313"/>
        <item x="1884"/>
        <item x="180"/>
        <item x="1074"/>
        <item x="185"/>
        <item x="2562"/>
        <item x="1768"/>
        <item x="622"/>
        <item x="1640"/>
        <item x="1230"/>
        <item x="1627"/>
        <item x="2641"/>
        <item x="2419"/>
        <item x="2435"/>
        <item x="2539"/>
        <item x="1153"/>
        <item x="223"/>
        <item x="2700"/>
        <item x="2527"/>
        <item x="224"/>
        <item x="2151"/>
        <item x="187"/>
        <item x="362"/>
        <item x="2149"/>
        <item x="1501"/>
        <item x="2346"/>
        <item x="789"/>
        <item x="229"/>
        <item x="244"/>
        <item x="1310"/>
        <item x="1062"/>
        <item x="662"/>
        <item x="1795"/>
        <item x="1057"/>
        <item x="1048"/>
        <item x="803"/>
        <item x="1991"/>
        <item x="1254"/>
        <item x="625"/>
        <item x="1445"/>
        <item x="1313"/>
        <item x="227"/>
        <item x="1849"/>
        <item x="617"/>
        <item x="363"/>
        <item x="1007"/>
        <item x="2621"/>
        <item x="182"/>
        <item x="2431"/>
        <item x="2739"/>
        <item x="365"/>
        <item x="2449"/>
        <item x="2013"/>
        <item x="1842"/>
        <item x="698"/>
        <item x="238"/>
        <item x="2150"/>
        <item x="760"/>
        <item x="754"/>
        <item x="1212"/>
        <item x="230"/>
        <item x="1229"/>
        <item x="1479"/>
        <item x="801"/>
        <item x="683"/>
        <item x="2627"/>
        <item x="1441"/>
        <item x="181"/>
        <item x="2601"/>
        <item x="1999"/>
        <item x="366"/>
        <item x="226"/>
        <item x="1572"/>
        <item x="2285"/>
        <item x="1649"/>
        <item x="525"/>
        <item x="239"/>
        <item x="183"/>
        <item x="231"/>
        <item x="2616"/>
        <item x="1875"/>
        <item x="184"/>
        <item x="1629"/>
        <item x="1613"/>
        <item x="240"/>
        <item x="1069"/>
        <item x="2666"/>
        <item x="367"/>
        <item x="1862"/>
        <item x="234"/>
        <item x="2102"/>
        <item x="243"/>
        <item x="701"/>
        <item x="1661"/>
        <item x="228"/>
        <item x="907"/>
        <item x="1928"/>
        <item x="1222"/>
        <item x="2796"/>
        <item x="1938"/>
        <item x="750"/>
        <item x="2163"/>
        <item x="815"/>
        <item x="368"/>
        <item x="369"/>
        <item x="1019"/>
        <item x="1727"/>
        <item x="235"/>
        <item x="1917"/>
        <item x="237"/>
        <item x="2070"/>
        <item x="2245"/>
        <item x="753"/>
        <item x="1806"/>
        <item x="1398"/>
        <item x="2673"/>
        <item x="2323"/>
        <item x="2546"/>
        <item x="960"/>
        <item x="1334"/>
        <item x="2109"/>
        <item x="2152"/>
        <item x="1946"/>
        <item x="2034"/>
        <item x="2781"/>
        <item x="1665"/>
        <item x="2826"/>
        <item x="2347"/>
        <item x="2829"/>
        <item x="2365"/>
        <item x="825"/>
        <item x="783"/>
        <item x="1771"/>
        <item x="379"/>
        <item x="1780"/>
        <item x="587"/>
        <item x="1477"/>
        <item x="1650"/>
        <item x="1923"/>
        <item x="739"/>
        <item x="1953"/>
        <item x="1825"/>
        <item x="1262"/>
        <item x="796"/>
        <item x="577"/>
        <item x="2004"/>
        <item x="371"/>
        <item x="940"/>
        <item x="1612"/>
        <item x="372"/>
        <item x="906"/>
        <item x="1493"/>
        <item x="373"/>
        <item x="1354"/>
        <item x="946"/>
        <item x="374"/>
        <item x="787"/>
        <item x="962"/>
        <item x="965"/>
        <item x="1827"/>
        <item x="375"/>
        <item x="1524"/>
        <item x="709"/>
        <item x="1910"/>
        <item x="376"/>
        <item x="1519"/>
        <item x="1931"/>
        <item x="1750"/>
        <item x="743"/>
        <item x="1226"/>
        <item x="1263"/>
        <item x="1351"/>
        <item x="1965"/>
        <item x="797"/>
        <item x="651"/>
        <item x="734"/>
        <item x="1352"/>
        <item x="819"/>
        <item x="898"/>
        <item x="666"/>
        <item x="899"/>
        <item x="377"/>
        <item x="1024"/>
        <item x="900"/>
        <item x="1316"/>
        <item x="730"/>
        <item x="790"/>
        <item x="1845"/>
        <item x="733"/>
        <item x="851"/>
        <item x="1904"/>
        <item x="1685"/>
        <item x="1304"/>
        <item x="1987"/>
        <item x="852"/>
        <item x="933"/>
        <item x="1961"/>
        <item x="1240"/>
        <item x="770"/>
        <item x="380"/>
        <item x="669"/>
        <item x="792"/>
        <item x="1489"/>
        <item x="1831"/>
        <item x="1475"/>
        <item x="1306"/>
        <item x="1285"/>
        <item x="1497"/>
        <item x="1908"/>
        <item x="746"/>
        <item x="798"/>
        <item x="1751"/>
        <item x="775"/>
        <item x="1940"/>
        <item x="1945"/>
        <item x="1227"/>
        <item x="732"/>
        <item x="1315"/>
        <item x="467"/>
        <item x="1156"/>
        <item x="1960"/>
        <item x="1452"/>
        <item x="1317"/>
        <item x="1919"/>
        <item x="633"/>
        <item x="877"/>
        <item x="378"/>
        <item x="1679"/>
        <item x="646"/>
        <item x="691"/>
        <item x="1486"/>
        <item x="1915"/>
        <item x="1769"/>
        <item x="1030"/>
        <item x="857"/>
        <item x="1042"/>
        <item x="1322"/>
        <item x="1826"/>
        <item x="1977"/>
        <item x="1891"/>
        <item x="1786"/>
        <item x="1095"/>
        <item x="1350"/>
        <item x="1911"/>
        <item x="1533"/>
        <item x="807"/>
        <item x="778"/>
        <item x="809"/>
        <item x="370"/>
        <item x="640"/>
        <item x="839"/>
        <item x="822"/>
        <item x="2567"/>
        <item x="2329"/>
        <item x="2294"/>
        <item x="2321"/>
        <item x="2565"/>
        <item x="782"/>
        <item x="1305"/>
        <item x="2458"/>
        <item x="1341"/>
        <item x="837"/>
        <item x="774"/>
        <item x="1389"/>
        <item x="873"/>
        <item x="714"/>
        <item x="1348"/>
        <item x="620"/>
        <item x="1112"/>
        <item x="1265"/>
        <item x="1610"/>
        <item x="1013"/>
        <item x="824"/>
        <item x="1210"/>
        <item x="642"/>
        <item x="242"/>
        <item x="1805"/>
        <item x="236"/>
        <item x="1850"/>
        <item x="996"/>
        <item x="233"/>
        <item x="628"/>
        <item x="2050"/>
        <item x="2598"/>
        <item x="2148"/>
        <item x="849"/>
        <item x="2179"/>
        <item x="719"/>
        <item x="1728"/>
        <item x="381"/>
        <item x="2246"/>
        <item x="382"/>
        <item x="975"/>
        <item x="1333"/>
        <item x="1757"/>
        <item x="1983"/>
        <item x="1115"/>
        <item x="614"/>
        <item x="1682"/>
        <item x="1016"/>
        <item x="1748"/>
        <item x="2369"/>
        <item x="1787"/>
        <item x="1266"/>
        <item x="1454"/>
        <item x="2413"/>
        <item x="294"/>
        <item x="1017"/>
        <item x="988"/>
        <item x="1473"/>
        <item x="2798"/>
        <item x="1502"/>
        <item x="644"/>
        <item x="2825"/>
        <item x="756"/>
        <item x="284"/>
        <item x="311"/>
        <item x="2144"/>
        <item x="580"/>
        <item x="2343"/>
        <item x="324"/>
        <item x="485"/>
        <item x="2751"/>
        <item x="692"/>
        <item x="887"/>
        <item x="1279"/>
        <item x="1788"/>
        <item x="1677"/>
        <item x="288"/>
        <item x="383"/>
        <item x="1006"/>
        <item x="280"/>
        <item x="282"/>
        <item x="1799"/>
        <item x="1466"/>
        <item x="1641"/>
        <item x="915"/>
        <item x="1600"/>
        <item x="2272"/>
        <item x="1752"/>
        <item x="2584"/>
        <item x="1256"/>
        <item x="1386"/>
        <item x="1468"/>
        <item x="804"/>
        <item x="1505"/>
        <item x="2559"/>
        <item x="2308"/>
        <item x="1731"/>
        <item x="1311"/>
        <item x="1235"/>
        <item x="715"/>
        <item x="2723"/>
        <item x="2800"/>
        <item x="2383"/>
        <item x="1775"/>
        <item x="858"/>
        <item x="303"/>
        <item x="2391"/>
        <item x="2398"/>
        <item x="279"/>
        <item x="297"/>
        <item x="289"/>
        <item x="283"/>
        <item x="310"/>
        <item x="302"/>
        <item x="270"/>
        <item x="290"/>
        <item x="295"/>
        <item x="316"/>
        <item x="298"/>
        <item x="286"/>
        <item x="322"/>
        <item x="1183"/>
        <item x="323"/>
        <item x="1741"/>
        <item x="301"/>
        <item x="1391"/>
        <item x="304"/>
        <item x="291"/>
        <item x="278"/>
        <item x="1623"/>
        <item x="150"/>
        <item x="292"/>
        <item x="2393"/>
        <item x="508"/>
        <item x="321"/>
        <item x="320"/>
        <item x="1206"/>
        <item x="1318"/>
        <item x="1157"/>
        <item x="318"/>
        <item x="2480"/>
        <item x="315"/>
        <item x="296"/>
        <item x="232"/>
        <item x="718"/>
        <item x="312"/>
        <item x="486"/>
        <item x="2176"/>
        <item x="546"/>
        <item x="293"/>
        <item x="2096"/>
        <item x="1238"/>
        <item x="971"/>
        <item x="319"/>
        <item x="299"/>
        <item x="307"/>
        <item x="1092"/>
        <item x="208"/>
        <item x="1770"/>
        <item x="258"/>
        <item x="712"/>
        <item x="317"/>
        <item x="314"/>
        <item x="1881"/>
        <item x="1403"/>
        <item x="2503"/>
        <item x="308"/>
        <item x="955"/>
        <item x="2065"/>
        <item x="305"/>
        <item x="514"/>
        <item x="510"/>
        <item x="2379"/>
        <item x="309"/>
        <item x="281"/>
        <item x="306"/>
        <item x="1424"/>
        <item x="2029"/>
        <item x="1522"/>
        <item x="2155"/>
        <item x="1760"/>
        <item x="2354"/>
        <item x="2254"/>
        <item x="2147"/>
        <item x="693"/>
        <item x="953"/>
        <item x="1107"/>
        <item x="1634"/>
        <item x="2249"/>
        <item x="250"/>
        <item x="2471"/>
        <item x="263"/>
        <item x="1894"/>
        <item x="2022"/>
        <item x="2785"/>
        <item x="385"/>
        <item x="1122"/>
        <item x="1696"/>
        <item x="1590"/>
        <item x="2815"/>
        <item x="1693"/>
        <item x="826"/>
        <item x="1188"/>
        <item x="1511"/>
        <item x="1160"/>
        <item x="1690"/>
        <item x="2242"/>
        <item x="269"/>
        <item x="2455"/>
        <item x="976"/>
        <item x="2076"/>
        <item x="2020"/>
        <item x="2059"/>
        <item x="386"/>
        <item x="736"/>
        <item x="1555"/>
        <item x="2488"/>
        <item x="1250"/>
        <item x="1930"/>
        <item x="1165"/>
        <item x="1347"/>
        <item x="592"/>
        <item x="2492"/>
        <item x="2264"/>
        <item x="974"/>
        <item x="2642"/>
        <item x="1284"/>
        <item x="1126"/>
        <item x="1527"/>
        <item x="1605"/>
        <item x="523"/>
        <item x="2056"/>
        <item x="2604"/>
        <item x="1458"/>
        <item x="2560"/>
        <item x="1709"/>
        <item x="923"/>
        <item x="982"/>
        <item x="2466"/>
        <item x="1010"/>
        <item x="2453"/>
        <item x="1281"/>
        <item x="2119"/>
        <item x="1510"/>
        <item x="387"/>
        <item x="2055"/>
        <item x="919"/>
        <item x="251"/>
        <item x="882"/>
        <item x="1103"/>
        <item x="2196"/>
        <item x="253"/>
        <item x="2612"/>
        <item x="249"/>
        <item x="1009"/>
        <item x="1393"/>
        <item x="1549"/>
        <item x="2486"/>
        <item x="2169"/>
        <item x="2083"/>
        <item x="2214"/>
        <item x="2563"/>
        <item x="2670"/>
        <item x="2188"/>
        <item x="512"/>
        <item x="1753"/>
        <item x="254"/>
        <item x="2709"/>
        <item x="1078"/>
        <item x="2737"/>
        <item x="256"/>
        <item x="156"/>
        <item x="259"/>
        <item x="388"/>
        <item x="1681"/>
        <item x="1740"/>
        <item x="1422"/>
        <item x="264"/>
        <item x="1529"/>
        <item x="921"/>
        <item x="1335"/>
        <item x="2231"/>
        <item x="2161"/>
        <item x="2427"/>
        <item x="1982"/>
        <item x="1219"/>
        <item x="855"/>
        <item x="1723"/>
        <item x="1440"/>
        <item x="147"/>
        <item x="1289"/>
        <item x="257"/>
        <item x="261"/>
        <item x="1429"/>
        <item x="2229"/>
        <item x="1715"/>
        <item x="268"/>
        <item x="2256"/>
        <item x="1049"/>
        <item x="854"/>
        <item x="273"/>
        <item x="2092"/>
        <item x="1346"/>
        <item x="2505"/>
        <item x="2361"/>
        <item x="2592"/>
        <item x="2355"/>
        <item x="1173"/>
        <item x="1952"/>
        <item x="926"/>
        <item x="2757"/>
        <item x="1633"/>
        <item x="1812"/>
        <item x="2156"/>
        <item x="262"/>
        <item x="255"/>
        <item x="267"/>
        <item x="2596"/>
        <item x="252"/>
        <item x="966"/>
        <item x="1205"/>
        <item x="1813"/>
        <item x="2724"/>
        <item x="1800"/>
        <item x="2656"/>
        <item x="1198"/>
        <item x="2456"/>
        <item x="7"/>
        <item x="2540"/>
        <item x="2228"/>
        <item x="594"/>
        <item x="2654"/>
        <item x="2103"/>
        <item x="2018"/>
        <item x="389"/>
        <item x="451"/>
        <item x="2698"/>
        <item x="344"/>
        <item x="432"/>
        <item x="2820"/>
        <item x="1763"/>
        <item x="1658"/>
        <item x="354"/>
        <item x="2038"/>
        <item x="390"/>
        <item x="403"/>
        <item x="2359"/>
        <item x="606"/>
        <item x="1841"/>
        <item x="2661"/>
        <item x="1674"/>
        <item x="1563"/>
        <item x="1365"/>
        <item x="2371"/>
        <item x="2671"/>
        <item x="1974"/>
        <item x="1716"/>
        <item x="325"/>
        <item x="1630"/>
        <item x="537"/>
        <item x="2819"/>
        <item x="1645"/>
        <item x="391"/>
        <item x="1889"/>
        <item x="120"/>
        <item x="563"/>
        <item x="957"/>
        <item x="755"/>
        <item x="13"/>
        <item x="802"/>
        <item x="1202"/>
        <item x="2645"/>
        <item x="1034"/>
        <item x="393"/>
        <item x="1574"/>
        <item x="2212"/>
        <item x="1557"/>
        <item x="794"/>
        <item x="1712"/>
        <item x="2576"/>
        <item x="2124"/>
        <item x="392"/>
        <item x="394"/>
        <item x="364"/>
        <item x="1411"/>
        <item x="1583"/>
        <item x="1418"/>
        <item x="1635"/>
        <item x="1624"/>
        <item x="395"/>
        <item x="2805"/>
        <item x="2429"/>
        <item x="828"/>
        <item x="1154"/>
        <item x="2015"/>
        <item x="1575"/>
        <item x="845"/>
        <item x="2412"/>
        <item x="2259"/>
        <item x="2153"/>
        <item x="1220"/>
        <item x="1420"/>
        <item x="2283"/>
        <item x="2448"/>
        <item x="1956"/>
        <item x="192"/>
        <item x="556"/>
        <item x="1047"/>
        <item x="1526"/>
        <item x="1791"/>
        <item x="2205"/>
        <item x="559"/>
        <item x="2143"/>
        <item x="2252"/>
        <item x="498"/>
        <item x="1102"/>
        <item x="1303"/>
        <item x="1730"/>
        <item x="1648"/>
        <item x="2184"/>
        <item x="2468"/>
        <item x="2768"/>
        <item x="1620"/>
        <item x="495"/>
        <item x="1536"/>
        <item x="991"/>
        <item x="1374"/>
        <item x="501"/>
        <item x="1385"/>
        <item x="1150"/>
        <item x="769"/>
        <item x="823"/>
        <item x="1149"/>
        <item x="396"/>
        <item x="766"/>
        <item x="1959"/>
        <item x="1947"/>
        <item x="897"/>
        <item x="1353"/>
        <item x="764"/>
        <item x="397"/>
        <item x="1552"/>
        <item x="494"/>
        <item x="2106"/>
        <item x="1168"/>
        <item x="2095"/>
        <item x="1434"/>
        <item x="1754"/>
        <item x="6"/>
        <item x="398"/>
        <item x="2814"/>
        <item x="1457"/>
        <item x="2048"/>
        <item x="2735"/>
        <item x="1901"/>
        <item x="1400"/>
        <item x="1337"/>
        <item x="2692"/>
        <item x="499"/>
        <item x="632"/>
        <item x="2462"/>
        <item x="496"/>
        <item x="384"/>
        <item x="2754"/>
        <item x="2496"/>
        <item x="399"/>
        <item x="2830"/>
        <item x="2672"/>
        <item x="2009"/>
        <item x="2326"/>
        <item x="2467"/>
        <item x="2191"/>
        <item x="1355"/>
        <item x="2282"/>
        <item x="2268"/>
        <item x="1912"/>
        <item x="2713"/>
        <item x="2333"/>
        <item x="497"/>
        <item x="500"/>
        <item x="1005"/>
        <item x="1589"/>
        <item x="400"/>
        <item x="1301"/>
        <item x="2046"/>
        <item x="2115"/>
        <item x="140"/>
        <item x="14"/>
        <item x="1948"/>
        <item x="15"/>
        <item x="1108"/>
        <item x="1619"/>
        <item x="2514"/>
        <item x="1179"/>
        <item x="2223"/>
        <item x="2611"/>
        <item x="984"/>
        <item x="2303"/>
        <item x="1127"/>
        <item x="517"/>
        <item x="29"/>
        <item x="1566"/>
        <item x="521"/>
        <item x="2014"/>
        <item x="1651"/>
        <item x="1045"/>
        <item x="401"/>
        <item x="114"/>
        <item x="1545"/>
        <item x="626"/>
        <item x="2483"/>
        <item x="805"/>
        <item x="515"/>
        <item x="532"/>
        <item x="1037"/>
        <item x="1895"/>
        <item x="1425"/>
        <item x="1383"/>
        <item x="555"/>
        <item x="1756"/>
        <item x="1239"/>
        <item x="520"/>
        <item x="2209"/>
        <item x="2482"/>
        <item x="1415"/>
        <item x="2518"/>
        <item x="1656"/>
        <item x="685"/>
        <item x="1608"/>
        <item x="1485"/>
        <item x="1823"/>
        <item x="1072"/>
        <item x="1941"/>
        <item x="938"/>
        <item x="26"/>
        <item x="564"/>
        <item x="402"/>
        <item x="2614"/>
        <item x="568"/>
        <item x="2537"/>
        <item x="33"/>
        <item x="1394"/>
        <item x="1844"/>
        <item x="1718"/>
        <item x="1902"/>
        <item x="638"/>
        <item x="1777"/>
        <item x="1558"/>
        <item x="1428"/>
        <item x="1746"/>
        <item x="721"/>
        <item x="1759"/>
        <item x="2378"/>
        <item x="2783"/>
        <item x="406"/>
        <item x="511"/>
        <item x="1181"/>
        <item x="2224"/>
        <item x="2763"/>
        <item x="1087"/>
        <item x="1031"/>
        <item x="1043"/>
        <item x="1784"/>
        <item x="527"/>
        <item x="2000"/>
        <item x="1028"/>
        <item x="2366"/>
        <item x="407"/>
        <item x="1077"/>
        <item x="2802"/>
        <item x="408"/>
        <item x="1371"/>
        <item x="1483"/>
        <item x="505"/>
        <item x="1476"/>
        <item x="1135"/>
        <item x="2016"/>
        <item x="2334"/>
        <item x="506"/>
        <item x="979"/>
        <item x="1075"/>
        <item x="2310"/>
        <item x="1539"/>
        <item x="686"/>
        <item x="509"/>
        <item x="1890"/>
        <item x="2091"/>
        <item x="1801"/>
        <item x="2157"/>
        <item x="1916"/>
        <item x="613"/>
        <item x="2243"/>
        <item x="1789"/>
        <item x="1807"/>
        <item x="1909"/>
        <item x="2501"/>
        <item x="1790"/>
        <item x="1500"/>
        <item x="2625"/>
        <item x="1176"/>
        <item x="1809"/>
        <item x="584"/>
        <item x="409"/>
        <item x="1463"/>
        <item x="2517"/>
        <item x="1297"/>
        <item x="2774"/>
        <item x="507"/>
        <item x="1076"/>
        <item x="151"/>
        <item x="2281"/>
        <item x="859"/>
        <item x="57"/>
        <item x="1732"/>
        <item x="992"/>
        <item x="1269"/>
        <item x="1339"/>
        <item x="519"/>
        <item x="1236"/>
        <item x="516"/>
        <item x="153"/>
        <item x="1406"/>
        <item x="2001"/>
        <item x="2799"/>
        <item x="1691"/>
        <item x="2508"/>
        <item x="615"/>
        <item x="522"/>
        <item x="1169"/>
        <item x="1089"/>
        <item x="1036"/>
        <item x="2305"/>
        <item x="973"/>
        <item x="1046"/>
        <item x="1184"/>
        <item x="604"/>
        <item x="1314"/>
        <item x="530"/>
        <item x="410"/>
        <item x="524"/>
        <item x="1105"/>
        <item x="641"/>
        <item x="2044"/>
        <item x="2705"/>
        <item x="1450"/>
        <item x="2788"/>
        <item x="1099"/>
        <item x="1282"/>
        <item x="2100"/>
        <item x="1668"/>
        <item x="1372"/>
        <item x="1954"/>
        <item x="2331"/>
        <item x="1388"/>
        <item x="1245"/>
        <item x="1581"/>
        <item x="1456"/>
        <item x="1191"/>
        <item x="2655"/>
        <item x="1421"/>
        <item x="2420"/>
        <item x="2474"/>
        <item x="1717"/>
        <item x="1320"/>
        <item x="2367"/>
        <item x="1766"/>
        <item x="1268"/>
        <item x="1697"/>
        <item x="2730"/>
        <item x="2375"/>
        <item x="1719"/>
        <item x="2409"/>
        <item x="2250"/>
        <item x="2349"/>
        <item x="1432"/>
        <item x="645"/>
        <item x="2725"/>
        <item x="987"/>
        <item x="2648"/>
        <item x="772"/>
        <item x="411"/>
        <item x="193"/>
        <item x="1117"/>
        <item x="695"/>
        <item x="2533"/>
        <item x="1260"/>
        <item x="2633"/>
        <item x="2519"/>
        <item x="1664"/>
        <item x="2573"/>
        <item x="2113"/>
        <item x="2325"/>
        <item x="1026"/>
        <item x="2041"/>
        <item x="702"/>
        <item x="2273"/>
        <item x="658"/>
        <item x="1565"/>
        <item x="1118"/>
        <item x="412"/>
        <item x="1643"/>
        <item x="841"/>
        <item x="1683"/>
        <item x="413"/>
        <item x="1086"/>
        <item x="1271"/>
        <item x="1027"/>
        <item x="2370"/>
        <item x="1018"/>
        <item x="2535"/>
        <item x="1792"/>
        <item x="2040"/>
        <item x="1058"/>
        <item x="2110"/>
        <item x="2075"/>
        <item x="1439"/>
        <item x="829"/>
        <item x="78"/>
        <item x="1084"/>
        <item x="1962"/>
        <item x="601"/>
        <item x="160"/>
        <item x="2403"/>
        <item x="549"/>
        <item x="2300"/>
        <item x="1858"/>
        <item x="1603"/>
        <item x="2721"/>
        <item x="781"/>
        <item x="2262"/>
        <item x="10"/>
        <item x="2580"/>
        <item x="2071"/>
        <item x="2581"/>
        <item x="2780"/>
        <item x="948"/>
        <item x="1051"/>
        <item x="1854"/>
        <item x="5"/>
        <item x="1964"/>
        <item x="728"/>
        <item x="1020"/>
        <item x="2407"/>
        <item x="2237"/>
        <item x="1804"/>
        <item x="161"/>
        <item x="404"/>
        <item x="1417"/>
        <item x="1412"/>
        <item x="1851"/>
        <item x="1528"/>
        <item x="717"/>
        <item x="1129"/>
        <item x="2426"/>
        <item x="2345"/>
        <item x="414"/>
        <item x="2457"/>
        <item x="1453"/>
        <item x="2697"/>
        <item x="11"/>
        <item x="415"/>
        <item x="416"/>
        <item x="2772"/>
        <item x="1994"/>
        <item x="1215"/>
        <item x="2531"/>
        <item x="567"/>
        <item x="993"/>
        <item x="12"/>
        <item x="2575"/>
        <item x="2"/>
        <item x="1662"/>
        <item x="1802"/>
        <item x="2111"/>
        <item x="417"/>
        <item x="171"/>
        <item x="1512"/>
        <item x="2117"/>
        <item x="2220"/>
        <item x="799"/>
        <item x="418"/>
        <item x="727"/>
        <item x="838"/>
        <item x="912"/>
        <item x="1586"/>
        <item x="2045"/>
        <item x="2618"/>
        <item x="956"/>
        <item x="1104"/>
        <item x="1838"/>
        <item x="1399"/>
        <item x="2073"/>
        <item x="1602"/>
        <item x="1585"/>
        <item x="421"/>
        <item x="422"/>
        <item x="2118"/>
        <item x="1373"/>
        <item x="2064"/>
        <item x="423"/>
        <item x="1097"/>
        <item x="424"/>
        <item x="1559"/>
        <item x="2406"/>
        <item x="2374"/>
        <item x="890"/>
        <item x="848"/>
        <item x="126"/>
        <item x="1591"/>
        <item x="1435"/>
        <item x="2227"/>
        <item x="2710"/>
        <item x="1504"/>
        <item x="425"/>
        <item x="2422"/>
        <item x="639"/>
        <item x="1101"/>
        <item x="2219"/>
        <item x="1852"/>
        <item x="426"/>
        <item x="1872"/>
        <item x="1000"/>
        <item x="427"/>
        <item x="1885"/>
        <item x="1871"/>
        <item x="428"/>
        <item x="429"/>
        <item x="2320"/>
        <item x="430"/>
        <item x="1973"/>
        <item x="1887"/>
        <item x="1469"/>
        <item x="1096"/>
        <item x="570"/>
        <item x="1877"/>
        <item x="431"/>
        <item x="687"/>
        <item x="595"/>
        <item x="2657"/>
        <item x="2478"/>
        <item x="2732"/>
        <item x="1879"/>
        <item x="1298"/>
        <item x="2647"/>
        <item x="2817"/>
        <item x="1673"/>
        <item x="1413"/>
        <item x="2578"/>
        <item x="1509"/>
        <item x="2445"/>
        <item x="2603"/>
        <item x="1944"/>
        <item x="999"/>
        <item x="725"/>
        <item x="1596"/>
        <item x="748"/>
        <item x="682"/>
        <item x="9"/>
        <item x="1699"/>
        <item x="697"/>
        <item x="1409"/>
        <item x="3"/>
        <item x="2221"/>
        <item x="2499"/>
        <item x="1272"/>
        <item x="2704"/>
        <item x="2744"/>
        <item x="648"/>
        <item x="2722"/>
        <item x="49"/>
        <item x="1899"/>
        <item x="2332"/>
        <item x="905"/>
        <item x="38"/>
        <item x="1052"/>
        <item x="675"/>
        <item x="1470"/>
        <item x="1798"/>
        <item x="35"/>
        <item x="39"/>
        <item x="42"/>
        <item x="1436"/>
        <item x="891"/>
        <item x="43"/>
        <item x="2475"/>
        <item x="970"/>
        <item x="2428"/>
        <item x="1187"/>
        <item x="2233"/>
        <item x="2683"/>
        <item x="433"/>
        <item x="1725"/>
        <item x="434"/>
        <item x="1969"/>
        <item x="780"/>
        <item x="600"/>
        <item x="2748"/>
        <item x="1793"/>
        <item x="1900"/>
        <item x="2322"/>
        <item x="2715"/>
        <item x="1203"/>
        <item x="2104"/>
        <item x="31"/>
        <item x="1618"/>
        <item x="2590"/>
        <item x="1783"/>
        <item x="47"/>
        <item x="27"/>
        <item x="435"/>
        <item x="2382"/>
        <item x="1336"/>
        <item x="28"/>
        <item x="672"/>
        <item x="30"/>
        <item x="2368"/>
        <item x="45"/>
        <item x="1178"/>
        <item x="1199"/>
        <item x="2515"/>
        <item x="1729"/>
        <item x="1342"/>
        <item x="1564"/>
        <item x="967"/>
        <item x="2623"/>
        <item x="2676"/>
        <item x="1726"/>
        <item x="1251"/>
        <item x="598"/>
        <item x="1684"/>
        <item x="2136"/>
        <item x="983"/>
        <item x="1120"/>
        <item x="751"/>
        <item x="436"/>
        <item x="1261"/>
        <item x="713"/>
        <item x="653"/>
        <item x="437"/>
        <item x="618"/>
        <item x="1896"/>
        <item x="1711"/>
        <item x="2154"/>
        <item x="1749"/>
        <item x="1459"/>
        <item x="143"/>
        <item x="141"/>
        <item x="2446"/>
        <item x="2260"/>
        <item x="696"/>
        <item x="1576"/>
        <item x="2051"/>
        <item x="50"/>
        <item x="2141"/>
        <item x="168"/>
        <item x="438"/>
        <item x="1594"/>
        <item x="1508"/>
        <item x="2057"/>
        <item x="1833"/>
        <item x="1926"/>
        <item x="2443"/>
        <item x="2579"/>
        <item x="2472"/>
        <item x="1461"/>
        <item x="990"/>
        <item x="875"/>
        <item x="842"/>
        <item x="2589"/>
        <item x="1323"/>
        <item x="1275"/>
        <item x="2280"/>
        <item x="980"/>
        <item x="1579"/>
        <item x="1678"/>
        <item x="2165"/>
        <item x="1133"/>
        <item x="2049"/>
        <item x="1044"/>
        <item x="1410"/>
        <item x="37"/>
        <item x="1996"/>
        <item x="2636"/>
        <item x="177"/>
        <item x="742"/>
        <item x="2133"/>
        <item x="836"/>
        <item x="1704"/>
        <item x="2494"/>
        <item x="518"/>
        <item x="1134"/>
        <item x="1567"/>
        <item x="1361"/>
        <item x="439"/>
        <item x="2348"/>
        <item x="1637"/>
        <item x="2577"/>
        <item x="2358"/>
        <item x="1443"/>
        <item x="2524"/>
        <item x="2159"/>
        <item x="2649"/>
        <item x="2493"/>
        <item x="2288"/>
        <item x="2395"/>
        <item x="2500"/>
        <item x="134"/>
        <item x="40"/>
        <item x="942"/>
        <item x="1942"/>
        <item x="1482"/>
        <item x="808"/>
        <item x="2121"/>
        <item x="1132"/>
        <item x="44"/>
        <item x="1141"/>
        <item x="2736"/>
        <item x="674"/>
        <item x="835"/>
        <item x="1380"/>
        <item x="41"/>
        <item x="688"/>
        <item x="1821"/>
        <item x="1544"/>
        <item x="2213"/>
        <item x="1082"/>
        <item x="586"/>
        <item x="1283"/>
        <item x="576"/>
        <item x="2404"/>
        <item x="1401"/>
        <item x="2019"/>
        <item x="34"/>
        <item x="2286"/>
        <item x="179"/>
        <item x="441"/>
        <item x="1636"/>
        <item x="1864"/>
        <item x="2622"/>
        <item x="2821"/>
        <item x="2362"/>
        <item x="2712"/>
        <item x="2318"/>
        <item x="2734"/>
        <item x="2586"/>
        <item x="2607"/>
        <item x="1814"/>
        <item x="442"/>
        <item x="1689"/>
        <item x="649"/>
        <item x="2460"/>
        <item x="4"/>
        <item x="1387"/>
        <item x="46"/>
        <item x="1451"/>
        <item x="2635"/>
        <item x="1159"/>
        <item x="1607"/>
        <item x="676"/>
        <item x="2745"/>
        <item x="663"/>
        <item x="2793"/>
        <item x="1065"/>
        <item x="1743"/>
        <item x="1695"/>
        <item x="1914"/>
        <item x="1920"/>
        <item x="758"/>
        <item x="1599"/>
        <item x="602"/>
        <item x="1033"/>
        <item x="247"/>
        <item x="51"/>
        <item x="2644"/>
        <item x="188"/>
        <item x="2372"/>
        <item x="1402"/>
        <item x="2032"/>
        <item x="2012"/>
        <item x="551"/>
        <item x="1675"/>
        <item x="48"/>
        <item x="189"/>
        <item x="2688"/>
        <item x="2823"/>
        <item x="2079"/>
        <item x="36"/>
        <item x="1367"/>
        <item x="2786"/>
        <item x="2021"/>
        <item x="1221"/>
        <item x="52"/>
        <item x="2513"/>
        <item x="142"/>
        <item x="32"/>
        <item x="1148"/>
        <item x="446"/>
        <item x="2122"/>
        <item x="963"/>
        <item x="2316"/>
        <item x="447"/>
        <item x="1667"/>
        <item x="1248"/>
        <item x="886"/>
        <item x="1182"/>
        <item x="2438"/>
        <item x="1192"/>
        <item x="767"/>
        <item x="806"/>
        <item x="1369"/>
        <item x="53"/>
        <item x="197"/>
        <item x="1703"/>
        <item x="1360"/>
        <item x="1830"/>
        <item x="2605"/>
        <item x="1692"/>
        <item x="1632"/>
        <item x="654"/>
        <item x="1392"/>
        <item x="2777"/>
        <item x="449"/>
        <item x="629"/>
        <item x="1843"/>
        <item x="450"/>
        <item x="557"/>
        <item x="2017"/>
        <item x="2703"/>
        <item x="452"/>
        <item x="453"/>
        <item x="711"/>
        <item x="609"/>
        <item x="54"/>
        <item x="56"/>
        <item x="1739"/>
        <item x="1395"/>
        <item x="1622"/>
        <item x="950"/>
        <item x="454"/>
        <item x="2287"/>
        <item x="55"/>
        <item x="1950"/>
        <item x="2351"/>
        <item x="285"/>
        <item x="2653"/>
        <item x="2628"/>
        <item x="2525"/>
        <item x="1449"/>
        <item x="2257"/>
        <item x="1927"/>
        <item x="2652"/>
        <item x="2241"/>
        <item x="2005"/>
        <item x="1593"/>
        <item x="1405"/>
        <item x="198"/>
        <item x="928"/>
        <item x="773"/>
        <item x="2402"/>
        <item x="455"/>
        <item x="1892"/>
        <item x="1846"/>
        <item x="706"/>
        <item x="2831"/>
        <item x="998"/>
        <item x="1688"/>
        <item x="2101"/>
        <item x="2626"/>
        <item x="1745"/>
        <item x="1642"/>
        <item x="1989"/>
        <item x="929"/>
        <item x="1231"/>
        <item x="2190"/>
        <item x="456"/>
        <item x="2779"/>
        <item x="2186"/>
        <item x="199"/>
        <item x="1123"/>
        <item x="2248"/>
        <item x="1724"/>
        <item x="2470"/>
        <item x="1785"/>
        <item x="1438"/>
        <item x="2417"/>
        <item x="457"/>
        <item x="2528"/>
        <item x="2638"/>
        <item x="1652"/>
        <item x="2690"/>
        <item x="1995"/>
        <item x="2808"/>
        <item x="863"/>
        <item x="596"/>
        <item x="1338"/>
        <item x="936"/>
        <item x="2557"/>
        <item x="2415"/>
        <item x="1939"/>
        <item x="2439"/>
        <item x="588"/>
        <item x="583"/>
        <item x="1955"/>
        <item x="458"/>
        <item x="856"/>
        <item x="2337"/>
        <item x="534"/>
        <item x="59"/>
        <item x="1243"/>
        <item x="2552"/>
        <item x="2425"/>
        <item x="1551"/>
        <item x="635"/>
        <item x="1211"/>
        <item x="1671"/>
        <item x="911"/>
        <item x="1653"/>
        <item x="667"/>
        <item x="1186"/>
        <item x="1465"/>
        <item x="2408"/>
        <item x="2583"/>
        <item x="1525"/>
        <item x="202"/>
        <item x="1100"/>
        <item x="1535"/>
        <item x="1201"/>
        <item x="2495"/>
        <item x="2299"/>
        <item x="2507"/>
        <item x="2477"/>
        <item x="420"/>
        <item x="2235"/>
        <item x="895"/>
        <item x="8"/>
        <item x="1666"/>
        <item x="2610"/>
        <item x="2135"/>
        <item x="941"/>
        <item x="1151"/>
        <item x="58"/>
        <item x="152"/>
        <item x="1888"/>
        <item x="909"/>
        <item x="914"/>
        <item x="1430"/>
        <item x="459"/>
        <item x="582"/>
        <item x="935"/>
        <item x="2668"/>
        <item x="1414"/>
        <item x="61"/>
        <item x="484"/>
        <item x="1408"/>
        <item x="939"/>
        <item x="1423"/>
        <item x="471"/>
        <item x="1277"/>
        <item x="892"/>
        <item x="1177"/>
        <item x="572"/>
        <item x="607"/>
        <item x="1492"/>
        <item x="2063"/>
        <item x="1114"/>
        <item x="671"/>
        <item x="460"/>
        <item x="610"/>
        <item x="2097"/>
        <item x="2211"/>
        <item x="784"/>
        <item x="650"/>
        <item x="785"/>
        <item x="2026"/>
        <item x="1325"/>
        <item x="1735"/>
        <item x="2128"/>
        <item x="64"/>
        <item x="203"/>
        <item x="1737"/>
        <item x="1214"/>
        <item x="70"/>
        <item x="63"/>
        <item x="2027"/>
        <item x="1131"/>
        <item x="779"/>
        <item x="204"/>
        <item x="62"/>
        <item x="205"/>
        <item x="2545"/>
        <item x="2594"/>
        <item x="2675"/>
        <item x="2659"/>
        <item x="700"/>
        <item x="529"/>
        <item x="723"/>
        <item x="2511"/>
        <item x="2660"/>
        <item x="2087"/>
        <item x="206"/>
        <item x="2187"/>
        <item x="2534"/>
        <item x="2296"/>
        <item x="1070"/>
        <item x="1158"/>
        <item x="1639"/>
        <item x="844"/>
        <item x="1611"/>
        <item x="1980"/>
        <item x="1883"/>
        <item x="1547"/>
        <item x="869"/>
        <item x="1252"/>
        <item x="659"/>
        <item x="1644"/>
        <item x="1207"/>
        <item x="462"/>
        <item x="949"/>
        <item x="463"/>
        <item x="864"/>
        <item x="461"/>
        <item x="972"/>
        <item x="657"/>
        <item x="1460"/>
        <item x="1073"/>
        <item x="1702"/>
        <item x="680"/>
        <item x="1128"/>
        <item x="1531"/>
        <item x="952"/>
        <item x="1893"/>
        <item x="636"/>
        <item x="959"/>
        <item x="591"/>
        <item x="1554"/>
        <item x="597"/>
        <item x="1233"/>
        <item x="1621"/>
        <item x="1808"/>
        <item x="840"/>
        <item x="1358"/>
        <item x="866"/>
        <item x="1810"/>
        <item x="2338"/>
        <item x="1721"/>
        <item x="2302"/>
        <item x="920"/>
        <item x="1921"/>
        <item x="565"/>
        <item x="573"/>
        <item x="1288"/>
        <item x="2084"/>
        <item x="121"/>
        <item x="1143"/>
        <item x="2733"/>
        <item x="65"/>
        <item x="207"/>
        <item x="1081"/>
        <item x="902"/>
        <item x="1762"/>
        <item x="2708"/>
        <item x="1680"/>
        <item x="1147"/>
        <item x="1066"/>
        <item x="464"/>
        <item x="2389"/>
        <item x="2440"/>
        <item x="67"/>
        <item x="481"/>
        <item x="2794"/>
        <item x="1782"/>
        <item x="2210"/>
        <item x="157"/>
        <item x="1330"/>
        <item x="69"/>
        <item x="1290"/>
        <item x="68"/>
        <item x="1670"/>
        <item x="1171"/>
        <item x="1765"/>
        <item x="66"/>
        <item x="1951"/>
        <item x="2314"/>
        <item x="1604"/>
        <item x="1180"/>
        <item x="1109"/>
        <item x="1494"/>
        <item x="1146"/>
        <item x="1972"/>
        <item x="60"/>
        <item x="843"/>
        <item x="872"/>
        <item x="571"/>
        <item x="1584"/>
        <item x="1772"/>
        <item x="71"/>
        <item x="158"/>
        <item x="2720"/>
        <item x="1032"/>
        <item x="2609"/>
        <item x="661"/>
        <item x="1464"/>
        <item x="2269"/>
        <item x="1209"/>
        <item x="553"/>
        <item x="465"/>
        <item x="73"/>
        <item x="1050"/>
        <item x="2738"/>
        <item x="1190"/>
        <item x="1548"/>
        <item x="72"/>
        <item x="2400"/>
        <item x="1694"/>
        <item x="937"/>
        <item x="2255"/>
        <item x="1396"/>
        <item x="2193"/>
        <item x="1172"/>
        <item x="1550"/>
        <item x="2740"/>
        <item x="76"/>
        <item x="2067"/>
        <item x="2061"/>
        <item x="2293"/>
        <item x="2464"/>
        <item x="561"/>
        <item x="1467"/>
        <item x="631"/>
        <item x="2315"/>
        <item x="194"/>
        <item x="2388"/>
        <item x="1218"/>
        <item x="2765"/>
        <item x="82"/>
        <item x="621"/>
        <item x="1571"/>
        <item x="1343"/>
        <item x="2643"/>
        <item x="1368"/>
        <item x="1217"/>
        <item x="1616"/>
        <item x="1803"/>
        <item x="1499"/>
        <item x="1416"/>
        <item x="2684"/>
        <item x="466"/>
        <item x="2452"/>
        <item x="542"/>
        <item x="2549"/>
        <item x="934"/>
        <item x="1979"/>
        <item x="1615"/>
        <item x="1038"/>
        <item x="759"/>
        <item x="637"/>
        <item x="75"/>
        <item x="2617"/>
        <item x="2244"/>
        <item x="1085"/>
        <item x="2678"/>
        <item x="2195"/>
        <item x="1997"/>
        <item x="2410"/>
        <item x="2803"/>
        <item x="1626"/>
        <item x="2042"/>
        <item x="1059"/>
        <item x="1934"/>
        <item x="1054"/>
        <item x="997"/>
        <item x="80"/>
        <item x="195"/>
        <item x="79"/>
        <item x="1328"/>
        <item x="2258"/>
        <item x="1553"/>
        <item x="1258"/>
        <item x="81"/>
        <item x="2441"/>
        <item x="2606"/>
        <item x="1319"/>
        <item x="2822"/>
        <item x="1344"/>
        <item x="1836"/>
        <item x="77"/>
        <item x="2510"/>
        <item x="2818"/>
        <item x="2197"/>
        <item x="1543"/>
        <item x="2035"/>
        <item x="867"/>
        <item x="2275"/>
        <item x="1587"/>
        <item x="2239"/>
        <item x="2529"/>
        <item x="2677"/>
        <item x="716"/>
        <item x="1293"/>
        <item x="543"/>
        <item x="1094"/>
        <item x="916"/>
        <item x="2120"/>
        <item x="903"/>
        <item x="1064"/>
        <item x="1025"/>
        <item x="2418"/>
        <item x="1710"/>
        <item x="1937"/>
        <item x="1478"/>
        <item x="871"/>
        <item x="2711"/>
        <item x="2497"/>
        <item x="2178"/>
        <item x="2538"/>
        <item x="868"/>
        <item x="2066"/>
        <item x="2532"/>
        <item x="2561"/>
        <item x="1189"/>
        <item x="679"/>
        <item x="1876"/>
        <item x="2234"/>
        <item x="1014"/>
        <item x="1345"/>
        <item x="1778"/>
        <item x="1595"/>
        <item x="1270"/>
        <item x="1578"/>
        <item x="1561"/>
        <item x="2271"/>
        <item x="1507"/>
        <item x="125"/>
        <item x="468"/>
        <item x="2558"/>
        <item x="1060"/>
        <item x="2595"/>
        <item x="2824"/>
        <item x="1161"/>
        <item x="2542"/>
        <item x="1514"/>
        <item x="1232"/>
        <item x="117"/>
        <item x="2030"/>
        <item x="201"/>
        <item x="860"/>
        <item x="1598"/>
        <item x="1241"/>
        <item x="581"/>
        <item x="1276"/>
        <item x="469"/>
        <item x="2681"/>
        <item x="1506"/>
        <item x="1537"/>
        <item x="585"/>
        <item x="2810"/>
        <item x="2387"/>
        <item x="1472"/>
        <item x="2131"/>
        <item x="94"/>
        <item x="2341"/>
        <item x="2208"/>
        <item x="2543"/>
        <item x="708"/>
        <item x="1856"/>
        <item x="1116"/>
        <item x="87"/>
        <item x="2694"/>
        <item x="2807"/>
        <item x="927"/>
        <item x="951"/>
        <item x="1308"/>
        <item x="1080"/>
        <item x="1162"/>
        <item x="1247"/>
        <item x="2665"/>
        <item x="1273"/>
        <item x="118"/>
        <item x="92"/>
        <item x="100"/>
        <item x="2006"/>
        <item x="1309"/>
        <item x="1562"/>
        <item x="1744"/>
        <item x="2327"/>
        <item x="1966"/>
        <item x="127"/>
        <item x="1976"/>
        <item x="1922"/>
        <item x="545"/>
        <item x="113"/>
        <item x="1375"/>
        <item x="924"/>
        <item x="832"/>
        <item x="1767"/>
        <item x="172"/>
        <item x="2350"/>
        <item x="634"/>
        <item x="405"/>
        <item x="2352"/>
        <item x="1090"/>
        <item x="1259"/>
        <item x="90"/>
        <item x="209"/>
        <item x="2328"/>
        <item x="162"/>
        <item x="210"/>
        <item x="470"/>
        <item x="123"/>
        <item x="2806"/>
        <item x="2292"/>
        <item x="211"/>
        <item x="528"/>
        <item x="106"/>
        <item x="163"/>
        <item x="91"/>
        <item x="533"/>
        <item x="1588"/>
        <item x="2572"/>
        <item x="1137"/>
        <item x="164"/>
        <item x="2088"/>
        <item x="1897"/>
        <item x="1340"/>
        <item x="1936"/>
        <item x="1196"/>
        <item x="2039"/>
        <item x="1971"/>
        <item x="212"/>
        <item x="102"/>
        <item x="547"/>
        <item x="2204"/>
        <item x="1609"/>
        <item x="93"/>
        <item x="2797"/>
        <item x="2553"/>
        <item x="165"/>
        <item x="1106"/>
        <item x="98"/>
        <item x="2171"/>
        <item x="2714"/>
        <item x="1503"/>
        <item x="1534"/>
        <item x="2423"/>
        <item x="1378"/>
        <item x="213"/>
        <item x="166"/>
        <item x="2279"/>
        <item x="1774"/>
        <item x="105"/>
        <item x="1859"/>
        <item x="1761"/>
        <item x="2094"/>
        <item x="440"/>
        <item x="1848"/>
        <item x="1039"/>
        <item x="616"/>
        <item x="167"/>
        <item x="562"/>
        <item x="1331"/>
        <item x="853"/>
        <item x="130"/>
        <item x="834"/>
        <item x="89"/>
        <item x="2074"/>
        <item x="1433"/>
        <item x="703"/>
        <item x="910"/>
        <item x="2756"/>
        <item x="2080"/>
        <item x="1174"/>
        <item x="2177"/>
        <item x="2521"/>
        <item x="2520"/>
        <item x="122"/>
        <item x="2253"/>
        <item x="2747"/>
        <item x="1867"/>
        <item x="128"/>
        <item x="2125"/>
        <item x="2206"/>
        <item x="2381"/>
        <item x="2632"/>
        <item x="2752"/>
        <item x="169"/>
        <item x="2634"/>
        <item x="96"/>
        <item x="109"/>
        <item x="1491"/>
        <item x="85"/>
        <item x="103"/>
        <item x="2090"/>
        <item x="214"/>
        <item x="2555"/>
        <item x="1237"/>
        <item x="86"/>
        <item x="1145"/>
        <item x="107"/>
        <item x="119"/>
        <item x="1755"/>
        <item x="705"/>
        <item x="1835"/>
        <item x="2743"/>
        <item x="2028"/>
        <item x="2447"/>
        <item x="124"/>
        <item x="1986"/>
        <item x="1631"/>
        <item x="84"/>
        <item x="2052"/>
        <item x="110"/>
        <item x="116"/>
        <item x="2008"/>
        <item x="2199"/>
        <item x="2588"/>
        <item x="2319"/>
        <item x="2682"/>
        <item x="1278"/>
        <item x="2787"/>
        <item x="2399"/>
        <item x="104"/>
        <item x="917"/>
        <item x="88"/>
        <item x="647"/>
        <item x="2086"/>
        <item x="2689"/>
        <item x="115"/>
        <item x="944"/>
        <item x="97"/>
        <item x="740"/>
        <item x="95"/>
        <item x="129"/>
        <item x="541"/>
        <item x="2489"/>
        <item x="99"/>
        <item x="879"/>
        <item x="1286"/>
        <item x="215"/>
        <item x="1023"/>
        <item x="2741"/>
        <item x="1299"/>
        <item x="1968"/>
        <item x="1981"/>
        <item x="472"/>
        <item x="2189"/>
        <item x="2463"/>
        <item x="1083"/>
        <item x="1582"/>
        <item x="1832"/>
        <item x="810"/>
        <item x="1119"/>
        <item x="112"/>
        <item x="2203"/>
        <item x="111"/>
        <item x="108"/>
        <item x="2160"/>
        <item x="101"/>
        <item x="2582"/>
        <item x="2695"/>
        <item x="1978"/>
        <item x="2200"/>
        <item x="2265"/>
        <item x="2277"/>
        <item x="2593"/>
        <item x="2680"/>
        <item x="2116"/>
        <item x="2215"/>
        <item x="2167"/>
        <item x="2099"/>
        <item x="2226"/>
        <item x="2775"/>
        <item x="2175"/>
        <item x="2544"/>
        <item x="2138"/>
        <item x="1321"/>
        <item x="1091"/>
        <item x="2827"/>
        <item x="2571"/>
        <item x="2267"/>
        <item x="2587"/>
        <item x="139"/>
        <item x="2364"/>
        <item x="2025"/>
        <item x="2444"/>
        <item x="2699"/>
        <item x="2484"/>
        <item x="2105"/>
        <item x="2548"/>
        <item x="2342"/>
        <item x="2401"/>
        <item x="2755"/>
        <item x="2263"/>
        <item x="2164"/>
        <item x="2637"/>
        <item x="2706"/>
        <item x="2278"/>
        <item x="2180"/>
        <item x="2454"/>
        <item x="2526"/>
        <item x="2311"/>
        <item x="2770"/>
        <item x="2479"/>
        <item x="2324"/>
        <item x="2198"/>
        <item x="2613"/>
        <item x="2137"/>
        <item x="2172"/>
        <item x="2716"/>
        <item x="2828"/>
        <item x="2767"/>
        <item x="2251"/>
        <item x="2127"/>
        <item x="2360"/>
        <item x="2679"/>
        <item x="2547"/>
        <item x="1698"/>
        <item x="2663"/>
        <item x="2054"/>
        <item x="2569"/>
        <item x="2491"/>
        <item x="2145"/>
        <item x="2183"/>
        <item x="1055"/>
        <item x="1185"/>
        <item x="1542"/>
        <item x="2129"/>
        <item x="473"/>
        <item x="1015"/>
        <item x="474"/>
        <item x="2801"/>
        <item x="726"/>
        <item x="2742"/>
        <item x="2173"/>
        <item x="1975"/>
        <item x="1925"/>
        <item x="2024"/>
        <item x="475"/>
        <item x="608"/>
        <item x="818"/>
        <item x="1669"/>
        <item x="1302"/>
        <item x="1300"/>
        <item x="2291"/>
        <item x="170"/>
        <item x="2312"/>
        <item x="1654"/>
        <item x="1061"/>
        <item x="1659"/>
        <item x="2813"/>
        <item x="874"/>
        <item x="132"/>
        <item x="2746"/>
        <item x="1855"/>
        <item x="800"/>
        <item x="2522"/>
        <item x="763"/>
        <item x="881"/>
        <item x="2068"/>
        <item x="1480"/>
        <item x="1592"/>
        <item x="173"/>
        <item x="174"/>
        <item x="2509"/>
        <item x="445"/>
        <item x="1397"/>
        <item x="216"/>
        <item x="1541"/>
        <item x="762"/>
        <item x="1004"/>
        <item x="1882"/>
        <item x="2023"/>
        <item x="2502"/>
        <item x="2640"/>
        <item x="1738"/>
        <item x="947"/>
        <item x="476"/>
        <item x="830"/>
        <item x="2727"/>
        <item x="137"/>
        <item x="1918"/>
        <item x="1992"/>
        <item x="1356"/>
        <item x="656"/>
        <item x="560"/>
        <item x="1291"/>
        <item x="1705"/>
        <item x="737"/>
        <item x="1366"/>
        <item x="2218"/>
        <item x="136"/>
        <item x="217"/>
        <item x="2550"/>
        <item x="2339"/>
        <item x="175"/>
        <item x="2126"/>
        <item x="218"/>
        <item x="2615"/>
        <item x="2405"/>
        <item x="2771"/>
        <item x="724"/>
        <item x="741"/>
        <item x="1707"/>
        <item x="219"/>
        <item x="2181"/>
        <item x="2789"/>
        <item x="131"/>
        <item x="2600"/>
        <item x="593"/>
        <item x="1442"/>
        <item x="1943"/>
        <item x="894"/>
        <item x="548"/>
        <item x="603"/>
        <item x="623"/>
        <item x="2667"/>
        <item x="2693"/>
        <item x="1144"/>
        <item x="1067"/>
        <item x="135"/>
        <item x="1866"/>
        <item x="1560"/>
        <item x="2728"/>
        <item x="847"/>
        <item x="2134"/>
        <item x="1837"/>
        <item x="1834"/>
        <item x="1556"/>
        <item x="2792"/>
        <item x="1898"/>
        <item x="2166"/>
        <item x="2011"/>
        <item x="477"/>
        <item x="731"/>
        <item x="138"/>
        <item x="2566"/>
        <item x="2551"/>
        <item x="478"/>
        <item x="1516"/>
        <item x="536"/>
        <item x="2424"/>
        <item x="2003"/>
        <item x="814"/>
        <item x="1088"/>
        <item x="2556"/>
        <item x="2761"/>
        <item x="1818"/>
        <item x="2687"/>
        <item x="2377"/>
        <item x="1140"/>
        <item x="2060"/>
        <item x="2442"/>
        <item x="1580"/>
        <item x="2776"/>
        <item x="133"/>
        <item x="544"/>
        <item x="196"/>
        <item x="2304"/>
        <item x="1517"/>
        <item x="479"/>
        <item x="1736"/>
        <item x="1419"/>
        <item x="2192"/>
        <item x="1138"/>
        <item x="2570"/>
        <item x="2289"/>
        <item x="1225"/>
        <item x="1079"/>
        <item x="2202"/>
        <item x="220"/>
        <item x="2602"/>
        <item x="2085"/>
        <item x="2307"/>
        <item x="2554"/>
        <item x="862"/>
        <item x="968"/>
        <item x="1364"/>
        <item x="1011"/>
        <item x="540"/>
        <item x="1617"/>
        <item x="1924"/>
        <item x="2261"/>
        <item x="2485"/>
        <item x="2498"/>
        <item x="2002"/>
        <item x="1878"/>
        <item x="689"/>
        <item x="558"/>
        <item x="2434"/>
        <item x="729"/>
        <item x="878"/>
        <item x="752"/>
        <item x="2784"/>
        <item x="665"/>
        <item x="1312"/>
        <item x="2795"/>
        <item x="2344"/>
        <item x="2758"/>
        <item x="221"/>
        <item x="776"/>
        <item x="1142"/>
        <item x="1701"/>
        <item x="1672"/>
        <item x="1327"/>
        <item x="1606"/>
        <item x="1448"/>
        <item x="670"/>
        <item x="2317"/>
        <item x="1820"/>
        <item x="480"/>
        <item x="1167"/>
        <item x="885"/>
        <item x="222"/>
        <item x="1455"/>
        <item x="1998"/>
        <item x="2719"/>
        <item x="2386"/>
        <item x="2182"/>
        <item x="2194"/>
        <item x="575"/>
        <item x="1779"/>
        <item x="1706"/>
        <item x="2750"/>
        <item x="2832"/>
        <item x="579"/>
        <item x="246"/>
        <item x="2373"/>
        <item x="833"/>
        <item x="1444"/>
        <item x="2650"/>
        <item x="1213"/>
        <item x="1035"/>
        <item x="178"/>
        <item x="482"/>
        <item x="904"/>
        <item x="599"/>
        <item x="2599"/>
        <item x="1063"/>
        <item x="2081"/>
        <item x="1984"/>
        <item x="1758"/>
        <item x="918"/>
        <item x="1638"/>
        <item x="1597"/>
        <item x="483"/>
        <item x="964"/>
        <item x="2504"/>
        <item x="1853"/>
        <item x="1873"/>
        <item x="2459"/>
        <item x="922"/>
        <item x="2506"/>
        <item x="2691"/>
        <item x="664"/>
        <item x="148"/>
        <item t="default"/>
      </items>
    </pivotField>
  </pivotFields>
  <rowFields count="1">
    <field x="0"/>
  </rowFields>
  <rowItems count="28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98C859-2054-4BFA-8D74-BD5CDA1476D4}" name="Tableau croisé dynamique2" cacheId="5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A521" firstHeaderRow="1" firstDataRow="1" firstDataCol="1"/>
  <pivotFields count="1">
    <pivotField axis="axisRow" showAll="0">
      <items count="518">
        <item x="192"/>
        <item x="220"/>
        <item x="228"/>
        <item x="488"/>
        <item x="422"/>
        <item x="100"/>
        <item x="244"/>
        <item x="352"/>
        <item x="325"/>
        <item x="126"/>
        <item x="215"/>
        <item x="1"/>
        <item x="121"/>
        <item x="90"/>
        <item x="285"/>
        <item x="288"/>
        <item x="120"/>
        <item x="316"/>
        <item x="341"/>
        <item x="148"/>
        <item x="439"/>
        <item x="516"/>
        <item x="119"/>
        <item x="292"/>
        <item x="102"/>
        <item x="345"/>
        <item x="125"/>
        <item x="39"/>
        <item x="313"/>
        <item x="284"/>
        <item x="385"/>
        <item x="365"/>
        <item x="62"/>
        <item x="28"/>
        <item x="466"/>
        <item x="484"/>
        <item x="404"/>
        <item x="329"/>
        <item x="144"/>
        <item x="169"/>
        <item x="21"/>
        <item x="116"/>
        <item x="94"/>
        <item x="267"/>
        <item x="486"/>
        <item x="168"/>
        <item x="197"/>
        <item x="414"/>
        <item x="395"/>
        <item x="305"/>
        <item x="506"/>
        <item x="438"/>
        <item x="514"/>
        <item x="477"/>
        <item x="298"/>
        <item x="222"/>
        <item x="318"/>
        <item x="2"/>
        <item x="70"/>
        <item x="107"/>
        <item x="338"/>
        <item x="167"/>
        <item x="170"/>
        <item x="282"/>
        <item x="386"/>
        <item x="343"/>
        <item x="366"/>
        <item x="233"/>
        <item x="406"/>
        <item x="238"/>
        <item x="29"/>
        <item x="12"/>
        <item x="451"/>
        <item x="30"/>
        <item x="468"/>
        <item x="515"/>
        <item x="190"/>
        <item x="133"/>
        <item x="356"/>
        <item x="373"/>
        <item x="76"/>
        <item x="337"/>
        <item x="145"/>
        <item x="482"/>
        <item x="294"/>
        <item x="214"/>
        <item x="291"/>
        <item x="400"/>
        <item x="287"/>
        <item x="153"/>
        <item x="230"/>
        <item x="60"/>
        <item x="112"/>
        <item x="350"/>
        <item x="401"/>
        <item x="204"/>
        <item x="411"/>
        <item x="512"/>
        <item x="254"/>
        <item x="314"/>
        <item x="159"/>
        <item x="480"/>
        <item x="75"/>
        <item x="106"/>
        <item x="53"/>
        <item x="471"/>
        <item x="157"/>
        <item x="463"/>
        <item x="442"/>
        <item x="164"/>
        <item x="364"/>
        <item x="141"/>
        <item x="277"/>
        <item x="9"/>
        <item x="260"/>
        <item x="177"/>
        <item x="268"/>
        <item x="437"/>
        <item x="26"/>
        <item x="47"/>
        <item x="191"/>
        <item x="235"/>
        <item x="44"/>
        <item x="328"/>
        <item x="184"/>
        <item x="490"/>
        <item x="479"/>
        <item x="152"/>
        <item x="117"/>
        <item x="247"/>
        <item x="108"/>
        <item x="201"/>
        <item x="304"/>
        <item x="3"/>
        <item x="195"/>
        <item x="240"/>
        <item x="428"/>
        <item x="279"/>
        <item x="399"/>
        <item x="162"/>
        <item x="8"/>
        <item x="13"/>
        <item x="449"/>
        <item x="135"/>
        <item x="320"/>
        <item x="473"/>
        <item x="502"/>
        <item x="79"/>
        <item x="10"/>
        <item x="398"/>
        <item x="101"/>
        <item x="171"/>
        <item x="20"/>
        <item x="165"/>
        <item x="17"/>
        <item x="138"/>
        <item x="91"/>
        <item x="465"/>
        <item x="322"/>
        <item x="56"/>
        <item x="25"/>
        <item x="18"/>
        <item x="118"/>
        <item x="348"/>
        <item x="321"/>
        <item x="229"/>
        <item x="51"/>
        <item x="225"/>
        <item x="474"/>
        <item x="73"/>
        <item x="493"/>
        <item x="315"/>
        <item x="379"/>
        <item x="193"/>
        <item x="283"/>
        <item x="431"/>
        <item x="97"/>
        <item x="274"/>
        <item x="261"/>
        <item x="206"/>
        <item x="188"/>
        <item x="278"/>
        <item x="469"/>
        <item x="143"/>
        <item x="415"/>
        <item x="445"/>
        <item x="180"/>
        <item x="198"/>
        <item x="139"/>
        <item x="402"/>
        <item x="384"/>
        <item x="52"/>
        <item x="158"/>
        <item x="237"/>
        <item x="441"/>
        <item x="324"/>
        <item x="4"/>
        <item x="361"/>
        <item x="505"/>
        <item x="196"/>
        <item x="176"/>
        <item x="156"/>
        <item x="475"/>
        <item x="413"/>
        <item x="211"/>
        <item x="467"/>
        <item x="78"/>
        <item x="301"/>
        <item x="397"/>
        <item x="82"/>
        <item x="246"/>
        <item x="273"/>
        <item x="436"/>
        <item x="189"/>
        <item x="104"/>
        <item x="6"/>
        <item x="299"/>
        <item x="129"/>
        <item x="149"/>
        <item x="349"/>
        <item x="389"/>
        <item x="19"/>
        <item x="115"/>
        <item x="427"/>
        <item x="96"/>
        <item x="174"/>
        <item x="500"/>
        <item x="443"/>
        <item x="311"/>
        <item x="483"/>
        <item x="351"/>
        <item x="182"/>
        <item x="359"/>
        <item x="48"/>
        <item x="393"/>
        <item x="440"/>
        <item x="446"/>
        <item x="54"/>
        <item x="513"/>
        <item x="160"/>
        <item x="388"/>
        <item x="391"/>
        <item x="213"/>
        <item x="370"/>
        <item x="271"/>
        <item x="344"/>
        <item x="74"/>
        <item x="179"/>
        <item x="140"/>
        <item x="14"/>
        <item x="369"/>
        <item x="297"/>
        <item x="306"/>
        <item x="448"/>
        <item x="510"/>
        <item x="99"/>
        <item x="114"/>
        <item x="95"/>
        <item x="429"/>
        <item x="175"/>
        <item x="387"/>
        <item x="23"/>
        <item x="31"/>
        <item x="58"/>
        <item x="307"/>
        <item x="331"/>
        <item x="310"/>
        <item x="423"/>
        <item x="326"/>
        <item x="487"/>
        <item x="332"/>
        <item x="205"/>
        <item x="264"/>
        <item x="491"/>
        <item x="412"/>
        <item x="68"/>
        <item x="481"/>
        <item x="57"/>
        <item x="216"/>
        <item x="183"/>
        <item x="426"/>
        <item x="367"/>
        <item x="38"/>
        <item x="142"/>
        <item x="27"/>
        <item x="45"/>
        <item x="81"/>
        <item x="280"/>
        <item x="137"/>
        <item x="178"/>
        <item x="362"/>
        <item x="93"/>
        <item x="110"/>
        <item x="394"/>
        <item x="218"/>
        <item x="84"/>
        <item x="24"/>
        <item x="36"/>
        <item x="309"/>
        <item x="296"/>
        <item x="186"/>
        <item x="295"/>
        <item x="131"/>
        <item x="300"/>
        <item x="231"/>
        <item x="98"/>
        <item x="293"/>
        <item x="511"/>
        <item x="185"/>
        <item x="265"/>
        <item x="234"/>
        <item x="504"/>
        <item x="132"/>
        <item x="330"/>
        <item x="496"/>
        <item x="66"/>
        <item x="15"/>
        <item x="355"/>
        <item x="236"/>
        <item x="257"/>
        <item x="103"/>
        <item x="381"/>
        <item x="503"/>
        <item x="317"/>
        <item x="460"/>
        <item x="390"/>
        <item x="239"/>
        <item x="208"/>
        <item x="253"/>
        <item x="454"/>
        <item x="302"/>
        <item x="403"/>
        <item x="67"/>
        <item x="281"/>
        <item x="372"/>
        <item x="245"/>
        <item x="134"/>
        <item x="122"/>
        <item x="210"/>
        <item x="172"/>
        <item x="289"/>
        <item x="150"/>
        <item x="72"/>
        <item x="327"/>
        <item x="269"/>
        <item x="392"/>
        <item x="470"/>
        <item x="263"/>
        <item x="49"/>
        <item x="71"/>
        <item x="492"/>
        <item x="419"/>
        <item x="11"/>
        <item x="323"/>
        <item x="308"/>
        <item x="86"/>
        <item x="334"/>
        <item x="87"/>
        <item x="154"/>
        <item x="456"/>
        <item x="434"/>
        <item x="123"/>
        <item x="59"/>
        <item x="425"/>
        <item x="450"/>
        <item x="243"/>
        <item x="69"/>
        <item x="50"/>
        <item x="270"/>
        <item x="232"/>
        <item x="256"/>
        <item x="408"/>
        <item x="226"/>
        <item x="32"/>
        <item x="430"/>
        <item x="354"/>
        <item x="200"/>
        <item x="5"/>
        <item x="457"/>
        <item x="407"/>
        <item x="501"/>
        <item x="495"/>
        <item x="494"/>
        <item x="371"/>
        <item x="363"/>
        <item x="418"/>
        <item x="360"/>
        <item x="163"/>
        <item x="476"/>
        <item x="508"/>
        <item x="35"/>
        <item x="453"/>
        <item x="378"/>
        <item x="258"/>
        <item x="0"/>
        <item x="358"/>
        <item x="420"/>
        <item x="266"/>
        <item x="455"/>
        <item x="409"/>
        <item x="147"/>
        <item x="40"/>
        <item x="33"/>
        <item x="368"/>
        <item x="444"/>
        <item x="203"/>
        <item x="396"/>
        <item x="7"/>
        <item x="212"/>
        <item x="55"/>
        <item x="478"/>
        <item x="199"/>
        <item x="346"/>
        <item x="109"/>
        <item x="262"/>
        <item x="85"/>
        <item x="458"/>
        <item x="290"/>
        <item x="219"/>
        <item x="207"/>
        <item x="202"/>
        <item x="303"/>
        <item x="252"/>
        <item x="489"/>
        <item x="63"/>
        <item x="248"/>
        <item x="432"/>
        <item x="41"/>
        <item x="509"/>
        <item x="333"/>
        <item x="485"/>
        <item x="16"/>
        <item x="416"/>
        <item x="181"/>
        <item x="319"/>
        <item x="64"/>
        <item x="187"/>
        <item x="249"/>
        <item x="276"/>
        <item x="374"/>
        <item x="259"/>
        <item x="77"/>
        <item x="80"/>
        <item x="335"/>
        <item x="255"/>
        <item x="507"/>
        <item x="376"/>
        <item x="173"/>
        <item x="242"/>
        <item x="130"/>
        <item x="127"/>
        <item x="221"/>
        <item x="128"/>
        <item x="227"/>
        <item x="65"/>
        <item x="113"/>
        <item x="92"/>
        <item x="124"/>
        <item x="43"/>
        <item x="241"/>
        <item x="347"/>
        <item x="272"/>
        <item x="89"/>
        <item x="146"/>
        <item x="46"/>
        <item x="464"/>
        <item x="111"/>
        <item x="105"/>
        <item x="461"/>
        <item x="250"/>
        <item x="497"/>
        <item x="61"/>
        <item x="161"/>
        <item x="312"/>
        <item x="498"/>
        <item x="417"/>
        <item x="224"/>
        <item x="382"/>
        <item x="22"/>
        <item x="410"/>
        <item x="452"/>
        <item x="447"/>
        <item x="357"/>
        <item x="383"/>
        <item x="251"/>
        <item x="151"/>
        <item x="462"/>
        <item x="353"/>
        <item x="342"/>
        <item x="136"/>
        <item x="336"/>
        <item x="42"/>
        <item x="377"/>
        <item x="217"/>
        <item x="459"/>
        <item x="472"/>
        <item x="340"/>
        <item x="435"/>
        <item x="499"/>
        <item x="223"/>
        <item x="37"/>
        <item x="286"/>
        <item x="155"/>
        <item x="433"/>
        <item x="34"/>
        <item x="166"/>
        <item x="375"/>
        <item x="339"/>
        <item x="88"/>
        <item x="380"/>
        <item x="83"/>
        <item x="424"/>
        <item x="275"/>
        <item x="194"/>
        <item x="421"/>
        <item x="405"/>
        <item x="209"/>
        <item t="default"/>
      </items>
    </pivotField>
  </pivotFields>
  <rowFields count="1">
    <field x="0"/>
  </rowFields>
  <rowItems count="5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58C9ED-A48D-4284-9D2B-CD2109052385}" name="Tableau croisé dynamique3" cacheId="1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C20" firstHeaderRow="1" firstDataRow="1" firstDataCol="0"/>
  <pivotFields count="5">
    <pivotField showAll="0">
      <items count="2">
        <item x="0"/>
        <item t="default"/>
      </items>
    </pivotField>
    <pivotField showAll="0">
      <items count="2305"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2"/>
        <item x="573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3"/>
        <item x="124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2246">
        <item x="1076"/>
        <item x="923"/>
        <item x="1082"/>
        <item x="2019"/>
        <item x="2020"/>
        <item x="2017"/>
        <item x="1704"/>
        <item x="1706"/>
        <item x="1712"/>
        <item x="1708"/>
        <item x="1713"/>
        <item x="1710"/>
        <item x="1709"/>
        <item x="1711"/>
        <item x="1714"/>
        <item x="1716"/>
        <item x="1719"/>
        <item x="1718"/>
        <item x="1715"/>
        <item x="1717"/>
        <item x="1809"/>
        <item x="1747"/>
        <item x="1741"/>
        <item x="1745"/>
        <item x="1746"/>
        <item x="1742"/>
        <item x="1743"/>
        <item x="1744"/>
        <item x="1740"/>
        <item x="1730"/>
        <item x="1729"/>
        <item x="1731"/>
        <item x="1736"/>
        <item x="1738"/>
        <item x="1734"/>
        <item x="1732"/>
        <item x="1733"/>
        <item x="1737"/>
        <item x="1735"/>
        <item x="1739"/>
        <item x="1721"/>
        <item x="1727"/>
        <item x="1720"/>
        <item x="1726"/>
        <item x="1722"/>
        <item x="1724"/>
        <item x="1728"/>
        <item x="1723"/>
        <item x="1725"/>
        <item x="1752"/>
        <item x="1751"/>
        <item x="1750"/>
        <item x="1748"/>
        <item x="1749"/>
        <item x="1694"/>
        <item x="1693"/>
        <item x="1700"/>
        <item x="1698"/>
        <item x="1702"/>
        <item x="1691"/>
        <item x="1701"/>
        <item x="1692"/>
        <item x="1699"/>
        <item x="1697"/>
        <item x="1695"/>
        <item x="1696"/>
        <item x="1775"/>
        <item x="1686"/>
        <item x="1689"/>
        <item x="1687"/>
        <item x="1685"/>
        <item x="1688"/>
        <item x="2155"/>
        <item x="1374"/>
        <item x="1129"/>
        <item x="905"/>
        <item x="1421"/>
        <item x="1491"/>
        <item x="812"/>
        <item x="789"/>
        <item x="790"/>
        <item x="788"/>
        <item x="787"/>
        <item x="786"/>
        <item x="785"/>
        <item x="805"/>
        <item x="947"/>
        <item x="946"/>
        <item x="1666"/>
        <item x="989"/>
        <item x="2112"/>
        <item x="1075"/>
        <item x="1078"/>
        <item x="1081"/>
        <item x="1080"/>
        <item x="1077"/>
        <item x="742"/>
        <item x="968"/>
        <item x="1074"/>
        <item x="1073"/>
        <item x="2116"/>
        <item x="2121"/>
        <item x="738"/>
        <item x="1079"/>
        <item x="649"/>
        <item x="1328"/>
        <item x="741"/>
        <item x="740"/>
        <item x="739"/>
        <item x="743"/>
        <item x="656"/>
        <item x="655"/>
        <item x="474"/>
        <item x="135"/>
        <item x="134"/>
        <item x="133"/>
        <item x="125"/>
        <item x="122"/>
        <item x="123"/>
        <item x="124"/>
        <item x="956"/>
        <item x="934"/>
        <item x="937"/>
        <item x="958"/>
        <item x="936"/>
        <item x="954"/>
        <item x="957"/>
        <item x="927"/>
        <item x="926"/>
        <item x="942"/>
        <item x="924"/>
        <item x="940"/>
        <item x="932"/>
        <item x="939"/>
        <item x="960"/>
        <item x="938"/>
        <item x="931"/>
        <item x="962"/>
        <item x="964"/>
        <item x="955"/>
        <item x="1088"/>
        <item x="929"/>
        <item x="935"/>
        <item x="922"/>
        <item x="921"/>
        <item x="919"/>
        <item x="1091"/>
        <item x="1090"/>
        <item x="1089"/>
        <item x="965"/>
        <item x="925"/>
        <item x="933"/>
        <item x="959"/>
        <item x="941"/>
        <item x="928"/>
        <item x="531"/>
        <item x="530"/>
        <item x="529"/>
        <item x="532"/>
        <item x="1375"/>
        <item x="2086"/>
        <item x="2087"/>
        <item x="2085"/>
        <item x="659"/>
        <item x="1985"/>
        <item x="1987"/>
        <item x="1986"/>
        <item x="1928"/>
        <item x="1927"/>
        <item x="2055"/>
        <item x="2053"/>
        <item x="2056"/>
        <item x="2054"/>
        <item x="1998"/>
        <item x="2003"/>
        <item x="1997"/>
        <item x="2004"/>
        <item x="2014"/>
        <item x="2012"/>
        <item x="2013"/>
        <item x="2016"/>
        <item x="2015"/>
        <item x="2018"/>
        <item x="1703"/>
        <item x="1705"/>
        <item x="1707"/>
        <item x="2081"/>
        <item x="2082"/>
        <item x="2080"/>
        <item x="299"/>
        <item x="300"/>
        <item x="298"/>
        <item x="297"/>
        <item x="294"/>
        <item x="293"/>
        <item x="296"/>
        <item x="295"/>
        <item x="2069"/>
        <item x="2070"/>
        <item x="2068"/>
        <item x="284"/>
        <item x="282"/>
        <item x="285"/>
        <item x="283"/>
        <item x="275"/>
        <item x="277"/>
        <item x="276"/>
        <item x="274"/>
        <item x="273"/>
        <item x="272"/>
        <item x="271"/>
        <item x="1905"/>
        <item x="1904"/>
        <item x="1909"/>
        <item x="1903"/>
        <item x="1906"/>
        <item x="1908"/>
        <item x="301"/>
        <item x="2034"/>
        <item x="2032"/>
        <item x="2030"/>
        <item x="2031"/>
        <item x="2033"/>
        <item x="2047"/>
        <item x="2045"/>
        <item x="2043"/>
        <item x="2046"/>
        <item x="2044"/>
        <item x="2048"/>
        <item x="2042"/>
        <item x="2041"/>
        <item x="2036"/>
        <item x="2040"/>
        <item x="2035"/>
        <item x="2039"/>
        <item x="2038"/>
        <item x="2037"/>
        <item x="2025"/>
        <item x="2024"/>
        <item x="292"/>
        <item x="291"/>
        <item x="290"/>
        <item x="289"/>
        <item x="288"/>
        <item x="287"/>
        <item x="286"/>
        <item x="270"/>
        <item x="269"/>
        <item x="268"/>
        <item x="267"/>
        <item x="1996"/>
        <item x="2059"/>
        <item x="2061"/>
        <item x="2063"/>
        <item x="2057"/>
        <item x="2064"/>
        <item x="2062"/>
        <item x="2060"/>
        <item x="2058"/>
        <item x="1912"/>
        <item x="1914"/>
        <item x="1913"/>
        <item x="2051"/>
        <item x="2049"/>
        <item x="2050"/>
        <item x="2052"/>
        <item x="359"/>
        <item x="358"/>
        <item x="357"/>
        <item x="356"/>
        <item x="2084"/>
        <item x="653"/>
        <item x="589"/>
        <item x="588"/>
        <item x="587"/>
        <item x="586"/>
        <item x="2072"/>
        <item x="1951"/>
        <item x="1948"/>
        <item x="1952"/>
        <item x="1949"/>
        <item x="1950"/>
        <item x="2109"/>
        <item x="2110"/>
        <item x="2106"/>
        <item x="2104"/>
        <item x="2107"/>
        <item x="2105"/>
        <item x="2108"/>
        <item x="2103"/>
        <item x="246"/>
        <item x="247"/>
        <item x="245"/>
        <item x="244"/>
        <item x="1926"/>
        <item x="1863"/>
        <item x="1861"/>
        <item x="1860"/>
        <item x="1867"/>
        <item x="1862"/>
        <item x="1868"/>
        <item x="1864"/>
        <item x="1865"/>
        <item x="1866"/>
        <item x="1922"/>
        <item x="1925"/>
        <item x="1921"/>
        <item x="1920"/>
        <item x="1923"/>
        <item x="1924"/>
        <item x="2079"/>
        <item x="281"/>
        <item x="280"/>
        <item x="279"/>
        <item x="278"/>
        <item x="2073"/>
        <item x="2083"/>
        <item x="2074"/>
        <item x="2075"/>
        <item x="2076"/>
        <item x="2078"/>
        <item x="2077"/>
        <item x="1999"/>
        <item x="1391"/>
        <item x="1392"/>
        <item x="617"/>
        <item x="618"/>
        <item x="162"/>
        <item x="163"/>
        <item x="161"/>
        <item x="2210"/>
        <item x="2209"/>
        <item x="2208"/>
        <item x="53"/>
        <item x="63"/>
        <item x="551"/>
        <item x="58"/>
        <item x="895"/>
        <item x="57"/>
        <item x="56"/>
        <item x="973"/>
        <item x="893"/>
        <item x="55"/>
        <item x="894"/>
        <item x="892"/>
        <item x="64"/>
        <item x="387"/>
        <item x="728"/>
        <item x="2221"/>
        <item x="2220"/>
        <item x="2219"/>
        <item x="2218"/>
        <item x="2217"/>
        <item x="2207"/>
        <item x="2211"/>
        <item x="2187"/>
        <item x="2188"/>
        <item x="2186"/>
        <item x="2191"/>
        <item x="2189"/>
        <item x="2185"/>
        <item x="729"/>
        <item x="557"/>
        <item x="546"/>
        <item x="548"/>
        <item x="547"/>
        <item x="507"/>
        <item x="1327"/>
        <item x="545"/>
        <item x="730"/>
        <item x="912"/>
        <item x="685"/>
        <item x="684"/>
        <item x="683"/>
        <item x="2200"/>
        <item x="2199"/>
        <item x="1353"/>
        <item x="476"/>
        <item x="20"/>
        <item x="22"/>
        <item x="21"/>
        <item x="446"/>
        <item x="445"/>
        <item x="7"/>
        <item x="8"/>
        <item x="5"/>
        <item x="6"/>
        <item x="2111"/>
        <item x="549"/>
        <item x="1377"/>
        <item x="916"/>
        <item x="88"/>
        <item x="907"/>
        <item x="65"/>
        <item x="29"/>
        <item x="454"/>
        <item x="453"/>
        <item x="452"/>
        <item x="451"/>
        <item x="28"/>
        <item x="185"/>
        <item x="184"/>
        <item x="183"/>
        <item x="450"/>
        <item x="447"/>
        <item x="449"/>
        <item x="448"/>
        <item x="10"/>
        <item x="15"/>
        <item x="467"/>
        <item x="466"/>
        <item x="465"/>
        <item x="464"/>
        <item x="463"/>
        <item x="459"/>
        <item x="462"/>
        <item x="461"/>
        <item x="460"/>
        <item x="160"/>
        <item x="158"/>
        <item x="157"/>
        <item x="156"/>
        <item x="159"/>
        <item x="27"/>
        <item x="26"/>
        <item x="25"/>
        <item x="30"/>
        <item x="31"/>
        <item x="182"/>
        <item x="181"/>
        <item x="180"/>
        <item x="14"/>
        <item x="12"/>
        <item x="13"/>
        <item x="11"/>
        <item x="456"/>
        <item x="457"/>
        <item x="455"/>
        <item x="458"/>
        <item x="24"/>
        <item x="23"/>
        <item x="497"/>
        <item x="496"/>
        <item x="495"/>
        <item x="494"/>
        <item x="9"/>
        <item x="525"/>
        <item x="2195"/>
        <item x="1291"/>
        <item x="2222"/>
        <item x="1211"/>
        <item x="1210"/>
        <item x="2192"/>
        <item x="2193"/>
        <item x="388"/>
        <item x="121"/>
        <item x="345"/>
        <item x="2194"/>
        <item x="524"/>
        <item x="553"/>
        <item x="2165"/>
        <item x="2166"/>
        <item x="2167"/>
        <item x="1288"/>
        <item x="1289"/>
        <item x="2088"/>
        <item x="977"/>
        <item x="720"/>
        <item x="719"/>
        <item x="718"/>
        <item x="733"/>
        <item x="716"/>
        <item x="726"/>
        <item x="717"/>
        <item x="1504"/>
        <item x="1507"/>
        <item x="1506"/>
        <item x="1505"/>
        <item x="1589"/>
        <item x="1587"/>
        <item x="1662"/>
        <item x="1663"/>
        <item x="1664"/>
        <item x="2157"/>
        <item x="2158"/>
        <item x="2164"/>
        <item x="2163"/>
        <item x="2162"/>
        <item x="2161"/>
        <item x="2160"/>
        <item x="2159"/>
        <item x="2156"/>
        <item x="2233"/>
        <item x="2230"/>
        <item x="2149"/>
        <item x="2150"/>
        <item x="2153"/>
        <item x="2152"/>
        <item x="2151"/>
        <item x="1244"/>
        <item x="1116"/>
        <item x="1117"/>
        <item x="1245"/>
        <item x="1246"/>
        <item x="470"/>
        <item x="223"/>
        <item x="224"/>
        <item x="225"/>
        <item x="231"/>
        <item x="232"/>
        <item x="230"/>
        <item x="228"/>
        <item x="229"/>
        <item x="227"/>
        <item x="259"/>
        <item x="260"/>
        <item x="258"/>
        <item x="1673"/>
        <item x="1674"/>
        <item x="1983"/>
        <item x="1982"/>
        <item x="1984"/>
        <item x="256"/>
        <item x="257"/>
        <item x="254"/>
        <item x="255"/>
        <item x="261"/>
        <item x="262"/>
        <item x="263"/>
        <item x="248"/>
        <item x="249"/>
        <item x="250"/>
        <item x="251"/>
        <item x="252"/>
        <item x="253"/>
        <item x="1681"/>
        <item x="1682"/>
        <item x="1669"/>
        <item x="1670"/>
        <item x="1678"/>
        <item x="1677"/>
        <item x="1899"/>
        <item x="1896"/>
        <item x="1894"/>
        <item x="1895"/>
        <item x="1897"/>
        <item x="1898"/>
        <item x="1675"/>
        <item x="1676"/>
        <item x="512"/>
        <item x="514"/>
        <item x="513"/>
        <item x="155"/>
        <item x="394"/>
        <item x="395"/>
        <item x="396"/>
        <item x="431"/>
        <item x="430"/>
        <item x="428"/>
        <item x="429"/>
        <item x="427"/>
        <item x="195"/>
        <item x="193"/>
        <item x="194"/>
        <item x="192"/>
        <item x="406"/>
        <item x="407"/>
        <item x="408"/>
        <item x="389"/>
        <item x="390"/>
        <item x="196"/>
        <item x="410"/>
        <item x="411"/>
        <item x="409"/>
        <item x="321"/>
        <item x="322"/>
        <item x="323"/>
        <item x="442"/>
        <item x="443"/>
        <item x="441"/>
        <item x="419"/>
        <item x="420"/>
        <item x="418"/>
        <item x="422"/>
        <item x="423"/>
        <item x="421"/>
        <item x="126"/>
        <item x="127"/>
        <item x="128"/>
        <item x="1546"/>
        <item x="1545"/>
        <item x="1059"/>
        <item x="1060"/>
        <item x="1061"/>
        <item x="1064"/>
        <item x="1065"/>
        <item x="1066"/>
        <item x="1062"/>
        <item x="1063"/>
        <item x="1255"/>
        <item x="1256"/>
        <item x="1257"/>
        <item x="1254"/>
        <item x="1114"/>
        <item x="1115"/>
        <item x="1113"/>
        <item x="1143"/>
        <item x="1145"/>
        <item x="1144"/>
        <item x="1142"/>
        <item x="1146"/>
        <item x="1132"/>
        <item x="1133"/>
        <item x="1131"/>
        <item x="338"/>
        <item x="339"/>
        <item x="337"/>
        <item x="1564"/>
        <item x="1565"/>
        <item x="1563"/>
        <item x="1562"/>
        <item x="1557"/>
        <item x="1556"/>
        <item x="1555"/>
        <item x="1558"/>
        <item x="1554"/>
        <item x="1553"/>
        <item x="1552"/>
        <item x="1551"/>
        <item x="329"/>
        <item x="330"/>
        <item x="328"/>
        <item x="341"/>
        <item x="342"/>
        <item x="340"/>
        <item x="1477"/>
        <item x="1476"/>
        <item x="1475"/>
        <item x="1473"/>
        <item x="1472"/>
        <item x="1471"/>
        <item x="1470"/>
        <item x="1464"/>
        <item x="1463"/>
        <item x="1462"/>
        <item x="1461"/>
        <item x="334"/>
        <item x="335"/>
        <item x="336"/>
        <item x="1468"/>
        <item x="1469"/>
        <item x="1467"/>
        <item x="1617"/>
        <item x="1618"/>
        <item x="614"/>
        <item x="615"/>
        <item x="616"/>
        <item x="613"/>
        <item x="612"/>
        <item x="167"/>
        <item x="166"/>
        <item x="165"/>
        <item x="164"/>
        <item x="168"/>
        <item x="169"/>
        <item x="1659"/>
        <item x="1660"/>
        <item x="1661"/>
        <item x="1658"/>
        <item x="1655"/>
        <item x="1656"/>
        <item x="1657"/>
        <item x="1654"/>
        <item x="1652"/>
        <item x="1653"/>
        <item x="1651"/>
        <item x="2127"/>
        <item x="2126"/>
        <item x="2125"/>
        <item x="2124"/>
        <item x="2131"/>
        <item x="2130"/>
        <item x="2129"/>
        <item x="2128"/>
        <item x="2142"/>
        <item x="2141"/>
        <item x="313"/>
        <item x="314"/>
        <item x="821"/>
        <item x="819"/>
        <item x="820"/>
        <item x="888"/>
        <item x="886"/>
        <item x="887"/>
        <item x="850"/>
        <item x="848"/>
        <item x="849"/>
        <item x="1012"/>
        <item x="1013"/>
        <item x="1014"/>
        <item x="1011"/>
        <item x="1008"/>
        <item x="1009"/>
        <item x="1010"/>
        <item x="1007"/>
        <item x="770"/>
        <item x="771"/>
        <item x="772"/>
        <item x="769"/>
        <item x="778"/>
        <item x="779"/>
        <item x="780"/>
        <item x="777"/>
        <item x="774"/>
        <item x="775"/>
        <item x="776"/>
        <item x="773"/>
        <item x="144"/>
        <item x="146"/>
        <item x="145"/>
        <item x="876"/>
        <item x="877"/>
        <item x="148"/>
        <item x="149"/>
        <item x="147"/>
        <item x="874"/>
        <item x="875"/>
        <item x="873"/>
        <item x="1192"/>
        <item x="1214"/>
        <item x="1217"/>
        <item x="1218"/>
        <item x="1202"/>
        <item x="1200"/>
        <item x="1201"/>
        <item x="1193"/>
        <item x="1194"/>
        <item x="1197"/>
        <item x="1198"/>
        <item x="1199"/>
        <item x="1196"/>
        <item x="1195"/>
        <item x="1183"/>
        <item x="1184"/>
        <item x="1185"/>
        <item x="1186"/>
        <item x="1187"/>
        <item x="1188"/>
        <item x="1190"/>
        <item x="1191"/>
        <item x="1189"/>
        <item x="331"/>
        <item x="332"/>
        <item x="333"/>
        <item x="1247"/>
        <item x="1248"/>
        <item x="1249"/>
        <item x="1033"/>
        <item x="1032"/>
        <item x="1034"/>
        <item x="1031"/>
        <item x="1036"/>
        <item x="1038"/>
        <item x="1035"/>
        <item x="1037"/>
        <item x="1028"/>
        <item x="1029"/>
        <item x="1030"/>
        <item x="1027"/>
        <item x="1276"/>
        <item x="1277"/>
        <item x="1271"/>
        <item x="1272"/>
        <item x="1273"/>
        <item x="1259"/>
        <item x="1260"/>
        <item x="1258"/>
        <item x="1262"/>
        <item x="1263"/>
        <item x="1264"/>
        <item x="1274"/>
        <item x="1275"/>
        <item x="1241"/>
        <item x="1242"/>
        <item x="1243"/>
        <item x="1238"/>
        <item x="1239"/>
        <item x="1240"/>
        <item x="1237"/>
        <item x="1049"/>
        <item x="1050"/>
        <item x="1047"/>
        <item x="1048"/>
        <item x="1287"/>
        <item x="1285"/>
        <item x="1286"/>
        <item x="1283"/>
        <item x="1284"/>
        <item x="221"/>
        <item x="222"/>
        <item x="220"/>
        <item x="1303"/>
        <item x="1304"/>
        <item x="1543"/>
        <item x="1542"/>
        <item x="1541"/>
        <item x="1540"/>
        <item x="1539"/>
        <item x="1538"/>
        <item x="1537"/>
        <item x="1536"/>
        <item x="1535"/>
        <item x="1534"/>
        <item x="996"/>
        <item x="997"/>
        <item x="998"/>
        <item x="139"/>
        <item x="140"/>
        <item x="141"/>
        <item x="1215"/>
        <item x="1216"/>
        <item x="1219"/>
        <item x="1220"/>
        <item x="2170"/>
        <item x="2171"/>
        <item x="2168"/>
        <item x="2169"/>
        <item x="2190"/>
        <item x="1352"/>
        <item x="1290"/>
        <item x="2094"/>
        <item x="2095"/>
        <item x="2096"/>
        <item x="2093"/>
        <item x="2097"/>
        <item x="2092"/>
        <item x="2091"/>
        <item x="1486"/>
        <item x="1485"/>
        <item x="1484"/>
        <item x="1483"/>
        <item x="1482"/>
        <item x="1359"/>
        <item x="891"/>
        <item x="650"/>
        <item x="1329"/>
        <item x="1223"/>
        <item x="1221"/>
        <item x="1222"/>
        <item x="1349"/>
        <item x="1350"/>
        <item x="1351"/>
        <item x="1348"/>
        <item x="1616"/>
        <item x="1346"/>
        <item x="1347"/>
        <item x="1345"/>
        <item x="1344"/>
        <item x="1342"/>
        <item x="1341"/>
        <item x="1340"/>
        <item x="1343"/>
        <item x="171"/>
        <item x="172"/>
        <item x="170"/>
        <item x="174"/>
        <item x="175"/>
        <item x="173"/>
        <item x="898"/>
        <item x="897"/>
        <item x="902"/>
        <item x="903"/>
        <item x="901"/>
        <item x="880"/>
        <item x="881"/>
        <item x="879"/>
        <item x="521"/>
        <item x="522"/>
        <item x="523"/>
        <item x="1096"/>
        <item x="556"/>
        <item x="554"/>
        <item x="119"/>
        <item x="944"/>
        <item x="911"/>
        <item x="1"/>
        <item x="226"/>
        <item x="1331"/>
        <item x="89"/>
        <item x="90"/>
        <item x="91"/>
        <item x="2240"/>
        <item x="1753"/>
        <item x="2241"/>
        <item x="1754"/>
        <item x="2243"/>
        <item x="2242"/>
        <item x="1325"/>
        <item x="1324"/>
        <item x="237"/>
        <item x="238"/>
        <item x="239"/>
        <item x="391"/>
        <item x="392"/>
        <item x="393"/>
        <item x="403"/>
        <item x="404"/>
        <item x="405"/>
        <item x="516"/>
        <item x="517"/>
        <item x="518"/>
        <item x="1052"/>
        <item x="1051"/>
        <item x="1056"/>
        <item x="1057"/>
        <item x="1058"/>
        <item x="1053"/>
        <item x="1055"/>
        <item x="1054"/>
        <item x="1124"/>
        <item x="1125"/>
        <item x="1126"/>
        <item x="1123"/>
        <item x="1119"/>
        <item x="1120"/>
        <item x="1121"/>
        <item x="1118"/>
        <item x="1122"/>
        <item x="1138"/>
        <item x="1139"/>
        <item x="1140"/>
        <item x="1137"/>
        <item x="1141"/>
        <item x="315"/>
        <item x="316"/>
        <item x="317"/>
        <item x="1530"/>
        <item x="1529"/>
        <item x="1549"/>
        <item x="1548"/>
        <item x="1528"/>
        <item x="1547"/>
        <item x="1544"/>
        <item x="1480"/>
        <item x="1479"/>
        <item x="1478"/>
        <item x="993"/>
        <item x="994"/>
        <item x="995"/>
        <item x="136"/>
        <item x="137"/>
        <item x="138"/>
        <item x="1231"/>
        <item x="1232"/>
        <item x="1233"/>
        <item x="1130"/>
        <item x="1127"/>
        <item x="1128"/>
        <item x="651"/>
        <item x="652"/>
        <item x="242"/>
        <item x="243"/>
        <item x="240"/>
        <item x="241"/>
        <item x="189"/>
        <item x="191"/>
        <item x="190"/>
        <item x="188"/>
        <item x="187"/>
        <item x="469"/>
        <item x="468"/>
        <item x="264"/>
        <item x="265"/>
        <item x="116"/>
        <item x="1454"/>
        <item x="1453"/>
        <item x="1452"/>
        <item x="1451"/>
        <item x="2184"/>
        <item x="2183"/>
        <item x="736"/>
        <item x="71"/>
        <item x="555"/>
        <item x="1580"/>
        <item x="846"/>
        <item x="1360"/>
        <item x="1334"/>
        <item x="1614"/>
        <item x="1590"/>
        <item x="1588"/>
        <item x="1586"/>
        <item x="537"/>
        <item x="1595"/>
        <item x="533"/>
        <item x="534"/>
        <item x="535"/>
        <item x="540"/>
        <item x="541"/>
        <item x="539"/>
        <item x="1402"/>
        <item x="1400"/>
        <item x="1401"/>
        <item x="103"/>
        <item x="1424"/>
        <item x="386"/>
        <item x="2117"/>
        <item x="2118"/>
        <item x="1594"/>
        <item x="112"/>
        <item x="1593"/>
        <item x="111"/>
        <item x="1487"/>
        <item x="1509"/>
        <item x="107"/>
        <item x="1474"/>
        <item x="1489"/>
        <item x="115"/>
        <item x="1599"/>
        <item x="1422"/>
        <item x="1581"/>
        <item x="1582"/>
        <item x="1501"/>
        <item x="1500"/>
        <item x="1499"/>
        <item x="1498"/>
        <item x="1497"/>
        <item x="1496"/>
        <item x="1495"/>
        <item x="2198"/>
        <item x="2197"/>
        <item x="543"/>
        <item x="542"/>
        <item x="1524"/>
        <item x="1523"/>
        <item x="1527"/>
        <item x="1526"/>
        <item x="1525"/>
        <item x="1520"/>
        <item x="1519"/>
        <item x="1516"/>
        <item x="1522"/>
        <item x="1521"/>
        <item x="1518"/>
        <item x="1517"/>
        <item x="1508"/>
        <item x="105"/>
        <item x="106"/>
        <item x="104"/>
        <item x="1515"/>
        <item x="378"/>
        <item x="377"/>
        <item x="376"/>
        <item x="375"/>
        <item x="374"/>
        <item x="373"/>
        <item x="372"/>
        <item x="371"/>
        <item x="364"/>
        <item x="363"/>
        <item x="362"/>
        <item x="361"/>
        <item x="360"/>
        <item x="1601"/>
        <item x="1600"/>
        <item x="370"/>
        <item x="369"/>
        <item x="368"/>
        <item x="367"/>
        <item x="366"/>
        <item x="365"/>
        <item x="1579"/>
        <item x="1605"/>
        <item x="1604"/>
        <item x="1603"/>
        <item x="1602"/>
        <item x="1514"/>
        <item x="1585"/>
        <item x="1584"/>
        <item x="1583"/>
        <item x="1416"/>
        <item x="1415"/>
        <item x="1403"/>
        <item x="114"/>
        <item x="1596"/>
        <item x="515"/>
        <item x="1615"/>
        <item x="1397"/>
        <item x="1578"/>
        <item x="108"/>
        <item x="623"/>
        <item x="622"/>
        <item x="621"/>
        <item x="626"/>
        <item x="625"/>
        <item x="624"/>
        <item x="219"/>
        <item x="218"/>
        <item x="217"/>
        <item x="214"/>
        <item x="213"/>
        <item x="216"/>
        <item x="215"/>
        <item x="212"/>
        <item x="712"/>
        <item x="710"/>
        <item x="708"/>
        <item x="706"/>
        <item x="714"/>
        <item x="713"/>
        <item x="711"/>
        <item x="709"/>
        <item x="707"/>
        <item x="715"/>
        <item x="705"/>
        <item x="704"/>
        <item x="703"/>
        <item x="702"/>
        <item x="211"/>
        <item x="209"/>
        <item x="210"/>
        <item x="701"/>
        <item x="700"/>
        <item x="699"/>
        <item x="698"/>
        <item x="206"/>
        <item x="208"/>
        <item x="207"/>
        <item x="205"/>
        <item x="697"/>
        <item x="696"/>
        <item x="695"/>
        <item x="694"/>
        <item x="693"/>
        <item x="692"/>
        <item x="691"/>
        <item x="690"/>
        <item x="2182"/>
        <item x="1665"/>
        <item x="1332"/>
        <item x="620"/>
        <item x="619"/>
        <item x="1106"/>
        <item x="0"/>
        <item x="19"/>
        <item x="16"/>
        <item x="93"/>
        <item x="109"/>
        <item x="878"/>
        <item x="857"/>
        <item x="811"/>
        <item x="835"/>
        <item x="834"/>
        <item x="830"/>
        <item x="829"/>
        <item x="856"/>
        <item x="1387"/>
        <item x="74"/>
        <item x="1318"/>
        <item x="75"/>
        <item x="86"/>
        <item x="1356"/>
        <item x="1357"/>
        <item x="1354"/>
        <item x="1355"/>
        <item x="2203"/>
        <item x="2204"/>
        <item x="2216"/>
        <item x="1398"/>
        <item x="724"/>
        <item x="1209"/>
        <item x="853"/>
        <item x="1330"/>
        <item x="1394"/>
        <item x="1338"/>
        <item x="852"/>
        <item x="1208"/>
        <item x="974"/>
        <item x="1396"/>
        <item x="1404"/>
        <item x="1393"/>
        <item x="1395"/>
        <item x="1323"/>
        <item x="186"/>
        <item x="550"/>
        <item x="506"/>
        <item x="1339"/>
        <item x="505"/>
        <item x="381"/>
        <item x="327"/>
        <item x="176"/>
        <item x="179"/>
        <item x="178"/>
        <item x="177"/>
        <item x="689"/>
        <item x="688"/>
        <item x="687"/>
        <item x="686"/>
        <item x="890"/>
        <item x="889"/>
        <item x="1083"/>
        <item x="952"/>
        <item x="1085"/>
        <item x="1084"/>
        <item x="444"/>
        <item x="18"/>
        <item x="4"/>
        <item x="810"/>
        <item x="478"/>
        <item x="753"/>
        <item x="735"/>
        <item x="2136"/>
        <item x="2135"/>
        <item x="2133"/>
        <item x="2134"/>
        <item x="132"/>
        <item x="899"/>
        <item x="827"/>
        <item x="482"/>
        <item x="481"/>
        <item x="480"/>
        <item x="479"/>
        <item x="825"/>
        <item x="50"/>
        <item x="826"/>
        <item x="854"/>
        <item x="51"/>
        <item x="60"/>
        <item x="491"/>
        <item x="490"/>
        <item x="489"/>
        <item x="488"/>
        <item x="487"/>
        <item x="511"/>
        <item x="510"/>
        <item x="509"/>
        <item x="508"/>
        <item x="904"/>
        <item x="768"/>
        <item x="761"/>
        <item x="896"/>
        <item x="48"/>
        <item x="823"/>
        <item x="486"/>
        <item x="485"/>
        <item x="484"/>
        <item x="483"/>
        <item x="822"/>
        <item x="493"/>
        <item x="763"/>
        <item x="824"/>
        <item x="59"/>
        <item x="49"/>
        <item x="52"/>
        <item x="47"/>
        <item x="492"/>
        <item x="526"/>
        <item x="527"/>
        <item x="528"/>
        <item x="46"/>
        <item x="855"/>
        <item x="61"/>
        <item x="900"/>
        <item x="845"/>
        <item x="906"/>
        <item x="851"/>
        <item x="1322"/>
        <item x="118"/>
        <item x="117"/>
        <item x="949"/>
        <item x="948"/>
        <item x="970"/>
        <item x="945"/>
        <item x="560"/>
        <item x="519"/>
        <item x="559"/>
        <item x="558"/>
        <item x="1592"/>
        <item x="1405"/>
        <item x="976"/>
        <item x="2202"/>
        <item x="309"/>
        <item x="308"/>
        <item x="1363"/>
        <item x="1361"/>
        <item x="307"/>
        <item x="1153"/>
        <item x="1152"/>
        <item x="1236"/>
        <item x="1235"/>
        <item x="1250"/>
        <item x="1252"/>
        <item x="1251"/>
        <item x="1234"/>
        <item x="1154"/>
        <item x="1156"/>
        <item x="1155"/>
        <item x="1158"/>
        <item x="1157"/>
        <item x="1253"/>
        <item x="477"/>
        <item x="475"/>
        <item x="2232"/>
        <item x="2231"/>
        <item x="1019"/>
        <item x="658"/>
        <item x="657"/>
        <item x="972"/>
        <item x="1502"/>
        <item x="2229"/>
        <item x="1103"/>
        <item x="1098"/>
        <item x="1097"/>
        <item x="1107"/>
        <item x="1099"/>
        <item x="920"/>
        <item x="1095"/>
        <item x="1108"/>
        <item x="1102"/>
        <item x="1105"/>
        <item x="1104"/>
        <item x="1109"/>
        <item x="1101"/>
        <item x="1100"/>
        <item x="1093"/>
        <item x="1094"/>
        <item x="1092"/>
        <item x="930"/>
        <item x="722"/>
        <item x="723"/>
        <item x="1067"/>
        <item x="1068"/>
        <item x="1070"/>
        <item x="1072"/>
        <item x="1071"/>
        <item x="1069"/>
        <item x="2239"/>
        <item x="2122"/>
        <item x="2244"/>
        <item x="2123"/>
        <item x="2120"/>
        <item x="2119"/>
        <item x="1488"/>
        <item x="986"/>
        <item x="764"/>
        <item x="767"/>
        <item x="988"/>
        <item x="985"/>
        <item x="765"/>
        <item x="766"/>
        <item x="987"/>
        <item x="760"/>
        <item x="983"/>
        <item x="982"/>
        <item x="828"/>
        <item x="762"/>
        <item x="984"/>
        <item x="980"/>
        <item x="978"/>
        <item x="979"/>
        <item x="737"/>
        <item x="758"/>
        <item x="757"/>
        <item x="752"/>
        <item x="751"/>
        <item x="750"/>
        <item x="756"/>
        <item x="734"/>
        <item x="759"/>
        <item x="749"/>
        <item x="747"/>
        <item x="748"/>
        <item x="754"/>
        <item x="981"/>
        <item x="967"/>
        <item x="971"/>
        <item x="969"/>
        <item x="1086"/>
        <item x="266"/>
        <item x="472"/>
        <item x="471"/>
        <item x="473"/>
        <item x="966"/>
        <item x="961"/>
        <item x="918"/>
        <item x="953"/>
        <item x="917"/>
        <item x="915"/>
        <item x="54"/>
        <item x="725"/>
        <item x="721"/>
        <item x="17"/>
        <item x="92"/>
        <item x="2237"/>
        <item x="610"/>
        <item x="611"/>
        <item x="2236"/>
        <item x="609"/>
        <item x="2238"/>
        <item x="1512"/>
        <item x="1511"/>
        <item x="1423"/>
        <item x="1513"/>
        <item x="1399"/>
        <item x="544"/>
        <item x="306"/>
        <item x="1597"/>
        <item x="113"/>
        <item x="1598"/>
        <item x="1456"/>
        <item x="1481"/>
        <item x="1591"/>
        <item x="110"/>
        <item x="858"/>
        <item x="859"/>
        <item x="809"/>
        <item x="815"/>
        <item x="814"/>
        <item x="813"/>
        <item x="1018"/>
        <item x="1016"/>
        <item x="1017"/>
        <item x="538"/>
        <item x="62"/>
        <item x="832"/>
        <item x="833"/>
        <item x="831"/>
        <item x="1015"/>
        <item x="807"/>
        <item x="808"/>
        <item x="84"/>
        <item x="83"/>
        <item x="82"/>
        <item x="1165"/>
        <item x="1261"/>
        <item x="1166"/>
        <item x="732"/>
        <item x="33"/>
        <item x="32"/>
        <item x="36"/>
        <item x="37"/>
        <item x="755"/>
        <item x="35"/>
        <item x="38"/>
        <item x="94"/>
        <item x="324"/>
        <item x="325"/>
        <item x="326"/>
        <item x="95"/>
        <item x="1358"/>
        <item x="607"/>
        <item x="608"/>
        <item x="1087"/>
        <item x="914"/>
        <item x="1503"/>
        <item x="1148"/>
        <item x="1147"/>
        <item x="1024"/>
        <item x="1025"/>
        <item x="1026"/>
        <item x="1023"/>
        <item x="1022"/>
        <item x="1021"/>
        <item x="1229"/>
        <item x="1230"/>
        <item x="1228"/>
        <item x="1225"/>
        <item x="1226"/>
        <item x="1227"/>
        <item x="1224"/>
        <item x="130"/>
        <item x="131"/>
        <item x="129"/>
        <item x="235"/>
        <item x="236"/>
        <item x="234"/>
        <item x="233"/>
        <item x="1892"/>
        <item x="1893"/>
        <item x="1891"/>
        <item x="1308"/>
        <item x="1270"/>
        <item x="1269"/>
        <item x="1266"/>
        <item x="1267"/>
        <item x="1268"/>
        <item x="1265"/>
        <item x="1161"/>
        <item x="1162"/>
        <item x="1151"/>
        <item x="1150"/>
        <item x="383"/>
        <item x="382"/>
        <item x="380"/>
        <item x="2113"/>
        <item x="1384"/>
        <item x="1383"/>
        <item x="1382"/>
        <item x="1381"/>
        <item x="1619"/>
        <item x="348"/>
        <item x="349"/>
        <item x="347"/>
        <item x="346"/>
        <item x="351"/>
        <item x="352"/>
        <item x="350"/>
        <item x="501"/>
        <item x="502"/>
        <item x="500"/>
        <item x="425"/>
        <item x="426"/>
        <item x="424"/>
        <item x="439"/>
        <item x="440"/>
        <item x="438"/>
        <item x="305"/>
        <item x="303"/>
        <item x="304"/>
        <item x="302"/>
        <item x="151"/>
        <item x="152"/>
        <item x="150"/>
        <item x="69"/>
        <item x="68"/>
        <item x="1163"/>
        <item x="1164"/>
        <item x="2180"/>
        <item x="2181"/>
        <item x="2179"/>
        <item x="120"/>
        <item x="552"/>
        <item x="561"/>
        <item x="504"/>
        <item x="2114"/>
        <item x="1376"/>
        <item x="1385"/>
        <item x="727"/>
        <item x="1370"/>
        <item x="731"/>
        <item x="503"/>
        <item x="385"/>
        <item x="384"/>
        <item x="96"/>
        <item x="1510"/>
        <item x="963"/>
        <item x="910"/>
        <item x="909"/>
        <item x="2215"/>
        <item x="2214"/>
        <item x="2213"/>
        <item x="343"/>
        <item x="1390"/>
        <item x="1389"/>
        <item x="1386"/>
        <item x="1388"/>
        <item x="951"/>
        <item x="950"/>
        <item x="1373"/>
        <item x="1667"/>
        <item x="1668"/>
        <item x="1671"/>
        <item x="1672"/>
        <item x="1679"/>
        <item x="1680"/>
        <item x="353"/>
        <item x="354"/>
        <item x="355"/>
        <item x="2008"/>
        <item x="2009"/>
        <item x="2010"/>
        <item x="2011"/>
        <item x="2005"/>
        <item x="2006"/>
        <item x="2007"/>
        <item x="2022"/>
        <item x="2023"/>
        <item x="2021"/>
        <item x="2001"/>
        <item x="2000"/>
        <item x="2002"/>
        <item x="1683"/>
        <item x="1684"/>
        <item x="199"/>
        <item x="200"/>
        <item x="198"/>
        <item x="197"/>
        <item x="202"/>
        <item x="203"/>
        <item x="201"/>
        <item x="433"/>
        <item x="434"/>
        <item x="432"/>
        <item x="204"/>
        <item x="318"/>
        <item x="319"/>
        <item x="320"/>
        <item x="435"/>
        <item x="437"/>
        <item x="436"/>
        <item x="1135"/>
        <item x="1136"/>
        <item x="1134"/>
        <item x="1111"/>
        <item x="1112"/>
        <item x="1149"/>
        <item x="1577"/>
        <item x="1576"/>
        <item x="1575"/>
        <item x="1574"/>
        <item x="1533"/>
        <item x="1532"/>
        <item x="1531"/>
        <item x="1561"/>
        <item x="1560"/>
        <item x="1559"/>
        <item x="1413"/>
        <item x="1412"/>
        <item x="1414"/>
        <item x="1466"/>
        <item x="1465"/>
        <item x="1411"/>
        <item x="1550"/>
        <item x="1636"/>
        <item x="1637"/>
        <item x="1638"/>
        <item x="1635"/>
        <item x="2146"/>
        <item x="2145"/>
        <item x="2143"/>
        <item x="2144"/>
        <item x="154"/>
        <item x="153"/>
        <item x="883"/>
        <item x="885"/>
        <item x="882"/>
        <item x="1000"/>
        <item x="1001"/>
        <item x="999"/>
        <item x="1002"/>
        <item x="1004"/>
        <item x="1005"/>
        <item x="1006"/>
        <item x="1003"/>
        <item x="847"/>
        <item x="884"/>
        <item x="863"/>
        <item x="864"/>
        <item x="865"/>
        <item x="862"/>
        <item x="143"/>
        <item x="142"/>
        <item x="861"/>
        <item x="870"/>
        <item x="871"/>
        <item x="872"/>
        <item x="869"/>
        <item x="867"/>
        <item x="868"/>
        <item x="866"/>
        <item x="860"/>
        <item x="1306"/>
        <item x="1307"/>
        <item x="1305"/>
        <item x="2178"/>
        <item x="2176"/>
        <item x="2173"/>
        <item x="2172"/>
        <item x="2177"/>
        <item x="2174"/>
        <item x="2175"/>
        <item x="1160"/>
        <item x="1167"/>
        <item x="1039"/>
        <item x="1159"/>
        <item x="1321"/>
        <item x="1302"/>
        <item x="1300"/>
        <item x="1301"/>
        <item x="1299"/>
        <item x="78"/>
        <item x="85"/>
        <item x="1042"/>
        <item x="1168"/>
        <item x="1040"/>
        <item x="1295"/>
        <item x="1296"/>
        <item x="1297"/>
        <item x="1294"/>
        <item x="1298"/>
        <item x="1045"/>
        <item x="1169"/>
        <item x="1212"/>
        <item x="73"/>
        <item x="1171"/>
        <item x="1170"/>
        <item x="1172"/>
        <item x="1173"/>
        <item x="499"/>
        <item x="70"/>
        <item x="1312"/>
        <item x="72"/>
        <item x="1174"/>
        <item x="1175"/>
        <item x="1020"/>
        <item x="1044"/>
        <item x="1041"/>
        <item x="1309"/>
        <item x="1313"/>
        <item x="1177"/>
        <item x="1176"/>
        <item x="1043"/>
        <item x="1326"/>
        <item x="76"/>
        <item x="77"/>
        <item x="1213"/>
        <item x="66"/>
        <item x="67"/>
        <item x="1179"/>
        <item x="1178"/>
        <item x="1292"/>
        <item x="1293"/>
        <item x="1320"/>
        <item x="80"/>
        <item x="1310"/>
        <item x="1182"/>
        <item x="1180"/>
        <item x="1311"/>
        <item x="1181"/>
        <item x="79"/>
        <item x="81"/>
        <item x="1319"/>
        <item x="1282"/>
        <item x="1280"/>
        <item x="1279"/>
        <item x="1278"/>
        <item x="1281"/>
        <item x="379"/>
        <item x="2"/>
        <item x="520"/>
        <item x="3"/>
        <item x="43"/>
        <item x="40"/>
        <item x="744"/>
        <item x="44"/>
        <item x="39"/>
        <item x="34"/>
        <item x="42"/>
        <item x="746"/>
        <item x="745"/>
        <item x="45"/>
        <item x="41"/>
        <item x="2101"/>
        <item x="2098"/>
        <item x="2102"/>
        <item x="2099"/>
        <item x="2100"/>
        <item x="400"/>
        <item x="401"/>
        <item x="402"/>
        <item x="397"/>
        <item x="398"/>
        <item x="399"/>
        <item x="416"/>
        <item x="417"/>
        <item x="415"/>
        <item x="413"/>
        <item x="414"/>
        <item x="412"/>
        <item x="1613"/>
        <item x="1612"/>
        <item x="1611"/>
        <item x="1610"/>
        <item x="1569"/>
        <item x="1568"/>
        <item x="1567"/>
        <item x="1566"/>
        <item x="1609"/>
        <item x="1608"/>
        <item x="1607"/>
        <item x="1606"/>
        <item x="1573"/>
        <item x="1572"/>
        <item x="1571"/>
        <item x="1570"/>
        <item x="1460"/>
        <item x="1459"/>
        <item x="1458"/>
        <item x="1457"/>
        <item x="1428"/>
        <item x="1427"/>
        <item x="1426"/>
        <item x="1425"/>
        <item x="1335"/>
        <item x="1336"/>
        <item x="1337"/>
        <item x="1988"/>
        <item x="1991"/>
        <item x="1981"/>
        <item x="1980"/>
        <item x="1989"/>
        <item x="1990"/>
        <item x="1979"/>
        <item x="498"/>
        <item x="536"/>
        <item x="1372"/>
        <item x="1371"/>
        <item x="975"/>
        <item x="87"/>
        <item x="1378"/>
        <item x="1380"/>
        <item x="1379"/>
        <item x="1203"/>
        <item x="908"/>
        <item x="1046"/>
        <item x="1204"/>
        <item x="943"/>
        <item x="1207"/>
        <item x="1205"/>
        <item x="1206"/>
        <item x="1110"/>
        <item x="97"/>
        <item x="100"/>
        <item x="102"/>
        <item x="311"/>
        <item x="1366"/>
        <item x="310"/>
        <item x="344"/>
        <item x="1365"/>
        <item x="101"/>
        <item x="1367"/>
        <item x="99"/>
        <item x="1368"/>
        <item x="312"/>
        <item x="98"/>
        <item x="1364"/>
        <item x="1369"/>
        <item x="990"/>
        <item x="991"/>
        <item x="992"/>
        <item x="817"/>
        <item x="818"/>
        <item x="816"/>
        <item x="654"/>
        <item x="1455"/>
        <item x="1450"/>
        <item x="1449"/>
        <item x="2148"/>
        <item x="2147"/>
        <item x="1333"/>
        <item x="1315"/>
        <item x="1316"/>
        <item x="1317"/>
        <item x="1314"/>
        <item x="604"/>
        <item x="605"/>
        <item x="2234"/>
        <item x="647"/>
        <item x="646"/>
        <item x="645"/>
        <item x="603"/>
        <item x="2228"/>
        <item x="2226"/>
        <item x="2224"/>
        <item x="2225"/>
        <item x="648"/>
        <item x="640"/>
        <item x="2223"/>
        <item x="2212"/>
        <item x="2227"/>
        <item x="2115"/>
        <item x="2196"/>
        <item x="2235"/>
        <item x="2201"/>
        <item x="2154"/>
        <item x="606"/>
        <item x="682"/>
        <item x="681"/>
        <item x="680"/>
        <item x="679"/>
        <item x="2140"/>
        <item x="2139"/>
        <item x="2138"/>
        <item x="2137"/>
        <item x="2026"/>
        <item x="2027"/>
        <item x="2028"/>
        <item x="2029"/>
        <item x="1994"/>
        <item x="1995"/>
        <item x="1993"/>
        <item x="1992"/>
        <item x="1362"/>
        <item x="678"/>
        <item x="676"/>
        <item x="675"/>
        <item x="674"/>
        <item x="677"/>
        <item x="673"/>
        <item x="576"/>
        <item x="575"/>
        <item x="574"/>
        <item x="573"/>
        <item x="580"/>
        <item x="579"/>
        <item x="578"/>
        <item x="577"/>
        <item x="585"/>
        <item x="583"/>
        <item x="582"/>
        <item x="581"/>
        <item x="584"/>
        <item x="568"/>
        <item x="567"/>
        <item x="566"/>
        <item x="565"/>
        <item x="569"/>
        <item x="571"/>
        <item x="572"/>
        <item x="570"/>
        <item x="1935"/>
        <item x="1763"/>
        <item x="1765"/>
        <item x="1767"/>
        <item x="1762"/>
        <item x="1764"/>
        <item x="1766"/>
        <item x="1787"/>
        <item x="1792"/>
        <item x="1788"/>
        <item x="1791"/>
        <item x="1789"/>
        <item x="1790"/>
        <item x="1793"/>
        <item x="1834"/>
        <item x="1833"/>
        <item x="1837"/>
        <item x="1836"/>
        <item x="1835"/>
        <item x="1831"/>
        <item x="1832"/>
        <item x="1829"/>
        <item x="1825"/>
        <item x="1824"/>
        <item x="1830"/>
        <item x="1828"/>
        <item x="1826"/>
        <item x="1827"/>
        <item x="1844"/>
        <item x="1843"/>
        <item x="1842"/>
        <item x="1845"/>
        <item x="1846"/>
        <item x="1847"/>
        <item x="1800"/>
        <item x="1795"/>
        <item x="1799"/>
        <item x="1797"/>
        <item x="1794"/>
        <item x="1798"/>
        <item x="1796"/>
        <item x="1780"/>
        <item x="1777"/>
        <item x="1781"/>
        <item x="1782"/>
        <item x="1779"/>
        <item x="1778"/>
        <item x="1776"/>
        <item x="1840"/>
        <item x="1838"/>
        <item x="1839"/>
        <item x="1841"/>
        <item x="1817"/>
        <item x="1818"/>
        <item x="1816"/>
        <item x="1819"/>
        <item x="1821"/>
        <item x="1820"/>
        <item x="1823"/>
        <item x="1822"/>
        <item x="1801"/>
        <item x="1803"/>
        <item x="1804"/>
        <item x="1802"/>
        <item x="1805"/>
        <item x="1806"/>
        <item x="1810"/>
        <item x="1811"/>
        <item x="1807"/>
        <item x="1812"/>
        <item x="1814"/>
        <item x="1808"/>
        <item x="1813"/>
        <item x="1815"/>
        <item x="1858"/>
        <item x="1856"/>
        <item x="1854"/>
        <item x="1859"/>
        <item x="1853"/>
        <item x="1857"/>
        <item x="1855"/>
        <item x="2089"/>
        <item x="1971"/>
        <item x="1978"/>
        <item x="1976"/>
        <item x="1977"/>
        <item x="1934"/>
        <item x="1933"/>
        <item x="1917"/>
        <item x="1918"/>
        <item x="1916"/>
        <item x="1919"/>
        <item x="1915"/>
        <item x="1878"/>
        <item x="1879"/>
        <item x="1882"/>
        <item x="1881"/>
        <item x="1880"/>
        <item x="1958"/>
        <item x="1955"/>
        <item x="1957"/>
        <item x="1954"/>
        <item x="1956"/>
        <item x="1953"/>
        <item x="1907"/>
        <item x="1902"/>
        <item x="1901"/>
        <item x="1900"/>
        <item x="597"/>
        <item x="596"/>
        <item x="595"/>
        <item x="594"/>
        <item x="598"/>
        <item x="592"/>
        <item x="591"/>
        <item x="590"/>
        <item x="593"/>
        <item x="1930"/>
        <item x="1974"/>
        <item x="1975"/>
        <item x="1973"/>
        <item x="1972"/>
        <item x="2066"/>
        <item x="2067"/>
        <item x="2065"/>
        <item x="1931"/>
        <item x="1929"/>
        <item x="1932"/>
        <item x="1874"/>
        <item x="1873"/>
        <item x="1872"/>
        <item x="1871"/>
        <item x="1875"/>
        <item x="1877"/>
        <item x="1876"/>
        <item x="1910"/>
        <item x="1911"/>
        <item x="1936"/>
        <item x="1939"/>
        <item x="1937"/>
        <item x="1940"/>
        <item x="1941"/>
        <item x="1938"/>
        <item x="1884"/>
        <item x="1887"/>
        <item x="1889"/>
        <item x="1885"/>
        <item x="1888"/>
        <item x="1886"/>
        <item x="1890"/>
        <item x="1960"/>
        <item x="1963"/>
        <item x="1962"/>
        <item x="1959"/>
        <item x="1961"/>
        <item x="1883"/>
        <item x="2090"/>
        <item x="1964"/>
        <item x="602"/>
        <item x="601"/>
        <item x="600"/>
        <item x="599"/>
        <item x="2071"/>
        <item x="1946"/>
        <item x="1943"/>
        <item x="1942"/>
        <item x="1944"/>
        <item x="1945"/>
        <item x="1947"/>
        <item x="1772"/>
        <item x="1773"/>
        <item x="1768"/>
        <item x="1770"/>
        <item x="1769"/>
        <item x="1774"/>
        <item x="1771"/>
        <item x="1783"/>
        <item x="1786"/>
        <item x="1784"/>
        <item x="1785"/>
        <item x="1690"/>
        <item x="1849"/>
        <item x="1848"/>
        <item x="1850"/>
        <item x="1851"/>
        <item x="1852"/>
        <item x="1761"/>
        <item x="1757"/>
        <item x="1758"/>
        <item x="1759"/>
        <item x="1755"/>
        <item x="1760"/>
        <item x="1756"/>
        <item x="1870"/>
        <item x="1869"/>
        <item x="1967"/>
        <item x="1970"/>
        <item x="1968"/>
        <item x="1969"/>
        <item x="1965"/>
        <item x="1966"/>
        <item x="1439"/>
        <item x="1443"/>
        <item x="1442"/>
        <item x="1441"/>
        <item x="1440"/>
        <item x="1438"/>
        <item x="1420"/>
        <item x="1419"/>
        <item x="1418"/>
        <item x="1417"/>
        <item x="1494"/>
        <item x="1493"/>
        <item x="1492"/>
        <item x="1490"/>
        <item x="1410"/>
        <item x="1409"/>
        <item x="1408"/>
        <item x="1407"/>
        <item x="1406"/>
        <item x="1437"/>
        <item x="1436"/>
        <item x="1435"/>
        <item x="1429"/>
        <item x="1434"/>
        <item x="1448"/>
        <item x="1447"/>
        <item x="1446"/>
        <item x="1445"/>
        <item x="1444"/>
        <item x="564"/>
        <item x="563"/>
        <item x="562"/>
        <item x="1433"/>
        <item x="1432"/>
        <item x="1431"/>
        <item x="1430"/>
        <item x="662"/>
        <item x="661"/>
        <item x="660"/>
        <item x="2132"/>
        <item x="1646"/>
        <item x="1645"/>
        <item x="1644"/>
        <item x="1643"/>
        <item x="1642"/>
        <item x="1641"/>
        <item x="1639"/>
        <item x="1640"/>
        <item x="1634"/>
        <item x="1633"/>
        <item x="1632"/>
        <item x="1631"/>
        <item x="1630"/>
        <item x="1649"/>
        <item x="1648"/>
        <item x="1650"/>
        <item x="1647"/>
        <item x="1629"/>
        <item x="1628"/>
        <item x="1627"/>
        <item x="1626"/>
        <item x="1625"/>
        <item x="1624"/>
        <item x="1623"/>
        <item x="1622"/>
        <item x="1621"/>
        <item x="1620"/>
        <item x="672"/>
        <item x="671"/>
        <item x="670"/>
        <item x="669"/>
        <item x="668"/>
        <item x="667"/>
        <item x="666"/>
        <item x="665"/>
        <item x="664"/>
        <item x="663"/>
        <item x="843"/>
        <item x="842"/>
        <item x="841"/>
        <item x="839"/>
        <item x="838"/>
        <item x="837"/>
        <item x="836"/>
        <item x="840"/>
        <item x="793"/>
        <item x="792"/>
        <item x="791"/>
        <item x="784"/>
        <item x="783"/>
        <item x="782"/>
        <item x="781"/>
        <item x="795"/>
        <item x="794"/>
        <item x="806"/>
        <item x="801"/>
        <item x="844"/>
        <item x="803"/>
        <item x="802"/>
        <item x="804"/>
        <item x="800"/>
        <item x="799"/>
        <item x="798"/>
        <item x="797"/>
        <item x="796"/>
        <item x="637"/>
        <item x="638"/>
        <item x="639"/>
        <item x="635"/>
        <item x="634"/>
        <item x="636"/>
        <item x="2206"/>
        <item x="2205"/>
        <item x="644"/>
        <item x="642"/>
        <item x="641"/>
        <item x="643"/>
        <item x="631"/>
        <item x="628"/>
        <item x="630"/>
        <item x="633"/>
        <item x="627"/>
        <item x="629"/>
        <item x="632"/>
        <item x="913"/>
        <item t="default"/>
      </items>
    </pivotField>
    <pivotField showAll="0">
      <items count="2">
        <item x="0"/>
        <item t="default"/>
      </items>
    </pivotField>
    <pivotField showAll="0">
      <items count="7">
        <item x="0"/>
        <item x="4"/>
        <item x="5"/>
        <item x="2"/>
        <item x="3"/>
        <item x="1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9AC655-CDE2-47AA-8156-C23B2A7A8300}" name="Tableau croisé dynamique4" cacheId="16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C20" firstHeaderRow="1" firstDataRow="1" firstDataCol="0"/>
  <pivotFields count="5">
    <pivotField showAll="0"/>
    <pivotField showAll="0"/>
    <pivotField showAll="0">
      <items count="3">
        <item x="1"/>
        <item x="0"/>
        <item t="default"/>
      </items>
    </pivotField>
    <pivotField showAll="0">
      <items count="2">
        <item x="0"/>
        <item t="default"/>
      </items>
    </pivotField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68324B-833A-48CF-8299-7C433231796F}" name="Tableau croisé dynamique5" cacheId="2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A14" firstHeaderRow="1" firstDataRow="1" firstDataCol="1"/>
  <pivotFields count="5">
    <pivotField showAll="0"/>
    <pivotField axis="axisRow" showAll="0">
      <items count="10"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10">
        <item x="7"/>
        <item x="6"/>
        <item x="5"/>
        <item x="8"/>
        <item x="4"/>
        <item x="3"/>
        <item x="2"/>
        <item x="1"/>
        <item x="0"/>
        <item t="default"/>
      </items>
    </pivotField>
    <pivotField axis="axisRow" showAll="0">
      <items count="2">
        <item x="0"/>
        <item t="default"/>
      </items>
    </pivotField>
    <pivotField showAll="0"/>
  </pivotFields>
  <rowFields count="2">
    <field x="3"/>
    <field x="1"/>
  </rowFields>
  <rowItems count="1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971764-A9E2-4A37-AF7F-4BA494BC2526}" name="Tableau croisé dynamique6" cacheId="26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A112" firstHeaderRow="1" firstDataRow="1" firstDataCol="1"/>
  <pivotFields count="5">
    <pivotField showAll="0"/>
    <pivotField axis="axisRow" showAll="0">
      <items count="37"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37">
        <item x="11"/>
        <item x="26"/>
        <item x="25"/>
        <item x="24"/>
        <item x="23"/>
        <item x="35"/>
        <item x="34"/>
        <item x="22"/>
        <item x="8"/>
        <item x="27"/>
        <item x="33"/>
        <item x="7"/>
        <item x="4"/>
        <item x="2"/>
        <item x="1"/>
        <item x="3"/>
        <item x="18"/>
        <item x="19"/>
        <item x="17"/>
        <item x="0"/>
        <item x="15"/>
        <item x="16"/>
        <item x="20"/>
        <item x="14"/>
        <item x="31"/>
        <item x="29"/>
        <item x="12"/>
        <item x="6"/>
        <item x="5"/>
        <item x="32"/>
        <item x="21"/>
        <item x="28"/>
        <item x="30"/>
        <item x="10"/>
        <item x="13"/>
        <item x="9"/>
        <item t="default"/>
      </items>
    </pivotField>
    <pivotField axis="axisRow" showAll="0">
      <items count="2">
        <item x="0"/>
        <item t="default"/>
      </items>
    </pivotField>
    <pivotField showAll="0"/>
  </pivotFields>
  <rowFields count="3">
    <field x="1"/>
    <field x="2"/>
    <field x="3"/>
  </rowFields>
  <rowItems count="109">
    <i>
      <x/>
    </i>
    <i r="1">
      <x v="5"/>
    </i>
    <i r="2">
      <x/>
    </i>
    <i>
      <x v="1"/>
    </i>
    <i r="1">
      <x v="6"/>
    </i>
    <i r="2">
      <x/>
    </i>
    <i>
      <x v="2"/>
    </i>
    <i r="1">
      <x v="10"/>
    </i>
    <i r="2">
      <x/>
    </i>
    <i>
      <x v="3"/>
    </i>
    <i r="1">
      <x v="29"/>
    </i>
    <i r="2">
      <x/>
    </i>
    <i>
      <x v="4"/>
    </i>
    <i r="1">
      <x v="24"/>
    </i>
    <i r="2">
      <x/>
    </i>
    <i>
      <x v="5"/>
    </i>
    <i r="1">
      <x v="32"/>
    </i>
    <i r="2">
      <x/>
    </i>
    <i>
      <x v="6"/>
    </i>
    <i r="1">
      <x v="25"/>
    </i>
    <i r="2">
      <x/>
    </i>
    <i>
      <x v="7"/>
    </i>
    <i r="1">
      <x v="31"/>
    </i>
    <i r="2">
      <x/>
    </i>
    <i>
      <x v="8"/>
    </i>
    <i r="1">
      <x v="9"/>
    </i>
    <i r="2">
      <x/>
    </i>
    <i>
      <x v="9"/>
    </i>
    <i r="1">
      <x v="1"/>
    </i>
    <i r="2">
      <x/>
    </i>
    <i>
      <x v="10"/>
    </i>
    <i r="1">
      <x v="2"/>
    </i>
    <i r="2">
      <x/>
    </i>
    <i>
      <x v="11"/>
    </i>
    <i r="1">
      <x v="3"/>
    </i>
    <i r="2">
      <x/>
    </i>
    <i>
      <x v="12"/>
    </i>
    <i r="1">
      <x v="4"/>
    </i>
    <i r="2">
      <x/>
    </i>
    <i>
      <x v="13"/>
    </i>
    <i r="1">
      <x v="7"/>
    </i>
    <i r="2">
      <x/>
    </i>
    <i>
      <x v="14"/>
    </i>
    <i r="1">
      <x v="30"/>
    </i>
    <i r="2">
      <x/>
    </i>
    <i>
      <x v="15"/>
    </i>
    <i r="1">
      <x v="22"/>
    </i>
    <i r="2">
      <x/>
    </i>
    <i>
      <x v="16"/>
    </i>
    <i r="1">
      <x v="17"/>
    </i>
    <i r="2">
      <x/>
    </i>
    <i>
      <x v="17"/>
    </i>
    <i r="1">
      <x v="16"/>
    </i>
    <i r="2">
      <x/>
    </i>
    <i>
      <x v="18"/>
    </i>
    <i r="1">
      <x v="18"/>
    </i>
    <i r="2">
      <x/>
    </i>
    <i>
      <x v="19"/>
    </i>
    <i r="1">
      <x v="21"/>
    </i>
    <i r="2">
      <x/>
    </i>
    <i>
      <x v="20"/>
    </i>
    <i r="1">
      <x v="20"/>
    </i>
    <i r="2">
      <x/>
    </i>
    <i>
      <x v="21"/>
    </i>
    <i r="1">
      <x v="23"/>
    </i>
    <i r="2">
      <x/>
    </i>
    <i>
      <x v="22"/>
    </i>
    <i r="1">
      <x v="34"/>
    </i>
    <i r="2">
      <x/>
    </i>
    <i>
      <x v="23"/>
    </i>
    <i r="1">
      <x v="26"/>
    </i>
    <i r="2">
      <x/>
    </i>
    <i>
      <x v="24"/>
    </i>
    <i r="1">
      <x/>
    </i>
    <i r="2">
      <x/>
    </i>
    <i>
      <x v="25"/>
    </i>
    <i r="1">
      <x v="33"/>
    </i>
    <i r="2">
      <x/>
    </i>
    <i>
      <x v="26"/>
    </i>
    <i r="1">
      <x v="35"/>
    </i>
    <i r="2">
      <x/>
    </i>
    <i>
      <x v="27"/>
    </i>
    <i r="1">
      <x v="8"/>
    </i>
    <i r="2">
      <x/>
    </i>
    <i>
      <x v="28"/>
    </i>
    <i r="1">
      <x v="11"/>
    </i>
    <i r="2">
      <x/>
    </i>
    <i>
      <x v="29"/>
    </i>
    <i r="1">
      <x v="27"/>
    </i>
    <i r="2">
      <x/>
    </i>
    <i>
      <x v="30"/>
    </i>
    <i r="1">
      <x v="28"/>
    </i>
    <i r="2">
      <x/>
    </i>
    <i>
      <x v="31"/>
    </i>
    <i r="1">
      <x v="12"/>
    </i>
    <i r="2">
      <x/>
    </i>
    <i>
      <x v="32"/>
    </i>
    <i r="1">
      <x v="15"/>
    </i>
    <i r="2">
      <x/>
    </i>
    <i>
      <x v="33"/>
    </i>
    <i r="1">
      <x v="13"/>
    </i>
    <i r="2">
      <x/>
    </i>
    <i>
      <x v="34"/>
    </i>
    <i r="1">
      <x v="14"/>
    </i>
    <i r="2">
      <x/>
    </i>
    <i>
      <x v="35"/>
    </i>
    <i r="1">
      <x v="19"/>
    </i>
    <i r="2"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6D0AC-E4D5-47F3-8CC4-2EC84E63E466}" name="Tableau croisé dynamique7" cacheId="33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C20" firstHeaderRow="1" firstDataRow="1" firstDataCol="0"/>
  <pivotFields count="5">
    <pivotField showAll="0"/>
    <pivotField showAll="0"/>
    <pivotField showAll="0">
      <items count="454">
        <item x="447"/>
        <item x="446"/>
        <item x="451"/>
        <item x="1"/>
        <item x="436"/>
        <item x="438"/>
        <item x="439"/>
        <item x="448"/>
        <item x="0"/>
        <item x="7"/>
        <item x="450"/>
        <item x="449"/>
        <item x="445"/>
        <item x="433"/>
        <item x="444"/>
        <item x="5"/>
        <item x="443"/>
        <item x="442"/>
        <item x="441"/>
        <item x="437"/>
        <item x="440"/>
        <item x="10"/>
        <item x="8"/>
        <item x="3"/>
        <item x="2"/>
        <item x="4"/>
        <item x="9"/>
        <item x="11"/>
        <item x="6"/>
        <item x="435"/>
        <item x="434"/>
        <item x="247"/>
        <item x="237"/>
        <item x="236"/>
        <item x="285"/>
        <item x="179"/>
        <item x="342"/>
        <item x="245"/>
        <item x="427"/>
        <item x="426"/>
        <item x="425"/>
        <item x="244"/>
        <item x="421"/>
        <item x="420"/>
        <item x="419"/>
        <item x="415"/>
        <item x="417"/>
        <item x="414"/>
        <item x="416"/>
        <item x="424"/>
        <item x="413"/>
        <item x="423"/>
        <item x="418"/>
        <item x="422"/>
        <item x="243"/>
        <item x="210"/>
        <item x="171"/>
        <item x="428"/>
        <item x="246"/>
        <item x="429"/>
        <item x="371"/>
        <item x="372"/>
        <item x="412"/>
        <item x="411"/>
        <item x="385"/>
        <item x="386"/>
        <item x="234"/>
        <item x="363"/>
        <item x="381"/>
        <item x="410"/>
        <item x="17"/>
        <item x="233"/>
        <item x="366"/>
        <item x="409"/>
        <item x="408"/>
        <item x="392"/>
        <item x="368"/>
        <item x="16"/>
        <item x="365"/>
        <item x="377"/>
        <item x="390"/>
        <item x="389"/>
        <item x="388"/>
        <item x="387"/>
        <item x="367"/>
        <item x="369"/>
        <item x="370"/>
        <item x="407"/>
        <item x="232"/>
        <item x="382"/>
        <item x="395"/>
        <item x="406"/>
        <item x="405"/>
        <item x="404"/>
        <item x="391"/>
        <item x="383"/>
        <item x="380"/>
        <item x="379"/>
        <item x="374"/>
        <item x="375"/>
        <item x="376"/>
        <item x="403"/>
        <item x="378"/>
        <item x="373"/>
        <item x="364"/>
        <item x="402"/>
        <item x="401"/>
        <item x="394"/>
        <item x="384"/>
        <item x="231"/>
        <item x="400"/>
        <item x="396"/>
        <item x="393"/>
        <item x="399"/>
        <item x="398"/>
        <item x="397"/>
        <item x="292"/>
        <item x="286"/>
        <item x="307"/>
        <item x="299"/>
        <item x="302"/>
        <item x="298"/>
        <item x="281"/>
        <item x="362"/>
        <item x="361"/>
        <item x="360"/>
        <item x="359"/>
        <item x="358"/>
        <item x="352"/>
        <item x="351"/>
        <item x="216"/>
        <item x="214"/>
        <item x="215"/>
        <item x="357"/>
        <item x="355"/>
        <item x="354"/>
        <item x="353"/>
        <item x="356"/>
        <item x="305"/>
        <item x="301"/>
        <item x="282"/>
        <item x="270"/>
        <item x="304"/>
        <item x="269"/>
        <item x="347"/>
        <item x="333"/>
        <item x="334"/>
        <item x="335"/>
        <item x="332"/>
        <item x="336"/>
        <item x="337"/>
        <item x="338"/>
        <item x="341"/>
        <item x="339"/>
        <item x="340"/>
        <item x="199"/>
        <item x="198"/>
        <item x="432"/>
        <item x="255"/>
        <item x="213"/>
        <item x="217"/>
        <item x="220"/>
        <item x="226"/>
        <item x="225"/>
        <item x="180"/>
        <item x="181"/>
        <item x="185"/>
        <item x="223"/>
        <item x="222"/>
        <item x="224"/>
        <item x="228"/>
        <item x="227"/>
        <item x="268"/>
        <item x="280"/>
        <item x="279"/>
        <item x="271"/>
        <item x="278"/>
        <item x="277"/>
        <item x="276"/>
        <item x="275"/>
        <item x="291"/>
        <item x="290"/>
        <item x="272"/>
        <item x="273"/>
        <item x="274"/>
        <item x="289"/>
        <item x="288"/>
        <item x="14"/>
        <item x="346"/>
        <item x="349"/>
        <item x="350"/>
        <item x="343"/>
        <item x="348"/>
        <item x="344"/>
        <item x="345"/>
        <item x="256"/>
        <item x="260"/>
        <item x="258"/>
        <item x="261"/>
        <item x="176"/>
        <item x="195"/>
        <item x="191"/>
        <item x="262"/>
        <item x="259"/>
        <item x="264"/>
        <item x="263"/>
        <item x="257"/>
        <item x="331"/>
        <item x="324"/>
        <item x="325"/>
        <item x="323"/>
        <item x="328"/>
        <item x="330"/>
        <item x="329"/>
        <item x="326"/>
        <item x="319"/>
        <item x="320"/>
        <item x="321"/>
        <item x="327"/>
        <item x="322"/>
        <item x="317"/>
        <item x="316"/>
        <item x="318"/>
        <item x="197"/>
        <item x="15"/>
        <item x="193"/>
        <item x="196"/>
        <item x="194"/>
        <item x="306"/>
        <item x="300"/>
        <item x="303"/>
        <item x="297"/>
        <item x="296"/>
        <item x="295"/>
        <item x="284"/>
        <item x="294"/>
        <item x="287"/>
        <item x="293"/>
        <item x="283"/>
        <item x="175"/>
        <item x="174"/>
        <item x="219"/>
        <item x="190"/>
        <item x="189"/>
        <item x="188"/>
        <item x="431"/>
        <item x="187"/>
        <item x="312"/>
        <item x="310"/>
        <item x="315"/>
        <item x="309"/>
        <item x="308"/>
        <item x="314"/>
        <item x="313"/>
        <item x="311"/>
        <item x="178"/>
        <item x="248"/>
        <item x="249"/>
        <item x="207"/>
        <item x="200"/>
        <item x="206"/>
        <item x="239"/>
        <item x="240"/>
        <item x="183"/>
        <item x="182"/>
        <item x="235"/>
        <item x="238"/>
        <item x="218"/>
        <item x="221"/>
        <item x="192"/>
        <item x="205"/>
        <item x="204"/>
        <item x="203"/>
        <item x="202"/>
        <item x="201"/>
        <item x="452"/>
        <item x="208"/>
        <item x="209"/>
        <item x="211"/>
        <item x="212"/>
        <item x="250"/>
        <item x="253"/>
        <item x="251"/>
        <item x="252"/>
        <item x="254"/>
        <item x="242"/>
        <item x="241"/>
        <item x="229"/>
        <item x="29"/>
        <item x="184"/>
        <item x="172"/>
        <item x="230"/>
        <item x="173"/>
        <item x="177"/>
        <item x="186"/>
        <item x="161"/>
        <item x="160"/>
        <item x="159"/>
        <item x="158"/>
        <item x="134"/>
        <item x="157"/>
        <item x="156"/>
        <item x="143"/>
        <item x="133"/>
        <item x="140"/>
        <item x="141"/>
        <item x="144"/>
        <item x="129"/>
        <item x="145"/>
        <item x="137"/>
        <item x="146"/>
        <item x="128"/>
        <item x="142"/>
        <item x="147"/>
        <item x="132"/>
        <item x="155"/>
        <item x="154"/>
        <item x="135"/>
        <item x="136"/>
        <item x="138"/>
        <item x="149"/>
        <item x="28"/>
        <item x="153"/>
        <item x="148"/>
        <item x="152"/>
        <item x="139"/>
        <item x="151"/>
        <item x="169"/>
        <item x="150"/>
        <item x="25"/>
        <item x="26"/>
        <item x="22"/>
        <item x="21"/>
        <item x="24"/>
        <item x="23"/>
        <item x="12"/>
        <item x="13"/>
        <item x="27"/>
        <item x="130"/>
        <item x="20"/>
        <item x="19"/>
        <item x="430"/>
        <item x="131"/>
        <item x="170"/>
        <item x="163"/>
        <item x="162"/>
        <item x="165"/>
        <item x="164"/>
        <item x="168"/>
        <item x="167"/>
        <item x="166"/>
        <item x="127"/>
        <item x="79"/>
        <item x="30"/>
        <item x="18"/>
        <item x="99"/>
        <item x="66"/>
        <item x="65"/>
        <item x="63"/>
        <item x="110"/>
        <item x="112"/>
        <item x="122"/>
        <item x="31"/>
        <item x="46"/>
        <item x="101"/>
        <item x="100"/>
        <item x="47"/>
        <item x="64"/>
        <item x="44"/>
        <item x="42"/>
        <item x="45"/>
        <item x="43"/>
        <item x="75"/>
        <item x="76"/>
        <item x="49"/>
        <item x="103"/>
        <item x="106"/>
        <item x="120"/>
        <item x="107"/>
        <item x="126"/>
        <item x="50"/>
        <item x="74"/>
        <item x="62"/>
        <item x="111"/>
        <item x="109"/>
        <item x="108"/>
        <item x="119"/>
        <item x="125"/>
        <item x="124"/>
        <item x="121"/>
        <item x="95"/>
        <item x="93"/>
        <item x="116"/>
        <item x="115"/>
        <item x="97"/>
        <item x="77"/>
        <item x="80"/>
        <item x="113"/>
        <item x="94"/>
        <item x="96"/>
        <item x="114"/>
        <item x="70"/>
        <item x="69"/>
        <item x="68"/>
        <item x="67"/>
        <item x="34"/>
        <item x="33"/>
        <item x="32"/>
        <item x="48"/>
        <item x="55"/>
        <item x="92"/>
        <item x="56"/>
        <item x="57"/>
        <item x="73"/>
        <item x="85"/>
        <item x="81"/>
        <item x="86"/>
        <item x="82"/>
        <item x="88"/>
        <item x="87"/>
        <item x="84"/>
        <item x="83"/>
        <item x="104"/>
        <item x="118"/>
        <item x="105"/>
        <item x="53"/>
        <item x="52"/>
        <item x="51"/>
        <item x="89"/>
        <item x="54"/>
        <item x="61"/>
        <item x="58"/>
        <item x="60"/>
        <item x="59"/>
        <item x="123"/>
        <item x="117"/>
        <item x="90"/>
        <item x="71"/>
        <item x="91"/>
        <item x="72"/>
        <item x="41"/>
        <item x="37"/>
        <item x="36"/>
        <item x="35"/>
        <item x="40"/>
        <item x="38"/>
        <item x="39"/>
        <item x="98"/>
        <item x="102"/>
        <item x="266"/>
        <item x="267"/>
        <item x="265"/>
        <item x="78"/>
        <item t="default"/>
      </items>
    </pivotField>
    <pivotField showAll="0"/>
    <pivotField showAll="0">
      <items count="17">
        <item x="9"/>
        <item x="12"/>
        <item x="8"/>
        <item x="2"/>
        <item x="1"/>
        <item x="0"/>
        <item x="13"/>
        <item x="11"/>
        <item x="4"/>
        <item x="6"/>
        <item x="3"/>
        <item x="15"/>
        <item x="14"/>
        <item x="10"/>
        <item x="5"/>
        <item x="7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C5CC3A-FFF5-4437-A7A9-EF9D0137D533}" name="Tableau croisé dynamique8" cacheId="33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C20" firstHeaderRow="1" firstDataRow="1" firstDataCol="0"/>
  <pivotFields count="5">
    <pivotField showAll="0"/>
    <pivotField showAll="0">
      <items count="454"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79"/>
        <item x="78"/>
        <item t="default"/>
      </items>
    </pivotField>
    <pivotField showAll="0">
      <items count="454">
        <item x="447"/>
        <item x="446"/>
        <item x="451"/>
        <item x="1"/>
        <item x="436"/>
        <item x="438"/>
        <item x="439"/>
        <item x="448"/>
        <item x="0"/>
        <item x="7"/>
        <item x="450"/>
        <item x="449"/>
        <item x="445"/>
        <item x="433"/>
        <item x="444"/>
        <item x="5"/>
        <item x="443"/>
        <item x="442"/>
        <item x="441"/>
        <item x="437"/>
        <item x="440"/>
        <item x="10"/>
        <item x="8"/>
        <item x="3"/>
        <item x="2"/>
        <item x="4"/>
        <item x="9"/>
        <item x="11"/>
        <item x="6"/>
        <item x="435"/>
        <item x="434"/>
        <item x="247"/>
        <item x="237"/>
        <item x="236"/>
        <item x="285"/>
        <item x="179"/>
        <item x="342"/>
        <item x="245"/>
        <item x="427"/>
        <item x="426"/>
        <item x="425"/>
        <item x="244"/>
        <item x="421"/>
        <item x="420"/>
        <item x="419"/>
        <item x="415"/>
        <item x="417"/>
        <item x="414"/>
        <item x="416"/>
        <item x="424"/>
        <item x="413"/>
        <item x="423"/>
        <item x="418"/>
        <item x="422"/>
        <item x="243"/>
        <item x="210"/>
        <item x="171"/>
        <item x="428"/>
        <item x="246"/>
        <item x="429"/>
        <item x="371"/>
        <item x="372"/>
        <item x="412"/>
        <item x="411"/>
        <item x="385"/>
        <item x="386"/>
        <item x="234"/>
        <item x="363"/>
        <item x="381"/>
        <item x="410"/>
        <item x="17"/>
        <item x="233"/>
        <item x="366"/>
        <item x="409"/>
        <item x="408"/>
        <item x="392"/>
        <item x="368"/>
        <item x="16"/>
        <item x="365"/>
        <item x="377"/>
        <item x="390"/>
        <item x="389"/>
        <item x="388"/>
        <item x="387"/>
        <item x="367"/>
        <item x="369"/>
        <item x="370"/>
        <item x="407"/>
        <item x="232"/>
        <item x="382"/>
        <item x="395"/>
        <item x="406"/>
        <item x="405"/>
        <item x="404"/>
        <item x="391"/>
        <item x="383"/>
        <item x="380"/>
        <item x="379"/>
        <item x="374"/>
        <item x="375"/>
        <item x="376"/>
        <item x="403"/>
        <item x="378"/>
        <item x="373"/>
        <item x="364"/>
        <item x="402"/>
        <item x="401"/>
        <item x="394"/>
        <item x="384"/>
        <item x="231"/>
        <item x="400"/>
        <item x="396"/>
        <item x="393"/>
        <item x="399"/>
        <item x="398"/>
        <item x="397"/>
        <item x="292"/>
        <item x="286"/>
        <item x="307"/>
        <item x="299"/>
        <item x="302"/>
        <item x="298"/>
        <item x="281"/>
        <item x="362"/>
        <item x="361"/>
        <item x="360"/>
        <item x="359"/>
        <item x="358"/>
        <item x="352"/>
        <item x="351"/>
        <item x="216"/>
        <item x="214"/>
        <item x="215"/>
        <item x="357"/>
        <item x="355"/>
        <item x="354"/>
        <item x="353"/>
        <item x="356"/>
        <item x="305"/>
        <item x="301"/>
        <item x="282"/>
        <item x="270"/>
        <item x="304"/>
        <item x="269"/>
        <item x="347"/>
        <item x="333"/>
        <item x="334"/>
        <item x="335"/>
        <item x="332"/>
        <item x="336"/>
        <item x="337"/>
        <item x="338"/>
        <item x="341"/>
        <item x="339"/>
        <item x="340"/>
        <item x="199"/>
        <item x="198"/>
        <item x="432"/>
        <item x="255"/>
        <item x="213"/>
        <item x="217"/>
        <item x="220"/>
        <item x="226"/>
        <item x="225"/>
        <item x="180"/>
        <item x="181"/>
        <item x="185"/>
        <item x="223"/>
        <item x="222"/>
        <item x="224"/>
        <item x="228"/>
        <item x="227"/>
        <item x="268"/>
        <item x="280"/>
        <item x="279"/>
        <item x="271"/>
        <item x="278"/>
        <item x="277"/>
        <item x="276"/>
        <item x="275"/>
        <item x="291"/>
        <item x="290"/>
        <item x="272"/>
        <item x="273"/>
        <item x="274"/>
        <item x="289"/>
        <item x="288"/>
        <item x="14"/>
        <item x="346"/>
        <item x="349"/>
        <item x="350"/>
        <item x="343"/>
        <item x="348"/>
        <item x="344"/>
        <item x="345"/>
        <item x="256"/>
        <item x="260"/>
        <item x="258"/>
        <item x="261"/>
        <item x="176"/>
        <item x="195"/>
        <item x="191"/>
        <item x="262"/>
        <item x="259"/>
        <item x="264"/>
        <item x="263"/>
        <item x="257"/>
        <item x="331"/>
        <item x="324"/>
        <item x="325"/>
        <item x="323"/>
        <item x="328"/>
        <item x="330"/>
        <item x="329"/>
        <item x="326"/>
        <item x="319"/>
        <item x="320"/>
        <item x="321"/>
        <item x="327"/>
        <item x="322"/>
        <item x="317"/>
        <item x="316"/>
        <item x="318"/>
        <item x="197"/>
        <item x="15"/>
        <item x="193"/>
        <item x="196"/>
        <item x="194"/>
        <item x="306"/>
        <item x="300"/>
        <item x="303"/>
        <item x="297"/>
        <item x="296"/>
        <item x="295"/>
        <item x="284"/>
        <item x="294"/>
        <item x="287"/>
        <item x="293"/>
        <item x="283"/>
        <item x="175"/>
        <item x="174"/>
        <item x="219"/>
        <item x="190"/>
        <item x="189"/>
        <item x="188"/>
        <item x="431"/>
        <item x="187"/>
        <item x="312"/>
        <item x="310"/>
        <item x="315"/>
        <item x="309"/>
        <item x="308"/>
        <item x="314"/>
        <item x="313"/>
        <item x="311"/>
        <item x="178"/>
        <item x="248"/>
        <item x="249"/>
        <item x="207"/>
        <item x="200"/>
        <item x="206"/>
        <item x="239"/>
        <item x="240"/>
        <item x="183"/>
        <item x="182"/>
        <item x="235"/>
        <item x="238"/>
        <item x="218"/>
        <item x="221"/>
        <item x="192"/>
        <item x="205"/>
        <item x="204"/>
        <item x="203"/>
        <item x="202"/>
        <item x="201"/>
        <item x="452"/>
        <item x="208"/>
        <item x="209"/>
        <item x="211"/>
        <item x="212"/>
        <item x="250"/>
        <item x="253"/>
        <item x="251"/>
        <item x="252"/>
        <item x="254"/>
        <item x="242"/>
        <item x="241"/>
        <item x="229"/>
        <item x="29"/>
        <item x="184"/>
        <item x="172"/>
        <item x="230"/>
        <item x="173"/>
        <item x="177"/>
        <item x="186"/>
        <item x="161"/>
        <item x="160"/>
        <item x="159"/>
        <item x="158"/>
        <item x="134"/>
        <item x="157"/>
        <item x="156"/>
        <item x="143"/>
        <item x="133"/>
        <item x="140"/>
        <item x="141"/>
        <item x="144"/>
        <item x="129"/>
        <item x="145"/>
        <item x="137"/>
        <item x="146"/>
        <item x="128"/>
        <item x="142"/>
        <item x="147"/>
        <item x="132"/>
        <item x="155"/>
        <item x="154"/>
        <item x="135"/>
        <item x="136"/>
        <item x="138"/>
        <item x="149"/>
        <item x="28"/>
        <item x="153"/>
        <item x="148"/>
        <item x="152"/>
        <item x="139"/>
        <item x="151"/>
        <item x="169"/>
        <item x="150"/>
        <item x="25"/>
        <item x="26"/>
        <item x="22"/>
        <item x="21"/>
        <item x="24"/>
        <item x="23"/>
        <item x="12"/>
        <item x="13"/>
        <item x="27"/>
        <item x="130"/>
        <item x="20"/>
        <item x="19"/>
        <item x="430"/>
        <item x="131"/>
        <item x="170"/>
        <item x="163"/>
        <item x="162"/>
        <item x="165"/>
        <item x="164"/>
        <item x="168"/>
        <item x="167"/>
        <item x="166"/>
        <item x="127"/>
        <item x="79"/>
        <item x="30"/>
        <item x="18"/>
        <item x="99"/>
        <item x="66"/>
        <item x="65"/>
        <item x="63"/>
        <item x="110"/>
        <item x="112"/>
        <item x="122"/>
        <item x="31"/>
        <item x="46"/>
        <item x="101"/>
        <item x="100"/>
        <item x="47"/>
        <item x="64"/>
        <item x="44"/>
        <item x="42"/>
        <item x="45"/>
        <item x="43"/>
        <item x="75"/>
        <item x="76"/>
        <item x="49"/>
        <item x="103"/>
        <item x="106"/>
        <item x="120"/>
        <item x="107"/>
        <item x="126"/>
        <item x="50"/>
        <item x="74"/>
        <item x="62"/>
        <item x="111"/>
        <item x="109"/>
        <item x="108"/>
        <item x="119"/>
        <item x="125"/>
        <item x="124"/>
        <item x="121"/>
        <item x="95"/>
        <item x="93"/>
        <item x="116"/>
        <item x="115"/>
        <item x="97"/>
        <item x="77"/>
        <item x="80"/>
        <item x="113"/>
        <item x="94"/>
        <item x="96"/>
        <item x="114"/>
        <item x="70"/>
        <item x="69"/>
        <item x="68"/>
        <item x="67"/>
        <item x="34"/>
        <item x="33"/>
        <item x="32"/>
        <item x="48"/>
        <item x="55"/>
        <item x="92"/>
        <item x="56"/>
        <item x="57"/>
        <item x="73"/>
        <item x="85"/>
        <item x="81"/>
        <item x="86"/>
        <item x="82"/>
        <item x="88"/>
        <item x="87"/>
        <item x="84"/>
        <item x="83"/>
        <item x="104"/>
        <item x="118"/>
        <item x="105"/>
        <item x="53"/>
        <item x="52"/>
        <item x="51"/>
        <item x="89"/>
        <item x="54"/>
        <item x="61"/>
        <item x="58"/>
        <item x="60"/>
        <item x="59"/>
        <item x="123"/>
        <item x="117"/>
        <item x="90"/>
        <item x="71"/>
        <item x="91"/>
        <item x="72"/>
        <item x="41"/>
        <item x="37"/>
        <item x="36"/>
        <item x="35"/>
        <item x="40"/>
        <item x="38"/>
        <item x="39"/>
        <item x="98"/>
        <item x="102"/>
        <item x="266"/>
        <item x="267"/>
        <item x="265"/>
        <item x="78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7">
        <item x="9"/>
        <item x="12"/>
        <item x="8"/>
        <item x="2"/>
        <item x="1"/>
        <item x="0"/>
        <item x="13"/>
        <item x="11"/>
        <item x="4"/>
        <item x="6"/>
        <item x="3"/>
        <item x="15"/>
        <item x="14"/>
        <item x="10"/>
        <item x="5"/>
        <item x="7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484CD-6D5B-4502-BC44-71B51242F543}" name="Tableau croisé dynamique9" cacheId="3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C20" firstHeaderRow="1" firstDataRow="1" firstDataCol="0"/>
  <pivotFields count="5">
    <pivotField showAll="0"/>
    <pivotField showAll="0"/>
    <pivotField showAll="0">
      <items count="110">
        <item x="18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70"/>
        <item x="66"/>
        <item x="23"/>
        <item x="64"/>
        <item x="20"/>
        <item x="22"/>
        <item x="19"/>
        <item x="21"/>
        <item x="74"/>
        <item x="63"/>
        <item x="61"/>
        <item x="62"/>
        <item x="67"/>
        <item x="68"/>
        <item x="95"/>
        <item x="71"/>
        <item x="106"/>
        <item x="104"/>
        <item x="108"/>
        <item x="69"/>
        <item x="65"/>
        <item x="102"/>
        <item x="107"/>
        <item x="25"/>
        <item x="97"/>
        <item x="96"/>
        <item x="94"/>
        <item x="92"/>
        <item x="90"/>
        <item x="76"/>
        <item x="100"/>
        <item x="98"/>
        <item x="99"/>
        <item x="75"/>
        <item x="26"/>
        <item x="105"/>
        <item x="103"/>
        <item x="101"/>
        <item x="73"/>
        <item x="72"/>
        <item x="93"/>
        <item x="91"/>
        <item x="89"/>
        <item x="17"/>
        <item x="87"/>
        <item x="88"/>
        <item x="78"/>
        <item x="86"/>
        <item x="84"/>
        <item x="82"/>
        <item x="80"/>
        <item x="77"/>
        <item x="85"/>
        <item x="83"/>
        <item x="81"/>
        <item x="79"/>
        <item x="32"/>
        <item x="39"/>
        <item x="37"/>
        <item x="24"/>
        <item x="60"/>
        <item x="59"/>
        <item x="30"/>
        <item x="28"/>
        <item x="29"/>
        <item x="35"/>
        <item x="36"/>
        <item x="33"/>
        <item x="34"/>
        <item x="49"/>
        <item x="53"/>
        <item x="48"/>
        <item x="47"/>
        <item x="40"/>
        <item x="38"/>
        <item x="56"/>
        <item x="58"/>
        <item x="54"/>
        <item x="52"/>
        <item x="50"/>
        <item x="46"/>
        <item x="45"/>
        <item x="42"/>
        <item x="43"/>
        <item x="31"/>
        <item x="27"/>
        <item x="55"/>
        <item x="57"/>
        <item x="51"/>
        <item x="44"/>
        <item x="41"/>
        <item t="default"/>
      </items>
    </pivotField>
    <pivotField showAll="0"/>
    <pivotField showAll="0">
      <items count="4">
        <item x="1"/>
        <item x="2"/>
        <item x="0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3E1E68-4A10-445C-9C69-7038D4A81DAC}" name="Tableau croisé dynamique10" cacheId="44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C20" firstHeaderRow="1" firstDataRow="1" firstDataCol="0"/>
  <pivotFields count="5">
    <pivotField showAll="0"/>
    <pivotField showAll="0">
      <items count="110"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110">
        <item x="18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70"/>
        <item x="66"/>
        <item x="23"/>
        <item x="64"/>
        <item x="20"/>
        <item x="22"/>
        <item x="19"/>
        <item x="21"/>
        <item x="74"/>
        <item x="63"/>
        <item x="61"/>
        <item x="62"/>
        <item x="67"/>
        <item x="68"/>
        <item x="95"/>
        <item x="71"/>
        <item x="106"/>
        <item x="104"/>
        <item x="108"/>
        <item x="69"/>
        <item x="65"/>
        <item x="102"/>
        <item x="107"/>
        <item x="25"/>
        <item x="97"/>
        <item x="96"/>
        <item x="94"/>
        <item x="92"/>
        <item x="90"/>
        <item x="76"/>
        <item x="100"/>
        <item x="98"/>
        <item x="99"/>
        <item x="75"/>
        <item x="26"/>
        <item x="105"/>
        <item x="103"/>
        <item x="101"/>
        <item x="73"/>
        <item x="72"/>
        <item x="93"/>
        <item x="91"/>
        <item x="89"/>
        <item x="17"/>
        <item x="87"/>
        <item x="88"/>
        <item x="78"/>
        <item x="86"/>
        <item x="84"/>
        <item x="82"/>
        <item x="80"/>
        <item x="77"/>
        <item x="85"/>
        <item x="83"/>
        <item x="81"/>
        <item x="79"/>
        <item x="32"/>
        <item x="39"/>
        <item x="37"/>
        <item x="24"/>
        <item x="60"/>
        <item x="59"/>
        <item x="30"/>
        <item x="28"/>
        <item x="29"/>
        <item x="35"/>
        <item x="36"/>
        <item x="33"/>
        <item x="34"/>
        <item x="49"/>
        <item x="53"/>
        <item x="48"/>
        <item x="47"/>
        <item x="40"/>
        <item x="38"/>
        <item x="56"/>
        <item x="58"/>
        <item x="54"/>
        <item x="52"/>
        <item x="50"/>
        <item x="46"/>
        <item x="45"/>
        <item x="42"/>
        <item x="43"/>
        <item x="31"/>
        <item x="27"/>
        <item x="55"/>
        <item x="57"/>
        <item x="51"/>
        <item x="44"/>
        <item x="41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5E82EC-2BAE-410C-9098-FB825F0D43C5}" name="Tableau croisé dynamique11" cacheId="44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A115" firstHeaderRow="1" firstDataRow="1" firstDataCol="1"/>
  <pivotFields count="5">
    <pivotField showAll="0"/>
    <pivotField showAll="0"/>
    <pivotField axis="axisRow" showAll="0">
      <items count="110">
        <item x="18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70"/>
        <item x="66"/>
        <item x="23"/>
        <item x="64"/>
        <item x="20"/>
        <item x="22"/>
        <item x="19"/>
        <item x="21"/>
        <item x="74"/>
        <item x="63"/>
        <item x="61"/>
        <item x="62"/>
        <item x="67"/>
        <item x="68"/>
        <item x="95"/>
        <item x="71"/>
        <item x="106"/>
        <item x="104"/>
        <item x="108"/>
        <item x="69"/>
        <item x="65"/>
        <item x="102"/>
        <item x="107"/>
        <item x="25"/>
        <item x="97"/>
        <item x="96"/>
        <item x="94"/>
        <item x="92"/>
        <item x="90"/>
        <item x="76"/>
        <item x="100"/>
        <item x="98"/>
        <item x="99"/>
        <item x="75"/>
        <item x="26"/>
        <item x="105"/>
        <item x="103"/>
        <item x="101"/>
        <item x="73"/>
        <item x="72"/>
        <item x="93"/>
        <item x="91"/>
        <item x="89"/>
        <item x="17"/>
        <item x="87"/>
        <item x="88"/>
        <item x="78"/>
        <item x="86"/>
        <item x="84"/>
        <item x="82"/>
        <item x="80"/>
        <item x="77"/>
        <item x="85"/>
        <item x="83"/>
        <item x="81"/>
        <item x="79"/>
        <item x="32"/>
        <item x="39"/>
        <item x="37"/>
        <item x="24"/>
        <item x="60"/>
        <item x="59"/>
        <item x="30"/>
        <item x="28"/>
        <item x="29"/>
        <item x="35"/>
        <item x="36"/>
        <item x="33"/>
        <item x="34"/>
        <item x="49"/>
        <item x="53"/>
        <item x="48"/>
        <item x="47"/>
        <item x="40"/>
        <item x="38"/>
        <item x="56"/>
        <item x="58"/>
        <item x="54"/>
        <item x="52"/>
        <item x="50"/>
        <item x="46"/>
        <item x="45"/>
        <item x="42"/>
        <item x="43"/>
        <item x="31"/>
        <item x="27"/>
        <item x="55"/>
        <item x="57"/>
        <item x="51"/>
        <item x="44"/>
        <item x="41"/>
        <item t="default"/>
      </items>
    </pivotField>
    <pivotField axis="axisRow" showAll="0">
      <items count="3">
        <item x="1"/>
        <item x="0"/>
        <item t="default"/>
      </items>
    </pivotField>
    <pivotField showAll="0"/>
  </pivotFields>
  <rowFields count="2">
    <field x="3"/>
    <field x="2"/>
  </rowFields>
  <rowItems count="112">
    <i>
      <x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31C324-1C3F-4346-A395-8E948151CB7B}" name="Tableau croisé dynamique12" cacheId="48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A7" firstHeaderRow="1" firstDataRow="1" firstDataCol="1"/>
  <pivotFields count="5">
    <pivotField showAll="0"/>
    <pivotField showAll="0"/>
    <pivotField showAll="0"/>
    <pivotField axis="axisRow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</pivotFields>
  <rowFields count="2">
    <field x="3"/>
    <field x="4"/>
  </rowFields>
  <rowItems count="4">
    <i>
      <x/>
    </i>
    <i r="1">
      <x/>
    </i>
    <i r="1"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260135-0915-4395-8F80-E9D989080917}" name="Tableau croisé dynamique13" cacheId="54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A18" firstHeaderRow="1" firstDataRow="1" firstDataCol="1"/>
  <pivotFields count="5">
    <pivotField axis="axisRow" showAll="0">
      <items count="2">
        <item x="0"/>
        <item t="default"/>
      </items>
    </pivotField>
    <pivotField showAll="0">
      <items count="14"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4">
        <item x="6"/>
        <item x="5"/>
        <item x="4"/>
        <item x="3"/>
        <item x="0"/>
        <item x="2"/>
        <item x="1"/>
        <item x="12"/>
        <item x="11"/>
        <item x="10"/>
        <item x="9"/>
        <item x="8"/>
        <item x="7"/>
        <item t="default"/>
      </items>
    </pivotField>
    <pivotField showAll="0"/>
    <pivotField showAll="0">
      <items count="2">
        <item x="0"/>
        <item t="default"/>
      </items>
    </pivotField>
  </pivotFields>
  <rowFields count="2">
    <field x="0"/>
    <field x="2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83760A-0F59-4566-BA76-7385CE799E8F}" name="Tableau croisé dynamique14" cacheId="59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C20" firstHeaderRow="1" firstDataRow="1" firstDataCol="0"/>
  <pivotFields count="3">
    <pivotField showAll="0">
      <items count="3">
        <item x="0"/>
        <item x="1"/>
        <item t="default"/>
      </items>
    </pivotField>
    <pivotField showAll="0">
      <items count="9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300"/>
        <item x="299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t="default"/>
      </items>
    </pivotField>
    <pivotField showAll="0">
      <items count="909">
        <item x="413"/>
        <item x="865"/>
        <item x="337"/>
        <item x="613"/>
        <item x="467"/>
        <item x="458"/>
        <item x="461"/>
        <item x="455"/>
        <item x="466"/>
        <item x="473"/>
        <item x="488"/>
        <item x="475"/>
        <item x="477"/>
        <item x="476"/>
        <item x="491"/>
        <item x="499"/>
        <item x="471"/>
        <item x="472"/>
        <item x="470"/>
        <item x="469"/>
        <item x="492"/>
        <item x="474"/>
        <item x="494"/>
        <item x="478"/>
        <item x="481"/>
        <item x="479"/>
        <item x="480"/>
        <item x="496"/>
        <item x="500"/>
        <item x="498"/>
        <item x="497"/>
        <item x="495"/>
        <item x="453"/>
        <item x="454"/>
        <item x="457"/>
        <item x="486"/>
        <item x="464"/>
        <item x="452"/>
        <item x="290"/>
        <item x="311"/>
        <item x="8"/>
        <item x="151"/>
        <item x="329"/>
        <item x="328"/>
        <item x="119"/>
        <item x="96"/>
        <item x="105"/>
        <item x="623"/>
        <item x="395"/>
        <item x="162"/>
        <item x="185"/>
        <item x="182"/>
        <item x="164"/>
        <item x="175"/>
        <item x="176"/>
        <item x="189"/>
        <item x="184"/>
        <item x="166"/>
        <item x="183"/>
        <item x="159"/>
        <item x="158"/>
        <item x="156"/>
        <item x="188"/>
        <item x="157"/>
        <item x="187"/>
        <item x="178"/>
        <item x="179"/>
        <item x="180"/>
        <item x="177"/>
        <item x="173"/>
        <item x="198"/>
        <item x="195"/>
        <item x="192"/>
        <item x="199"/>
        <item x="197"/>
        <item x="181"/>
        <item x="200"/>
        <item x="169"/>
        <item x="165"/>
        <item x="202"/>
        <item x="174"/>
        <item x="201"/>
        <item x="172"/>
        <item x="167"/>
        <item x="161"/>
        <item x="163"/>
        <item x="168"/>
        <item x="191"/>
        <item x="190"/>
        <item x="170"/>
        <item x="196"/>
        <item x="160"/>
        <item x="194"/>
        <item x="193"/>
        <item x="186"/>
        <item x="171"/>
        <item x="599"/>
        <item x="561"/>
        <item x="596"/>
        <item x="359"/>
        <item x="700"/>
        <item x="310"/>
        <item x="415"/>
        <item x="313"/>
        <item x="527"/>
        <item x="526"/>
        <item x="525"/>
        <item x="619"/>
        <item x="621"/>
        <item x="524"/>
        <item x="422"/>
        <item x="67"/>
        <item x="336"/>
        <item x="155"/>
        <item x="102"/>
        <item x="82"/>
        <item x="567"/>
        <item x="631"/>
        <item x="638"/>
        <item x="580"/>
        <item x="678"/>
        <item x="682"/>
        <item x="699"/>
        <item x="712"/>
        <item x="627"/>
        <item x="279"/>
        <item x="386"/>
        <item x="315"/>
        <item x="106"/>
        <item x="133"/>
        <item x="316"/>
        <item x="40"/>
        <item x="436"/>
        <item x="448"/>
        <item x="263"/>
        <item x="381"/>
        <item x="78"/>
        <item x="121"/>
        <item x="88"/>
        <item x="128"/>
        <item x="592"/>
        <item x="113"/>
        <item x="673"/>
        <item x="216"/>
        <item x="233"/>
        <item x="120"/>
        <item x="397"/>
        <item x="864"/>
        <item x="283"/>
        <item x="132"/>
        <item x="791"/>
        <item x="797"/>
        <item x="243"/>
        <item x="257"/>
        <item x="252"/>
        <item x="856"/>
        <item x="62"/>
        <item x="57"/>
        <item x="37"/>
        <item x="539"/>
        <item x="15"/>
        <item x="97"/>
        <item x="333"/>
        <item x="150"/>
        <item x="549"/>
        <item x="763"/>
        <item x="42"/>
        <item x="45"/>
        <item x="281"/>
        <item x="127"/>
        <item x="426"/>
        <item x="447"/>
        <item x="99"/>
        <item x="101"/>
        <item x="100"/>
        <item x="235"/>
        <item x="237"/>
        <item x="236"/>
        <item x="238"/>
        <item x="69"/>
        <item x="0"/>
        <item x="44"/>
        <item x="433"/>
        <item x="761"/>
        <item x="331"/>
        <item x="330"/>
        <item x="136"/>
        <item x="137"/>
        <item x="332"/>
        <item x="429"/>
        <item x="427"/>
        <item x="86"/>
        <item x="396"/>
        <item x="616"/>
        <item x="617"/>
        <item x="612"/>
        <item x="566"/>
        <item x="438"/>
        <item x="439"/>
        <item x="393"/>
        <item x="437"/>
        <item x="6"/>
        <item x="5"/>
        <item x="3"/>
        <item x="2"/>
        <item x="1"/>
        <item x="27"/>
        <item x="493"/>
        <item x="145"/>
        <item x="143"/>
        <item x="144"/>
        <item x="142"/>
        <item x="584"/>
        <item x="79"/>
        <item x="323"/>
        <item x="594"/>
        <item x="630"/>
        <item x="451"/>
        <item x="668"/>
        <item x="674"/>
        <item x="634"/>
        <item x="667"/>
        <item x="680"/>
        <item x="690"/>
        <item x="610"/>
        <item x="629"/>
        <item x="620"/>
        <item x="424"/>
        <item x="273"/>
        <item x="274"/>
        <item x="435"/>
        <item x="355"/>
        <item x="428"/>
        <item x="432"/>
        <item x="382"/>
        <item x="270"/>
        <item x="275"/>
        <item x="264"/>
        <item x="277"/>
        <item x="267"/>
        <item x="268"/>
        <item x="271"/>
        <item x="272"/>
        <item x="269"/>
        <item x="384"/>
        <item x="383"/>
        <item x="276"/>
        <item x="735"/>
        <item x="736"/>
        <item x="394"/>
        <item x="362"/>
        <item x="265"/>
        <item x="360"/>
        <item x="223"/>
        <item x="608"/>
        <item x="533"/>
        <item x="759"/>
        <item x="906"/>
        <item x="326"/>
        <item x="7"/>
        <item x="896"/>
        <item x="414"/>
        <item x="312"/>
        <item x="210"/>
        <item x="309"/>
        <item x="420"/>
        <item x="450"/>
        <item x="63"/>
        <item x="65"/>
        <item x="64"/>
        <item x="905"/>
        <item x="351"/>
        <item x="738"/>
        <item x="897"/>
        <item x="322"/>
        <item x="325"/>
        <item x="884"/>
        <item x="598"/>
        <item x="98"/>
        <item x="103"/>
        <item x="398"/>
        <item x="356"/>
        <item x="574"/>
        <item x="573"/>
        <item x="614"/>
        <item x="615"/>
        <item x="611"/>
        <item x="899"/>
        <item x="901"/>
        <item x="258"/>
        <item x="708"/>
        <item x="147"/>
        <item x="146"/>
        <item x="138"/>
        <item x="319"/>
        <item x="314"/>
        <item x="318"/>
        <item x="317"/>
        <item x="278"/>
        <item x="443"/>
        <item x="444"/>
        <item x="442"/>
        <item x="714"/>
        <item x="717"/>
        <item x="715"/>
        <item x="716"/>
        <item x="665"/>
        <item x="666"/>
        <item x="644"/>
        <item x="647"/>
        <item x="654"/>
        <item x="645"/>
        <item x="642"/>
        <item x="650"/>
        <item x="641"/>
        <item x="648"/>
        <item x="651"/>
        <item x="653"/>
        <item x="649"/>
        <item x="646"/>
        <item x="652"/>
        <item x="663"/>
        <item x="657"/>
        <item x="656"/>
        <item x="661"/>
        <item x="662"/>
        <item x="658"/>
        <item x="659"/>
        <item x="660"/>
        <item x="728"/>
        <item x="726"/>
        <item x="729"/>
        <item x="725"/>
        <item x="727"/>
        <item x="724"/>
        <item x="688"/>
        <item x="685"/>
        <item x="687"/>
        <item x="686"/>
        <item x="364"/>
        <item x="430"/>
        <item x="320"/>
        <item x="249"/>
        <item x="703"/>
        <item x="859"/>
        <item x="860"/>
        <item x="550"/>
        <item x="141"/>
        <item x="140"/>
        <item x="139"/>
        <item x="47"/>
        <item x="38"/>
        <item x="48"/>
        <item x="43"/>
        <item x="796"/>
        <item x="637"/>
        <item x="903"/>
        <item x="335"/>
        <item x="154"/>
        <item x="423"/>
        <item x="68"/>
        <item x="416"/>
        <item x="321"/>
        <item x="723"/>
        <item x="719"/>
        <item x="721"/>
        <item x="720"/>
        <item x="722"/>
        <item x="543"/>
        <item x="544"/>
        <item x="575"/>
        <item x="709"/>
        <item x="863"/>
        <item x="684"/>
        <item x="643"/>
        <item x="689"/>
        <item x="655"/>
        <item x="730"/>
        <item x="664"/>
        <item x="639"/>
        <item x="640"/>
        <item x="683"/>
        <item x="713"/>
        <item x="718"/>
        <item x="590"/>
        <item x="490"/>
        <item x="731"/>
        <item x="334"/>
        <item x="153"/>
        <item x="66"/>
        <item x="13"/>
        <item x="902"/>
        <item x="562"/>
        <item x="489"/>
        <item x="228"/>
        <item x="231"/>
        <item x="229"/>
        <item x="112"/>
        <item x="230"/>
        <item x="41"/>
        <item x="39"/>
        <item x="521"/>
        <item x="520"/>
        <item x="519"/>
        <item x="681"/>
        <item x="832"/>
        <item x="411"/>
        <item x="307"/>
        <item x="410"/>
        <item x="292"/>
        <item x="409"/>
        <item x="299"/>
        <item x="296"/>
        <item x="297"/>
        <item x="298"/>
        <item x="300"/>
        <item x="301"/>
        <item x="302"/>
        <item x="303"/>
        <item x="304"/>
        <item x="305"/>
        <item x="295"/>
        <item x="306"/>
        <item x="293"/>
        <item x="294"/>
        <item x="308"/>
        <item x="285"/>
        <item x="399"/>
        <item x="752"/>
        <item x="540"/>
        <item x="241"/>
        <item x="541"/>
        <item x="361"/>
        <item x="888"/>
        <item x="889"/>
        <item x="363"/>
        <item x="380"/>
        <item x="563"/>
        <item x="87"/>
        <item x="4"/>
        <item x="378"/>
        <item x="374"/>
        <item x="372"/>
        <item x="371"/>
        <item x="377"/>
        <item x="376"/>
        <item x="375"/>
        <item x="373"/>
        <item x="365"/>
        <item x="369"/>
        <item x="379"/>
        <item x="368"/>
        <item x="367"/>
        <item x="366"/>
        <item x="259"/>
        <item x="46"/>
        <item x="370"/>
        <item x="225"/>
        <item x="227"/>
        <item x="226"/>
        <item x="75"/>
        <item x="577"/>
        <item x="80"/>
        <item x="536"/>
        <item x="74"/>
        <item x="554"/>
        <item x="72"/>
        <item x="553"/>
        <item x="552"/>
        <item x="456"/>
        <item x="557"/>
        <item x="76"/>
        <item x="77"/>
        <item x="559"/>
        <item x="570"/>
        <item x="571"/>
        <item x="459"/>
        <item x="460"/>
        <item x="81"/>
        <item x="468"/>
        <item x="569"/>
        <item x="579"/>
        <item x="568"/>
        <item x="73"/>
        <item x="71"/>
        <item x="578"/>
        <item x="260"/>
        <item x="261"/>
        <item x="822"/>
        <item x="824"/>
        <item x="823"/>
        <item x="624"/>
        <item x="392"/>
        <item x="556"/>
        <item x="534"/>
        <item x="535"/>
        <item x="124"/>
        <item x="126"/>
        <item x="125"/>
        <item x="787"/>
        <item x="783"/>
        <item x="123"/>
        <item x="70"/>
        <item x="784"/>
        <item x="85"/>
        <item x="785"/>
        <item x="786"/>
        <item x="90"/>
        <item x="122"/>
        <item x="84"/>
        <item x="89"/>
        <item x="734"/>
        <item x="593"/>
        <item x="582"/>
        <item x="583"/>
        <item x="588"/>
        <item x="403"/>
        <item x="733"/>
        <item x="732"/>
        <item x="589"/>
        <item x="606"/>
        <item x="602"/>
        <item x="604"/>
        <item x="625"/>
        <item x="605"/>
        <item x="603"/>
        <item x="107"/>
        <item x="108"/>
        <item x="890"/>
        <item x="670"/>
        <item x="833"/>
        <item x="826"/>
        <item x="672"/>
        <item x="324"/>
        <item x="419"/>
        <item x="671"/>
        <item x="576"/>
        <item x="669"/>
        <item x="827"/>
        <item x="825"/>
        <item x="900"/>
        <item x="404"/>
        <item x="632"/>
        <item x="792"/>
        <item x="358"/>
        <item x="352"/>
        <item x="710"/>
        <item x="510"/>
        <item x="511"/>
        <item x="514"/>
        <item x="513"/>
        <item x="512"/>
        <item x="509"/>
        <item x="758"/>
        <item x="508"/>
        <item x="516"/>
        <item x="711"/>
        <item x="487"/>
        <item x="522"/>
        <item x="515"/>
        <item x="212"/>
        <item x="214"/>
        <item x="215"/>
        <item x="886"/>
        <item x="110"/>
        <item x="117"/>
        <item x="114"/>
        <item x="109"/>
        <item x="118"/>
        <item x="232"/>
        <item x="221"/>
        <item x="222"/>
        <item x="251"/>
        <item x="217"/>
        <item x="218"/>
        <item x="219"/>
        <item x="220"/>
        <item x="357"/>
        <item x="626"/>
        <item x="555"/>
        <item x="418"/>
        <item x="116"/>
        <item x="115"/>
        <item x="417"/>
        <item x="391"/>
        <item x="445"/>
        <item x="135"/>
        <item x="111"/>
        <item x="104"/>
        <item x="849"/>
        <item x="847"/>
        <item x="848"/>
        <item x="846"/>
        <item x="586"/>
        <item x="706"/>
        <item x="705"/>
        <item x="707"/>
        <item x="857"/>
        <item x="858"/>
        <item x="702"/>
        <item x="701"/>
        <item x="280"/>
        <item x="284"/>
        <item x="387"/>
        <item x="679"/>
        <item x="675"/>
        <item x="677"/>
        <item x="676"/>
        <item x="633"/>
        <item x="635"/>
        <item x="762"/>
        <item x="760"/>
        <item x="818"/>
        <item x="821"/>
        <item x="244"/>
        <item x="354"/>
        <item x="242"/>
        <item x="622"/>
        <item x="618"/>
        <item x="755"/>
        <item x="753"/>
        <item x="130"/>
        <item x="131"/>
        <item x="129"/>
        <item x="282"/>
        <item x="266"/>
        <item x="601"/>
        <item x="607"/>
        <item x="600"/>
        <item x="12"/>
        <item x="523"/>
        <item x="11"/>
        <item x="564"/>
        <item x="83"/>
        <item x="10"/>
        <item x="9"/>
        <item x="224"/>
        <item x="845"/>
        <item x="817"/>
        <item x="739"/>
        <item x="234"/>
        <item x="816"/>
        <item x="253"/>
        <item x="254"/>
        <item x="255"/>
        <item x="256"/>
        <item x="245"/>
        <item x="246"/>
        <item x="247"/>
        <item x="831"/>
        <item x="844"/>
        <item x="248"/>
        <item x="794"/>
        <item x="346"/>
        <item x="345"/>
        <item x="350"/>
        <item x="49"/>
        <item x="36"/>
        <item x="55"/>
        <item x="32"/>
        <item x="61"/>
        <item x="347"/>
        <item x="348"/>
        <item x="344"/>
        <item x="341"/>
        <item x="204"/>
        <item x="207"/>
        <item x="209"/>
        <item x="449"/>
        <item x="340"/>
        <item x="343"/>
        <item x="342"/>
        <item x="208"/>
        <item x="349"/>
        <item x="339"/>
        <item x="206"/>
        <item x="205"/>
        <item x="52"/>
        <item x="60"/>
        <item x="54"/>
        <item x="33"/>
        <item x="35"/>
        <item x="203"/>
        <item x="338"/>
        <item x="421"/>
        <item x="58"/>
        <item x="59"/>
        <item x="34"/>
        <item x="51"/>
        <item x="56"/>
        <item x="53"/>
        <item x="50"/>
        <item x="31"/>
        <item x="565"/>
        <item x="560"/>
        <item x="262"/>
        <item x="867"/>
        <item x="868"/>
        <item x="879"/>
        <item x="880"/>
        <item x="385"/>
        <item x="769"/>
        <item x="768"/>
        <item x="743"/>
        <item x="766"/>
        <item x="767"/>
        <item x="765"/>
        <item x="503"/>
        <item x="507"/>
        <item x="502"/>
        <item x="506"/>
        <item x="504"/>
        <item x="505"/>
        <item x="465"/>
        <item x="501"/>
        <item x="581"/>
        <item x="390"/>
        <item x="737"/>
        <item x="704"/>
        <item x="250"/>
        <item x="558"/>
        <item x="542"/>
        <item x="353"/>
        <item x="517"/>
        <item x="518"/>
        <item x="538"/>
        <item x="537"/>
        <item x="756"/>
        <item x="446"/>
        <item x="440"/>
        <item x="883"/>
        <item x="861"/>
        <item x="628"/>
        <item x="609"/>
        <item x="532"/>
        <item x="595"/>
        <item x="531"/>
        <item x="530"/>
        <item x="529"/>
        <item x="388"/>
        <item x="528"/>
        <item x="862"/>
        <item x="19"/>
        <item x="20"/>
        <item x="21"/>
        <item x="804"/>
        <item x="835"/>
        <item x="813"/>
        <item x="814"/>
        <item x="843"/>
        <item x="802"/>
        <item x="876"/>
        <item x="836"/>
        <item x="854"/>
        <item x="855"/>
        <item x="798"/>
        <item x="834"/>
        <item x="878"/>
        <item x="875"/>
        <item x="882"/>
        <item x="866"/>
        <item x="869"/>
        <item x="799"/>
        <item x="870"/>
        <item x="801"/>
        <item x="800"/>
        <item x="871"/>
        <item x="874"/>
        <item x="805"/>
        <item x="872"/>
        <item x="873"/>
        <item x="803"/>
        <item x="853"/>
        <item x="815"/>
        <item x="838"/>
        <item x="837"/>
        <item x="877"/>
        <item x="14"/>
        <item x="17"/>
        <item x="18"/>
        <item x="16"/>
        <item x="895"/>
        <item x="894"/>
        <item x="892"/>
        <item x="891"/>
        <item x="24"/>
        <item x="25"/>
        <item x="26"/>
        <item x="893"/>
        <item x="904"/>
        <item x="885"/>
        <item x="22"/>
        <item x="23"/>
        <item x="412"/>
        <item x="401"/>
        <item x="828"/>
        <item x="829"/>
        <item x="793"/>
        <item x="830"/>
        <item x="819"/>
        <item x="820"/>
        <item x="597"/>
        <item x="898"/>
        <item x="572"/>
        <item x="239"/>
        <item x="431"/>
        <item x="211"/>
        <item x="213"/>
        <item x="30"/>
        <item x="790"/>
        <item x="788"/>
        <item x="286"/>
        <item x="696"/>
        <item x="697"/>
        <item x="698"/>
        <item x="850"/>
        <item x="289"/>
        <item x="851"/>
        <item x="852"/>
        <item x="288"/>
        <item x="789"/>
        <item x="28"/>
        <item x="287"/>
        <item x="29"/>
        <item x="808"/>
        <item x="807"/>
        <item x="812"/>
        <item x="809"/>
        <item x="811"/>
        <item x="810"/>
        <item x="402"/>
        <item x="407"/>
        <item x="585"/>
        <item x="591"/>
        <item x="587"/>
        <item x="91"/>
        <item x="93"/>
        <item x="94"/>
        <item x="95"/>
        <item x="92"/>
        <item x="148"/>
        <item x="152"/>
        <item x="327"/>
        <item x="134"/>
        <item x="149"/>
        <item x="795"/>
        <item x="636"/>
        <item x="841"/>
        <item x="842"/>
        <item x="840"/>
        <item x="806"/>
        <item x="839"/>
        <item x="881"/>
        <item x="462"/>
        <item x="545"/>
        <item x="547"/>
        <item x="546"/>
        <item x="548"/>
        <item x="751"/>
        <item x="240"/>
        <item x="434"/>
        <item x="441"/>
        <item x="406"/>
        <item x="291"/>
        <item x="405"/>
        <item x="408"/>
        <item x="695"/>
        <item x="694"/>
        <item x="692"/>
        <item x="693"/>
        <item x="887"/>
        <item x="691"/>
        <item x="772"/>
        <item x="777"/>
        <item x="773"/>
        <item x="774"/>
        <item x="463"/>
        <item x="775"/>
        <item x="484"/>
        <item x="482"/>
        <item x="483"/>
        <item x="782"/>
        <item x="770"/>
        <item x="776"/>
        <item x="778"/>
        <item x="780"/>
        <item x="485"/>
        <item x="781"/>
        <item x="771"/>
        <item x="779"/>
        <item x="764"/>
        <item x="744"/>
        <item x="745"/>
        <item x="749"/>
        <item x="740"/>
        <item x="741"/>
        <item x="742"/>
        <item x="746"/>
        <item x="747"/>
        <item x="748"/>
        <item x="750"/>
        <item x="757"/>
        <item x="754"/>
        <item x="425"/>
        <item x="551"/>
        <item x="400"/>
        <item x="389"/>
        <item x="907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156E5-9F99-4D9F-9FCA-F578DB873D38}" name="Tableau croisé dynamique15" cacheId="63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C20" firstHeaderRow="1" firstDataRow="1" firstDataCol="0"/>
  <pivotFields count="3">
    <pivotField showAll="0">
      <items count="3">
        <item x="0"/>
        <item x="1"/>
        <item t="default"/>
      </items>
    </pivotField>
    <pivotField showAll="0"/>
    <pivotField showAll="0">
      <items count="16">
        <item x="7"/>
        <item x="8"/>
        <item x="3"/>
        <item x="11"/>
        <item x="2"/>
        <item x="9"/>
        <item x="6"/>
        <item x="13"/>
        <item x="5"/>
        <item x="4"/>
        <item x="0"/>
        <item x="10"/>
        <item x="12"/>
        <item x="1"/>
        <item x="14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B9616-72B8-4B49-BB8D-8E563826673D}" name="Tableau croisé dynamique16" cacheId="69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A15" firstHeaderRow="1" firstDataRow="1" firstDataCol="1"/>
  <pivotFields count="12">
    <pivotField showAll="0"/>
    <pivotField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251">
        <item x="222"/>
        <item x="226"/>
        <item x="218"/>
        <item x="223"/>
        <item x="227"/>
        <item x="219"/>
        <item x="217"/>
        <item x="225"/>
        <item x="221"/>
        <item x="216"/>
        <item x="231"/>
        <item x="232"/>
        <item x="234"/>
        <item x="235"/>
        <item x="230"/>
        <item x="233"/>
        <item x="220"/>
        <item x="229"/>
        <item x="228"/>
        <item x="224"/>
        <item x="249"/>
        <item x="31"/>
        <item x="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8"/>
        <item x="27"/>
        <item x="29"/>
        <item x="30"/>
        <item x="33"/>
        <item x="34"/>
        <item x="35"/>
        <item x="38"/>
        <item x="36"/>
        <item x="37"/>
        <item x="40"/>
        <item x="39"/>
        <item x="41"/>
        <item x="42"/>
        <item x="43"/>
        <item x="44"/>
        <item x="46"/>
        <item x="47"/>
        <item x="48"/>
        <item x="49"/>
        <item x="54"/>
        <item x="52"/>
        <item x="53"/>
        <item x="51"/>
        <item x="56"/>
        <item x="58"/>
        <item x="59"/>
        <item x="55"/>
        <item x="57"/>
        <item x="62"/>
        <item x="63"/>
        <item x="64"/>
        <item x="65"/>
        <item x="66"/>
        <item x="67"/>
        <item x="60"/>
        <item x="61"/>
        <item x="69"/>
        <item x="68"/>
        <item x="70"/>
        <item x="71"/>
        <item x="75"/>
        <item x="74"/>
        <item x="72"/>
        <item x="73"/>
        <item x="80"/>
        <item x="81"/>
        <item x="79"/>
        <item x="82"/>
        <item x="78"/>
        <item x="76"/>
        <item x="77"/>
        <item x="84"/>
        <item x="83"/>
        <item x="86"/>
        <item x="85"/>
        <item x="90"/>
        <item x="89"/>
        <item x="87"/>
        <item x="88"/>
        <item x="95"/>
        <item x="91"/>
        <item x="93"/>
        <item x="92"/>
        <item x="94"/>
        <item x="101"/>
        <item x="103"/>
        <item x="96"/>
        <item x="104"/>
        <item x="98"/>
        <item x="99"/>
        <item x="97"/>
        <item x="100"/>
        <item x="102"/>
        <item x="107"/>
        <item x="106"/>
        <item x="108"/>
        <item x="105"/>
        <item x="109"/>
        <item x="110"/>
        <item x="114"/>
        <item x="112"/>
        <item x="111"/>
        <item x="115"/>
        <item x="117"/>
        <item x="116"/>
        <item x="120"/>
        <item x="119"/>
        <item x="121"/>
        <item x="118"/>
        <item x="122"/>
        <item x="123"/>
        <item x="124"/>
        <item x="126"/>
        <item x="131"/>
        <item x="136"/>
        <item x="137"/>
        <item x="132"/>
        <item x="127"/>
        <item x="128"/>
        <item x="130"/>
        <item x="125"/>
        <item x="129"/>
        <item x="138"/>
        <item x="135"/>
        <item x="134"/>
        <item x="133"/>
        <item x="139"/>
        <item x="140"/>
        <item x="142"/>
        <item x="145"/>
        <item x="144"/>
        <item x="141"/>
        <item x="143"/>
        <item x="147"/>
        <item x="146"/>
        <item x="150"/>
        <item x="149"/>
        <item x="152"/>
        <item x="153"/>
        <item x="155"/>
        <item x="154"/>
        <item x="158"/>
        <item x="160"/>
        <item x="156"/>
        <item x="161"/>
        <item x="157"/>
        <item x="159"/>
        <item x="163"/>
        <item x="164"/>
        <item x="165"/>
        <item x="172"/>
        <item x="168"/>
        <item x="171"/>
        <item x="170"/>
        <item x="169"/>
        <item x="174"/>
        <item x="173"/>
        <item x="176"/>
        <item x="175"/>
        <item x="179"/>
        <item x="178"/>
        <item x="177"/>
        <item x="180"/>
        <item x="181"/>
        <item x="185"/>
        <item x="183"/>
        <item x="186"/>
        <item x="187"/>
        <item x="192"/>
        <item x="188"/>
        <item x="195"/>
        <item x="189"/>
        <item x="191"/>
        <item x="193"/>
        <item x="194"/>
        <item x="190"/>
        <item x="196"/>
        <item x="197"/>
        <item x="202"/>
        <item x="203"/>
        <item x="207"/>
        <item x="198"/>
        <item x="205"/>
        <item x="199"/>
        <item x="200"/>
        <item x="212"/>
        <item x="209"/>
        <item x="211"/>
        <item x="210"/>
        <item x="208"/>
        <item x="213"/>
        <item x="214"/>
        <item x="215"/>
        <item x="236"/>
        <item x="237"/>
        <item x="239"/>
        <item x="240"/>
        <item x="242"/>
        <item x="241"/>
        <item x="243"/>
        <item x="244"/>
        <item x="247"/>
        <item x="246"/>
        <item x="245"/>
        <item x="248"/>
        <item x="45"/>
        <item x="50"/>
        <item x="148"/>
        <item x="166"/>
        <item x="201"/>
        <item x="23"/>
        <item x="24"/>
        <item x="25"/>
        <item x="113"/>
        <item x="206"/>
        <item x="204"/>
        <item x="26"/>
        <item x="184"/>
        <item x="162"/>
        <item x="167"/>
        <item x="182"/>
        <item x="238"/>
        <item x="151"/>
        <item t="default"/>
      </items>
    </pivotField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axis="axisRow" showAll="0">
      <items count="7">
        <item sd="0" x="0"/>
        <item sd="0" x="1"/>
        <item sd="0" x="2"/>
        <item sd="0" x="3"/>
        <item x="4"/>
        <item sd="0" x="5"/>
        <item t="default"/>
      </items>
    </pivotField>
    <pivotField axis="axisRow"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11"/>
    <field x="10"/>
    <field x="5"/>
    <field x="3"/>
  </rowFields>
  <rowItems count="12">
    <i>
      <x v="1"/>
    </i>
    <i r="1">
      <x v="4"/>
    </i>
    <i r="2">
      <x v="11"/>
    </i>
    <i r="3">
      <x v="23"/>
    </i>
    <i r="2">
      <x v="12"/>
    </i>
    <i r="3">
      <x v="24"/>
    </i>
    <i>
      <x v="2"/>
    </i>
    <i>
      <x v="3"/>
    </i>
    <i>
      <x v="4"/>
    </i>
    <i>
      <x v="5"/>
    </i>
    <i>
      <x v="1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648B0-B257-4FF0-B045-2DFB5F8C6AD1}" name="Tableau croisé dynamique17" cacheId="73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A10" firstHeaderRow="1" firstDataRow="1" firstDataCol="1"/>
  <pivotFields count="10">
    <pivotField showAll="0"/>
    <pivotField axis="axisRow" showAll="0">
      <items count="2">
        <item x="0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3"/>
    <field x="1"/>
  </rowFields>
  <rowItems count="7">
    <i>
      <x/>
    </i>
    <i r="1">
      <x/>
    </i>
    <i>
      <x v="1"/>
    </i>
    <i r="1">
      <x/>
    </i>
    <i>
      <x v="2"/>
    </i>
    <i r="1"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2AFB52-0179-450A-80A1-A1AEAEEE0058}" name="Tableau croisé dynamique18" cacheId="7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A11" firstHeaderRow="1" firstDataRow="1" firstDataCol="1"/>
  <pivotFields count="10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</pivotFields>
  <rowFields count="2">
    <field x="2"/>
    <field x="5"/>
  </rowFields>
  <rowItems count="8">
    <i>
      <x/>
    </i>
    <i r="1">
      <x/>
    </i>
    <i r="1">
      <x v="1"/>
    </i>
    <i r="1">
      <x v="2"/>
    </i>
    <i r="1">
      <x v="3"/>
    </i>
    <i>
      <x v="1"/>
    </i>
    <i r="1"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78AEF4-64A4-4736-9F29-E7483E317895}" name="Tableau croisé dynamique19" cacheId="8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A26" firstHeaderRow="1" firstDataRow="1" firstDataCol="1"/>
  <pivotFields count="10">
    <pivotField showAll="0"/>
    <pivotField axis="axisRow" showAll="0">
      <items count="2">
        <item x="0"/>
        <item t="default"/>
      </items>
    </pivotField>
    <pivotField showAll="0"/>
    <pivotField axis="axisRow" showAll="0">
      <items count="22">
        <item x="6"/>
        <item x="10"/>
        <item x="2"/>
        <item x="7"/>
        <item x="11"/>
        <item x="3"/>
        <item x="1"/>
        <item x="9"/>
        <item x="5"/>
        <item x="0"/>
        <item x="15"/>
        <item x="16"/>
        <item x="18"/>
        <item x="19"/>
        <item x="14"/>
        <item x="17"/>
        <item x="4"/>
        <item x="13"/>
        <item x="12"/>
        <item x="8"/>
        <item x="20"/>
        <item t="default"/>
      </items>
    </pivotField>
    <pivotField showAll="0"/>
    <pivotField numFmtId="14" showAll="0"/>
    <pivotField showAll="0"/>
    <pivotField showAll="0"/>
    <pivotField showAll="0"/>
    <pivotField showAll="0"/>
  </pivotFields>
  <rowFields count="2">
    <field x="1"/>
    <field x="3"/>
  </rowFields>
  <rowItems count="2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97E1DD-3367-45A9-AEF9-F1FBB1AB7F59}" name="Tableau croisé dynamique20" cacheId="85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A8" firstHeaderRow="1" firstDataRow="1" firstDataCol="1"/>
  <pivotFields count="10">
    <pivotField showAll="0"/>
    <pivotField axis="axisRow" showAll="0">
      <items count="2"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2"/>
  </rowFields>
  <rowItems count="5">
    <i>
      <x/>
    </i>
    <i r="1">
      <x/>
    </i>
    <i r="1">
      <x v="1"/>
    </i>
    <i r="1"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4F33B4-8CD9-472A-8D51-ECDA5D61844B}" name="Tableau croisé dynamique21" cacheId="89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A72" firstHeaderRow="1" firstDataRow="1" firstDataCol="1"/>
  <pivotFields count="10">
    <pivotField showAll="0"/>
    <pivotField axis="axisRow" showAll="0">
      <items count="2">
        <item x="0"/>
        <item t="default"/>
      </items>
    </pivotField>
    <pivotField showAll="0"/>
    <pivotField showAll="0"/>
    <pivotField axis="axisRow" showAll="0">
      <items count="35">
        <item x="17"/>
        <item x="6"/>
        <item x="29"/>
        <item x="25"/>
        <item x="26"/>
        <item x="30"/>
        <item x="31"/>
        <item x="13"/>
        <item x="15"/>
        <item x="18"/>
        <item x="9"/>
        <item x="27"/>
        <item x="10"/>
        <item x="28"/>
        <item x="24"/>
        <item x="20"/>
        <item x="3"/>
        <item x="12"/>
        <item x="0"/>
        <item x="2"/>
        <item x="23"/>
        <item x="4"/>
        <item x="14"/>
        <item x="11"/>
        <item x="32"/>
        <item x="1"/>
        <item x="7"/>
        <item x="8"/>
        <item x="5"/>
        <item x="16"/>
        <item x="19"/>
        <item x="22"/>
        <item x="21"/>
        <item x="33"/>
        <item t="default"/>
      </items>
    </pivotField>
    <pivotField showAll="0"/>
    <pivotField showAll="0"/>
    <pivotField showAll="0"/>
    <pivotField showAll="0"/>
    <pivotField showAll="0"/>
  </pivotFields>
  <rowFields count="2">
    <field x="4"/>
    <field x="1"/>
  </rowFields>
  <rowItems count="69">
    <i>
      <x/>
    </i>
    <i r="1">
      <x/>
    </i>
    <i>
      <x v="1"/>
    </i>
    <i r="1">
      <x/>
    </i>
    <i>
      <x v="2"/>
    </i>
    <i r="1">
      <x/>
    </i>
    <i>
      <x v="3"/>
    </i>
    <i r="1">
      <x/>
    </i>
    <i>
      <x v="4"/>
    </i>
    <i r="1">
      <x/>
    </i>
    <i>
      <x v="5"/>
    </i>
    <i r="1">
      <x/>
    </i>
    <i>
      <x v="6"/>
    </i>
    <i r="1">
      <x/>
    </i>
    <i>
      <x v="7"/>
    </i>
    <i r="1">
      <x/>
    </i>
    <i>
      <x v="8"/>
    </i>
    <i r="1">
      <x/>
    </i>
    <i>
      <x v="9"/>
    </i>
    <i r="1">
      <x/>
    </i>
    <i>
      <x v="10"/>
    </i>
    <i r="1">
      <x/>
    </i>
    <i>
      <x v="11"/>
    </i>
    <i r="1">
      <x/>
    </i>
    <i>
      <x v="12"/>
    </i>
    <i r="1">
      <x/>
    </i>
    <i>
      <x v="13"/>
    </i>
    <i r="1">
      <x/>
    </i>
    <i>
      <x v="14"/>
    </i>
    <i r="1">
      <x/>
    </i>
    <i>
      <x v="15"/>
    </i>
    <i r="1">
      <x/>
    </i>
    <i>
      <x v="16"/>
    </i>
    <i r="1">
      <x/>
    </i>
    <i>
      <x v="17"/>
    </i>
    <i r="1">
      <x/>
    </i>
    <i>
      <x v="18"/>
    </i>
    <i r="1">
      <x/>
    </i>
    <i>
      <x v="19"/>
    </i>
    <i r="1">
      <x/>
    </i>
    <i>
      <x v="20"/>
    </i>
    <i r="1">
      <x/>
    </i>
    <i>
      <x v="21"/>
    </i>
    <i r="1">
      <x/>
    </i>
    <i>
      <x v="22"/>
    </i>
    <i r="1">
      <x/>
    </i>
    <i>
      <x v="23"/>
    </i>
    <i r="1">
      <x/>
    </i>
    <i>
      <x v="24"/>
    </i>
    <i r="1">
      <x/>
    </i>
    <i>
      <x v="25"/>
    </i>
    <i r="1">
      <x/>
    </i>
    <i>
      <x v="26"/>
    </i>
    <i r="1">
      <x/>
    </i>
    <i>
      <x v="27"/>
    </i>
    <i r="1">
      <x/>
    </i>
    <i>
      <x v="28"/>
    </i>
    <i r="1">
      <x/>
    </i>
    <i>
      <x v="29"/>
    </i>
    <i r="1">
      <x/>
    </i>
    <i>
      <x v="30"/>
    </i>
    <i r="1">
      <x/>
    </i>
    <i>
      <x v="31"/>
    </i>
    <i r="1">
      <x/>
    </i>
    <i>
      <x v="32"/>
    </i>
    <i r="1">
      <x/>
    </i>
    <i>
      <x v="33"/>
    </i>
    <i r="1"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B3E26A-CDFC-4174-B987-644560148F6C}" name="Tableau croisé dynamique22" cacheId="93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A202" firstHeaderRow="1" firstDataRow="1" firstDataCol="1"/>
  <pivotFields count="9"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axis="axisRow" showAll="0">
      <items count="183">
        <item x="153"/>
        <item x="132"/>
        <item x="144"/>
        <item x="149"/>
        <item x="159"/>
        <item x="164"/>
        <item x="166"/>
        <item x="98"/>
        <item x="55"/>
        <item x="32"/>
        <item x="104"/>
        <item x="127"/>
        <item x="47"/>
        <item x="68"/>
        <item x="112"/>
        <item x="81"/>
        <item x="140"/>
        <item x="89"/>
        <item x="139"/>
        <item x="124"/>
        <item x="90"/>
        <item x="101"/>
        <item x="122"/>
        <item x="123"/>
        <item x="117"/>
        <item x="88"/>
        <item x="84"/>
        <item x="85"/>
        <item x="79"/>
        <item x="33"/>
        <item x="70"/>
        <item x="103"/>
        <item x="170"/>
        <item x="119"/>
        <item x="116"/>
        <item x="31"/>
        <item x="75"/>
        <item x="151"/>
        <item x="52"/>
        <item x="54"/>
        <item x="83"/>
        <item x="91"/>
        <item x="92"/>
        <item x="93"/>
        <item x="94"/>
        <item x="147"/>
        <item x="16"/>
        <item x="181"/>
        <item x="175"/>
        <item x="133"/>
        <item x="165"/>
        <item x="111"/>
        <item x="95"/>
        <item x="160"/>
        <item x="177"/>
        <item x="82"/>
        <item x="108"/>
        <item x="146"/>
        <item x="169"/>
        <item x="138"/>
        <item x="158"/>
        <item x="150"/>
        <item x="156"/>
        <item x="129"/>
        <item x="163"/>
        <item x="173"/>
        <item x="72"/>
        <item x="152"/>
        <item x="66"/>
        <item x="24"/>
        <item x="14"/>
        <item x="154"/>
        <item x="143"/>
        <item x="135"/>
        <item x="142"/>
        <item x="2"/>
        <item x="8"/>
        <item x="34"/>
        <item x="65"/>
        <item x="62"/>
        <item x="87"/>
        <item x="162"/>
        <item x="105"/>
        <item x="180"/>
        <item x="35"/>
        <item x="155"/>
        <item x="44"/>
        <item x="106"/>
        <item x="53"/>
        <item x="74"/>
        <item x="60"/>
        <item x="174"/>
        <item x="59"/>
        <item x="80"/>
        <item x="136"/>
        <item x="157"/>
        <item x="172"/>
        <item x="145"/>
        <item x="45"/>
        <item x="40"/>
        <item x="78"/>
        <item x="115"/>
        <item x="141"/>
        <item x="46"/>
        <item x="102"/>
        <item x="39"/>
        <item x="63"/>
        <item x="161"/>
        <item x="99"/>
        <item x="13"/>
        <item x="97"/>
        <item x="12"/>
        <item x="77"/>
        <item x="137"/>
        <item x="107"/>
        <item x="179"/>
        <item x="109"/>
        <item x="114"/>
        <item x="178"/>
        <item x="134"/>
        <item x="5"/>
        <item x="118"/>
        <item x="30"/>
        <item x="113"/>
        <item x="41"/>
        <item x="37"/>
        <item x="9"/>
        <item x="21"/>
        <item x="120"/>
        <item x="86"/>
        <item x="11"/>
        <item x="61"/>
        <item x="76"/>
        <item x="36"/>
        <item x="121"/>
        <item x="71"/>
        <item x="50"/>
        <item x="20"/>
        <item x="23"/>
        <item x="0"/>
        <item x="171"/>
        <item x="18"/>
        <item x="19"/>
        <item x="110"/>
        <item x="38"/>
        <item x="42"/>
        <item x="43"/>
        <item x="73"/>
        <item x="6"/>
        <item x="15"/>
        <item x="67"/>
        <item x="126"/>
        <item x="168"/>
        <item x="100"/>
        <item x="128"/>
        <item x="49"/>
        <item x="148"/>
        <item x="57"/>
        <item x="1"/>
        <item x="176"/>
        <item x="58"/>
        <item x="51"/>
        <item x="4"/>
        <item x="64"/>
        <item x="17"/>
        <item x="125"/>
        <item x="130"/>
        <item x="96"/>
        <item x="131"/>
        <item x="48"/>
        <item x="25"/>
        <item x="26"/>
        <item x="69"/>
        <item x="3"/>
        <item x="22"/>
        <item x="28"/>
        <item x="29"/>
        <item x="27"/>
        <item x="56"/>
        <item x="10"/>
        <item x="167"/>
        <item x="7"/>
        <item t="default"/>
      </items>
    </pivotField>
    <pivotField showAll="0"/>
    <pivotField showAll="0"/>
    <pivotField showAll="0"/>
    <pivotField showAll="0"/>
  </pivotFields>
  <rowFields count="2">
    <field x="2"/>
    <field x="4"/>
  </rowFields>
  <rowItems count="199">
    <i>
      <x/>
    </i>
    <i r="1">
      <x/>
    </i>
    <i r="1">
      <x v="2"/>
    </i>
    <i r="1">
      <x v="3"/>
    </i>
    <i r="1">
      <x v="4"/>
    </i>
    <i r="1">
      <x v="5"/>
    </i>
    <i r="1">
      <x v="6"/>
    </i>
    <i r="1">
      <x v="45"/>
    </i>
    <i r="1">
      <x v="49"/>
    </i>
    <i r="1">
      <x v="50"/>
    </i>
    <i r="1">
      <x v="53"/>
    </i>
    <i r="1">
      <x v="57"/>
    </i>
    <i r="1">
      <x v="59"/>
    </i>
    <i r="1">
      <x v="60"/>
    </i>
    <i r="1">
      <x v="64"/>
    </i>
    <i r="1">
      <x v="65"/>
    </i>
    <i r="1">
      <x v="67"/>
    </i>
    <i r="1">
      <x v="71"/>
    </i>
    <i r="1">
      <x v="72"/>
    </i>
    <i r="1">
      <x v="74"/>
    </i>
    <i r="1">
      <x v="81"/>
    </i>
    <i r="1">
      <x v="85"/>
    </i>
    <i r="1">
      <x v="91"/>
    </i>
    <i r="1">
      <x v="95"/>
    </i>
    <i r="1">
      <x v="96"/>
    </i>
    <i r="1">
      <x v="97"/>
    </i>
    <i r="1">
      <x v="107"/>
    </i>
    <i r="1">
      <x v="113"/>
    </i>
    <i r="1">
      <x v="114"/>
    </i>
    <i r="1">
      <x v="115"/>
    </i>
    <i r="1">
      <x v="118"/>
    </i>
    <i r="1">
      <x v="119"/>
    </i>
    <i r="1">
      <x v="124"/>
    </i>
    <i r="1">
      <x v="140"/>
    </i>
    <i r="1">
      <x v="156"/>
    </i>
    <i r="1">
      <x v="158"/>
    </i>
    <i r="1">
      <x v="169"/>
    </i>
    <i r="1">
      <x v="181"/>
    </i>
    <i>
      <x v="1"/>
    </i>
    <i r="1">
      <x v="1"/>
    </i>
    <i r="1">
      <x v="63"/>
    </i>
    <i r="1">
      <x v="94"/>
    </i>
    <i r="1">
      <x v="168"/>
    </i>
    <i>
      <x v="2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6"/>
    </i>
    <i r="1">
      <x v="47"/>
    </i>
    <i r="1">
      <x v="48"/>
    </i>
    <i r="1">
      <x v="51"/>
    </i>
    <i r="1">
      <x v="52"/>
    </i>
    <i r="1">
      <x v="54"/>
    </i>
    <i r="1">
      <x v="55"/>
    </i>
    <i r="1">
      <x v="56"/>
    </i>
    <i r="1">
      <x v="58"/>
    </i>
    <i r="1">
      <x v="59"/>
    </i>
    <i r="1">
      <x v="60"/>
    </i>
    <i r="1">
      <x v="61"/>
    </i>
    <i r="1">
      <x v="62"/>
    </i>
    <i r="1">
      <x v="66"/>
    </i>
    <i r="1">
      <x v="68"/>
    </i>
    <i r="1">
      <x v="69"/>
    </i>
    <i r="1">
      <x v="70"/>
    </i>
    <i r="1">
      <x v="73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2"/>
    </i>
    <i r="1">
      <x v="83"/>
    </i>
    <i r="1">
      <x v="84"/>
    </i>
    <i r="1">
      <x v="86"/>
    </i>
    <i r="1">
      <x v="87"/>
    </i>
    <i r="1">
      <x v="88"/>
    </i>
    <i r="1">
      <x v="89"/>
    </i>
    <i r="1">
      <x v="90"/>
    </i>
    <i r="1">
      <x v="92"/>
    </i>
    <i r="1">
      <x v="93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8"/>
    </i>
    <i r="1">
      <x v="109"/>
    </i>
    <i r="1">
      <x v="110"/>
    </i>
    <i r="1">
      <x v="111"/>
    </i>
    <i r="1">
      <x v="112"/>
    </i>
    <i r="1">
      <x v="114"/>
    </i>
    <i r="1">
      <x v="116"/>
    </i>
    <i r="1">
      <x v="117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7"/>
    </i>
    <i r="1">
      <x v="158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>
      <x v="3"/>
    </i>
    <i r="1">
      <x v="59"/>
    </i>
    <i r="1">
      <x v="91"/>
    </i>
    <i r="1">
      <x v="159"/>
    </i>
    <i>
      <x v="4"/>
    </i>
    <i r="1">
      <x v="18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DA8F5F-DFBE-424D-8A77-ED90D61648F3}" name="Tableau croisé dynamique23" cacheId="9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A10" firstHeaderRow="1" firstDataRow="1" firstDataCol="1"/>
  <pivotFields count="9">
    <pivotField showAll="0"/>
    <pivotField axis="axisRow" showAll="0">
      <items count="2">
        <item x="0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</pivotFields>
  <rowFields count="2">
    <field x="1"/>
    <field x="3"/>
  </rowFields>
  <rowItems count="7">
    <i>
      <x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FE0B5-1FA0-47D6-902F-3CBBADC90037}" name="Tableau croisé dynamique24" cacheId="10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A504" firstHeaderRow="1" firstDataRow="1" firstDataCol="1"/>
  <pivotFields count="9">
    <pivotField showAll="0"/>
    <pivotField showAll="0"/>
    <pivotField showAll="0"/>
    <pivotField axis="axisRow" showAll="0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2"/>
        <item x="161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7"/>
        <item x="195"/>
        <item x="196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10"/>
        <item x="209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3"/>
        <item x="222"/>
        <item x="224"/>
        <item x="225"/>
        <item x="226"/>
        <item x="227"/>
        <item x="228"/>
        <item x="229"/>
        <item x="230"/>
        <item x="233"/>
        <item x="231"/>
        <item x="232"/>
        <item x="235"/>
        <item x="238"/>
        <item x="234"/>
        <item x="236"/>
        <item x="237"/>
        <item x="239"/>
        <item x="242"/>
        <item x="240"/>
        <item x="241"/>
        <item x="243"/>
        <item x="244"/>
        <item x="245"/>
        <item x="246"/>
        <item x="248"/>
        <item x="247"/>
        <item x="249"/>
        <item t="default"/>
      </items>
    </pivotField>
    <pivotField axis="axisRow" showAll="0">
      <items count="149">
        <item x="98"/>
        <item x="55"/>
        <item x="32"/>
        <item x="104"/>
        <item x="127"/>
        <item x="47"/>
        <item x="68"/>
        <item x="112"/>
        <item x="81"/>
        <item x="134"/>
        <item x="89"/>
        <item x="133"/>
        <item x="124"/>
        <item x="90"/>
        <item x="101"/>
        <item x="122"/>
        <item x="123"/>
        <item x="117"/>
        <item x="88"/>
        <item x="84"/>
        <item x="85"/>
        <item x="79"/>
        <item x="33"/>
        <item x="70"/>
        <item x="103"/>
        <item x="142"/>
        <item x="119"/>
        <item x="116"/>
        <item x="31"/>
        <item x="75"/>
        <item x="137"/>
        <item x="52"/>
        <item x="54"/>
        <item x="83"/>
        <item x="91"/>
        <item x="92"/>
        <item x="93"/>
        <item x="94"/>
        <item x="16"/>
        <item x="147"/>
        <item x="144"/>
        <item x="111"/>
        <item x="95"/>
        <item x="145"/>
        <item x="82"/>
        <item x="108"/>
        <item x="141"/>
        <item x="132"/>
        <item x="143"/>
        <item x="136"/>
        <item x="138"/>
        <item x="72"/>
        <item x="66"/>
        <item x="24"/>
        <item x="14"/>
        <item x="131"/>
        <item x="2"/>
        <item x="8"/>
        <item x="34"/>
        <item x="65"/>
        <item x="62"/>
        <item x="87"/>
        <item x="105"/>
        <item x="146"/>
        <item x="35"/>
        <item x="44"/>
        <item x="106"/>
        <item x="53"/>
        <item x="74"/>
        <item x="60"/>
        <item x="59"/>
        <item x="80"/>
        <item x="45"/>
        <item x="40"/>
        <item x="78"/>
        <item x="115"/>
        <item x="135"/>
        <item x="46"/>
        <item x="102"/>
        <item x="39"/>
        <item x="63"/>
        <item x="99"/>
        <item x="13"/>
        <item x="97"/>
        <item x="12"/>
        <item x="77"/>
        <item x="107"/>
        <item x="109"/>
        <item x="114"/>
        <item x="130"/>
        <item x="5"/>
        <item x="118"/>
        <item x="30"/>
        <item x="113"/>
        <item x="41"/>
        <item x="37"/>
        <item x="9"/>
        <item x="21"/>
        <item x="120"/>
        <item x="86"/>
        <item x="11"/>
        <item x="61"/>
        <item x="76"/>
        <item x="36"/>
        <item x="121"/>
        <item x="71"/>
        <item x="50"/>
        <item x="20"/>
        <item x="23"/>
        <item x="0"/>
        <item x="18"/>
        <item x="19"/>
        <item x="110"/>
        <item x="38"/>
        <item x="42"/>
        <item x="43"/>
        <item x="73"/>
        <item x="6"/>
        <item x="15"/>
        <item x="67"/>
        <item x="126"/>
        <item x="140"/>
        <item x="100"/>
        <item x="128"/>
        <item x="49"/>
        <item x="57"/>
        <item x="1"/>
        <item x="58"/>
        <item x="51"/>
        <item x="4"/>
        <item x="64"/>
        <item x="17"/>
        <item x="125"/>
        <item x="129"/>
        <item x="96"/>
        <item x="48"/>
        <item x="25"/>
        <item x="26"/>
        <item x="69"/>
        <item x="3"/>
        <item x="22"/>
        <item x="28"/>
        <item x="29"/>
        <item x="27"/>
        <item x="56"/>
        <item x="10"/>
        <item x="139"/>
        <item x="7"/>
        <item t="default"/>
      </items>
    </pivotField>
    <pivotField showAll="0"/>
    <pivotField showAll="0"/>
    <pivotField showAll="0"/>
    <pivotField showAll="0"/>
  </pivotFields>
  <rowFields count="2">
    <field x="3"/>
    <field x="4"/>
  </rowFields>
  <rowItems count="501">
    <i>
      <x/>
    </i>
    <i r="1">
      <x v="109"/>
    </i>
    <i>
      <x v="1"/>
    </i>
    <i r="1">
      <x v="126"/>
    </i>
    <i>
      <x v="2"/>
    </i>
    <i r="1">
      <x v="56"/>
    </i>
    <i>
      <x v="3"/>
    </i>
    <i r="1">
      <x v="139"/>
    </i>
    <i>
      <x v="4"/>
    </i>
    <i r="1">
      <x v="129"/>
    </i>
    <i>
      <x v="5"/>
    </i>
    <i r="1">
      <x v="90"/>
    </i>
    <i>
      <x v="6"/>
    </i>
    <i r="1">
      <x v="117"/>
    </i>
    <i>
      <x v="7"/>
    </i>
    <i r="1">
      <x v="147"/>
    </i>
    <i>
      <x v="8"/>
    </i>
    <i r="1">
      <x v="57"/>
    </i>
    <i>
      <x v="9"/>
    </i>
    <i r="1">
      <x v="96"/>
    </i>
    <i>
      <x v="10"/>
    </i>
    <i r="1">
      <x v="145"/>
    </i>
    <i>
      <x v="11"/>
    </i>
    <i r="1">
      <x v="100"/>
    </i>
    <i>
      <x v="12"/>
    </i>
    <i r="1">
      <x v="139"/>
    </i>
    <i>
      <x v="13"/>
    </i>
    <i r="1">
      <x v="84"/>
    </i>
    <i>
      <x v="14"/>
    </i>
    <i r="1">
      <x v="82"/>
    </i>
    <i>
      <x v="15"/>
    </i>
    <i r="1">
      <x v="84"/>
    </i>
    <i>
      <x v="16"/>
    </i>
    <i r="1">
      <x v="54"/>
    </i>
    <i>
      <x v="17"/>
    </i>
    <i r="1">
      <x v="118"/>
    </i>
    <i>
      <x v="18"/>
    </i>
    <i r="1">
      <x v="84"/>
    </i>
    <i>
      <x v="19"/>
    </i>
    <i r="1">
      <x v="38"/>
    </i>
    <i>
      <x v="20"/>
    </i>
    <i r="1">
      <x v="131"/>
    </i>
    <i>
      <x v="21"/>
    </i>
    <i r="1">
      <x v="82"/>
    </i>
    <i>
      <x v="22"/>
    </i>
    <i r="1">
      <x v="110"/>
    </i>
    <i>
      <x v="23"/>
    </i>
    <i r="1">
      <x v="126"/>
    </i>
    <i>
      <x v="24"/>
    </i>
    <i r="1">
      <x v="111"/>
    </i>
    <i>
      <x v="25"/>
    </i>
    <i r="1">
      <x v="107"/>
    </i>
    <i>
      <x v="26"/>
    </i>
    <i r="1">
      <x v="82"/>
    </i>
    <i>
      <x v="27"/>
    </i>
    <i r="1">
      <x v="57"/>
    </i>
    <i>
      <x v="28"/>
    </i>
    <i r="1">
      <x v="82"/>
    </i>
    <i>
      <x v="29"/>
    </i>
    <i r="1">
      <x v="97"/>
    </i>
    <i>
      <x v="30"/>
    </i>
    <i r="1">
      <x v="140"/>
    </i>
    <i>
      <x v="31"/>
    </i>
    <i r="1">
      <x v="84"/>
    </i>
    <i>
      <x v="32"/>
    </i>
    <i r="1">
      <x v="108"/>
    </i>
    <i>
      <x v="33"/>
    </i>
    <i r="1">
      <x v="53"/>
    </i>
    <i>
      <x v="34"/>
    </i>
    <i r="1">
      <x v="136"/>
    </i>
    <i>
      <x v="35"/>
    </i>
    <i r="1">
      <x v="137"/>
    </i>
    <i>
      <x v="36"/>
    </i>
    <i r="1">
      <x v="143"/>
    </i>
    <i>
      <x v="37"/>
    </i>
    <i r="1">
      <x v="141"/>
    </i>
    <i>
      <x v="38"/>
    </i>
    <i r="1">
      <x v="142"/>
    </i>
    <i>
      <x v="39"/>
    </i>
    <i r="1">
      <x v="92"/>
    </i>
    <i>
      <x v="40"/>
    </i>
    <i r="1">
      <x v="28"/>
    </i>
    <i>
      <x v="41"/>
    </i>
    <i r="1">
      <x v="2"/>
    </i>
    <i>
      <x v="42"/>
    </i>
    <i r="1">
      <x v="22"/>
    </i>
    <i>
      <x v="43"/>
    </i>
    <i r="1">
      <x v="126"/>
    </i>
    <i>
      <x v="44"/>
    </i>
    <i r="1">
      <x v="126"/>
    </i>
    <i>
      <x v="45"/>
    </i>
    <i r="1">
      <x v="58"/>
    </i>
    <i>
      <x v="46"/>
    </i>
    <i r="1">
      <x v="64"/>
    </i>
    <i>
      <x v="47"/>
    </i>
    <i r="1">
      <x v="126"/>
    </i>
    <i>
      <x v="48"/>
    </i>
    <i r="1">
      <x v="54"/>
    </i>
    <i>
      <x v="49"/>
    </i>
    <i r="1">
      <x v="103"/>
    </i>
    <i>
      <x v="50"/>
    </i>
    <i r="1">
      <x v="126"/>
    </i>
    <i>
      <x v="51"/>
    </i>
    <i r="1">
      <x v="95"/>
    </i>
    <i>
      <x v="52"/>
    </i>
    <i r="1">
      <x v="113"/>
    </i>
    <i>
      <x v="53"/>
    </i>
    <i r="1">
      <x v="113"/>
    </i>
    <i>
      <x v="54"/>
    </i>
    <i r="1">
      <x v="103"/>
    </i>
    <i>
      <x v="55"/>
    </i>
    <i r="1">
      <x v="79"/>
    </i>
    <i>
      <x v="56"/>
    </i>
    <i r="1">
      <x v="73"/>
    </i>
    <i>
      <x v="57"/>
    </i>
    <i r="1">
      <x v="94"/>
    </i>
    <i>
      <x v="58"/>
    </i>
    <i r="1">
      <x v="114"/>
    </i>
    <i>
      <x v="59"/>
    </i>
    <i r="1">
      <x v="82"/>
    </i>
    <i>
      <x v="60"/>
    </i>
    <i r="1">
      <x v="115"/>
    </i>
    <i>
      <x v="61"/>
    </i>
    <i r="1">
      <x v="65"/>
    </i>
    <i>
      <x v="62"/>
    </i>
    <i r="1">
      <x v="65"/>
    </i>
    <i>
      <x v="63"/>
    </i>
    <i r="1">
      <x v="72"/>
    </i>
    <i>
      <x v="64"/>
    </i>
    <i r="1">
      <x v="72"/>
    </i>
    <i>
      <x v="65"/>
    </i>
    <i r="1">
      <x v="126"/>
    </i>
    <i>
      <x v="66"/>
    </i>
    <i r="1">
      <x v="126"/>
    </i>
    <i>
      <x v="67"/>
    </i>
    <i r="1">
      <x v="58"/>
    </i>
    <i>
      <x v="68"/>
    </i>
    <i r="1">
      <x v="126"/>
    </i>
    <i>
      <x v="69"/>
    </i>
    <i r="1">
      <x v="84"/>
    </i>
    <i>
      <x v="70"/>
    </i>
    <i r="1">
      <x v="77"/>
    </i>
    <i>
      <x v="71"/>
    </i>
    <i r="1">
      <x v="5"/>
    </i>
    <i>
      <x v="72"/>
    </i>
    <i r="1">
      <x v="94"/>
    </i>
    <i>
      <x v="73"/>
    </i>
    <i r="1">
      <x v="135"/>
    </i>
    <i>
      <x v="74"/>
    </i>
    <i r="1">
      <x v="124"/>
    </i>
    <i>
      <x v="75"/>
    </i>
    <i r="1">
      <x v="106"/>
    </i>
    <i>
      <x v="76"/>
    </i>
    <i r="1">
      <x v="128"/>
    </i>
    <i>
      <x v="77"/>
    </i>
    <i r="1">
      <x v="115"/>
    </i>
    <i>
      <x v="78"/>
    </i>
    <i r="1">
      <x v="84"/>
    </i>
    <i>
      <x v="79"/>
    </i>
    <i r="1">
      <x v="126"/>
    </i>
    <i>
      <x v="80"/>
    </i>
    <i r="1">
      <x v="31"/>
    </i>
    <i>
      <x v="81"/>
    </i>
    <i r="1">
      <x v="67"/>
    </i>
    <i>
      <x v="82"/>
    </i>
    <i r="1">
      <x v="32"/>
    </i>
    <i>
      <x v="83"/>
    </i>
    <i r="1">
      <x v="1"/>
    </i>
    <i>
      <x v="84"/>
    </i>
    <i r="1">
      <x v="22"/>
    </i>
    <i>
      <x v="85"/>
    </i>
    <i r="1">
      <x v="144"/>
    </i>
    <i>
      <x v="86"/>
    </i>
    <i r="1">
      <x v="144"/>
    </i>
    <i>
      <x v="87"/>
    </i>
    <i r="1">
      <x v="125"/>
    </i>
    <i>
      <x v="88"/>
    </i>
    <i r="1">
      <x v="84"/>
    </i>
    <i>
      <x v="89"/>
    </i>
    <i r="1">
      <x v="145"/>
    </i>
    <i>
      <x v="90"/>
    </i>
    <i r="1">
      <x v="127"/>
    </i>
    <i>
      <x v="91"/>
    </i>
    <i r="1">
      <x v="70"/>
    </i>
    <i>
      <x v="92"/>
    </i>
    <i r="1">
      <x v="69"/>
    </i>
    <i>
      <x v="93"/>
    </i>
    <i r="1">
      <x v="101"/>
    </i>
    <i>
      <x v="94"/>
    </i>
    <i r="1">
      <x v="145"/>
    </i>
    <i>
      <x v="95"/>
    </i>
    <i r="1">
      <x v="135"/>
    </i>
    <i>
      <x v="96"/>
    </i>
    <i r="1">
      <x v="72"/>
    </i>
    <i>
      <x v="97"/>
    </i>
    <i r="1">
      <x v="1"/>
    </i>
    <i>
      <x v="98"/>
    </i>
    <i r="1">
      <x v="60"/>
    </i>
    <i>
      <x v="99"/>
    </i>
    <i r="1">
      <x v="94"/>
    </i>
    <i>
      <x v="100"/>
    </i>
    <i r="1">
      <x v="94"/>
    </i>
    <i>
      <x v="101"/>
    </i>
    <i r="1">
      <x v="80"/>
    </i>
    <i>
      <x v="102"/>
    </i>
    <i r="1">
      <x v="22"/>
    </i>
    <i>
      <x v="103"/>
    </i>
    <i r="1">
      <x v="130"/>
    </i>
    <i>
      <x v="104"/>
    </i>
    <i r="1">
      <x v="59"/>
    </i>
    <i>
      <x v="105"/>
    </i>
    <i r="1">
      <x v="52"/>
    </i>
    <i>
      <x v="106"/>
    </i>
    <i r="1">
      <x v="22"/>
    </i>
    <i>
      <x v="107"/>
    </i>
    <i r="1">
      <x v="65"/>
    </i>
    <i>
      <x v="108"/>
    </i>
    <i r="1">
      <x v="73"/>
    </i>
    <i>
      <x v="109"/>
    </i>
    <i r="1">
      <x v="135"/>
    </i>
    <i>
      <x v="110"/>
    </i>
    <i r="1">
      <x v="119"/>
    </i>
    <i>
      <x v="111"/>
    </i>
    <i r="1">
      <x v="6"/>
    </i>
    <i>
      <x v="112"/>
    </i>
    <i r="1">
      <x v="115"/>
    </i>
    <i>
      <x v="113"/>
    </i>
    <i r="1">
      <x v="135"/>
    </i>
    <i>
      <x v="114"/>
    </i>
    <i r="1">
      <x v="138"/>
    </i>
    <i>
      <x v="115"/>
    </i>
    <i r="1">
      <x v="23"/>
    </i>
    <i>
      <x v="116"/>
    </i>
    <i r="1">
      <x v="105"/>
    </i>
    <i>
      <x v="117"/>
    </i>
    <i r="1">
      <x v="110"/>
    </i>
    <i>
      <x v="118"/>
    </i>
    <i r="1">
      <x v="51"/>
    </i>
    <i>
      <x v="119"/>
    </i>
    <i r="1">
      <x v="116"/>
    </i>
    <i>
      <x v="120"/>
    </i>
    <i r="1">
      <x v="68"/>
    </i>
    <i>
      <x v="121"/>
    </i>
    <i r="1">
      <x v="23"/>
    </i>
    <i>
      <x v="122"/>
    </i>
    <i r="1">
      <x v="29"/>
    </i>
    <i>
      <x v="123"/>
    </i>
    <i r="1">
      <x v="102"/>
    </i>
    <i>
      <x v="124"/>
    </i>
    <i r="1">
      <x v="135"/>
    </i>
    <i>
      <x v="125"/>
    </i>
    <i r="1">
      <x v="23"/>
    </i>
    <i>
      <x v="126"/>
    </i>
    <i r="1">
      <x v="85"/>
    </i>
    <i>
      <x v="127"/>
    </i>
    <i r="1">
      <x v="59"/>
    </i>
    <i>
      <x v="128"/>
    </i>
    <i r="1">
      <x v="135"/>
    </i>
    <i>
      <x v="129"/>
    </i>
    <i r="1">
      <x v="119"/>
    </i>
    <i>
      <x v="130"/>
    </i>
    <i r="1">
      <x v="74"/>
    </i>
    <i>
      <x v="131"/>
    </i>
    <i r="1">
      <x v="6"/>
    </i>
    <i>
      <x v="132"/>
    </i>
    <i r="1">
      <x v="84"/>
    </i>
    <i>
      <x v="133"/>
    </i>
    <i r="1">
      <x v="74"/>
    </i>
    <i>
      <x v="134"/>
    </i>
    <i r="1">
      <x v="110"/>
    </i>
    <i>
      <x v="135"/>
    </i>
    <i r="1">
      <x v="21"/>
    </i>
    <i>
      <x v="136"/>
    </i>
    <i r="1">
      <x v="119"/>
    </i>
    <i>
      <x v="137"/>
    </i>
    <i r="1">
      <x v="71"/>
    </i>
    <i>
      <x v="138"/>
    </i>
    <i r="1">
      <x v="8"/>
    </i>
    <i>
      <x v="139"/>
    </i>
    <i r="1">
      <x v="84"/>
    </i>
    <i>
      <x v="140"/>
    </i>
    <i r="1">
      <x v="119"/>
    </i>
    <i>
      <x v="141"/>
    </i>
    <i r="1">
      <x v="105"/>
    </i>
    <i>
      <x v="142"/>
    </i>
    <i r="1">
      <x v="44"/>
    </i>
    <i>
      <x v="143"/>
    </i>
    <i r="1">
      <x v="33"/>
    </i>
    <i>
      <x v="144"/>
    </i>
    <i r="1">
      <x v="19"/>
    </i>
    <i>
      <x v="145"/>
    </i>
    <i r="1">
      <x v="20"/>
    </i>
    <i>
      <x v="146"/>
    </i>
    <i r="1">
      <x v="147"/>
    </i>
    <i>
      <x v="147"/>
    </i>
    <i r="1">
      <x v="99"/>
    </i>
    <i>
      <x v="148"/>
    </i>
    <i r="1">
      <x v="23"/>
    </i>
    <i>
      <x v="149"/>
    </i>
    <i r="1">
      <x v="61"/>
    </i>
    <i>
      <x v="150"/>
    </i>
    <i r="1">
      <x v="18"/>
    </i>
    <i>
      <x v="151"/>
    </i>
    <i r="1">
      <x v="10"/>
    </i>
    <i>
      <x v="152"/>
    </i>
    <i r="1">
      <x v="135"/>
    </i>
    <i>
      <x v="153"/>
    </i>
    <i r="1">
      <x v="13"/>
    </i>
    <i>
      <x v="154"/>
    </i>
    <i r="1">
      <x v="34"/>
    </i>
    <i>
      <x v="155"/>
    </i>
    <i r="1">
      <x v="35"/>
    </i>
    <i>
      <x v="156"/>
    </i>
    <i r="1">
      <x v="36"/>
    </i>
    <i>
      <x v="157"/>
    </i>
    <i r="1">
      <x v="37"/>
    </i>
    <i>
      <x v="158"/>
    </i>
    <i r="1">
      <x v="59"/>
    </i>
    <i>
      <x v="159"/>
    </i>
    <i r="1">
      <x v="42"/>
    </i>
    <i>
      <x v="160"/>
    </i>
    <i r="1">
      <x v="134"/>
    </i>
    <i>
      <x v="161"/>
    </i>
    <i r="1">
      <x v="83"/>
    </i>
    <i>
      <x v="162"/>
    </i>
    <i r="1">
      <x v="84"/>
    </i>
    <i>
      <x v="163"/>
    </i>
    <i r="1">
      <x/>
    </i>
    <i>
      <x v="164"/>
    </i>
    <i r="1">
      <x v="126"/>
    </i>
    <i>
      <x v="165"/>
    </i>
    <i r="1">
      <x v="94"/>
    </i>
    <i>
      <x v="166"/>
    </i>
    <i r="1">
      <x v="81"/>
    </i>
    <i>
      <x v="167"/>
    </i>
    <i r="1">
      <x v="122"/>
    </i>
    <i>
      <x v="168"/>
    </i>
    <i r="1">
      <x v="147"/>
    </i>
    <i>
      <x v="169"/>
    </i>
    <i r="1">
      <x v="14"/>
    </i>
    <i>
      <x v="170"/>
    </i>
    <i r="1">
      <x v="78"/>
    </i>
    <i>
      <x v="171"/>
    </i>
    <i r="1">
      <x v="23"/>
    </i>
    <i>
      <x v="172"/>
    </i>
    <i r="1">
      <x v="24"/>
    </i>
    <i>
      <x v="173"/>
    </i>
    <i r="1">
      <x v="84"/>
    </i>
    <i>
      <x v="174"/>
    </i>
    <i r="1">
      <x v="3"/>
    </i>
    <i>
      <x v="175"/>
    </i>
    <i r="1">
      <x v="42"/>
    </i>
    <i>
      <x v="176"/>
    </i>
    <i r="1">
      <x v="84"/>
    </i>
    <i>
      <x v="177"/>
    </i>
    <i r="1">
      <x v="62"/>
    </i>
    <i>
      <x v="178"/>
    </i>
    <i r="1">
      <x v="66"/>
    </i>
    <i>
      <x v="179"/>
    </i>
    <i r="1">
      <x v="86"/>
    </i>
    <i>
      <x v="180"/>
    </i>
    <i r="1">
      <x v="62"/>
    </i>
    <i>
      <x v="181"/>
    </i>
    <i r="1">
      <x v="84"/>
    </i>
    <i>
      <x v="182"/>
    </i>
    <i r="1">
      <x v="94"/>
    </i>
    <i>
      <x v="183"/>
    </i>
    <i r="1">
      <x v="45"/>
    </i>
    <i>
      <x v="184"/>
    </i>
    <i r="1">
      <x v="135"/>
    </i>
    <i>
      <x v="185"/>
    </i>
    <i r="1">
      <x v="24"/>
    </i>
    <i>
      <x v="186"/>
    </i>
    <i r="1">
      <x v="87"/>
    </i>
    <i>
      <x v="187"/>
    </i>
    <i r="1">
      <x v="112"/>
    </i>
    <i>
      <x v="188"/>
    </i>
    <i r="1">
      <x v="41"/>
    </i>
    <i>
      <x v="189"/>
    </i>
    <i r="1">
      <x v="94"/>
    </i>
    <i>
      <x v="190"/>
    </i>
    <i r="1">
      <x v="7"/>
    </i>
    <i>
      <x v="191"/>
    </i>
    <i r="1">
      <x v="126"/>
    </i>
    <i>
      <x v="192"/>
    </i>
    <i r="1">
      <x v="147"/>
    </i>
    <i>
      <x v="193"/>
    </i>
    <i r="1">
      <x v="93"/>
    </i>
    <i>
      <x v="194"/>
    </i>
    <i r="1">
      <x v="88"/>
    </i>
    <i>
      <x v="195"/>
    </i>
    <i r="1">
      <x v="17"/>
    </i>
    <i>
      <x v="196"/>
    </i>
    <i r="1">
      <x v="75"/>
    </i>
    <i>
      <x v="197"/>
    </i>
    <i r="1">
      <x v="27"/>
    </i>
    <i>
      <x v="198"/>
    </i>
    <i r="1">
      <x v="147"/>
    </i>
    <i>
      <x v="199"/>
    </i>
    <i r="1">
      <x v="33"/>
    </i>
    <i>
      <x v="200"/>
    </i>
    <i r="1">
      <x v="91"/>
    </i>
    <i>
      <x v="201"/>
    </i>
    <i r="1">
      <x v="94"/>
    </i>
    <i>
      <x v="202"/>
    </i>
    <i r="1">
      <x v="26"/>
    </i>
    <i>
      <x v="203"/>
    </i>
    <i r="1">
      <x v="98"/>
    </i>
    <i>
      <x v="204"/>
    </i>
    <i r="1">
      <x v="59"/>
    </i>
    <i>
      <x v="205"/>
    </i>
    <i r="1">
      <x v="104"/>
    </i>
    <i>
      <x v="206"/>
    </i>
    <i r="1">
      <x v="15"/>
    </i>
    <i>
      <x v="207"/>
    </i>
    <i r="1">
      <x v="16"/>
    </i>
    <i>
      <x v="208"/>
    </i>
    <i r="1">
      <x v="12"/>
    </i>
    <i>
      <x v="209"/>
    </i>
    <i r="1">
      <x v="98"/>
    </i>
    <i>
      <x v="210"/>
    </i>
    <i r="1">
      <x v="65"/>
    </i>
    <i>
      <x v="211"/>
    </i>
    <i r="1">
      <x v="132"/>
    </i>
    <i>
      <x v="212"/>
    </i>
    <i r="1">
      <x v="86"/>
    </i>
    <i>
      <x v="213"/>
    </i>
    <i r="1">
      <x v="98"/>
    </i>
    <i>
      <x v="214"/>
    </i>
    <i r="1">
      <x v="20"/>
    </i>
    <i>
      <x v="215"/>
    </i>
    <i r="1">
      <x v="120"/>
    </i>
    <i>
      <x v="216"/>
    </i>
    <i r="1">
      <x/>
    </i>
    <i>
      <x v="217"/>
    </i>
    <i r="1">
      <x v="4"/>
    </i>
    <i>
      <x v="218"/>
    </i>
    <i r="1">
      <x v="123"/>
    </i>
    <i>
      <x v="219"/>
    </i>
    <i r="1">
      <x v="94"/>
    </i>
    <i>
      <x v="220"/>
    </i>
    <i r="1">
      <x v="86"/>
    </i>
    <i>
      <x v="221"/>
    </i>
    <i r="1">
      <x v="94"/>
    </i>
    <i>
      <x v="222"/>
    </i>
    <i r="1">
      <x v="132"/>
    </i>
    <i>
      <x v="223"/>
    </i>
    <i r="1">
      <x v="133"/>
    </i>
    <i>
      <x v="224"/>
    </i>
    <i r="1">
      <x v="94"/>
    </i>
    <i>
      <x v="225"/>
    </i>
    <i r="1">
      <x v="94"/>
    </i>
    <i>
      <x v="226"/>
    </i>
    <i r="1">
      <x v="86"/>
    </i>
    <i>
      <x v="227"/>
    </i>
    <i r="1">
      <x v="89"/>
    </i>
    <i>
      <x v="228"/>
    </i>
    <i r="1">
      <x v="55"/>
    </i>
    <i>
      <x v="229"/>
    </i>
    <i r="1">
      <x v="1"/>
    </i>
    <i>
      <x v="230"/>
    </i>
    <i r="1">
      <x v="47"/>
    </i>
    <i>
      <x v="231"/>
    </i>
    <i r="1">
      <x v="76"/>
    </i>
    <i>
      <x v="232"/>
    </i>
    <i r="1">
      <x v="11"/>
    </i>
    <i>
      <x v="233"/>
    </i>
    <i r="1">
      <x v="9"/>
    </i>
    <i>
      <x v="234"/>
    </i>
    <i r="1">
      <x v="30"/>
    </i>
    <i>
      <x v="235"/>
    </i>
    <i r="1">
      <x v="121"/>
    </i>
    <i>
      <x v="236"/>
    </i>
    <i r="1">
      <x v="49"/>
    </i>
    <i>
      <x v="237"/>
    </i>
    <i r="1">
      <x v="50"/>
    </i>
    <i>
      <x v="238"/>
    </i>
    <i r="1">
      <x v="146"/>
    </i>
    <i>
      <x v="239"/>
    </i>
    <i r="1">
      <x v="46"/>
    </i>
    <i>
      <x v="240"/>
    </i>
    <i r="1">
      <x v="6"/>
    </i>
    <i>
      <x v="241"/>
    </i>
    <i r="1">
      <x v="20"/>
    </i>
    <i>
      <x v="242"/>
    </i>
    <i r="1">
      <x v="25"/>
    </i>
    <i>
      <x v="243"/>
    </i>
    <i r="1">
      <x v="48"/>
    </i>
    <i>
      <x v="244"/>
    </i>
    <i r="1">
      <x v="40"/>
    </i>
    <i>
      <x v="245"/>
    </i>
    <i r="1">
      <x v="43"/>
    </i>
    <i>
      <x v="246"/>
    </i>
    <i r="1">
      <x v="48"/>
    </i>
    <i>
      <x v="247"/>
    </i>
    <i r="1">
      <x v="39"/>
    </i>
    <i>
      <x v="248"/>
    </i>
    <i r="1">
      <x v="63"/>
    </i>
    <i>
      <x v="249"/>
    </i>
    <i r="1">
      <x v="14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7FFA3-33DD-4845-819F-036D7F304711}" name="Tableau croisé dynamique25" cacheId="105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A255" firstHeaderRow="1" firstDataRow="1" firstDataCol="1"/>
  <pivotFields count="9">
    <pivotField showAll="0"/>
    <pivotField axis="axisRow" showAll="0">
      <items count="2">
        <item x="0"/>
        <item t="default"/>
      </items>
    </pivotField>
    <pivotField showAll="0"/>
    <pivotField axis="axisRow" showAll="0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2"/>
        <item x="161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7"/>
        <item x="195"/>
        <item x="196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10"/>
        <item x="209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3"/>
        <item x="222"/>
        <item x="224"/>
        <item x="225"/>
        <item x="226"/>
        <item x="227"/>
        <item x="228"/>
        <item x="229"/>
        <item x="230"/>
        <item x="233"/>
        <item x="231"/>
        <item x="232"/>
        <item x="235"/>
        <item x="238"/>
        <item x="234"/>
        <item x="236"/>
        <item x="237"/>
        <item x="239"/>
        <item x="242"/>
        <item x="240"/>
        <item x="241"/>
        <item x="243"/>
        <item x="244"/>
        <item x="245"/>
        <item x="246"/>
        <item x="248"/>
        <item x="247"/>
        <item x="249"/>
        <item t="default"/>
      </items>
    </pivotField>
    <pivotField showAll="0"/>
    <pivotField showAll="0"/>
    <pivotField showAll="0"/>
    <pivotField showAll="0"/>
    <pivotField showAll="0"/>
  </pivotFields>
  <rowFields count="2">
    <field x="1"/>
    <field x="3"/>
  </rowFields>
  <rowItems count="25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F7FE9E-69A9-49EF-8A77-3D846D514091}" name="Tableau croisé dynamique26" cacheId="109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A155" firstHeaderRow="1" firstDataRow="1" firstDataCol="1"/>
  <pivotFields count="9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axis="axisRow" showAll="0">
      <items count="149">
        <item x="98"/>
        <item x="55"/>
        <item x="32"/>
        <item x="104"/>
        <item x="127"/>
        <item x="47"/>
        <item x="68"/>
        <item x="112"/>
        <item x="81"/>
        <item x="134"/>
        <item x="89"/>
        <item x="133"/>
        <item x="124"/>
        <item x="90"/>
        <item x="101"/>
        <item x="122"/>
        <item x="123"/>
        <item x="117"/>
        <item x="88"/>
        <item x="84"/>
        <item x="85"/>
        <item x="79"/>
        <item x="33"/>
        <item x="70"/>
        <item x="103"/>
        <item x="142"/>
        <item x="119"/>
        <item x="116"/>
        <item x="31"/>
        <item x="75"/>
        <item x="137"/>
        <item x="52"/>
        <item x="54"/>
        <item x="83"/>
        <item x="91"/>
        <item x="92"/>
        <item x="93"/>
        <item x="94"/>
        <item x="16"/>
        <item x="147"/>
        <item x="144"/>
        <item x="111"/>
        <item x="95"/>
        <item x="145"/>
        <item x="82"/>
        <item x="108"/>
        <item x="141"/>
        <item x="132"/>
        <item x="143"/>
        <item x="136"/>
        <item x="138"/>
        <item x="72"/>
        <item x="66"/>
        <item x="24"/>
        <item x="14"/>
        <item x="131"/>
        <item x="2"/>
        <item x="8"/>
        <item x="34"/>
        <item x="65"/>
        <item x="62"/>
        <item x="87"/>
        <item x="105"/>
        <item x="146"/>
        <item x="35"/>
        <item x="44"/>
        <item x="106"/>
        <item x="53"/>
        <item x="74"/>
        <item x="60"/>
        <item x="59"/>
        <item x="80"/>
        <item x="45"/>
        <item x="40"/>
        <item x="78"/>
        <item x="115"/>
        <item x="135"/>
        <item x="46"/>
        <item x="102"/>
        <item x="39"/>
        <item x="63"/>
        <item x="99"/>
        <item x="13"/>
        <item x="97"/>
        <item x="12"/>
        <item x="77"/>
        <item x="107"/>
        <item x="109"/>
        <item x="114"/>
        <item x="130"/>
        <item x="5"/>
        <item x="118"/>
        <item x="30"/>
        <item x="113"/>
        <item x="41"/>
        <item x="37"/>
        <item x="9"/>
        <item x="21"/>
        <item x="120"/>
        <item x="86"/>
        <item x="11"/>
        <item x="61"/>
        <item x="76"/>
        <item x="36"/>
        <item x="121"/>
        <item x="71"/>
        <item x="50"/>
        <item x="20"/>
        <item x="23"/>
        <item x="0"/>
        <item x="18"/>
        <item x="19"/>
        <item x="110"/>
        <item x="38"/>
        <item x="42"/>
        <item x="43"/>
        <item x="73"/>
        <item x="6"/>
        <item x="15"/>
        <item x="67"/>
        <item x="126"/>
        <item x="140"/>
        <item x="100"/>
        <item x="128"/>
        <item x="49"/>
        <item x="57"/>
        <item x="1"/>
        <item x="58"/>
        <item x="51"/>
        <item x="4"/>
        <item x="64"/>
        <item x="17"/>
        <item x="125"/>
        <item x="129"/>
        <item x="96"/>
        <item x="48"/>
        <item x="25"/>
        <item x="26"/>
        <item x="69"/>
        <item x="3"/>
        <item x="22"/>
        <item x="28"/>
        <item x="29"/>
        <item x="27"/>
        <item x="56"/>
        <item x="10"/>
        <item x="139"/>
        <item x="7"/>
        <item t="default"/>
      </items>
    </pivotField>
    <pivotField showAll="0"/>
    <pivotField showAll="0"/>
    <pivotField showAll="0"/>
    <pivotField showAll="0"/>
  </pivotFields>
  <rowFields count="2">
    <field x="2"/>
    <field x="4"/>
  </rowFields>
  <rowItems count="15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>
      <x v="1"/>
    </i>
    <i r="1">
      <x v="14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0E4E49-25A8-4E04-A020-390C11E2D176}" name="Tableau croisé dynamique27" cacheId="113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A5995" firstHeaderRow="1" firstDataRow="1" firstDataCol="1"/>
  <pivotFields count="9">
    <pivotField showAll="0"/>
    <pivotField showAll="0"/>
    <pivotField axis="axisRow" showAll="0">
      <items count="3">
        <item x="0"/>
        <item x="1"/>
        <item t="default"/>
      </items>
    </pivotField>
    <pivotField axis="axisRow" showAll="0">
      <items count="5990">
        <item x="972"/>
        <item x="973"/>
        <item x="5949"/>
        <item x="974"/>
        <item x="975"/>
        <item x="976"/>
        <item x="1002"/>
        <item x="916"/>
        <item x="5468"/>
        <item x="5"/>
        <item x="4300"/>
        <item x="1082"/>
        <item x="1083"/>
        <item x="1084"/>
        <item x="1085"/>
        <item x="1086"/>
        <item x="961"/>
        <item x="1087"/>
        <item x="1088"/>
        <item x="5469"/>
        <item x="1089"/>
        <item x="1090"/>
        <item x="1067"/>
        <item x="1091"/>
        <item x="1561"/>
        <item x="922"/>
        <item x="978"/>
        <item x="979"/>
        <item x="996"/>
        <item x="985"/>
        <item x="4186"/>
        <item x="997"/>
        <item x="1001"/>
        <item x="4702"/>
        <item x="1019"/>
        <item x="1020"/>
        <item x="659"/>
        <item x="924"/>
        <item x="1048"/>
        <item x="4713"/>
        <item x="1731"/>
        <item x="1378"/>
        <item x="1379"/>
        <item x="1380"/>
        <item x="1381"/>
        <item x="1382"/>
        <item x="837"/>
        <item x="838"/>
        <item x="1455"/>
        <item x="839"/>
        <item x="1456"/>
        <item x="840"/>
        <item x="1457"/>
        <item x="841"/>
        <item x="1458"/>
        <item x="4692"/>
        <item x="4693"/>
        <item x="1506"/>
        <item x="1507"/>
        <item x="1508"/>
        <item x="931"/>
        <item x="932"/>
        <item x="913"/>
        <item x="914"/>
        <item x="915"/>
        <item x="1564"/>
        <item x="1642"/>
        <item x="1643"/>
        <item x="1644"/>
        <item x="1748"/>
        <item x="4753"/>
        <item x="5355"/>
        <item x="1718"/>
        <item x="1719"/>
        <item x="1720"/>
        <item x="1721"/>
        <item x="4698"/>
        <item x="941"/>
        <item x="4754"/>
        <item x="11"/>
        <item x="1752"/>
        <item x="4401"/>
        <item x="3121"/>
        <item x="4777"/>
        <item x="3772"/>
        <item x="3773"/>
        <item x="1863"/>
        <item x="1874"/>
        <item x="1759"/>
        <item x="4261"/>
        <item x="5374"/>
        <item x="309"/>
        <item x="3270"/>
        <item x="4306"/>
        <item x="1760"/>
        <item x="3378"/>
        <item x="45"/>
        <item x="48"/>
        <item x="57"/>
        <item x="38"/>
        <item x="32"/>
        <item x="21"/>
        <item x="26"/>
        <item x="27"/>
        <item x="39"/>
        <item x="49"/>
        <item x="64"/>
        <item x="5114"/>
        <item x="50"/>
        <item x="1889"/>
        <item x="341"/>
        <item x="74"/>
        <item x="4431"/>
        <item x="1908"/>
        <item x="977"/>
        <item x="1765"/>
        <item x="917"/>
        <item x="85"/>
        <item x="4226"/>
        <item x="4148"/>
        <item x="982"/>
        <item x="983"/>
        <item x="989"/>
        <item x="3735"/>
        <item x="995"/>
        <item x="2872"/>
        <item x="3127"/>
        <item x="1912"/>
        <item x="1917"/>
        <item x="3650"/>
        <item x="2911"/>
        <item x="3558"/>
        <item x="1770"/>
        <item x="4240"/>
        <item x="5399"/>
        <item x="1935"/>
        <item x="4279"/>
        <item x="606"/>
        <item x="3793"/>
        <item x="1771"/>
        <item x="72"/>
        <item x="5318"/>
        <item x="70"/>
        <item x="86"/>
        <item x="106"/>
        <item x="107"/>
        <item x="79"/>
        <item x="98"/>
        <item x="99"/>
        <item x="4959"/>
        <item x="4345"/>
        <item x="4354"/>
        <item x="1025"/>
        <item x="1772"/>
        <item x="3741"/>
        <item x="109"/>
        <item x="5298"/>
        <item x="113"/>
        <item x="5424"/>
        <item x="4463"/>
        <item x="117"/>
        <item x="122"/>
        <item x="1034"/>
        <item x="1035"/>
        <item x="5449"/>
        <item x="1036"/>
        <item x="2751"/>
        <item x="2977"/>
        <item x="3061"/>
        <item x="3242"/>
        <item x="3495"/>
        <item x="936"/>
        <item x="1428"/>
        <item x="1865"/>
        <item x="1993"/>
        <item x="1916"/>
        <item x="5638"/>
        <item x="61"/>
        <item x="5639"/>
        <item x="4110"/>
        <item x="3588"/>
        <item x="4656"/>
        <item x="5492"/>
        <item x="7"/>
        <item x="14"/>
        <item x="15"/>
        <item x="22"/>
        <item x="23"/>
        <item x="28"/>
        <item x="31"/>
        <item x="33"/>
        <item x="34"/>
        <item x="35"/>
        <item x="40"/>
        <item x="41"/>
        <item x="46"/>
        <item x="62"/>
        <item x="63"/>
        <item x="71"/>
        <item x="75"/>
        <item x="76"/>
        <item x="77"/>
        <item x="80"/>
        <item x="81"/>
        <item x="91"/>
        <item x="92"/>
        <item x="111"/>
        <item x="114"/>
        <item x="118"/>
        <item x="119"/>
        <item x="120"/>
        <item x="123"/>
        <item x="131"/>
        <item x="133"/>
        <item x="134"/>
        <item x="135"/>
        <item x="143"/>
        <item x="144"/>
        <item x="155"/>
        <item x="158"/>
        <item x="163"/>
        <item x="164"/>
        <item x="165"/>
        <item x="167"/>
        <item x="168"/>
        <item x="178"/>
        <item x="182"/>
        <item x="183"/>
        <item x="190"/>
        <item x="191"/>
        <item x="192"/>
        <item x="198"/>
        <item x="200"/>
        <item x="205"/>
        <item x="206"/>
        <item x="211"/>
        <item x="216"/>
        <item x="221"/>
        <item x="227"/>
        <item x="236"/>
        <item x="237"/>
        <item x="238"/>
        <item x="249"/>
        <item x="251"/>
        <item x="252"/>
        <item x="253"/>
        <item x="254"/>
        <item x="255"/>
        <item x="262"/>
        <item x="263"/>
        <item x="264"/>
        <item x="265"/>
        <item x="266"/>
        <item x="272"/>
        <item x="276"/>
        <item x="288"/>
        <item x="300"/>
        <item x="301"/>
        <item x="302"/>
        <item x="307"/>
        <item x="310"/>
        <item x="316"/>
        <item x="317"/>
        <item x="318"/>
        <item x="321"/>
        <item x="322"/>
        <item x="340"/>
        <item x="342"/>
        <item x="352"/>
        <item x="353"/>
        <item x="355"/>
        <item x="356"/>
        <item x="362"/>
        <item x="363"/>
        <item x="368"/>
        <item x="369"/>
        <item x="370"/>
        <item x="388"/>
        <item x="389"/>
        <item x="393"/>
        <item x="401"/>
        <item x="407"/>
        <item x="422"/>
        <item x="420"/>
        <item x="423"/>
        <item x="425"/>
        <item x="426"/>
        <item x="430"/>
        <item x="431"/>
        <item x="436"/>
        <item x="437"/>
        <item x="448"/>
        <item x="449"/>
        <item x="450"/>
        <item x="457"/>
        <item x="462"/>
        <item x="465"/>
        <item x="472"/>
        <item x="475"/>
        <item x="476"/>
        <item x="477"/>
        <item x="491"/>
        <item x="492"/>
        <item x="499"/>
        <item x="500"/>
        <item x="515"/>
        <item x="522"/>
        <item x="523"/>
        <item x="536"/>
        <item x="537"/>
        <item x="538"/>
        <item x="539"/>
        <item x="540"/>
        <item x="541"/>
        <item x="542"/>
        <item x="543"/>
        <item x="549"/>
        <item x="570"/>
        <item x="571"/>
        <item x="572"/>
        <item x="576"/>
        <item x="582"/>
        <item x="583"/>
        <item x="584"/>
        <item x="597"/>
        <item x="598"/>
        <item x="600"/>
        <item x="604"/>
        <item x="605"/>
        <item x="611"/>
        <item x="612"/>
        <item x="614"/>
        <item x="624"/>
        <item x="625"/>
        <item x="626"/>
        <item x="630"/>
        <item x="635"/>
        <item x="636"/>
        <item x="654"/>
        <item x="657"/>
        <item x="661"/>
        <item x="669"/>
        <item x="670"/>
        <item x="676"/>
        <item x="685"/>
        <item x="683"/>
        <item x="686"/>
        <item x="708"/>
        <item x="709"/>
        <item x="710"/>
        <item x="713"/>
        <item x="714"/>
        <item x="719"/>
        <item x="720"/>
        <item x="721"/>
        <item x="727"/>
        <item x="728"/>
        <item x="732"/>
        <item x="735"/>
        <item x="745"/>
        <item x="748"/>
        <item x="749"/>
        <item x="752"/>
        <item x="753"/>
        <item x="760"/>
        <item x="761"/>
        <item x="762"/>
        <item x="763"/>
        <item x="764"/>
        <item x="769"/>
        <item x="770"/>
        <item x="771"/>
        <item x="777"/>
        <item x="781"/>
        <item x="794"/>
        <item x="795"/>
        <item x="798"/>
        <item x="801"/>
        <item x="802"/>
        <item x="809"/>
        <item x="810"/>
        <item x="816"/>
        <item x="817"/>
        <item x="824"/>
        <item x="825"/>
        <item x="826"/>
        <item x="836"/>
        <item x="845"/>
        <item x="852"/>
        <item x="853"/>
        <item x="861"/>
        <item x="862"/>
        <item x="864"/>
        <item x="865"/>
        <item x="866"/>
        <item x="871"/>
        <item x="872"/>
        <item x="887"/>
        <item x="888"/>
        <item x="889"/>
        <item x="890"/>
        <item x="895"/>
        <item x="903"/>
        <item x="907"/>
        <item x="912"/>
        <item x="918"/>
        <item x="923"/>
        <item x="926"/>
        <item x="927"/>
        <item x="929"/>
        <item x="930"/>
        <item x="935"/>
        <item x="956"/>
        <item x="957"/>
        <item x="963"/>
        <item x="964"/>
        <item x="965"/>
        <item x="966"/>
        <item x="967"/>
        <item x="968"/>
        <item x="969"/>
        <item x="970"/>
        <item x="971"/>
        <item x="988"/>
        <item x="999"/>
        <item x="993"/>
        <item x="1003"/>
        <item x="1004"/>
        <item x="1010"/>
        <item x="1011"/>
        <item x="1021"/>
        <item x="1024"/>
        <item x="1027"/>
        <item x="1028"/>
        <item x="1031"/>
        <item x="1040"/>
        <item x="1041"/>
        <item x="1042"/>
        <item x="1043"/>
        <item x="1044"/>
        <item x="1050"/>
        <item x="1051"/>
        <item x="1052"/>
        <item x="1062"/>
        <item x="1063"/>
        <item x="1064"/>
        <item x="1081"/>
        <item x="1093"/>
        <item x="1094"/>
        <item x="1095"/>
        <item x="1099"/>
        <item x="1100"/>
        <item x="1105"/>
        <item x="1106"/>
        <item x="1110"/>
        <item x="1111"/>
        <item x="1117"/>
        <item x="1118"/>
        <item x="1121"/>
        <item x="1122"/>
        <item x="1127"/>
        <item x="1132"/>
        <item x="1144"/>
        <item x="1143"/>
        <item x="1145"/>
        <item x="1146"/>
        <item x="1150"/>
        <item x="1151"/>
        <item x="1152"/>
        <item x="1157"/>
        <item x="1158"/>
        <item x="1162"/>
        <item x="1166"/>
        <item x="1175"/>
        <item x="1167"/>
        <item x="1176"/>
        <item x="1177"/>
        <item x="1178"/>
        <item x="1183"/>
        <item x="1184"/>
        <item x="1213"/>
        <item x="1214"/>
        <item x="1222"/>
        <item x="1225"/>
        <item x="1229"/>
        <item x="1242"/>
        <item x="1239"/>
        <item x="1240"/>
        <item x="1247"/>
        <item x="1255"/>
        <item x="1256"/>
        <item x="1257"/>
        <item x="1261"/>
        <item x="1268"/>
        <item x="1272"/>
        <item x="1273"/>
        <item x="1279"/>
        <item x="1286"/>
        <item x="1295"/>
        <item x="1296"/>
        <item x="1297"/>
        <item x="1299"/>
        <item x="1300"/>
        <item x="1303"/>
        <item x="1304"/>
        <item x="1312"/>
        <item x="1313"/>
        <item x="1317"/>
        <item x="1318"/>
        <item x="1320"/>
        <item x="1332"/>
        <item x="1340"/>
        <item x="1341"/>
        <item x="1343"/>
        <item x="1344"/>
        <item x="1351"/>
        <item x="1352"/>
        <item x="1353"/>
        <item x="1357"/>
        <item x="1358"/>
        <item x="1375"/>
        <item x="1376"/>
        <item x="1384"/>
        <item x="1385"/>
        <item x="1389"/>
        <item x="1390"/>
        <item x="1391"/>
        <item x="1404"/>
        <item x="1405"/>
        <item x="1409"/>
        <item x="1410"/>
        <item x="1411"/>
        <item x="1412"/>
        <item x="1427"/>
        <item x="1429"/>
        <item x="1430"/>
        <item x="1434"/>
        <item x="1442"/>
        <item x="1443"/>
        <item x="1446"/>
        <item x="1447"/>
        <item x="1451"/>
        <item x="1452"/>
        <item x="1460"/>
        <item x="1461"/>
        <item x="1464"/>
        <item x="1465"/>
        <item x="1479"/>
        <item x="1480"/>
        <item x="1488"/>
        <item x="1492"/>
        <item x="1493"/>
        <item x="1494"/>
        <item x="1496"/>
        <item x="1512"/>
        <item x="1513"/>
        <item x="1514"/>
        <item x="1515"/>
        <item x="1529"/>
        <item x="1534"/>
        <item x="1539"/>
        <item x="1543"/>
        <item x="1549"/>
        <item x="1550"/>
        <item x="1554"/>
        <item x="1555"/>
        <item x="1558"/>
        <item x="1567"/>
        <item x="1568"/>
        <item x="1571"/>
        <item x="1528"/>
        <item x="1572"/>
        <item x="1577"/>
        <item x="1584"/>
        <item x="1585"/>
        <item x="1586"/>
        <item x="1593"/>
        <item x="1598"/>
        <item x="1599"/>
        <item x="1607"/>
        <item x="1608"/>
        <item x="1609"/>
        <item x="1610"/>
        <item x="1623"/>
        <item x="1627"/>
        <item x="1629"/>
        <item x="1632"/>
        <item x="1638"/>
        <item x="1640"/>
        <item x="1652"/>
        <item x="1653"/>
        <item x="1659"/>
        <item x="1663"/>
        <item x="1669"/>
        <item x="1670"/>
        <item x="1671"/>
        <item x="1672"/>
        <item x="1673"/>
        <item x="1682"/>
        <item x="1674"/>
        <item x="1683"/>
        <item x="1684"/>
        <item x="1685"/>
        <item x="1692"/>
        <item x="1693"/>
        <item x="1703"/>
        <item x="1717"/>
        <item x="1724"/>
        <item x="1725"/>
        <item x="1728"/>
        <item x="1729"/>
        <item x="1732"/>
        <item x="1740"/>
        <item x="1747"/>
        <item x="1750"/>
        <item x="1751"/>
        <item x="1757"/>
        <item x="1758"/>
        <item x="1763"/>
        <item x="1767"/>
        <item x="1768"/>
        <item x="1769"/>
        <item x="1774"/>
        <item x="1777"/>
        <item x="1778"/>
        <item x="1786"/>
        <item x="1793"/>
        <item x="1808"/>
        <item x="1809"/>
        <item x="1810"/>
        <item x="1818"/>
        <item x="1820"/>
        <item x="1821"/>
        <item x="1826"/>
        <item x="1831"/>
        <item x="1836"/>
        <item x="1851"/>
        <item x="1854"/>
        <item x="1855"/>
        <item x="1860"/>
        <item x="1870"/>
        <item x="1871"/>
        <item x="1876"/>
        <item x="1880"/>
        <item x="1881"/>
        <item x="1890"/>
        <item x="1896"/>
        <item x="1897"/>
        <item x="1898"/>
        <item x="1909"/>
        <item x="1913"/>
        <item x="1918"/>
        <item x="1923"/>
        <item x="1924"/>
        <item x="1929"/>
        <item x="1936"/>
        <item x="1947"/>
        <item x="1948"/>
        <item x="1953"/>
        <item x="1959"/>
        <item x="1961"/>
        <item x="1962"/>
        <item x="1972"/>
        <item x="1974"/>
        <item x="1979"/>
        <item x="1975"/>
        <item x="1980"/>
        <item x="1981"/>
        <item x="1988"/>
        <item x="1997"/>
        <item x="1998"/>
        <item x="2011"/>
        <item x="2012"/>
        <item x="2019"/>
        <item x="2025"/>
        <item x="2033"/>
        <item x="2034"/>
        <item x="2042"/>
        <item x="2043"/>
        <item x="2044"/>
        <item x="2045"/>
        <item x="2046"/>
        <item x="2055"/>
        <item x="2056"/>
        <item x="2065"/>
        <item x="2066"/>
        <item x="2077"/>
        <item x="2079"/>
        <item x="2083"/>
        <item x="2084"/>
        <item x="2090"/>
        <item x="2091"/>
        <item x="2092"/>
        <item x="2113"/>
        <item x="2114"/>
        <item x="2120"/>
        <item x="2122"/>
        <item x="2127"/>
        <item x="2139"/>
        <item x="2143"/>
        <item x="2149"/>
        <item x="2155"/>
        <item x="2157"/>
        <item x="2158"/>
        <item x="2163"/>
        <item x="2168"/>
        <item x="2170"/>
        <item x="2178"/>
        <item x="2187"/>
        <item x="2188"/>
        <item x="2190"/>
        <item x="2191"/>
        <item x="2192"/>
        <item x="2193"/>
        <item x="5651"/>
        <item x="2216"/>
        <item x="2217"/>
        <item x="2218"/>
        <item x="2213"/>
        <item x="2214"/>
        <item x="2219"/>
        <item x="2220"/>
        <item x="2234"/>
        <item x="2235"/>
        <item x="2242"/>
        <item x="2243"/>
        <item x="2249"/>
        <item x="2252"/>
        <item x="2253"/>
        <item x="2264"/>
        <item x="2265"/>
        <item x="2266"/>
        <item x="2267"/>
        <item x="2271"/>
        <item x="2285"/>
        <item x="2292"/>
        <item x="4658"/>
        <item x="2296"/>
        <item x="2303"/>
        <item x="2308"/>
        <item x="2309"/>
        <item x="2310"/>
        <item x="2318"/>
        <item x="2319"/>
        <item x="2324"/>
        <item x="2336"/>
        <item x="2332"/>
        <item x="2339"/>
        <item x="2340"/>
        <item x="2341"/>
        <item x="2342"/>
        <item x="2345"/>
        <item x="2346"/>
        <item x="2347"/>
        <item x="2350"/>
        <item x="2367"/>
        <item x="2368"/>
        <item x="2369"/>
        <item x="2373"/>
        <item x="2377"/>
        <item x="2378"/>
        <item x="2379"/>
        <item x="2383"/>
        <item x="2384"/>
        <item x="2395"/>
        <item x="2396"/>
        <item x="2402"/>
        <item x="2403"/>
        <item x="2412"/>
        <item x="2417"/>
        <item x="2427"/>
        <item x="2429"/>
        <item x="2430"/>
        <item x="2431"/>
        <item x="2443"/>
        <item x="2444"/>
        <item x="2446"/>
        <item x="2451"/>
        <item x="2452"/>
        <item x="2459"/>
        <item x="2460"/>
        <item x="2461"/>
        <item x="2462"/>
        <item x="2468"/>
        <item x="2474"/>
        <item x="2476"/>
        <item x="2483"/>
        <item x="2484"/>
        <item x="2485"/>
        <item x="2486"/>
        <item x="2487"/>
        <item x="2491"/>
        <item x="2503"/>
        <item x="2504"/>
        <item x="2505"/>
        <item x="2516"/>
        <item x="2517"/>
        <item x="2518"/>
        <item x="2525"/>
        <item x="2526"/>
        <item x="2527"/>
        <item x="2530"/>
        <item x="2531"/>
        <item x="2532"/>
        <item x="2533"/>
        <item x="2534"/>
        <item x="2535"/>
        <item x="2542"/>
        <item x="2543"/>
        <item x="2552"/>
        <item x="2553"/>
        <item x="2554"/>
        <item x="2564"/>
        <item x="2565"/>
        <item x="2566"/>
        <item x="2569"/>
        <item x="2570"/>
        <item x="2571"/>
        <item x="2572"/>
        <item x="2573"/>
        <item x="2580"/>
        <item x="2581"/>
        <item x="2593"/>
        <item x="2594"/>
        <item x="2595"/>
        <item x="2596"/>
        <item x="2605"/>
        <item x="2597"/>
        <item x="2606"/>
        <item x="2607"/>
        <item x="2620"/>
        <item x="2628"/>
        <item x="2645"/>
        <item x="2649"/>
        <item x="2650"/>
        <item x="2651"/>
        <item x="2652"/>
        <item x="2659"/>
        <item x="2664"/>
        <item x="2665"/>
        <item x="2666"/>
        <item x="2674"/>
        <item x="2675"/>
        <item x="2678"/>
        <item x="2679"/>
        <item x="2687"/>
        <item x="2691"/>
        <item x="2692"/>
        <item x="2693"/>
        <item x="2694"/>
        <item x="2707"/>
        <item x="2714"/>
        <item x="2715"/>
        <item x="2717"/>
        <item x="2723"/>
        <item x="2724"/>
        <item x="2725"/>
        <item x="2726"/>
        <item x="2727"/>
        <item x="2728"/>
        <item x="2752"/>
        <item x="2753"/>
        <item x="2754"/>
        <item x="5652"/>
        <item x="2760"/>
        <item x="2761"/>
        <item x="2773"/>
        <item x="2776"/>
        <item x="2777"/>
        <item x="2778"/>
        <item x="2789"/>
        <item x="2790"/>
        <item x="2791"/>
        <item x="2795"/>
        <item x="2796"/>
        <item x="2797"/>
        <item x="2798"/>
        <item x="2806"/>
        <item x="2811"/>
        <item x="2813"/>
        <item x="2825"/>
        <item x="2834"/>
        <item x="2837"/>
        <item x="2838"/>
        <item x="2842"/>
        <item x="2856"/>
        <item x="2857"/>
        <item x="2858"/>
        <item x="2864"/>
        <item x="2868"/>
        <item x="2873"/>
        <item x="2874"/>
        <item x="2882"/>
        <item x="2888"/>
        <item x="2890"/>
        <item x="2891"/>
        <item x="2892"/>
        <item x="2902"/>
        <item x="2903"/>
        <item x="2912"/>
        <item x="2916"/>
        <item x="2917"/>
        <item x="2922"/>
        <item x="2923"/>
        <item x="2924"/>
        <item x="2933"/>
        <item x="2939"/>
        <item x="2943"/>
        <item x="2944"/>
        <item x="2951"/>
        <item x="2954"/>
        <item x="2955"/>
        <item x="2958"/>
        <item x="2966"/>
        <item x="2969"/>
        <item x="2976"/>
        <item x="2982"/>
        <item x="2983"/>
        <item x="2984"/>
        <item x="2991"/>
        <item x="2992"/>
        <item x="2993"/>
        <item x="3005"/>
        <item x="3007"/>
        <item x="3013"/>
        <item x="3014"/>
        <item x="3017"/>
        <item x="3033"/>
        <item x="3041"/>
        <item x="3042"/>
        <item x="3043"/>
        <item x="3054"/>
        <item x="3055"/>
        <item x="3060"/>
        <item x="3063"/>
        <item x="3073"/>
        <item x="3080"/>
        <item x="3085"/>
        <item x="3087"/>
        <item x="3091"/>
        <item x="3100"/>
        <item x="3113"/>
        <item x="3128"/>
        <item x="3133"/>
        <item x="3134"/>
        <item x="3135"/>
        <item x="3136"/>
        <item x="3137"/>
        <item x="3138"/>
        <item x="3139"/>
        <item x="3140"/>
        <item x="3148"/>
        <item x="3156"/>
        <item x="3157"/>
        <item x="3158"/>
        <item x="3166"/>
        <item x="3167"/>
        <item x="3168"/>
        <item x="3169"/>
        <item x="3170"/>
        <item x="3171"/>
        <item x="3181"/>
        <item x="3182"/>
        <item x="3219"/>
        <item x="3227"/>
        <item x="3229"/>
        <item x="3233"/>
        <item x="3238"/>
        <item x="3239"/>
        <item x="3252"/>
        <item x="3253"/>
        <item x="3256"/>
        <item x="3257"/>
        <item x="3265"/>
        <item x="3266"/>
        <item x="3267"/>
        <item x="3268"/>
        <item x="3271"/>
        <item x="3277"/>
        <item x="3278"/>
        <item x="3286"/>
        <item x="3287"/>
        <item x="3297"/>
        <item x="3298"/>
        <item x="3309"/>
        <item x="3310"/>
        <item x="3314"/>
        <item x="3311"/>
        <item x="3315"/>
        <item x="3316"/>
        <item x="3322"/>
        <item x="3323"/>
        <item x="3328"/>
        <item x="3329"/>
        <item x="3340"/>
        <item x="3330"/>
        <item x="3341"/>
        <item x="3342"/>
        <item x="3343"/>
        <item x="3358"/>
        <item x="3364"/>
        <item x="3365"/>
        <item x="3367"/>
        <item x="3368"/>
        <item x="3372"/>
        <item x="3373"/>
        <item x="3374"/>
        <item x="3375"/>
        <item x="3383"/>
        <item x="3391"/>
        <item x="3392"/>
        <item x="3393"/>
        <item x="3394"/>
        <item x="3397"/>
        <item x="3403"/>
        <item x="3404"/>
        <item x="3409"/>
        <item x="3421"/>
        <item x="3422"/>
        <item x="3432"/>
        <item x="3437"/>
        <item x="3438"/>
        <item x="3439"/>
        <item x="3440"/>
        <item x="3445"/>
        <item x="3449"/>
        <item x="3460"/>
        <item x="3472"/>
        <item x="3474"/>
        <item x="3478"/>
        <item x="3479"/>
        <item x="3491"/>
        <item x="3494"/>
        <item x="3500"/>
        <item x="3501"/>
        <item x="3502"/>
        <item x="3513"/>
        <item x="3517"/>
        <item x="3520"/>
        <item x="3537"/>
        <item x="3539"/>
        <item x="3542"/>
        <item x="3546"/>
        <item x="3552"/>
        <item x="3553"/>
        <item x="3560"/>
        <item x="3569"/>
        <item x="3575"/>
        <item x="3578"/>
        <item x="3584"/>
        <item x="3590"/>
        <item x="3591"/>
        <item x="3599"/>
        <item x="3606"/>
        <item x="3607"/>
        <item x="3617"/>
        <item x="3618"/>
        <item x="3621"/>
        <item x="3627"/>
        <item x="3633"/>
        <item x="3645"/>
        <item x="3646"/>
        <item x="3651"/>
        <item x="3652"/>
        <item x="3662"/>
        <item x="3663"/>
        <item x="3677"/>
        <item x="3688"/>
        <item x="3692"/>
        <item x="3697"/>
        <item x="3705"/>
        <item x="3709"/>
        <item x="3736"/>
        <item x="3737"/>
        <item x="3738"/>
        <item x="3743"/>
        <item x="3744"/>
        <item x="3747"/>
        <item x="3748"/>
        <item x="3788"/>
        <item x="3789"/>
        <item x="3795"/>
        <item x="3796"/>
        <item x="3800"/>
        <item x="3819"/>
        <item x="3820"/>
        <item x="3823"/>
        <item x="3853"/>
        <item x="3857"/>
        <item x="3858"/>
        <item x="3870"/>
        <item x="3877"/>
        <item x="3878"/>
        <item x="3901"/>
        <item x="3902"/>
        <item x="3903"/>
        <item x="3929"/>
        <item x="3934"/>
        <item x="3962"/>
        <item x="3965"/>
        <item x="4009"/>
        <item x="4010"/>
        <item x="4011"/>
        <item x="4018"/>
        <item x="4019"/>
        <item x="4029"/>
        <item x="4030"/>
        <item x="4031"/>
        <item x="4083"/>
        <item x="4096"/>
        <item x="4103"/>
        <item x="4104"/>
        <item x="4116"/>
        <item x="4134"/>
        <item x="4137"/>
        <item x="4141"/>
        <item x="4142"/>
        <item x="4143"/>
        <item x="4144"/>
        <item x="4147"/>
        <item x="4173"/>
        <item x="4174"/>
        <item x="4175"/>
        <item x="4181"/>
        <item x="4187"/>
        <item x="4188"/>
        <item x="4193"/>
        <item x="4203"/>
        <item x="4213"/>
        <item x="4214"/>
        <item x="4219"/>
        <item x="4247"/>
        <item x="4248"/>
        <item x="4255"/>
        <item x="4265"/>
        <item x="4280"/>
        <item x="4281"/>
        <item x="4298"/>
        <item x="4312"/>
        <item x="4313"/>
        <item x="4315"/>
        <item x="4318"/>
        <item x="4319"/>
        <item x="4337"/>
        <item x="4346"/>
        <item x="4350"/>
        <item x="4351"/>
        <item x="4352"/>
        <item x="4356"/>
        <item x="4363"/>
        <item x="4364"/>
        <item x="4374"/>
        <item x="4375"/>
        <item x="4381"/>
        <item x="4382"/>
        <item x="4397"/>
        <item x="4477"/>
        <item x="4496"/>
        <item x="4497"/>
        <item x="4527"/>
        <item x="4554"/>
        <item x="4555"/>
        <item x="4575"/>
        <item x="4576"/>
        <item x="4616"/>
        <item x="4617"/>
        <item x="4624"/>
        <item x="4677"/>
        <item x="4678"/>
        <item x="4684"/>
        <item x="4694"/>
        <item x="4723"/>
        <item x="4735"/>
        <item x="4778"/>
        <item x="4787"/>
        <item x="4905"/>
        <item x="5009"/>
        <item x="5013"/>
        <item x="5067"/>
        <item x="5089"/>
        <item x="5090"/>
        <item x="5091"/>
        <item x="5092"/>
        <item x="5095"/>
        <item x="5096"/>
        <item x="5100"/>
        <item x="5101"/>
        <item x="5102"/>
        <item x="5129"/>
        <item x="5220"/>
        <item x="5224"/>
        <item x="5227"/>
        <item x="5234"/>
        <item x="5235"/>
        <item x="5246"/>
        <item x="5247"/>
        <item x="5303"/>
        <item x="5320"/>
        <item x="5321"/>
        <item x="5326"/>
        <item x="5328"/>
        <item x="5334"/>
        <item x="5335"/>
        <item x="5358"/>
        <item x="5369"/>
        <item x="5386"/>
        <item x="5387"/>
        <item x="5452"/>
        <item x="5456"/>
        <item x="5457"/>
        <item x="5511"/>
        <item x="5519"/>
        <item x="5522"/>
        <item x="5541"/>
        <item x="5546"/>
        <item x="5550"/>
        <item x="5558"/>
        <item x="5564"/>
        <item x="5575"/>
        <item x="5616"/>
        <item x="5625"/>
        <item x="5618"/>
        <item x="5630"/>
        <item x="5631"/>
        <item x="5719"/>
        <item x="5797"/>
        <item x="5798"/>
        <item x="5841"/>
        <item x="5948"/>
        <item x="5658"/>
        <item x="5493"/>
        <item x="3164"/>
        <item x="5663"/>
        <item x="5832"/>
        <item x="5666"/>
        <item x="5667"/>
        <item x="4220"/>
        <item x="1407"/>
        <item x="4124"/>
        <item x="5833"/>
        <item x="5752"/>
        <item x="2920"/>
        <item x="1046"/>
        <item x="1047"/>
        <item x="5682"/>
        <item x="5834"/>
        <item x="5454"/>
        <item x="5691"/>
        <item x="1288"/>
        <item x="687"/>
        <item x="127"/>
        <item x="128"/>
        <item x="132"/>
        <item x="141"/>
        <item x="1077"/>
        <item x="1078"/>
        <item x="1431"/>
        <item x="1289"/>
        <item x="1109"/>
        <item x="160"/>
        <item x="5704"/>
        <item x="1104"/>
        <item x="1926"/>
        <item x="1054"/>
        <item x="5707"/>
        <item x="1058"/>
        <item x="1059"/>
        <item x="2930"/>
        <item x="1060"/>
        <item x="5836"/>
        <item x="2928"/>
        <item x="1055"/>
        <item x="1435"/>
        <item x="1056"/>
        <item x="1073"/>
        <item x="2929"/>
        <item x="1079"/>
        <item x="1057"/>
        <item x="2931"/>
        <item x="3847"/>
        <item x="1126"/>
        <item x="3848"/>
        <item x="5850"/>
        <item x="1290"/>
        <item x="5319"/>
        <item x="1928"/>
        <item x="5715"/>
        <item x="1800"/>
        <item x="1291"/>
        <item x="5648"/>
        <item x="4581"/>
        <item x="5734"/>
        <item x="1931"/>
        <item x="1932"/>
        <item x="5735"/>
        <item x="3509"/>
        <item x="833"/>
        <item x="5738"/>
        <item x="1467"/>
        <item x="1071"/>
        <item x="5741"/>
        <item x="5742"/>
        <item x="1938"/>
        <item x="5744"/>
        <item x="3763"/>
        <item x="3721"/>
        <item x="5806"/>
        <item x="1074"/>
        <item x="4"/>
        <item x="6"/>
        <item x="19"/>
        <item x="20"/>
        <item x="36"/>
        <item x="37"/>
        <item x="54"/>
        <item x="90"/>
        <item x="104"/>
        <item x="151"/>
        <item x="209"/>
        <item x="229"/>
        <item x="314"/>
        <item x="382"/>
        <item x="410"/>
        <item x="439"/>
        <item x="455"/>
        <item x="456"/>
        <item x="498"/>
        <item x="580"/>
        <item x="588"/>
        <item x="638"/>
        <item x="642"/>
        <item x="643"/>
        <item x="712"/>
        <item x="828"/>
        <item x="4833"/>
        <item x="1075"/>
        <item x="1978"/>
        <item x="933"/>
        <item x="1125"/>
        <item x="1155"/>
        <item x="1223"/>
        <item x="1271"/>
        <item x="1324"/>
        <item x="1592"/>
        <item x="1746"/>
        <item x="2938"/>
        <item x="1958"/>
        <item x="1996"/>
        <item x="1811"/>
        <item x="1868"/>
        <item x="1869"/>
        <item x="1907"/>
        <item x="2400"/>
        <item x="2423"/>
        <item x="2436"/>
        <item x="2456"/>
        <item x="2641"/>
        <item x="2749"/>
        <item x="2783"/>
        <item x="1076"/>
        <item x="5931"/>
        <item x="2855"/>
        <item x="2863"/>
        <item x="2921"/>
        <item x="2972"/>
        <item x="3110"/>
        <item x="2942"/>
        <item x="5815"/>
        <item x="5507"/>
        <item x="5207"/>
        <item x="161"/>
        <item x="4676"/>
        <item x="176"/>
        <item x="152"/>
        <item x="153"/>
        <item x="142"/>
        <item x="154"/>
        <item x="1092"/>
        <item x="2950"/>
        <item x="2947"/>
        <item x="1952"/>
        <item x="4268"/>
        <item x="169"/>
        <item x="5581"/>
        <item x="1812"/>
        <item x="82"/>
        <item x="5494"/>
        <item x="1097"/>
        <item x="4765"/>
        <item x="1098"/>
        <item x="3785"/>
        <item x="5589"/>
        <item x="4767"/>
        <item x="1101"/>
        <item x="1102"/>
        <item x="2965"/>
        <item x="1955"/>
        <item x="4305"/>
        <item x="1956"/>
        <item x="1377"/>
        <item x="3802"/>
        <item x="2975"/>
        <item x="5324"/>
        <item x="4689"/>
        <item x="1103"/>
        <item x="4769"/>
        <item x="170"/>
        <item x="1822"/>
        <item x="5860"/>
        <item x="5861"/>
        <item x="2041"/>
        <item x="5862"/>
        <item x="5626"/>
        <item x="5863"/>
        <item x="1108"/>
        <item x="2788"/>
        <item x="3801"/>
        <item x="3632"/>
        <item x="3784"/>
        <item x="3018"/>
        <item x="2960"/>
        <item x="4421"/>
        <item x="1116"/>
        <item x="5640"/>
        <item x="5801"/>
        <item x="1123"/>
        <item x="3803"/>
        <item x="184"/>
        <item x="1968"/>
        <item x="1969"/>
        <item x="1120"/>
        <item x="4757"/>
        <item x="5665"/>
        <item x="1970"/>
        <item x="212"/>
        <item x="213"/>
        <item x="2961"/>
        <item x="2962"/>
        <item x="984"/>
        <item x="4456"/>
        <item x="3516"/>
        <item x="171"/>
        <item x="185"/>
        <item x="4859"/>
        <item x="5583"/>
        <item x="162"/>
        <item x="172"/>
        <item x="1137"/>
        <item x="180"/>
        <item x="1138"/>
        <item x="194"/>
        <item x="1161"/>
        <item x="2964"/>
        <item x="177"/>
        <item x="1172"/>
        <item x="1165"/>
        <item x="1190"/>
        <item x="1191"/>
        <item x="1182"/>
        <item x="1173"/>
        <item x="1206"/>
        <item x="1207"/>
        <item x="5679"/>
        <item x="1174"/>
        <item x="1192"/>
        <item x="3808"/>
        <item x="1139"/>
        <item x="1131"/>
        <item x="1823"/>
        <item x="1124"/>
        <item x="4690"/>
        <item x="4776"/>
        <item x="1193"/>
        <item x="5874"/>
        <item x="1977"/>
        <item x="5875"/>
        <item x="3900"/>
        <item x="1130"/>
        <item x="1133"/>
        <item x="5698"/>
        <item x="5495"/>
        <item x="1134"/>
        <item x="3704"/>
        <item x="4782"/>
        <item x="1135"/>
        <item x="5604"/>
        <item x="1984"/>
        <item x="1985"/>
        <item x="1986"/>
        <item x="5709"/>
        <item x="4891"/>
        <item x="3713"/>
        <item x="3613"/>
        <item x="3914"/>
        <item x="1141"/>
        <item x="2074"/>
        <item x="2098"/>
        <item x="2106"/>
        <item x="5819"/>
        <item x="2054"/>
        <item x="2064"/>
        <item x="3771"/>
        <item x="4542"/>
        <item x="1053"/>
        <item x="3928"/>
        <item x="5714"/>
        <item x="1827"/>
        <item x="4786"/>
        <item x="2973"/>
        <item x="2974"/>
        <item x="201"/>
        <item x="210"/>
        <item x="4574"/>
        <item x="202"/>
        <item x="203"/>
        <item x="204"/>
        <item x="5727"/>
        <item x="214"/>
        <item x="1995"/>
        <item x="5641"/>
        <item x="2076"/>
        <item x="5733"/>
        <item x="233"/>
        <item x="234"/>
        <item x="226"/>
        <item x="5737"/>
        <item x="1221"/>
        <item x="228"/>
        <item x="1217"/>
        <item x="215"/>
        <item x="1218"/>
        <item x="2963"/>
        <item x="220"/>
        <item x="5886"/>
        <item x="1238"/>
        <item x="2003"/>
        <item x="4474"/>
        <item x="943"/>
        <item x="4796"/>
        <item x="5921"/>
        <item x="1973"/>
        <item x="5743"/>
        <item x="2004"/>
        <item x="2005"/>
        <item x="1835"/>
        <item x="4797"/>
        <item x="2979"/>
        <item x="4798"/>
        <item x="5677"/>
        <item x="5683"/>
        <item x="4500"/>
        <item x="1153"/>
        <item x="1154"/>
        <item x="3826"/>
        <item x="3519"/>
        <item x="4515"/>
        <item x="5705"/>
        <item x="3827"/>
        <item x="222"/>
        <item x="2017"/>
        <item x="2018"/>
        <item x="1159"/>
        <item x="1168"/>
        <item x="1164"/>
        <item x="1169"/>
        <item x="1170"/>
        <item x="4807"/>
        <item x="2656"/>
        <item x="4783"/>
        <item x="3950"/>
        <item x="3951"/>
        <item x="3781"/>
        <item x="247"/>
        <item x="4549"/>
        <item x="2989"/>
        <item x="5892"/>
        <item x="5895"/>
        <item x="1857"/>
        <item x="3161"/>
        <item x="1171"/>
        <item x="3021"/>
        <item x="3016"/>
        <item x="3022"/>
        <item x="3011"/>
        <item x="2990"/>
        <item x="4815"/>
        <item x="1181"/>
        <item x="5713"/>
        <item x="3852"/>
        <item x="4580"/>
        <item x="2089"/>
        <item x="5716"/>
        <item x="5717"/>
        <item x="235"/>
        <item x="244"/>
        <item x="241"/>
        <item x="4808"/>
        <item x="1186"/>
        <item x="2997"/>
        <item x="942"/>
        <item x="3538"/>
        <item x="4595"/>
        <item x="5212"/>
        <item x="1187"/>
        <item x="1188"/>
        <item x="1189"/>
        <item x="3844"/>
        <item x="3845"/>
        <item x="1203"/>
        <item x="4612"/>
        <item x="1204"/>
        <item x="2027"/>
        <item x="3548"/>
        <item x="1205"/>
        <item x="5748"/>
        <item x="4837"/>
        <item x="4708"/>
        <item x="5193"/>
        <item x="4416"/>
        <item x="4639"/>
        <item x="5332"/>
        <item x="3001"/>
        <item x="5900"/>
        <item x="5901"/>
        <item x="333"/>
        <item x="2028"/>
        <item x="1933"/>
        <item x="4781"/>
        <item x="273"/>
        <item x="3004"/>
        <item x="3579"/>
        <item x="274"/>
        <item x="0"/>
        <item x="1"/>
        <item x="2"/>
        <item x="3"/>
        <item x="8"/>
        <item x="9"/>
        <item x="10"/>
        <item x="16"/>
        <item x="17"/>
        <item x="24"/>
        <item x="25"/>
        <item x="260"/>
        <item x="297"/>
        <item x="284"/>
        <item x="2851"/>
        <item x="298"/>
        <item x="269"/>
        <item x="270"/>
        <item x="42"/>
        <item x="334"/>
        <item x="517"/>
        <item x="518"/>
        <item x="531"/>
        <item x="53"/>
        <item x="641"/>
        <item x="44"/>
        <item x="43"/>
        <item x="51"/>
        <item x="250"/>
        <item x="275"/>
        <item x="47"/>
        <item x="615"/>
        <item x="949"/>
        <item x="1345"/>
        <item x="55"/>
        <item x="56"/>
        <item x="1837"/>
        <item x="1849"/>
        <item x="1942"/>
        <item x="2453"/>
        <item x="2475"/>
        <item x="2847"/>
        <item x="2970"/>
        <item x="3069"/>
        <item x="3269"/>
        <item x="3450"/>
        <item x="3512"/>
        <item x="807"/>
        <item x="3724"/>
        <item x="3749"/>
        <item x="3854"/>
        <item x="3855"/>
        <item x="821"/>
        <item x="3992"/>
        <item x="66"/>
        <item x="67"/>
        <item x="68"/>
        <item x="69"/>
        <item x="848"/>
        <item x="4197"/>
        <item x="4332"/>
        <item x="4498"/>
        <item x="4585"/>
        <item x="4644"/>
        <item x="4679"/>
        <item x="4680"/>
        <item x="279"/>
        <item x="893"/>
        <item x="78"/>
        <item x="239"/>
        <item x="285"/>
        <item x="295"/>
        <item x="296"/>
        <item x="115"/>
        <item x="320"/>
        <item x="83"/>
        <item x="84"/>
        <item x="87"/>
        <item x="88"/>
        <item x="89"/>
        <item x="94"/>
        <item x="95"/>
        <item x="96"/>
        <item x="378"/>
        <item x="379"/>
        <item x="380"/>
        <item x="381"/>
        <item x="110"/>
        <item x="112"/>
        <item x="116"/>
        <item x="125"/>
        <item x="126"/>
        <item x="286"/>
        <item x="405"/>
        <item x="406"/>
        <item x="408"/>
        <item x="409"/>
        <item x="136"/>
        <item x="438"/>
        <item x="137"/>
        <item x="138"/>
        <item x="139"/>
        <item x="146"/>
        <item x="147"/>
        <item x="150"/>
        <item x="156"/>
        <item x="469"/>
        <item x="157"/>
        <item x="166"/>
        <item x="140"/>
        <item x="489"/>
        <item x="490"/>
        <item x="497"/>
        <item x="287"/>
        <item x="514"/>
        <item x="521"/>
        <item x="532"/>
        <item x="174"/>
        <item x="179"/>
        <item x="181"/>
        <item x="559"/>
        <item x="188"/>
        <item x="189"/>
        <item x="193"/>
        <item x="207"/>
        <item x="208"/>
        <item x="230"/>
        <item x="231"/>
        <item x="232"/>
        <item x="579"/>
        <item x="148"/>
        <item x="149"/>
        <item x="595"/>
        <item x="256"/>
        <item x="242"/>
        <item x="243"/>
        <item x="602"/>
        <item x="159"/>
        <item x="613"/>
        <item x="267"/>
        <item x="268"/>
        <item x="282"/>
        <item x="283"/>
        <item x="217"/>
        <item x="218"/>
        <item x="219"/>
        <item x="223"/>
        <item x="224"/>
        <item x="225"/>
        <item x="3620"/>
        <item x="651"/>
        <item x="652"/>
        <item x="656"/>
        <item x="671"/>
        <item x="672"/>
        <item x="675"/>
        <item x="680"/>
        <item x="688"/>
        <item x="703"/>
        <item x="261"/>
        <item x="704"/>
        <item x="705"/>
        <item x="711"/>
        <item x="746"/>
        <item x="747"/>
        <item x="1215"/>
        <item x="767"/>
        <item x="3595"/>
        <item x="797"/>
        <item x="293"/>
        <item x="294"/>
        <item x="199"/>
        <item x="312"/>
        <item x="313"/>
        <item x="324"/>
        <item x="325"/>
        <item x="257"/>
        <item x="849"/>
        <item x="850"/>
        <item x="868"/>
        <item x="882"/>
        <item x="883"/>
        <item x="894"/>
        <item x="258"/>
        <item x="796"/>
        <item x="812"/>
        <item x="245"/>
        <item x="280"/>
        <item x="248"/>
        <item x="259"/>
        <item x="873"/>
        <item x="281"/>
        <item x="289"/>
        <item x="290"/>
        <item x="413"/>
        <item x="414"/>
        <item x="195"/>
        <item x="5909"/>
        <item x="5910"/>
        <item x="488"/>
        <item x="3767"/>
        <item x="799"/>
        <item x="800"/>
        <item x="818"/>
        <item x="831"/>
        <item x="832"/>
        <item x="879"/>
        <item x="891"/>
        <item x="906"/>
        <item x="908"/>
        <item x="939"/>
        <item x="940"/>
        <item x="945"/>
        <item x="946"/>
        <item x="994"/>
        <item x="1012"/>
        <item x="1013"/>
        <item x="1014"/>
        <item x="1015"/>
        <item x="1016"/>
        <item x="1017"/>
        <item x="1032"/>
        <item x="1033"/>
        <item x="1068"/>
        <item x="1069"/>
        <item x="1112"/>
        <item x="1113"/>
        <item x="1114"/>
        <item x="1096"/>
        <item x="1128"/>
        <item x="1129"/>
        <item x="1147"/>
        <item x="1148"/>
        <item x="1149"/>
        <item x="1185"/>
        <item x="1194"/>
        <item x="1219"/>
        <item x="1211"/>
        <item x="1234"/>
        <item x="1248"/>
        <item x="1251"/>
        <item x="1262"/>
        <item x="1274"/>
        <item x="1275"/>
        <item x="1287"/>
        <item x="1305"/>
        <item x="1316"/>
        <item x="1333"/>
        <item x="1334"/>
        <item x="1335"/>
        <item x="1339"/>
        <item x="1369"/>
        <item x="1370"/>
        <item x="1371"/>
        <item x="1372"/>
        <item x="1373"/>
        <item x="1374"/>
        <item x="1401"/>
        <item x="1402"/>
        <item x="1403"/>
        <item x="1406"/>
        <item x="1423"/>
        <item x="1444"/>
        <item x="1453"/>
        <item x="1454"/>
        <item x="1466"/>
        <item x="1478"/>
        <item x="1485"/>
        <item x="1486"/>
        <item x="1530"/>
        <item x="1551"/>
        <item x="1650"/>
        <item x="1651"/>
        <item x="1654"/>
        <item x="1655"/>
        <item x="1660"/>
        <item x="1712"/>
        <item x="1713"/>
        <item x="1714"/>
        <item x="1745"/>
        <item x="1764"/>
        <item x="1781"/>
        <item x="1782"/>
        <item x="1783"/>
        <item x="1794"/>
        <item x="1795"/>
        <item x="1796"/>
        <item x="1797"/>
        <item x="1798"/>
        <item x="1819"/>
        <item x="1832"/>
        <item x="1833"/>
        <item x="1845"/>
        <item x="1846"/>
        <item x="1847"/>
        <item x="1848"/>
        <item x="1919"/>
        <item x="1920"/>
        <item x="1921"/>
        <item x="1943"/>
        <item x="1944"/>
        <item x="1945"/>
        <item x="1946"/>
        <item x="1950"/>
        <item x="1963"/>
        <item x="1964"/>
        <item x="1858"/>
        <item x="1989"/>
        <item x="1990"/>
        <item x="1991"/>
        <item x="1992"/>
        <item x="2008"/>
        <item x="2009"/>
        <item x="2010"/>
        <item x="2022"/>
        <item x="2023"/>
        <item x="2024"/>
        <item x="2030"/>
        <item x="2031"/>
        <item x="2039"/>
        <item x="2040"/>
        <item x="2070"/>
        <item x="2071"/>
        <item x="1866"/>
        <item x="1867"/>
        <item x="1882"/>
        <item x="1899"/>
        <item x="1900"/>
        <item x="2069"/>
        <item x="2093"/>
        <item x="2094"/>
        <item x="2095"/>
        <item x="2108"/>
        <item x="2109"/>
        <item x="2110"/>
        <item x="2111"/>
        <item x="2112"/>
        <item x="2115"/>
        <item x="2128"/>
        <item x="2133"/>
        <item x="2134"/>
        <item x="2135"/>
        <item x="2137"/>
        <item x="2140"/>
        <item x="2142"/>
        <item x="2154"/>
        <item x="2169"/>
        <item x="2175"/>
        <item x="2189"/>
        <item x="2208"/>
        <item x="2209"/>
        <item x="2210"/>
        <item x="2211"/>
        <item x="2298"/>
        <item x="2301"/>
        <item x="2389"/>
        <item x="2390"/>
        <item x="2391"/>
        <item x="2419"/>
        <item x="2420"/>
        <item x="2424"/>
        <item x="2425"/>
        <item x="2426"/>
        <item x="2447"/>
        <item x="2448"/>
        <item x="2449"/>
        <item x="2477"/>
        <item x="2509"/>
        <item x="2510"/>
        <item x="2511"/>
        <item x="2519"/>
        <item x="2520"/>
        <item x="2567"/>
        <item x="2598"/>
        <item x="2599"/>
        <item x="2600"/>
        <item x="2601"/>
        <item x="2621"/>
        <item x="2630"/>
        <item x="2638"/>
        <item x="2639"/>
        <item x="2646"/>
        <item x="2667"/>
        <item x="2668"/>
        <item x="2669"/>
        <item x="2688"/>
        <item x="2689"/>
        <item x="2695"/>
        <item x="2696"/>
        <item x="2709"/>
        <item x="2710"/>
        <item x="2718"/>
        <item x="2719"/>
        <item x="2720"/>
        <item x="2733"/>
        <item x="2734"/>
        <item x="2735"/>
        <item x="2750"/>
        <item x="2755"/>
        <item x="2762"/>
        <item x="2763"/>
        <item x="2764"/>
        <item x="2774"/>
        <item x="2775"/>
        <item x="2792"/>
        <item x="2793"/>
        <item x="2807"/>
        <item x="2815"/>
        <item x="2816"/>
        <item x="2817"/>
        <item x="2818"/>
        <item x="2819"/>
        <item x="2832"/>
        <item x="2833"/>
        <item x="2845"/>
        <item x="2846"/>
        <item x="2302"/>
        <item x="2849"/>
        <item x="2850"/>
        <item x="2854"/>
        <item x="2859"/>
        <item x="2869"/>
        <item x="2880"/>
        <item x="2881"/>
        <item x="2885"/>
        <item x="2886"/>
        <item x="2887"/>
        <item x="2901"/>
        <item x="2905"/>
        <item x="2906"/>
        <item x="2907"/>
        <item x="2925"/>
        <item x="2932"/>
        <item x="2934"/>
        <item x="2935"/>
        <item x="2936"/>
        <item x="2940"/>
        <item x="2948"/>
        <item x="2949"/>
        <item x="2952"/>
        <item x="2953"/>
        <item x="2967"/>
        <item x="2968"/>
        <item x="2986"/>
        <item x="2998"/>
        <item x="2999"/>
        <item x="3000"/>
        <item x="3003"/>
        <item x="3006"/>
        <item x="3009"/>
        <item x="3012"/>
        <item x="3023"/>
        <item x="3029"/>
        <item x="3036"/>
        <item x="3038"/>
        <item x="3052"/>
        <item x="3071"/>
        <item x="3072"/>
        <item x="3077"/>
        <item x="3078"/>
        <item x="3081"/>
        <item x="3092"/>
        <item x="3101"/>
        <item x="3108"/>
        <item x="3109"/>
        <item x="3111"/>
        <item x="3117"/>
        <item x="3120"/>
        <item x="3123"/>
        <item x="3125"/>
        <item x="3129"/>
        <item x="3159"/>
        <item x="3184"/>
        <item x="3185"/>
        <item x="3186"/>
        <item x="3187"/>
        <item x="3188"/>
        <item x="3204"/>
        <item x="3205"/>
        <item x="3206"/>
        <item x="3212"/>
        <item x="3213"/>
        <item x="3220"/>
        <item x="3230"/>
        <item x="3245"/>
        <item x="3246"/>
        <item x="3248"/>
        <item x="3249"/>
        <item x="3250"/>
        <item x="3251"/>
        <item x="3254"/>
        <item x="3255"/>
        <item x="3299"/>
        <item x="3344"/>
        <item x="3359"/>
        <item x="3369"/>
        <item x="3410"/>
        <item x="3411"/>
        <item x="3658"/>
        <item x="3425"/>
        <item x="3426"/>
        <item x="3427"/>
        <item x="3428"/>
        <item x="3430"/>
        <item x="3451"/>
        <item x="3452"/>
        <item x="3467"/>
        <item x="3484"/>
        <item x="3485"/>
        <item x="3486"/>
        <item x="3487"/>
        <item x="3503"/>
        <item x="3515"/>
        <item x="3524"/>
        <item x="3525"/>
        <item x="3526"/>
        <item x="3527"/>
        <item x="3066"/>
        <item x="3597"/>
        <item x="3602"/>
        <item x="3608"/>
        <item x="3609"/>
        <item x="3610"/>
        <item x="3622"/>
        <item x="3623"/>
        <item x="3624"/>
        <item x="3639"/>
        <item x="3641"/>
        <item x="3642"/>
        <item x="3647"/>
        <item x="3666"/>
        <item x="3667"/>
        <item x="3668"/>
        <item x="3669"/>
        <item x="3678"/>
        <item x="3679"/>
        <item x="3694"/>
        <item x="3700"/>
        <item x="3701"/>
        <item x="3706"/>
        <item x="3707"/>
        <item x="3714"/>
        <item x="3715"/>
        <item x="3717"/>
        <item x="3718"/>
        <item x="3720"/>
        <item x="3723"/>
        <item x="3722"/>
        <item x="3040"/>
        <item x="5911"/>
        <item x="3725"/>
        <item x="3753"/>
        <item x="3754"/>
        <item x="3755"/>
        <item x="3768"/>
        <item x="3769"/>
        <item x="3786"/>
        <item x="3790"/>
        <item x="3791"/>
        <item x="3804"/>
        <item x="3815"/>
        <item x="3816"/>
        <item x="3817"/>
        <item x="3824"/>
        <item x="3832"/>
        <item x="3833"/>
        <item x="3838"/>
        <item x="3841"/>
        <item x="3842"/>
        <item x="3849"/>
        <item x="3850"/>
        <item x="3859"/>
        <item x="3868"/>
        <item x="3869"/>
        <item x="3885"/>
        <item x="3886"/>
        <item x="3887"/>
        <item x="3888"/>
        <item x="3894"/>
        <item x="3919"/>
        <item x="3920"/>
        <item x="3921"/>
        <item x="3925"/>
        <item x="3941"/>
        <item x="3946"/>
        <item x="3948"/>
        <item x="3954"/>
        <item x="3955"/>
        <item x="3956"/>
        <item x="3957"/>
        <item x="3958"/>
        <item x="3963"/>
        <item x="3967"/>
        <item x="3968"/>
        <item x="3979"/>
        <item x="3980"/>
        <item x="3981"/>
        <item x="3993"/>
        <item x="3998"/>
        <item x="3999"/>
        <item x="4012"/>
        <item x="4013"/>
        <item x="4017"/>
        <item x="4022"/>
        <item x="4023"/>
        <item x="4036"/>
        <item x="4037"/>
        <item x="4060"/>
        <item x="4061"/>
        <item x="4062"/>
        <item x="4063"/>
        <item x="4084"/>
        <item x="4097"/>
        <item x="4098"/>
        <item x="4099"/>
        <item x="4108"/>
        <item x="4117"/>
        <item x="4122"/>
        <item x="4140"/>
        <item x="4166"/>
        <item x="4167"/>
        <item x="4168"/>
        <item x="4176"/>
        <item x="4177"/>
        <item x="4178"/>
        <item x="4200"/>
        <item x="4207"/>
        <item x="4208"/>
        <item x="4238"/>
        <item x="4241"/>
        <item x="4289"/>
        <item x="4316"/>
        <item x="4322"/>
        <item x="4323"/>
        <item x="4324"/>
        <item x="4325"/>
        <item x="4338"/>
        <item x="4341"/>
        <item x="4342"/>
        <item x="4343"/>
        <item x="4369"/>
        <item x="4398"/>
        <item x="4411"/>
        <item x="4412"/>
        <item x="4413"/>
        <item x="4427"/>
        <item x="4432"/>
        <item x="4437"/>
        <item x="4438"/>
        <item x="4450"/>
        <item x="4451"/>
        <item x="4458"/>
        <item x="4459"/>
        <item x="4469"/>
        <item x="4470"/>
        <item x="4487"/>
        <item x="4509"/>
        <item x="4516"/>
        <item x="4517"/>
        <item x="4530"/>
        <item x="4533"/>
        <item x="4534"/>
        <item x="4535"/>
        <item x="4536"/>
        <item x="4537"/>
        <item x="4563"/>
        <item x="4564"/>
        <item x="4565"/>
        <item x="4586"/>
        <item x="4602"/>
        <item x="4603"/>
        <item x="4604"/>
        <item x="495"/>
        <item x="502"/>
        <item x="554"/>
        <item x="562"/>
        <item x="568"/>
        <item x="564"/>
        <item x="587"/>
        <item x="591"/>
        <item x="544"/>
        <item x="545"/>
        <item x="550"/>
        <item x="551"/>
        <item x="738"/>
        <item x="693"/>
        <item x="694"/>
        <item x="695"/>
        <item x="699"/>
        <item x="717"/>
        <item x="715"/>
        <item x="725"/>
        <item x="736"/>
        <item x="739"/>
        <item x="740"/>
        <item x="741"/>
        <item x="754"/>
        <item x="755"/>
        <item x="756"/>
        <item x="765"/>
        <item x="774"/>
        <item x="766"/>
        <item x="785"/>
        <item x="786"/>
        <item x="790"/>
        <item x="503"/>
        <item x="507"/>
        <item x="508"/>
        <item x="509"/>
        <item x="529"/>
        <item x="530"/>
        <item x="527"/>
        <item x="2457"/>
        <item x="4932"/>
        <item x="93"/>
        <item x="1216"/>
        <item x="1263"/>
        <item x="1264"/>
        <item x="1276"/>
        <item x="1220"/>
        <item x="3065"/>
        <item x="3953"/>
        <item x="5525"/>
        <item x="291"/>
        <item x="3010"/>
        <item x="292"/>
        <item x="1895"/>
        <item x="1906"/>
        <item x="1927"/>
        <item x="1934"/>
        <item x="3856"/>
        <item x="1957"/>
        <item x="1971"/>
        <item x="2006"/>
        <item x="1987"/>
        <item x="2313"/>
        <item x="2327"/>
        <item x="2328"/>
        <item x="2037"/>
        <item x="1018"/>
        <item x="4830"/>
        <item x="1224"/>
        <item x="2357"/>
        <item x="3015"/>
        <item x="2038"/>
        <item x="2007"/>
        <item x="2029"/>
        <item x="2053"/>
        <item x="2063"/>
        <item x="2102"/>
        <item x="2105"/>
        <item x="2126"/>
        <item x="2145"/>
        <item x="2162"/>
        <item x="2177"/>
        <item x="2206"/>
        <item x="2307"/>
        <item x="3644"/>
        <item x="5922"/>
        <item x="5923"/>
        <item x="3865"/>
        <item x="4683"/>
        <item x="928"/>
        <item x="950"/>
        <item x="951"/>
        <item x="953"/>
        <item x="1421"/>
        <item x="1449"/>
        <item x="980"/>
        <item x="1487"/>
        <item x="1625"/>
        <item x="1630"/>
        <item x="959"/>
        <item x="1072"/>
        <item x="5924"/>
        <item x="1160"/>
        <item x="1236"/>
        <item x="1245"/>
        <item x="1253"/>
        <item x="1284"/>
        <item x="1065"/>
        <item x="1066"/>
        <item x="1342"/>
        <item x="5925"/>
        <item x="1399"/>
        <item x="1424"/>
        <item x="1425"/>
        <item x="1438"/>
        <item x="1440"/>
        <item x="1531"/>
        <item x="1535"/>
        <item x="1536"/>
        <item x="1588"/>
        <item x="1589"/>
        <item x="1591"/>
        <item x="1600"/>
        <item x="1601"/>
        <item x="1626"/>
        <item x="1636"/>
        <item x="1633"/>
        <item x="1648"/>
        <item x="1649"/>
        <item x="1679"/>
        <item x="1680"/>
        <item x="1232"/>
        <item x="1706"/>
        <item x="1716"/>
        <item x="1322"/>
        <item x="303"/>
        <item x="304"/>
        <item x="1489"/>
        <item x="1511"/>
        <item x="1246"/>
        <item x="1265"/>
        <item x="1277"/>
        <item x="1266"/>
        <item x="3655"/>
        <item x="2492"/>
        <item x="4326"/>
        <item x="3673"/>
        <item x="1228"/>
        <item x="3867"/>
        <item x="2512"/>
        <item x="3523"/>
        <item x="4327"/>
        <item x="3681"/>
        <item x="3840"/>
        <item x="4328"/>
        <item x="3019"/>
        <item x="1235"/>
        <item x="305"/>
        <item x="2767"/>
        <item x="306"/>
        <item x="1965"/>
        <item x="424"/>
        <item x="673"/>
        <item x="681"/>
        <item x="2538"/>
        <item x="2299"/>
        <item x="954"/>
        <item x="1484"/>
        <item x="3020"/>
        <item x="4841"/>
        <item x="331"/>
        <item x="337"/>
        <item x="338"/>
        <item x="3696"/>
        <item x="329"/>
        <item x="315"/>
        <item x="4299"/>
        <item x="326"/>
        <item x="2568"/>
        <item x="3882"/>
        <item x="4842"/>
        <item x="3883"/>
        <item x="3884"/>
        <item x="2575"/>
        <item x="2050"/>
        <item x="2051"/>
        <item x="339"/>
        <item x="2052"/>
        <item x="346"/>
        <item x="332"/>
        <item x="1302"/>
        <item x="344"/>
        <item x="1243"/>
        <item x="1294"/>
        <item x="1285"/>
        <item x="3716"/>
        <item x="4806"/>
        <item x="354"/>
        <item x="348"/>
        <item x="3094"/>
        <item x="2896"/>
        <item x="2908"/>
        <item x="3032"/>
        <item x="3079"/>
        <item x="347"/>
        <item x="3353"/>
        <item x="3543"/>
        <item x="1244"/>
        <item x="5932"/>
        <item x="2631"/>
        <item x="350"/>
        <item x="3039"/>
        <item x="5933"/>
        <item x="349"/>
        <item x="3028"/>
        <item x="2060"/>
        <item x="4016"/>
        <item x="3435"/>
        <item x="2061"/>
        <item x="1311"/>
        <item x="2062"/>
        <item x="3719"/>
        <item x="3586"/>
        <item x="1327"/>
        <item x="5536"/>
        <item x="357"/>
        <item x="358"/>
        <item x="351"/>
        <item x="2073"/>
        <item x="2661"/>
        <item x="1328"/>
        <item x="366"/>
        <item x="371"/>
        <item x="1252"/>
        <item x="3699"/>
        <item x="944"/>
        <item x="4853"/>
        <item x="2075"/>
        <item x="375"/>
        <item x="372"/>
        <item x="2682"/>
        <item x="5946"/>
        <item x="5951"/>
        <item x="3864"/>
        <item x="4526"/>
        <item x="3930"/>
        <item x="3779"/>
        <item x="3050"/>
        <item x="3046"/>
        <item x="3952"/>
        <item x="3761"/>
        <item x="3047"/>
        <item x="1258"/>
        <item x="5947"/>
        <item x="3931"/>
        <item x="360"/>
        <item x="3217"/>
        <item x="361"/>
        <item x="373"/>
        <item x="2700"/>
        <item x="367"/>
        <item x="4172"/>
        <item x="3794"/>
        <item x="374"/>
        <item x="376"/>
        <item x="3812"/>
        <item x="3813"/>
        <item x="4044"/>
        <item x="4050"/>
        <item x="4123"/>
        <item x="3461"/>
        <item x="384"/>
        <item x="391"/>
        <item x="5761"/>
        <item x="2741"/>
        <item x="3533"/>
        <item x="3809"/>
        <item x="383"/>
        <item x="397"/>
        <item x="5953"/>
        <item x="386"/>
        <item x="398"/>
        <item x="4861"/>
        <item x="4750"/>
        <item x="4843"/>
        <item x="4844"/>
        <item x="4991"/>
        <item x="5084"/>
        <item x="4977"/>
        <item x="399"/>
        <item x="5608"/>
        <item x="4862"/>
        <item x="4799"/>
        <item x="3002"/>
        <item x="5268"/>
        <item x="3083"/>
        <item x="1270"/>
        <item x="3084"/>
        <item x="4985"/>
        <item x="4986"/>
        <item x="2082"/>
        <item x="402"/>
        <item x="58"/>
        <item x="403"/>
        <item x="2088"/>
        <item x="819"/>
        <item x="3035"/>
        <item x="4059"/>
        <item x="2772"/>
        <item x="2132"/>
        <item x="2148"/>
        <item x="4913"/>
        <item x="2146"/>
        <item x="5908"/>
        <item x="5762"/>
        <item x="2099"/>
        <item x="5799"/>
        <item x="2100"/>
        <item x="2101"/>
        <item x="5964"/>
        <item x="2853"/>
        <item x="1282"/>
        <item x="4828"/>
        <item x="5763"/>
        <item x="5962"/>
        <item x="1283"/>
        <item x="417"/>
        <item x="5963"/>
        <item x="3814"/>
        <item x="3906"/>
        <item x="3907"/>
        <item x="3908"/>
        <item x="3909"/>
        <item x="4868"/>
        <item x="4869"/>
        <item x="2104"/>
        <item x="392"/>
        <item x="400"/>
        <item x="404"/>
        <item x="1293"/>
        <item x="421"/>
        <item x="419"/>
        <item x="2107"/>
        <item x="1298"/>
        <item x="1292"/>
        <item x="5552"/>
        <item x="428"/>
        <item x="5219"/>
        <item x="1368"/>
        <item x="1364"/>
        <item x="1350"/>
        <item x="1331"/>
        <item x="1388"/>
        <item x="1397"/>
        <item x="432"/>
        <item x="433"/>
        <item x="2828"/>
        <item x="3097"/>
        <item x="1301"/>
        <item x="5049"/>
        <item x="5973"/>
        <item x="440"/>
        <item x="444"/>
        <item x="3044"/>
        <item x="3045"/>
        <item x="1308"/>
        <item x="1309"/>
        <item x="1310"/>
        <item x="3828"/>
        <item x="3829"/>
        <item x="463"/>
        <item x="445"/>
        <item x="1315"/>
        <item x="4886"/>
        <item x="452"/>
        <item x="2118"/>
        <item x="3807"/>
        <item x="2166"/>
        <item x="2174"/>
        <item x="2167"/>
        <item x="2124"/>
        <item x="429"/>
        <item x="446"/>
        <item x="442"/>
        <item x="434"/>
        <item x="4892"/>
        <item x="435"/>
        <item x="4893"/>
        <item x="4894"/>
        <item x="4895"/>
        <item x="458"/>
        <item x="4058"/>
        <item x="459"/>
        <item x="2125"/>
        <item x="454"/>
        <item x="447"/>
        <item x="1319"/>
        <item x="3049"/>
        <item x="3933"/>
        <item x="468"/>
        <item x="473"/>
        <item x="2129"/>
        <item x="4906"/>
        <item x="5344"/>
        <item x="1029"/>
        <item x="3935"/>
        <item x="2207"/>
        <item x="5345"/>
        <item x="2130"/>
        <item x="1323"/>
        <item x="108"/>
        <item x="3936"/>
        <item x="5518"/>
        <item x="3939"/>
        <item x="1330"/>
        <item x="481"/>
        <item x="482"/>
        <item x="4106"/>
        <item x="3940"/>
        <item x="1337"/>
        <item x="4829"/>
        <item x="4112"/>
        <item x="3058"/>
        <item x="3059"/>
        <item x="1080"/>
        <item x="5083"/>
        <item x="464"/>
        <item x="460"/>
        <item x="474"/>
        <item x="471"/>
        <item x="4701"/>
        <item x="461"/>
        <item x="187"/>
        <item x="1347"/>
        <item x="3067"/>
        <item x="1348"/>
        <item x="1349"/>
        <item x="4125"/>
        <item x="516"/>
        <item x="3068"/>
        <item x="4920"/>
        <item x="4130"/>
        <item x="4919"/>
        <item x="1355"/>
        <item x="4852"/>
        <item x="4132"/>
        <item x="4133"/>
        <item x="4135"/>
        <item x="4136"/>
        <item x="1361"/>
        <item x="483"/>
        <item x="484"/>
        <item x="5347"/>
        <item x="1362"/>
        <item x="1363"/>
        <item x="496"/>
        <item x="504"/>
        <item x="3075"/>
        <item x="510"/>
        <item x="1366"/>
        <item x="1862"/>
        <item x="2144"/>
        <item x="299"/>
        <item x="4922"/>
        <item x="4923"/>
        <item x="4146"/>
        <item x="4924"/>
        <item x="520"/>
        <item x="511"/>
        <item x="512"/>
        <item x="505"/>
        <item x="3964"/>
        <item x="1383"/>
        <item x="4839"/>
        <item x="4926"/>
        <item x="3977"/>
        <item x="2240"/>
        <item x="2241"/>
        <item x="2233"/>
        <item x="4155"/>
        <item x="4156"/>
        <item x="1386"/>
        <item x="3214"/>
        <item x="3215"/>
        <item x="528"/>
        <item x="4164"/>
        <item x="513"/>
        <item x="4165"/>
        <item x="3082"/>
        <item x="1387"/>
        <item x="2147"/>
        <item x="533"/>
        <item x="534"/>
        <item x="3154"/>
        <item x="5346"/>
        <item x="3155"/>
        <item x="3196"/>
        <item x="3179"/>
        <item x="3180"/>
        <item x="3165"/>
        <item x="2852"/>
        <item x="4934"/>
        <item x="2251"/>
        <item x="2246"/>
        <item x="2262"/>
        <item x="3197"/>
        <item x="2263"/>
        <item x="3207"/>
        <item x="1394"/>
        <item x="1395"/>
        <item x="1450"/>
        <item x="1422"/>
        <item x="1417"/>
        <item x="1433"/>
        <item x="1418"/>
        <item x="3966"/>
        <item x="1470"/>
        <item x="2284"/>
        <item x="1463"/>
        <item x="1396"/>
        <item x="2278"/>
        <item x="2279"/>
        <item x="2280"/>
        <item x="5520"/>
        <item x="4184"/>
        <item x="2281"/>
        <item x="2151"/>
        <item x="5521"/>
        <item x="4101"/>
        <item x="4192"/>
        <item x="3218"/>
        <item x="4344"/>
        <item x="3987"/>
        <item x="535"/>
        <item x="3989"/>
        <item x="4942"/>
        <item x="4202"/>
        <item x="4947"/>
        <item x="4204"/>
        <item x="4206"/>
        <item x="4872"/>
        <item x="3090"/>
        <item x="1864"/>
        <item x="3225"/>
        <item x="5778"/>
        <item x="3202"/>
        <item x="3098"/>
        <item x="3211"/>
        <item x="547"/>
        <item x="548"/>
        <item x="555"/>
        <item x="3203"/>
        <item x="552"/>
        <item x="1408"/>
        <item x="4216"/>
        <item x="4217"/>
        <item x="1414"/>
        <item x="4218"/>
        <item x="553"/>
        <item x="4119"/>
        <item x="4957"/>
        <item x="4958"/>
        <item x="2131"/>
        <item x="5274"/>
        <item x="563"/>
        <item x="3876"/>
        <item x="5504"/>
        <item x="666"/>
        <item x="5952"/>
        <item x="3949"/>
        <item x="3943"/>
        <item x="4127"/>
        <item x="4885"/>
        <item x="578"/>
        <item x="3099"/>
        <item x="1415"/>
        <item x="4964"/>
        <item x="1416"/>
        <item x="566"/>
        <item x="3226"/>
        <item x="2136"/>
        <item x="29"/>
        <item x="1474"/>
        <item x="2160"/>
        <item x="124"/>
        <item x="3105"/>
        <item x="278"/>
        <item x="4968"/>
        <item x="2161"/>
        <item x="1475"/>
        <item x="4236"/>
        <item x="3851"/>
        <item x="4237"/>
        <item x="1420"/>
        <item x="569"/>
        <item x="4969"/>
        <item x="4970"/>
        <item x="4971"/>
        <item x="1491"/>
        <item x="1501"/>
        <item x="1502"/>
        <item x="2164"/>
        <item x="2165"/>
        <item x="1504"/>
        <item x="1505"/>
        <item x="1503"/>
        <item x="5779"/>
        <item x="1509"/>
        <item x="1510"/>
        <item x="4256"/>
        <item x="2138"/>
        <item x="607"/>
        <item x="1432"/>
        <item x="2172"/>
        <item x="616"/>
        <item x="617"/>
        <item x="618"/>
        <item x="619"/>
        <item x="3261"/>
        <item x="3264"/>
        <item x="4262"/>
        <item x="4263"/>
        <item x="4264"/>
        <item x="1436"/>
        <item x="1437"/>
        <item x="1517"/>
        <item x="1518"/>
        <item x="628"/>
        <item x="2176"/>
        <item x="3114"/>
        <item x="5965"/>
        <item x="4004"/>
        <item x="640"/>
        <item x="637"/>
        <item x="632"/>
        <item x="4989"/>
        <item x="4277"/>
        <item x="1445"/>
        <item x="590"/>
        <item x="2866"/>
        <item x="575"/>
        <item x="665"/>
        <item x="581"/>
        <item x="5526"/>
        <item x="592"/>
        <item x="645"/>
        <item x="1524"/>
        <item x="646"/>
        <item x="1525"/>
        <item x="1526"/>
        <item x="1527"/>
        <item x="4896"/>
        <item x="1448"/>
        <item x="5957"/>
        <item x="647"/>
        <item x="5356"/>
        <item x="2862"/>
        <item x="2186"/>
        <item x="5001"/>
        <item x="5002"/>
        <item x="5003"/>
        <item x="5782"/>
        <item x="603"/>
        <item x="596"/>
        <item x="620"/>
        <item x="621"/>
        <item x="609"/>
        <item x="629"/>
        <item x="622"/>
        <item x="639"/>
        <item x="623"/>
        <item x="4185"/>
        <item x="3273"/>
        <item x="3285"/>
        <item x="4296"/>
        <item x="3290"/>
        <item x="4297"/>
        <item x="3296"/>
        <item x="3291"/>
        <item x="3276"/>
        <item x="610"/>
        <item x="634"/>
        <item x="1799"/>
        <item x="3896"/>
        <item x="3025"/>
        <item x="1462"/>
        <item x="1834"/>
        <item x="5008"/>
        <item x="4191"/>
        <item x="1883"/>
        <item x="2272"/>
        <item x="1892"/>
        <item x="648"/>
        <item x="644"/>
        <item x="4310"/>
        <item x="4311"/>
        <item x="2201"/>
        <item x="2202"/>
        <item x="2203"/>
        <item x="1468"/>
        <item x="4014"/>
        <item x="1471"/>
        <item x="4015"/>
        <item x="5252"/>
        <item x="2204"/>
        <item x="1472"/>
        <item x="2205"/>
        <item x="1473"/>
        <item x="1533"/>
        <item x="667"/>
        <item x="2329"/>
        <item x="2330"/>
        <item x="2321"/>
        <item x="2323"/>
        <item x="2314"/>
        <item x="2317"/>
        <item x="2315"/>
        <item x="3875"/>
        <item x="4331"/>
        <item x="2333"/>
        <item x="2334"/>
        <item x="2335"/>
        <item x="5238"/>
        <item x="3305"/>
        <item x="3326"/>
        <item x="3320"/>
        <item x="3357"/>
        <item x="4334"/>
        <item x="3327"/>
        <item x="4335"/>
        <item x="649"/>
        <item x="3306"/>
        <item x="4336"/>
        <item x="650"/>
        <item x="3336"/>
        <item x="3337"/>
        <item x="3321"/>
        <item x="3307"/>
        <item x="3308"/>
        <item x="3338"/>
        <item x="3339"/>
        <item x="3350"/>
        <item x="5527"/>
        <item x="4024"/>
        <item x="3351"/>
        <item x="4025"/>
        <item x="3363"/>
        <item x="3352"/>
        <item x="2956"/>
        <item x="3024"/>
        <item x="2338"/>
        <item x="4349"/>
        <item x="3131"/>
        <item x="3095"/>
        <item x="3096"/>
        <item x="3102"/>
        <item x="3112"/>
        <item x="5359"/>
        <item x="3388"/>
        <item x="3389"/>
        <item x="3390"/>
        <item x="3371"/>
        <item x="3382"/>
        <item x="1481"/>
        <item x="3146"/>
        <item x="3384"/>
        <item x="3913"/>
        <item x="5025"/>
        <item x="5026"/>
        <item x="1482"/>
        <item x="3402"/>
        <item x="5027"/>
        <item x="2344"/>
        <item x="3415"/>
        <item x="2867"/>
        <item x="4043"/>
        <item x="5033"/>
        <item x="5028"/>
        <item x="3150"/>
        <item x="5291"/>
        <item x="5292"/>
        <item x="5293"/>
        <item x="5029"/>
        <item x="3541"/>
        <item x="3408"/>
        <item x="1006"/>
        <item x="4045"/>
        <item x="3573"/>
        <item x="4362"/>
        <item x="4046"/>
        <item x="3151"/>
        <item x="3152"/>
        <item x="3153"/>
        <item x="4047"/>
        <item x="3416"/>
        <item x="2349"/>
        <item x="4722"/>
        <item x="4053"/>
        <item x="2358"/>
        <item x="2359"/>
        <item x="3431"/>
        <item x="4378"/>
        <item x="4379"/>
        <item x="4380"/>
        <item x="3162"/>
        <item x="3208"/>
        <item x="3199"/>
        <item x="3174"/>
        <item x="5360"/>
        <item x="2225"/>
        <item x="2364"/>
        <item x="2365"/>
        <item x="4392"/>
        <item x="4393"/>
        <item x="4394"/>
        <item x="4395"/>
        <item x="4396"/>
        <item x="3163"/>
        <item x="2226"/>
        <item x="3192"/>
        <item x="2227"/>
        <item x="5239"/>
        <item x="2360"/>
        <item x="3175"/>
        <item x="2366"/>
        <item x="2232"/>
        <item x="4242"/>
        <item x="690"/>
        <item x="668"/>
        <item x="660"/>
        <item x="3420"/>
        <item x="3417"/>
        <item x="664"/>
        <item x="3176"/>
        <item x="3177"/>
        <item x="3178"/>
        <item x="682"/>
        <item x="4422"/>
        <item x="5361"/>
        <item x="2238"/>
        <item x="5240"/>
        <item x="145"/>
        <item x="2239"/>
        <item x="658"/>
        <item x="3193"/>
        <item x="4426"/>
        <item x="3366"/>
        <item x="240"/>
        <item x="3194"/>
        <item x="2244"/>
        <item x="3195"/>
        <item x="4930"/>
        <item x="3209"/>
        <item x="700"/>
        <item x="1490"/>
        <item x="3892"/>
        <item x="3200"/>
        <item x="5017"/>
        <item x="3201"/>
        <item x="2245"/>
        <item x="4826"/>
        <item x="4449"/>
        <item x="3210"/>
        <item x="1497"/>
        <item x="723"/>
        <item x="3462"/>
        <item x="1498"/>
        <item x="3938"/>
        <item x="1590"/>
        <item x="1583"/>
        <item x="1542"/>
        <item x="1499"/>
        <item x="1575"/>
        <item x="5241"/>
        <item x="1576"/>
        <item x="1580"/>
        <item x="3444"/>
        <item x="1548"/>
        <item x="3436"/>
        <item x="1562"/>
        <item x="1563"/>
        <item x="1553"/>
        <item x="1566"/>
        <item x="1557"/>
        <item x="1570"/>
        <item x="327"/>
        <item x="4269"/>
        <item x="2376"/>
        <item x="2371"/>
        <item x="2250"/>
        <item x="5785"/>
        <item x="5030"/>
        <item x="1500"/>
        <item x="5786"/>
        <item x="707"/>
        <item x="733"/>
        <item x="701"/>
        <item x="696"/>
        <item x="697"/>
        <item x="698"/>
        <item x="4476"/>
        <item x="2259"/>
        <item x="2260"/>
        <item x="2119"/>
        <item x="5333"/>
        <item x="2269"/>
        <item x="4076"/>
        <item x="2270"/>
        <item x="4946"/>
        <item x="5368"/>
        <item x="2387"/>
        <item x="2394"/>
        <item x="2411"/>
        <item x="5336"/>
        <item x="2372"/>
        <item x="2388"/>
        <item x="5011"/>
        <item x="2401"/>
        <item x="5242"/>
        <item x="3493"/>
        <item x="3465"/>
        <item x="3456"/>
        <item x="3490"/>
        <item x="3457"/>
        <item x="3292"/>
        <item x="3470"/>
        <item x="3471"/>
        <item x="3466"/>
        <item x="2274"/>
        <item x="4273"/>
        <item x="2275"/>
        <item x="2276"/>
        <item x="2277"/>
        <item x="1622"/>
        <item x="4274"/>
        <item x="3223"/>
        <item x="3222"/>
        <item x="377"/>
        <item x="3944"/>
        <item x="3224"/>
        <item x="3937"/>
        <item x="1519"/>
        <item x="2283"/>
        <item x="5047"/>
        <item x="1520"/>
        <item x="1521"/>
        <item x="1522"/>
        <item x="2871"/>
        <item x="716"/>
        <item x="718"/>
        <item x="724"/>
        <item x="5205"/>
        <item x="726"/>
        <item x="4551"/>
        <item x="3235"/>
        <item x="2289"/>
        <item x="4087"/>
        <item x="3742"/>
        <item x="4085"/>
        <item x="4290"/>
        <item x="4730"/>
        <item x="3236"/>
        <item x="3237"/>
        <item x="5977"/>
        <item x="1532"/>
        <item x="3499"/>
        <item x="3506"/>
        <item x="3510"/>
        <item x="1637"/>
        <item x="1612"/>
        <item x="1596"/>
        <item x="1606"/>
        <item x="1617"/>
        <item x="1618"/>
        <item x="1597"/>
        <item x="1619"/>
        <item x="1620"/>
        <item x="3243"/>
        <item x="3244"/>
        <item x="4090"/>
        <item x="2294"/>
        <item x="778"/>
        <item x="4997"/>
        <item x="3126"/>
        <item x="5382"/>
        <item x="4557"/>
        <item x="4091"/>
        <item x="1254"/>
        <item x="1540"/>
        <item x="3745"/>
        <item x="3511"/>
        <item x="772"/>
        <item x="773"/>
        <item x="2441"/>
        <item x="2442"/>
        <item x="3746"/>
        <item x="5065"/>
        <item x="1541"/>
        <item x="5066"/>
        <item x="742"/>
        <item x="782"/>
        <item x="743"/>
        <item x="757"/>
        <item x="737"/>
        <item x="734"/>
        <item x="744"/>
        <item x="758"/>
        <item x="1547"/>
        <item x="2877"/>
        <item x="5071"/>
        <item x="4931"/>
        <item x="779"/>
        <item x="789"/>
        <item x="4102"/>
        <item x="3405"/>
        <item x="4697"/>
        <item x="3263"/>
        <item x="3118"/>
        <item x="3259"/>
        <item x="2878"/>
        <item x="1107"/>
        <item x="2300"/>
        <item x="3260"/>
        <item x="3905"/>
        <item x="2458"/>
        <item x="323"/>
        <item x="791"/>
        <item x="4111"/>
        <item x="5080"/>
        <item x="3119"/>
        <item x="1552"/>
        <item x="2879"/>
        <item x="1556"/>
        <item x="5081"/>
        <item x="2466"/>
        <item x="2467"/>
        <item x="4128"/>
        <item x="3275"/>
        <item x="2472"/>
        <item x="806"/>
        <item x="1662"/>
        <item x="1658"/>
        <item x="1647"/>
        <item x="2473"/>
        <item x="3279"/>
        <item x="1559"/>
        <item x="1560"/>
        <item x="3459"/>
        <item x="811"/>
        <item x="1565"/>
        <item x="4114"/>
        <item x="3272"/>
        <item x="5250"/>
        <item x="4943"/>
        <item x="3531"/>
        <item x="759"/>
        <item x="4976"/>
        <item x="784"/>
        <item x="5467"/>
        <item x="768"/>
        <item x="787"/>
        <item x="792"/>
        <item x="788"/>
        <item x="793"/>
        <item x="780"/>
        <item x="775"/>
        <item x="776"/>
        <item x="1569"/>
        <item x="4120"/>
        <item x="3288"/>
        <item x="3504"/>
        <item x="5482"/>
        <item x="820"/>
        <item x="1573"/>
        <item x="1574"/>
        <item x="3293"/>
        <item x="3289"/>
        <item x="1578"/>
        <item x="3960"/>
        <item x="5099"/>
        <item x="813"/>
        <item x="1581"/>
        <item x="827"/>
        <item x="3301"/>
        <item x="3302"/>
        <item x="3303"/>
        <item x="3304"/>
        <item x="3961"/>
        <item x="3536"/>
        <item x="1587"/>
        <item x="3545"/>
        <item x="3258"/>
        <item x="1469"/>
        <item x="842"/>
        <item x="847"/>
        <item x="3313"/>
        <item x="843"/>
        <item x="3317"/>
        <item x="5337"/>
        <item x="5104"/>
        <item x="5105"/>
        <item x="3318"/>
        <item x="3319"/>
        <item x="5107"/>
        <item x="5108"/>
        <item x="3324"/>
        <item x="4138"/>
        <item x="3559"/>
        <item x="3325"/>
        <item x="3551"/>
        <item x="1594"/>
        <item x="1595"/>
        <item x="5109"/>
        <item x="5110"/>
        <item x="5111"/>
        <item x="1709"/>
        <item x="5112"/>
        <item x="1710"/>
        <item x="1711"/>
        <item x="5113"/>
        <item x="1698"/>
        <item x="1699"/>
        <item x="2311"/>
        <item x="2312"/>
        <item x="1700"/>
        <item x="2316"/>
        <item x="1701"/>
        <item x="1681"/>
        <item x="1668"/>
        <item x="1690"/>
        <item x="1691"/>
        <item x="1702"/>
        <item x="854"/>
        <item x="1727"/>
        <item x="3332"/>
        <item x="1603"/>
        <item x="5119"/>
        <item x="3333"/>
        <item x="3334"/>
        <item x="3335"/>
        <item x="3750"/>
        <item x="3356"/>
        <item x="1604"/>
        <item x="3932"/>
        <item x="3347"/>
        <item x="857"/>
        <item x="3348"/>
        <item x="5124"/>
        <item x="858"/>
        <item x="5531"/>
        <item x="3349"/>
        <item x="2320"/>
        <item x="3354"/>
        <item x="3355"/>
        <item x="2016"/>
        <item x="2021"/>
        <item x="4145"/>
        <item x="4149"/>
        <item x="4150"/>
        <item x="2322"/>
        <item x="4151"/>
        <item x="1613"/>
        <item x="5125"/>
        <item x="1614"/>
        <item x="2499"/>
        <item x="1615"/>
        <item x="1616"/>
        <item x="3362"/>
        <item x="5629"/>
        <item x="867"/>
        <item x="4152"/>
        <item x="2481"/>
        <item x="2562"/>
        <item x="2523"/>
        <item x="2541"/>
        <item x="2325"/>
        <item x="2549"/>
        <item x="2563"/>
        <item x="5133"/>
        <item x="2524"/>
        <item x="2500"/>
        <item x="2482"/>
        <item x="2501"/>
        <item x="2502"/>
        <item x="2515"/>
        <item x="2550"/>
        <item x="2551"/>
        <item x="2578"/>
        <item x="2579"/>
        <item x="2588"/>
        <item x="2589"/>
        <item x="2590"/>
        <item x="2604"/>
        <item x="2591"/>
        <item x="2592"/>
        <item x="5764"/>
        <item x="875"/>
        <item x="2326"/>
        <item x="880"/>
        <item x="876"/>
        <item x="881"/>
        <item x="4160"/>
        <item x="5139"/>
        <item x="5745"/>
        <item x="2629"/>
        <item x="5140"/>
        <item x="5010"/>
        <item x="5375"/>
        <item x="2331"/>
        <item x="863"/>
        <item x="4088"/>
        <item x="3370"/>
        <item x="3603"/>
        <item x="3604"/>
        <item x="3605"/>
        <item x="5827"/>
        <item x="3379"/>
        <item x="1628"/>
        <item x="3380"/>
        <item x="2337"/>
        <item x="3381"/>
        <item x="885"/>
        <item x="1259"/>
        <item x="892"/>
        <item x="3385"/>
        <item x="3386"/>
        <item x="3881"/>
        <item x="3387"/>
        <item x="990"/>
        <item x="3396"/>
        <item x="5383"/>
        <item x="1634"/>
        <item x="1635"/>
        <item x="896"/>
        <item x="3942"/>
        <item x="870"/>
        <item x="859"/>
        <item x="851"/>
        <item x="897"/>
        <item x="3400"/>
        <item x="822"/>
        <item x="823"/>
        <item x="835"/>
        <item x="829"/>
        <item x="4183"/>
        <item x="5159"/>
        <item x="844"/>
        <item x="860"/>
        <item x="855"/>
        <item x="2343"/>
        <item x="899"/>
        <item x="900"/>
        <item x="2884"/>
        <item x="3401"/>
        <item x="3232"/>
        <item x="3406"/>
        <item x="5160"/>
        <item x="3751"/>
        <item x="2348"/>
        <item x="3407"/>
        <item x="1641"/>
        <item x="390"/>
        <item x="3413"/>
        <item x="3414"/>
        <item x="3752"/>
        <item x="1756"/>
        <item x="1742"/>
        <item x="1738"/>
        <item x="1723"/>
        <item x="1739"/>
        <item x="1744"/>
        <item x="2354"/>
        <item x="2355"/>
        <item x="2356"/>
        <item x="5553"/>
        <item x="1645"/>
        <item x="3418"/>
        <item x="3419"/>
        <item x="1646"/>
        <item x="2361"/>
        <item x="5169"/>
        <item x="3433"/>
        <item x="2644"/>
        <item x="2615"/>
        <item x="2616"/>
        <item x="2626"/>
        <item x="2617"/>
        <item x="2362"/>
        <item x="2363"/>
        <item x="2618"/>
        <item x="2642"/>
        <item x="2619"/>
        <item x="2635"/>
        <item x="904"/>
        <item x="2627"/>
        <item x="2673"/>
        <item x="5032"/>
        <item x="4194"/>
        <item x="2705"/>
        <item x="4195"/>
        <item x="4446"/>
        <item x="5177"/>
        <item x="5178"/>
        <item x="3434"/>
        <item x="5179"/>
        <item x="4199"/>
        <item x="4455"/>
        <item x="3442"/>
        <item x="3443"/>
        <item x="5384"/>
        <item x="886"/>
        <item x="359"/>
        <item x="2370"/>
        <item x="877"/>
        <item x="874"/>
        <item x="909"/>
        <item x="4201"/>
        <item x="901"/>
        <item x="902"/>
        <item x="898"/>
        <item x="3454"/>
        <item x="3455"/>
        <item x="5253"/>
        <item x="5254"/>
        <item x="2374"/>
        <item x="3991"/>
        <item x="5385"/>
        <item x="3676"/>
        <item x="3458"/>
        <item x="2375"/>
        <item x="884"/>
        <item x="5796"/>
        <item x="5188"/>
        <item x="3640"/>
        <item x="905"/>
        <item x="1656"/>
        <item x="5042"/>
        <item x="2385"/>
        <item x="2386"/>
        <item x="1661"/>
        <item x="2392"/>
        <item x="2393"/>
        <item x="3463"/>
        <item x="3464"/>
        <item x="4473"/>
        <item x="3468"/>
        <item x="910"/>
        <item x="3469"/>
        <item x="4210"/>
        <item x="4211"/>
        <item x="2399"/>
        <item x="4212"/>
        <item x="2409"/>
        <item x="1667"/>
        <item x="911"/>
        <item x="3672"/>
        <item x="2410"/>
        <item x="3476"/>
        <item x="1686"/>
        <item x="3759"/>
        <item x="2414"/>
        <item x="1678"/>
        <item x="2415"/>
        <item x="1875"/>
        <item x="2416"/>
        <item x="2747"/>
        <item x="4505"/>
        <item x="1142"/>
        <item x="2743"/>
        <item x="2739"/>
        <item x="2748"/>
        <item x="2706"/>
        <item x="2686"/>
        <item x="2740"/>
        <item x="1687"/>
        <item x="3477"/>
        <item x="3959"/>
        <item x="1688"/>
        <item x="1689"/>
        <item x="2421"/>
        <item x="3488"/>
        <item x="4223"/>
        <item x="1694"/>
        <item x="1695"/>
        <item x="1696"/>
        <item x="1697"/>
        <item x="1704"/>
        <item x="1705"/>
        <item x="594"/>
        <item x="3492"/>
        <item x="387"/>
        <item x="4224"/>
        <item x="1707"/>
        <item x="1715"/>
        <item x="1708"/>
        <item x="3497"/>
        <item x="2434"/>
        <item x="2435"/>
        <item x="3498"/>
        <item x="2439"/>
        <item x="2440"/>
        <item x="1249"/>
        <item x="4070"/>
        <item x="4198"/>
        <item x="1785"/>
        <item x="1825"/>
        <item x="1816"/>
        <item x="1790"/>
        <item x="1791"/>
        <item x="1792"/>
        <item x="1802"/>
        <item x="1841"/>
        <item x="1842"/>
        <item x="3505"/>
        <item x="4543"/>
        <item x="4329"/>
        <item x="3508"/>
        <item x="1722"/>
        <item x="18"/>
        <item x="1726"/>
        <item x="97"/>
        <item x="2454"/>
        <item x="2455"/>
        <item x="4008"/>
        <item x="196"/>
        <item x="197"/>
        <item x="1736"/>
        <item x="1741"/>
        <item x="1733"/>
        <item x="2464"/>
        <item x="2465"/>
        <item x="2787"/>
        <item x="335"/>
        <item x="336"/>
        <item x="2784"/>
        <item x="3984"/>
        <item x="5391"/>
        <item x="2469"/>
        <item x="5064"/>
        <item x="5392"/>
        <item x="1737"/>
        <item x="2470"/>
        <item x="2471"/>
        <item x="4257"/>
        <item x="4258"/>
        <item x="4259"/>
        <item x="3521"/>
        <item x="3522"/>
        <item x="1743"/>
        <item x="2479"/>
        <item x="633"/>
        <item x="5265"/>
        <item x="2493"/>
        <item x="4726"/>
        <item x="1853"/>
        <item x="2480"/>
        <item x="2831"/>
        <item x="2823"/>
        <item x="2810"/>
        <item x="2824"/>
        <item x="4727"/>
        <item x="5208"/>
        <item x="2490"/>
        <item x="5678"/>
        <item x="3116"/>
        <item x="5267"/>
        <item x="3530"/>
        <item x="2494"/>
        <item x="2495"/>
        <item x="2496"/>
        <item x="2497"/>
        <item x="2498"/>
        <item x="1749"/>
        <item x="2508"/>
        <item x="5686"/>
        <item x="4270"/>
        <item x="952"/>
        <item x="2513"/>
        <item x="5079"/>
        <item x="2514"/>
        <item x="1009"/>
        <item x="1753"/>
        <item x="1754"/>
        <item x="2521"/>
        <item x="1237"/>
        <item x="4159"/>
        <item x="4285"/>
        <item x="5048"/>
        <item x="2522"/>
        <item x="1761"/>
        <item x="1762"/>
        <item x="1426"/>
        <item x="4291"/>
        <item x="4292"/>
        <item x="1766"/>
        <item x="5400"/>
        <item x="5401"/>
        <item x="2539"/>
        <item x="2540"/>
        <item x="1773"/>
        <item x="3535"/>
        <item x="1775"/>
        <item x="1776"/>
        <item x="3037"/>
        <item x="2545"/>
        <item x="2546"/>
        <item x="2557"/>
        <item x="2547"/>
        <item x="2558"/>
        <item x="2548"/>
        <item x="2559"/>
        <item x="2560"/>
        <item x="2380"/>
        <item x="2381"/>
        <item x="2382"/>
        <item x="2582"/>
        <item x="2561"/>
        <item x="1195"/>
        <item x="5103"/>
        <item x="4307"/>
        <item x="1784"/>
        <item x="5050"/>
        <item x="3544"/>
        <item x="1886"/>
        <item x="4275"/>
        <item x="2576"/>
        <item x="2577"/>
        <item x="2583"/>
        <item x="4317"/>
        <item x="2584"/>
        <item x="2585"/>
        <item x="2586"/>
        <item x="2587"/>
        <item x="2603"/>
        <item x="1163"/>
        <item x="1196"/>
        <item x="3549"/>
        <item x="1787"/>
        <item x="2173"/>
        <item x="1788"/>
        <item x="3550"/>
        <item x="1789"/>
        <item x="2215"/>
        <item x="2609"/>
        <item x="2610"/>
        <item x="2611"/>
        <item x="2612"/>
        <item x="2613"/>
        <item x="2614"/>
        <item x="4205"/>
        <item x="2623"/>
        <item x="2624"/>
        <item x="2625"/>
        <item x="3562"/>
        <item x="2445"/>
        <item x="1801"/>
        <item x="2632"/>
        <item x="1281"/>
        <item x="1197"/>
        <item x="5402"/>
        <item x="3132"/>
        <item x="1887"/>
        <item x="3563"/>
        <item x="2633"/>
        <item x="2634"/>
        <item x="1805"/>
        <item x="5414"/>
        <item x="2640"/>
        <item x="2643"/>
        <item x="2897"/>
        <item x="3566"/>
        <item x="5415"/>
        <item x="2648"/>
        <item x="5132"/>
        <item x="1198"/>
        <item x="1026"/>
        <item x="998"/>
        <item x="1813"/>
        <item x="2657"/>
        <item x="986"/>
        <item x="2658"/>
        <item x="5455"/>
        <item x="1030"/>
        <item x="4225"/>
        <item x="1814"/>
        <item x="1815"/>
        <item x="2898"/>
        <item x="981"/>
        <item x="1037"/>
        <item x="2899"/>
        <item x="2662"/>
        <item x="3262"/>
        <item x="1038"/>
        <item x="3147"/>
        <item x="991"/>
        <item x="3576"/>
        <item x="2663"/>
        <item x="1007"/>
        <item x="987"/>
        <item x="5275"/>
        <item x="2672"/>
        <item x="1199"/>
        <item x="992"/>
        <item x="3448"/>
        <item x="1039"/>
        <item x="3580"/>
        <item x="2676"/>
        <item x="2677"/>
        <item x="1888"/>
        <item x="1824"/>
        <item x="4347"/>
        <item x="3582"/>
        <item x="2683"/>
        <item x="1828"/>
        <item x="2684"/>
        <item x="2685"/>
        <item x="1829"/>
        <item x="4232"/>
        <item x="1200"/>
        <item x="3048"/>
        <item x="2701"/>
        <item x="1830"/>
        <item x="2702"/>
        <item x="2703"/>
        <item x="2261"/>
        <item x="2704"/>
        <item x="3587"/>
        <item x="4733"/>
        <item x="4007"/>
        <item x="5420"/>
        <item x="5421"/>
        <item x="2712"/>
        <item x="2713"/>
        <item x="4762"/>
        <item x="1201"/>
        <item x="3596"/>
        <item x="1838"/>
        <item x="1049"/>
        <item x="2721"/>
        <item x="4355"/>
        <item x="3598"/>
        <item x="1839"/>
        <item x="1844"/>
        <item x="3601"/>
        <item x="2744"/>
        <item x="1307"/>
        <item x="1202"/>
        <item x="2736"/>
        <item x="2738"/>
        <item x="5849"/>
        <item x="2737"/>
        <item x="3615"/>
        <item x="3616"/>
        <item x="2742"/>
        <item x="5286"/>
        <item x="5427"/>
        <item x="4734"/>
        <item x="2745"/>
        <item x="2746"/>
        <item x="1314"/>
        <item x="4366"/>
        <item x="4367"/>
        <item x="4368"/>
        <item x="4371"/>
        <item x="5422"/>
        <item x="4711"/>
        <item x="3216"/>
        <item x="5085"/>
        <item x="5287"/>
        <item x="3626"/>
        <item x="4333"/>
        <item x="4246"/>
        <item x="5288"/>
        <item x="4377"/>
        <item x="5176"/>
        <item x="5299"/>
        <item x="3630"/>
        <item x="3631"/>
        <item x="2295"/>
        <item x="4383"/>
        <item x="4384"/>
        <item x="2768"/>
        <item x="3638"/>
        <item x="2769"/>
        <item x="4260"/>
        <item x="2759"/>
        <item x="5425"/>
        <item x="1000"/>
        <item x="2770"/>
        <item x="2771"/>
        <item x="5426"/>
        <item x="4386"/>
        <item x="4038"/>
        <item x="3247"/>
        <item x="3360"/>
        <item x="3361"/>
        <item x="3446"/>
        <item x="3733"/>
        <item x="3739"/>
        <item x="3740"/>
        <item x="3990"/>
        <item x="4005"/>
        <item x="4006"/>
        <item x="4049"/>
        <item x="4072"/>
        <item x="4089"/>
        <item x="4153"/>
        <item x="4154"/>
        <item x="4230"/>
        <item x="4231"/>
        <item x="4253"/>
        <item x="4405"/>
        <item x="4682"/>
        <item x="4704"/>
        <item x="4718"/>
        <item x="4759"/>
        <item x="4779"/>
        <item x="4780"/>
        <item x="4834"/>
        <item x="4870"/>
        <item x="4908"/>
        <item x="4909"/>
        <item x="4972"/>
        <item x="3799"/>
        <item x="4387"/>
        <item x="3830"/>
        <item x="3835"/>
        <item x="3825"/>
        <item x="3897"/>
        <item x="3926"/>
        <item x="3927"/>
        <item x="3975"/>
        <item x="3976"/>
        <item x="4001"/>
        <item x="4209"/>
        <item x="4041"/>
        <item x="4051"/>
        <item x="4081"/>
        <item x="4074"/>
        <item x="4082"/>
        <item x="4190"/>
        <item x="4221"/>
        <item x="4222"/>
        <item x="4267"/>
        <item x="4266"/>
        <item x="4283"/>
        <item x="4302"/>
        <item x="4365"/>
        <item x="4417"/>
        <item x="4391"/>
        <item x="4388"/>
        <item x="4400"/>
        <item x="4409"/>
        <item x="4418"/>
        <item x="4415"/>
        <item x="4419"/>
        <item x="4429"/>
        <item x="4430"/>
        <item x="4439"/>
        <item x="4462"/>
        <item x="4454"/>
        <item x="4466"/>
        <item x="4472"/>
        <item x="4471"/>
        <item x="4481"/>
        <item x="4482"/>
        <item x="4499"/>
        <item x="4504"/>
        <item x="4538"/>
        <item x="4539"/>
        <item x="4546"/>
        <item x="4547"/>
        <item x="4556"/>
        <item x="4634"/>
        <item x="4559"/>
        <item x="4606"/>
        <item x="4579"/>
        <item x="4607"/>
        <item x="4587"/>
        <item x="4588"/>
        <item x="4608"/>
        <item x="4599"/>
        <item x="4600"/>
        <item x="4601"/>
        <item x="4609"/>
        <item x="4655"/>
        <item x="4645"/>
        <item x="4635"/>
        <item x="4686"/>
        <item x="4636"/>
        <item x="4687"/>
        <item x="4688"/>
        <item x="4719"/>
        <item x="4729"/>
        <item x="4743"/>
        <item x="4720"/>
        <item x="4721"/>
        <item x="4732"/>
        <item x="4744"/>
        <item x="4760"/>
        <item x="4761"/>
        <item x="4805"/>
        <item x="4771"/>
        <item x="4773"/>
        <item x="4803"/>
        <item x="4789"/>
        <item x="4791"/>
        <item x="4790"/>
        <item x="4827"/>
        <item x="4836"/>
        <item x="4849"/>
        <item x="4864"/>
        <item x="4857"/>
        <item x="4858"/>
        <item x="4865"/>
        <item x="4877"/>
        <item x="4883"/>
        <item x="4884"/>
        <item x="4878"/>
        <item x="4890"/>
        <item x="4917"/>
        <item x="4915"/>
        <item x="4916"/>
        <item x="4927"/>
        <item x="4921"/>
        <item x="4944"/>
        <item x="4933"/>
        <item x="4961"/>
        <item x="4937"/>
        <item x="4945"/>
        <item x="4962"/>
        <item x="4963"/>
        <item x="4967"/>
        <item x="4987"/>
        <item x="4983"/>
        <item x="4988"/>
        <item x="4992"/>
        <item x="5000"/>
        <item x="5015"/>
        <item x="5016"/>
        <item x="5020"/>
        <item x="5060"/>
        <item x="5061"/>
        <item x="5062"/>
        <item x="5075"/>
        <item x="5088"/>
        <item x="5116"/>
        <item x="5097"/>
        <item x="5098"/>
        <item x="5153"/>
        <item x="5117"/>
        <item x="5131"/>
        <item x="5123"/>
        <item x="5154"/>
        <item x="5167"/>
        <item x="5168"/>
        <item x="5172"/>
        <item x="5173"/>
        <item x="5174"/>
        <item x="5181"/>
        <item x="5185"/>
        <item x="5191"/>
        <item x="5192"/>
        <item x="5204"/>
        <item x="5202"/>
        <item x="5217"/>
        <item x="5218"/>
        <item x="5229"/>
        <item x="5237"/>
        <item x="5245"/>
        <item x="5259"/>
        <item x="5269"/>
        <item x="5270"/>
        <item x="5260"/>
        <item x="5278"/>
        <item x="5279"/>
        <item x="5290"/>
        <item x="5315"/>
        <item x="5316"/>
        <item x="5331"/>
        <item x="5341"/>
        <item x="5351"/>
        <item x="5352"/>
        <item x="5372"/>
        <item x="5373"/>
        <item x="5376"/>
        <item x="5377"/>
        <item x="5462"/>
        <item x="5463"/>
        <item x="5423"/>
        <item x="5407"/>
        <item x="5398"/>
        <item x="5408"/>
        <item x="5409"/>
        <item x="5419"/>
        <item x="5464"/>
        <item x="5465"/>
        <item x="5466"/>
        <item x="5486"/>
        <item x="5487"/>
        <item x="5506"/>
        <item x="5508"/>
        <item x="5514"/>
        <item x="5530"/>
        <item x="5542"/>
        <item x="5599"/>
        <item x="5551"/>
        <item x="5561"/>
        <item x="5554"/>
        <item x="5600"/>
        <item x="5588"/>
        <item x="5597"/>
        <item x="5609"/>
        <item x="5650"/>
        <item x="5664"/>
        <item x="5700"/>
        <item x="5684"/>
        <item x="5701"/>
        <item x="5712"/>
        <item x="5724"/>
        <item x="5728"/>
        <item x="5730"/>
        <item x="5731"/>
        <item x="5732"/>
        <item x="5758"/>
        <item x="5768"/>
        <item x="5759"/>
        <item x="5760"/>
        <item x="5777"/>
        <item x="5769"/>
        <item x="5771"/>
        <item x="5781"/>
        <item x="5787"/>
        <item x="5821"/>
        <item x="5935"/>
        <item x="5802"/>
        <item x="5822"/>
        <item x="5823"/>
        <item x="5803"/>
        <item x="5852"/>
        <item x="5818"/>
        <item x="5825"/>
        <item x="5826"/>
        <item x="5879"/>
        <item x="5853"/>
        <item x="5854"/>
        <item x="5855"/>
        <item x="5864"/>
        <item x="5865"/>
        <item x="5897"/>
        <item x="5893"/>
        <item x="5887"/>
        <item x="5894"/>
        <item x="5898"/>
        <item x="5899"/>
        <item x="5905"/>
        <item x="5906"/>
        <item x="5907"/>
        <item x="5929"/>
        <item x="5950"/>
        <item x="5912"/>
        <item x="5930"/>
        <item x="5936"/>
        <item x="5937"/>
        <item x="5955"/>
        <item x="5956"/>
        <item x="5978"/>
        <item x="5979"/>
        <item x="1894"/>
        <item x="1657"/>
        <item x="3656"/>
        <item x="5203"/>
        <item x="3657"/>
        <item x="4402"/>
        <item x="4403"/>
        <item x="3053"/>
        <item x="3659"/>
        <item x="2781"/>
        <item x="4406"/>
        <item x="4407"/>
        <item x="2782"/>
        <item x="2785"/>
        <item x="2786"/>
        <item x="3674"/>
        <item x="3675"/>
        <item x="4712"/>
        <item x="5835"/>
        <item x="3682"/>
        <item x="2812"/>
        <item x="2909"/>
        <item x="3489"/>
        <item x="2802"/>
        <item x="2803"/>
        <item x="2804"/>
        <item x="2805"/>
        <item x="1336"/>
        <item x="5450"/>
        <item x="4423"/>
        <item x="4424"/>
        <item x="4425"/>
        <item x="2809"/>
        <item x="5813"/>
        <item x="4042"/>
        <item x="2821"/>
        <item x="5814"/>
        <item x="2822"/>
        <item x="4742"/>
        <item x="2827"/>
        <item x="4442"/>
        <item x="2829"/>
        <item x="2830"/>
        <item x="1903"/>
        <item x="4436"/>
        <item x="4443"/>
        <item x="3691"/>
        <item x="5223"/>
        <item x="5451"/>
        <item x="311"/>
        <item x="4447"/>
        <item x="4115"/>
        <item x="4052"/>
        <item x="1115"/>
        <item x="2836"/>
        <item x="2841"/>
        <item x="2848"/>
        <item x="1119"/>
        <item x="3702"/>
        <item x="3703"/>
        <item x="1873"/>
        <item x="2844"/>
        <item x="5141"/>
        <item x="4464"/>
        <item x="2910"/>
        <item x="4468"/>
        <item x="5243"/>
        <item x="3711"/>
        <item x="4475"/>
        <item x="3712"/>
        <item x="5544"/>
        <item x="4483"/>
        <item x="5545"/>
        <item x="4484"/>
        <item x="4493"/>
        <item x="4494"/>
        <item x="5824"/>
        <item x="5888"/>
        <item x="5297"/>
        <item x="4495"/>
        <item x="4129"/>
        <item x="4709"/>
        <item x="1904"/>
        <item x="4131"/>
        <item x="1354"/>
        <item x="4506"/>
        <item x="4501"/>
        <item x="5555"/>
        <item x="4507"/>
        <item x="5556"/>
        <item x="5557"/>
        <item x="4321"/>
        <item x="4775"/>
        <item x="5563"/>
        <item x="5568"/>
        <item x="4522"/>
        <item x="4071"/>
        <item x="1360"/>
        <item x="1905"/>
        <item x="5266"/>
        <item x="5573"/>
        <item x="5574"/>
        <item x="1476"/>
        <item x="4139"/>
        <item x="5460"/>
        <item x="5584"/>
        <item x="4748"/>
        <item x="1910"/>
        <item x="3280"/>
        <item x="679"/>
        <item x="5461"/>
        <item x="4541"/>
        <item x="4544"/>
        <item x="5587"/>
        <item x="5294"/>
        <item x="1911"/>
        <item x="3089"/>
        <item x="5596"/>
        <item x="4550"/>
        <item x="574"/>
        <item x="601"/>
        <item x="1483"/>
        <item x="4558"/>
        <item x="4553"/>
        <item x="5601"/>
        <item x="4086"/>
        <item x="4562"/>
        <item x="5606"/>
        <item x="5607"/>
        <item x="4572"/>
        <item x="1241"/>
        <item x="4573"/>
        <item x="4065"/>
        <item x="4254"/>
        <item x="4420"/>
        <item x="4724"/>
        <item x="1393"/>
        <item x="4361"/>
        <item x="5614"/>
        <item x="4751"/>
        <item x="4584"/>
        <item x="4752"/>
        <item x="1392"/>
        <item x="5233"/>
        <item x="4589"/>
        <item x="5325"/>
        <item x="3104"/>
        <item x="4596"/>
        <item x="4597"/>
        <item x="4370"/>
        <item x="5624"/>
        <item x="5470"/>
        <item x="5471"/>
        <item x="5472"/>
        <item x="4613"/>
        <item x="4614"/>
        <item x="4615"/>
        <item x="5628"/>
        <item x="4619"/>
        <item x="4620"/>
        <item x="4621"/>
        <item x="4622"/>
        <item x="4623"/>
        <item x="4303"/>
        <item x="4628"/>
        <item x="5831"/>
        <item x="1915"/>
        <item x="5828"/>
        <item x="4640"/>
        <item x="5338"/>
        <item x="4641"/>
        <item x="5637"/>
        <item x="4642"/>
        <item x="4643"/>
        <item x="5199"/>
        <item x="4705"/>
        <item x="4706"/>
        <item x="4707"/>
        <item x="5944"/>
        <item x="5971"/>
        <item x="5972"/>
        <item x="5986"/>
        <item x="5987"/>
        <item x="5789"/>
        <item x="5790"/>
        <item x="5791"/>
        <item x="5795"/>
        <item x="5792"/>
        <item x="5793"/>
        <item x="4725"/>
        <item x="4739"/>
        <item x="4740"/>
        <item x="4741"/>
        <item x="5804"/>
        <item x="5805"/>
        <item x="4745"/>
        <item x="4746"/>
        <item x="5811"/>
        <item x="4764"/>
        <item x="4766"/>
        <item x="4774"/>
        <item x="5842"/>
        <item x="5843"/>
        <item x="5844"/>
        <item x="5845"/>
        <item x="4792"/>
        <item x="4793"/>
        <item x="4794"/>
        <item x="4795"/>
        <item x="5856"/>
        <item x="5857"/>
        <item x="5858"/>
        <item x="5859"/>
        <item x="4813"/>
        <item x="4814"/>
        <item x="5867"/>
        <item x="4822"/>
        <item x="4823"/>
        <item x="4824"/>
        <item x="4825"/>
        <item x="5882"/>
        <item x="5883"/>
        <item x="5884"/>
        <item x="5885"/>
        <item x="4838"/>
        <item x="4840"/>
        <item x="5889"/>
        <item x="5890"/>
        <item x="5891"/>
        <item x="4850"/>
        <item x="4851"/>
        <item x="5916"/>
        <item x="5917"/>
        <item x="5918"/>
        <item x="4866"/>
        <item x="4867"/>
        <item x="4879"/>
        <item x="4880"/>
        <item x="5938"/>
        <item x="5939"/>
        <item x="5940"/>
        <item x="5941"/>
        <item x="5942"/>
        <item x="5943"/>
        <item x="4897"/>
        <item x="4898"/>
        <item x="4899"/>
        <item x="4900"/>
        <item x="4901"/>
        <item x="4902"/>
        <item x="4903"/>
        <item x="5967"/>
        <item x="5968"/>
        <item x="5969"/>
        <item x="5970"/>
        <item x="4904"/>
        <item x="4918"/>
        <item x="5980"/>
        <item x="5981"/>
        <item x="4938"/>
        <item x="4939"/>
        <item x="4940"/>
        <item x="4941"/>
        <item x="4955"/>
        <item x="4956"/>
        <item x="4973"/>
        <item x="4974"/>
        <item x="4975"/>
        <item x="4993"/>
        <item x="4994"/>
        <item x="4995"/>
        <item x="4996"/>
        <item x="5021"/>
        <item x="5022"/>
        <item x="5023"/>
        <item x="5024"/>
        <item x="5043"/>
        <item x="5044"/>
        <item x="5045"/>
        <item x="5046"/>
        <item x="5055"/>
        <item x="5056"/>
        <item x="5076"/>
        <item x="5077"/>
        <item x="5078"/>
        <item x="5094"/>
        <item x="5118"/>
        <item x="5143"/>
        <item x="5144"/>
        <item x="5145"/>
        <item x="5155"/>
        <item x="5156"/>
        <item x="5157"/>
        <item x="5158"/>
        <item x="5182"/>
        <item x="5183"/>
        <item x="5194"/>
        <item x="5195"/>
        <item x="5196"/>
        <item x="5197"/>
        <item x="5198"/>
        <item x="5230"/>
        <item x="5231"/>
        <item x="5232"/>
        <item x="5249"/>
        <item x="5271"/>
        <item x="5272"/>
        <item x="5273"/>
        <item x="5280"/>
        <item x="5301"/>
        <item x="5302"/>
        <item x="5308"/>
        <item x="5309"/>
        <item x="5310"/>
        <item x="5311"/>
        <item x="5312"/>
        <item x="5313"/>
        <item x="5342"/>
        <item x="5343"/>
        <item x="5353"/>
        <item x="5354"/>
        <item x="5378"/>
        <item x="5379"/>
        <item x="5380"/>
        <item x="5390"/>
        <item x="5410"/>
        <item x="5411"/>
        <item x="5412"/>
        <item x="5413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90"/>
        <item x="5491"/>
        <item x="5499"/>
        <item x="5500"/>
        <item x="5501"/>
        <item x="5502"/>
        <item x="5503"/>
        <item x="5515"/>
        <item x="5516"/>
        <item x="5517"/>
        <item x="5528"/>
        <item x="5529"/>
        <item x="5540"/>
        <item x="5562"/>
        <item x="5571"/>
        <item x="5578"/>
        <item x="5579"/>
        <item x="5580"/>
        <item x="4511"/>
        <item x="4512"/>
        <item x="4513"/>
        <item x="4514"/>
        <item x="5595"/>
        <item x="4531"/>
        <item x="4532"/>
        <item x="5610"/>
        <item x="5620"/>
        <item x="5621"/>
        <item x="5622"/>
        <item x="5623"/>
        <item x="4552"/>
        <item x="4560"/>
        <item x="4561"/>
        <item x="5647"/>
        <item x="4571"/>
        <item x="5671"/>
        <item x="5672"/>
        <item x="4610"/>
        <item x="4611"/>
        <item x="5685"/>
        <item x="4646"/>
        <item x="5690"/>
        <item x="4647"/>
        <item x="4648"/>
        <item x="4649"/>
        <item x="4650"/>
        <item x="5694"/>
        <item x="5695"/>
        <item x="5696"/>
        <item x="4662"/>
        <item x="4663"/>
        <item x="4664"/>
        <item x="4665"/>
        <item x="4666"/>
        <item x="4667"/>
        <item x="4668"/>
        <item x="4669"/>
        <item x="4670"/>
        <item x="4671"/>
        <item x="4674"/>
        <item x="4675"/>
        <item x="5725"/>
        <item x="5726"/>
        <item x="5729"/>
        <item x="5736"/>
        <item x="5740"/>
        <item x="5749"/>
        <item x="5750"/>
        <item x="5751"/>
        <item x="3008"/>
        <item x="3051"/>
        <item x="3190"/>
        <item x="3191"/>
        <item x="3331"/>
        <item x="3447"/>
        <item x="3507"/>
        <item x="3594"/>
        <item x="3643"/>
        <item x="3780"/>
        <item x="4100"/>
        <item x="4179"/>
        <item x="4180"/>
        <item x="3568"/>
        <item x="3777"/>
        <item x="3778"/>
        <item x="4545"/>
        <item x="4583"/>
        <item x="2141"/>
        <item x="2153"/>
        <item x="2182"/>
        <item x="3294"/>
        <item x="3528"/>
        <item x="3532"/>
        <item x="3765"/>
        <item x="3766"/>
        <item x="3775"/>
        <item x="3787"/>
        <item x="3995"/>
        <item x="4215"/>
        <item x="4243"/>
        <item x="4340"/>
        <item x="4372"/>
        <item x="4448"/>
        <item x="4457"/>
        <item x="4659"/>
        <item x="5591"/>
        <item x="556"/>
        <item x="557"/>
        <item x="558"/>
        <item x="750"/>
        <item x="962"/>
        <item x="1516"/>
        <item x="1631"/>
        <item x="5848"/>
        <item x="5928"/>
        <item x="3880"/>
        <item x="3895"/>
        <item x="3923"/>
        <item x="4064"/>
        <item x="3774"/>
        <item x="3792"/>
        <item x="3821"/>
        <item x="3843"/>
        <item x="5645"/>
        <item x="5646"/>
        <item x="5590"/>
        <item x="4871"/>
        <item x="2273"/>
        <item x="3693"/>
        <item x="3861"/>
        <item x="3898"/>
        <item x="4107"/>
        <item x="5014"/>
        <item x="5147"/>
        <item x="5148"/>
        <item x="5149"/>
        <item x="5189"/>
        <item x="5190"/>
        <item x="5209"/>
        <item x="5206"/>
        <item x="5226"/>
        <item x="5304"/>
        <item x="5305"/>
        <item x="5322"/>
        <item x="5329"/>
        <item x="5370"/>
        <item x="5371"/>
        <item x="5381"/>
        <item x="5393"/>
        <item x="5403"/>
        <item x="5560"/>
        <item x="5566"/>
        <item x="5576"/>
        <item x="5582"/>
        <item x="5611"/>
        <item x="5632"/>
        <item x="5670"/>
        <item x="5754"/>
        <item x="3866"/>
        <item x="4109"/>
        <item x="3683"/>
        <item x="3730"/>
        <item x="3776"/>
        <item x="3818"/>
        <item x="4357"/>
        <item x="4376"/>
        <item x="4460"/>
        <item x="4461"/>
        <item x="4657"/>
        <item x="4731"/>
        <item x="5706"/>
        <item x="4763"/>
        <item x="5747"/>
        <item x="4801"/>
        <item x="4831"/>
        <item x="4832"/>
        <item x="4854"/>
        <item x="4978"/>
        <item x="5019"/>
        <item x="5069"/>
        <item x="5070"/>
        <item x="5210"/>
        <item x="5236"/>
        <item x="5327"/>
        <item x="5394"/>
        <item x="5395"/>
        <item x="5396"/>
        <item x="5547"/>
        <item x="5585"/>
        <item x="5586"/>
        <item x="5603"/>
        <item x="5656"/>
        <item x="5657"/>
        <item x="5876"/>
        <item x="5877"/>
        <item x="5878"/>
        <item x="5961"/>
        <item x="3805"/>
        <item x="3806"/>
        <item x="3899"/>
        <item x="3619"/>
        <item x="12"/>
        <item x="30"/>
        <item x="52"/>
        <item x="59"/>
        <item x="60"/>
        <item x="65"/>
        <item x="100"/>
        <item x="101"/>
        <item x="102"/>
        <item x="103"/>
        <item x="130"/>
        <item x="173"/>
        <item x="186"/>
        <item x="277"/>
        <item x="308"/>
        <item x="319"/>
        <item x="343"/>
        <item x="330"/>
        <item x="364"/>
        <item x="365"/>
        <item x="394"/>
        <item x="395"/>
        <item x="411"/>
        <item x="412"/>
        <item x="427"/>
        <item x="443"/>
        <item x="451"/>
        <item x="466"/>
        <item x="467"/>
        <item x="478"/>
        <item x="479"/>
        <item x="480"/>
        <item x="485"/>
        <item x="486"/>
        <item x="487"/>
        <item x="493"/>
        <item x="494"/>
        <item x="501"/>
        <item x="506"/>
        <item x="524"/>
        <item x="525"/>
        <item x="567"/>
        <item x="573"/>
        <item x="577"/>
        <item x="585"/>
        <item x="593"/>
        <item x="627"/>
        <item x="631"/>
        <item x="653"/>
        <item x="655"/>
        <item x="662"/>
        <item x="677"/>
        <item x="678"/>
        <item x="684"/>
        <item x="691"/>
        <item x="692"/>
        <item x="702"/>
        <item x="722"/>
        <item x="729"/>
        <item x="730"/>
        <item x="751"/>
        <item x="803"/>
        <item x="804"/>
        <item x="805"/>
        <item x="814"/>
        <item x="815"/>
        <item x="830"/>
        <item x="846"/>
        <item x="878"/>
        <item x="919"/>
        <item x="920"/>
        <item x="921"/>
        <item x="925"/>
        <item x="937"/>
        <item x="938"/>
        <item x="947"/>
        <item x="948"/>
        <item x="958"/>
        <item x="960"/>
        <item x="1005"/>
        <item x="1008"/>
        <item x="1045"/>
        <item x="1070"/>
        <item x="1140"/>
        <item x="1179"/>
        <item x="1180"/>
        <item x="1208"/>
        <item x="1209"/>
        <item x="1226"/>
        <item x="1227"/>
        <item x="1230"/>
        <item x="1231"/>
        <item x="1233"/>
        <item x="1250"/>
        <item x="1269"/>
        <item x="1278"/>
        <item x="1280"/>
        <item x="1321"/>
        <item x="1329"/>
        <item x="1338"/>
        <item x="1346"/>
        <item x="1359"/>
        <item x="1365"/>
        <item x="1400"/>
        <item x="1413"/>
        <item x="1419"/>
        <item x="1439"/>
        <item x="1459"/>
        <item x="1495"/>
        <item x="1545"/>
        <item x="1546"/>
        <item x="1602"/>
        <item x="1611"/>
        <item x="1621"/>
        <item x="1624"/>
        <item x="1639"/>
        <item x="1664"/>
        <item x="1665"/>
        <item x="1666"/>
        <item x="1675"/>
        <item x="1676"/>
        <item x="1677"/>
        <item x="1730"/>
        <item x="1734"/>
        <item x="1735"/>
        <item x="1779"/>
        <item x="1780"/>
        <item x="1803"/>
        <item x="1804"/>
        <item x="1806"/>
        <item x="1807"/>
        <item x="1817"/>
        <item x="1843"/>
        <item x="1877"/>
        <item x="1878"/>
        <item x="1891"/>
        <item x="1939"/>
        <item x="1940"/>
        <item x="1941"/>
        <item x="1949"/>
        <item x="1999"/>
        <item x="2000"/>
        <item x="2013"/>
        <item x="2020"/>
        <item x="2032"/>
        <item x="2057"/>
        <item x="2067"/>
        <item x="2068"/>
        <item x="2080"/>
        <item x="2081"/>
        <item x="2085"/>
        <item x="2152"/>
        <item x="2179"/>
        <item x="2183"/>
        <item x="2184"/>
        <item x="2194"/>
        <item x="2195"/>
        <item x="2196"/>
        <item x="2212"/>
        <item x="2221"/>
        <item x="2228"/>
        <item x="2229"/>
        <item x="2230"/>
        <item x="2231"/>
        <item x="2254"/>
        <item x="2255"/>
        <item x="2268"/>
        <item x="2282"/>
        <item x="2290"/>
        <item x="2304"/>
        <item x="2305"/>
        <item x="2306"/>
        <item x="2351"/>
        <item x="2352"/>
        <item x="2353"/>
        <item x="2404"/>
        <item x="2405"/>
        <item x="2406"/>
        <item x="2422"/>
        <item x="2432"/>
        <item x="2437"/>
        <item x="2438"/>
        <item x="2450"/>
        <item x="2529"/>
        <item x="2636"/>
        <item x="2637"/>
        <item x="2708"/>
        <item x="2722"/>
        <item x="2731"/>
        <item x="2732"/>
        <item x="2814"/>
        <item x="2893"/>
        <item x="2900"/>
        <item x="2913"/>
        <item x="2914"/>
        <item x="2980"/>
        <item x="2981"/>
        <item x="2985"/>
        <item x="3026"/>
        <item x="3027"/>
        <item x="3030"/>
        <item x="3031"/>
        <item x="3070"/>
        <item x="3076"/>
        <item x="3106"/>
        <item x="3107"/>
        <item x="3122"/>
        <item x="3124"/>
        <item x="3149"/>
        <item x="3183"/>
        <item x="3198"/>
        <item x="3423"/>
        <item x="3424"/>
        <item x="3480"/>
        <item x="3481"/>
        <item x="3482"/>
        <item x="3483"/>
        <item x="3534"/>
        <item x="3554"/>
        <item x="3570"/>
        <item x="3571"/>
        <item x="3577"/>
        <item x="3634"/>
        <item x="3635"/>
        <item x="3636"/>
        <item x="3664"/>
        <item x="3665"/>
        <item x="3684"/>
        <item x="3685"/>
        <item x="3686"/>
        <item x="3687"/>
        <item x="3689"/>
        <item x="3726"/>
        <item x="3727"/>
        <item x="3728"/>
        <item x="3729"/>
        <item x="3731"/>
        <item x="3732"/>
        <item x="3734"/>
        <item x="3782"/>
        <item x="3783"/>
        <item x="3797"/>
        <item x="3798"/>
        <item x="3836"/>
        <item x="3837"/>
        <item x="3871"/>
        <item x="3872"/>
        <item x="3915"/>
        <item x="3916"/>
        <item x="3917"/>
        <item x="3918"/>
        <item x="3985"/>
        <item x="3986"/>
        <item x="3994"/>
        <item x="4002"/>
        <item x="4020"/>
        <item x="4032"/>
        <item x="4033"/>
        <item x="4034"/>
        <item x="4035"/>
        <item x="4048"/>
        <item x="4066"/>
        <item x="4067"/>
        <item x="4068"/>
        <item x="4077"/>
        <item x="4078"/>
        <item x="4092"/>
        <item x="4093"/>
        <item x="4182"/>
        <item x="4227"/>
        <item x="4228"/>
        <item x="4229"/>
        <item x="4244"/>
        <item x="4249"/>
        <item x="4250"/>
        <item x="4251"/>
        <item x="4252"/>
        <item x="4278"/>
        <item x="4286"/>
        <item x="4304"/>
        <item x="4358"/>
        <item x="4404"/>
        <item x="4408"/>
        <item x="4478"/>
        <item x="4479"/>
        <item x="4491"/>
        <item x="4492"/>
        <item x="4508"/>
        <item x="4523"/>
        <item x="4524"/>
        <item x="4593"/>
        <item x="4618"/>
        <item x="4629"/>
        <item x="4703"/>
        <item x="4710"/>
        <item x="4714"/>
        <item x="4715"/>
        <item x="4716"/>
        <item x="4717"/>
        <item x="4728"/>
        <item x="4749"/>
        <item x="4768"/>
        <item x="4809"/>
        <item x="4810"/>
        <item x="4819"/>
        <item x="4887"/>
        <item x="4888"/>
        <item x="4907"/>
        <item x="4935"/>
        <item x="4936"/>
        <item x="5031"/>
        <item x="5036"/>
        <item x="5057"/>
        <item x="5058"/>
        <item x="5068"/>
        <item x="5120"/>
        <item x="5121"/>
        <item x="5122"/>
        <item x="5166"/>
        <item x="5258"/>
        <item x="5306"/>
        <item x="5388"/>
        <item x="5389"/>
        <item x="5488"/>
        <item x="5489"/>
        <item x="5538"/>
        <item x="5559"/>
        <item x="5565"/>
        <item x="5668"/>
        <item x="5669"/>
        <item x="5680"/>
        <item x="5688"/>
        <item x="5739"/>
        <item x="5765"/>
        <item x="5766"/>
        <item x="5770"/>
        <item x="5780"/>
        <item x="5783"/>
        <item x="5788"/>
        <item x="5807"/>
        <item x="5847"/>
        <item x="5851"/>
        <item x="5868"/>
        <item x="5869"/>
        <item x="5870"/>
        <item x="5934"/>
        <item x="5966"/>
        <item x="5974"/>
        <item x="2185"/>
        <item x="2236"/>
        <item x="2247"/>
        <item x="2248"/>
        <item x="2256"/>
        <item x="2286"/>
        <item x="2287"/>
        <item x="2291"/>
        <item x="3540"/>
        <item x="3564"/>
        <item x="3565"/>
        <item x="3567"/>
        <item x="3583"/>
        <item x="4672"/>
        <item x="4673"/>
        <item x="4681"/>
        <item x="4691"/>
        <item x="4788"/>
        <item x="4800"/>
        <item x="4811"/>
        <item x="4820"/>
        <item x="4845"/>
        <item x="4911"/>
        <item x="4928"/>
        <item x="4960"/>
        <item x="4965"/>
        <item x="5040"/>
        <item x="4990"/>
        <item x="4998"/>
        <item x="5018"/>
        <item x="5052"/>
        <item x="5053"/>
        <item x="5054"/>
        <item x="5059"/>
        <item x="5082"/>
        <item x="5093"/>
        <item x="5130"/>
        <item x="5146"/>
        <item x="5151"/>
        <item x="5216"/>
        <item x="5225"/>
        <item x="5244"/>
        <item x="5307"/>
        <item x="5357"/>
        <item x="5496"/>
        <item x="5513"/>
        <item x="5539"/>
        <item x="5602"/>
        <item x="5615"/>
        <item x="5619"/>
        <item x="5654"/>
        <item x="5655"/>
        <item x="5681"/>
        <item x="5689"/>
        <item x="5711"/>
        <item x="5720"/>
        <item x="5721"/>
        <item x="5722"/>
        <item x="5723"/>
        <item x="5753"/>
        <item x="5812"/>
        <item x="5820"/>
        <item x="5837"/>
        <item x="5976"/>
        <item x="2047"/>
        <item x="3762"/>
        <item x="3997"/>
        <item x="4105"/>
        <item x="4591"/>
        <item x="4360"/>
        <item x="5757"/>
        <item x="4696"/>
        <item x="5063"/>
        <item x="5175"/>
        <item x="271"/>
        <item x="3555"/>
        <item x="3556"/>
        <item x="3572"/>
        <item x="3924"/>
        <item x="3996"/>
        <item x="4353"/>
        <item x="5221"/>
        <item x="5635"/>
        <item x="5636"/>
        <item x="13"/>
        <item x="73"/>
        <item x="105"/>
        <item x="121"/>
        <item x="175"/>
        <item x="246"/>
        <item x="328"/>
        <item x="345"/>
        <item x="385"/>
        <item x="416"/>
        <item x="418"/>
        <item x="441"/>
        <item x="453"/>
        <item x="470"/>
        <item x="519"/>
        <item x="526"/>
        <item x="546"/>
        <item x="560"/>
        <item x="561"/>
        <item x="565"/>
        <item x="586"/>
        <item x="589"/>
        <item x="599"/>
        <item x="608"/>
        <item x="663"/>
        <item x="674"/>
        <item x="689"/>
        <item x="706"/>
        <item x="783"/>
        <item x="808"/>
        <item x="834"/>
        <item x="856"/>
        <item x="869"/>
        <item x="934"/>
        <item x="955"/>
        <item x="1022"/>
        <item x="1023"/>
        <item x="1156"/>
        <item x="1061"/>
        <item x="1136"/>
        <item x="1212"/>
        <item x="1267"/>
        <item x="1325"/>
        <item x="1326"/>
        <item x="1356"/>
        <item x="1367"/>
        <item x="1398"/>
        <item x="1441"/>
        <item x="1477"/>
        <item x="1523"/>
        <item x="1537"/>
        <item x="1538"/>
        <item x="1544"/>
        <item x="1579"/>
        <item x="1582"/>
        <item x="1605"/>
        <item x="1755"/>
        <item x="1840"/>
        <item x="1850"/>
        <item x="1859"/>
        <item x="3281"/>
        <item x="3282"/>
        <item x="3283"/>
        <item x="3284"/>
        <item x="3295"/>
        <item x="3529"/>
        <item x="3581"/>
        <item x="3589"/>
        <item x="3660"/>
        <item x="3661"/>
        <item x="3822"/>
        <item x="3831"/>
        <item x="3846"/>
        <item x="3893"/>
        <item x="3904"/>
        <item x="3945"/>
        <item x="3978"/>
        <item x="3988"/>
        <item x="4026"/>
        <item x="4121"/>
        <item x="4161"/>
        <item x="4162"/>
        <item x="4163"/>
        <item x="4196"/>
        <item x="4234"/>
        <item x="4235"/>
        <item x="4271"/>
        <item x="4276"/>
        <item x="4287"/>
        <item x="4293"/>
        <item x="4295"/>
        <item x="4308"/>
        <item x="4309"/>
        <item x="4314"/>
        <item x="4330"/>
        <item x="4348"/>
        <item x="4359"/>
        <item x="4373"/>
        <item x="4389"/>
        <item x="4485"/>
        <item x="4486"/>
        <item x="4528"/>
        <item x="4529"/>
        <item x="4592"/>
        <item x="5213"/>
        <item x="5214"/>
        <item x="5215"/>
        <item x="5428"/>
        <item x="5429"/>
        <item x="5473"/>
        <item x="5474"/>
        <item x="5512"/>
        <item x="5537"/>
        <item x="5549"/>
        <item x="5634"/>
        <item x="5673"/>
        <item x="5687"/>
        <item x="5699"/>
        <item x="5702"/>
        <item x="1210"/>
        <item x="1260"/>
        <item x="3811"/>
        <item x="1852"/>
        <item x="1856"/>
        <item x="1861"/>
        <item x="1872"/>
        <item x="1879"/>
        <item x="1884"/>
        <item x="1885"/>
        <item x="1893"/>
        <item x="1901"/>
        <item x="1902"/>
        <item x="1914"/>
        <item x="1922"/>
        <item x="1925"/>
        <item x="1930"/>
        <item x="1937"/>
        <item x="1951"/>
        <item x="1954"/>
        <item x="1960"/>
        <item x="1966"/>
        <item x="1967"/>
        <item x="1976"/>
        <item x="1982"/>
        <item x="1983"/>
        <item x="1994"/>
        <item x="2001"/>
        <item x="2002"/>
        <item x="2014"/>
        <item x="2015"/>
        <item x="2026"/>
        <item x="2035"/>
        <item x="2036"/>
        <item x="2048"/>
        <item x="2049"/>
        <item x="2058"/>
        <item x="2059"/>
        <item x="2072"/>
        <item x="2078"/>
        <item x="2086"/>
        <item x="2087"/>
        <item x="2096"/>
        <item x="2097"/>
        <item x="2103"/>
        <item x="2116"/>
        <item x="2117"/>
        <item x="2121"/>
        <item x="2123"/>
        <item x="2150"/>
        <item x="2156"/>
        <item x="2159"/>
        <item x="2171"/>
        <item x="2181"/>
        <item x="2197"/>
        <item x="2198"/>
        <item x="2199"/>
        <item x="2200"/>
        <item x="2222"/>
        <item x="2223"/>
        <item x="2224"/>
        <item x="2237"/>
        <item x="2257"/>
        <item x="2258"/>
        <item x="2288"/>
        <item x="2293"/>
        <item x="2297"/>
        <item x="2397"/>
        <item x="2398"/>
        <item x="2407"/>
        <item x="2408"/>
        <item x="2413"/>
        <item x="2418"/>
        <item x="2428"/>
        <item x="2433"/>
        <item x="2463"/>
        <item x="2478"/>
        <item x="2488"/>
        <item x="2489"/>
        <item x="2506"/>
        <item x="2507"/>
        <item x="2528"/>
        <item x="2536"/>
        <item x="2537"/>
        <item x="2544"/>
        <item x="2555"/>
        <item x="2556"/>
        <item x="2574"/>
        <item x="2602"/>
        <item x="2608"/>
        <item x="2622"/>
        <item x="2647"/>
        <item x="2653"/>
        <item x="2654"/>
        <item x="2655"/>
        <item x="2660"/>
        <item x="2670"/>
        <item x="2671"/>
        <item x="2680"/>
        <item x="2681"/>
        <item x="2690"/>
        <item x="2697"/>
        <item x="2698"/>
        <item x="2699"/>
        <item x="2711"/>
        <item x="2716"/>
        <item x="2729"/>
        <item x="2730"/>
        <item x="2756"/>
        <item x="2757"/>
        <item x="2758"/>
        <item x="2765"/>
        <item x="2766"/>
        <item x="2779"/>
        <item x="2780"/>
        <item x="2794"/>
        <item x="2799"/>
        <item x="2800"/>
        <item x="2801"/>
        <item x="2808"/>
        <item x="2820"/>
        <item x="2826"/>
        <item x="2835"/>
        <item x="2839"/>
        <item x="2840"/>
        <item x="2843"/>
        <item x="2860"/>
        <item x="2861"/>
        <item x="2865"/>
        <item x="2870"/>
        <item x="2875"/>
        <item x="2876"/>
        <item x="2883"/>
        <item x="2889"/>
        <item x="2894"/>
        <item x="2895"/>
        <item x="2904"/>
        <item x="2915"/>
        <item x="2918"/>
        <item x="2919"/>
        <item x="2926"/>
        <item x="2927"/>
        <item x="2937"/>
        <item x="2941"/>
        <item x="2945"/>
        <item x="2946"/>
        <item x="2957"/>
        <item x="2959"/>
        <item x="2971"/>
        <item x="2978"/>
        <item x="2987"/>
        <item x="2988"/>
        <item x="3088"/>
        <item x="2994"/>
        <item x="2995"/>
        <item x="3034"/>
        <item x="3056"/>
        <item x="3057"/>
        <item x="3064"/>
        <item x="3074"/>
        <item x="3062"/>
        <item x="3086"/>
        <item x="2996"/>
        <item x="3093"/>
        <item x="3103"/>
        <item x="3115"/>
        <item x="3130"/>
        <item x="3141"/>
        <item x="3142"/>
        <item x="3143"/>
        <item x="3144"/>
        <item x="3145"/>
        <item x="3160"/>
        <item x="3172"/>
        <item x="3173"/>
        <item x="3189"/>
        <item x="3221"/>
        <item x="3228"/>
        <item x="3231"/>
        <item x="3234"/>
        <item x="3240"/>
        <item x="3241"/>
        <item x="3300"/>
        <item x="3312"/>
        <item x="3345"/>
        <item x="3346"/>
        <item x="3376"/>
        <item x="3377"/>
        <item x="3395"/>
        <item x="3398"/>
        <item x="3399"/>
        <item x="3412"/>
        <item x="3429"/>
        <item x="3441"/>
        <item x="3453"/>
        <item x="3473"/>
        <item x="3475"/>
        <item x="3496"/>
        <item x="3514"/>
        <item x="3518"/>
        <item x="3547"/>
        <item x="3557"/>
        <item x="3561"/>
        <item x="3574"/>
        <item x="3585"/>
        <item x="3592"/>
        <item x="3593"/>
        <item x="3600"/>
        <item x="3611"/>
        <item x="3612"/>
        <item x="3625"/>
        <item x="3637"/>
        <item x="3628"/>
        <item x="3648"/>
        <item x="3649"/>
        <item x="3653"/>
        <item x="3654"/>
        <item x="3670"/>
        <item x="3671"/>
        <item x="3680"/>
        <item x="3690"/>
        <item x="3695"/>
        <item x="3698"/>
        <item x="3708"/>
        <item x="3710"/>
        <item x="3756"/>
        <item x="3757"/>
        <item x="3758"/>
        <item x="3760"/>
        <item x="3770"/>
        <item x="3810"/>
        <item x="3834"/>
        <item x="3839"/>
        <item x="3860"/>
        <item x="3862"/>
        <item x="3863"/>
        <item x="3873"/>
        <item x="3874"/>
        <item x="3879"/>
        <item x="3889"/>
        <item x="3890"/>
        <item x="3891"/>
        <item x="3911"/>
        <item x="3912"/>
        <item x="3947"/>
        <item x="3969"/>
        <item x="3970"/>
        <item x="3971"/>
        <item x="3972"/>
        <item x="3973"/>
        <item x="3974"/>
        <item x="3982"/>
        <item x="3983"/>
        <item x="4000"/>
        <item x="4021"/>
        <item x="4028"/>
        <item x="4039"/>
        <item x="4040"/>
        <item x="4054"/>
        <item x="4055"/>
        <item x="4056"/>
        <item x="4057"/>
        <item x="4069"/>
        <item x="4073"/>
        <item x="4079"/>
        <item x="4080"/>
        <item x="4095"/>
        <item x="4157"/>
        <item x="4158"/>
        <item x="4189"/>
        <item x="4282"/>
        <item x="4301"/>
        <item x="4390"/>
        <item x="4399"/>
        <item x="4410"/>
        <item x="4414"/>
        <item x="4433"/>
        <item x="4434"/>
        <item x="4435"/>
        <item x="4444"/>
        <item x="4452"/>
        <item x="4453"/>
        <item x="4465"/>
        <item x="4480"/>
        <item x="4488"/>
        <item x="4489"/>
        <item x="4490"/>
        <item x="4502"/>
        <item x="4503"/>
        <item x="4510"/>
        <item x="4518"/>
        <item x="4519"/>
        <item x="4520"/>
        <item x="4525"/>
        <item x="4548"/>
        <item x="4566"/>
        <item x="4567"/>
        <item x="4568"/>
        <item x="4569"/>
        <item x="4577"/>
        <item x="4578"/>
        <item x="4582"/>
        <item x="4590"/>
        <item x="4594"/>
        <item x="4598"/>
        <item x="4605"/>
        <item x="4625"/>
        <item x="4626"/>
        <item x="4627"/>
        <item x="4630"/>
        <item x="4631"/>
        <item x="4632"/>
        <item x="4633"/>
        <item x="4637"/>
        <item x="4638"/>
        <item x="4651"/>
        <item x="4652"/>
        <item x="4653"/>
        <item x="4654"/>
        <item x="4660"/>
        <item x="4661"/>
        <item x="4685"/>
        <item x="4695"/>
        <item x="4699"/>
        <item x="4700"/>
        <item x="4736"/>
        <item x="4737"/>
        <item x="4738"/>
        <item x="4747"/>
        <item x="4755"/>
        <item x="4756"/>
        <item x="4770"/>
        <item x="4772"/>
        <item x="4784"/>
        <item x="4785"/>
        <item x="4802"/>
        <item x="4804"/>
        <item x="4812"/>
        <item x="4816"/>
        <item x="4817"/>
        <item x="4821"/>
        <item x="4835"/>
        <item x="4846"/>
        <item x="4847"/>
        <item x="4848"/>
        <item x="4855"/>
        <item x="4856"/>
        <item x="4863"/>
        <item x="4873"/>
        <item x="4874"/>
        <item x="4875"/>
        <item x="4876"/>
        <item x="4881"/>
        <item x="4882"/>
        <item x="4889"/>
        <item x="4912"/>
        <item x="4929"/>
        <item x="4948"/>
        <item x="4949"/>
        <item x="4950"/>
        <item x="4951"/>
        <item x="4953"/>
        <item x="4966"/>
        <item x="4979"/>
        <item x="4980"/>
        <item x="4981"/>
        <item x="4982"/>
        <item x="4984"/>
        <item x="4999"/>
        <item x="5004"/>
        <item x="5005"/>
        <item x="5006"/>
        <item x="5007"/>
        <item x="5037"/>
        <item x="5038"/>
        <item x="5039"/>
        <item x="5041"/>
        <item x="5072"/>
        <item x="5073"/>
        <item x="5074"/>
        <item x="5086"/>
        <item x="5087"/>
        <item x="5106"/>
        <item x="5134"/>
        <item x="5135"/>
        <item x="5136"/>
        <item x="5137"/>
        <item x="5138"/>
        <item x="5142"/>
        <item x="5150"/>
        <item x="5152"/>
        <item x="5170"/>
        <item x="5171"/>
        <item x="5180"/>
        <item x="5184"/>
        <item x="5186"/>
        <item x="5187"/>
        <item x="5200"/>
        <item x="5201"/>
        <item x="5211"/>
        <item x="5222"/>
        <item x="5228"/>
        <item x="5248"/>
        <item x="5251"/>
        <item x="5255"/>
        <item x="5276"/>
        <item x="5277"/>
        <item x="5295"/>
        <item x="5296"/>
        <item x="5300"/>
        <item x="5323"/>
        <item x="5330"/>
        <item x="5362"/>
        <item x="5363"/>
        <item x="5364"/>
        <item x="5365"/>
        <item x="5366"/>
        <item x="5397"/>
        <item x="5404"/>
        <item x="5405"/>
        <item x="5406"/>
        <item x="5417"/>
        <item x="5418"/>
        <item x="5430"/>
        <item x="5433"/>
        <item x="5434"/>
        <item x="5435"/>
        <item x="5436"/>
        <item x="5437"/>
        <item x="5453"/>
        <item x="5458"/>
        <item x="5459"/>
        <item x="5483"/>
        <item x="5484"/>
        <item x="5485"/>
        <item x="5497"/>
        <item x="5498"/>
        <item x="5505"/>
        <item x="5523"/>
        <item x="5524"/>
        <item x="5535"/>
        <item x="5548"/>
        <item x="5567"/>
        <item x="5570"/>
        <item x="5572"/>
        <item x="5577"/>
        <item x="5598"/>
        <item x="5605"/>
        <item x="5612"/>
        <item x="5613"/>
        <item x="5617"/>
        <item x="5633"/>
        <item x="5661"/>
        <item x="5662"/>
        <item x="5676"/>
        <item x="5692"/>
        <item x="5693"/>
        <item x="5703"/>
        <item x="5708"/>
        <item x="5718"/>
        <item x="5755"/>
        <item x="5756"/>
        <item x="5767"/>
        <item x="5772"/>
        <item x="5773"/>
        <item x="5774"/>
        <item x="5775"/>
        <item x="5776"/>
        <item x="5784"/>
        <item x="5794"/>
        <item x="5800"/>
        <item x="5808"/>
        <item x="5809"/>
        <item x="5810"/>
        <item x="5816"/>
        <item x="5817"/>
        <item x="5829"/>
        <item x="5830"/>
        <item x="5838"/>
        <item x="5839"/>
        <item x="5840"/>
        <item x="5866"/>
        <item x="5871"/>
        <item x="5872"/>
        <item x="5873"/>
        <item x="5880"/>
        <item x="5881"/>
        <item x="5896"/>
        <item x="5902"/>
        <item x="5903"/>
        <item x="5904"/>
        <item x="5913"/>
        <item x="5914"/>
        <item x="5915"/>
        <item x="5919"/>
        <item x="5920"/>
        <item x="5926"/>
        <item x="5927"/>
        <item x="5945"/>
        <item x="5954"/>
        <item x="5958"/>
        <item x="5959"/>
        <item x="5960"/>
        <item x="5975"/>
        <item x="5982"/>
        <item x="5983"/>
        <item x="5984"/>
        <item x="5985"/>
        <item x="4094"/>
        <item x="4126"/>
        <item x="4233"/>
        <item x="4239"/>
        <item x="4245"/>
        <item x="4284"/>
        <item x="4288"/>
        <item x="4320"/>
        <item x="4440"/>
        <item x="4441"/>
        <item x="4467"/>
        <item x="4521"/>
        <item x="4818"/>
        <item x="4925"/>
        <item x="5261"/>
        <item x="5263"/>
        <item x="5262"/>
        <item x="5264"/>
        <item x="5317"/>
        <item x="5367"/>
        <item x="5543"/>
        <item x="4075"/>
        <item x="4428"/>
        <item x="4758"/>
        <item x="4952"/>
        <item x="5256"/>
        <item x="5627"/>
        <item x="5644"/>
        <item x="3922"/>
        <item x="396"/>
        <item x="415"/>
        <item x="731"/>
        <item x="1306"/>
        <item x="2180"/>
        <item x="129"/>
        <item x="4113"/>
        <item x="4170"/>
        <item x="4171"/>
        <item x="4272"/>
        <item x="4339"/>
        <item x="4385"/>
        <item x="4570"/>
        <item x="4954"/>
        <item x="3614"/>
        <item x="3629"/>
        <item x="5846"/>
        <item x="5012"/>
        <item x="5034"/>
        <item x="5035"/>
        <item x="5126"/>
        <item x="5127"/>
        <item x="5128"/>
        <item x="5161"/>
        <item x="5162"/>
        <item x="5163"/>
        <item x="5164"/>
        <item x="5165"/>
        <item x="5281"/>
        <item x="5282"/>
        <item x="5283"/>
        <item x="5284"/>
        <item x="5285"/>
        <item x="5289"/>
        <item x="5339"/>
        <item x="5340"/>
        <item x="5348"/>
        <item x="5349"/>
        <item x="5350"/>
        <item x="5416"/>
        <item x="5475"/>
        <item x="5476"/>
        <item x="5477"/>
        <item x="5478"/>
        <item x="5479"/>
        <item x="5480"/>
        <item x="5481"/>
        <item x="5509"/>
        <item x="5510"/>
        <item x="5532"/>
        <item x="5533"/>
        <item x="5534"/>
        <item x="5569"/>
        <item x="5592"/>
        <item x="5593"/>
        <item x="5594"/>
        <item x="5642"/>
        <item x="5643"/>
        <item x="5649"/>
        <item x="5653"/>
        <item x="5659"/>
        <item x="5660"/>
        <item x="5674"/>
        <item x="5675"/>
        <item x="5697"/>
        <item x="5710"/>
        <item x="5746"/>
        <item x="3274"/>
        <item x="3910"/>
        <item x="4027"/>
        <item x="4118"/>
        <item x="4860"/>
        <item x="4910"/>
        <item x="4914"/>
        <item x="5115"/>
        <item x="5314"/>
        <item x="5431"/>
        <item x="5432"/>
        <item x="5257"/>
        <item x="3764"/>
        <item x="4294"/>
        <item x="4445"/>
        <item x="4003"/>
        <item x="4169"/>
        <item x="4540"/>
        <item x="5051"/>
        <item x="5988"/>
        <item t="default"/>
      </items>
    </pivotField>
    <pivotField showAll="0"/>
    <pivotField showAll="0"/>
    <pivotField showAll="0"/>
    <pivotField showAll="0"/>
    <pivotField showAll="0"/>
  </pivotFields>
  <rowFields count="2">
    <field x="2"/>
    <field x="3"/>
  </rowFields>
  <rowItems count="599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5"/>
    </i>
    <i r="1">
      <x v="846"/>
    </i>
    <i r="1">
      <x v="847"/>
    </i>
    <i r="1">
      <x v="848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5"/>
    </i>
    <i r="1">
      <x v="866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17"/>
    </i>
    <i r="1">
      <x v="918"/>
    </i>
    <i r="1">
      <x v="919"/>
    </i>
    <i r="1">
      <x v="920"/>
    </i>
    <i r="1">
      <x v="921"/>
    </i>
    <i r="1">
      <x v="922"/>
    </i>
    <i r="1">
      <x v="923"/>
    </i>
    <i r="1">
      <x v="924"/>
    </i>
    <i r="1">
      <x v="925"/>
    </i>
    <i r="1">
      <x v="926"/>
    </i>
    <i r="1">
      <x v="927"/>
    </i>
    <i r="1">
      <x v="928"/>
    </i>
    <i r="1">
      <x v="929"/>
    </i>
    <i r="1">
      <x v="930"/>
    </i>
    <i r="1">
      <x v="931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950"/>
    </i>
    <i r="1">
      <x v="951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959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3"/>
    </i>
    <i r="1"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 r="1">
      <x v="1000"/>
    </i>
    <i r="1">
      <x v="1001"/>
    </i>
    <i r="1">
      <x v="1002"/>
    </i>
    <i r="1">
      <x v="1003"/>
    </i>
    <i r="1">
      <x v="1004"/>
    </i>
    <i r="1">
      <x v="1005"/>
    </i>
    <i r="1">
      <x v="1006"/>
    </i>
    <i r="1">
      <x v="1007"/>
    </i>
    <i r="1">
      <x v="1008"/>
    </i>
    <i r="1">
      <x v="1009"/>
    </i>
    <i r="1">
      <x v="1010"/>
    </i>
    <i r="1">
      <x v="1011"/>
    </i>
    <i r="1">
      <x v="1012"/>
    </i>
    <i r="1">
      <x v="1013"/>
    </i>
    <i r="1">
      <x v="1014"/>
    </i>
    <i r="1">
      <x v="1015"/>
    </i>
    <i r="1">
      <x v="1016"/>
    </i>
    <i r="1">
      <x v="1017"/>
    </i>
    <i r="1">
      <x v="1018"/>
    </i>
    <i r="1">
      <x v="1019"/>
    </i>
    <i r="1">
      <x v="1020"/>
    </i>
    <i r="1">
      <x v="1021"/>
    </i>
    <i r="1">
      <x v="1022"/>
    </i>
    <i r="1">
      <x v="1023"/>
    </i>
    <i r="1">
      <x v="1024"/>
    </i>
    <i r="1">
      <x v="1025"/>
    </i>
    <i r="1">
      <x v="1026"/>
    </i>
    <i r="1">
      <x v="1027"/>
    </i>
    <i r="1">
      <x v="1028"/>
    </i>
    <i r="1">
      <x v="1029"/>
    </i>
    <i r="1">
      <x v="1030"/>
    </i>
    <i r="1">
      <x v="1031"/>
    </i>
    <i r="1">
      <x v="1032"/>
    </i>
    <i r="1">
      <x v="1033"/>
    </i>
    <i r="1">
      <x v="1034"/>
    </i>
    <i r="1">
      <x v="1035"/>
    </i>
    <i r="1">
      <x v="1036"/>
    </i>
    <i r="1">
      <x v="1037"/>
    </i>
    <i r="1">
      <x v="1038"/>
    </i>
    <i r="1">
      <x v="1039"/>
    </i>
    <i r="1">
      <x v="1040"/>
    </i>
    <i r="1">
      <x v="1041"/>
    </i>
    <i r="1">
      <x v="1042"/>
    </i>
    <i r="1">
      <x v="1043"/>
    </i>
    <i r="1">
      <x v="1044"/>
    </i>
    <i r="1">
      <x v="1045"/>
    </i>
    <i r="1">
      <x v="1046"/>
    </i>
    <i r="1">
      <x v="1047"/>
    </i>
    <i r="1">
      <x v="1048"/>
    </i>
    <i r="1">
      <x v="1049"/>
    </i>
    <i r="1">
      <x v="1050"/>
    </i>
    <i r="1">
      <x v="1051"/>
    </i>
    <i r="1">
      <x v="1052"/>
    </i>
    <i r="1">
      <x v="1053"/>
    </i>
    <i r="1">
      <x v="1054"/>
    </i>
    <i r="1">
      <x v="1055"/>
    </i>
    <i r="1">
      <x v="1056"/>
    </i>
    <i r="1">
      <x v="1057"/>
    </i>
    <i r="1">
      <x v="1058"/>
    </i>
    <i r="1">
      <x v="1059"/>
    </i>
    <i r="1">
      <x v="1060"/>
    </i>
    <i r="1">
      <x v="1061"/>
    </i>
    <i r="1">
      <x v="1062"/>
    </i>
    <i r="1">
      <x v="1063"/>
    </i>
    <i r="1">
      <x v="1064"/>
    </i>
    <i r="1">
      <x v="1065"/>
    </i>
    <i r="1">
      <x v="1066"/>
    </i>
    <i r="1">
      <x v="1067"/>
    </i>
    <i r="1">
      <x v="1068"/>
    </i>
    <i r="1">
      <x v="1069"/>
    </i>
    <i r="1">
      <x v="1070"/>
    </i>
    <i r="1">
      <x v="1071"/>
    </i>
    <i r="1">
      <x v="1072"/>
    </i>
    <i r="1">
      <x v="1073"/>
    </i>
    <i r="1">
      <x v="1074"/>
    </i>
    <i r="1">
      <x v="1075"/>
    </i>
    <i r="1">
      <x v="1076"/>
    </i>
    <i r="1">
      <x v="1077"/>
    </i>
    <i r="1">
      <x v="1078"/>
    </i>
    <i r="1">
      <x v="1079"/>
    </i>
    <i r="1">
      <x v="1080"/>
    </i>
    <i r="1">
      <x v="1081"/>
    </i>
    <i r="1">
      <x v="1082"/>
    </i>
    <i r="1">
      <x v="1083"/>
    </i>
    <i r="1">
      <x v="1084"/>
    </i>
    <i r="1">
      <x v="1085"/>
    </i>
    <i r="1">
      <x v="1086"/>
    </i>
    <i r="1">
      <x v="1087"/>
    </i>
    <i r="1">
      <x v="1088"/>
    </i>
    <i r="1">
      <x v="1089"/>
    </i>
    <i r="1">
      <x v="1090"/>
    </i>
    <i r="1">
      <x v="1091"/>
    </i>
    <i r="1">
      <x v="1092"/>
    </i>
    <i r="1">
      <x v="1093"/>
    </i>
    <i r="1">
      <x v="1094"/>
    </i>
    <i r="1">
      <x v="1095"/>
    </i>
    <i r="1">
      <x v="1096"/>
    </i>
    <i r="1">
      <x v="1097"/>
    </i>
    <i r="1">
      <x v="1098"/>
    </i>
    <i r="1">
      <x v="1099"/>
    </i>
    <i r="1">
      <x v="1100"/>
    </i>
    <i r="1">
      <x v="1101"/>
    </i>
    <i r="1">
      <x v="1102"/>
    </i>
    <i r="1">
      <x v="1103"/>
    </i>
    <i r="1">
      <x v="1104"/>
    </i>
    <i r="1">
      <x v="1105"/>
    </i>
    <i r="1">
      <x v="1106"/>
    </i>
    <i r="1">
      <x v="1107"/>
    </i>
    <i r="1">
      <x v="1108"/>
    </i>
    <i r="1">
      <x v="1109"/>
    </i>
    <i r="1">
      <x v="1110"/>
    </i>
    <i r="1">
      <x v="1111"/>
    </i>
    <i r="1">
      <x v="1112"/>
    </i>
    <i r="1">
      <x v="1113"/>
    </i>
    <i r="1">
      <x v="1114"/>
    </i>
    <i r="1">
      <x v="1115"/>
    </i>
    <i r="1">
      <x v="1116"/>
    </i>
    <i r="1">
      <x v="1117"/>
    </i>
    <i r="1">
      <x v="1118"/>
    </i>
    <i r="1">
      <x v="1119"/>
    </i>
    <i r="1">
      <x v="1120"/>
    </i>
    <i r="1">
      <x v="1121"/>
    </i>
    <i r="1">
      <x v="1122"/>
    </i>
    <i r="1">
      <x v="1123"/>
    </i>
    <i r="1">
      <x v="1124"/>
    </i>
    <i r="1">
      <x v="1125"/>
    </i>
    <i r="1">
      <x v="1126"/>
    </i>
    <i r="1">
      <x v="1127"/>
    </i>
    <i r="1">
      <x v="1128"/>
    </i>
    <i r="1">
      <x v="1129"/>
    </i>
    <i r="1">
      <x v="1130"/>
    </i>
    <i r="1">
      <x v="1131"/>
    </i>
    <i r="1">
      <x v="1132"/>
    </i>
    <i r="1">
      <x v="1133"/>
    </i>
    <i r="1">
      <x v="1134"/>
    </i>
    <i r="1">
      <x v="1135"/>
    </i>
    <i r="1">
      <x v="1136"/>
    </i>
    <i r="1">
      <x v="1137"/>
    </i>
    <i r="1">
      <x v="1138"/>
    </i>
    <i r="1">
      <x v="1139"/>
    </i>
    <i r="1">
      <x v="1140"/>
    </i>
    <i r="1">
      <x v="1141"/>
    </i>
    <i r="1">
      <x v="1142"/>
    </i>
    <i r="1">
      <x v="1143"/>
    </i>
    <i r="1">
      <x v="1144"/>
    </i>
    <i r="1">
      <x v="1145"/>
    </i>
    <i r="1">
      <x v="1146"/>
    </i>
    <i r="1">
      <x v="1147"/>
    </i>
    <i r="1">
      <x v="1148"/>
    </i>
    <i r="1">
      <x v="1149"/>
    </i>
    <i r="1">
      <x v="1150"/>
    </i>
    <i r="1">
      <x v="1151"/>
    </i>
    <i r="1">
      <x v="1152"/>
    </i>
    <i r="1">
      <x v="1153"/>
    </i>
    <i r="1">
      <x v="1154"/>
    </i>
    <i r="1">
      <x v="1155"/>
    </i>
    <i r="1">
      <x v="1156"/>
    </i>
    <i r="1">
      <x v="1157"/>
    </i>
    <i r="1">
      <x v="1158"/>
    </i>
    <i r="1">
      <x v="1159"/>
    </i>
    <i r="1">
      <x v="1160"/>
    </i>
    <i r="1">
      <x v="1161"/>
    </i>
    <i r="1">
      <x v="1162"/>
    </i>
    <i r="1">
      <x v="1163"/>
    </i>
    <i r="1">
      <x v="1164"/>
    </i>
    <i r="1">
      <x v="1165"/>
    </i>
    <i r="1">
      <x v="1166"/>
    </i>
    <i r="1">
      <x v="1167"/>
    </i>
    <i r="1">
      <x v="1168"/>
    </i>
    <i r="1">
      <x v="1169"/>
    </i>
    <i r="1">
      <x v="1170"/>
    </i>
    <i r="1">
      <x v="1171"/>
    </i>
    <i r="1">
      <x v="1172"/>
    </i>
    <i r="1">
      <x v="1173"/>
    </i>
    <i r="1">
      <x v="1174"/>
    </i>
    <i r="1">
      <x v="1175"/>
    </i>
    <i r="1">
      <x v="1176"/>
    </i>
    <i r="1">
      <x v="1177"/>
    </i>
    <i r="1">
      <x v="1178"/>
    </i>
    <i r="1">
      <x v="1179"/>
    </i>
    <i r="1">
      <x v="1180"/>
    </i>
    <i r="1">
      <x v="1181"/>
    </i>
    <i r="1">
      <x v="1182"/>
    </i>
    <i r="1">
      <x v="1183"/>
    </i>
    <i r="1">
      <x v="1184"/>
    </i>
    <i r="1">
      <x v="1185"/>
    </i>
    <i r="1">
      <x v="1186"/>
    </i>
    <i r="1">
      <x v="1187"/>
    </i>
    <i r="1">
      <x v="1188"/>
    </i>
    <i r="1">
      <x v="1189"/>
    </i>
    <i r="1">
      <x v="1190"/>
    </i>
    <i r="1">
      <x v="1191"/>
    </i>
    <i r="1">
      <x v="1192"/>
    </i>
    <i r="1">
      <x v="1193"/>
    </i>
    <i r="1">
      <x v="1194"/>
    </i>
    <i r="1">
      <x v="1195"/>
    </i>
    <i r="1">
      <x v="1196"/>
    </i>
    <i r="1">
      <x v="1197"/>
    </i>
    <i r="1">
      <x v="1198"/>
    </i>
    <i r="1">
      <x v="1199"/>
    </i>
    <i r="1">
      <x v="1200"/>
    </i>
    <i r="1">
      <x v="1201"/>
    </i>
    <i r="1">
      <x v="1202"/>
    </i>
    <i r="1">
      <x v="1203"/>
    </i>
    <i r="1">
      <x v="1204"/>
    </i>
    <i r="1">
      <x v="1205"/>
    </i>
    <i r="1">
      <x v="1206"/>
    </i>
    <i r="1">
      <x v="1207"/>
    </i>
    <i r="1">
      <x v="1208"/>
    </i>
    <i r="1">
      <x v="1209"/>
    </i>
    <i r="1">
      <x v="1210"/>
    </i>
    <i r="1">
      <x v="1211"/>
    </i>
    <i r="1">
      <x v="1212"/>
    </i>
    <i r="1">
      <x v="1213"/>
    </i>
    <i r="1">
      <x v="1214"/>
    </i>
    <i r="1">
      <x v="1215"/>
    </i>
    <i r="1">
      <x v="1216"/>
    </i>
    <i r="1">
      <x v="1217"/>
    </i>
    <i r="1">
      <x v="1218"/>
    </i>
    <i r="1">
      <x v="1219"/>
    </i>
    <i r="1">
      <x v="1220"/>
    </i>
    <i r="1">
      <x v="1221"/>
    </i>
    <i r="1">
      <x v="1222"/>
    </i>
    <i r="1">
      <x v="1223"/>
    </i>
    <i r="1">
      <x v="1224"/>
    </i>
    <i r="1">
      <x v="1225"/>
    </i>
    <i r="1">
      <x v="1226"/>
    </i>
    <i r="1">
      <x v="1227"/>
    </i>
    <i r="1">
      <x v="1228"/>
    </i>
    <i r="1">
      <x v="1229"/>
    </i>
    <i r="1">
      <x v="1230"/>
    </i>
    <i r="1">
      <x v="1231"/>
    </i>
    <i r="1">
      <x v="1232"/>
    </i>
    <i r="1">
      <x v="1233"/>
    </i>
    <i r="1">
      <x v="1234"/>
    </i>
    <i r="1">
      <x v="1235"/>
    </i>
    <i r="1">
      <x v="1236"/>
    </i>
    <i r="1">
      <x v="1237"/>
    </i>
    <i r="1">
      <x v="1238"/>
    </i>
    <i r="1">
      <x v="1239"/>
    </i>
    <i r="1">
      <x v="1240"/>
    </i>
    <i r="1">
      <x v="1241"/>
    </i>
    <i r="1">
      <x v="1242"/>
    </i>
    <i r="1">
      <x v="1243"/>
    </i>
    <i r="1">
      <x v="1244"/>
    </i>
    <i r="1">
      <x v="1245"/>
    </i>
    <i r="1">
      <x v="1246"/>
    </i>
    <i r="1">
      <x v="1247"/>
    </i>
    <i r="1">
      <x v="1248"/>
    </i>
    <i r="1">
      <x v="1249"/>
    </i>
    <i r="1">
      <x v="1250"/>
    </i>
    <i r="1">
      <x v="1251"/>
    </i>
    <i r="1">
      <x v="1252"/>
    </i>
    <i r="1">
      <x v="1253"/>
    </i>
    <i r="1">
      <x v="1254"/>
    </i>
    <i r="1">
      <x v="1255"/>
    </i>
    <i r="1">
      <x v="1256"/>
    </i>
    <i r="1">
      <x v="1257"/>
    </i>
    <i r="1">
      <x v="1258"/>
    </i>
    <i r="1">
      <x v="1259"/>
    </i>
    <i r="1">
      <x v="1260"/>
    </i>
    <i r="1">
      <x v="1261"/>
    </i>
    <i r="1">
      <x v="1262"/>
    </i>
    <i r="1">
      <x v="1263"/>
    </i>
    <i r="1">
      <x v="1264"/>
    </i>
    <i r="1">
      <x v="1265"/>
    </i>
    <i r="1">
      <x v="1266"/>
    </i>
    <i r="1">
      <x v="1267"/>
    </i>
    <i r="1">
      <x v="1268"/>
    </i>
    <i r="1">
      <x v="1269"/>
    </i>
    <i r="1">
      <x v="1270"/>
    </i>
    <i r="1">
      <x v="1271"/>
    </i>
    <i r="1">
      <x v="1272"/>
    </i>
    <i r="1">
      <x v="1273"/>
    </i>
    <i r="1">
      <x v="1274"/>
    </i>
    <i r="1">
      <x v="1275"/>
    </i>
    <i r="1">
      <x v="1276"/>
    </i>
    <i r="1">
      <x v="1277"/>
    </i>
    <i r="1">
      <x v="1278"/>
    </i>
    <i r="1">
      <x v="1279"/>
    </i>
    <i r="1">
      <x v="1280"/>
    </i>
    <i r="1">
      <x v="1281"/>
    </i>
    <i r="1">
      <x v="1282"/>
    </i>
    <i r="1">
      <x v="1283"/>
    </i>
    <i r="1">
      <x v="1284"/>
    </i>
    <i r="1">
      <x v="1285"/>
    </i>
    <i r="1">
      <x v="1286"/>
    </i>
    <i r="1">
      <x v="1287"/>
    </i>
    <i r="1">
      <x v="1288"/>
    </i>
    <i r="1">
      <x v="1289"/>
    </i>
    <i r="1">
      <x v="1290"/>
    </i>
    <i r="1">
      <x v="1291"/>
    </i>
    <i r="1">
      <x v="1292"/>
    </i>
    <i r="1">
      <x v="1293"/>
    </i>
    <i r="1">
      <x v="1294"/>
    </i>
    <i r="1">
      <x v="1295"/>
    </i>
    <i r="1">
      <x v="1296"/>
    </i>
    <i r="1">
      <x v="1297"/>
    </i>
    <i r="1">
      <x v="1298"/>
    </i>
    <i r="1">
      <x v="1299"/>
    </i>
    <i r="1">
      <x v="1300"/>
    </i>
    <i r="1">
      <x v="1301"/>
    </i>
    <i r="1">
      <x v="1302"/>
    </i>
    <i r="1">
      <x v="1303"/>
    </i>
    <i r="1">
      <x v="1304"/>
    </i>
    <i r="1">
      <x v="1305"/>
    </i>
    <i r="1">
      <x v="1306"/>
    </i>
    <i r="1">
      <x v="1307"/>
    </i>
    <i r="1">
      <x v="1308"/>
    </i>
    <i r="1">
      <x v="1309"/>
    </i>
    <i r="1">
      <x v="1310"/>
    </i>
    <i r="1">
      <x v="1311"/>
    </i>
    <i r="1">
      <x v="1312"/>
    </i>
    <i r="1">
      <x v="1313"/>
    </i>
    <i r="1">
      <x v="1314"/>
    </i>
    <i r="1">
      <x v="1315"/>
    </i>
    <i r="1">
      <x v="1316"/>
    </i>
    <i r="1">
      <x v="1317"/>
    </i>
    <i r="1">
      <x v="1318"/>
    </i>
    <i r="1">
      <x v="1319"/>
    </i>
    <i r="1">
      <x v="1320"/>
    </i>
    <i r="1">
      <x v="1321"/>
    </i>
    <i r="1">
      <x v="1322"/>
    </i>
    <i r="1">
      <x v="1323"/>
    </i>
    <i r="1">
      <x v="1324"/>
    </i>
    <i r="1">
      <x v="1325"/>
    </i>
    <i r="1">
      <x v="1326"/>
    </i>
    <i r="1">
      <x v="1327"/>
    </i>
    <i r="1">
      <x v="1328"/>
    </i>
    <i r="1">
      <x v="1329"/>
    </i>
    <i r="1">
      <x v="1330"/>
    </i>
    <i r="1">
      <x v="1331"/>
    </i>
    <i r="1">
      <x v="1332"/>
    </i>
    <i r="1">
      <x v="1333"/>
    </i>
    <i r="1">
      <x v="1334"/>
    </i>
    <i r="1">
      <x v="1335"/>
    </i>
    <i r="1">
      <x v="1336"/>
    </i>
    <i r="1">
      <x v="1337"/>
    </i>
    <i r="1">
      <x v="1338"/>
    </i>
    <i r="1">
      <x v="1339"/>
    </i>
    <i r="1">
      <x v="1340"/>
    </i>
    <i r="1">
      <x v="1341"/>
    </i>
    <i r="1">
      <x v="1342"/>
    </i>
    <i r="1">
      <x v="1343"/>
    </i>
    <i r="1">
      <x v="1344"/>
    </i>
    <i r="1">
      <x v="1345"/>
    </i>
    <i r="1">
      <x v="1346"/>
    </i>
    <i r="1">
      <x v="1347"/>
    </i>
    <i r="1">
      <x v="1348"/>
    </i>
    <i r="1">
      <x v="1349"/>
    </i>
    <i r="1">
      <x v="1350"/>
    </i>
    <i r="1">
      <x v="1351"/>
    </i>
    <i r="1">
      <x v="1352"/>
    </i>
    <i r="1">
      <x v="1353"/>
    </i>
    <i r="1">
      <x v="1354"/>
    </i>
    <i r="1">
      <x v="1355"/>
    </i>
    <i r="1">
      <x v="1356"/>
    </i>
    <i r="1">
      <x v="1357"/>
    </i>
    <i r="1">
      <x v="1358"/>
    </i>
    <i r="1">
      <x v="1359"/>
    </i>
    <i r="1">
      <x v="1360"/>
    </i>
    <i r="1">
      <x v="1361"/>
    </i>
    <i r="1">
      <x v="1362"/>
    </i>
    <i r="1">
      <x v="1363"/>
    </i>
    <i r="1">
      <x v="1364"/>
    </i>
    <i r="1">
      <x v="1365"/>
    </i>
    <i r="1">
      <x v="1366"/>
    </i>
    <i r="1">
      <x v="1367"/>
    </i>
    <i r="1">
      <x v="1368"/>
    </i>
    <i r="1">
      <x v="1369"/>
    </i>
    <i r="1">
      <x v="1370"/>
    </i>
    <i r="1">
      <x v="1371"/>
    </i>
    <i r="1">
      <x v="1372"/>
    </i>
    <i r="1">
      <x v="1373"/>
    </i>
    <i r="1">
      <x v="1374"/>
    </i>
    <i r="1">
      <x v="1375"/>
    </i>
    <i r="1">
      <x v="1376"/>
    </i>
    <i r="1">
      <x v="1377"/>
    </i>
    <i r="1">
      <x v="1378"/>
    </i>
    <i r="1">
      <x v="1379"/>
    </i>
    <i r="1">
      <x v="1380"/>
    </i>
    <i r="1">
      <x v="1381"/>
    </i>
    <i r="1">
      <x v="1382"/>
    </i>
    <i r="1">
      <x v="1383"/>
    </i>
    <i r="1">
      <x v="1384"/>
    </i>
    <i r="1">
      <x v="1385"/>
    </i>
    <i r="1">
      <x v="1386"/>
    </i>
    <i r="1">
      <x v="1387"/>
    </i>
    <i r="1">
      <x v="1388"/>
    </i>
    <i r="1">
      <x v="1389"/>
    </i>
    <i r="1">
      <x v="1390"/>
    </i>
    <i r="1">
      <x v="1391"/>
    </i>
    <i r="1">
      <x v="1392"/>
    </i>
    <i r="1">
      <x v="1393"/>
    </i>
    <i r="1">
      <x v="1394"/>
    </i>
    <i r="1">
      <x v="1395"/>
    </i>
    <i r="1">
      <x v="1396"/>
    </i>
    <i r="1">
      <x v="1397"/>
    </i>
    <i r="1">
      <x v="1398"/>
    </i>
    <i r="1">
      <x v="1399"/>
    </i>
    <i r="1">
      <x v="1400"/>
    </i>
    <i r="1">
      <x v="1401"/>
    </i>
    <i r="1">
      <x v="1402"/>
    </i>
    <i r="1">
      <x v="1403"/>
    </i>
    <i r="1">
      <x v="1404"/>
    </i>
    <i r="1">
      <x v="1405"/>
    </i>
    <i r="1">
      <x v="1406"/>
    </i>
    <i r="1">
      <x v="1407"/>
    </i>
    <i r="1">
      <x v="1408"/>
    </i>
    <i r="1">
      <x v="1409"/>
    </i>
    <i r="1">
      <x v="1410"/>
    </i>
    <i r="1">
      <x v="1411"/>
    </i>
    <i r="1">
      <x v="1412"/>
    </i>
    <i r="1">
      <x v="1413"/>
    </i>
    <i r="1">
      <x v="1414"/>
    </i>
    <i r="1">
      <x v="1415"/>
    </i>
    <i r="1">
      <x v="1416"/>
    </i>
    <i r="1">
      <x v="1417"/>
    </i>
    <i r="1">
      <x v="1418"/>
    </i>
    <i r="1">
      <x v="1419"/>
    </i>
    <i r="1">
      <x v="1420"/>
    </i>
    <i r="1">
      <x v="1421"/>
    </i>
    <i r="1">
      <x v="1422"/>
    </i>
    <i r="1">
      <x v="1423"/>
    </i>
    <i r="1">
      <x v="1424"/>
    </i>
    <i r="1">
      <x v="1425"/>
    </i>
    <i r="1">
      <x v="1426"/>
    </i>
    <i r="1">
      <x v="1427"/>
    </i>
    <i r="1">
      <x v="1428"/>
    </i>
    <i r="1">
      <x v="1429"/>
    </i>
    <i r="1">
      <x v="1430"/>
    </i>
    <i r="1">
      <x v="1431"/>
    </i>
    <i r="1">
      <x v="1432"/>
    </i>
    <i r="1">
      <x v="1433"/>
    </i>
    <i r="1">
      <x v="1434"/>
    </i>
    <i r="1">
      <x v="1435"/>
    </i>
    <i r="1">
      <x v="1436"/>
    </i>
    <i r="1">
      <x v="1437"/>
    </i>
    <i r="1">
      <x v="1438"/>
    </i>
    <i r="1">
      <x v="1439"/>
    </i>
    <i r="1">
      <x v="1440"/>
    </i>
    <i r="1">
      <x v="1441"/>
    </i>
    <i r="1">
      <x v="1442"/>
    </i>
    <i r="1">
      <x v="1443"/>
    </i>
    <i r="1">
      <x v="1444"/>
    </i>
    <i r="1">
      <x v="1445"/>
    </i>
    <i r="1">
      <x v="1446"/>
    </i>
    <i r="1">
      <x v="1447"/>
    </i>
    <i r="1">
      <x v="1448"/>
    </i>
    <i r="1">
      <x v="1449"/>
    </i>
    <i r="1">
      <x v="1450"/>
    </i>
    <i r="1">
      <x v="1451"/>
    </i>
    <i r="1">
      <x v="1452"/>
    </i>
    <i r="1">
      <x v="1453"/>
    </i>
    <i r="1">
      <x v="1454"/>
    </i>
    <i r="1">
      <x v="1455"/>
    </i>
    <i r="1">
      <x v="1456"/>
    </i>
    <i r="1">
      <x v="1457"/>
    </i>
    <i r="1">
      <x v="1458"/>
    </i>
    <i r="1">
      <x v="1459"/>
    </i>
    <i r="1">
      <x v="1460"/>
    </i>
    <i r="1">
      <x v="1461"/>
    </i>
    <i r="1">
      <x v="1462"/>
    </i>
    <i r="1">
      <x v="1463"/>
    </i>
    <i r="1">
      <x v="1464"/>
    </i>
    <i r="1">
      <x v="1465"/>
    </i>
    <i r="1">
      <x v="1466"/>
    </i>
    <i r="1">
      <x v="1467"/>
    </i>
    <i r="1">
      <x v="1468"/>
    </i>
    <i r="1">
      <x v="1469"/>
    </i>
    <i r="1">
      <x v="1470"/>
    </i>
    <i r="1">
      <x v="1471"/>
    </i>
    <i r="1">
      <x v="1472"/>
    </i>
    <i r="1">
      <x v="1473"/>
    </i>
    <i r="1">
      <x v="1474"/>
    </i>
    <i r="1">
      <x v="1475"/>
    </i>
    <i r="1">
      <x v="1476"/>
    </i>
    <i r="1">
      <x v="1477"/>
    </i>
    <i r="1">
      <x v="1478"/>
    </i>
    <i r="1">
      <x v="1479"/>
    </i>
    <i r="1">
      <x v="1480"/>
    </i>
    <i r="1">
      <x v="1481"/>
    </i>
    <i r="1">
      <x v="1482"/>
    </i>
    <i r="1">
      <x v="1483"/>
    </i>
    <i r="1">
      <x v="1484"/>
    </i>
    <i r="1">
      <x v="1485"/>
    </i>
    <i r="1">
      <x v="1486"/>
    </i>
    <i r="1">
      <x v="1487"/>
    </i>
    <i r="1">
      <x v="1488"/>
    </i>
    <i r="1">
      <x v="1489"/>
    </i>
    <i r="1">
      <x v="1490"/>
    </i>
    <i r="1">
      <x v="1491"/>
    </i>
    <i r="1">
      <x v="1492"/>
    </i>
    <i r="1">
      <x v="1493"/>
    </i>
    <i r="1">
      <x v="1494"/>
    </i>
    <i r="1">
      <x v="1495"/>
    </i>
    <i r="1">
      <x v="1496"/>
    </i>
    <i r="1">
      <x v="1497"/>
    </i>
    <i r="1">
      <x v="1498"/>
    </i>
    <i r="1">
      <x v="1499"/>
    </i>
    <i r="1">
      <x v="1500"/>
    </i>
    <i r="1">
      <x v="1501"/>
    </i>
    <i r="1">
      <x v="1502"/>
    </i>
    <i r="1">
      <x v="1503"/>
    </i>
    <i r="1">
      <x v="1504"/>
    </i>
    <i r="1">
      <x v="1505"/>
    </i>
    <i r="1">
      <x v="1506"/>
    </i>
    <i r="1">
      <x v="1507"/>
    </i>
    <i r="1">
      <x v="1508"/>
    </i>
    <i r="1">
      <x v="1509"/>
    </i>
    <i r="1">
      <x v="1510"/>
    </i>
    <i r="1">
      <x v="1511"/>
    </i>
    <i r="1">
      <x v="1512"/>
    </i>
    <i r="1">
      <x v="1513"/>
    </i>
    <i r="1">
      <x v="1514"/>
    </i>
    <i r="1">
      <x v="1515"/>
    </i>
    <i r="1">
      <x v="1516"/>
    </i>
    <i r="1">
      <x v="1517"/>
    </i>
    <i r="1">
      <x v="1518"/>
    </i>
    <i r="1">
      <x v="1519"/>
    </i>
    <i r="1">
      <x v="1520"/>
    </i>
    <i r="1">
      <x v="1521"/>
    </i>
    <i r="1">
      <x v="1522"/>
    </i>
    <i r="1">
      <x v="1523"/>
    </i>
    <i r="1">
      <x v="1524"/>
    </i>
    <i r="1">
      <x v="1525"/>
    </i>
    <i r="1">
      <x v="1526"/>
    </i>
    <i r="1">
      <x v="1527"/>
    </i>
    <i r="1">
      <x v="1528"/>
    </i>
    <i r="1">
      <x v="1529"/>
    </i>
    <i r="1">
      <x v="1530"/>
    </i>
    <i r="1">
      <x v="1531"/>
    </i>
    <i r="1">
      <x v="1532"/>
    </i>
    <i r="1">
      <x v="1533"/>
    </i>
    <i r="1">
      <x v="1534"/>
    </i>
    <i r="1">
      <x v="1535"/>
    </i>
    <i r="1">
      <x v="1536"/>
    </i>
    <i r="1">
      <x v="1537"/>
    </i>
    <i r="1">
      <x v="1538"/>
    </i>
    <i r="1">
      <x v="1539"/>
    </i>
    <i r="1">
      <x v="1540"/>
    </i>
    <i r="1">
      <x v="1541"/>
    </i>
    <i r="1">
      <x v="1542"/>
    </i>
    <i r="1">
      <x v="1543"/>
    </i>
    <i r="1">
      <x v="1544"/>
    </i>
    <i r="1">
      <x v="1545"/>
    </i>
    <i r="1">
      <x v="1546"/>
    </i>
    <i r="1">
      <x v="1547"/>
    </i>
    <i r="1">
      <x v="1548"/>
    </i>
    <i r="1">
      <x v="1549"/>
    </i>
    <i r="1">
      <x v="1550"/>
    </i>
    <i r="1">
      <x v="1551"/>
    </i>
    <i r="1">
      <x v="1552"/>
    </i>
    <i r="1">
      <x v="1553"/>
    </i>
    <i r="1">
      <x v="1554"/>
    </i>
    <i r="1">
      <x v="1555"/>
    </i>
    <i r="1">
      <x v="1556"/>
    </i>
    <i r="1">
      <x v="1557"/>
    </i>
    <i r="1">
      <x v="1558"/>
    </i>
    <i r="1">
      <x v="1559"/>
    </i>
    <i r="1">
      <x v="1560"/>
    </i>
    <i r="1">
      <x v="1561"/>
    </i>
    <i r="1">
      <x v="1562"/>
    </i>
    <i r="1">
      <x v="1563"/>
    </i>
    <i r="1">
      <x v="1564"/>
    </i>
    <i r="1">
      <x v="1565"/>
    </i>
    <i r="1">
      <x v="1566"/>
    </i>
    <i r="1">
      <x v="1567"/>
    </i>
    <i r="1">
      <x v="1568"/>
    </i>
    <i r="1">
      <x v="1569"/>
    </i>
    <i r="1">
      <x v="1570"/>
    </i>
    <i r="1">
      <x v="1571"/>
    </i>
    <i r="1">
      <x v="1572"/>
    </i>
    <i r="1">
      <x v="1573"/>
    </i>
    <i r="1">
      <x v="1574"/>
    </i>
    <i r="1">
      <x v="1575"/>
    </i>
    <i r="1">
      <x v="1576"/>
    </i>
    <i r="1">
      <x v="1577"/>
    </i>
    <i r="1">
      <x v="1578"/>
    </i>
    <i r="1">
      <x v="1579"/>
    </i>
    <i r="1">
      <x v="1580"/>
    </i>
    <i r="1">
      <x v="1581"/>
    </i>
    <i r="1">
      <x v="1582"/>
    </i>
    <i r="1">
      <x v="1583"/>
    </i>
    <i r="1">
      <x v="1584"/>
    </i>
    <i r="1">
      <x v="1585"/>
    </i>
    <i r="1">
      <x v="1586"/>
    </i>
    <i r="1">
      <x v="1587"/>
    </i>
    <i r="1">
      <x v="1588"/>
    </i>
    <i r="1">
      <x v="1589"/>
    </i>
    <i r="1">
      <x v="1590"/>
    </i>
    <i r="1">
      <x v="1591"/>
    </i>
    <i r="1">
      <x v="1592"/>
    </i>
    <i r="1">
      <x v="1593"/>
    </i>
    <i r="1">
      <x v="1594"/>
    </i>
    <i r="1">
      <x v="1595"/>
    </i>
    <i r="1">
      <x v="1596"/>
    </i>
    <i r="1">
      <x v="1597"/>
    </i>
    <i r="1">
      <x v="1598"/>
    </i>
    <i r="1">
      <x v="1599"/>
    </i>
    <i r="1">
      <x v="1600"/>
    </i>
    <i r="1">
      <x v="1601"/>
    </i>
    <i r="1">
      <x v="1602"/>
    </i>
    <i r="1">
      <x v="1603"/>
    </i>
    <i r="1">
      <x v="1604"/>
    </i>
    <i r="1">
      <x v="1605"/>
    </i>
    <i r="1">
      <x v="1606"/>
    </i>
    <i r="1">
      <x v="1607"/>
    </i>
    <i r="1">
      <x v="1608"/>
    </i>
    <i r="1">
      <x v="1609"/>
    </i>
    <i r="1">
      <x v="1610"/>
    </i>
    <i r="1">
      <x v="1611"/>
    </i>
    <i r="1">
      <x v="1612"/>
    </i>
    <i r="1">
      <x v="1613"/>
    </i>
    <i r="1">
      <x v="1614"/>
    </i>
    <i r="1">
      <x v="1615"/>
    </i>
    <i r="1">
      <x v="1616"/>
    </i>
    <i r="1">
      <x v="1617"/>
    </i>
    <i r="1">
      <x v="1618"/>
    </i>
    <i r="1">
      <x v="1619"/>
    </i>
    <i r="1">
      <x v="1620"/>
    </i>
    <i r="1">
      <x v="1621"/>
    </i>
    <i r="1">
      <x v="1622"/>
    </i>
    <i r="1">
      <x v="1623"/>
    </i>
    <i r="1">
      <x v="1624"/>
    </i>
    <i r="1">
      <x v="1625"/>
    </i>
    <i r="1">
      <x v="1626"/>
    </i>
    <i r="1">
      <x v="1627"/>
    </i>
    <i r="1">
      <x v="1628"/>
    </i>
    <i r="1">
      <x v="1629"/>
    </i>
    <i r="1">
      <x v="1630"/>
    </i>
    <i r="1">
      <x v="1631"/>
    </i>
    <i r="1">
      <x v="1632"/>
    </i>
    <i r="1">
      <x v="1633"/>
    </i>
    <i r="1">
      <x v="1634"/>
    </i>
    <i r="1">
      <x v="1635"/>
    </i>
    <i r="1">
      <x v="1636"/>
    </i>
    <i r="1">
      <x v="1637"/>
    </i>
    <i r="1">
      <x v="1638"/>
    </i>
    <i r="1">
      <x v="1639"/>
    </i>
    <i r="1">
      <x v="1640"/>
    </i>
    <i r="1">
      <x v="1641"/>
    </i>
    <i r="1">
      <x v="1642"/>
    </i>
    <i r="1">
      <x v="1643"/>
    </i>
    <i r="1">
      <x v="1644"/>
    </i>
    <i r="1">
      <x v="1645"/>
    </i>
    <i r="1">
      <x v="1646"/>
    </i>
    <i r="1">
      <x v="1647"/>
    </i>
    <i r="1">
      <x v="1648"/>
    </i>
    <i r="1">
      <x v="1649"/>
    </i>
    <i r="1">
      <x v="1650"/>
    </i>
    <i r="1">
      <x v="1651"/>
    </i>
    <i r="1">
      <x v="1652"/>
    </i>
    <i r="1">
      <x v="1653"/>
    </i>
    <i r="1">
      <x v="1654"/>
    </i>
    <i r="1">
      <x v="1655"/>
    </i>
    <i r="1">
      <x v="1656"/>
    </i>
    <i r="1">
      <x v="1657"/>
    </i>
    <i r="1">
      <x v="1658"/>
    </i>
    <i r="1">
      <x v="1659"/>
    </i>
    <i r="1">
      <x v="1660"/>
    </i>
    <i r="1">
      <x v="1661"/>
    </i>
    <i r="1">
      <x v="1662"/>
    </i>
    <i r="1">
      <x v="1663"/>
    </i>
    <i r="1">
      <x v="1664"/>
    </i>
    <i r="1">
      <x v="1665"/>
    </i>
    <i r="1">
      <x v="1666"/>
    </i>
    <i r="1">
      <x v="1667"/>
    </i>
    <i r="1">
      <x v="1668"/>
    </i>
    <i r="1">
      <x v="1669"/>
    </i>
    <i r="1">
      <x v="1670"/>
    </i>
    <i r="1">
      <x v="1671"/>
    </i>
    <i r="1">
      <x v="1672"/>
    </i>
    <i r="1">
      <x v="1673"/>
    </i>
    <i r="1">
      <x v="1674"/>
    </i>
    <i r="1">
      <x v="1675"/>
    </i>
    <i r="1">
      <x v="1676"/>
    </i>
    <i r="1">
      <x v="1677"/>
    </i>
    <i r="1">
      <x v="1678"/>
    </i>
    <i r="1">
      <x v="1679"/>
    </i>
    <i r="1">
      <x v="1680"/>
    </i>
    <i r="1">
      <x v="1681"/>
    </i>
    <i r="1">
      <x v="1682"/>
    </i>
    <i r="1">
      <x v="1683"/>
    </i>
    <i r="1">
      <x v="1684"/>
    </i>
    <i r="1">
      <x v="1685"/>
    </i>
    <i r="1">
      <x v="1686"/>
    </i>
    <i r="1">
      <x v="1687"/>
    </i>
    <i r="1">
      <x v="1688"/>
    </i>
    <i r="1">
      <x v="1689"/>
    </i>
    <i r="1">
      <x v="1690"/>
    </i>
    <i r="1">
      <x v="1691"/>
    </i>
    <i r="1">
      <x v="1692"/>
    </i>
    <i r="1">
      <x v="1693"/>
    </i>
    <i r="1">
      <x v="1694"/>
    </i>
    <i r="1">
      <x v="1695"/>
    </i>
    <i r="1">
      <x v="1696"/>
    </i>
    <i r="1">
      <x v="1697"/>
    </i>
    <i r="1">
      <x v="1698"/>
    </i>
    <i r="1">
      <x v="1699"/>
    </i>
    <i r="1">
      <x v="1700"/>
    </i>
    <i r="1">
      <x v="1701"/>
    </i>
    <i r="1">
      <x v="1702"/>
    </i>
    <i r="1">
      <x v="1703"/>
    </i>
    <i r="1">
      <x v="1704"/>
    </i>
    <i r="1">
      <x v="1705"/>
    </i>
    <i r="1">
      <x v="1706"/>
    </i>
    <i r="1">
      <x v="1707"/>
    </i>
    <i r="1">
      <x v="1708"/>
    </i>
    <i r="1">
      <x v="1709"/>
    </i>
    <i r="1">
      <x v="1710"/>
    </i>
    <i r="1">
      <x v="1711"/>
    </i>
    <i r="1">
      <x v="1712"/>
    </i>
    <i r="1">
      <x v="1713"/>
    </i>
    <i r="1">
      <x v="1714"/>
    </i>
    <i r="1">
      <x v="1715"/>
    </i>
    <i r="1">
      <x v="1716"/>
    </i>
    <i r="1">
      <x v="1717"/>
    </i>
    <i r="1">
      <x v="1718"/>
    </i>
    <i r="1">
      <x v="1719"/>
    </i>
    <i r="1">
      <x v="1720"/>
    </i>
    <i r="1">
      <x v="1721"/>
    </i>
    <i r="1">
      <x v="1722"/>
    </i>
    <i r="1">
      <x v="1723"/>
    </i>
    <i r="1">
      <x v="1724"/>
    </i>
    <i r="1">
      <x v="1725"/>
    </i>
    <i r="1">
      <x v="1726"/>
    </i>
    <i r="1">
      <x v="1727"/>
    </i>
    <i r="1">
      <x v="1728"/>
    </i>
    <i r="1">
      <x v="1729"/>
    </i>
    <i r="1">
      <x v="1730"/>
    </i>
    <i r="1">
      <x v="1731"/>
    </i>
    <i r="1">
      <x v="1732"/>
    </i>
    <i r="1">
      <x v="1733"/>
    </i>
    <i r="1">
      <x v="1734"/>
    </i>
    <i r="1">
      <x v="1735"/>
    </i>
    <i r="1">
      <x v="1736"/>
    </i>
    <i r="1">
      <x v="1737"/>
    </i>
    <i r="1">
      <x v="1738"/>
    </i>
    <i r="1">
      <x v="1739"/>
    </i>
    <i r="1">
      <x v="1740"/>
    </i>
    <i r="1">
      <x v="1741"/>
    </i>
    <i r="1">
      <x v="1742"/>
    </i>
    <i r="1">
      <x v="1743"/>
    </i>
    <i r="1">
      <x v="1744"/>
    </i>
    <i r="1">
      <x v="1745"/>
    </i>
    <i r="1">
      <x v="1746"/>
    </i>
    <i r="1">
      <x v="1747"/>
    </i>
    <i r="1">
      <x v="1748"/>
    </i>
    <i r="1">
      <x v="1749"/>
    </i>
    <i r="1">
      <x v="1750"/>
    </i>
    <i r="1">
      <x v="1751"/>
    </i>
    <i r="1">
      <x v="1752"/>
    </i>
    <i r="1">
      <x v="1753"/>
    </i>
    <i r="1">
      <x v="1754"/>
    </i>
    <i r="1">
      <x v="1755"/>
    </i>
    <i r="1">
      <x v="1756"/>
    </i>
    <i r="1">
      <x v="1757"/>
    </i>
    <i r="1">
      <x v="1758"/>
    </i>
    <i r="1">
      <x v="1759"/>
    </i>
    <i r="1">
      <x v="1760"/>
    </i>
    <i r="1">
      <x v="1761"/>
    </i>
    <i r="1">
      <x v="1762"/>
    </i>
    <i r="1">
      <x v="1763"/>
    </i>
    <i r="1">
      <x v="1764"/>
    </i>
    <i r="1">
      <x v="1765"/>
    </i>
    <i r="1">
      <x v="1766"/>
    </i>
    <i r="1">
      <x v="1767"/>
    </i>
    <i r="1">
      <x v="1768"/>
    </i>
    <i r="1">
      <x v="1769"/>
    </i>
    <i r="1">
      <x v="1770"/>
    </i>
    <i r="1">
      <x v="1771"/>
    </i>
    <i r="1">
      <x v="1772"/>
    </i>
    <i r="1">
      <x v="1773"/>
    </i>
    <i r="1">
      <x v="1774"/>
    </i>
    <i r="1">
      <x v="1775"/>
    </i>
    <i r="1">
      <x v="1776"/>
    </i>
    <i r="1">
      <x v="1777"/>
    </i>
    <i r="1">
      <x v="1778"/>
    </i>
    <i r="1">
      <x v="1779"/>
    </i>
    <i r="1">
      <x v="1780"/>
    </i>
    <i r="1">
      <x v="1781"/>
    </i>
    <i r="1">
      <x v="1782"/>
    </i>
    <i r="1">
      <x v="1783"/>
    </i>
    <i r="1">
      <x v="1784"/>
    </i>
    <i r="1">
      <x v="1785"/>
    </i>
    <i r="1">
      <x v="1786"/>
    </i>
    <i r="1">
      <x v="1787"/>
    </i>
    <i r="1">
      <x v="1788"/>
    </i>
    <i r="1">
      <x v="1789"/>
    </i>
    <i r="1">
      <x v="1790"/>
    </i>
    <i r="1">
      <x v="1791"/>
    </i>
    <i r="1">
      <x v="1792"/>
    </i>
    <i r="1">
      <x v="1793"/>
    </i>
    <i r="1">
      <x v="1794"/>
    </i>
    <i r="1">
      <x v="1795"/>
    </i>
    <i r="1">
      <x v="1796"/>
    </i>
    <i r="1">
      <x v="1797"/>
    </i>
    <i r="1">
      <x v="1798"/>
    </i>
    <i r="1">
      <x v="1799"/>
    </i>
    <i r="1">
      <x v="1800"/>
    </i>
    <i r="1">
      <x v="1801"/>
    </i>
    <i r="1">
      <x v="1802"/>
    </i>
    <i r="1">
      <x v="1803"/>
    </i>
    <i r="1">
      <x v="1804"/>
    </i>
    <i r="1">
      <x v="1805"/>
    </i>
    <i r="1">
      <x v="1806"/>
    </i>
    <i r="1">
      <x v="1807"/>
    </i>
    <i r="1">
      <x v="1808"/>
    </i>
    <i r="1">
      <x v="1809"/>
    </i>
    <i r="1">
      <x v="1810"/>
    </i>
    <i r="1">
      <x v="1811"/>
    </i>
    <i r="1">
      <x v="1812"/>
    </i>
    <i r="1">
      <x v="1813"/>
    </i>
    <i r="1">
      <x v="1814"/>
    </i>
    <i r="1">
      <x v="1815"/>
    </i>
    <i r="1">
      <x v="1816"/>
    </i>
    <i r="1">
      <x v="1817"/>
    </i>
    <i r="1">
      <x v="1818"/>
    </i>
    <i r="1">
      <x v="1819"/>
    </i>
    <i r="1">
      <x v="1820"/>
    </i>
    <i r="1">
      <x v="1821"/>
    </i>
    <i r="1">
      <x v="1822"/>
    </i>
    <i r="1">
      <x v="1823"/>
    </i>
    <i r="1">
      <x v="1824"/>
    </i>
    <i r="1">
      <x v="1825"/>
    </i>
    <i r="1">
      <x v="1826"/>
    </i>
    <i r="1">
      <x v="1827"/>
    </i>
    <i r="1">
      <x v="1828"/>
    </i>
    <i r="1">
      <x v="1829"/>
    </i>
    <i r="1">
      <x v="1830"/>
    </i>
    <i r="1">
      <x v="1831"/>
    </i>
    <i r="1">
      <x v="1832"/>
    </i>
    <i r="1">
      <x v="1833"/>
    </i>
    <i r="1">
      <x v="1834"/>
    </i>
    <i r="1">
      <x v="1835"/>
    </i>
    <i r="1">
      <x v="1836"/>
    </i>
    <i r="1">
      <x v="1837"/>
    </i>
    <i r="1">
      <x v="1838"/>
    </i>
    <i r="1">
      <x v="1839"/>
    </i>
    <i r="1">
      <x v="1840"/>
    </i>
    <i r="1">
      <x v="1841"/>
    </i>
    <i r="1">
      <x v="1842"/>
    </i>
    <i r="1">
      <x v="1843"/>
    </i>
    <i r="1">
      <x v="1844"/>
    </i>
    <i r="1">
      <x v="1845"/>
    </i>
    <i r="1">
      <x v="1846"/>
    </i>
    <i r="1">
      <x v="1847"/>
    </i>
    <i r="1">
      <x v="1848"/>
    </i>
    <i r="1">
      <x v="1849"/>
    </i>
    <i r="1">
      <x v="1850"/>
    </i>
    <i r="1">
      <x v="1851"/>
    </i>
    <i r="1">
      <x v="1852"/>
    </i>
    <i r="1">
      <x v="1853"/>
    </i>
    <i r="1">
      <x v="1854"/>
    </i>
    <i r="1">
      <x v="1855"/>
    </i>
    <i r="1">
      <x v="1856"/>
    </i>
    <i r="1">
      <x v="1857"/>
    </i>
    <i r="1">
      <x v="1858"/>
    </i>
    <i r="1">
      <x v="1859"/>
    </i>
    <i r="1">
      <x v="1860"/>
    </i>
    <i r="1">
      <x v="1861"/>
    </i>
    <i r="1">
      <x v="1862"/>
    </i>
    <i r="1">
      <x v="1863"/>
    </i>
    <i r="1">
      <x v="1864"/>
    </i>
    <i r="1">
      <x v="1865"/>
    </i>
    <i r="1">
      <x v="1866"/>
    </i>
    <i r="1">
      <x v="1867"/>
    </i>
    <i r="1">
      <x v="1868"/>
    </i>
    <i r="1">
      <x v="1869"/>
    </i>
    <i r="1">
      <x v="1870"/>
    </i>
    <i r="1">
      <x v="1871"/>
    </i>
    <i r="1">
      <x v="1872"/>
    </i>
    <i r="1">
      <x v="1873"/>
    </i>
    <i r="1">
      <x v="1874"/>
    </i>
    <i r="1">
      <x v="1875"/>
    </i>
    <i r="1">
      <x v="1876"/>
    </i>
    <i r="1">
      <x v="1877"/>
    </i>
    <i r="1">
      <x v="1878"/>
    </i>
    <i r="1">
      <x v="1879"/>
    </i>
    <i r="1">
      <x v="1880"/>
    </i>
    <i r="1">
      <x v="1881"/>
    </i>
    <i r="1">
      <x v="1882"/>
    </i>
    <i r="1">
      <x v="1883"/>
    </i>
    <i r="1">
      <x v="1884"/>
    </i>
    <i r="1">
      <x v="1885"/>
    </i>
    <i r="1">
      <x v="1886"/>
    </i>
    <i r="1">
      <x v="1887"/>
    </i>
    <i r="1">
      <x v="1888"/>
    </i>
    <i r="1">
      <x v="1889"/>
    </i>
    <i r="1">
      <x v="1890"/>
    </i>
    <i r="1">
      <x v="1891"/>
    </i>
    <i r="1">
      <x v="1892"/>
    </i>
    <i r="1">
      <x v="1893"/>
    </i>
    <i r="1">
      <x v="1894"/>
    </i>
    <i r="1">
      <x v="1895"/>
    </i>
    <i r="1">
      <x v="1896"/>
    </i>
    <i r="1">
      <x v="1897"/>
    </i>
    <i r="1">
      <x v="1898"/>
    </i>
    <i r="1">
      <x v="1899"/>
    </i>
    <i r="1">
      <x v="1900"/>
    </i>
    <i r="1">
      <x v="1901"/>
    </i>
    <i r="1">
      <x v="1902"/>
    </i>
    <i r="1">
      <x v="1903"/>
    </i>
    <i r="1">
      <x v="1904"/>
    </i>
    <i r="1">
      <x v="1905"/>
    </i>
    <i r="1">
      <x v="1906"/>
    </i>
    <i r="1">
      <x v="1907"/>
    </i>
    <i r="1">
      <x v="1908"/>
    </i>
    <i r="1">
      <x v="1909"/>
    </i>
    <i r="1">
      <x v="1910"/>
    </i>
    <i r="1">
      <x v="1911"/>
    </i>
    <i r="1">
      <x v="1912"/>
    </i>
    <i r="1">
      <x v="1913"/>
    </i>
    <i r="1">
      <x v="1914"/>
    </i>
    <i r="1">
      <x v="1915"/>
    </i>
    <i r="1">
      <x v="1916"/>
    </i>
    <i r="1">
      <x v="1917"/>
    </i>
    <i r="1">
      <x v="1918"/>
    </i>
    <i r="1">
      <x v="1919"/>
    </i>
    <i r="1">
      <x v="1920"/>
    </i>
    <i r="1">
      <x v="1921"/>
    </i>
    <i r="1">
      <x v="1922"/>
    </i>
    <i r="1">
      <x v="1923"/>
    </i>
    <i r="1">
      <x v="1924"/>
    </i>
    <i r="1">
      <x v="1925"/>
    </i>
    <i r="1">
      <x v="1926"/>
    </i>
    <i r="1">
      <x v="1927"/>
    </i>
    <i r="1">
      <x v="1928"/>
    </i>
    <i r="1">
      <x v="1929"/>
    </i>
    <i r="1">
      <x v="1930"/>
    </i>
    <i r="1">
      <x v="1931"/>
    </i>
    <i r="1">
      <x v="1932"/>
    </i>
    <i r="1">
      <x v="1933"/>
    </i>
    <i r="1">
      <x v="1934"/>
    </i>
    <i r="1">
      <x v="1935"/>
    </i>
    <i r="1">
      <x v="1936"/>
    </i>
    <i r="1">
      <x v="1937"/>
    </i>
    <i r="1">
      <x v="1938"/>
    </i>
    <i r="1">
      <x v="1939"/>
    </i>
    <i r="1">
      <x v="1940"/>
    </i>
    <i r="1">
      <x v="1941"/>
    </i>
    <i r="1">
      <x v="1942"/>
    </i>
    <i r="1">
      <x v="1943"/>
    </i>
    <i r="1">
      <x v="1944"/>
    </i>
    <i r="1">
      <x v="1945"/>
    </i>
    <i r="1">
      <x v="1946"/>
    </i>
    <i r="1">
      <x v="1947"/>
    </i>
    <i r="1">
      <x v="1948"/>
    </i>
    <i r="1">
      <x v="1949"/>
    </i>
    <i r="1">
      <x v="1950"/>
    </i>
    <i r="1">
      <x v="1951"/>
    </i>
    <i r="1">
      <x v="1952"/>
    </i>
    <i r="1">
      <x v="1953"/>
    </i>
    <i r="1">
      <x v="1954"/>
    </i>
    <i r="1">
      <x v="1955"/>
    </i>
    <i r="1">
      <x v="1956"/>
    </i>
    <i r="1">
      <x v="1957"/>
    </i>
    <i r="1">
      <x v="1958"/>
    </i>
    <i r="1">
      <x v="1959"/>
    </i>
    <i r="1">
      <x v="1960"/>
    </i>
    <i r="1">
      <x v="1961"/>
    </i>
    <i r="1">
      <x v="1962"/>
    </i>
    <i r="1">
      <x v="1963"/>
    </i>
    <i r="1">
      <x v="1964"/>
    </i>
    <i r="1">
      <x v="1965"/>
    </i>
    <i r="1">
      <x v="1966"/>
    </i>
    <i r="1">
      <x v="1967"/>
    </i>
    <i r="1">
      <x v="1968"/>
    </i>
    <i r="1">
      <x v="1969"/>
    </i>
    <i r="1">
      <x v="1970"/>
    </i>
    <i r="1">
      <x v="1971"/>
    </i>
    <i r="1">
      <x v="1972"/>
    </i>
    <i r="1">
      <x v="1973"/>
    </i>
    <i r="1">
      <x v="1974"/>
    </i>
    <i r="1">
      <x v="1975"/>
    </i>
    <i r="1">
      <x v="1976"/>
    </i>
    <i r="1">
      <x v="1977"/>
    </i>
    <i r="1">
      <x v="1978"/>
    </i>
    <i r="1">
      <x v="1979"/>
    </i>
    <i r="1">
      <x v="1980"/>
    </i>
    <i r="1">
      <x v="1981"/>
    </i>
    <i r="1">
      <x v="1982"/>
    </i>
    <i r="1">
      <x v="1983"/>
    </i>
    <i r="1">
      <x v="1984"/>
    </i>
    <i r="1">
      <x v="1985"/>
    </i>
    <i r="1">
      <x v="1986"/>
    </i>
    <i r="1">
      <x v="1987"/>
    </i>
    <i r="1">
      <x v="1988"/>
    </i>
    <i r="1">
      <x v="1989"/>
    </i>
    <i r="1">
      <x v="1990"/>
    </i>
    <i r="1">
      <x v="1991"/>
    </i>
    <i r="1">
      <x v="1992"/>
    </i>
    <i r="1">
      <x v="1993"/>
    </i>
    <i r="1">
      <x v="1994"/>
    </i>
    <i r="1">
      <x v="1995"/>
    </i>
    <i r="1">
      <x v="1996"/>
    </i>
    <i r="1">
      <x v="1997"/>
    </i>
    <i r="1">
      <x v="1998"/>
    </i>
    <i r="1">
      <x v="1999"/>
    </i>
    <i r="1">
      <x v="2000"/>
    </i>
    <i r="1">
      <x v="2001"/>
    </i>
    <i r="1">
      <x v="2002"/>
    </i>
    <i r="1">
      <x v="2003"/>
    </i>
    <i r="1">
      <x v="2004"/>
    </i>
    <i r="1">
      <x v="2005"/>
    </i>
    <i r="1">
      <x v="2006"/>
    </i>
    <i r="1">
      <x v="2007"/>
    </i>
    <i r="1">
      <x v="2008"/>
    </i>
    <i r="1">
      <x v="2009"/>
    </i>
    <i r="1">
      <x v="2010"/>
    </i>
    <i r="1">
      <x v="2011"/>
    </i>
    <i r="1">
      <x v="2012"/>
    </i>
    <i r="1">
      <x v="2013"/>
    </i>
    <i r="1">
      <x v="2014"/>
    </i>
    <i r="1">
      <x v="2015"/>
    </i>
    <i r="1">
      <x v="2016"/>
    </i>
    <i r="1">
      <x v="2017"/>
    </i>
    <i r="1">
      <x v="2018"/>
    </i>
    <i r="1">
      <x v="2019"/>
    </i>
    <i r="1">
      <x v="2020"/>
    </i>
    <i r="1">
      <x v="2021"/>
    </i>
    <i r="1">
      <x v="2022"/>
    </i>
    <i r="1">
      <x v="2023"/>
    </i>
    <i r="1">
      <x v="2024"/>
    </i>
    <i r="1">
      <x v="2025"/>
    </i>
    <i r="1">
      <x v="2026"/>
    </i>
    <i r="1">
      <x v="2027"/>
    </i>
    <i r="1">
      <x v="2028"/>
    </i>
    <i r="1">
      <x v="2029"/>
    </i>
    <i r="1">
      <x v="2030"/>
    </i>
    <i r="1">
      <x v="2031"/>
    </i>
    <i r="1">
      <x v="2032"/>
    </i>
    <i r="1">
      <x v="2033"/>
    </i>
    <i r="1">
      <x v="2034"/>
    </i>
    <i r="1">
      <x v="2035"/>
    </i>
    <i r="1">
      <x v="2036"/>
    </i>
    <i r="1">
      <x v="2037"/>
    </i>
    <i r="1">
      <x v="2038"/>
    </i>
    <i r="1">
      <x v="2039"/>
    </i>
    <i r="1">
      <x v="2040"/>
    </i>
    <i r="1">
      <x v="2041"/>
    </i>
    <i r="1">
      <x v="2042"/>
    </i>
    <i r="1">
      <x v="2043"/>
    </i>
    <i r="1">
      <x v="2044"/>
    </i>
    <i r="1">
      <x v="2045"/>
    </i>
    <i r="1">
      <x v="2046"/>
    </i>
    <i r="1">
      <x v="2047"/>
    </i>
    <i r="1">
      <x v="2048"/>
    </i>
    <i r="1">
      <x v="2049"/>
    </i>
    <i r="1">
      <x v="2050"/>
    </i>
    <i r="1">
      <x v="2051"/>
    </i>
    <i r="1">
      <x v="2052"/>
    </i>
    <i r="1">
      <x v="2053"/>
    </i>
    <i r="1">
      <x v="2054"/>
    </i>
    <i r="1">
      <x v="2055"/>
    </i>
    <i r="1">
      <x v="2056"/>
    </i>
    <i r="1">
      <x v="2057"/>
    </i>
    <i r="1">
      <x v="2058"/>
    </i>
    <i r="1">
      <x v="2059"/>
    </i>
    <i r="1">
      <x v="2060"/>
    </i>
    <i r="1">
      <x v="2061"/>
    </i>
    <i r="1">
      <x v="2062"/>
    </i>
    <i r="1">
      <x v="2063"/>
    </i>
    <i r="1">
      <x v="2064"/>
    </i>
    <i r="1">
      <x v="2065"/>
    </i>
    <i r="1">
      <x v="2066"/>
    </i>
    <i r="1">
      <x v="2067"/>
    </i>
    <i r="1">
      <x v="2068"/>
    </i>
    <i r="1">
      <x v="2069"/>
    </i>
    <i r="1">
      <x v="2070"/>
    </i>
    <i r="1">
      <x v="2071"/>
    </i>
    <i r="1">
      <x v="2072"/>
    </i>
    <i r="1">
      <x v="2073"/>
    </i>
    <i r="1">
      <x v="2074"/>
    </i>
    <i r="1">
      <x v="2075"/>
    </i>
    <i r="1">
      <x v="2076"/>
    </i>
    <i r="1">
      <x v="2077"/>
    </i>
    <i r="1">
      <x v="2078"/>
    </i>
    <i r="1">
      <x v="2079"/>
    </i>
    <i r="1">
      <x v="2080"/>
    </i>
    <i r="1">
      <x v="2081"/>
    </i>
    <i r="1">
      <x v="2082"/>
    </i>
    <i r="1">
      <x v="2083"/>
    </i>
    <i r="1">
      <x v="2084"/>
    </i>
    <i r="1">
      <x v="2085"/>
    </i>
    <i r="1">
      <x v="2086"/>
    </i>
    <i r="1">
      <x v="2087"/>
    </i>
    <i r="1">
      <x v="2088"/>
    </i>
    <i r="1">
      <x v="2089"/>
    </i>
    <i r="1">
      <x v="2090"/>
    </i>
    <i r="1">
      <x v="2091"/>
    </i>
    <i r="1">
      <x v="2092"/>
    </i>
    <i r="1">
      <x v="2093"/>
    </i>
    <i r="1">
      <x v="2094"/>
    </i>
    <i r="1">
      <x v="2095"/>
    </i>
    <i r="1">
      <x v="2096"/>
    </i>
    <i r="1">
      <x v="2097"/>
    </i>
    <i r="1">
      <x v="2098"/>
    </i>
    <i r="1">
      <x v="2099"/>
    </i>
    <i r="1">
      <x v="2100"/>
    </i>
    <i r="1">
      <x v="2101"/>
    </i>
    <i r="1">
      <x v="2102"/>
    </i>
    <i r="1">
      <x v="2103"/>
    </i>
    <i r="1">
      <x v="2104"/>
    </i>
    <i r="1">
      <x v="2105"/>
    </i>
    <i r="1">
      <x v="2106"/>
    </i>
    <i r="1">
      <x v="2107"/>
    </i>
    <i r="1">
      <x v="2108"/>
    </i>
    <i r="1">
      <x v="2109"/>
    </i>
    <i r="1">
      <x v="2110"/>
    </i>
    <i r="1">
      <x v="2111"/>
    </i>
    <i r="1">
      <x v="2112"/>
    </i>
    <i r="1">
      <x v="2113"/>
    </i>
    <i r="1">
      <x v="2114"/>
    </i>
    <i r="1">
      <x v="2115"/>
    </i>
    <i r="1">
      <x v="2116"/>
    </i>
    <i r="1">
      <x v="2117"/>
    </i>
    <i r="1">
      <x v="2118"/>
    </i>
    <i r="1">
      <x v="2119"/>
    </i>
    <i r="1">
      <x v="2120"/>
    </i>
    <i r="1">
      <x v="2121"/>
    </i>
    <i r="1">
      <x v="2122"/>
    </i>
    <i r="1">
      <x v="2123"/>
    </i>
    <i r="1">
      <x v="2124"/>
    </i>
    <i r="1">
      <x v="2125"/>
    </i>
    <i r="1">
      <x v="2126"/>
    </i>
    <i r="1">
      <x v="2127"/>
    </i>
    <i r="1">
      <x v="2128"/>
    </i>
    <i r="1">
      <x v="2129"/>
    </i>
    <i r="1">
      <x v="2130"/>
    </i>
    <i r="1">
      <x v="2131"/>
    </i>
    <i r="1">
      <x v="2132"/>
    </i>
    <i r="1">
      <x v="2133"/>
    </i>
    <i r="1">
      <x v="2134"/>
    </i>
    <i r="1">
      <x v="2135"/>
    </i>
    <i r="1">
      <x v="2136"/>
    </i>
    <i r="1">
      <x v="2137"/>
    </i>
    <i r="1">
      <x v="2138"/>
    </i>
    <i r="1">
      <x v="2139"/>
    </i>
    <i r="1">
      <x v="2140"/>
    </i>
    <i r="1">
      <x v="2141"/>
    </i>
    <i r="1">
      <x v="2142"/>
    </i>
    <i r="1">
      <x v="2143"/>
    </i>
    <i r="1">
      <x v="2144"/>
    </i>
    <i r="1">
      <x v="2145"/>
    </i>
    <i r="1">
      <x v="2146"/>
    </i>
    <i r="1">
      <x v="2147"/>
    </i>
    <i r="1">
      <x v="2148"/>
    </i>
    <i r="1">
      <x v="2149"/>
    </i>
    <i r="1">
      <x v="2150"/>
    </i>
    <i r="1">
      <x v="2151"/>
    </i>
    <i r="1">
      <x v="2152"/>
    </i>
    <i r="1">
      <x v="2153"/>
    </i>
    <i r="1">
      <x v="2154"/>
    </i>
    <i r="1">
      <x v="2155"/>
    </i>
    <i r="1">
      <x v="2156"/>
    </i>
    <i r="1">
      <x v="2157"/>
    </i>
    <i r="1">
      <x v="2158"/>
    </i>
    <i r="1">
      <x v="2159"/>
    </i>
    <i r="1">
      <x v="2160"/>
    </i>
    <i r="1">
      <x v="2161"/>
    </i>
    <i r="1">
      <x v="2162"/>
    </i>
    <i r="1">
      <x v="2163"/>
    </i>
    <i r="1">
      <x v="2164"/>
    </i>
    <i r="1">
      <x v="2165"/>
    </i>
    <i r="1">
      <x v="2166"/>
    </i>
    <i r="1">
      <x v="2167"/>
    </i>
    <i r="1">
      <x v="2168"/>
    </i>
    <i r="1">
      <x v="2169"/>
    </i>
    <i r="1">
      <x v="2170"/>
    </i>
    <i r="1">
      <x v="2171"/>
    </i>
    <i r="1">
      <x v="2172"/>
    </i>
    <i r="1">
      <x v="2173"/>
    </i>
    <i r="1">
      <x v="2174"/>
    </i>
    <i r="1">
      <x v="2175"/>
    </i>
    <i r="1">
      <x v="2176"/>
    </i>
    <i r="1">
      <x v="2177"/>
    </i>
    <i r="1">
      <x v="2178"/>
    </i>
    <i r="1">
      <x v="2179"/>
    </i>
    <i r="1">
      <x v="2180"/>
    </i>
    <i r="1">
      <x v="2181"/>
    </i>
    <i r="1">
      <x v="2182"/>
    </i>
    <i r="1">
      <x v="2183"/>
    </i>
    <i r="1">
      <x v="2184"/>
    </i>
    <i r="1">
      <x v="2185"/>
    </i>
    <i r="1">
      <x v="2186"/>
    </i>
    <i r="1">
      <x v="2187"/>
    </i>
    <i r="1">
      <x v="2188"/>
    </i>
    <i r="1">
      <x v="2189"/>
    </i>
    <i r="1">
      <x v="2190"/>
    </i>
    <i r="1">
      <x v="2191"/>
    </i>
    <i r="1">
      <x v="2192"/>
    </i>
    <i r="1">
      <x v="2193"/>
    </i>
    <i r="1">
      <x v="2194"/>
    </i>
    <i r="1">
      <x v="2195"/>
    </i>
    <i r="1">
      <x v="2196"/>
    </i>
    <i r="1">
      <x v="2197"/>
    </i>
    <i r="1">
      <x v="2198"/>
    </i>
    <i r="1">
      <x v="2199"/>
    </i>
    <i r="1">
      <x v="2200"/>
    </i>
    <i r="1">
      <x v="2201"/>
    </i>
    <i r="1">
      <x v="2202"/>
    </i>
    <i r="1">
      <x v="2203"/>
    </i>
    <i r="1">
      <x v="2204"/>
    </i>
    <i r="1">
      <x v="2205"/>
    </i>
    <i r="1">
      <x v="2206"/>
    </i>
    <i r="1">
      <x v="2207"/>
    </i>
    <i r="1">
      <x v="2208"/>
    </i>
    <i r="1">
      <x v="2209"/>
    </i>
    <i r="1">
      <x v="2210"/>
    </i>
    <i r="1">
      <x v="2211"/>
    </i>
    <i r="1">
      <x v="2212"/>
    </i>
    <i r="1">
      <x v="2213"/>
    </i>
    <i r="1">
      <x v="2214"/>
    </i>
    <i r="1">
      <x v="2215"/>
    </i>
    <i r="1">
      <x v="2216"/>
    </i>
    <i r="1">
      <x v="2217"/>
    </i>
    <i r="1">
      <x v="2218"/>
    </i>
    <i r="1">
      <x v="2219"/>
    </i>
    <i r="1">
      <x v="2220"/>
    </i>
    <i r="1">
      <x v="2221"/>
    </i>
    <i r="1">
      <x v="2222"/>
    </i>
    <i r="1">
      <x v="2223"/>
    </i>
    <i r="1">
      <x v="2224"/>
    </i>
    <i r="1">
      <x v="2225"/>
    </i>
    <i r="1">
      <x v="2226"/>
    </i>
    <i r="1">
      <x v="2227"/>
    </i>
    <i r="1">
      <x v="2228"/>
    </i>
    <i r="1">
      <x v="2229"/>
    </i>
    <i r="1">
      <x v="2230"/>
    </i>
    <i r="1">
      <x v="2231"/>
    </i>
    <i r="1">
      <x v="2232"/>
    </i>
    <i r="1">
      <x v="2233"/>
    </i>
    <i r="1">
      <x v="2234"/>
    </i>
    <i r="1">
      <x v="2235"/>
    </i>
    <i r="1">
      <x v="2236"/>
    </i>
    <i r="1">
      <x v="2237"/>
    </i>
    <i r="1">
      <x v="2238"/>
    </i>
    <i r="1">
      <x v="2239"/>
    </i>
    <i r="1">
      <x v="2240"/>
    </i>
    <i r="1">
      <x v="2241"/>
    </i>
    <i r="1">
      <x v="2242"/>
    </i>
    <i r="1">
      <x v="2243"/>
    </i>
    <i r="1">
      <x v="2244"/>
    </i>
    <i r="1">
      <x v="2245"/>
    </i>
    <i r="1">
      <x v="2246"/>
    </i>
    <i r="1">
      <x v="2247"/>
    </i>
    <i r="1">
      <x v="2248"/>
    </i>
    <i r="1">
      <x v="2249"/>
    </i>
    <i r="1">
      <x v="2250"/>
    </i>
    <i r="1">
      <x v="2251"/>
    </i>
    <i r="1">
      <x v="2252"/>
    </i>
    <i r="1">
      <x v="2253"/>
    </i>
    <i r="1">
      <x v="2254"/>
    </i>
    <i r="1">
      <x v="2255"/>
    </i>
    <i r="1">
      <x v="2256"/>
    </i>
    <i r="1">
      <x v="2257"/>
    </i>
    <i r="1">
      <x v="2258"/>
    </i>
    <i r="1">
      <x v="2259"/>
    </i>
    <i r="1">
      <x v="2260"/>
    </i>
    <i r="1">
      <x v="2261"/>
    </i>
    <i r="1">
      <x v="2262"/>
    </i>
    <i r="1">
      <x v="2263"/>
    </i>
    <i r="1">
      <x v="2264"/>
    </i>
    <i r="1">
      <x v="2265"/>
    </i>
    <i r="1">
      <x v="2266"/>
    </i>
    <i r="1">
      <x v="2267"/>
    </i>
    <i r="1">
      <x v="2268"/>
    </i>
    <i r="1">
      <x v="2269"/>
    </i>
    <i r="1">
      <x v="2270"/>
    </i>
    <i r="1">
      <x v="2271"/>
    </i>
    <i r="1">
      <x v="2272"/>
    </i>
    <i r="1">
      <x v="2273"/>
    </i>
    <i r="1">
      <x v="2274"/>
    </i>
    <i r="1">
      <x v="2275"/>
    </i>
    <i r="1">
      <x v="2276"/>
    </i>
    <i r="1">
      <x v="2277"/>
    </i>
    <i r="1">
      <x v="2278"/>
    </i>
    <i r="1">
      <x v="2279"/>
    </i>
    <i r="1">
      <x v="2280"/>
    </i>
    <i r="1">
      <x v="2281"/>
    </i>
    <i r="1">
      <x v="2282"/>
    </i>
    <i r="1">
      <x v="2283"/>
    </i>
    <i r="1">
      <x v="2284"/>
    </i>
    <i r="1">
      <x v="2285"/>
    </i>
    <i r="1">
      <x v="2286"/>
    </i>
    <i r="1">
      <x v="2287"/>
    </i>
    <i r="1">
      <x v="2288"/>
    </i>
    <i r="1">
      <x v="2289"/>
    </i>
    <i r="1">
      <x v="2290"/>
    </i>
    <i r="1">
      <x v="2291"/>
    </i>
    <i r="1">
      <x v="2292"/>
    </i>
    <i r="1">
      <x v="2293"/>
    </i>
    <i r="1">
      <x v="2294"/>
    </i>
    <i r="1">
      <x v="2295"/>
    </i>
    <i r="1">
      <x v="2296"/>
    </i>
    <i r="1">
      <x v="2297"/>
    </i>
    <i r="1">
      <x v="2298"/>
    </i>
    <i r="1">
      <x v="2299"/>
    </i>
    <i r="1">
      <x v="2300"/>
    </i>
    <i r="1">
      <x v="2301"/>
    </i>
    <i r="1">
      <x v="2302"/>
    </i>
    <i r="1">
      <x v="2303"/>
    </i>
    <i r="1">
      <x v="2304"/>
    </i>
    <i r="1">
      <x v="2305"/>
    </i>
    <i r="1">
      <x v="2306"/>
    </i>
    <i r="1">
      <x v="2307"/>
    </i>
    <i r="1">
      <x v="2308"/>
    </i>
    <i r="1">
      <x v="2309"/>
    </i>
    <i r="1">
      <x v="2310"/>
    </i>
    <i r="1">
      <x v="2311"/>
    </i>
    <i r="1">
      <x v="2312"/>
    </i>
    <i r="1">
      <x v="2313"/>
    </i>
    <i r="1">
      <x v="2314"/>
    </i>
    <i r="1">
      <x v="2315"/>
    </i>
    <i r="1">
      <x v="2316"/>
    </i>
    <i r="1">
      <x v="2317"/>
    </i>
    <i r="1">
      <x v="2318"/>
    </i>
    <i r="1">
      <x v="2319"/>
    </i>
    <i r="1">
      <x v="2320"/>
    </i>
    <i r="1">
      <x v="2321"/>
    </i>
    <i r="1">
      <x v="2322"/>
    </i>
    <i r="1">
      <x v="2323"/>
    </i>
    <i r="1">
      <x v="2324"/>
    </i>
    <i r="1">
      <x v="2325"/>
    </i>
    <i r="1">
      <x v="2326"/>
    </i>
    <i r="1">
      <x v="2327"/>
    </i>
    <i r="1">
      <x v="2328"/>
    </i>
    <i r="1">
      <x v="2329"/>
    </i>
    <i r="1">
      <x v="2330"/>
    </i>
    <i r="1">
      <x v="2331"/>
    </i>
    <i r="1">
      <x v="2332"/>
    </i>
    <i r="1">
      <x v="2333"/>
    </i>
    <i r="1">
      <x v="2334"/>
    </i>
    <i r="1">
      <x v="2335"/>
    </i>
    <i r="1">
      <x v="2336"/>
    </i>
    <i r="1">
      <x v="2337"/>
    </i>
    <i r="1">
      <x v="2338"/>
    </i>
    <i r="1">
      <x v="2339"/>
    </i>
    <i r="1">
      <x v="2340"/>
    </i>
    <i r="1">
      <x v="2341"/>
    </i>
    <i r="1">
      <x v="2342"/>
    </i>
    <i r="1">
      <x v="2343"/>
    </i>
    <i r="1">
      <x v="2344"/>
    </i>
    <i r="1">
      <x v="2345"/>
    </i>
    <i r="1">
      <x v="2346"/>
    </i>
    <i r="1">
      <x v="2347"/>
    </i>
    <i r="1">
      <x v="2348"/>
    </i>
    <i r="1">
      <x v="2349"/>
    </i>
    <i r="1">
      <x v="2350"/>
    </i>
    <i r="1">
      <x v="2351"/>
    </i>
    <i r="1">
      <x v="2352"/>
    </i>
    <i r="1">
      <x v="2353"/>
    </i>
    <i r="1">
      <x v="2354"/>
    </i>
    <i r="1">
      <x v="2355"/>
    </i>
    <i r="1">
      <x v="2356"/>
    </i>
    <i r="1">
      <x v="2357"/>
    </i>
    <i r="1">
      <x v="2358"/>
    </i>
    <i r="1">
      <x v="2359"/>
    </i>
    <i r="1">
      <x v="2360"/>
    </i>
    <i r="1">
      <x v="2361"/>
    </i>
    <i r="1">
      <x v="2362"/>
    </i>
    <i r="1">
      <x v="2363"/>
    </i>
    <i r="1">
      <x v="2364"/>
    </i>
    <i r="1">
      <x v="2365"/>
    </i>
    <i r="1">
      <x v="2366"/>
    </i>
    <i r="1">
      <x v="2367"/>
    </i>
    <i r="1">
      <x v="2368"/>
    </i>
    <i r="1">
      <x v="2369"/>
    </i>
    <i r="1">
      <x v="2370"/>
    </i>
    <i r="1">
      <x v="2371"/>
    </i>
    <i r="1">
      <x v="2372"/>
    </i>
    <i r="1">
      <x v="2373"/>
    </i>
    <i r="1">
      <x v="2374"/>
    </i>
    <i r="1">
      <x v="2375"/>
    </i>
    <i r="1">
      <x v="2376"/>
    </i>
    <i r="1">
      <x v="2377"/>
    </i>
    <i r="1">
      <x v="2378"/>
    </i>
    <i r="1">
      <x v="2379"/>
    </i>
    <i r="1">
      <x v="2380"/>
    </i>
    <i r="1">
      <x v="2381"/>
    </i>
    <i r="1">
      <x v="2382"/>
    </i>
    <i r="1">
      <x v="2383"/>
    </i>
    <i r="1">
      <x v="2384"/>
    </i>
    <i r="1">
      <x v="2385"/>
    </i>
    <i r="1">
      <x v="2386"/>
    </i>
    <i r="1">
      <x v="2387"/>
    </i>
    <i r="1">
      <x v="2388"/>
    </i>
    <i r="1">
      <x v="2389"/>
    </i>
    <i r="1">
      <x v="2390"/>
    </i>
    <i r="1">
      <x v="2391"/>
    </i>
    <i r="1">
      <x v="2392"/>
    </i>
    <i r="1">
      <x v="2393"/>
    </i>
    <i r="1">
      <x v="2394"/>
    </i>
    <i r="1">
      <x v="2395"/>
    </i>
    <i r="1">
      <x v="2396"/>
    </i>
    <i r="1">
      <x v="2397"/>
    </i>
    <i r="1">
      <x v="2398"/>
    </i>
    <i r="1">
      <x v="2399"/>
    </i>
    <i r="1">
      <x v="2400"/>
    </i>
    <i r="1">
      <x v="2401"/>
    </i>
    <i r="1">
      <x v="2402"/>
    </i>
    <i r="1">
      <x v="2403"/>
    </i>
    <i r="1">
      <x v="2404"/>
    </i>
    <i r="1">
      <x v="2405"/>
    </i>
    <i r="1">
      <x v="2406"/>
    </i>
    <i r="1">
      <x v="2407"/>
    </i>
    <i r="1">
      <x v="2408"/>
    </i>
    <i r="1">
      <x v="2409"/>
    </i>
    <i r="1">
      <x v="2410"/>
    </i>
    <i r="1">
      <x v="2411"/>
    </i>
    <i r="1">
      <x v="2412"/>
    </i>
    <i r="1">
      <x v="2413"/>
    </i>
    <i r="1">
      <x v="2414"/>
    </i>
    <i r="1">
      <x v="2415"/>
    </i>
    <i r="1">
      <x v="2416"/>
    </i>
    <i r="1">
      <x v="2417"/>
    </i>
    <i r="1">
      <x v="2418"/>
    </i>
    <i r="1">
      <x v="2419"/>
    </i>
    <i r="1">
      <x v="2420"/>
    </i>
    <i r="1">
      <x v="2421"/>
    </i>
    <i r="1">
      <x v="2422"/>
    </i>
    <i r="1">
      <x v="2423"/>
    </i>
    <i r="1">
      <x v="2424"/>
    </i>
    <i r="1">
      <x v="2425"/>
    </i>
    <i r="1">
      <x v="2426"/>
    </i>
    <i r="1">
      <x v="2427"/>
    </i>
    <i r="1">
      <x v="2428"/>
    </i>
    <i r="1">
      <x v="2429"/>
    </i>
    <i r="1">
      <x v="2430"/>
    </i>
    <i r="1">
      <x v="2431"/>
    </i>
    <i r="1">
      <x v="2432"/>
    </i>
    <i r="1">
      <x v="2433"/>
    </i>
    <i r="1">
      <x v="2434"/>
    </i>
    <i r="1">
      <x v="2435"/>
    </i>
    <i r="1">
      <x v="2436"/>
    </i>
    <i r="1">
      <x v="2437"/>
    </i>
    <i r="1">
      <x v="2438"/>
    </i>
    <i r="1">
      <x v="2439"/>
    </i>
    <i r="1">
      <x v="2440"/>
    </i>
    <i r="1">
      <x v="2441"/>
    </i>
    <i r="1">
      <x v="2442"/>
    </i>
    <i r="1">
      <x v="2443"/>
    </i>
    <i r="1">
      <x v="2444"/>
    </i>
    <i r="1">
      <x v="2445"/>
    </i>
    <i r="1">
      <x v="2446"/>
    </i>
    <i r="1">
      <x v="2447"/>
    </i>
    <i r="1">
      <x v="2448"/>
    </i>
    <i r="1">
      <x v="2449"/>
    </i>
    <i r="1">
      <x v="2450"/>
    </i>
    <i r="1">
      <x v="2451"/>
    </i>
    <i r="1">
      <x v="2452"/>
    </i>
    <i r="1">
      <x v="2453"/>
    </i>
    <i r="1">
      <x v="2454"/>
    </i>
    <i r="1">
      <x v="2455"/>
    </i>
    <i r="1">
      <x v="2456"/>
    </i>
    <i r="1">
      <x v="2457"/>
    </i>
    <i r="1">
      <x v="2458"/>
    </i>
    <i r="1">
      <x v="2459"/>
    </i>
    <i r="1">
      <x v="2460"/>
    </i>
    <i r="1">
      <x v="2461"/>
    </i>
    <i r="1">
      <x v="2462"/>
    </i>
    <i r="1">
      <x v="2463"/>
    </i>
    <i r="1">
      <x v="2464"/>
    </i>
    <i r="1">
      <x v="2465"/>
    </i>
    <i r="1">
      <x v="2466"/>
    </i>
    <i r="1">
      <x v="2467"/>
    </i>
    <i r="1">
      <x v="2468"/>
    </i>
    <i r="1">
      <x v="2469"/>
    </i>
    <i r="1">
      <x v="2470"/>
    </i>
    <i r="1">
      <x v="2471"/>
    </i>
    <i r="1">
      <x v="2472"/>
    </i>
    <i r="1">
      <x v="2473"/>
    </i>
    <i r="1">
      <x v="2474"/>
    </i>
    <i r="1">
      <x v="2475"/>
    </i>
    <i r="1">
      <x v="2476"/>
    </i>
    <i r="1">
      <x v="2477"/>
    </i>
    <i r="1">
      <x v="2478"/>
    </i>
    <i r="1">
      <x v="2479"/>
    </i>
    <i r="1">
      <x v="2480"/>
    </i>
    <i r="1">
      <x v="2481"/>
    </i>
    <i r="1">
      <x v="2482"/>
    </i>
    <i r="1">
      <x v="2483"/>
    </i>
    <i r="1">
      <x v="2484"/>
    </i>
    <i r="1">
      <x v="2485"/>
    </i>
    <i r="1">
      <x v="2486"/>
    </i>
    <i r="1">
      <x v="2487"/>
    </i>
    <i r="1">
      <x v="2488"/>
    </i>
    <i r="1">
      <x v="2489"/>
    </i>
    <i r="1">
      <x v="2490"/>
    </i>
    <i r="1">
      <x v="2491"/>
    </i>
    <i r="1">
      <x v="2492"/>
    </i>
    <i r="1">
      <x v="2493"/>
    </i>
    <i r="1">
      <x v="2494"/>
    </i>
    <i r="1">
      <x v="2495"/>
    </i>
    <i r="1">
      <x v="2496"/>
    </i>
    <i r="1">
      <x v="2497"/>
    </i>
    <i r="1">
      <x v="2498"/>
    </i>
    <i r="1">
      <x v="2499"/>
    </i>
    <i r="1">
      <x v="2500"/>
    </i>
    <i r="1">
      <x v="2501"/>
    </i>
    <i r="1">
      <x v="2502"/>
    </i>
    <i r="1">
      <x v="2503"/>
    </i>
    <i r="1">
      <x v="2504"/>
    </i>
    <i r="1">
      <x v="2505"/>
    </i>
    <i r="1">
      <x v="2506"/>
    </i>
    <i r="1">
      <x v="2507"/>
    </i>
    <i r="1">
      <x v="2508"/>
    </i>
    <i r="1">
      <x v="2509"/>
    </i>
    <i r="1">
      <x v="2510"/>
    </i>
    <i r="1">
      <x v="2511"/>
    </i>
    <i r="1">
      <x v="2512"/>
    </i>
    <i r="1">
      <x v="2513"/>
    </i>
    <i r="1">
      <x v="2514"/>
    </i>
    <i r="1">
      <x v="2515"/>
    </i>
    <i r="1">
      <x v="2516"/>
    </i>
    <i r="1">
      <x v="2517"/>
    </i>
    <i r="1">
      <x v="2518"/>
    </i>
    <i r="1">
      <x v="2519"/>
    </i>
    <i r="1">
      <x v="2520"/>
    </i>
    <i r="1">
      <x v="2521"/>
    </i>
    <i r="1">
      <x v="2522"/>
    </i>
    <i r="1">
      <x v="2523"/>
    </i>
    <i r="1">
      <x v="2524"/>
    </i>
    <i r="1">
      <x v="2525"/>
    </i>
    <i r="1">
      <x v="2526"/>
    </i>
    <i r="1">
      <x v="2527"/>
    </i>
    <i r="1">
      <x v="2528"/>
    </i>
    <i r="1">
      <x v="2529"/>
    </i>
    <i r="1">
      <x v="2530"/>
    </i>
    <i r="1">
      <x v="2531"/>
    </i>
    <i r="1">
      <x v="2532"/>
    </i>
    <i r="1">
      <x v="2533"/>
    </i>
    <i r="1">
      <x v="2534"/>
    </i>
    <i r="1">
      <x v="2535"/>
    </i>
    <i r="1">
      <x v="2536"/>
    </i>
    <i r="1">
      <x v="2537"/>
    </i>
    <i r="1">
      <x v="2538"/>
    </i>
    <i r="1">
      <x v="2539"/>
    </i>
    <i r="1">
      <x v="2540"/>
    </i>
    <i r="1">
      <x v="2541"/>
    </i>
    <i r="1">
      <x v="2542"/>
    </i>
    <i r="1">
      <x v="2543"/>
    </i>
    <i r="1">
      <x v="2544"/>
    </i>
    <i r="1">
      <x v="2545"/>
    </i>
    <i r="1">
      <x v="2546"/>
    </i>
    <i r="1">
      <x v="2547"/>
    </i>
    <i r="1">
      <x v="2548"/>
    </i>
    <i r="1">
      <x v="2549"/>
    </i>
    <i r="1">
      <x v="2550"/>
    </i>
    <i r="1">
      <x v="2551"/>
    </i>
    <i r="1">
      <x v="2552"/>
    </i>
    <i r="1">
      <x v="2553"/>
    </i>
    <i r="1">
      <x v="2554"/>
    </i>
    <i r="1">
      <x v="2555"/>
    </i>
    <i r="1">
      <x v="2556"/>
    </i>
    <i r="1">
      <x v="2557"/>
    </i>
    <i r="1">
      <x v="2558"/>
    </i>
    <i r="1">
      <x v="2559"/>
    </i>
    <i r="1">
      <x v="2560"/>
    </i>
    <i r="1">
      <x v="2561"/>
    </i>
    <i r="1">
      <x v="2562"/>
    </i>
    <i r="1">
      <x v="2563"/>
    </i>
    <i r="1">
      <x v="2564"/>
    </i>
    <i r="1">
      <x v="2565"/>
    </i>
    <i r="1">
      <x v="2566"/>
    </i>
    <i r="1">
      <x v="2567"/>
    </i>
    <i r="1">
      <x v="2568"/>
    </i>
    <i r="1">
      <x v="2569"/>
    </i>
    <i r="1">
      <x v="2570"/>
    </i>
    <i r="1">
      <x v="2571"/>
    </i>
    <i r="1">
      <x v="2572"/>
    </i>
    <i r="1">
      <x v="2573"/>
    </i>
    <i r="1">
      <x v="2574"/>
    </i>
    <i r="1">
      <x v="2575"/>
    </i>
    <i r="1">
      <x v="2576"/>
    </i>
    <i r="1">
      <x v="2577"/>
    </i>
    <i r="1">
      <x v="2578"/>
    </i>
    <i r="1">
      <x v="2579"/>
    </i>
    <i r="1">
      <x v="2580"/>
    </i>
    <i r="1">
      <x v="2581"/>
    </i>
    <i r="1">
      <x v="2582"/>
    </i>
    <i r="1">
      <x v="2583"/>
    </i>
    <i r="1">
      <x v="2584"/>
    </i>
    <i r="1">
      <x v="2585"/>
    </i>
    <i r="1">
      <x v="2586"/>
    </i>
    <i r="1">
      <x v="2587"/>
    </i>
    <i r="1">
      <x v="2588"/>
    </i>
    <i r="1">
      <x v="2589"/>
    </i>
    <i r="1">
      <x v="2590"/>
    </i>
    <i r="1">
      <x v="2591"/>
    </i>
    <i r="1">
      <x v="2592"/>
    </i>
    <i r="1">
      <x v="2593"/>
    </i>
    <i r="1">
      <x v="2594"/>
    </i>
    <i r="1">
      <x v="2595"/>
    </i>
    <i r="1">
      <x v="2596"/>
    </i>
    <i r="1">
      <x v="2597"/>
    </i>
    <i r="1">
      <x v="2598"/>
    </i>
    <i r="1">
      <x v="2599"/>
    </i>
    <i r="1">
      <x v="2600"/>
    </i>
    <i r="1">
      <x v="2601"/>
    </i>
    <i r="1">
      <x v="2602"/>
    </i>
    <i r="1">
      <x v="2603"/>
    </i>
    <i r="1">
      <x v="2604"/>
    </i>
    <i r="1">
      <x v="2605"/>
    </i>
    <i r="1">
      <x v="2606"/>
    </i>
    <i r="1">
      <x v="2607"/>
    </i>
    <i r="1">
      <x v="2608"/>
    </i>
    <i r="1">
      <x v="2609"/>
    </i>
    <i r="1">
      <x v="2610"/>
    </i>
    <i r="1">
      <x v="2611"/>
    </i>
    <i r="1">
      <x v="2612"/>
    </i>
    <i r="1">
      <x v="2613"/>
    </i>
    <i r="1">
      <x v="2614"/>
    </i>
    <i r="1">
      <x v="2615"/>
    </i>
    <i r="1">
      <x v="2616"/>
    </i>
    <i r="1">
      <x v="2617"/>
    </i>
    <i r="1">
      <x v="2618"/>
    </i>
    <i r="1">
      <x v="2619"/>
    </i>
    <i r="1">
      <x v="2620"/>
    </i>
    <i r="1">
      <x v="2621"/>
    </i>
    <i r="1">
      <x v="2622"/>
    </i>
    <i r="1">
      <x v="2623"/>
    </i>
    <i r="1">
      <x v="2624"/>
    </i>
    <i r="1">
      <x v="2625"/>
    </i>
    <i r="1">
      <x v="2626"/>
    </i>
    <i r="1">
      <x v="2627"/>
    </i>
    <i r="1">
      <x v="2628"/>
    </i>
    <i r="1">
      <x v="2629"/>
    </i>
    <i r="1">
      <x v="2630"/>
    </i>
    <i r="1">
      <x v="2631"/>
    </i>
    <i r="1">
      <x v="2632"/>
    </i>
    <i r="1">
      <x v="2633"/>
    </i>
    <i r="1">
      <x v="2634"/>
    </i>
    <i r="1">
      <x v="2635"/>
    </i>
    <i r="1">
      <x v="2636"/>
    </i>
    <i r="1">
      <x v="2637"/>
    </i>
    <i r="1">
      <x v="2638"/>
    </i>
    <i r="1">
      <x v="2639"/>
    </i>
    <i r="1">
      <x v="2640"/>
    </i>
    <i r="1">
      <x v="2641"/>
    </i>
    <i r="1">
      <x v="2642"/>
    </i>
    <i r="1">
      <x v="2643"/>
    </i>
    <i r="1">
      <x v="2644"/>
    </i>
    <i r="1">
      <x v="2645"/>
    </i>
    <i r="1">
      <x v="2646"/>
    </i>
    <i r="1">
      <x v="2647"/>
    </i>
    <i r="1">
      <x v="2648"/>
    </i>
    <i r="1">
      <x v="2649"/>
    </i>
    <i r="1">
      <x v="2650"/>
    </i>
    <i r="1">
      <x v="2651"/>
    </i>
    <i r="1">
      <x v="2652"/>
    </i>
    <i r="1">
      <x v="2653"/>
    </i>
    <i r="1">
      <x v="2654"/>
    </i>
    <i r="1">
      <x v="2655"/>
    </i>
    <i r="1">
      <x v="2656"/>
    </i>
    <i r="1">
      <x v="2657"/>
    </i>
    <i r="1">
      <x v="2658"/>
    </i>
    <i r="1">
      <x v="2659"/>
    </i>
    <i r="1">
      <x v="2660"/>
    </i>
    <i r="1">
      <x v="2661"/>
    </i>
    <i r="1">
      <x v="2662"/>
    </i>
    <i r="1">
      <x v="2663"/>
    </i>
    <i r="1">
      <x v="2664"/>
    </i>
    <i r="1">
      <x v="2665"/>
    </i>
    <i r="1">
      <x v="2666"/>
    </i>
    <i r="1">
      <x v="2667"/>
    </i>
    <i r="1">
      <x v="2668"/>
    </i>
    <i r="1">
      <x v="2669"/>
    </i>
    <i r="1">
      <x v="2670"/>
    </i>
    <i r="1">
      <x v="2671"/>
    </i>
    <i r="1">
      <x v="2672"/>
    </i>
    <i r="1">
      <x v="2673"/>
    </i>
    <i r="1">
      <x v="2674"/>
    </i>
    <i r="1">
      <x v="2675"/>
    </i>
    <i r="1">
      <x v="2676"/>
    </i>
    <i r="1">
      <x v="2677"/>
    </i>
    <i r="1">
      <x v="2678"/>
    </i>
    <i r="1">
      <x v="2679"/>
    </i>
    <i r="1">
      <x v="2680"/>
    </i>
    <i r="1">
      <x v="2681"/>
    </i>
    <i r="1">
      <x v="2682"/>
    </i>
    <i r="1">
      <x v="2683"/>
    </i>
    <i r="1">
      <x v="2684"/>
    </i>
    <i r="1">
      <x v="2685"/>
    </i>
    <i r="1">
      <x v="2686"/>
    </i>
    <i r="1">
      <x v="2687"/>
    </i>
    <i r="1">
      <x v="2688"/>
    </i>
    <i r="1">
      <x v="2689"/>
    </i>
    <i r="1">
      <x v="2690"/>
    </i>
    <i r="1">
      <x v="2691"/>
    </i>
    <i r="1">
      <x v="2692"/>
    </i>
    <i r="1">
      <x v="2693"/>
    </i>
    <i r="1">
      <x v="2694"/>
    </i>
    <i r="1">
      <x v="2695"/>
    </i>
    <i r="1">
      <x v="2696"/>
    </i>
    <i r="1">
      <x v="2697"/>
    </i>
    <i r="1">
      <x v="2698"/>
    </i>
    <i r="1">
      <x v="2699"/>
    </i>
    <i r="1">
      <x v="2700"/>
    </i>
    <i r="1">
      <x v="2701"/>
    </i>
    <i r="1">
      <x v="2702"/>
    </i>
    <i r="1">
      <x v="2703"/>
    </i>
    <i r="1">
      <x v="2704"/>
    </i>
    <i r="1">
      <x v="2705"/>
    </i>
    <i r="1">
      <x v="2706"/>
    </i>
    <i r="1">
      <x v="2707"/>
    </i>
    <i r="1">
      <x v="2708"/>
    </i>
    <i r="1">
      <x v="2709"/>
    </i>
    <i r="1">
      <x v="2710"/>
    </i>
    <i r="1">
      <x v="2711"/>
    </i>
    <i r="1">
      <x v="2712"/>
    </i>
    <i r="1">
      <x v="2713"/>
    </i>
    <i r="1">
      <x v="2714"/>
    </i>
    <i r="1">
      <x v="2715"/>
    </i>
    <i r="1">
      <x v="2716"/>
    </i>
    <i r="1">
      <x v="2717"/>
    </i>
    <i r="1">
      <x v="2718"/>
    </i>
    <i r="1">
      <x v="2719"/>
    </i>
    <i r="1">
      <x v="2720"/>
    </i>
    <i r="1">
      <x v="2721"/>
    </i>
    <i r="1">
      <x v="2722"/>
    </i>
    <i r="1">
      <x v="2723"/>
    </i>
    <i r="1">
      <x v="2724"/>
    </i>
    <i r="1">
      <x v="2725"/>
    </i>
    <i r="1">
      <x v="2726"/>
    </i>
    <i r="1">
      <x v="2727"/>
    </i>
    <i r="1">
      <x v="2728"/>
    </i>
    <i r="1">
      <x v="2729"/>
    </i>
    <i r="1">
      <x v="2730"/>
    </i>
    <i r="1">
      <x v="2731"/>
    </i>
    <i r="1">
      <x v="2732"/>
    </i>
    <i r="1">
      <x v="2733"/>
    </i>
    <i r="1">
      <x v="2734"/>
    </i>
    <i r="1">
      <x v="2735"/>
    </i>
    <i r="1">
      <x v="2736"/>
    </i>
    <i r="1">
      <x v="2737"/>
    </i>
    <i r="1">
      <x v="2738"/>
    </i>
    <i r="1">
      <x v="2739"/>
    </i>
    <i r="1">
      <x v="2740"/>
    </i>
    <i r="1">
      <x v="2741"/>
    </i>
    <i r="1">
      <x v="2742"/>
    </i>
    <i r="1">
      <x v="2743"/>
    </i>
    <i r="1">
      <x v="2744"/>
    </i>
    <i r="1">
      <x v="2745"/>
    </i>
    <i r="1">
      <x v="2746"/>
    </i>
    <i r="1">
      <x v="2747"/>
    </i>
    <i r="1">
      <x v="2748"/>
    </i>
    <i r="1">
      <x v="2749"/>
    </i>
    <i r="1">
      <x v="2750"/>
    </i>
    <i r="1">
      <x v="2751"/>
    </i>
    <i r="1">
      <x v="2752"/>
    </i>
    <i r="1">
      <x v="2753"/>
    </i>
    <i r="1">
      <x v="2754"/>
    </i>
    <i r="1">
      <x v="2755"/>
    </i>
    <i r="1">
      <x v="2756"/>
    </i>
    <i r="1">
      <x v="2757"/>
    </i>
    <i r="1">
      <x v="2758"/>
    </i>
    <i r="1">
      <x v="2759"/>
    </i>
    <i r="1">
      <x v="2760"/>
    </i>
    <i r="1">
      <x v="2761"/>
    </i>
    <i r="1">
      <x v="2762"/>
    </i>
    <i r="1">
      <x v="2763"/>
    </i>
    <i r="1">
      <x v="2764"/>
    </i>
    <i r="1">
      <x v="2765"/>
    </i>
    <i r="1">
      <x v="2766"/>
    </i>
    <i r="1">
      <x v="2767"/>
    </i>
    <i r="1">
      <x v="2768"/>
    </i>
    <i r="1">
      <x v="2769"/>
    </i>
    <i r="1">
      <x v="2770"/>
    </i>
    <i r="1">
      <x v="2771"/>
    </i>
    <i r="1">
      <x v="2772"/>
    </i>
    <i r="1">
      <x v="2773"/>
    </i>
    <i r="1">
      <x v="2774"/>
    </i>
    <i r="1">
      <x v="2775"/>
    </i>
    <i r="1">
      <x v="2776"/>
    </i>
    <i r="1">
      <x v="2777"/>
    </i>
    <i r="1">
      <x v="2778"/>
    </i>
    <i r="1">
      <x v="2779"/>
    </i>
    <i r="1">
      <x v="2780"/>
    </i>
    <i r="1">
      <x v="2781"/>
    </i>
    <i r="1">
      <x v="2782"/>
    </i>
    <i r="1">
      <x v="2783"/>
    </i>
    <i r="1">
      <x v="2784"/>
    </i>
    <i r="1">
      <x v="2785"/>
    </i>
    <i r="1">
      <x v="2786"/>
    </i>
    <i r="1">
      <x v="2787"/>
    </i>
    <i r="1">
      <x v="2788"/>
    </i>
    <i r="1">
      <x v="2789"/>
    </i>
    <i r="1">
      <x v="2790"/>
    </i>
    <i r="1">
      <x v="2791"/>
    </i>
    <i r="1">
      <x v="2792"/>
    </i>
    <i r="1">
      <x v="2793"/>
    </i>
    <i r="1">
      <x v="2794"/>
    </i>
    <i r="1">
      <x v="2795"/>
    </i>
    <i r="1">
      <x v="2796"/>
    </i>
    <i r="1">
      <x v="2797"/>
    </i>
    <i r="1">
      <x v="2798"/>
    </i>
    <i r="1">
      <x v="2799"/>
    </i>
    <i r="1">
      <x v="2800"/>
    </i>
    <i r="1">
      <x v="2801"/>
    </i>
    <i r="1">
      <x v="2802"/>
    </i>
    <i r="1">
      <x v="2803"/>
    </i>
    <i r="1">
      <x v="2804"/>
    </i>
    <i r="1">
      <x v="2805"/>
    </i>
    <i r="1">
      <x v="2806"/>
    </i>
    <i r="1">
      <x v="2807"/>
    </i>
    <i r="1">
      <x v="2808"/>
    </i>
    <i r="1">
      <x v="2809"/>
    </i>
    <i r="1">
      <x v="2810"/>
    </i>
    <i r="1">
      <x v="2811"/>
    </i>
    <i r="1">
      <x v="2812"/>
    </i>
    <i r="1">
      <x v="2813"/>
    </i>
    <i r="1">
      <x v="2814"/>
    </i>
    <i r="1">
      <x v="2815"/>
    </i>
    <i r="1">
      <x v="2816"/>
    </i>
    <i r="1">
      <x v="2817"/>
    </i>
    <i r="1">
      <x v="2818"/>
    </i>
    <i r="1">
      <x v="2819"/>
    </i>
    <i r="1">
      <x v="2820"/>
    </i>
    <i r="1">
      <x v="2821"/>
    </i>
    <i r="1">
      <x v="2822"/>
    </i>
    <i r="1">
      <x v="2823"/>
    </i>
    <i r="1">
      <x v="2824"/>
    </i>
    <i r="1">
      <x v="2825"/>
    </i>
    <i r="1">
      <x v="2826"/>
    </i>
    <i r="1">
      <x v="2827"/>
    </i>
    <i r="1">
      <x v="2828"/>
    </i>
    <i r="1">
      <x v="2829"/>
    </i>
    <i r="1">
      <x v="2830"/>
    </i>
    <i r="1">
      <x v="2831"/>
    </i>
    <i r="1">
      <x v="2832"/>
    </i>
    <i r="1">
      <x v="2833"/>
    </i>
    <i r="1">
      <x v="2834"/>
    </i>
    <i r="1">
      <x v="2835"/>
    </i>
    <i r="1">
      <x v="2836"/>
    </i>
    <i r="1">
      <x v="2837"/>
    </i>
    <i r="1">
      <x v="2838"/>
    </i>
    <i r="1">
      <x v="2839"/>
    </i>
    <i r="1">
      <x v="2840"/>
    </i>
    <i r="1">
      <x v="2841"/>
    </i>
    <i r="1">
      <x v="2842"/>
    </i>
    <i r="1">
      <x v="2843"/>
    </i>
    <i r="1">
      <x v="2844"/>
    </i>
    <i r="1">
      <x v="2845"/>
    </i>
    <i r="1">
      <x v="2846"/>
    </i>
    <i r="1">
      <x v="2847"/>
    </i>
    <i r="1">
      <x v="2848"/>
    </i>
    <i r="1">
      <x v="2849"/>
    </i>
    <i r="1">
      <x v="2850"/>
    </i>
    <i r="1">
      <x v="2851"/>
    </i>
    <i r="1">
      <x v="2852"/>
    </i>
    <i r="1">
      <x v="2853"/>
    </i>
    <i r="1">
      <x v="2854"/>
    </i>
    <i r="1">
      <x v="2855"/>
    </i>
    <i r="1">
      <x v="2856"/>
    </i>
    <i r="1">
      <x v="2857"/>
    </i>
    <i r="1">
      <x v="2858"/>
    </i>
    <i r="1">
      <x v="2859"/>
    </i>
    <i r="1">
      <x v="2860"/>
    </i>
    <i r="1">
      <x v="2861"/>
    </i>
    <i r="1">
      <x v="2862"/>
    </i>
    <i r="1">
      <x v="2863"/>
    </i>
    <i r="1">
      <x v="2864"/>
    </i>
    <i r="1">
      <x v="2865"/>
    </i>
    <i r="1">
      <x v="2866"/>
    </i>
    <i r="1">
      <x v="2867"/>
    </i>
    <i r="1">
      <x v="2868"/>
    </i>
    <i r="1">
      <x v="2869"/>
    </i>
    <i r="1">
      <x v="2870"/>
    </i>
    <i r="1">
      <x v="2871"/>
    </i>
    <i r="1">
      <x v="2872"/>
    </i>
    <i r="1">
      <x v="2873"/>
    </i>
    <i r="1">
      <x v="2874"/>
    </i>
    <i r="1">
      <x v="2875"/>
    </i>
    <i r="1">
      <x v="2876"/>
    </i>
    <i r="1">
      <x v="2877"/>
    </i>
    <i r="1">
      <x v="2878"/>
    </i>
    <i r="1">
      <x v="2879"/>
    </i>
    <i r="1">
      <x v="2880"/>
    </i>
    <i r="1">
      <x v="2881"/>
    </i>
    <i r="1">
      <x v="2882"/>
    </i>
    <i r="1">
      <x v="2883"/>
    </i>
    <i r="1">
      <x v="2884"/>
    </i>
    <i r="1">
      <x v="2885"/>
    </i>
    <i r="1">
      <x v="2886"/>
    </i>
    <i r="1">
      <x v="2887"/>
    </i>
    <i r="1">
      <x v="2888"/>
    </i>
    <i r="1">
      <x v="2889"/>
    </i>
    <i r="1">
      <x v="2890"/>
    </i>
    <i r="1">
      <x v="2891"/>
    </i>
    <i r="1">
      <x v="2892"/>
    </i>
    <i r="1">
      <x v="2893"/>
    </i>
    <i r="1">
      <x v="2894"/>
    </i>
    <i r="1">
      <x v="2895"/>
    </i>
    <i r="1">
      <x v="2896"/>
    </i>
    <i r="1">
      <x v="2897"/>
    </i>
    <i r="1">
      <x v="2898"/>
    </i>
    <i r="1">
      <x v="2899"/>
    </i>
    <i r="1">
      <x v="2900"/>
    </i>
    <i r="1">
      <x v="2901"/>
    </i>
    <i r="1">
      <x v="2902"/>
    </i>
    <i r="1">
      <x v="2903"/>
    </i>
    <i r="1">
      <x v="2904"/>
    </i>
    <i r="1">
      <x v="2905"/>
    </i>
    <i r="1">
      <x v="2906"/>
    </i>
    <i r="1">
      <x v="2907"/>
    </i>
    <i r="1">
      <x v="2908"/>
    </i>
    <i r="1">
      <x v="2909"/>
    </i>
    <i r="1">
      <x v="2910"/>
    </i>
    <i r="1">
      <x v="2911"/>
    </i>
    <i r="1">
      <x v="2912"/>
    </i>
    <i r="1">
      <x v="2913"/>
    </i>
    <i r="1">
      <x v="2914"/>
    </i>
    <i r="1">
      <x v="2915"/>
    </i>
    <i r="1">
      <x v="2916"/>
    </i>
    <i r="1">
      <x v="2917"/>
    </i>
    <i r="1">
      <x v="2918"/>
    </i>
    <i r="1">
      <x v="2919"/>
    </i>
    <i r="1">
      <x v="2920"/>
    </i>
    <i r="1">
      <x v="2921"/>
    </i>
    <i r="1">
      <x v="2922"/>
    </i>
    <i r="1">
      <x v="2923"/>
    </i>
    <i r="1">
      <x v="2924"/>
    </i>
    <i r="1">
      <x v="2925"/>
    </i>
    <i r="1">
      <x v="2926"/>
    </i>
    <i r="1">
      <x v="2927"/>
    </i>
    <i r="1">
      <x v="2928"/>
    </i>
    <i r="1">
      <x v="2929"/>
    </i>
    <i r="1">
      <x v="2930"/>
    </i>
    <i r="1">
      <x v="2931"/>
    </i>
    <i r="1">
      <x v="2932"/>
    </i>
    <i r="1">
      <x v="2933"/>
    </i>
    <i r="1">
      <x v="2934"/>
    </i>
    <i r="1">
      <x v="2935"/>
    </i>
    <i r="1">
      <x v="2936"/>
    </i>
    <i r="1">
      <x v="2937"/>
    </i>
    <i r="1">
      <x v="2938"/>
    </i>
    <i r="1">
      <x v="2939"/>
    </i>
    <i r="1">
      <x v="2940"/>
    </i>
    <i r="1">
      <x v="2941"/>
    </i>
    <i r="1">
      <x v="2942"/>
    </i>
    <i r="1">
      <x v="2943"/>
    </i>
    <i r="1">
      <x v="2944"/>
    </i>
    <i r="1">
      <x v="2945"/>
    </i>
    <i r="1">
      <x v="2946"/>
    </i>
    <i r="1">
      <x v="2947"/>
    </i>
    <i r="1">
      <x v="2948"/>
    </i>
    <i r="1">
      <x v="2949"/>
    </i>
    <i r="1">
      <x v="2950"/>
    </i>
    <i r="1">
      <x v="2951"/>
    </i>
    <i r="1">
      <x v="2952"/>
    </i>
    <i r="1">
      <x v="2953"/>
    </i>
    <i r="1">
      <x v="2954"/>
    </i>
    <i r="1">
      <x v="2955"/>
    </i>
    <i r="1">
      <x v="2956"/>
    </i>
    <i r="1">
      <x v="2957"/>
    </i>
    <i r="1">
      <x v="2958"/>
    </i>
    <i r="1">
      <x v="2959"/>
    </i>
    <i r="1">
      <x v="2960"/>
    </i>
    <i r="1">
      <x v="2961"/>
    </i>
    <i r="1">
      <x v="2962"/>
    </i>
    <i r="1">
      <x v="2963"/>
    </i>
    <i r="1">
      <x v="2964"/>
    </i>
    <i r="1">
      <x v="2965"/>
    </i>
    <i r="1">
      <x v="2966"/>
    </i>
    <i r="1">
      <x v="2967"/>
    </i>
    <i r="1">
      <x v="2968"/>
    </i>
    <i r="1">
      <x v="2969"/>
    </i>
    <i r="1">
      <x v="2970"/>
    </i>
    <i r="1">
      <x v="2971"/>
    </i>
    <i r="1">
      <x v="2972"/>
    </i>
    <i r="1">
      <x v="2973"/>
    </i>
    <i r="1">
      <x v="2974"/>
    </i>
    <i r="1">
      <x v="2975"/>
    </i>
    <i r="1">
      <x v="2976"/>
    </i>
    <i r="1">
      <x v="2977"/>
    </i>
    <i r="1">
      <x v="2978"/>
    </i>
    <i r="1">
      <x v="2979"/>
    </i>
    <i r="1">
      <x v="2980"/>
    </i>
    <i r="1">
      <x v="2981"/>
    </i>
    <i r="1">
      <x v="2982"/>
    </i>
    <i r="1">
      <x v="2983"/>
    </i>
    <i r="1">
      <x v="2984"/>
    </i>
    <i r="1">
      <x v="2985"/>
    </i>
    <i r="1">
      <x v="2986"/>
    </i>
    <i r="1">
      <x v="2987"/>
    </i>
    <i r="1">
      <x v="2988"/>
    </i>
    <i r="1">
      <x v="2989"/>
    </i>
    <i r="1">
      <x v="2990"/>
    </i>
    <i r="1">
      <x v="2991"/>
    </i>
    <i r="1">
      <x v="2992"/>
    </i>
    <i r="1">
      <x v="2993"/>
    </i>
    <i r="1">
      <x v="2994"/>
    </i>
    <i r="1">
      <x v="2995"/>
    </i>
    <i r="1">
      <x v="2996"/>
    </i>
    <i r="1">
      <x v="2997"/>
    </i>
    <i r="1">
      <x v="2998"/>
    </i>
    <i r="1">
      <x v="2999"/>
    </i>
    <i r="1">
      <x v="3000"/>
    </i>
    <i r="1">
      <x v="3001"/>
    </i>
    <i r="1">
      <x v="3002"/>
    </i>
    <i r="1">
      <x v="3003"/>
    </i>
    <i r="1">
      <x v="3004"/>
    </i>
    <i r="1">
      <x v="3005"/>
    </i>
    <i r="1">
      <x v="3006"/>
    </i>
    <i r="1">
      <x v="3007"/>
    </i>
    <i r="1">
      <x v="3008"/>
    </i>
    <i r="1">
      <x v="3009"/>
    </i>
    <i r="1">
      <x v="3010"/>
    </i>
    <i r="1">
      <x v="3011"/>
    </i>
    <i r="1">
      <x v="3012"/>
    </i>
    <i r="1">
      <x v="3013"/>
    </i>
    <i r="1">
      <x v="3014"/>
    </i>
    <i r="1">
      <x v="3015"/>
    </i>
    <i r="1">
      <x v="3016"/>
    </i>
    <i r="1">
      <x v="3017"/>
    </i>
    <i r="1">
      <x v="3018"/>
    </i>
    <i r="1">
      <x v="3019"/>
    </i>
    <i r="1">
      <x v="3020"/>
    </i>
    <i r="1">
      <x v="3021"/>
    </i>
    <i r="1">
      <x v="3022"/>
    </i>
    <i r="1">
      <x v="3023"/>
    </i>
    <i r="1">
      <x v="3024"/>
    </i>
    <i r="1">
      <x v="3025"/>
    </i>
    <i r="1">
      <x v="3026"/>
    </i>
    <i r="1">
      <x v="3027"/>
    </i>
    <i r="1">
      <x v="3028"/>
    </i>
    <i r="1">
      <x v="3029"/>
    </i>
    <i r="1">
      <x v="3030"/>
    </i>
    <i r="1">
      <x v="3031"/>
    </i>
    <i r="1">
      <x v="3032"/>
    </i>
    <i r="1">
      <x v="3033"/>
    </i>
    <i r="1">
      <x v="3034"/>
    </i>
    <i r="1">
      <x v="3035"/>
    </i>
    <i r="1">
      <x v="3036"/>
    </i>
    <i r="1">
      <x v="3037"/>
    </i>
    <i r="1">
      <x v="3038"/>
    </i>
    <i r="1">
      <x v="3039"/>
    </i>
    <i r="1">
      <x v="3040"/>
    </i>
    <i r="1">
      <x v="3041"/>
    </i>
    <i r="1">
      <x v="3042"/>
    </i>
    <i r="1">
      <x v="3043"/>
    </i>
    <i r="1">
      <x v="3044"/>
    </i>
    <i r="1">
      <x v="3045"/>
    </i>
    <i r="1">
      <x v="3046"/>
    </i>
    <i r="1">
      <x v="3047"/>
    </i>
    <i r="1">
      <x v="3048"/>
    </i>
    <i r="1">
      <x v="3049"/>
    </i>
    <i r="1">
      <x v="3050"/>
    </i>
    <i r="1">
      <x v="3051"/>
    </i>
    <i r="1">
      <x v="3052"/>
    </i>
    <i r="1">
      <x v="3053"/>
    </i>
    <i r="1">
      <x v="3054"/>
    </i>
    <i r="1">
      <x v="3055"/>
    </i>
    <i r="1">
      <x v="3056"/>
    </i>
    <i r="1">
      <x v="3057"/>
    </i>
    <i r="1">
      <x v="3058"/>
    </i>
    <i r="1">
      <x v="3059"/>
    </i>
    <i r="1">
      <x v="3060"/>
    </i>
    <i r="1">
      <x v="3061"/>
    </i>
    <i r="1">
      <x v="3062"/>
    </i>
    <i r="1">
      <x v="3063"/>
    </i>
    <i r="1">
      <x v="3064"/>
    </i>
    <i r="1">
      <x v="3065"/>
    </i>
    <i r="1">
      <x v="3066"/>
    </i>
    <i r="1">
      <x v="3067"/>
    </i>
    <i r="1">
      <x v="3068"/>
    </i>
    <i r="1">
      <x v="3069"/>
    </i>
    <i r="1">
      <x v="3070"/>
    </i>
    <i r="1">
      <x v="3071"/>
    </i>
    <i r="1">
      <x v="3072"/>
    </i>
    <i r="1">
      <x v="3073"/>
    </i>
    <i r="1">
      <x v="3074"/>
    </i>
    <i r="1">
      <x v="3075"/>
    </i>
    <i r="1">
      <x v="3076"/>
    </i>
    <i r="1">
      <x v="3077"/>
    </i>
    <i r="1">
      <x v="3078"/>
    </i>
    <i r="1">
      <x v="3079"/>
    </i>
    <i r="1">
      <x v="3080"/>
    </i>
    <i r="1">
      <x v="3081"/>
    </i>
    <i r="1">
      <x v="3082"/>
    </i>
    <i r="1">
      <x v="3083"/>
    </i>
    <i r="1">
      <x v="3084"/>
    </i>
    <i r="1">
      <x v="3085"/>
    </i>
    <i r="1">
      <x v="3086"/>
    </i>
    <i r="1">
      <x v="3087"/>
    </i>
    <i r="1">
      <x v="3088"/>
    </i>
    <i r="1">
      <x v="3089"/>
    </i>
    <i r="1">
      <x v="3090"/>
    </i>
    <i r="1">
      <x v="3091"/>
    </i>
    <i r="1">
      <x v="3092"/>
    </i>
    <i r="1">
      <x v="3093"/>
    </i>
    <i r="1">
      <x v="3094"/>
    </i>
    <i r="1">
      <x v="3095"/>
    </i>
    <i r="1">
      <x v="3096"/>
    </i>
    <i r="1">
      <x v="3097"/>
    </i>
    <i r="1">
      <x v="3098"/>
    </i>
    <i r="1">
      <x v="3099"/>
    </i>
    <i r="1">
      <x v="3100"/>
    </i>
    <i r="1">
      <x v="3101"/>
    </i>
    <i r="1">
      <x v="3102"/>
    </i>
    <i r="1">
      <x v="3103"/>
    </i>
    <i r="1">
      <x v="3104"/>
    </i>
    <i r="1">
      <x v="3105"/>
    </i>
    <i r="1">
      <x v="3106"/>
    </i>
    <i r="1">
      <x v="3107"/>
    </i>
    <i r="1">
      <x v="3108"/>
    </i>
    <i r="1">
      <x v="3109"/>
    </i>
    <i r="1">
      <x v="3110"/>
    </i>
    <i r="1">
      <x v="3111"/>
    </i>
    <i r="1">
      <x v="3112"/>
    </i>
    <i r="1">
      <x v="3113"/>
    </i>
    <i r="1">
      <x v="3114"/>
    </i>
    <i r="1">
      <x v="3115"/>
    </i>
    <i r="1">
      <x v="3116"/>
    </i>
    <i r="1">
      <x v="3117"/>
    </i>
    <i r="1">
      <x v="3118"/>
    </i>
    <i r="1">
      <x v="3119"/>
    </i>
    <i r="1">
      <x v="3120"/>
    </i>
    <i r="1">
      <x v="3121"/>
    </i>
    <i r="1">
      <x v="3122"/>
    </i>
    <i r="1">
      <x v="3123"/>
    </i>
    <i r="1">
      <x v="3124"/>
    </i>
    <i r="1">
      <x v="3125"/>
    </i>
    <i r="1">
      <x v="3126"/>
    </i>
    <i r="1">
      <x v="3127"/>
    </i>
    <i r="1">
      <x v="3128"/>
    </i>
    <i r="1">
      <x v="3129"/>
    </i>
    <i r="1">
      <x v="3130"/>
    </i>
    <i r="1">
      <x v="3131"/>
    </i>
    <i r="1">
      <x v="3132"/>
    </i>
    <i r="1">
      <x v="3133"/>
    </i>
    <i r="1">
      <x v="3134"/>
    </i>
    <i r="1">
      <x v="3135"/>
    </i>
    <i r="1">
      <x v="3136"/>
    </i>
    <i r="1">
      <x v="3137"/>
    </i>
    <i r="1">
      <x v="3138"/>
    </i>
    <i r="1">
      <x v="3139"/>
    </i>
    <i r="1">
      <x v="3140"/>
    </i>
    <i r="1">
      <x v="3141"/>
    </i>
    <i r="1">
      <x v="3142"/>
    </i>
    <i r="1">
      <x v="3143"/>
    </i>
    <i r="1">
      <x v="3144"/>
    </i>
    <i r="1">
      <x v="3145"/>
    </i>
    <i r="1">
      <x v="3146"/>
    </i>
    <i r="1">
      <x v="3147"/>
    </i>
    <i r="1">
      <x v="3148"/>
    </i>
    <i r="1">
      <x v="3149"/>
    </i>
    <i r="1">
      <x v="3150"/>
    </i>
    <i r="1">
      <x v="3151"/>
    </i>
    <i r="1">
      <x v="3152"/>
    </i>
    <i r="1">
      <x v="3153"/>
    </i>
    <i r="1">
      <x v="3154"/>
    </i>
    <i r="1">
      <x v="3155"/>
    </i>
    <i r="1">
      <x v="3156"/>
    </i>
    <i r="1">
      <x v="3157"/>
    </i>
    <i r="1">
      <x v="3158"/>
    </i>
    <i r="1">
      <x v="3159"/>
    </i>
    <i r="1">
      <x v="3160"/>
    </i>
    <i r="1">
      <x v="3161"/>
    </i>
    <i r="1">
      <x v="3162"/>
    </i>
    <i r="1">
      <x v="3163"/>
    </i>
    <i r="1">
      <x v="3164"/>
    </i>
    <i r="1">
      <x v="3165"/>
    </i>
    <i r="1">
      <x v="3166"/>
    </i>
    <i r="1">
      <x v="3167"/>
    </i>
    <i r="1">
      <x v="3168"/>
    </i>
    <i r="1">
      <x v="3169"/>
    </i>
    <i r="1">
      <x v="3170"/>
    </i>
    <i r="1">
      <x v="3171"/>
    </i>
    <i r="1">
      <x v="3172"/>
    </i>
    <i r="1">
      <x v="3173"/>
    </i>
    <i r="1">
      <x v="3174"/>
    </i>
    <i r="1">
      <x v="3175"/>
    </i>
    <i r="1">
      <x v="3176"/>
    </i>
    <i r="1">
      <x v="3177"/>
    </i>
    <i r="1">
      <x v="3178"/>
    </i>
    <i r="1">
      <x v="3179"/>
    </i>
    <i r="1">
      <x v="3180"/>
    </i>
    <i r="1">
      <x v="3181"/>
    </i>
    <i r="1">
      <x v="3182"/>
    </i>
    <i r="1">
      <x v="3183"/>
    </i>
    <i r="1">
      <x v="3184"/>
    </i>
    <i r="1">
      <x v="3185"/>
    </i>
    <i r="1">
      <x v="3186"/>
    </i>
    <i r="1">
      <x v="3187"/>
    </i>
    <i r="1">
      <x v="3188"/>
    </i>
    <i r="1">
      <x v="3189"/>
    </i>
    <i r="1">
      <x v="3190"/>
    </i>
    <i r="1">
      <x v="3191"/>
    </i>
    <i r="1">
      <x v="3192"/>
    </i>
    <i r="1">
      <x v="3193"/>
    </i>
    <i r="1">
      <x v="3194"/>
    </i>
    <i r="1">
      <x v="3195"/>
    </i>
    <i r="1">
      <x v="3196"/>
    </i>
    <i r="1">
      <x v="3197"/>
    </i>
    <i r="1">
      <x v="3198"/>
    </i>
    <i r="1">
      <x v="3199"/>
    </i>
    <i r="1">
      <x v="3200"/>
    </i>
    <i r="1">
      <x v="3201"/>
    </i>
    <i r="1">
      <x v="3202"/>
    </i>
    <i r="1">
      <x v="3203"/>
    </i>
    <i r="1">
      <x v="3204"/>
    </i>
    <i r="1">
      <x v="3205"/>
    </i>
    <i r="1">
      <x v="3206"/>
    </i>
    <i r="1">
      <x v="3207"/>
    </i>
    <i r="1">
      <x v="3208"/>
    </i>
    <i r="1">
      <x v="3209"/>
    </i>
    <i r="1">
      <x v="3210"/>
    </i>
    <i r="1">
      <x v="3211"/>
    </i>
    <i r="1">
      <x v="3212"/>
    </i>
    <i r="1">
      <x v="3213"/>
    </i>
    <i r="1">
      <x v="3214"/>
    </i>
    <i r="1">
      <x v="3215"/>
    </i>
    <i r="1">
      <x v="3216"/>
    </i>
    <i r="1">
      <x v="3217"/>
    </i>
    <i r="1">
      <x v="3218"/>
    </i>
    <i r="1">
      <x v="3219"/>
    </i>
    <i r="1">
      <x v="3220"/>
    </i>
    <i r="1">
      <x v="3221"/>
    </i>
    <i r="1">
      <x v="3222"/>
    </i>
    <i r="1">
      <x v="3223"/>
    </i>
    <i r="1">
      <x v="3224"/>
    </i>
    <i r="1">
      <x v="3225"/>
    </i>
    <i r="1">
      <x v="3226"/>
    </i>
    <i r="1">
      <x v="3227"/>
    </i>
    <i r="1">
      <x v="3228"/>
    </i>
    <i r="1">
      <x v="3229"/>
    </i>
    <i r="1">
      <x v="3230"/>
    </i>
    <i r="1">
      <x v="3231"/>
    </i>
    <i r="1">
      <x v="3232"/>
    </i>
    <i r="1">
      <x v="3233"/>
    </i>
    <i r="1">
      <x v="3234"/>
    </i>
    <i r="1">
      <x v="3235"/>
    </i>
    <i r="1">
      <x v="3236"/>
    </i>
    <i r="1">
      <x v="3237"/>
    </i>
    <i r="1">
      <x v="3238"/>
    </i>
    <i r="1">
      <x v="3239"/>
    </i>
    <i r="1">
      <x v="3240"/>
    </i>
    <i r="1">
      <x v="3241"/>
    </i>
    <i r="1">
      <x v="3242"/>
    </i>
    <i r="1">
      <x v="3243"/>
    </i>
    <i r="1">
      <x v="3244"/>
    </i>
    <i r="1">
      <x v="3245"/>
    </i>
    <i r="1">
      <x v="3246"/>
    </i>
    <i r="1">
      <x v="3247"/>
    </i>
    <i r="1">
      <x v="3248"/>
    </i>
    <i r="1">
      <x v="3249"/>
    </i>
    <i r="1">
      <x v="3250"/>
    </i>
    <i r="1">
      <x v="3251"/>
    </i>
    <i r="1">
      <x v="3252"/>
    </i>
    <i r="1">
      <x v="3253"/>
    </i>
    <i r="1">
      <x v="3254"/>
    </i>
    <i r="1">
      <x v="3255"/>
    </i>
    <i r="1">
      <x v="3256"/>
    </i>
    <i r="1">
      <x v="3257"/>
    </i>
    <i r="1">
      <x v="3258"/>
    </i>
    <i r="1">
      <x v="3259"/>
    </i>
    <i r="1">
      <x v="3260"/>
    </i>
    <i r="1">
      <x v="3261"/>
    </i>
    <i r="1">
      <x v="3262"/>
    </i>
    <i r="1">
      <x v="3263"/>
    </i>
    <i r="1">
      <x v="3264"/>
    </i>
    <i r="1">
      <x v="3265"/>
    </i>
    <i r="1">
      <x v="3266"/>
    </i>
    <i r="1">
      <x v="3267"/>
    </i>
    <i r="1">
      <x v="3268"/>
    </i>
    <i r="1">
      <x v="3269"/>
    </i>
    <i r="1">
      <x v="3270"/>
    </i>
    <i r="1">
      <x v="3271"/>
    </i>
    <i r="1">
      <x v="3272"/>
    </i>
    <i r="1">
      <x v="3273"/>
    </i>
    <i r="1">
      <x v="3274"/>
    </i>
    <i r="1">
      <x v="3275"/>
    </i>
    <i r="1">
      <x v="3276"/>
    </i>
    <i r="1">
      <x v="3277"/>
    </i>
    <i r="1">
      <x v="3278"/>
    </i>
    <i r="1">
      <x v="3279"/>
    </i>
    <i r="1">
      <x v="3280"/>
    </i>
    <i r="1">
      <x v="3281"/>
    </i>
    <i r="1">
      <x v="3282"/>
    </i>
    <i r="1">
      <x v="3283"/>
    </i>
    <i r="1">
      <x v="3284"/>
    </i>
    <i r="1">
      <x v="3285"/>
    </i>
    <i r="1">
      <x v="3286"/>
    </i>
    <i r="1">
      <x v="3287"/>
    </i>
    <i r="1">
      <x v="3288"/>
    </i>
    <i r="1">
      <x v="3289"/>
    </i>
    <i r="1">
      <x v="3290"/>
    </i>
    <i r="1">
      <x v="3291"/>
    </i>
    <i r="1">
      <x v="3292"/>
    </i>
    <i r="1">
      <x v="3293"/>
    </i>
    <i r="1">
      <x v="3294"/>
    </i>
    <i r="1">
      <x v="3295"/>
    </i>
    <i r="1">
      <x v="3296"/>
    </i>
    <i r="1">
      <x v="3297"/>
    </i>
    <i r="1">
      <x v="3298"/>
    </i>
    <i r="1">
      <x v="3299"/>
    </i>
    <i r="1">
      <x v="3300"/>
    </i>
    <i r="1">
      <x v="3301"/>
    </i>
    <i r="1">
      <x v="3302"/>
    </i>
    <i r="1">
      <x v="3303"/>
    </i>
    <i r="1">
      <x v="3304"/>
    </i>
    <i r="1">
      <x v="3305"/>
    </i>
    <i r="1">
      <x v="3306"/>
    </i>
    <i r="1">
      <x v="3307"/>
    </i>
    <i r="1">
      <x v="3308"/>
    </i>
    <i r="1">
      <x v="3309"/>
    </i>
    <i r="1">
      <x v="3310"/>
    </i>
    <i r="1">
      <x v="3311"/>
    </i>
    <i r="1">
      <x v="3312"/>
    </i>
    <i r="1">
      <x v="3313"/>
    </i>
    <i r="1">
      <x v="3314"/>
    </i>
    <i r="1">
      <x v="3315"/>
    </i>
    <i r="1">
      <x v="3316"/>
    </i>
    <i r="1">
      <x v="3317"/>
    </i>
    <i r="1">
      <x v="3318"/>
    </i>
    <i r="1">
      <x v="3319"/>
    </i>
    <i r="1">
      <x v="3320"/>
    </i>
    <i r="1">
      <x v="3321"/>
    </i>
    <i r="1">
      <x v="3322"/>
    </i>
    <i r="1">
      <x v="3323"/>
    </i>
    <i r="1">
      <x v="3324"/>
    </i>
    <i r="1">
      <x v="3325"/>
    </i>
    <i r="1">
      <x v="3326"/>
    </i>
    <i r="1">
      <x v="3327"/>
    </i>
    <i r="1">
      <x v="3328"/>
    </i>
    <i r="1">
      <x v="3329"/>
    </i>
    <i r="1">
      <x v="3330"/>
    </i>
    <i r="1">
      <x v="3331"/>
    </i>
    <i r="1">
      <x v="3332"/>
    </i>
    <i r="1">
      <x v="3333"/>
    </i>
    <i r="1">
      <x v="3334"/>
    </i>
    <i r="1">
      <x v="3335"/>
    </i>
    <i r="1">
      <x v="3336"/>
    </i>
    <i r="1">
      <x v="3337"/>
    </i>
    <i r="1">
      <x v="3338"/>
    </i>
    <i r="1">
      <x v="3339"/>
    </i>
    <i r="1">
      <x v="3340"/>
    </i>
    <i r="1">
      <x v="3341"/>
    </i>
    <i r="1">
      <x v="3342"/>
    </i>
    <i r="1">
      <x v="3343"/>
    </i>
    <i r="1">
      <x v="3344"/>
    </i>
    <i r="1">
      <x v="3345"/>
    </i>
    <i r="1">
      <x v="3346"/>
    </i>
    <i r="1">
      <x v="3347"/>
    </i>
    <i r="1">
      <x v="3348"/>
    </i>
    <i r="1">
      <x v="3349"/>
    </i>
    <i r="1">
      <x v="3350"/>
    </i>
    <i r="1">
      <x v="3351"/>
    </i>
    <i r="1">
      <x v="3352"/>
    </i>
    <i r="1">
      <x v="3353"/>
    </i>
    <i r="1">
      <x v="3354"/>
    </i>
    <i r="1">
      <x v="3355"/>
    </i>
    <i r="1">
      <x v="3356"/>
    </i>
    <i r="1">
      <x v="3357"/>
    </i>
    <i r="1">
      <x v="3358"/>
    </i>
    <i r="1">
      <x v="3359"/>
    </i>
    <i r="1">
      <x v="3360"/>
    </i>
    <i r="1">
      <x v="3361"/>
    </i>
    <i r="1">
      <x v="3362"/>
    </i>
    <i r="1">
      <x v="3363"/>
    </i>
    <i r="1">
      <x v="3364"/>
    </i>
    <i r="1">
      <x v="3365"/>
    </i>
    <i r="1">
      <x v="3366"/>
    </i>
    <i r="1">
      <x v="3367"/>
    </i>
    <i r="1">
      <x v="3368"/>
    </i>
    <i r="1">
      <x v="3369"/>
    </i>
    <i r="1">
      <x v="3370"/>
    </i>
    <i r="1">
      <x v="3371"/>
    </i>
    <i r="1">
      <x v="3372"/>
    </i>
    <i r="1">
      <x v="3373"/>
    </i>
    <i r="1">
      <x v="3374"/>
    </i>
    <i r="1">
      <x v="3375"/>
    </i>
    <i r="1">
      <x v="3376"/>
    </i>
    <i r="1">
      <x v="3377"/>
    </i>
    <i r="1">
      <x v="3378"/>
    </i>
    <i r="1">
      <x v="3379"/>
    </i>
    <i r="1">
      <x v="3380"/>
    </i>
    <i r="1">
      <x v="3381"/>
    </i>
    <i r="1">
      <x v="3382"/>
    </i>
    <i r="1">
      <x v="3383"/>
    </i>
    <i r="1">
      <x v="3384"/>
    </i>
    <i r="1">
      <x v="3385"/>
    </i>
    <i r="1">
      <x v="3386"/>
    </i>
    <i r="1">
      <x v="3387"/>
    </i>
    <i r="1">
      <x v="3388"/>
    </i>
    <i r="1">
      <x v="3389"/>
    </i>
    <i r="1">
      <x v="3390"/>
    </i>
    <i r="1">
      <x v="3391"/>
    </i>
    <i r="1">
      <x v="3392"/>
    </i>
    <i r="1">
      <x v="3393"/>
    </i>
    <i r="1">
      <x v="3394"/>
    </i>
    <i r="1">
      <x v="3395"/>
    </i>
    <i r="1">
      <x v="3396"/>
    </i>
    <i r="1">
      <x v="3397"/>
    </i>
    <i r="1">
      <x v="3398"/>
    </i>
    <i r="1">
      <x v="3399"/>
    </i>
    <i r="1">
      <x v="3400"/>
    </i>
    <i r="1">
      <x v="3401"/>
    </i>
    <i r="1">
      <x v="3402"/>
    </i>
    <i r="1">
      <x v="3403"/>
    </i>
    <i r="1">
      <x v="3404"/>
    </i>
    <i r="1">
      <x v="3405"/>
    </i>
    <i r="1">
      <x v="3406"/>
    </i>
    <i r="1">
      <x v="3407"/>
    </i>
    <i r="1">
      <x v="3408"/>
    </i>
    <i r="1">
      <x v="3409"/>
    </i>
    <i r="1">
      <x v="3410"/>
    </i>
    <i r="1">
      <x v="3411"/>
    </i>
    <i r="1">
      <x v="3412"/>
    </i>
    <i r="1">
      <x v="3413"/>
    </i>
    <i r="1">
      <x v="3414"/>
    </i>
    <i r="1">
      <x v="3415"/>
    </i>
    <i r="1">
      <x v="3416"/>
    </i>
    <i r="1">
      <x v="3417"/>
    </i>
    <i r="1">
      <x v="3418"/>
    </i>
    <i r="1">
      <x v="3419"/>
    </i>
    <i r="1">
      <x v="3420"/>
    </i>
    <i r="1">
      <x v="3421"/>
    </i>
    <i r="1">
      <x v="3422"/>
    </i>
    <i r="1">
      <x v="3423"/>
    </i>
    <i r="1">
      <x v="3424"/>
    </i>
    <i r="1">
      <x v="3425"/>
    </i>
    <i r="1">
      <x v="3426"/>
    </i>
    <i r="1">
      <x v="3427"/>
    </i>
    <i r="1">
      <x v="3428"/>
    </i>
    <i r="1">
      <x v="3429"/>
    </i>
    <i r="1">
      <x v="3430"/>
    </i>
    <i r="1">
      <x v="3431"/>
    </i>
    <i r="1">
      <x v="3432"/>
    </i>
    <i r="1">
      <x v="3433"/>
    </i>
    <i r="1">
      <x v="3434"/>
    </i>
    <i r="1">
      <x v="3435"/>
    </i>
    <i r="1">
      <x v="3436"/>
    </i>
    <i r="1">
      <x v="3437"/>
    </i>
    <i r="1">
      <x v="3438"/>
    </i>
    <i r="1">
      <x v="3439"/>
    </i>
    <i r="1">
      <x v="3440"/>
    </i>
    <i r="1">
      <x v="3441"/>
    </i>
    <i r="1">
      <x v="3442"/>
    </i>
    <i r="1">
      <x v="3443"/>
    </i>
    <i r="1">
      <x v="3444"/>
    </i>
    <i r="1">
      <x v="3445"/>
    </i>
    <i r="1">
      <x v="3446"/>
    </i>
    <i r="1">
      <x v="3447"/>
    </i>
    <i r="1">
      <x v="3448"/>
    </i>
    <i r="1">
      <x v="3449"/>
    </i>
    <i r="1">
      <x v="3450"/>
    </i>
    <i r="1">
      <x v="3451"/>
    </i>
    <i r="1">
      <x v="3452"/>
    </i>
    <i r="1">
      <x v="3453"/>
    </i>
    <i r="1">
      <x v="3454"/>
    </i>
    <i r="1">
      <x v="3455"/>
    </i>
    <i r="1">
      <x v="3456"/>
    </i>
    <i r="1">
      <x v="3457"/>
    </i>
    <i r="1">
      <x v="3458"/>
    </i>
    <i r="1">
      <x v="3459"/>
    </i>
    <i r="1">
      <x v="3460"/>
    </i>
    <i r="1">
      <x v="3461"/>
    </i>
    <i r="1">
      <x v="3462"/>
    </i>
    <i r="1">
      <x v="3463"/>
    </i>
    <i r="1">
      <x v="3464"/>
    </i>
    <i r="1">
      <x v="3465"/>
    </i>
    <i r="1">
      <x v="3466"/>
    </i>
    <i r="1">
      <x v="3467"/>
    </i>
    <i r="1">
      <x v="3468"/>
    </i>
    <i r="1">
      <x v="3469"/>
    </i>
    <i r="1">
      <x v="3470"/>
    </i>
    <i r="1">
      <x v="3471"/>
    </i>
    <i r="1">
      <x v="3472"/>
    </i>
    <i r="1">
      <x v="3473"/>
    </i>
    <i r="1">
      <x v="3474"/>
    </i>
    <i r="1">
      <x v="3475"/>
    </i>
    <i r="1">
      <x v="3476"/>
    </i>
    <i r="1">
      <x v="3477"/>
    </i>
    <i r="1">
      <x v="3478"/>
    </i>
    <i r="1">
      <x v="3479"/>
    </i>
    <i r="1">
      <x v="3480"/>
    </i>
    <i r="1">
      <x v="3481"/>
    </i>
    <i r="1">
      <x v="3482"/>
    </i>
    <i r="1">
      <x v="3483"/>
    </i>
    <i r="1">
      <x v="3484"/>
    </i>
    <i r="1">
      <x v="3485"/>
    </i>
    <i r="1">
      <x v="3486"/>
    </i>
    <i r="1">
      <x v="3487"/>
    </i>
    <i r="1">
      <x v="3488"/>
    </i>
    <i r="1">
      <x v="3489"/>
    </i>
    <i r="1">
      <x v="3490"/>
    </i>
    <i r="1">
      <x v="3491"/>
    </i>
    <i r="1">
      <x v="3492"/>
    </i>
    <i r="1">
      <x v="3493"/>
    </i>
    <i r="1">
      <x v="3494"/>
    </i>
    <i r="1">
      <x v="3495"/>
    </i>
    <i r="1">
      <x v="3496"/>
    </i>
    <i r="1">
      <x v="3497"/>
    </i>
    <i r="1">
      <x v="3498"/>
    </i>
    <i r="1">
      <x v="3499"/>
    </i>
    <i r="1">
      <x v="3500"/>
    </i>
    <i r="1">
      <x v="3501"/>
    </i>
    <i r="1">
      <x v="3502"/>
    </i>
    <i r="1">
      <x v="3503"/>
    </i>
    <i r="1">
      <x v="3504"/>
    </i>
    <i r="1">
      <x v="3505"/>
    </i>
    <i r="1">
      <x v="3506"/>
    </i>
    <i r="1">
      <x v="3507"/>
    </i>
    <i r="1">
      <x v="3508"/>
    </i>
    <i r="1">
      <x v="3509"/>
    </i>
    <i r="1">
      <x v="3510"/>
    </i>
    <i r="1">
      <x v="3511"/>
    </i>
    <i r="1">
      <x v="3512"/>
    </i>
    <i r="1">
      <x v="3513"/>
    </i>
    <i r="1">
      <x v="3514"/>
    </i>
    <i r="1">
      <x v="3515"/>
    </i>
    <i r="1">
      <x v="3516"/>
    </i>
    <i r="1">
      <x v="3517"/>
    </i>
    <i r="1">
      <x v="3518"/>
    </i>
    <i r="1">
      <x v="3519"/>
    </i>
    <i r="1">
      <x v="3520"/>
    </i>
    <i r="1">
      <x v="3521"/>
    </i>
    <i r="1">
      <x v="3522"/>
    </i>
    <i r="1">
      <x v="3523"/>
    </i>
    <i r="1">
      <x v="3524"/>
    </i>
    <i r="1">
      <x v="3525"/>
    </i>
    <i r="1">
      <x v="3526"/>
    </i>
    <i r="1">
      <x v="3527"/>
    </i>
    <i r="1">
      <x v="3528"/>
    </i>
    <i r="1">
      <x v="3529"/>
    </i>
    <i r="1">
      <x v="3530"/>
    </i>
    <i r="1">
      <x v="3531"/>
    </i>
    <i r="1">
      <x v="3532"/>
    </i>
    <i r="1">
      <x v="3533"/>
    </i>
    <i r="1">
      <x v="3534"/>
    </i>
    <i r="1">
      <x v="3535"/>
    </i>
    <i r="1">
      <x v="3536"/>
    </i>
    <i r="1">
      <x v="3537"/>
    </i>
    <i r="1">
      <x v="3538"/>
    </i>
    <i r="1">
      <x v="3539"/>
    </i>
    <i r="1">
      <x v="3540"/>
    </i>
    <i r="1">
      <x v="3541"/>
    </i>
    <i r="1">
      <x v="3542"/>
    </i>
    <i r="1">
      <x v="3543"/>
    </i>
    <i r="1">
      <x v="3544"/>
    </i>
    <i r="1">
      <x v="3545"/>
    </i>
    <i r="1">
      <x v="3546"/>
    </i>
    <i r="1">
      <x v="3547"/>
    </i>
    <i r="1">
      <x v="3548"/>
    </i>
    <i r="1">
      <x v="3549"/>
    </i>
    <i r="1">
      <x v="3550"/>
    </i>
    <i r="1">
      <x v="3551"/>
    </i>
    <i r="1">
      <x v="3552"/>
    </i>
    <i r="1">
      <x v="3553"/>
    </i>
    <i r="1">
      <x v="3554"/>
    </i>
    <i r="1">
      <x v="3555"/>
    </i>
    <i r="1">
      <x v="3556"/>
    </i>
    <i r="1">
      <x v="3557"/>
    </i>
    <i r="1">
      <x v="3558"/>
    </i>
    <i r="1">
      <x v="3559"/>
    </i>
    <i r="1">
      <x v="3560"/>
    </i>
    <i r="1">
      <x v="3561"/>
    </i>
    <i r="1">
      <x v="3562"/>
    </i>
    <i r="1">
      <x v="3563"/>
    </i>
    <i r="1">
      <x v="3564"/>
    </i>
    <i r="1">
      <x v="3565"/>
    </i>
    <i r="1">
      <x v="3566"/>
    </i>
    <i r="1">
      <x v="3567"/>
    </i>
    <i r="1">
      <x v="3568"/>
    </i>
    <i r="1">
      <x v="3569"/>
    </i>
    <i r="1">
      <x v="3570"/>
    </i>
    <i r="1">
      <x v="3571"/>
    </i>
    <i r="1">
      <x v="3572"/>
    </i>
    <i r="1">
      <x v="3573"/>
    </i>
    <i r="1">
      <x v="3574"/>
    </i>
    <i r="1">
      <x v="3575"/>
    </i>
    <i r="1">
      <x v="3576"/>
    </i>
    <i r="1">
      <x v="3577"/>
    </i>
    <i r="1">
      <x v="3578"/>
    </i>
    <i r="1">
      <x v="3579"/>
    </i>
    <i r="1">
      <x v="3580"/>
    </i>
    <i r="1">
      <x v="3581"/>
    </i>
    <i r="1">
      <x v="3582"/>
    </i>
    <i r="1">
      <x v="3583"/>
    </i>
    <i r="1">
      <x v="3584"/>
    </i>
    <i r="1">
      <x v="3585"/>
    </i>
    <i r="1">
      <x v="3586"/>
    </i>
    <i r="1">
      <x v="3587"/>
    </i>
    <i r="1">
      <x v="3588"/>
    </i>
    <i r="1">
      <x v="3589"/>
    </i>
    <i r="1">
      <x v="3590"/>
    </i>
    <i r="1">
      <x v="3591"/>
    </i>
    <i r="1">
      <x v="3592"/>
    </i>
    <i r="1">
      <x v="3593"/>
    </i>
    <i r="1">
      <x v="3594"/>
    </i>
    <i r="1">
      <x v="3595"/>
    </i>
    <i r="1">
      <x v="3596"/>
    </i>
    <i r="1">
      <x v="3597"/>
    </i>
    <i r="1">
      <x v="3598"/>
    </i>
    <i r="1">
      <x v="3599"/>
    </i>
    <i r="1">
      <x v="3600"/>
    </i>
    <i r="1">
      <x v="3601"/>
    </i>
    <i r="1">
      <x v="3602"/>
    </i>
    <i r="1">
      <x v="3603"/>
    </i>
    <i r="1">
      <x v="3604"/>
    </i>
    <i r="1">
      <x v="3605"/>
    </i>
    <i r="1">
      <x v="3606"/>
    </i>
    <i r="1">
      <x v="3607"/>
    </i>
    <i r="1">
      <x v="3608"/>
    </i>
    <i r="1">
      <x v="3609"/>
    </i>
    <i r="1">
      <x v="3610"/>
    </i>
    <i r="1">
      <x v="3611"/>
    </i>
    <i r="1">
      <x v="3612"/>
    </i>
    <i r="1">
      <x v="3613"/>
    </i>
    <i r="1">
      <x v="3614"/>
    </i>
    <i r="1">
      <x v="3615"/>
    </i>
    <i r="1">
      <x v="3616"/>
    </i>
    <i r="1">
      <x v="3617"/>
    </i>
    <i r="1">
      <x v="3618"/>
    </i>
    <i r="1">
      <x v="3619"/>
    </i>
    <i r="1">
      <x v="3620"/>
    </i>
    <i r="1">
      <x v="3621"/>
    </i>
    <i r="1">
      <x v="3622"/>
    </i>
    <i r="1">
      <x v="3623"/>
    </i>
    <i r="1">
      <x v="3624"/>
    </i>
    <i r="1">
      <x v="3625"/>
    </i>
    <i r="1">
      <x v="3626"/>
    </i>
    <i r="1">
      <x v="3627"/>
    </i>
    <i r="1">
      <x v="3628"/>
    </i>
    <i r="1">
      <x v="3629"/>
    </i>
    <i r="1">
      <x v="3630"/>
    </i>
    <i r="1">
      <x v="3631"/>
    </i>
    <i r="1">
      <x v="3632"/>
    </i>
    <i r="1">
      <x v="3633"/>
    </i>
    <i r="1">
      <x v="3634"/>
    </i>
    <i r="1">
      <x v="3635"/>
    </i>
    <i r="1">
      <x v="3636"/>
    </i>
    <i r="1">
      <x v="3637"/>
    </i>
    <i r="1">
      <x v="3638"/>
    </i>
    <i r="1">
      <x v="3639"/>
    </i>
    <i r="1">
      <x v="3640"/>
    </i>
    <i r="1">
      <x v="3641"/>
    </i>
    <i r="1">
      <x v="3642"/>
    </i>
    <i r="1">
      <x v="3643"/>
    </i>
    <i r="1">
      <x v="3644"/>
    </i>
    <i r="1">
      <x v="3645"/>
    </i>
    <i r="1">
      <x v="3646"/>
    </i>
    <i r="1">
      <x v="3647"/>
    </i>
    <i r="1">
      <x v="3648"/>
    </i>
    <i r="1">
      <x v="3649"/>
    </i>
    <i r="1">
      <x v="3650"/>
    </i>
    <i r="1">
      <x v="3651"/>
    </i>
    <i r="1">
      <x v="3652"/>
    </i>
    <i r="1">
      <x v="3653"/>
    </i>
    <i r="1">
      <x v="3654"/>
    </i>
    <i r="1">
      <x v="3655"/>
    </i>
    <i r="1">
      <x v="3656"/>
    </i>
    <i r="1">
      <x v="3657"/>
    </i>
    <i r="1">
      <x v="3658"/>
    </i>
    <i r="1">
      <x v="3659"/>
    </i>
    <i r="1">
      <x v="3660"/>
    </i>
    <i r="1">
      <x v="3661"/>
    </i>
    <i r="1">
      <x v="3662"/>
    </i>
    <i r="1">
      <x v="3663"/>
    </i>
    <i r="1">
      <x v="3664"/>
    </i>
    <i r="1">
      <x v="3665"/>
    </i>
    <i r="1">
      <x v="3666"/>
    </i>
    <i r="1">
      <x v="3667"/>
    </i>
    <i r="1">
      <x v="3668"/>
    </i>
    <i r="1">
      <x v="3669"/>
    </i>
    <i r="1">
      <x v="3670"/>
    </i>
    <i r="1">
      <x v="3671"/>
    </i>
    <i r="1">
      <x v="3672"/>
    </i>
    <i r="1">
      <x v="3673"/>
    </i>
    <i r="1">
      <x v="3674"/>
    </i>
    <i r="1">
      <x v="3675"/>
    </i>
    <i r="1">
      <x v="3676"/>
    </i>
    <i r="1">
      <x v="3677"/>
    </i>
    <i r="1">
      <x v="3678"/>
    </i>
    <i r="1">
      <x v="3679"/>
    </i>
    <i r="1">
      <x v="3680"/>
    </i>
    <i r="1">
      <x v="3681"/>
    </i>
    <i r="1">
      <x v="3682"/>
    </i>
    <i r="1">
      <x v="3683"/>
    </i>
    <i r="1">
      <x v="3684"/>
    </i>
    <i r="1">
      <x v="3685"/>
    </i>
    <i r="1">
      <x v="3686"/>
    </i>
    <i r="1">
      <x v="3687"/>
    </i>
    <i r="1">
      <x v="3688"/>
    </i>
    <i r="1">
      <x v="3689"/>
    </i>
    <i r="1">
      <x v="3690"/>
    </i>
    <i r="1">
      <x v="3691"/>
    </i>
    <i r="1">
      <x v="3692"/>
    </i>
    <i r="1">
      <x v="3693"/>
    </i>
    <i r="1">
      <x v="3694"/>
    </i>
    <i r="1">
      <x v="3695"/>
    </i>
    <i r="1">
      <x v="3696"/>
    </i>
    <i r="1">
      <x v="3697"/>
    </i>
    <i r="1">
      <x v="3698"/>
    </i>
    <i r="1">
      <x v="3699"/>
    </i>
    <i r="1">
      <x v="3700"/>
    </i>
    <i r="1">
      <x v="3701"/>
    </i>
    <i r="1">
      <x v="3702"/>
    </i>
    <i r="1">
      <x v="3703"/>
    </i>
    <i r="1">
      <x v="3704"/>
    </i>
    <i r="1">
      <x v="3705"/>
    </i>
    <i r="1">
      <x v="3706"/>
    </i>
    <i r="1">
      <x v="3707"/>
    </i>
    <i r="1">
      <x v="3708"/>
    </i>
    <i r="1">
      <x v="3709"/>
    </i>
    <i r="1">
      <x v="3710"/>
    </i>
    <i r="1">
      <x v="3711"/>
    </i>
    <i r="1">
      <x v="3712"/>
    </i>
    <i r="1">
      <x v="3713"/>
    </i>
    <i r="1">
      <x v="3714"/>
    </i>
    <i r="1">
      <x v="3715"/>
    </i>
    <i r="1">
      <x v="3716"/>
    </i>
    <i r="1">
      <x v="3717"/>
    </i>
    <i r="1">
      <x v="3718"/>
    </i>
    <i r="1">
      <x v="3719"/>
    </i>
    <i r="1">
      <x v="3720"/>
    </i>
    <i r="1">
      <x v="3721"/>
    </i>
    <i r="1">
      <x v="3722"/>
    </i>
    <i r="1">
      <x v="3723"/>
    </i>
    <i r="1">
      <x v="3724"/>
    </i>
    <i r="1">
      <x v="3725"/>
    </i>
    <i r="1">
      <x v="3726"/>
    </i>
    <i r="1">
      <x v="3727"/>
    </i>
    <i r="1">
      <x v="3728"/>
    </i>
    <i r="1">
      <x v="3729"/>
    </i>
    <i r="1">
      <x v="3730"/>
    </i>
    <i r="1">
      <x v="3731"/>
    </i>
    <i r="1">
      <x v="3732"/>
    </i>
    <i r="1">
      <x v="3733"/>
    </i>
    <i r="1">
      <x v="3734"/>
    </i>
    <i r="1">
      <x v="3735"/>
    </i>
    <i r="1">
      <x v="3736"/>
    </i>
    <i r="1">
      <x v="3737"/>
    </i>
    <i r="1">
      <x v="3738"/>
    </i>
    <i r="1">
      <x v="3739"/>
    </i>
    <i r="1">
      <x v="3740"/>
    </i>
    <i r="1">
      <x v="3741"/>
    </i>
    <i r="1">
      <x v="3742"/>
    </i>
    <i r="1">
      <x v="3743"/>
    </i>
    <i r="1">
      <x v="3744"/>
    </i>
    <i r="1">
      <x v="3745"/>
    </i>
    <i r="1">
      <x v="3746"/>
    </i>
    <i r="1">
      <x v="3747"/>
    </i>
    <i r="1">
      <x v="3748"/>
    </i>
    <i r="1">
      <x v="3749"/>
    </i>
    <i r="1">
      <x v="3750"/>
    </i>
    <i r="1">
      <x v="3751"/>
    </i>
    <i r="1">
      <x v="3752"/>
    </i>
    <i r="1">
      <x v="3753"/>
    </i>
    <i r="1">
      <x v="3754"/>
    </i>
    <i r="1">
      <x v="3755"/>
    </i>
    <i r="1">
      <x v="3756"/>
    </i>
    <i r="1">
      <x v="3757"/>
    </i>
    <i r="1">
      <x v="3758"/>
    </i>
    <i r="1">
      <x v="3759"/>
    </i>
    <i r="1">
      <x v="3760"/>
    </i>
    <i r="1">
      <x v="3761"/>
    </i>
    <i r="1">
      <x v="3762"/>
    </i>
    <i r="1">
      <x v="3763"/>
    </i>
    <i r="1">
      <x v="3764"/>
    </i>
    <i r="1">
      <x v="3765"/>
    </i>
    <i r="1">
      <x v="3766"/>
    </i>
    <i r="1">
      <x v="3767"/>
    </i>
    <i r="1">
      <x v="3768"/>
    </i>
    <i r="1">
      <x v="3769"/>
    </i>
    <i r="1">
      <x v="3770"/>
    </i>
    <i r="1">
      <x v="3771"/>
    </i>
    <i r="1">
      <x v="3772"/>
    </i>
    <i r="1">
      <x v="3773"/>
    </i>
    <i r="1">
      <x v="3774"/>
    </i>
    <i r="1">
      <x v="3775"/>
    </i>
    <i r="1">
      <x v="3776"/>
    </i>
    <i r="1">
      <x v="3777"/>
    </i>
    <i r="1">
      <x v="3778"/>
    </i>
    <i r="1">
      <x v="3779"/>
    </i>
    <i r="1">
      <x v="3780"/>
    </i>
    <i r="1">
      <x v="3781"/>
    </i>
    <i r="1">
      <x v="3782"/>
    </i>
    <i r="1">
      <x v="3783"/>
    </i>
    <i r="1">
      <x v="3784"/>
    </i>
    <i r="1">
      <x v="3785"/>
    </i>
    <i r="1">
      <x v="3786"/>
    </i>
    <i r="1">
      <x v="3787"/>
    </i>
    <i r="1">
      <x v="3788"/>
    </i>
    <i r="1">
      <x v="3789"/>
    </i>
    <i r="1">
      <x v="3790"/>
    </i>
    <i r="1">
      <x v="3791"/>
    </i>
    <i r="1">
      <x v="3792"/>
    </i>
    <i r="1">
      <x v="3793"/>
    </i>
    <i r="1">
      <x v="3794"/>
    </i>
    <i r="1">
      <x v="3795"/>
    </i>
    <i r="1">
      <x v="3796"/>
    </i>
    <i r="1">
      <x v="3797"/>
    </i>
    <i r="1">
      <x v="3798"/>
    </i>
    <i r="1">
      <x v="3799"/>
    </i>
    <i r="1">
      <x v="3800"/>
    </i>
    <i r="1">
      <x v="3801"/>
    </i>
    <i r="1">
      <x v="3802"/>
    </i>
    <i r="1">
      <x v="3803"/>
    </i>
    <i r="1">
      <x v="3804"/>
    </i>
    <i r="1">
      <x v="3805"/>
    </i>
    <i r="1">
      <x v="3806"/>
    </i>
    <i r="1">
      <x v="3807"/>
    </i>
    <i r="1">
      <x v="3808"/>
    </i>
    <i r="1">
      <x v="3809"/>
    </i>
    <i r="1">
      <x v="3810"/>
    </i>
    <i r="1">
      <x v="3811"/>
    </i>
    <i r="1">
      <x v="3812"/>
    </i>
    <i r="1">
      <x v="3813"/>
    </i>
    <i r="1">
      <x v="3814"/>
    </i>
    <i r="1">
      <x v="3815"/>
    </i>
    <i r="1">
      <x v="3816"/>
    </i>
    <i r="1">
      <x v="3817"/>
    </i>
    <i r="1">
      <x v="3818"/>
    </i>
    <i r="1">
      <x v="3819"/>
    </i>
    <i r="1">
      <x v="3820"/>
    </i>
    <i r="1">
      <x v="3821"/>
    </i>
    <i r="1">
      <x v="3822"/>
    </i>
    <i r="1">
      <x v="3823"/>
    </i>
    <i r="1">
      <x v="3824"/>
    </i>
    <i r="1">
      <x v="3825"/>
    </i>
    <i r="1">
      <x v="3826"/>
    </i>
    <i r="1">
      <x v="3827"/>
    </i>
    <i r="1">
      <x v="3828"/>
    </i>
    <i r="1">
      <x v="3829"/>
    </i>
    <i r="1">
      <x v="3830"/>
    </i>
    <i r="1">
      <x v="3831"/>
    </i>
    <i r="1">
      <x v="3832"/>
    </i>
    <i r="1">
      <x v="3833"/>
    </i>
    <i r="1">
      <x v="3834"/>
    </i>
    <i r="1">
      <x v="3835"/>
    </i>
    <i r="1">
      <x v="3836"/>
    </i>
    <i r="1">
      <x v="3837"/>
    </i>
    <i r="1">
      <x v="3838"/>
    </i>
    <i r="1">
      <x v="3839"/>
    </i>
    <i r="1">
      <x v="3840"/>
    </i>
    <i r="1">
      <x v="3841"/>
    </i>
    <i r="1">
      <x v="3842"/>
    </i>
    <i r="1">
      <x v="3843"/>
    </i>
    <i r="1">
      <x v="3844"/>
    </i>
    <i r="1">
      <x v="3845"/>
    </i>
    <i r="1">
      <x v="3846"/>
    </i>
    <i r="1">
      <x v="3847"/>
    </i>
    <i r="1">
      <x v="3848"/>
    </i>
    <i r="1">
      <x v="3849"/>
    </i>
    <i r="1">
      <x v="3850"/>
    </i>
    <i r="1">
      <x v="3851"/>
    </i>
    <i r="1">
      <x v="3852"/>
    </i>
    <i r="1">
      <x v="3853"/>
    </i>
    <i r="1">
      <x v="3854"/>
    </i>
    <i r="1">
      <x v="3855"/>
    </i>
    <i r="1">
      <x v="3856"/>
    </i>
    <i r="1">
      <x v="3857"/>
    </i>
    <i r="1">
      <x v="3858"/>
    </i>
    <i r="1">
      <x v="3859"/>
    </i>
    <i r="1">
      <x v="3860"/>
    </i>
    <i r="1">
      <x v="3861"/>
    </i>
    <i r="1">
      <x v="3862"/>
    </i>
    <i r="1">
      <x v="3863"/>
    </i>
    <i r="1">
      <x v="3864"/>
    </i>
    <i r="1">
      <x v="3865"/>
    </i>
    <i r="1">
      <x v="3866"/>
    </i>
    <i r="1">
      <x v="3867"/>
    </i>
    <i r="1">
      <x v="3868"/>
    </i>
    <i r="1">
      <x v="3869"/>
    </i>
    <i r="1">
      <x v="3870"/>
    </i>
    <i r="1">
      <x v="3871"/>
    </i>
    <i r="1">
      <x v="3872"/>
    </i>
    <i r="1">
      <x v="3873"/>
    </i>
    <i r="1">
      <x v="3874"/>
    </i>
    <i r="1">
      <x v="3875"/>
    </i>
    <i r="1">
      <x v="3876"/>
    </i>
    <i r="1">
      <x v="3877"/>
    </i>
    <i r="1">
      <x v="3878"/>
    </i>
    <i r="1">
      <x v="3879"/>
    </i>
    <i r="1">
      <x v="3880"/>
    </i>
    <i r="1">
      <x v="3881"/>
    </i>
    <i r="1">
      <x v="3882"/>
    </i>
    <i r="1">
      <x v="3883"/>
    </i>
    <i r="1">
      <x v="3884"/>
    </i>
    <i r="1">
      <x v="3885"/>
    </i>
    <i r="1">
      <x v="3886"/>
    </i>
    <i r="1">
      <x v="3887"/>
    </i>
    <i r="1">
      <x v="3888"/>
    </i>
    <i r="1">
      <x v="3889"/>
    </i>
    <i r="1">
      <x v="3890"/>
    </i>
    <i r="1">
      <x v="3891"/>
    </i>
    <i r="1">
      <x v="3892"/>
    </i>
    <i r="1">
      <x v="3893"/>
    </i>
    <i r="1">
      <x v="3894"/>
    </i>
    <i r="1">
      <x v="3895"/>
    </i>
    <i r="1">
      <x v="3896"/>
    </i>
    <i r="1">
      <x v="3897"/>
    </i>
    <i r="1">
      <x v="3898"/>
    </i>
    <i r="1">
      <x v="3899"/>
    </i>
    <i r="1">
      <x v="3900"/>
    </i>
    <i r="1">
      <x v="3901"/>
    </i>
    <i r="1">
      <x v="3902"/>
    </i>
    <i r="1">
      <x v="3903"/>
    </i>
    <i r="1">
      <x v="3904"/>
    </i>
    <i r="1">
      <x v="3905"/>
    </i>
    <i r="1">
      <x v="3906"/>
    </i>
    <i r="1">
      <x v="3907"/>
    </i>
    <i r="1">
      <x v="3908"/>
    </i>
    <i r="1">
      <x v="3909"/>
    </i>
    <i r="1">
      <x v="3910"/>
    </i>
    <i r="1">
      <x v="3911"/>
    </i>
    <i r="1">
      <x v="3912"/>
    </i>
    <i r="1">
      <x v="3913"/>
    </i>
    <i r="1">
      <x v="3914"/>
    </i>
    <i r="1">
      <x v="3915"/>
    </i>
    <i r="1">
      <x v="3916"/>
    </i>
    <i r="1">
      <x v="3917"/>
    </i>
    <i r="1">
      <x v="3918"/>
    </i>
    <i r="1">
      <x v="3919"/>
    </i>
    <i r="1">
      <x v="3920"/>
    </i>
    <i r="1">
      <x v="3921"/>
    </i>
    <i r="1">
      <x v="3922"/>
    </i>
    <i r="1">
      <x v="3923"/>
    </i>
    <i r="1">
      <x v="3924"/>
    </i>
    <i r="1">
      <x v="3925"/>
    </i>
    <i r="1">
      <x v="3926"/>
    </i>
    <i r="1">
      <x v="3927"/>
    </i>
    <i r="1">
      <x v="3928"/>
    </i>
    <i r="1">
      <x v="3929"/>
    </i>
    <i r="1">
      <x v="3930"/>
    </i>
    <i r="1">
      <x v="3931"/>
    </i>
    <i r="1">
      <x v="3932"/>
    </i>
    <i r="1">
      <x v="3933"/>
    </i>
    <i r="1">
      <x v="3934"/>
    </i>
    <i r="1">
      <x v="3935"/>
    </i>
    <i r="1">
      <x v="3936"/>
    </i>
    <i r="1">
      <x v="3937"/>
    </i>
    <i r="1">
      <x v="3938"/>
    </i>
    <i r="1">
      <x v="3939"/>
    </i>
    <i r="1">
      <x v="3940"/>
    </i>
    <i r="1">
      <x v="3941"/>
    </i>
    <i r="1">
      <x v="3942"/>
    </i>
    <i r="1">
      <x v="3943"/>
    </i>
    <i r="1">
      <x v="3944"/>
    </i>
    <i r="1">
      <x v="3945"/>
    </i>
    <i r="1">
      <x v="3946"/>
    </i>
    <i r="1">
      <x v="3947"/>
    </i>
    <i r="1">
      <x v="3948"/>
    </i>
    <i r="1">
      <x v="3949"/>
    </i>
    <i r="1">
      <x v="3950"/>
    </i>
    <i r="1">
      <x v="3951"/>
    </i>
    <i r="1">
      <x v="3952"/>
    </i>
    <i r="1">
      <x v="3953"/>
    </i>
    <i r="1">
      <x v="3954"/>
    </i>
    <i r="1">
      <x v="3955"/>
    </i>
    <i r="1">
      <x v="3956"/>
    </i>
    <i r="1">
      <x v="3957"/>
    </i>
    <i r="1">
      <x v="3958"/>
    </i>
    <i r="1">
      <x v="3959"/>
    </i>
    <i r="1">
      <x v="3960"/>
    </i>
    <i r="1">
      <x v="3961"/>
    </i>
    <i r="1">
      <x v="3962"/>
    </i>
    <i r="1">
      <x v="3963"/>
    </i>
    <i r="1">
      <x v="3964"/>
    </i>
    <i r="1">
      <x v="3965"/>
    </i>
    <i r="1">
      <x v="3966"/>
    </i>
    <i r="1">
      <x v="3967"/>
    </i>
    <i r="1">
      <x v="3968"/>
    </i>
    <i r="1">
      <x v="3969"/>
    </i>
    <i r="1">
      <x v="3970"/>
    </i>
    <i r="1">
      <x v="3971"/>
    </i>
    <i r="1">
      <x v="3972"/>
    </i>
    <i r="1">
      <x v="3973"/>
    </i>
    <i r="1">
      <x v="3974"/>
    </i>
    <i r="1">
      <x v="3975"/>
    </i>
    <i r="1">
      <x v="3976"/>
    </i>
    <i r="1">
      <x v="3977"/>
    </i>
    <i r="1">
      <x v="3978"/>
    </i>
    <i r="1">
      <x v="3979"/>
    </i>
    <i r="1">
      <x v="3980"/>
    </i>
    <i r="1">
      <x v="3981"/>
    </i>
    <i r="1">
      <x v="3982"/>
    </i>
    <i r="1">
      <x v="3983"/>
    </i>
    <i r="1">
      <x v="3984"/>
    </i>
    <i r="1">
      <x v="3985"/>
    </i>
    <i r="1">
      <x v="3986"/>
    </i>
    <i r="1">
      <x v="3987"/>
    </i>
    <i r="1">
      <x v="3988"/>
    </i>
    <i r="1">
      <x v="3989"/>
    </i>
    <i r="1">
      <x v="3990"/>
    </i>
    <i r="1">
      <x v="3991"/>
    </i>
    <i r="1">
      <x v="3992"/>
    </i>
    <i r="1">
      <x v="3993"/>
    </i>
    <i r="1">
      <x v="3994"/>
    </i>
    <i r="1">
      <x v="3995"/>
    </i>
    <i r="1">
      <x v="3996"/>
    </i>
    <i r="1">
      <x v="3997"/>
    </i>
    <i r="1">
      <x v="3998"/>
    </i>
    <i r="1">
      <x v="3999"/>
    </i>
    <i r="1">
      <x v="4000"/>
    </i>
    <i r="1">
      <x v="4001"/>
    </i>
    <i r="1">
      <x v="4002"/>
    </i>
    <i r="1">
      <x v="4003"/>
    </i>
    <i r="1">
      <x v="4004"/>
    </i>
    <i r="1">
      <x v="4005"/>
    </i>
    <i r="1">
      <x v="4006"/>
    </i>
    <i r="1">
      <x v="4007"/>
    </i>
    <i r="1">
      <x v="4008"/>
    </i>
    <i r="1">
      <x v="4009"/>
    </i>
    <i r="1">
      <x v="4010"/>
    </i>
    <i r="1">
      <x v="4011"/>
    </i>
    <i r="1">
      <x v="4012"/>
    </i>
    <i r="1">
      <x v="4013"/>
    </i>
    <i r="1">
      <x v="4014"/>
    </i>
    <i r="1">
      <x v="4015"/>
    </i>
    <i r="1">
      <x v="4016"/>
    </i>
    <i r="1">
      <x v="4017"/>
    </i>
    <i r="1">
      <x v="4018"/>
    </i>
    <i r="1">
      <x v="4019"/>
    </i>
    <i r="1">
      <x v="4020"/>
    </i>
    <i r="1">
      <x v="4021"/>
    </i>
    <i r="1">
      <x v="4022"/>
    </i>
    <i r="1">
      <x v="4023"/>
    </i>
    <i r="1">
      <x v="4024"/>
    </i>
    <i r="1">
      <x v="4025"/>
    </i>
    <i r="1">
      <x v="4026"/>
    </i>
    <i r="1">
      <x v="4027"/>
    </i>
    <i r="1">
      <x v="4028"/>
    </i>
    <i r="1">
      <x v="4029"/>
    </i>
    <i r="1">
      <x v="4030"/>
    </i>
    <i r="1">
      <x v="4031"/>
    </i>
    <i r="1">
      <x v="4032"/>
    </i>
    <i r="1">
      <x v="4033"/>
    </i>
    <i r="1">
      <x v="4034"/>
    </i>
    <i r="1">
      <x v="4035"/>
    </i>
    <i r="1">
      <x v="4036"/>
    </i>
    <i r="1">
      <x v="4037"/>
    </i>
    <i r="1">
      <x v="4038"/>
    </i>
    <i r="1">
      <x v="4039"/>
    </i>
    <i r="1">
      <x v="4040"/>
    </i>
    <i r="1">
      <x v="4041"/>
    </i>
    <i r="1">
      <x v="4042"/>
    </i>
    <i r="1">
      <x v="4043"/>
    </i>
    <i r="1">
      <x v="4044"/>
    </i>
    <i r="1">
      <x v="4045"/>
    </i>
    <i r="1">
      <x v="4046"/>
    </i>
    <i r="1">
      <x v="4047"/>
    </i>
    <i r="1">
      <x v="4048"/>
    </i>
    <i r="1">
      <x v="4049"/>
    </i>
    <i r="1">
      <x v="4050"/>
    </i>
    <i r="1">
      <x v="4051"/>
    </i>
    <i r="1">
      <x v="4052"/>
    </i>
    <i r="1">
      <x v="4053"/>
    </i>
    <i r="1">
      <x v="4054"/>
    </i>
    <i r="1">
      <x v="4055"/>
    </i>
    <i r="1">
      <x v="4056"/>
    </i>
    <i r="1">
      <x v="4057"/>
    </i>
    <i r="1">
      <x v="4058"/>
    </i>
    <i r="1">
      <x v="4059"/>
    </i>
    <i r="1">
      <x v="4060"/>
    </i>
    <i r="1">
      <x v="4061"/>
    </i>
    <i r="1">
      <x v="4062"/>
    </i>
    <i r="1">
      <x v="4063"/>
    </i>
    <i r="1">
      <x v="4064"/>
    </i>
    <i r="1">
      <x v="4065"/>
    </i>
    <i r="1">
      <x v="4066"/>
    </i>
    <i r="1">
      <x v="4067"/>
    </i>
    <i r="1">
      <x v="4068"/>
    </i>
    <i r="1">
      <x v="4069"/>
    </i>
    <i r="1">
      <x v="4070"/>
    </i>
    <i r="1">
      <x v="4071"/>
    </i>
    <i r="1">
      <x v="4072"/>
    </i>
    <i r="1">
      <x v="4073"/>
    </i>
    <i r="1">
      <x v="4074"/>
    </i>
    <i r="1">
      <x v="4075"/>
    </i>
    <i r="1">
      <x v="4076"/>
    </i>
    <i r="1">
      <x v="4077"/>
    </i>
    <i r="1">
      <x v="4078"/>
    </i>
    <i r="1">
      <x v="4079"/>
    </i>
    <i r="1">
      <x v="4080"/>
    </i>
    <i r="1">
      <x v="4081"/>
    </i>
    <i r="1">
      <x v="4082"/>
    </i>
    <i r="1">
      <x v="4083"/>
    </i>
    <i r="1">
      <x v="4084"/>
    </i>
    <i r="1">
      <x v="4085"/>
    </i>
    <i r="1">
      <x v="4086"/>
    </i>
    <i r="1">
      <x v="4087"/>
    </i>
    <i r="1">
      <x v="4088"/>
    </i>
    <i r="1">
      <x v="4089"/>
    </i>
    <i r="1">
      <x v="4090"/>
    </i>
    <i r="1">
      <x v="4091"/>
    </i>
    <i r="1">
      <x v="4092"/>
    </i>
    <i r="1">
      <x v="4093"/>
    </i>
    <i r="1">
      <x v="4094"/>
    </i>
    <i r="1">
      <x v="4095"/>
    </i>
    <i r="1">
      <x v="4096"/>
    </i>
    <i r="1">
      <x v="4097"/>
    </i>
    <i r="1">
      <x v="4098"/>
    </i>
    <i r="1">
      <x v="4099"/>
    </i>
    <i r="1">
      <x v="4100"/>
    </i>
    <i r="1">
      <x v="4101"/>
    </i>
    <i r="1">
      <x v="4102"/>
    </i>
    <i r="1">
      <x v="4103"/>
    </i>
    <i r="1">
      <x v="4104"/>
    </i>
    <i r="1">
      <x v="4105"/>
    </i>
    <i r="1">
      <x v="4106"/>
    </i>
    <i r="1">
      <x v="4107"/>
    </i>
    <i r="1">
      <x v="4108"/>
    </i>
    <i r="1">
      <x v="4109"/>
    </i>
    <i r="1">
      <x v="4110"/>
    </i>
    <i r="1">
      <x v="4111"/>
    </i>
    <i r="1">
      <x v="4112"/>
    </i>
    <i r="1">
      <x v="4113"/>
    </i>
    <i r="1">
      <x v="4114"/>
    </i>
    <i r="1">
      <x v="4115"/>
    </i>
    <i r="1">
      <x v="4116"/>
    </i>
    <i r="1">
      <x v="4117"/>
    </i>
    <i r="1">
      <x v="4118"/>
    </i>
    <i r="1">
      <x v="4119"/>
    </i>
    <i r="1">
      <x v="4120"/>
    </i>
    <i r="1">
      <x v="4121"/>
    </i>
    <i r="1">
      <x v="4122"/>
    </i>
    <i r="1">
      <x v="4123"/>
    </i>
    <i r="1">
      <x v="4124"/>
    </i>
    <i r="1">
      <x v="4125"/>
    </i>
    <i r="1">
      <x v="4126"/>
    </i>
    <i r="1">
      <x v="4127"/>
    </i>
    <i r="1">
      <x v="4128"/>
    </i>
    <i r="1">
      <x v="4129"/>
    </i>
    <i r="1">
      <x v="4130"/>
    </i>
    <i r="1">
      <x v="4131"/>
    </i>
    <i r="1">
      <x v="4132"/>
    </i>
    <i r="1">
      <x v="4133"/>
    </i>
    <i r="1">
      <x v="4134"/>
    </i>
    <i r="1">
      <x v="4135"/>
    </i>
    <i r="1">
      <x v="4136"/>
    </i>
    <i r="1">
      <x v="4137"/>
    </i>
    <i r="1">
      <x v="4138"/>
    </i>
    <i r="1">
      <x v="4139"/>
    </i>
    <i r="1">
      <x v="4140"/>
    </i>
    <i r="1">
      <x v="4141"/>
    </i>
    <i r="1">
      <x v="4142"/>
    </i>
    <i r="1">
      <x v="4143"/>
    </i>
    <i r="1">
      <x v="4144"/>
    </i>
    <i r="1">
      <x v="4145"/>
    </i>
    <i r="1">
      <x v="4146"/>
    </i>
    <i r="1">
      <x v="4147"/>
    </i>
    <i r="1">
      <x v="4148"/>
    </i>
    <i r="1">
      <x v="4149"/>
    </i>
    <i r="1">
      <x v="4150"/>
    </i>
    <i r="1">
      <x v="4151"/>
    </i>
    <i r="1">
      <x v="4152"/>
    </i>
    <i r="1">
      <x v="4153"/>
    </i>
    <i r="1">
      <x v="4154"/>
    </i>
    <i r="1">
      <x v="4155"/>
    </i>
    <i r="1">
      <x v="4156"/>
    </i>
    <i r="1">
      <x v="4157"/>
    </i>
    <i r="1">
      <x v="4158"/>
    </i>
    <i r="1">
      <x v="4159"/>
    </i>
    <i r="1">
      <x v="4160"/>
    </i>
    <i r="1">
      <x v="4161"/>
    </i>
    <i r="1">
      <x v="4162"/>
    </i>
    <i r="1">
      <x v="4163"/>
    </i>
    <i r="1">
      <x v="4164"/>
    </i>
    <i r="1">
      <x v="4165"/>
    </i>
    <i r="1">
      <x v="4166"/>
    </i>
    <i r="1">
      <x v="4167"/>
    </i>
    <i r="1">
      <x v="4168"/>
    </i>
    <i r="1">
      <x v="4169"/>
    </i>
    <i r="1">
      <x v="4170"/>
    </i>
    <i r="1">
      <x v="4171"/>
    </i>
    <i r="1">
      <x v="4172"/>
    </i>
    <i r="1">
      <x v="4173"/>
    </i>
    <i r="1">
      <x v="4174"/>
    </i>
    <i r="1">
      <x v="4175"/>
    </i>
    <i r="1">
      <x v="4176"/>
    </i>
    <i r="1">
      <x v="4177"/>
    </i>
    <i r="1">
      <x v="4178"/>
    </i>
    <i r="1">
      <x v="4179"/>
    </i>
    <i r="1">
      <x v="4180"/>
    </i>
    <i r="1">
      <x v="4181"/>
    </i>
    <i r="1">
      <x v="4182"/>
    </i>
    <i r="1">
      <x v="4183"/>
    </i>
    <i r="1">
      <x v="4184"/>
    </i>
    <i r="1">
      <x v="4185"/>
    </i>
    <i r="1">
      <x v="4186"/>
    </i>
    <i r="1">
      <x v="4187"/>
    </i>
    <i r="1">
      <x v="4188"/>
    </i>
    <i r="1">
      <x v="4189"/>
    </i>
    <i r="1">
      <x v="4190"/>
    </i>
    <i r="1">
      <x v="4191"/>
    </i>
    <i r="1">
      <x v="4192"/>
    </i>
    <i r="1">
      <x v="4193"/>
    </i>
    <i r="1">
      <x v="4194"/>
    </i>
    <i r="1">
      <x v="4195"/>
    </i>
    <i r="1">
      <x v="4196"/>
    </i>
    <i r="1">
      <x v="4197"/>
    </i>
    <i r="1">
      <x v="4198"/>
    </i>
    <i r="1">
      <x v="4199"/>
    </i>
    <i r="1">
      <x v="4200"/>
    </i>
    <i r="1">
      <x v="4201"/>
    </i>
    <i r="1">
      <x v="4202"/>
    </i>
    <i r="1">
      <x v="4203"/>
    </i>
    <i r="1">
      <x v="4204"/>
    </i>
    <i r="1">
      <x v="4205"/>
    </i>
    <i r="1">
      <x v="4206"/>
    </i>
    <i r="1">
      <x v="4207"/>
    </i>
    <i r="1">
      <x v="4208"/>
    </i>
    <i r="1">
      <x v="4209"/>
    </i>
    <i r="1">
      <x v="4210"/>
    </i>
    <i r="1">
      <x v="4211"/>
    </i>
    <i r="1">
      <x v="4212"/>
    </i>
    <i r="1">
      <x v="4213"/>
    </i>
    <i r="1">
      <x v="4214"/>
    </i>
    <i r="1">
      <x v="4215"/>
    </i>
    <i r="1">
      <x v="4216"/>
    </i>
    <i r="1">
      <x v="4217"/>
    </i>
    <i r="1">
      <x v="4218"/>
    </i>
    <i r="1">
      <x v="4219"/>
    </i>
    <i r="1">
      <x v="4220"/>
    </i>
    <i r="1">
      <x v="4221"/>
    </i>
    <i r="1">
      <x v="4222"/>
    </i>
    <i r="1">
      <x v="4223"/>
    </i>
    <i r="1">
      <x v="4224"/>
    </i>
    <i r="1">
      <x v="4225"/>
    </i>
    <i r="1">
      <x v="4226"/>
    </i>
    <i r="1">
      <x v="4227"/>
    </i>
    <i r="1">
      <x v="4228"/>
    </i>
    <i r="1">
      <x v="4229"/>
    </i>
    <i r="1">
      <x v="4230"/>
    </i>
    <i r="1">
      <x v="4231"/>
    </i>
    <i r="1">
      <x v="4232"/>
    </i>
    <i r="1">
      <x v="4233"/>
    </i>
    <i r="1">
      <x v="4234"/>
    </i>
    <i r="1">
      <x v="4235"/>
    </i>
    <i r="1">
      <x v="4236"/>
    </i>
    <i r="1">
      <x v="4237"/>
    </i>
    <i r="1">
      <x v="4238"/>
    </i>
    <i r="1">
      <x v="4239"/>
    </i>
    <i r="1">
      <x v="4240"/>
    </i>
    <i r="1">
      <x v="4241"/>
    </i>
    <i r="1">
      <x v="4242"/>
    </i>
    <i r="1">
      <x v="4243"/>
    </i>
    <i r="1">
      <x v="4244"/>
    </i>
    <i r="1">
      <x v="4245"/>
    </i>
    <i r="1">
      <x v="4246"/>
    </i>
    <i r="1">
      <x v="4247"/>
    </i>
    <i r="1">
      <x v="4248"/>
    </i>
    <i r="1">
      <x v="4249"/>
    </i>
    <i r="1">
      <x v="4250"/>
    </i>
    <i r="1">
      <x v="4251"/>
    </i>
    <i r="1">
      <x v="4252"/>
    </i>
    <i r="1">
      <x v="4253"/>
    </i>
    <i r="1">
      <x v="4254"/>
    </i>
    <i r="1">
      <x v="4255"/>
    </i>
    <i r="1">
      <x v="4256"/>
    </i>
    <i r="1">
      <x v="4257"/>
    </i>
    <i r="1">
      <x v="4258"/>
    </i>
    <i r="1">
      <x v="4259"/>
    </i>
    <i r="1">
      <x v="4260"/>
    </i>
    <i r="1">
      <x v="4261"/>
    </i>
    <i r="1">
      <x v="4262"/>
    </i>
    <i r="1">
      <x v="4263"/>
    </i>
    <i r="1">
      <x v="4264"/>
    </i>
    <i r="1">
      <x v="4265"/>
    </i>
    <i r="1">
      <x v="4266"/>
    </i>
    <i r="1">
      <x v="4267"/>
    </i>
    <i r="1">
      <x v="4268"/>
    </i>
    <i r="1">
      <x v="4269"/>
    </i>
    <i r="1">
      <x v="4270"/>
    </i>
    <i r="1">
      <x v="4271"/>
    </i>
    <i r="1">
      <x v="4272"/>
    </i>
    <i r="1">
      <x v="4273"/>
    </i>
    <i r="1">
      <x v="4274"/>
    </i>
    <i r="1">
      <x v="4275"/>
    </i>
    <i r="1">
      <x v="4276"/>
    </i>
    <i r="1">
      <x v="4277"/>
    </i>
    <i r="1">
      <x v="4278"/>
    </i>
    <i r="1">
      <x v="4279"/>
    </i>
    <i r="1">
      <x v="4280"/>
    </i>
    <i r="1">
      <x v="4281"/>
    </i>
    <i r="1">
      <x v="4282"/>
    </i>
    <i r="1">
      <x v="4283"/>
    </i>
    <i r="1">
      <x v="4284"/>
    </i>
    <i r="1">
      <x v="4285"/>
    </i>
    <i r="1">
      <x v="4286"/>
    </i>
    <i r="1">
      <x v="4287"/>
    </i>
    <i r="1">
      <x v="4288"/>
    </i>
    <i r="1">
      <x v="4289"/>
    </i>
    <i r="1">
      <x v="4290"/>
    </i>
    <i r="1">
      <x v="4291"/>
    </i>
    <i r="1">
      <x v="4292"/>
    </i>
    <i r="1">
      <x v="4293"/>
    </i>
    <i r="1">
      <x v="4294"/>
    </i>
    <i r="1">
      <x v="4295"/>
    </i>
    <i r="1">
      <x v="4296"/>
    </i>
    <i r="1">
      <x v="4297"/>
    </i>
    <i r="1">
      <x v="4298"/>
    </i>
    <i r="1">
      <x v="4299"/>
    </i>
    <i r="1">
      <x v="4300"/>
    </i>
    <i r="1">
      <x v="4301"/>
    </i>
    <i r="1">
      <x v="4302"/>
    </i>
    <i r="1">
      <x v="4303"/>
    </i>
    <i r="1">
      <x v="4304"/>
    </i>
    <i r="1">
      <x v="4305"/>
    </i>
    <i r="1">
      <x v="4306"/>
    </i>
    <i r="1">
      <x v="4307"/>
    </i>
    <i r="1">
      <x v="4308"/>
    </i>
    <i r="1">
      <x v="4309"/>
    </i>
    <i r="1">
      <x v="4310"/>
    </i>
    <i r="1">
      <x v="4311"/>
    </i>
    <i r="1">
      <x v="4312"/>
    </i>
    <i r="1">
      <x v="4313"/>
    </i>
    <i r="1">
      <x v="4314"/>
    </i>
    <i r="1">
      <x v="4315"/>
    </i>
    <i r="1">
      <x v="4316"/>
    </i>
    <i r="1">
      <x v="4317"/>
    </i>
    <i r="1">
      <x v="4318"/>
    </i>
    <i r="1">
      <x v="4319"/>
    </i>
    <i r="1">
      <x v="4320"/>
    </i>
    <i r="1">
      <x v="4321"/>
    </i>
    <i r="1">
      <x v="4322"/>
    </i>
    <i r="1">
      <x v="4323"/>
    </i>
    <i r="1">
      <x v="4324"/>
    </i>
    <i r="1">
      <x v="4325"/>
    </i>
    <i r="1">
      <x v="4326"/>
    </i>
    <i r="1">
      <x v="4327"/>
    </i>
    <i r="1">
      <x v="4328"/>
    </i>
    <i r="1">
      <x v="4329"/>
    </i>
    <i r="1">
      <x v="4330"/>
    </i>
    <i r="1">
      <x v="4331"/>
    </i>
    <i r="1">
      <x v="4332"/>
    </i>
    <i r="1">
      <x v="4333"/>
    </i>
    <i r="1">
      <x v="4334"/>
    </i>
    <i r="1">
      <x v="4335"/>
    </i>
    <i r="1">
      <x v="4336"/>
    </i>
    <i r="1">
      <x v="4337"/>
    </i>
    <i r="1">
      <x v="4338"/>
    </i>
    <i r="1">
      <x v="4339"/>
    </i>
    <i r="1">
      <x v="4340"/>
    </i>
    <i r="1">
      <x v="4341"/>
    </i>
    <i r="1">
      <x v="4342"/>
    </i>
    <i r="1">
      <x v="4343"/>
    </i>
    <i r="1">
      <x v="4344"/>
    </i>
    <i r="1">
      <x v="4345"/>
    </i>
    <i r="1">
      <x v="4346"/>
    </i>
    <i r="1">
      <x v="4347"/>
    </i>
    <i r="1">
      <x v="4348"/>
    </i>
    <i r="1">
      <x v="4349"/>
    </i>
    <i r="1">
      <x v="4350"/>
    </i>
    <i r="1">
      <x v="4351"/>
    </i>
    <i r="1">
      <x v="4352"/>
    </i>
    <i r="1">
      <x v="4353"/>
    </i>
    <i r="1">
      <x v="4354"/>
    </i>
    <i r="1">
      <x v="4355"/>
    </i>
    <i r="1">
      <x v="4356"/>
    </i>
    <i r="1">
      <x v="4357"/>
    </i>
    <i r="1">
      <x v="4358"/>
    </i>
    <i r="1">
      <x v="4359"/>
    </i>
    <i r="1">
      <x v="4360"/>
    </i>
    <i r="1">
      <x v="4361"/>
    </i>
    <i r="1">
      <x v="4362"/>
    </i>
    <i r="1">
      <x v="4363"/>
    </i>
    <i r="1">
      <x v="4364"/>
    </i>
    <i r="1">
      <x v="4365"/>
    </i>
    <i r="1">
      <x v="4366"/>
    </i>
    <i r="1">
      <x v="4367"/>
    </i>
    <i r="1">
      <x v="4368"/>
    </i>
    <i r="1">
      <x v="4369"/>
    </i>
    <i r="1">
      <x v="4370"/>
    </i>
    <i r="1">
      <x v="4371"/>
    </i>
    <i r="1">
      <x v="4372"/>
    </i>
    <i r="1">
      <x v="4373"/>
    </i>
    <i r="1">
      <x v="4374"/>
    </i>
    <i r="1">
      <x v="4375"/>
    </i>
    <i r="1">
      <x v="4376"/>
    </i>
    <i r="1">
      <x v="4377"/>
    </i>
    <i r="1">
      <x v="4378"/>
    </i>
    <i r="1">
      <x v="4379"/>
    </i>
    <i r="1">
      <x v="4380"/>
    </i>
    <i r="1">
      <x v="4381"/>
    </i>
    <i r="1">
      <x v="4382"/>
    </i>
    <i r="1">
      <x v="4383"/>
    </i>
    <i r="1">
      <x v="4384"/>
    </i>
    <i r="1">
      <x v="4385"/>
    </i>
    <i r="1">
      <x v="4386"/>
    </i>
    <i r="1">
      <x v="4387"/>
    </i>
    <i r="1">
      <x v="4388"/>
    </i>
    <i r="1">
      <x v="4389"/>
    </i>
    <i r="1">
      <x v="4390"/>
    </i>
    <i r="1">
      <x v="4391"/>
    </i>
    <i r="1">
      <x v="4392"/>
    </i>
    <i r="1">
      <x v="4393"/>
    </i>
    <i r="1">
      <x v="4394"/>
    </i>
    <i r="1">
      <x v="4395"/>
    </i>
    <i r="1">
      <x v="4396"/>
    </i>
    <i r="1">
      <x v="4397"/>
    </i>
    <i r="1">
      <x v="4398"/>
    </i>
    <i r="1">
      <x v="4399"/>
    </i>
    <i r="1">
      <x v="4400"/>
    </i>
    <i r="1">
      <x v="4401"/>
    </i>
    <i r="1">
      <x v="4402"/>
    </i>
    <i r="1">
      <x v="4403"/>
    </i>
    <i r="1">
      <x v="4404"/>
    </i>
    <i r="1">
      <x v="4405"/>
    </i>
    <i r="1">
      <x v="4406"/>
    </i>
    <i r="1">
      <x v="4407"/>
    </i>
    <i r="1">
      <x v="4408"/>
    </i>
    <i r="1">
      <x v="4409"/>
    </i>
    <i r="1">
      <x v="4410"/>
    </i>
    <i r="1">
      <x v="4411"/>
    </i>
    <i r="1">
      <x v="4412"/>
    </i>
    <i r="1">
      <x v="4413"/>
    </i>
    <i r="1">
      <x v="4414"/>
    </i>
    <i r="1">
      <x v="4415"/>
    </i>
    <i r="1">
      <x v="4416"/>
    </i>
    <i r="1">
      <x v="4417"/>
    </i>
    <i r="1">
      <x v="4418"/>
    </i>
    <i r="1">
      <x v="4419"/>
    </i>
    <i r="1">
      <x v="4420"/>
    </i>
    <i r="1">
      <x v="4421"/>
    </i>
    <i r="1">
      <x v="4422"/>
    </i>
    <i r="1">
      <x v="4423"/>
    </i>
    <i r="1">
      <x v="4424"/>
    </i>
    <i r="1">
      <x v="4425"/>
    </i>
    <i r="1">
      <x v="4426"/>
    </i>
    <i r="1">
      <x v="4427"/>
    </i>
    <i r="1">
      <x v="4428"/>
    </i>
    <i r="1">
      <x v="4429"/>
    </i>
    <i r="1">
      <x v="4430"/>
    </i>
    <i r="1">
      <x v="4431"/>
    </i>
    <i r="1">
      <x v="4432"/>
    </i>
    <i r="1">
      <x v="4433"/>
    </i>
    <i r="1">
      <x v="4434"/>
    </i>
    <i r="1">
      <x v="4435"/>
    </i>
    <i r="1">
      <x v="4436"/>
    </i>
    <i r="1">
      <x v="4437"/>
    </i>
    <i r="1">
      <x v="4438"/>
    </i>
    <i r="1">
      <x v="4439"/>
    </i>
    <i r="1">
      <x v="4440"/>
    </i>
    <i r="1">
      <x v="4441"/>
    </i>
    <i r="1">
      <x v="4442"/>
    </i>
    <i r="1">
      <x v="4443"/>
    </i>
    <i r="1">
      <x v="4444"/>
    </i>
    <i r="1">
      <x v="4445"/>
    </i>
    <i r="1">
      <x v="4446"/>
    </i>
    <i r="1">
      <x v="4447"/>
    </i>
    <i r="1">
      <x v="4448"/>
    </i>
    <i r="1">
      <x v="4449"/>
    </i>
    <i r="1">
      <x v="4450"/>
    </i>
    <i r="1">
      <x v="4451"/>
    </i>
    <i r="1">
      <x v="4452"/>
    </i>
    <i r="1">
      <x v="4453"/>
    </i>
    <i r="1">
      <x v="4454"/>
    </i>
    <i r="1">
      <x v="4455"/>
    </i>
    <i r="1">
      <x v="4456"/>
    </i>
    <i r="1">
      <x v="4457"/>
    </i>
    <i r="1">
      <x v="4458"/>
    </i>
    <i r="1">
      <x v="4459"/>
    </i>
    <i r="1">
      <x v="4460"/>
    </i>
    <i r="1">
      <x v="4461"/>
    </i>
    <i r="1">
      <x v="4462"/>
    </i>
    <i r="1">
      <x v="4463"/>
    </i>
    <i r="1">
      <x v="4464"/>
    </i>
    <i r="1">
      <x v="4465"/>
    </i>
    <i r="1">
      <x v="4466"/>
    </i>
    <i r="1">
      <x v="4467"/>
    </i>
    <i r="1">
      <x v="4468"/>
    </i>
    <i r="1">
      <x v="4469"/>
    </i>
    <i r="1">
      <x v="4470"/>
    </i>
    <i r="1">
      <x v="4471"/>
    </i>
    <i r="1">
      <x v="4472"/>
    </i>
    <i r="1">
      <x v="4473"/>
    </i>
    <i r="1">
      <x v="4474"/>
    </i>
    <i r="1">
      <x v="4475"/>
    </i>
    <i r="1">
      <x v="4476"/>
    </i>
    <i r="1">
      <x v="4477"/>
    </i>
    <i r="1">
      <x v="4478"/>
    </i>
    <i r="1">
      <x v="4479"/>
    </i>
    <i r="1">
      <x v="4480"/>
    </i>
    <i r="1">
      <x v="4481"/>
    </i>
    <i r="1">
      <x v="4482"/>
    </i>
    <i r="1">
      <x v="4483"/>
    </i>
    <i r="1">
      <x v="4484"/>
    </i>
    <i r="1">
      <x v="4485"/>
    </i>
    <i r="1">
      <x v="4486"/>
    </i>
    <i r="1">
      <x v="4487"/>
    </i>
    <i r="1">
      <x v="4488"/>
    </i>
    <i r="1">
      <x v="4489"/>
    </i>
    <i r="1">
      <x v="4490"/>
    </i>
    <i r="1">
      <x v="4491"/>
    </i>
    <i r="1">
      <x v="4492"/>
    </i>
    <i r="1">
      <x v="4493"/>
    </i>
    <i r="1">
      <x v="4494"/>
    </i>
    <i r="1">
      <x v="4495"/>
    </i>
    <i r="1">
      <x v="4496"/>
    </i>
    <i r="1">
      <x v="4497"/>
    </i>
    <i r="1">
      <x v="4498"/>
    </i>
    <i r="1">
      <x v="4499"/>
    </i>
    <i r="1">
      <x v="4500"/>
    </i>
    <i r="1">
      <x v="4501"/>
    </i>
    <i r="1">
      <x v="4502"/>
    </i>
    <i r="1">
      <x v="4503"/>
    </i>
    <i r="1">
      <x v="4504"/>
    </i>
    <i r="1">
      <x v="4505"/>
    </i>
    <i r="1">
      <x v="4506"/>
    </i>
    <i r="1">
      <x v="4507"/>
    </i>
    <i r="1">
      <x v="4508"/>
    </i>
    <i r="1">
      <x v="4509"/>
    </i>
    <i r="1">
      <x v="4510"/>
    </i>
    <i r="1">
      <x v="4511"/>
    </i>
    <i r="1">
      <x v="4512"/>
    </i>
    <i r="1">
      <x v="4513"/>
    </i>
    <i r="1">
      <x v="4514"/>
    </i>
    <i r="1">
      <x v="4515"/>
    </i>
    <i r="1">
      <x v="4516"/>
    </i>
    <i r="1">
      <x v="4517"/>
    </i>
    <i r="1">
      <x v="4518"/>
    </i>
    <i r="1">
      <x v="4519"/>
    </i>
    <i r="1">
      <x v="4520"/>
    </i>
    <i r="1">
      <x v="4521"/>
    </i>
    <i r="1">
      <x v="4522"/>
    </i>
    <i r="1">
      <x v="4523"/>
    </i>
    <i r="1">
      <x v="4524"/>
    </i>
    <i r="1">
      <x v="4525"/>
    </i>
    <i r="1">
      <x v="4526"/>
    </i>
    <i r="1">
      <x v="4527"/>
    </i>
    <i r="1">
      <x v="4528"/>
    </i>
    <i r="1">
      <x v="4529"/>
    </i>
    <i r="1">
      <x v="4530"/>
    </i>
    <i r="1">
      <x v="4531"/>
    </i>
    <i r="1">
      <x v="4532"/>
    </i>
    <i r="1">
      <x v="4533"/>
    </i>
    <i r="1">
      <x v="4534"/>
    </i>
    <i r="1">
      <x v="4535"/>
    </i>
    <i r="1">
      <x v="4536"/>
    </i>
    <i r="1">
      <x v="4537"/>
    </i>
    <i r="1">
      <x v="4538"/>
    </i>
    <i r="1">
      <x v="4539"/>
    </i>
    <i r="1">
      <x v="4540"/>
    </i>
    <i r="1">
      <x v="4541"/>
    </i>
    <i r="1">
      <x v="4542"/>
    </i>
    <i r="1">
      <x v="4543"/>
    </i>
    <i r="1">
      <x v="4544"/>
    </i>
    <i r="1">
      <x v="4545"/>
    </i>
    <i r="1">
      <x v="4546"/>
    </i>
    <i r="1">
      <x v="4547"/>
    </i>
    <i r="1">
      <x v="4548"/>
    </i>
    <i r="1">
      <x v="4549"/>
    </i>
    <i r="1">
      <x v="4550"/>
    </i>
    <i r="1">
      <x v="4551"/>
    </i>
    <i r="1">
      <x v="4552"/>
    </i>
    <i r="1">
      <x v="4553"/>
    </i>
    <i r="1">
      <x v="4554"/>
    </i>
    <i r="1">
      <x v="4555"/>
    </i>
    <i r="1">
      <x v="4556"/>
    </i>
    <i r="1">
      <x v="4557"/>
    </i>
    <i r="1">
      <x v="4558"/>
    </i>
    <i r="1">
      <x v="4559"/>
    </i>
    <i r="1">
      <x v="4560"/>
    </i>
    <i r="1">
      <x v="4561"/>
    </i>
    <i r="1">
      <x v="4562"/>
    </i>
    <i r="1">
      <x v="4563"/>
    </i>
    <i r="1">
      <x v="4564"/>
    </i>
    <i r="1">
      <x v="4565"/>
    </i>
    <i r="1">
      <x v="4566"/>
    </i>
    <i r="1">
      <x v="4567"/>
    </i>
    <i r="1">
      <x v="4568"/>
    </i>
    <i r="1">
      <x v="4569"/>
    </i>
    <i r="1">
      <x v="4570"/>
    </i>
    <i r="1">
      <x v="4571"/>
    </i>
    <i r="1">
      <x v="4572"/>
    </i>
    <i r="1">
      <x v="4573"/>
    </i>
    <i r="1">
      <x v="4574"/>
    </i>
    <i r="1">
      <x v="4575"/>
    </i>
    <i r="1">
      <x v="4576"/>
    </i>
    <i r="1">
      <x v="4577"/>
    </i>
    <i r="1">
      <x v="4578"/>
    </i>
    <i r="1">
      <x v="4579"/>
    </i>
    <i r="1">
      <x v="4580"/>
    </i>
    <i r="1">
      <x v="4581"/>
    </i>
    <i r="1">
      <x v="4582"/>
    </i>
    <i r="1">
      <x v="4583"/>
    </i>
    <i r="1">
      <x v="4584"/>
    </i>
    <i r="1">
      <x v="4585"/>
    </i>
    <i r="1">
      <x v="4586"/>
    </i>
    <i r="1">
      <x v="4587"/>
    </i>
    <i r="1">
      <x v="4588"/>
    </i>
    <i r="1">
      <x v="4589"/>
    </i>
    <i r="1">
      <x v="4590"/>
    </i>
    <i r="1">
      <x v="4591"/>
    </i>
    <i r="1">
      <x v="4592"/>
    </i>
    <i r="1">
      <x v="4593"/>
    </i>
    <i r="1">
      <x v="4594"/>
    </i>
    <i r="1">
      <x v="4595"/>
    </i>
    <i r="1">
      <x v="4596"/>
    </i>
    <i r="1">
      <x v="4597"/>
    </i>
    <i r="1">
      <x v="4598"/>
    </i>
    <i r="1">
      <x v="4599"/>
    </i>
    <i r="1">
      <x v="4600"/>
    </i>
    <i r="1">
      <x v="4601"/>
    </i>
    <i r="1">
      <x v="4602"/>
    </i>
    <i r="1">
      <x v="4603"/>
    </i>
    <i r="1">
      <x v="4604"/>
    </i>
    <i r="1">
      <x v="4605"/>
    </i>
    <i r="1">
      <x v="4606"/>
    </i>
    <i r="1">
      <x v="4607"/>
    </i>
    <i r="1">
      <x v="4608"/>
    </i>
    <i r="1">
      <x v="4609"/>
    </i>
    <i r="1">
      <x v="4610"/>
    </i>
    <i r="1">
      <x v="4611"/>
    </i>
    <i r="1">
      <x v="4612"/>
    </i>
    <i r="1">
      <x v="4613"/>
    </i>
    <i r="1">
      <x v="4614"/>
    </i>
    <i r="1">
      <x v="4615"/>
    </i>
    <i r="1">
      <x v="4616"/>
    </i>
    <i r="1">
      <x v="4617"/>
    </i>
    <i r="1">
      <x v="4618"/>
    </i>
    <i r="1">
      <x v="4619"/>
    </i>
    <i r="1">
      <x v="4620"/>
    </i>
    <i r="1">
      <x v="4621"/>
    </i>
    <i r="1">
      <x v="4622"/>
    </i>
    <i r="1">
      <x v="4623"/>
    </i>
    <i r="1">
      <x v="4624"/>
    </i>
    <i r="1">
      <x v="4625"/>
    </i>
    <i r="1">
      <x v="4626"/>
    </i>
    <i r="1">
      <x v="4627"/>
    </i>
    <i r="1">
      <x v="4628"/>
    </i>
    <i r="1">
      <x v="4629"/>
    </i>
    <i r="1">
      <x v="4630"/>
    </i>
    <i r="1">
      <x v="4631"/>
    </i>
    <i r="1">
      <x v="4632"/>
    </i>
    <i r="1">
      <x v="4633"/>
    </i>
    <i r="1">
      <x v="4634"/>
    </i>
    <i r="1">
      <x v="4635"/>
    </i>
    <i r="1">
      <x v="4636"/>
    </i>
    <i r="1">
      <x v="4637"/>
    </i>
    <i r="1">
      <x v="4638"/>
    </i>
    <i r="1">
      <x v="4639"/>
    </i>
    <i r="1">
      <x v="4640"/>
    </i>
    <i r="1">
      <x v="4641"/>
    </i>
    <i r="1">
      <x v="4642"/>
    </i>
    <i r="1">
      <x v="4643"/>
    </i>
    <i r="1">
      <x v="4644"/>
    </i>
    <i r="1">
      <x v="4645"/>
    </i>
    <i r="1">
      <x v="4646"/>
    </i>
    <i r="1">
      <x v="4647"/>
    </i>
    <i r="1">
      <x v="4648"/>
    </i>
    <i r="1">
      <x v="4649"/>
    </i>
    <i r="1">
      <x v="4650"/>
    </i>
    <i r="1">
      <x v="4651"/>
    </i>
    <i r="1">
      <x v="4652"/>
    </i>
    <i r="1">
      <x v="4653"/>
    </i>
    <i r="1">
      <x v="4654"/>
    </i>
    <i r="1">
      <x v="4655"/>
    </i>
    <i r="1">
      <x v="4656"/>
    </i>
    <i r="1">
      <x v="4657"/>
    </i>
    <i r="1">
      <x v="4658"/>
    </i>
    <i r="1">
      <x v="4659"/>
    </i>
    <i r="1">
      <x v="4660"/>
    </i>
    <i r="1">
      <x v="4661"/>
    </i>
    <i r="1">
      <x v="4662"/>
    </i>
    <i r="1">
      <x v="4663"/>
    </i>
    <i r="1">
      <x v="4664"/>
    </i>
    <i r="1">
      <x v="4665"/>
    </i>
    <i r="1">
      <x v="4666"/>
    </i>
    <i r="1">
      <x v="4667"/>
    </i>
    <i r="1">
      <x v="4668"/>
    </i>
    <i r="1">
      <x v="4669"/>
    </i>
    <i r="1">
      <x v="4670"/>
    </i>
    <i r="1">
      <x v="4671"/>
    </i>
    <i r="1">
      <x v="4672"/>
    </i>
    <i r="1">
      <x v="4673"/>
    </i>
    <i r="1">
      <x v="4674"/>
    </i>
    <i r="1">
      <x v="4675"/>
    </i>
    <i r="1">
      <x v="4676"/>
    </i>
    <i r="1">
      <x v="4677"/>
    </i>
    <i r="1">
      <x v="4678"/>
    </i>
    <i r="1">
      <x v="4679"/>
    </i>
    <i r="1">
      <x v="4680"/>
    </i>
    <i r="1">
      <x v="4681"/>
    </i>
    <i r="1">
      <x v="4682"/>
    </i>
    <i r="1">
      <x v="4683"/>
    </i>
    <i r="1">
      <x v="4684"/>
    </i>
    <i r="1">
      <x v="4685"/>
    </i>
    <i r="1">
      <x v="4686"/>
    </i>
    <i r="1">
      <x v="4687"/>
    </i>
    <i r="1">
      <x v="4688"/>
    </i>
    <i r="1">
      <x v="4689"/>
    </i>
    <i r="1">
      <x v="4690"/>
    </i>
    <i r="1">
      <x v="4691"/>
    </i>
    <i r="1">
      <x v="4692"/>
    </i>
    <i r="1">
      <x v="4693"/>
    </i>
    <i r="1">
      <x v="4694"/>
    </i>
    <i r="1">
      <x v="4695"/>
    </i>
    <i r="1">
      <x v="4696"/>
    </i>
    <i r="1">
      <x v="4697"/>
    </i>
    <i r="1">
      <x v="4698"/>
    </i>
    <i r="1">
      <x v="4699"/>
    </i>
    <i r="1">
      <x v="4700"/>
    </i>
    <i r="1">
      <x v="4701"/>
    </i>
    <i r="1">
      <x v="4702"/>
    </i>
    <i r="1">
      <x v="4703"/>
    </i>
    <i r="1">
      <x v="4704"/>
    </i>
    <i r="1">
      <x v="4705"/>
    </i>
    <i r="1">
      <x v="4706"/>
    </i>
    <i r="1">
      <x v="4707"/>
    </i>
    <i r="1">
      <x v="4708"/>
    </i>
    <i r="1">
      <x v="4709"/>
    </i>
    <i r="1">
      <x v="4710"/>
    </i>
    <i r="1">
      <x v="4711"/>
    </i>
    <i r="1">
      <x v="4712"/>
    </i>
    <i r="1">
      <x v="4713"/>
    </i>
    <i r="1">
      <x v="4714"/>
    </i>
    <i r="1">
      <x v="4715"/>
    </i>
    <i r="1">
      <x v="4716"/>
    </i>
    <i r="1">
      <x v="4717"/>
    </i>
    <i r="1">
      <x v="4718"/>
    </i>
    <i r="1">
      <x v="4719"/>
    </i>
    <i r="1">
      <x v="4720"/>
    </i>
    <i r="1">
      <x v="4721"/>
    </i>
    <i r="1">
      <x v="4722"/>
    </i>
    <i r="1">
      <x v="4723"/>
    </i>
    <i r="1">
      <x v="4724"/>
    </i>
    <i r="1">
      <x v="4725"/>
    </i>
    <i r="1">
      <x v="4726"/>
    </i>
    <i r="1">
      <x v="4727"/>
    </i>
    <i r="1">
      <x v="4728"/>
    </i>
    <i r="1">
      <x v="4729"/>
    </i>
    <i r="1">
      <x v="4730"/>
    </i>
    <i r="1">
      <x v="4731"/>
    </i>
    <i r="1">
      <x v="4732"/>
    </i>
    <i r="1">
      <x v="4733"/>
    </i>
    <i r="1">
      <x v="4734"/>
    </i>
    <i r="1">
      <x v="4735"/>
    </i>
    <i r="1">
      <x v="4736"/>
    </i>
    <i r="1">
      <x v="4737"/>
    </i>
    <i r="1">
      <x v="4738"/>
    </i>
    <i r="1">
      <x v="4739"/>
    </i>
    <i r="1">
      <x v="4740"/>
    </i>
    <i r="1">
      <x v="4741"/>
    </i>
    <i r="1">
      <x v="4742"/>
    </i>
    <i r="1">
      <x v="4743"/>
    </i>
    <i r="1">
      <x v="4744"/>
    </i>
    <i r="1">
      <x v="4745"/>
    </i>
    <i r="1">
      <x v="4746"/>
    </i>
    <i r="1">
      <x v="4747"/>
    </i>
    <i r="1">
      <x v="4748"/>
    </i>
    <i r="1">
      <x v="4749"/>
    </i>
    <i r="1">
      <x v="4750"/>
    </i>
    <i r="1">
      <x v="4751"/>
    </i>
    <i r="1">
      <x v="4752"/>
    </i>
    <i r="1">
      <x v="4753"/>
    </i>
    <i r="1">
      <x v="4754"/>
    </i>
    <i r="1">
      <x v="4755"/>
    </i>
    <i r="1">
      <x v="4756"/>
    </i>
    <i r="1">
      <x v="4757"/>
    </i>
    <i r="1">
      <x v="4758"/>
    </i>
    <i r="1">
      <x v="4759"/>
    </i>
    <i r="1">
      <x v="4760"/>
    </i>
    <i r="1">
      <x v="4761"/>
    </i>
    <i r="1">
      <x v="4762"/>
    </i>
    <i r="1">
      <x v="4763"/>
    </i>
    <i r="1">
      <x v="4764"/>
    </i>
    <i r="1">
      <x v="4765"/>
    </i>
    <i r="1">
      <x v="4766"/>
    </i>
    <i r="1">
      <x v="4767"/>
    </i>
    <i r="1">
      <x v="4768"/>
    </i>
    <i r="1">
      <x v="4769"/>
    </i>
    <i r="1">
      <x v="4770"/>
    </i>
    <i r="1">
      <x v="4771"/>
    </i>
    <i r="1">
      <x v="4772"/>
    </i>
    <i r="1">
      <x v="4773"/>
    </i>
    <i r="1">
      <x v="4774"/>
    </i>
    <i r="1">
      <x v="4775"/>
    </i>
    <i r="1">
      <x v="4776"/>
    </i>
    <i r="1">
      <x v="4777"/>
    </i>
    <i r="1">
      <x v="4778"/>
    </i>
    <i r="1">
      <x v="4779"/>
    </i>
    <i r="1">
      <x v="4780"/>
    </i>
    <i r="1">
      <x v="4781"/>
    </i>
    <i r="1">
      <x v="4782"/>
    </i>
    <i r="1">
      <x v="4783"/>
    </i>
    <i r="1">
      <x v="4784"/>
    </i>
    <i r="1">
      <x v="4785"/>
    </i>
    <i r="1">
      <x v="4786"/>
    </i>
    <i r="1">
      <x v="4787"/>
    </i>
    <i r="1">
      <x v="4788"/>
    </i>
    <i r="1">
      <x v="4789"/>
    </i>
    <i r="1">
      <x v="4790"/>
    </i>
    <i r="1">
      <x v="4791"/>
    </i>
    <i r="1">
      <x v="4792"/>
    </i>
    <i r="1">
      <x v="4793"/>
    </i>
    <i r="1">
      <x v="4794"/>
    </i>
    <i r="1">
      <x v="4795"/>
    </i>
    <i r="1">
      <x v="4796"/>
    </i>
    <i r="1">
      <x v="4797"/>
    </i>
    <i r="1">
      <x v="4798"/>
    </i>
    <i r="1">
      <x v="4799"/>
    </i>
    <i r="1">
      <x v="4800"/>
    </i>
    <i r="1">
      <x v="4801"/>
    </i>
    <i r="1">
      <x v="4802"/>
    </i>
    <i r="1">
      <x v="4803"/>
    </i>
    <i r="1">
      <x v="4804"/>
    </i>
    <i r="1">
      <x v="4805"/>
    </i>
    <i r="1">
      <x v="4806"/>
    </i>
    <i r="1">
      <x v="4807"/>
    </i>
    <i r="1">
      <x v="4808"/>
    </i>
    <i r="1">
      <x v="4809"/>
    </i>
    <i r="1">
      <x v="4810"/>
    </i>
    <i r="1">
      <x v="4811"/>
    </i>
    <i r="1">
      <x v="4812"/>
    </i>
    <i r="1">
      <x v="4813"/>
    </i>
    <i r="1">
      <x v="4814"/>
    </i>
    <i r="1">
      <x v="4815"/>
    </i>
    <i r="1">
      <x v="4816"/>
    </i>
    <i r="1">
      <x v="4817"/>
    </i>
    <i r="1">
      <x v="4818"/>
    </i>
    <i r="1">
      <x v="4819"/>
    </i>
    <i r="1">
      <x v="4820"/>
    </i>
    <i r="1">
      <x v="4821"/>
    </i>
    <i r="1">
      <x v="4822"/>
    </i>
    <i r="1">
      <x v="4823"/>
    </i>
    <i r="1">
      <x v="4824"/>
    </i>
    <i r="1">
      <x v="4825"/>
    </i>
    <i r="1">
      <x v="4826"/>
    </i>
    <i r="1">
      <x v="4827"/>
    </i>
    <i r="1">
      <x v="4828"/>
    </i>
    <i r="1">
      <x v="4829"/>
    </i>
    <i r="1">
      <x v="4830"/>
    </i>
    <i r="1">
      <x v="4831"/>
    </i>
    <i r="1">
      <x v="4832"/>
    </i>
    <i r="1">
      <x v="4833"/>
    </i>
    <i r="1">
      <x v="4834"/>
    </i>
    <i r="1">
      <x v="4835"/>
    </i>
    <i r="1">
      <x v="4836"/>
    </i>
    <i r="1">
      <x v="4837"/>
    </i>
    <i r="1">
      <x v="4838"/>
    </i>
    <i r="1">
      <x v="4839"/>
    </i>
    <i r="1">
      <x v="4840"/>
    </i>
    <i r="1">
      <x v="4841"/>
    </i>
    <i r="1">
      <x v="4842"/>
    </i>
    <i r="1">
      <x v="4843"/>
    </i>
    <i r="1">
      <x v="4844"/>
    </i>
    <i r="1">
      <x v="4845"/>
    </i>
    <i r="1">
      <x v="4846"/>
    </i>
    <i r="1">
      <x v="4847"/>
    </i>
    <i r="1">
      <x v="4848"/>
    </i>
    <i r="1">
      <x v="4849"/>
    </i>
    <i r="1">
      <x v="4850"/>
    </i>
    <i r="1">
      <x v="4851"/>
    </i>
    <i r="1">
      <x v="4852"/>
    </i>
    <i r="1">
      <x v="4853"/>
    </i>
    <i r="1">
      <x v="4854"/>
    </i>
    <i r="1">
      <x v="4855"/>
    </i>
    <i r="1">
      <x v="4856"/>
    </i>
    <i r="1">
      <x v="4857"/>
    </i>
    <i r="1">
      <x v="4858"/>
    </i>
    <i r="1">
      <x v="4859"/>
    </i>
    <i r="1">
      <x v="4860"/>
    </i>
    <i r="1">
      <x v="4861"/>
    </i>
    <i r="1">
      <x v="4862"/>
    </i>
    <i r="1">
      <x v="4863"/>
    </i>
    <i r="1">
      <x v="4864"/>
    </i>
    <i r="1">
      <x v="4865"/>
    </i>
    <i r="1">
      <x v="4866"/>
    </i>
    <i r="1">
      <x v="4867"/>
    </i>
    <i r="1">
      <x v="4868"/>
    </i>
    <i r="1">
      <x v="4869"/>
    </i>
    <i r="1">
      <x v="4870"/>
    </i>
    <i r="1">
      <x v="4871"/>
    </i>
    <i r="1">
      <x v="4872"/>
    </i>
    <i r="1">
      <x v="4873"/>
    </i>
    <i r="1">
      <x v="4874"/>
    </i>
    <i r="1">
      <x v="4875"/>
    </i>
    <i r="1">
      <x v="4876"/>
    </i>
    <i r="1">
      <x v="4877"/>
    </i>
    <i r="1">
      <x v="4878"/>
    </i>
    <i r="1">
      <x v="4879"/>
    </i>
    <i r="1">
      <x v="4880"/>
    </i>
    <i r="1">
      <x v="4881"/>
    </i>
    <i r="1">
      <x v="4882"/>
    </i>
    <i r="1">
      <x v="4883"/>
    </i>
    <i r="1">
      <x v="4884"/>
    </i>
    <i r="1">
      <x v="4885"/>
    </i>
    <i r="1">
      <x v="4886"/>
    </i>
    <i r="1">
      <x v="4887"/>
    </i>
    <i r="1">
      <x v="4888"/>
    </i>
    <i r="1">
      <x v="4889"/>
    </i>
    <i r="1">
      <x v="4890"/>
    </i>
    <i r="1">
      <x v="4891"/>
    </i>
    <i r="1">
      <x v="4892"/>
    </i>
    <i r="1">
      <x v="4893"/>
    </i>
    <i r="1">
      <x v="4894"/>
    </i>
    <i r="1">
      <x v="4895"/>
    </i>
    <i r="1">
      <x v="4896"/>
    </i>
    <i r="1">
      <x v="4897"/>
    </i>
    <i r="1">
      <x v="4898"/>
    </i>
    <i r="1">
      <x v="4899"/>
    </i>
    <i r="1">
      <x v="4900"/>
    </i>
    <i r="1">
      <x v="4901"/>
    </i>
    <i r="1">
      <x v="4902"/>
    </i>
    <i r="1">
      <x v="4903"/>
    </i>
    <i r="1">
      <x v="4904"/>
    </i>
    <i r="1">
      <x v="4905"/>
    </i>
    <i r="1">
      <x v="4906"/>
    </i>
    <i r="1">
      <x v="4907"/>
    </i>
    <i r="1">
      <x v="4908"/>
    </i>
    <i r="1">
      <x v="4909"/>
    </i>
    <i r="1">
      <x v="4910"/>
    </i>
    <i r="1">
      <x v="4911"/>
    </i>
    <i r="1">
      <x v="4912"/>
    </i>
    <i r="1">
      <x v="4913"/>
    </i>
    <i r="1">
      <x v="4914"/>
    </i>
    <i r="1">
      <x v="4915"/>
    </i>
    <i r="1">
      <x v="4916"/>
    </i>
    <i r="1">
      <x v="4917"/>
    </i>
    <i r="1">
      <x v="4918"/>
    </i>
    <i r="1">
      <x v="4919"/>
    </i>
    <i r="1">
      <x v="4920"/>
    </i>
    <i r="1">
      <x v="4921"/>
    </i>
    <i r="1">
      <x v="4922"/>
    </i>
    <i r="1">
      <x v="4923"/>
    </i>
    <i r="1">
      <x v="4924"/>
    </i>
    <i r="1">
      <x v="4925"/>
    </i>
    <i r="1">
      <x v="4926"/>
    </i>
    <i r="1">
      <x v="4927"/>
    </i>
    <i r="1">
      <x v="4928"/>
    </i>
    <i r="1">
      <x v="4929"/>
    </i>
    <i r="1">
      <x v="4930"/>
    </i>
    <i r="1">
      <x v="4931"/>
    </i>
    <i r="1">
      <x v="4932"/>
    </i>
    <i r="1">
      <x v="4933"/>
    </i>
    <i r="1">
      <x v="4934"/>
    </i>
    <i r="1">
      <x v="4935"/>
    </i>
    <i r="1">
      <x v="4936"/>
    </i>
    <i r="1">
      <x v="4937"/>
    </i>
    <i r="1">
      <x v="4938"/>
    </i>
    <i r="1">
      <x v="4939"/>
    </i>
    <i r="1">
      <x v="4940"/>
    </i>
    <i r="1">
      <x v="4941"/>
    </i>
    <i r="1">
      <x v="4942"/>
    </i>
    <i r="1">
      <x v="4943"/>
    </i>
    <i r="1">
      <x v="4944"/>
    </i>
    <i r="1">
      <x v="4945"/>
    </i>
    <i r="1">
      <x v="4946"/>
    </i>
    <i r="1">
      <x v="4947"/>
    </i>
    <i r="1">
      <x v="4948"/>
    </i>
    <i r="1">
      <x v="4949"/>
    </i>
    <i r="1">
      <x v="4950"/>
    </i>
    <i r="1">
      <x v="4951"/>
    </i>
    <i r="1">
      <x v="4952"/>
    </i>
    <i r="1">
      <x v="4953"/>
    </i>
    <i r="1">
      <x v="4954"/>
    </i>
    <i r="1">
      <x v="4955"/>
    </i>
    <i r="1">
      <x v="4956"/>
    </i>
    <i r="1">
      <x v="4957"/>
    </i>
    <i r="1">
      <x v="4958"/>
    </i>
    <i r="1">
      <x v="4959"/>
    </i>
    <i r="1">
      <x v="4960"/>
    </i>
    <i r="1">
      <x v="4961"/>
    </i>
    <i r="1">
      <x v="4962"/>
    </i>
    <i r="1">
      <x v="4963"/>
    </i>
    <i r="1">
      <x v="4964"/>
    </i>
    <i r="1">
      <x v="4965"/>
    </i>
    <i r="1">
      <x v="4966"/>
    </i>
    <i r="1">
      <x v="4967"/>
    </i>
    <i r="1">
      <x v="4968"/>
    </i>
    <i r="1">
      <x v="4969"/>
    </i>
    <i r="1">
      <x v="4970"/>
    </i>
    <i r="1">
      <x v="4971"/>
    </i>
    <i r="1">
      <x v="4972"/>
    </i>
    <i r="1">
      <x v="4973"/>
    </i>
    <i r="1">
      <x v="4974"/>
    </i>
    <i r="1">
      <x v="4975"/>
    </i>
    <i r="1">
      <x v="4976"/>
    </i>
    <i r="1">
      <x v="4977"/>
    </i>
    <i r="1">
      <x v="4978"/>
    </i>
    <i r="1">
      <x v="4979"/>
    </i>
    <i r="1">
      <x v="4980"/>
    </i>
    <i r="1">
      <x v="4981"/>
    </i>
    <i r="1">
      <x v="4982"/>
    </i>
    <i r="1">
      <x v="4983"/>
    </i>
    <i r="1">
      <x v="4984"/>
    </i>
    <i r="1">
      <x v="4985"/>
    </i>
    <i r="1">
      <x v="4986"/>
    </i>
    <i r="1">
      <x v="4987"/>
    </i>
    <i r="1">
      <x v="4988"/>
    </i>
    <i r="1">
      <x v="4989"/>
    </i>
    <i r="1">
      <x v="4990"/>
    </i>
    <i r="1">
      <x v="4991"/>
    </i>
    <i r="1">
      <x v="4992"/>
    </i>
    <i r="1">
      <x v="4993"/>
    </i>
    <i r="1">
      <x v="4994"/>
    </i>
    <i r="1">
      <x v="4995"/>
    </i>
    <i r="1">
      <x v="4996"/>
    </i>
    <i r="1">
      <x v="4997"/>
    </i>
    <i r="1">
      <x v="4998"/>
    </i>
    <i r="1">
      <x v="4999"/>
    </i>
    <i r="1">
      <x v="5000"/>
    </i>
    <i r="1">
      <x v="5001"/>
    </i>
    <i r="1">
      <x v="5002"/>
    </i>
    <i r="1">
      <x v="5003"/>
    </i>
    <i r="1">
      <x v="5004"/>
    </i>
    <i r="1">
      <x v="5005"/>
    </i>
    <i r="1">
      <x v="5006"/>
    </i>
    <i r="1">
      <x v="5007"/>
    </i>
    <i r="1">
      <x v="5008"/>
    </i>
    <i r="1">
      <x v="5009"/>
    </i>
    <i r="1">
      <x v="5010"/>
    </i>
    <i r="1">
      <x v="5011"/>
    </i>
    <i r="1">
      <x v="5012"/>
    </i>
    <i r="1">
      <x v="5013"/>
    </i>
    <i r="1">
      <x v="5014"/>
    </i>
    <i r="1">
      <x v="5015"/>
    </i>
    <i r="1">
      <x v="5016"/>
    </i>
    <i r="1">
      <x v="5017"/>
    </i>
    <i r="1">
      <x v="5018"/>
    </i>
    <i r="1">
      <x v="5019"/>
    </i>
    <i r="1">
      <x v="5020"/>
    </i>
    <i r="1">
      <x v="5021"/>
    </i>
    <i r="1">
      <x v="5022"/>
    </i>
    <i r="1">
      <x v="5023"/>
    </i>
    <i r="1">
      <x v="5024"/>
    </i>
    <i r="1">
      <x v="5025"/>
    </i>
    <i r="1">
      <x v="5026"/>
    </i>
    <i r="1">
      <x v="5027"/>
    </i>
    <i r="1">
      <x v="5028"/>
    </i>
    <i r="1">
      <x v="5029"/>
    </i>
    <i r="1">
      <x v="5030"/>
    </i>
    <i r="1">
      <x v="5031"/>
    </i>
    <i r="1">
      <x v="5032"/>
    </i>
    <i r="1">
      <x v="5033"/>
    </i>
    <i r="1">
      <x v="5034"/>
    </i>
    <i r="1">
      <x v="5035"/>
    </i>
    <i r="1">
      <x v="5036"/>
    </i>
    <i r="1">
      <x v="5037"/>
    </i>
    <i r="1">
      <x v="5038"/>
    </i>
    <i r="1">
      <x v="5039"/>
    </i>
    <i r="1">
      <x v="5040"/>
    </i>
    <i r="1">
      <x v="5041"/>
    </i>
    <i r="1">
      <x v="5042"/>
    </i>
    <i r="1">
      <x v="5043"/>
    </i>
    <i r="1">
      <x v="5044"/>
    </i>
    <i r="1">
      <x v="5045"/>
    </i>
    <i r="1">
      <x v="5046"/>
    </i>
    <i r="1">
      <x v="5047"/>
    </i>
    <i r="1">
      <x v="5048"/>
    </i>
    <i r="1">
      <x v="5049"/>
    </i>
    <i r="1">
      <x v="5050"/>
    </i>
    <i r="1">
      <x v="5051"/>
    </i>
    <i r="1">
      <x v="5052"/>
    </i>
    <i r="1">
      <x v="5053"/>
    </i>
    <i r="1">
      <x v="5054"/>
    </i>
    <i r="1">
      <x v="5055"/>
    </i>
    <i r="1">
      <x v="5056"/>
    </i>
    <i r="1">
      <x v="5057"/>
    </i>
    <i r="1">
      <x v="5058"/>
    </i>
    <i r="1">
      <x v="5059"/>
    </i>
    <i r="1">
      <x v="5060"/>
    </i>
    <i r="1">
      <x v="5061"/>
    </i>
    <i r="1">
      <x v="5062"/>
    </i>
    <i r="1">
      <x v="5063"/>
    </i>
    <i r="1">
      <x v="5064"/>
    </i>
    <i r="1">
      <x v="5065"/>
    </i>
    <i r="1">
      <x v="5066"/>
    </i>
    <i r="1">
      <x v="5067"/>
    </i>
    <i r="1">
      <x v="5068"/>
    </i>
    <i r="1">
      <x v="5069"/>
    </i>
    <i r="1">
      <x v="5070"/>
    </i>
    <i r="1">
      <x v="5071"/>
    </i>
    <i r="1">
      <x v="5072"/>
    </i>
    <i r="1">
      <x v="5073"/>
    </i>
    <i r="1">
      <x v="5074"/>
    </i>
    <i r="1">
      <x v="5075"/>
    </i>
    <i r="1">
      <x v="5076"/>
    </i>
    <i r="1">
      <x v="5077"/>
    </i>
    <i r="1">
      <x v="5078"/>
    </i>
    <i r="1">
      <x v="5079"/>
    </i>
    <i r="1">
      <x v="5080"/>
    </i>
    <i r="1">
      <x v="5081"/>
    </i>
    <i r="1">
      <x v="5082"/>
    </i>
    <i r="1">
      <x v="5083"/>
    </i>
    <i r="1">
      <x v="5084"/>
    </i>
    <i r="1">
      <x v="5085"/>
    </i>
    <i r="1">
      <x v="5086"/>
    </i>
    <i r="1">
      <x v="5087"/>
    </i>
    <i r="1">
      <x v="5088"/>
    </i>
    <i r="1">
      <x v="5089"/>
    </i>
    <i r="1">
      <x v="5090"/>
    </i>
    <i r="1">
      <x v="5091"/>
    </i>
    <i r="1">
      <x v="5092"/>
    </i>
    <i r="1">
      <x v="5093"/>
    </i>
    <i r="1">
      <x v="5094"/>
    </i>
    <i r="1">
      <x v="5095"/>
    </i>
    <i r="1">
      <x v="5096"/>
    </i>
    <i r="1">
      <x v="5097"/>
    </i>
    <i r="1">
      <x v="5098"/>
    </i>
    <i r="1">
      <x v="5099"/>
    </i>
    <i r="1">
      <x v="5100"/>
    </i>
    <i r="1">
      <x v="5101"/>
    </i>
    <i r="1">
      <x v="5102"/>
    </i>
    <i r="1">
      <x v="5103"/>
    </i>
    <i r="1">
      <x v="5104"/>
    </i>
    <i r="1">
      <x v="5105"/>
    </i>
    <i r="1">
      <x v="5106"/>
    </i>
    <i r="1">
      <x v="5107"/>
    </i>
    <i r="1">
      <x v="5108"/>
    </i>
    <i r="1">
      <x v="5109"/>
    </i>
    <i r="1">
      <x v="5110"/>
    </i>
    <i r="1">
      <x v="5111"/>
    </i>
    <i r="1">
      <x v="5112"/>
    </i>
    <i r="1">
      <x v="5113"/>
    </i>
    <i r="1">
      <x v="5114"/>
    </i>
    <i r="1">
      <x v="5115"/>
    </i>
    <i r="1">
      <x v="5116"/>
    </i>
    <i r="1">
      <x v="5117"/>
    </i>
    <i r="1">
      <x v="5118"/>
    </i>
    <i r="1">
      <x v="5119"/>
    </i>
    <i r="1">
      <x v="5120"/>
    </i>
    <i r="1">
      <x v="5121"/>
    </i>
    <i r="1">
      <x v="5122"/>
    </i>
    <i r="1">
      <x v="5123"/>
    </i>
    <i r="1">
      <x v="5124"/>
    </i>
    <i r="1">
      <x v="5125"/>
    </i>
    <i r="1">
      <x v="5126"/>
    </i>
    <i r="1">
      <x v="5127"/>
    </i>
    <i r="1">
      <x v="5128"/>
    </i>
    <i r="1">
      <x v="5129"/>
    </i>
    <i r="1">
      <x v="5130"/>
    </i>
    <i r="1">
      <x v="5131"/>
    </i>
    <i r="1">
      <x v="5132"/>
    </i>
    <i r="1">
      <x v="5133"/>
    </i>
    <i r="1">
      <x v="5134"/>
    </i>
    <i r="1">
      <x v="5135"/>
    </i>
    <i r="1">
      <x v="5136"/>
    </i>
    <i r="1">
      <x v="5137"/>
    </i>
    <i r="1">
      <x v="5138"/>
    </i>
    <i r="1">
      <x v="5139"/>
    </i>
    <i r="1">
      <x v="5140"/>
    </i>
    <i r="1">
      <x v="5141"/>
    </i>
    <i r="1">
      <x v="5142"/>
    </i>
    <i r="1">
      <x v="5143"/>
    </i>
    <i r="1">
      <x v="5144"/>
    </i>
    <i r="1">
      <x v="5145"/>
    </i>
    <i r="1">
      <x v="5146"/>
    </i>
    <i r="1">
      <x v="5147"/>
    </i>
    <i r="1">
      <x v="5148"/>
    </i>
    <i r="1">
      <x v="5149"/>
    </i>
    <i r="1">
      <x v="5150"/>
    </i>
    <i r="1">
      <x v="5151"/>
    </i>
    <i r="1">
      <x v="5152"/>
    </i>
    <i r="1">
      <x v="5153"/>
    </i>
    <i r="1">
      <x v="5154"/>
    </i>
    <i r="1">
      <x v="5155"/>
    </i>
    <i r="1">
      <x v="5156"/>
    </i>
    <i r="1">
      <x v="5157"/>
    </i>
    <i r="1">
      <x v="5158"/>
    </i>
    <i r="1">
      <x v="5159"/>
    </i>
    <i r="1">
      <x v="5160"/>
    </i>
    <i r="1">
      <x v="5161"/>
    </i>
    <i r="1">
      <x v="5162"/>
    </i>
    <i r="1">
      <x v="5163"/>
    </i>
    <i r="1">
      <x v="5164"/>
    </i>
    <i r="1">
      <x v="5165"/>
    </i>
    <i r="1">
      <x v="5166"/>
    </i>
    <i r="1">
      <x v="5167"/>
    </i>
    <i r="1">
      <x v="5168"/>
    </i>
    <i r="1">
      <x v="5169"/>
    </i>
    <i r="1">
      <x v="5170"/>
    </i>
    <i r="1">
      <x v="5171"/>
    </i>
    <i r="1">
      <x v="5172"/>
    </i>
    <i r="1">
      <x v="5173"/>
    </i>
    <i r="1">
      <x v="5174"/>
    </i>
    <i r="1">
      <x v="5175"/>
    </i>
    <i r="1">
      <x v="5176"/>
    </i>
    <i r="1">
      <x v="5177"/>
    </i>
    <i r="1">
      <x v="5178"/>
    </i>
    <i r="1">
      <x v="5179"/>
    </i>
    <i r="1">
      <x v="5180"/>
    </i>
    <i r="1">
      <x v="5181"/>
    </i>
    <i r="1">
      <x v="5182"/>
    </i>
    <i r="1">
      <x v="5183"/>
    </i>
    <i r="1">
      <x v="5184"/>
    </i>
    <i r="1">
      <x v="5185"/>
    </i>
    <i r="1">
      <x v="5186"/>
    </i>
    <i r="1">
      <x v="5187"/>
    </i>
    <i r="1">
      <x v="5188"/>
    </i>
    <i r="1">
      <x v="5189"/>
    </i>
    <i r="1">
      <x v="5190"/>
    </i>
    <i r="1">
      <x v="5191"/>
    </i>
    <i r="1">
      <x v="5192"/>
    </i>
    <i r="1">
      <x v="5193"/>
    </i>
    <i r="1">
      <x v="5194"/>
    </i>
    <i r="1">
      <x v="5195"/>
    </i>
    <i r="1">
      <x v="5196"/>
    </i>
    <i r="1">
      <x v="5197"/>
    </i>
    <i r="1">
      <x v="5198"/>
    </i>
    <i r="1">
      <x v="5199"/>
    </i>
    <i r="1">
      <x v="5200"/>
    </i>
    <i r="1">
      <x v="5201"/>
    </i>
    <i r="1">
      <x v="5202"/>
    </i>
    <i r="1">
      <x v="5203"/>
    </i>
    <i r="1">
      <x v="5204"/>
    </i>
    <i r="1">
      <x v="5205"/>
    </i>
    <i r="1">
      <x v="5206"/>
    </i>
    <i r="1">
      <x v="5207"/>
    </i>
    <i r="1">
      <x v="5208"/>
    </i>
    <i r="1">
      <x v="5209"/>
    </i>
    <i r="1">
      <x v="5210"/>
    </i>
    <i r="1">
      <x v="5211"/>
    </i>
    <i r="1">
      <x v="5212"/>
    </i>
    <i r="1">
      <x v="5213"/>
    </i>
    <i r="1">
      <x v="5214"/>
    </i>
    <i r="1">
      <x v="5215"/>
    </i>
    <i r="1">
      <x v="5216"/>
    </i>
    <i r="1">
      <x v="5217"/>
    </i>
    <i r="1">
      <x v="5218"/>
    </i>
    <i r="1">
      <x v="5219"/>
    </i>
    <i r="1">
      <x v="5220"/>
    </i>
    <i r="1">
      <x v="5221"/>
    </i>
    <i r="1">
      <x v="5222"/>
    </i>
    <i r="1">
      <x v="5223"/>
    </i>
    <i r="1">
      <x v="5224"/>
    </i>
    <i r="1">
      <x v="5225"/>
    </i>
    <i r="1">
      <x v="5226"/>
    </i>
    <i r="1">
      <x v="5227"/>
    </i>
    <i r="1">
      <x v="5228"/>
    </i>
    <i r="1">
      <x v="5229"/>
    </i>
    <i r="1">
      <x v="5230"/>
    </i>
    <i r="1">
      <x v="5231"/>
    </i>
    <i r="1">
      <x v="5232"/>
    </i>
    <i r="1">
      <x v="5233"/>
    </i>
    <i r="1">
      <x v="5234"/>
    </i>
    <i r="1">
      <x v="5235"/>
    </i>
    <i r="1">
      <x v="5236"/>
    </i>
    <i r="1">
      <x v="5237"/>
    </i>
    <i r="1">
      <x v="5238"/>
    </i>
    <i r="1">
      <x v="5239"/>
    </i>
    <i r="1">
      <x v="5240"/>
    </i>
    <i r="1">
      <x v="5241"/>
    </i>
    <i r="1">
      <x v="5242"/>
    </i>
    <i r="1">
      <x v="5243"/>
    </i>
    <i r="1">
      <x v="5244"/>
    </i>
    <i r="1">
      <x v="5245"/>
    </i>
    <i r="1">
      <x v="5246"/>
    </i>
    <i r="1">
      <x v="5247"/>
    </i>
    <i r="1">
      <x v="5248"/>
    </i>
    <i r="1">
      <x v="5249"/>
    </i>
    <i r="1">
      <x v="5250"/>
    </i>
    <i r="1">
      <x v="5251"/>
    </i>
    <i r="1">
      <x v="5252"/>
    </i>
    <i r="1">
      <x v="5253"/>
    </i>
    <i r="1">
      <x v="5254"/>
    </i>
    <i r="1">
      <x v="5255"/>
    </i>
    <i r="1">
      <x v="5256"/>
    </i>
    <i r="1">
      <x v="5257"/>
    </i>
    <i r="1">
      <x v="5258"/>
    </i>
    <i r="1">
      <x v="5259"/>
    </i>
    <i r="1">
      <x v="5260"/>
    </i>
    <i r="1">
      <x v="5261"/>
    </i>
    <i r="1">
      <x v="5262"/>
    </i>
    <i r="1">
      <x v="5263"/>
    </i>
    <i r="1">
      <x v="5264"/>
    </i>
    <i r="1">
      <x v="5265"/>
    </i>
    <i r="1">
      <x v="5266"/>
    </i>
    <i r="1">
      <x v="5267"/>
    </i>
    <i r="1">
      <x v="5268"/>
    </i>
    <i r="1">
      <x v="5269"/>
    </i>
    <i r="1">
      <x v="5270"/>
    </i>
    <i r="1">
      <x v="5271"/>
    </i>
    <i r="1">
      <x v="5272"/>
    </i>
    <i r="1">
      <x v="5273"/>
    </i>
    <i r="1">
      <x v="5274"/>
    </i>
    <i r="1">
      <x v="5275"/>
    </i>
    <i r="1">
      <x v="5276"/>
    </i>
    <i r="1">
      <x v="5277"/>
    </i>
    <i r="1">
      <x v="5278"/>
    </i>
    <i r="1">
      <x v="5279"/>
    </i>
    <i r="1">
      <x v="5280"/>
    </i>
    <i r="1">
      <x v="5281"/>
    </i>
    <i r="1">
      <x v="5282"/>
    </i>
    <i r="1">
      <x v="5283"/>
    </i>
    <i r="1">
      <x v="5284"/>
    </i>
    <i r="1">
      <x v="5285"/>
    </i>
    <i r="1">
      <x v="5286"/>
    </i>
    <i r="1">
      <x v="5287"/>
    </i>
    <i r="1">
      <x v="5288"/>
    </i>
    <i r="1">
      <x v="5289"/>
    </i>
    <i r="1">
      <x v="5290"/>
    </i>
    <i r="1">
      <x v="5291"/>
    </i>
    <i r="1">
      <x v="5292"/>
    </i>
    <i r="1">
      <x v="5293"/>
    </i>
    <i r="1">
      <x v="5294"/>
    </i>
    <i r="1">
      <x v="5295"/>
    </i>
    <i r="1">
      <x v="5296"/>
    </i>
    <i r="1">
      <x v="5297"/>
    </i>
    <i r="1">
      <x v="5298"/>
    </i>
    <i r="1">
      <x v="5299"/>
    </i>
    <i r="1">
      <x v="5300"/>
    </i>
    <i r="1">
      <x v="5301"/>
    </i>
    <i r="1">
      <x v="5302"/>
    </i>
    <i r="1">
      <x v="5303"/>
    </i>
    <i r="1">
      <x v="5304"/>
    </i>
    <i r="1">
      <x v="5305"/>
    </i>
    <i r="1">
      <x v="5306"/>
    </i>
    <i r="1">
      <x v="5307"/>
    </i>
    <i r="1">
      <x v="5308"/>
    </i>
    <i r="1">
      <x v="5309"/>
    </i>
    <i r="1">
      <x v="5310"/>
    </i>
    <i r="1">
      <x v="5311"/>
    </i>
    <i r="1">
      <x v="5312"/>
    </i>
    <i r="1">
      <x v="5313"/>
    </i>
    <i r="1">
      <x v="5314"/>
    </i>
    <i r="1">
      <x v="5315"/>
    </i>
    <i r="1">
      <x v="5316"/>
    </i>
    <i r="1">
      <x v="5317"/>
    </i>
    <i r="1">
      <x v="5318"/>
    </i>
    <i r="1">
      <x v="5319"/>
    </i>
    <i r="1">
      <x v="5320"/>
    </i>
    <i r="1">
      <x v="5321"/>
    </i>
    <i r="1">
      <x v="5322"/>
    </i>
    <i r="1">
      <x v="5323"/>
    </i>
    <i r="1">
      <x v="5324"/>
    </i>
    <i r="1">
      <x v="5325"/>
    </i>
    <i r="1">
      <x v="5326"/>
    </i>
    <i r="1">
      <x v="5327"/>
    </i>
    <i r="1">
      <x v="5328"/>
    </i>
    <i r="1">
      <x v="5329"/>
    </i>
    <i r="1">
      <x v="5330"/>
    </i>
    <i r="1">
      <x v="5331"/>
    </i>
    <i r="1">
      <x v="5332"/>
    </i>
    <i r="1">
      <x v="5333"/>
    </i>
    <i r="1">
      <x v="5334"/>
    </i>
    <i r="1">
      <x v="5335"/>
    </i>
    <i r="1">
      <x v="5336"/>
    </i>
    <i r="1">
      <x v="5337"/>
    </i>
    <i r="1">
      <x v="5338"/>
    </i>
    <i r="1">
      <x v="5339"/>
    </i>
    <i r="1">
      <x v="5340"/>
    </i>
    <i r="1">
      <x v="5341"/>
    </i>
    <i r="1">
      <x v="5342"/>
    </i>
    <i r="1">
      <x v="5343"/>
    </i>
    <i r="1">
      <x v="5344"/>
    </i>
    <i r="1">
      <x v="5345"/>
    </i>
    <i r="1">
      <x v="5346"/>
    </i>
    <i r="1">
      <x v="5347"/>
    </i>
    <i r="1">
      <x v="5348"/>
    </i>
    <i r="1">
      <x v="5349"/>
    </i>
    <i r="1">
      <x v="5350"/>
    </i>
    <i r="1">
      <x v="5351"/>
    </i>
    <i r="1">
      <x v="5352"/>
    </i>
    <i r="1">
      <x v="5353"/>
    </i>
    <i r="1">
      <x v="5354"/>
    </i>
    <i r="1">
      <x v="5355"/>
    </i>
    <i r="1">
      <x v="5356"/>
    </i>
    <i r="1">
      <x v="5357"/>
    </i>
    <i r="1">
      <x v="5358"/>
    </i>
    <i r="1">
      <x v="5359"/>
    </i>
    <i r="1">
      <x v="5360"/>
    </i>
    <i r="1">
      <x v="5361"/>
    </i>
    <i r="1">
      <x v="5362"/>
    </i>
    <i r="1">
      <x v="5363"/>
    </i>
    <i r="1">
      <x v="5364"/>
    </i>
    <i r="1">
      <x v="5365"/>
    </i>
    <i r="1">
      <x v="5366"/>
    </i>
    <i r="1">
      <x v="5367"/>
    </i>
    <i r="1">
      <x v="5368"/>
    </i>
    <i r="1">
      <x v="5369"/>
    </i>
    <i r="1">
      <x v="5370"/>
    </i>
    <i r="1">
      <x v="5371"/>
    </i>
    <i r="1">
      <x v="5372"/>
    </i>
    <i r="1">
      <x v="5373"/>
    </i>
    <i r="1">
      <x v="5374"/>
    </i>
    <i r="1">
      <x v="5375"/>
    </i>
    <i r="1">
      <x v="5376"/>
    </i>
    <i r="1">
      <x v="5377"/>
    </i>
    <i r="1">
      <x v="5378"/>
    </i>
    <i r="1">
      <x v="5379"/>
    </i>
    <i r="1">
      <x v="5380"/>
    </i>
    <i r="1">
      <x v="5381"/>
    </i>
    <i r="1">
      <x v="5382"/>
    </i>
    <i r="1">
      <x v="5383"/>
    </i>
    <i r="1">
      <x v="5384"/>
    </i>
    <i r="1">
      <x v="5385"/>
    </i>
    <i r="1">
      <x v="5386"/>
    </i>
    <i r="1">
      <x v="5387"/>
    </i>
    <i r="1">
      <x v="5388"/>
    </i>
    <i r="1">
      <x v="5389"/>
    </i>
    <i r="1">
      <x v="5390"/>
    </i>
    <i r="1">
      <x v="5391"/>
    </i>
    <i r="1">
      <x v="5392"/>
    </i>
    <i r="1">
      <x v="5393"/>
    </i>
    <i r="1">
      <x v="5394"/>
    </i>
    <i r="1">
      <x v="5395"/>
    </i>
    <i r="1">
      <x v="5396"/>
    </i>
    <i r="1">
      <x v="5397"/>
    </i>
    <i r="1">
      <x v="5398"/>
    </i>
    <i r="1">
      <x v="5399"/>
    </i>
    <i r="1">
      <x v="5400"/>
    </i>
    <i r="1">
      <x v="5401"/>
    </i>
    <i r="1">
      <x v="5402"/>
    </i>
    <i r="1">
      <x v="5403"/>
    </i>
    <i r="1">
      <x v="5404"/>
    </i>
    <i r="1">
      <x v="5405"/>
    </i>
    <i r="1">
      <x v="5406"/>
    </i>
    <i r="1">
      <x v="5407"/>
    </i>
    <i r="1">
      <x v="5408"/>
    </i>
    <i r="1">
      <x v="5409"/>
    </i>
    <i r="1">
      <x v="5410"/>
    </i>
    <i r="1">
      <x v="5411"/>
    </i>
    <i r="1">
      <x v="5412"/>
    </i>
    <i r="1">
      <x v="5413"/>
    </i>
    <i r="1">
      <x v="5414"/>
    </i>
    <i r="1">
      <x v="5415"/>
    </i>
    <i r="1">
      <x v="5416"/>
    </i>
    <i r="1">
      <x v="5417"/>
    </i>
    <i r="1">
      <x v="5418"/>
    </i>
    <i r="1">
      <x v="5419"/>
    </i>
    <i r="1">
      <x v="5420"/>
    </i>
    <i r="1">
      <x v="5421"/>
    </i>
    <i r="1">
      <x v="5422"/>
    </i>
    <i r="1">
      <x v="5423"/>
    </i>
    <i r="1">
      <x v="5424"/>
    </i>
    <i r="1">
      <x v="5425"/>
    </i>
    <i r="1">
      <x v="5426"/>
    </i>
    <i r="1">
      <x v="5427"/>
    </i>
    <i r="1">
      <x v="5428"/>
    </i>
    <i r="1">
      <x v="5429"/>
    </i>
    <i r="1">
      <x v="5430"/>
    </i>
    <i r="1">
      <x v="5431"/>
    </i>
    <i r="1">
      <x v="5432"/>
    </i>
    <i r="1">
      <x v="5433"/>
    </i>
    <i r="1">
      <x v="5434"/>
    </i>
    <i r="1">
      <x v="5435"/>
    </i>
    <i r="1">
      <x v="5436"/>
    </i>
    <i r="1">
      <x v="5437"/>
    </i>
    <i r="1">
      <x v="5438"/>
    </i>
    <i r="1">
      <x v="5439"/>
    </i>
    <i r="1">
      <x v="5440"/>
    </i>
    <i r="1">
      <x v="5441"/>
    </i>
    <i r="1">
      <x v="5442"/>
    </i>
    <i r="1">
      <x v="5443"/>
    </i>
    <i r="1">
      <x v="5444"/>
    </i>
    <i r="1">
      <x v="5445"/>
    </i>
    <i r="1">
      <x v="5446"/>
    </i>
    <i r="1">
      <x v="5447"/>
    </i>
    <i r="1">
      <x v="5448"/>
    </i>
    <i r="1">
      <x v="5449"/>
    </i>
    <i r="1">
      <x v="5450"/>
    </i>
    <i r="1">
      <x v="5451"/>
    </i>
    <i r="1">
      <x v="5452"/>
    </i>
    <i r="1">
      <x v="5453"/>
    </i>
    <i r="1">
      <x v="5454"/>
    </i>
    <i r="1">
      <x v="5455"/>
    </i>
    <i r="1">
      <x v="5456"/>
    </i>
    <i r="1">
      <x v="5457"/>
    </i>
    <i r="1">
      <x v="5458"/>
    </i>
    <i r="1">
      <x v="5459"/>
    </i>
    <i r="1">
      <x v="5460"/>
    </i>
    <i r="1">
      <x v="5461"/>
    </i>
    <i r="1">
      <x v="5462"/>
    </i>
    <i r="1">
      <x v="5463"/>
    </i>
    <i r="1">
      <x v="5464"/>
    </i>
    <i r="1">
      <x v="5465"/>
    </i>
    <i r="1">
      <x v="5466"/>
    </i>
    <i r="1">
      <x v="5467"/>
    </i>
    <i r="1">
      <x v="5468"/>
    </i>
    <i r="1">
      <x v="5469"/>
    </i>
    <i r="1">
      <x v="5470"/>
    </i>
    <i r="1">
      <x v="5471"/>
    </i>
    <i r="1">
      <x v="5472"/>
    </i>
    <i r="1">
      <x v="5473"/>
    </i>
    <i r="1">
      <x v="5474"/>
    </i>
    <i r="1">
      <x v="5475"/>
    </i>
    <i r="1">
      <x v="5476"/>
    </i>
    <i r="1">
      <x v="5477"/>
    </i>
    <i r="1">
      <x v="5478"/>
    </i>
    <i r="1">
      <x v="5479"/>
    </i>
    <i r="1">
      <x v="5480"/>
    </i>
    <i r="1">
      <x v="5481"/>
    </i>
    <i r="1">
      <x v="5482"/>
    </i>
    <i r="1">
      <x v="5483"/>
    </i>
    <i r="1">
      <x v="5484"/>
    </i>
    <i r="1">
      <x v="5485"/>
    </i>
    <i r="1">
      <x v="5486"/>
    </i>
    <i r="1">
      <x v="5487"/>
    </i>
    <i r="1">
      <x v="5488"/>
    </i>
    <i r="1">
      <x v="5489"/>
    </i>
    <i r="1">
      <x v="5490"/>
    </i>
    <i r="1">
      <x v="5491"/>
    </i>
    <i r="1">
      <x v="5492"/>
    </i>
    <i r="1">
      <x v="5493"/>
    </i>
    <i r="1">
      <x v="5494"/>
    </i>
    <i r="1">
      <x v="5495"/>
    </i>
    <i r="1">
      <x v="5496"/>
    </i>
    <i r="1">
      <x v="5497"/>
    </i>
    <i r="1">
      <x v="5498"/>
    </i>
    <i r="1">
      <x v="5499"/>
    </i>
    <i r="1">
      <x v="5500"/>
    </i>
    <i r="1">
      <x v="5501"/>
    </i>
    <i r="1">
      <x v="5502"/>
    </i>
    <i r="1">
      <x v="5503"/>
    </i>
    <i r="1">
      <x v="5504"/>
    </i>
    <i r="1">
      <x v="5505"/>
    </i>
    <i r="1">
      <x v="5506"/>
    </i>
    <i r="1">
      <x v="5507"/>
    </i>
    <i r="1">
      <x v="5508"/>
    </i>
    <i r="1">
      <x v="5509"/>
    </i>
    <i r="1">
      <x v="5510"/>
    </i>
    <i r="1">
      <x v="5511"/>
    </i>
    <i r="1">
      <x v="5512"/>
    </i>
    <i r="1">
      <x v="5513"/>
    </i>
    <i r="1">
      <x v="5514"/>
    </i>
    <i r="1">
      <x v="5515"/>
    </i>
    <i r="1">
      <x v="5516"/>
    </i>
    <i r="1">
      <x v="5517"/>
    </i>
    <i r="1">
      <x v="5518"/>
    </i>
    <i r="1">
      <x v="5519"/>
    </i>
    <i r="1">
      <x v="5520"/>
    </i>
    <i r="1">
      <x v="5521"/>
    </i>
    <i r="1">
      <x v="5522"/>
    </i>
    <i r="1">
      <x v="5523"/>
    </i>
    <i r="1">
      <x v="5524"/>
    </i>
    <i r="1">
      <x v="5525"/>
    </i>
    <i r="1">
      <x v="5526"/>
    </i>
    <i r="1">
      <x v="5527"/>
    </i>
    <i r="1">
      <x v="5528"/>
    </i>
    <i r="1">
      <x v="5529"/>
    </i>
    <i r="1">
      <x v="5530"/>
    </i>
    <i r="1">
      <x v="5531"/>
    </i>
    <i r="1">
      <x v="5532"/>
    </i>
    <i r="1">
      <x v="5533"/>
    </i>
    <i r="1">
      <x v="5534"/>
    </i>
    <i r="1">
      <x v="5535"/>
    </i>
    <i r="1">
      <x v="5536"/>
    </i>
    <i r="1">
      <x v="5537"/>
    </i>
    <i r="1">
      <x v="5538"/>
    </i>
    <i r="1">
      <x v="5539"/>
    </i>
    <i r="1">
      <x v="5540"/>
    </i>
    <i r="1">
      <x v="5541"/>
    </i>
    <i r="1">
      <x v="5542"/>
    </i>
    <i r="1">
      <x v="5543"/>
    </i>
    <i r="1">
      <x v="5544"/>
    </i>
    <i r="1">
      <x v="5545"/>
    </i>
    <i r="1">
      <x v="5546"/>
    </i>
    <i r="1">
      <x v="5547"/>
    </i>
    <i r="1">
      <x v="5548"/>
    </i>
    <i r="1">
      <x v="5549"/>
    </i>
    <i r="1">
      <x v="5550"/>
    </i>
    <i r="1">
      <x v="5551"/>
    </i>
    <i r="1">
      <x v="5552"/>
    </i>
    <i r="1">
      <x v="5553"/>
    </i>
    <i r="1">
      <x v="5554"/>
    </i>
    <i r="1">
      <x v="5555"/>
    </i>
    <i r="1">
      <x v="5556"/>
    </i>
    <i r="1">
      <x v="5557"/>
    </i>
    <i r="1">
      <x v="5558"/>
    </i>
    <i r="1">
      <x v="5559"/>
    </i>
    <i r="1">
      <x v="5560"/>
    </i>
    <i r="1">
      <x v="5561"/>
    </i>
    <i r="1">
      <x v="5562"/>
    </i>
    <i r="1">
      <x v="5563"/>
    </i>
    <i r="1">
      <x v="5564"/>
    </i>
    <i r="1">
      <x v="5565"/>
    </i>
    <i r="1">
      <x v="5566"/>
    </i>
    <i r="1">
      <x v="5567"/>
    </i>
    <i r="1">
      <x v="5568"/>
    </i>
    <i r="1">
      <x v="5569"/>
    </i>
    <i r="1">
      <x v="5570"/>
    </i>
    <i r="1">
      <x v="5571"/>
    </i>
    <i r="1">
      <x v="5572"/>
    </i>
    <i r="1">
      <x v="5573"/>
    </i>
    <i r="1">
      <x v="5574"/>
    </i>
    <i r="1">
      <x v="5575"/>
    </i>
    <i r="1">
      <x v="5576"/>
    </i>
    <i r="1">
      <x v="5577"/>
    </i>
    <i r="1">
      <x v="5578"/>
    </i>
    <i r="1">
      <x v="5579"/>
    </i>
    <i r="1">
      <x v="5580"/>
    </i>
    <i r="1">
      <x v="5581"/>
    </i>
    <i r="1">
      <x v="5582"/>
    </i>
    <i r="1">
      <x v="5583"/>
    </i>
    <i r="1">
      <x v="5584"/>
    </i>
    <i r="1">
      <x v="5585"/>
    </i>
    <i r="1">
      <x v="5586"/>
    </i>
    <i r="1">
      <x v="5587"/>
    </i>
    <i r="1">
      <x v="5588"/>
    </i>
    <i r="1">
      <x v="5589"/>
    </i>
    <i r="1">
      <x v="5590"/>
    </i>
    <i r="1">
      <x v="5591"/>
    </i>
    <i r="1">
      <x v="5592"/>
    </i>
    <i r="1">
      <x v="5593"/>
    </i>
    <i r="1">
      <x v="5594"/>
    </i>
    <i r="1">
      <x v="5595"/>
    </i>
    <i r="1">
      <x v="5596"/>
    </i>
    <i r="1">
      <x v="5597"/>
    </i>
    <i r="1">
      <x v="5598"/>
    </i>
    <i r="1">
      <x v="5599"/>
    </i>
    <i r="1">
      <x v="5600"/>
    </i>
    <i r="1">
      <x v="5601"/>
    </i>
    <i r="1">
      <x v="5602"/>
    </i>
    <i r="1">
      <x v="5603"/>
    </i>
    <i r="1">
      <x v="5604"/>
    </i>
    <i r="1">
      <x v="5605"/>
    </i>
    <i r="1">
      <x v="5606"/>
    </i>
    <i r="1">
      <x v="5607"/>
    </i>
    <i r="1">
      <x v="5608"/>
    </i>
    <i r="1">
      <x v="5609"/>
    </i>
    <i r="1">
      <x v="5610"/>
    </i>
    <i r="1">
      <x v="5611"/>
    </i>
    <i r="1">
      <x v="5612"/>
    </i>
    <i r="1">
      <x v="5613"/>
    </i>
    <i r="1">
      <x v="5614"/>
    </i>
    <i r="1">
      <x v="5615"/>
    </i>
    <i r="1">
      <x v="5616"/>
    </i>
    <i r="1">
      <x v="5617"/>
    </i>
    <i r="1">
      <x v="5618"/>
    </i>
    <i r="1">
      <x v="5619"/>
    </i>
    <i r="1">
      <x v="5620"/>
    </i>
    <i r="1">
      <x v="5621"/>
    </i>
    <i r="1">
      <x v="5622"/>
    </i>
    <i r="1">
      <x v="5623"/>
    </i>
    <i r="1">
      <x v="5624"/>
    </i>
    <i r="1">
      <x v="5625"/>
    </i>
    <i r="1">
      <x v="5626"/>
    </i>
    <i r="1">
      <x v="5627"/>
    </i>
    <i r="1">
      <x v="5628"/>
    </i>
    <i r="1">
      <x v="5629"/>
    </i>
    <i r="1">
      <x v="5630"/>
    </i>
    <i r="1">
      <x v="5631"/>
    </i>
    <i r="1">
      <x v="5632"/>
    </i>
    <i r="1">
      <x v="5633"/>
    </i>
    <i r="1">
      <x v="5634"/>
    </i>
    <i r="1">
      <x v="5635"/>
    </i>
    <i r="1">
      <x v="5636"/>
    </i>
    <i r="1">
      <x v="5637"/>
    </i>
    <i r="1">
      <x v="5638"/>
    </i>
    <i r="1">
      <x v="5639"/>
    </i>
    <i r="1">
      <x v="5640"/>
    </i>
    <i r="1">
      <x v="5641"/>
    </i>
    <i r="1">
      <x v="5642"/>
    </i>
    <i r="1">
      <x v="5643"/>
    </i>
    <i r="1">
      <x v="5644"/>
    </i>
    <i r="1">
      <x v="5645"/>
    </i>
    <i r="1">
      <x v="5646"/>
    </i>
    <i r="1">
      <x v="5647"/>
    </i>
    <i r="1">
      <x v="5648"/>
    </i>
    <i r="1">
      <x v="5649"/>
    </i>
    <i r="1">
      <x v="5650"/>
    </i>
    <i r="1">
      <x v="5651"/>
    </i>
    <i r="1">
      <x v="5652"/>
    </i>
    <i r="1">
      <x v="5653"/>
    </i>
    <i r="1">
      <x v="5654"/>
    </i>
    <i r="1">
      <x v="5655"/>
    </i>
    <i r="1">
      <x v="5656"/>
    </i>
    <i r="1">
      <x v="5657"/>
    </i>
    <i r="1">
      <x v="5658"/>
    </i>
    <i r="1">
      <x v="5659"/>
    </i>
    <i r="1">
      <x v="5660"/>
    </i>
    <i r="1">
      <x v="5661"/>
    </i>
    <i r="1">
      <x v="5662"/>
    </i>
    <i r="1">
      <x v="5663"/>
    </i>
    <i r="1">
      <x v="5664"/>
    </i>
    <i r="1">
      <x v="5665"/>
    </i>
    <i r="1">
      <x v="5666"/>
    </i>
    <i r="1">
      <x v="5667"/>
    </i>
    <i r="1">
      <x v="5668"/>
    </i>
    <i r="1">
      <x v="5669"/>
    </i>
    <i r="1">
      <x v="5670"/>
    </i>
    <i r="1">
      <x v="5671"/>
    </i>
    <i r="1">
      <x v="5672"/>
    </i>
    <i r="1">
      <x v="5673"/>
    </i>
    <i r="1">
      <x v="5674"/>
    </i>
    <i r="1">
      <x v="5675"/>
    </i>
    <i r="1">
      <x v="5676"/>
    </i>
    <i r="1">
      <x v="5677"/>
    </i>
    <i r="1">
      <x v="5678"/>
    </i>
    <i r="1">
      <x v="5679"/>
    </i>
    <i r="1">
      <x v="5680"/>
    </i>
    <i r="1">
      <x v="5681"/>
    </i>
    <i r="1">
      <x v="5682"/>
    </i>
    <i r="1">
      <x v="5683"/>
    </i>
    <i r="1">
      <x v="5684"/>
    </i>
    <i r="1">
      <x v="5685"/>
    </i>
    <i r="1">
      <x v="5686"/>
    </i>
    <i r="1">
      <x v="5687"/>
    </i>
    <i r="1">
      <x v="5688"/>
    </i>
    <i r="1">
      <x v="5689"/>
    </i>
    <i r="1">
      <x v="5690"/>
    </i>
    <i r="1">
      <x v="5691"/>
    </i>
    <i r="1">
      <x v="5692"/>
    </i>
    <i r="1">
      <x v="5693"/>
    </i>
    <i r="1">
      <x v="5694"/>
    </i>
    <i r="1">
      <x v="5695"/>
    </i>
    <i r="1">
      <x v="5696"/>
    </i>
    <i r="1">
      <x v="5697"/>
    </i>
    <i r="1">
      <x v="5698"/>
    </i>
    <i r="1">
      <x v="5699"/>
    </i>
    <i r="1">
      <x v="5700"/>
    </i>
    <i r="1">
      <x v="5701"/>
    </i>
    <i r="1">
      <x v="5702"/>
    </i>
    <i r="1">
      <x v="5703"/>
    </i>
    <i r="1">
      <x v="5704"/>
    </i>
    <i r="1">
      <x v="5705"/>
    </i>
    <i r="1">
      <x v="5706"/>
    </i>
    <i r="1">
      <x v="5707"/>
    </i>
    <i r="1">
      <x v="5708"/>
    </i>
    <i r="1">
      <x v="5709"/>
    </i>
    <i r="1">
      <x v="5710"/>
    </i>
    <i r="1">
      <x v="5711"/>
    </i>
    <i r="1">
      <x v="5712"/>
    </i>
    <i r="1">
      <x v="5713"/>
    </i>
    <i r="1">
      <x v="5714"/>
    </i>
    <i r="1">
      <x v="5715"/>
    </i>
    <i r="1">
      <x v="5716"/>
    </i>
    <i r="1">
      <x v="5717"/>
    </i>
    <i r="1">
      <x v="5718"/>
    </i>
    <i r="1">
      <x v="5719"/>
    </i>
    <i r="1">
      <x v="5720"/>
    </i>
    <i r="1">
      <x v="5721"/>
    </i>
    <i r="1">
      <x v="5722"/>
    </i>
    <i r="1">
      <x v="5723"/>
    </i>
    <i r="1">
      <x v="5724"/>
    </i>
    <i r="1">
      <x v="5725"/>
    </i>
    <i r="1">
      <x v="5726"/>
    </i>
    <i r="1">
      <x v="5727"/>
    </i>
    <i r="1">
      <x v="5728"/>
    </i>
    <i r="1">
      <x v="5729"/>
    </i>
    <i r="1">
      <x v="5730"/>
    </i>
    <i r="1">
      <x v="5731"/>
    </i>
    <i r="1">
      <x v="5732"/>
    </i>
    <i r="1">
      <x v="5733"/>
    </i>
    <i r="1">
      <x v="5734"/>
    </i>
    <i r="1">
      <x v="5735"/>
    </i>
    <i r="1">
      <x v="5736"/>
    </i>
    <i r="1">
      <x v="5737"/>
    </i>
    <i r="1">
      <x v="5738"/>
    </i>
    <i r="1">
      <x v="5739"/>
    </i>
    <i r="1">
      <x v="5740"/>
    </i>
    <i r="1">
      <x v="5741"/>
    </i>
    <i r="1">
      <x v="5742"/>
    </i>
    <i r="1">
      <x v="5743"/>
    </i>
    <i r="1">
      <x v="5744"/>
    </i>
    <i r="1">
      <x v="5745"/>
    </i>
    <i r="1">
      <x v="5746"/>
    </i>
    <i r="1">
      <x v="5747"/>
    </i>
    <i r="1">
      <x v="5748"/>
    </i>
    <i r="1">
      <x v="5749"/>
    </i>
    <i r="1">
      <x v="5750"/>
    </i>
    <i r="1">
      <x v="5751"/>
    </i>
    <i r="1">
      <x v="5752"/>
    </i>
    <i r="1">
      <x v="5753"/>
    </i>
    <i r="1">
      <x v="5754"/>
    </i>
    <i r="1">
      <x v="5755"/>
    </i>
    <i r="1">
      <x v="5756"/>
    </i>
    <i r="1">
      <x v="5757"/>
    </i>
    <i r="1">
      <x v="5758"/>
    </i>
    <i r="1">
      <x v="5759"/>
    </i>
    <i r="1">
      <x v="5760"/>
    </i>
    <i r="1">
      <x v="5761"/>
    </i>
    <i r="1">
      <x v="5762"/>
    </i>
    <i r="1">
      <x v="5763"/>
    </i>
    <i r="1">
      <x v="5764"/>
    </i>
    <i r="1">
      <x v="5765"/>
    </i>
    <i r="1">
      <x v="5766"/>
    </i>
    <i r="1">
      <x v="5767"/>
    </i>
    <i r="1">
      <x v="5768"/>
    </i>
    <i r="1">
      <x v="5769"/>
    </i>
    <i r="1">
      <x v="5770"/>
    </i>
    <i r="1">
      <x v="5771"/>
    </i>
    <i r="1">
      <x v="5772"/>
    </i>
    <i r="1">
      <x v="5773"/>
    </i>
    <i r="1">
      <x v="5774"/>
    </i>
    <i r="1">
      <x v="5775"/>
    </i>
    <i r="1">
      <x v="5776"/>
    </i>
    <i r="1">
      <x v="5777"/>
    </i>
    <i r="1">
      <x v="5778"/>
    </i>
    <i r="1">
      <x v="5779"/>
    </i>
    <i r="1">
      <x v="5780"/>
    </i>
    <i r="1">
      <x v="5781"/>
    </i>
    <i r="1">
      <x v="5782"/>
    </i>
    <i r="1">
      <x v="5783"/>
    </i>
    <i r="1">
      <x v="5784"/>
    </i>
    <i r="1">
      <x v="5785"/>
    </i>
    <i r="1">
      <x v="5786"/>
    </i>
    <i r="1">
      <x v="5787"/>
    </i>
    <i r="1">
      <x v="5788"/>
    </i>
    <i r="1">
      <x v="5789"/>
    </i>
    <i r="1">
      <x v="5790"/>
    </i>
    <i r="1">
      <x v="5791"/>
    </i>
    <i r="1">
      <x v="5792"/>
    </i>
    <i r="1">
      <x v="5793"/>
    </i>
    <i r="1">
      <x v="5794"/>
    </i>
    <i r="1">
      <x v="5795"/>
    </i>
    <i r="1">
      <x v="5796"/>
    </i>
    <i r="1">
      <x v="5797"/>
    </i>
    <i r="1">
      <x v="5798"/>
    </i>
    <i r="1">
      <x v="5799"/>
    </i>
    <i r="1">
      <x v="5800"/>
    </i>
    <i r="1">
      <x v="5801"/>
    </i>
    <i r="1">
      <x v="5802"/>
    </i>
    <i r="1">
      <x v="5803"/>
    </i>
    <i r="1">
      <x v="5804"/>
    </i>
    <i r="1">
      <x v="5805"/>
    </i>
    <i r="1">
      <x v="5806"/>
    </i>
    <i r="1">
      <x v="5807"/>
    </i>
    <i r="1">
      <x v="5808"/>
    </i>
    <i r="1">
      <x v="5809"/>
    </i>
    <i r="1">
      <x v="5810"/>
    </i>
    <i r="1">
      <x v="5811"/>
    </i>
    <i r="1">
      <x v="5812"/>
    </i>
    <i r="1">
      <x v="5813"/>
    </i>
    <i r="1">
      <x v="5814"/>
    </i>
    <i r="1">
      <x v="5815"/>
    </i>
    <i r="1">
      <x v="5816"/>
    </i>
    <i r="1">
      <x v="5817"/>
    </i>
    <i r="1">
      <x v="5818"/>
    </i>
    <i r="1">
      <x v="5819"/>
    </i>
    <i r="1">
      <x v="5820"/>
    </i>
    <i r="1">
      <x v="5821"/>
    </i>
    <i r="1">
      <x v="5822"/>
    </i>
    <i r="1">
      <x v="5823"/>
    </i>
    <i r="1">
      <x v="5824"/>
    </i>
    <i r="1">
      <x v="5825"/>
    </i>
    <i r="1">
      <x v="5826"/>
    </i>
    <i r="1">
      <x v="5827"/>
    </i>
    <i r="1">
      <x v="5828"/>
    </i>
    <i r="1">
      <x v="5829"/>
    </i>
    <i r="1">
      <x v="5830"/>
    </i>
    <i r="1">
      <x v="5831"/>
    </i>
    <i r="1">
      <x v="5832"/>
    </i>
    <i r="1">
      <x v="5833"/>
    </i>
    <i r="1">
      <x v="5834"/>
    </i>
    <i r="1">
      <x v="5835"/>
    </i>
    <i r="1">
      <x v="5836"/>
    </i>
    <i r="1">
      <x v="5837"/>
    </i>
    <i r="1">
      <x v="5838"/>
    </i>
    <i r="1">
      <x v="5839"/>
    </i>
    <i r="1">
      <x v="5840"/>
    </i>
    <i r="1">
      <x v="5841"/>
    </i>
    <i r="1">
      <x v="5842"/>
    </i>
    <i r="1">
      <x v="5843"/>
    </i>
    <i r="1">
      <x v="5844"/>
    </i>
    <i r="1">
      <x v="5845"/>
    </i>
    <i r="1">
      <x v="5846"/>
    </i>
    <i r="1">
      <x v="5847"/>
    </i>
    <i r="1">
      <x v="5848"/>
    </i>
    <i r="1">
      <x v="5849"/>
    </i>
    <i r="1">
      <x v="5850"/>
    </i>
    <i r="1">
      <x v="5851"/>
    </i>
    <i r="1">
      <x v="5852"/>
    </i>
    <i r="1">
      <x v="5853"/>
    </i>
    <i r="1">
      <x v="5854"/>
    </i>
    <i r="1">
      <x v="5855"/>
    </i>
    <i r="1">
      <x v="5856"/>
    </i>
    <i r="1">
      <x v="5857"/>
    </i>
    <i r="1">
      <x v="5858"/>
    </i>
    <i r="1">
      <x v="5859"/>
    </i>
    <i r="1">
      <x v="5860"/>
    </i>
    <i r="1">
      <x v="5861"/>
    </i>
    <i r="1">
      <x v="5862"/>
    </i>
    <i r="1">
      <x v="5863"/>
    </i>
    <i r="1">
      <x v="5864"/>
    </i>
    <i r="1">
      <x v="5865"/>
    </i>
    <i r="1">
      <x v="5866"/>
    </i>
    <i r="1">
      <x v="5867"/>
    </i>
    <i r="1">
      <x v="5868"/>
    </i>
    <i r="1">
      <x v="5869"/>
    </i>
    <i r="1">
      <x v="5870"/>
    </i>
    <i r="1">
      <x v="5871"/>
    </i>
    <i r="1">
      <x v="5872"/>
    </i>
    <i r="1">
      <x v="5873"/>
    </i>
    <i r="1">
      <x v="5874"/>
    </i>
    <i r="1">
      <x v="5875"/>
    </i>
    <i r="1">
      <x v="5876"/>
    </i>
    <i r="1">
      <x v="5877"/>
    </i>
    <i r="1">
      <x v="5878"/>
    </i>
    <i r="1">
      <x v="5879"/>
    </i>
    <i r="1">
      <x v="5880"/>
    </i>
    <i r="1">
      <x v="5881"/>
    </i>
    <i r="1">
      <x v="5882"/>
    </i>
    <i r="1">
      <x v="5883"/>
    </i>
    <i r="1">
      <x v="5884"/>
    </i>
    <i r="1">
      <x v="5885"/>
    </i>
    <i r="1">
      <x v="5886"/>
    </i>
    <i r="1">
      <x v="5887"/>
    </i>
    <i r="1">
      <x v="5888"/>
    </i>
    <i r="1">
      <x v="5889"/>
    </i>
    <i r="1">
      <x v="5890"/>
    </i>
    <i r="1">
      <x v="5891"/>
    </i>
    <i r="1">
      <x v="5892"/>
    </i>
    <i r="1">
      <x v="5893"/>
    </i>
    <i r="1">
      <x v="5894"/>
    </i>
    <i r="1">
      <x v="5895"/>
    </i>
    <i r="1">
      <x v="5896"/>
    </i>
    <i r="1">
      <x v="5897"/>
    </i>
    <i r="1">
      <x v="5898"/>
    </i>
    <i r="1">
      <x v="5899"/>
    </i>
    <i r="1">
      <x v="5900"/>
    </i>
    <i r="1">
      <x v="5901"/>
    </i>
    <i r="1">
      <x v="5902"/>
    </i>
    <i r="1">
      <x v="5903"/>
    </i>
    <i r="1">
      <x v="5904"/>
    </i>
    <i r="1">
      <x v="5905"/>
    </i>
    <i r="1">
      <x v="5906"/>
    </i>
    <i r="1">
      <x v="5907"/>
    </i>
    <i r="1">
      <x v="5908"/>
    </i>
    <i r="1">
      <x v="5909"/>
    </i>
    <i r="1">
      <x v="5910"/>
    </i>
    <i r="1">
      <x v="5911"/>
    </i>
    <i r="1">
      <x v="5912"/>
    </i>
    <i r="1">
      <x v="5913"/>
    </i>
    <i r="1">
      <x v="5914"/>
    </i>
    <i r="1">
      <x v="5915"/>
    </i>
    <i r="1">
      <x v="5916"/>
    </i>
    <i r="1">
      <x v="5917"/>
    </i>
    <i r="1">
      <x v="5918"/>
    </i>
    <i r="1">
      <x v="5919"/>
    </i>
    <i r="1">
      <x v="5920"/>
    </i>
    <i r="1">
      <x v="5921"/>
    </i>
    <i r="1">
      <x v="5922"/>
    </i>
    <i r="1">
      <x v="5923"/>
    </i>
    <i r="1">
      <x v="5924"/>
    </i>
    <i r="1">
      <x v="5925"/>
    </i>
    <i r="1">
      <x v="5926"/>
    </i>
    <i r="1">
      <x v="5927"/>
    </i>
    <i r="1">
      <x v="5928"/>
    </i>
    <i r="1">
      <x v="5929"/>
    </i>
    <i r="1">
      <x v="5930"/>
    </i>
    <i r="1">
      <x v="5931"/>
    </i>
    <i r="1">
      <x v="5932"/>
    </i>
    <i r="1">
      <x v="5933"/>
    </i>
    <i r="1">
      <x v="5934"/>
    </i>
    <i r="1">
      <x v="5935"/>
    </i>
    <i r="1">
      <x v="5936"/>
    </i>
    <i r="1">
      <x v="5937"/>
    </i>
    <i r="1">
      <x v="5938"/>
    </i>
    <i r="1">
      <x v="5939"/>
    </i>
    <i r="1">
      <x v="5940"/>
    </i>
    <i r="1">
      <x v="5941"/>
    </i>
    <i r="1">
      <x v="5942"/>
    </i>
    <i r="1">
      <x v="5943"/>
    </i>
    <i r="1">
      <x v="5944"/>
    </i>
    <i r="1">
      <x v="5945"/>
    </i>
    <i r="1">
      <x v="5946"/>
    </i>
    <i r="1">
      <x v="5947"/>
    </i>
    <i r="1">
      <x v="5948"/>
    </i>
    <i r="1">
      <x v="5949"/>
    </i>
    <i r="1">
      <x v="5950"/>
    </i>
    <i r="1">
      <x v="5951"/>
    </i>
    <i r="1">
      <x v="5952"/>
    </i>
    <i r="1">
      <x v="5953"/>
    </i>
    <i r="1">
      <x v="5954"/>
    </i>
    <i r="1">
      <x v="5955"/>
    </i>
    <i r="1">
      <x v="5956"/>
    </i>
    <i r="1">
      <x v="5957"/>
    </i>
    <i r="1">
      <x v="5958"/>
    </i>
    <i r="1">
      <x v="5959"/>
    </i>
    <i r="1">
      <x v="5960"/>
    </i>
    <i r="1">
      <x v="5961"/>
    </i>
    <i r="1">
      <x v="5962"/>
    </i>
    <i r="1">
      <x v="5963"/>
    </i>
    <i r="1">
      <x v="5964"/>
    </i>
    <i r="1">
      <x v="5965"/>
    </i>
    <i r="1">
      <x v="5966"/>
    </i>
    <i r="1">
      <x v="5967"/>
    </i>
    <i r="1">
      <x v="5968"/>
    </i>
    <i r="1">
      <x v="5969"/>
    </i>
    <i r="1">
      <x v="5970"/>
    </i>
    <i r="1">
      <x v="5971"/>
    </i>
    <i r="1">
      <x v="5972"/>
    </i>
    <i r="1">
      <x v="5973"/>
    </i>
    <i r="1">
      <x v="5974"/>
    </i>
    <i r="1">
      <x v="5975"/>
    </i>
    <i r="1">
      <x v="5976"/>
    </i>
    <i r="1">
      <x v="5977"/>
    </i>
    <i r="1">
      <x v="5978"/>
    </i>
    <i r="1">
      <x v="5979"/>
    </i>
    <i r="1">
      <x v="5980"/>
    </i>
    <i r="1">
      <x v="5981"/>
    </i>
    <i r="1">
      <x v="5982"/>
    </i>
    <i r="1">
      <x v="5983"/>
    </i>
    <i r="1">
      <x v="5984"/>
    </i>
    <i r="1">
      <x v="5985"/>
    </i>
    <i r="1">
      <x v="5986"/>
    </i>
    <i r="1">
      <x v="5987"/>
    </i>
    <i>
      <x v="1"/>
    </i>
    <i r="1">
      <x v="598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BC9DA-705C-4A56-8B65-C3AA8DBF603D}" name="Tableau croisé dynamique28" cacheId="11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A888" firstHeaderRow="1" firstDataRow="1" firstDataCol="1"/>
  <pivotFields count="6">
    <pivotField showAll="0"/>
    <pivotField axis="axisRow" showAll="0">
      <items count="4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329"/>
        <item x="328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</pivotFields>
  <rowFields count="2">
    <field x="1"/>
    <field x="3"/>
  </rowFields>
  <rowItems count="885">
    <i>
      <x/>
    </i>
    <i r="1">
      <x v="1"/>
    </i>
    <i>
      <x v="1"/>
    </i>
    <i r="1">
      <x v="1"/>
    </i>
    <i>
      <x v="2"/>
    </i>
    <i r="1">
      <x v="1"/>
    </i>
    <i>
      <x v="3"/>
    </i>
    <i r="1">
      <x v="1"/>
    </i>
    <i>
      <x v="4"/>
    </i>
    <i r="1">
      <x v="1"/>
    </i>
    <i>
      <x v="5"/>
    </i>
    <i r="1">
      <x v="1"/>
    </i>
    <i>
      <x v="6"/>
    </i>
    <i r="1">
      <x v="1"/>
    </i>
    <i>
      <x v="7"/>
    </i>
    <i r="1">
      <x v="1"/>
    </i>
    <i>
      <x v="8"/>
    </i>
    <i r="1">
      <x v="1"/>
    </i>
    <i>
      <x v="9"/>
    </i>
    <i r="1">
      <x v="1"/>
    </i>
    <i>
      <x v="10"/>
    </i>
    <i r="1">
      <x v="1"/>
    </i>
    <i>
      <x v="11"/>
    </i>
    <i r="1">
      <x v="1"/>
    </i>
    <i>
      <x v="12"/>
    </i>
    <i r="1">
      <x v="1"/>
    </i>
    <i>
      <x v="13"/>
    </i>
    <i r="1">
      <x v="1"/>
    </i>
    <i>
      <x v="14"/>
    </i>
    <i r="1">
      <x v="1"/>
    </i>
    <i>
      <x v="15"/>
    </i>
    <i r="1">
      <x v="1"/>
    </i>
    <i>
      <x v="16"/>
    </i>
    <i r="1">
      <x v="1"/>
    </i>
    <i>
      <x v="17"/>
    </i>
    <i r="1">
      <x v="1"/>
    </i>
    <i>
      <x v="18"/>
    </i>
    <i r="1">
      <x v="1"/>
    </i>
    <i>
      <x v="19"/>
    </i>
    <i r="1">
      <x v="1"/>
    </i>
    <i>
      <x v="20"/>
    </i>
    <i r="1">
      <x v="1"/>
    </i>
    <i>
      <x v="21"/>
    </i>
    <i r="1">
      <x v="1"/>
    </i>
    <i>
      <x v="22"/>
    </i>
    <i r="1">
      <x v="1"/>
    </i>
    <i>
      <x v="23"/>
    </i>
    <i r="1">
      <x v="1"/>
    </i>
    <i>
      <x v="24"/>
    </i>
    <i r="1">
      <x v="1"/>
    </i>
    <i>
      <x v="25"/>
    </i>
    <i r="1">
      <x v="1"/>
    </i>
    <i>
      <x v="26"/>
    </i>
    <i r="1">
      <x v="1"/>
    </i>
    <i>
      <x v="27"/>
    </i>
    <i r="1">
      <x v="1"/>
    </i>
    <i>
      <x v="28"/>
    </i>
    <i r="1">
      <x v="1"/>
    </i>
    <i>
      <x v="29"/>
    </i>
    <i r="1">
      <x v="1"/>
    </i>
    <i>
      <x v="30"/>
    </i>
    <i r="1">
      <x v="1"/>
    </i>
    <i>
      <x v="31"/>
    </i>
    <i r="1">
      <x v="1"/>
    </i>
    <i>
      <x v="32"/>
    </i>
    <i r="1">
      <x v="1"/>
    </i>
    <i>
      <x v="33"/>
    </i>
    <i r="1">
      <x v="1"/>
    </i>
    <i>
      <x v="34"/>
    </i>
    <i r="1">
      <x v="1"/>
    </i>
    <i>
      <x v="35"/>
    </i>
    <i r="1">
      <x v="1"/>
    </i>
    <i>
      <x v="36"/>
    </i>
    <i r="1">
      <x v="1"/>
    </i>
    <i>
      <x v="37"/>
    </i>
    <i r="1">
      <x v="1"/>
    </i>
    <i>
      <x v="38"/>
    </i>
    <i r="1">
      <x v="1"/>
    </i>
    <i>
      <x v="39"/>
    </i>
    <i r="1">
      <x v="1"/>
    </i>
    <i>
      <x v="40"/>
    </i>
    <i r="1">
      <x v="1"/>
    </i>
    <i>
      <x v="41"/>
    </i>
    <i r="1">
      <x v="1"/>
    </i>
    <i>
      <x v="42"/>
    </i>
    <i r="1">
      <x v="1"/>
    </i>
    <i>
      <x v="43"/>
    </i>
    <i r="1">
      <x v="1"/>
    </i>
    <i>
      <x v="44"/>
    </i>
    <i r="1">
      <x v="1"/>
    </i>
    <i>
      <x v="45"/>
    </i>
    <i r="1">
      <x v="1"/>
    </i>
    <i>
      <x v="46"/>
    </i>
    <i r="1">
      <x v="1"/>
    </i>
    <i>
      <x v="47"/>
    </i>
    <i r="1">
      <x v="1"/>
    </i>
    <i>
      <x v="48"/>
    </i>
    <i r="1">
      <x v="1"/>
    </i>
    <i>
      <x v="49"/>
    </i>
    <i r="1">
      <x v="1"/>
    </i>
    <i>
      <x v="50"/>
    </i>
    <i r="1">
      <x v="1"/>
    </i>
    <i>
      <x v="51"/>
    </i>
    <i r="1">
      <x v="1"/>
    </i>
    <i>
      <x v="52"/>
    </i>
    <i r="1">
      <x v="1"/>
    </i>
    <i>
      <x v="53"/>
    </i>
    <i r="1">
      <x v="1"/>
    </i>
    <i>
      <x v="54"/>
    </i>
    <i r="1">
      <x v="1"/>
    </i>
    <i>
      <x v="55"/>
    </i>
    <i r="1">
      <x v="1"/>
    </i>
    <i>
      <x v="56"/>
    </i>
    <i r="1">
      <x v="1"/>
    </i>
    <i>
      <x v="57"/>
    </i>
    <i r="1">
      <x v="1"/>
    </i>
    <i>
      <x v="58"/>
    </i>
    <i r="1">
      <x v="1"/>
    </i>
    <i>
      <x v="59"/>
    </i>
    <i r="1">
      <x v="1"/>
    </i>
    <i>
      <x v="60"/>
    </i>
    <i r="1">
      <x v="1"/>
    </i>
    <i>
      <x v="61"/>
    </i>
    <i r="1">
      <x v="1"/>
    </i>
    <i>
      <x v="62"/>
    </i>
    <i r="1">
      <x v="1"/>
    </i>
    <i>
      <x v="63"/>
    </i>
    <i r="1">
      <x v="1"/>
    </i>
    <i>
      <x v="64"/>
    </i>
    <i r="1">
      <x v="1"/>
    </i>
    <i>
      <x v="65"/>
    </i>
    <i r="1">
      <x v="1"/>
    </i>
    <i>
      <x v="66"/>
    </i>
    <i r="1">
      <x v="1"/>
    </i>
    <i>
      <x v="67"/>
    </i>
    <i r="1">
      <x v="1"/>
    </i>
    <i>
      <x v="68"/>
    </i>
    <i r="1">
      <x v="1"/>
    </i>
    <i>
      <x v="69"/>
    </i>
    <i r="1">
      <x v="1"/>
    </i>
    <i>
      <x v="70"/>
    </i>
    <i r="1">
      <x v="1"/>
    </i>
    <i>
      <x v="71"/>
    </i>
    <i r="1">
      <x v="1"/>
    </i>
    <i>
      <x v="72"/>
    </i>
    <i r="1">
      <x v="1"/>
    </i>
    <i>
      <x v="73"/>
    </i>
    <i r="1">
      <x v="1"/>
    </i>
    <i>
      <x v="74"/>
    </i>
    <i r="1">
      <x v="1"/>
    </i>
    <i>
      <x v="75"/>
    </i>
    <i r="1">
      <x v="1"/>
    </i>
    <i>
      <x v="76"/>
    </i>
    <i r="1">
      <x v="1"/>
    </i>
    <i>
      <x v="77"/>
    </i>
    <i r="1">
      <x v="1"/>
    </i>
    <i>
      <x v="78"/>
    </i>
    <i r="1">
      <x v="1"/>
    </i>
    <i>
      <x v="79"/>
    </i>
    <i r="1">
      <x v="1"/>
    </i>
    <i>
      <x v="80"/>
    </i>
    <i r="1">
      <x v="1"/>
    </i>
    <i>
      <x v="81"/>
    </i>
    <i r="1">
      <x v="1"/>
    </i>
    <i>
      <x v="82"/>
    </i>
    <i r="1">
      <x v="1"/>
    </i>
    <i>
      <x v="83"/>
    </i>
    <i r="1">
      <x v="1"/>
    </i>
    <i>
      <x v="84"/>
    </i>
    <i r="1">
      <x v="1"/>
    </i>
    <i>
      <x v="85"/>
    </i>
    <i r="1">
      <x v="1"/>
    </i>
    <i>
      <x v="86"/>
    </i>
    <i r="1">
      <x v="1"/>
    </i>
    <i>
      <x v="87"/>
    </i>
    <i r="1">
      <x v="1"/>
    </i>
    <i>
      <x v="88"/>
    </i>
    <i r="1">
      <x v="1"/>
    </i>
    <i>
      <x v="89"/>
    </i>
    <i r="1">
      <x v="1"/>
    </i>
    <i>
      <x v="90"/>
    </i>
    <i r="1">
      <x v="1"/>
    </i>
    <i>
      <x v="91"/>
    </i>
    <i r="1">
      <x v="1"/>
    </i>
    <i>
      <x v="92"/>
    </i>
    <i r="1">
      <x v="1"/>
    </i>
    <i>
      <x v="93"/>
    </i>
    <i r="1">
      <x v="1"/>
    </i>
    <i>
      <x v="94"/>
    </i>
    <i r="1">
      <x v="1"/>
    </i>
    <i>
      <x v="95"/>
    </i>
    <i r="1">
      <x v="1"/>
    </i>
    <i>
      <x v="96"/>
    </i>
    <i r="1">
      <x v="1"/>
    </i>
    <i>
      <x v="97"/>
    </i>
    <i r="1">
      <x v="1"/>
    </i>
    <i>
      <x v="98"/>
    </i>
    <i r="1">
      <x v="1"/>
    </i>
    <i>
      <x v="99"/>
    </i>
    <i r="1">
      <x v="1"/>
    </i>
    <i>
      <x v="100"/>
    </i>
    <i r="1">
      <x v="1"/>
    </i>
    <i>
      <x v="101"/>
    </i>
    <i r="1">
      <x v="1"/>
    </i>
    <i>
      <x v="102"/>
    </i>
    <i r="1">
      <x v="1"/>
    </i>
    <i>
      <x v="103"/>
    </i>
    <i r="1">
      <x v="1"/>
    </i>
    <i>
      <x v="104"/>
    </i>
    <i r="1">
      <x v="1"/>
    </i>
    <i>
      <x v="105"/>
    </i>
    <i r="1">
      <x v="1"/>
    </i>
    <i>
      <x v="106"/>
    </i>
    <i r="1">
      <x v="1"/>
    </i>
    <i>
      <x v="107"/>
    </i>
    <i r="1">
      <x v="1"/>
    </i>
    <i>
      <x v="108"/>
    </i>
    <i r="1">
      <x v="1"/>
    </i>
    <i>
      <x v="109"/>
    </i>
    <i r="1">
      <x v="1"/>
    </i>
    <i>
      <x v="110"/>
    </i>
    <i r="1">
      <x v="1"/>
    </i>
    <i>
      <x v="111"/>
    </i>
    <i r="1">
      <x v="1"/>
    </i>
    <i>
      <x v="112"/>
    </i>
    <i r="1">
      <x v="1"/>
    </i>
    <i>
      <x v="113"/>
    </i>
    <i r="1">
      <x v="1"/>
    </i>
    <i>
      <x v="114"/>
    </i>
    <i r="1">
      <x v="1"/>
    </i>
    <i>
      <x v="115"/>
    </i>
    <i r="1">
      <x v="1"/>
    </i>
    <i>
      <x v="116"/>
    </i>
    <i r="1">
      <x v="1"/>
    </i>
    <i>
      <x v="117"/>
    </i>
    <i r="1">
      <x v="1"/>
    </i>
    <i>
      <x v="118"/>
    </i>
    <i r="1">
      <x v="1"/>
    </i>
    <i>
      <x v="119"/>
    </i>
    <i r="1">
      <x v="1"/>
    </i>
    <i>
      <x v="120"/>
    </i>
    <i r="1">
      <x v="1"/>
    </i>
    <i>
      <x v="121"/>
    </i>
    <i r="1">
      <x v="1"/>
    </i>
    <i>
      <x v="122"/>
    </i>
    <i r="1">
      <x v="1"/>
    </i>
    <i>
      <x v="123"/>
    </i>
    <i r="1">
      <x v="1"/>
    </i>
    <i>
      <x v="124"/>
    </i>
    <i r="1">
      <x v="1"/>
    </i>
    <i>
      <x v="125"/>
    </i>
    <i r="1">
      <x v="1"/>
    </i>
    <i>
      <x v="126"/>
    </i>
    <i r="1">
      <x v="1"/>
    </i>
    <i>
      <x v="127"/>
    </i>
    <i r="1">
      <x v="1"/>
    </i>
    <i>
      <x v="128"/>
    </i>
    <i r="1">
      <x v="1"/>
    </i>
    <i>
      <x v="129"/>
    </i>
    <i r="1">
      <x v="1"/>
    </i>
    <i>
      <x v="130"/>
    </i>
    <i r="1">
      <x v="1"/>
    </i>
    <i>
      <x v="131"/>
    </i>
    <i r="1">
      <x v="1"/>
    </i>
    <i>
      <x v="132"/>
    </i>
    <i r="1">
      <x v="1"/>
    </i>
    <i>
      <x v="133"/>
    </i>
    <i r="1">
      <x v="1"/>
    </i>
    <i>
      <x v="134"/>
    </i>
    <i r="1">
      <x v="1"/>
    </i>
    <i>
      <x v="135"/>
    </i>
    <i r="1">
      <x v="1"/>
    </i>
    <i>
      <x v="136"/>
    </i>
    <i r="1">
      <x v="1"/>
    </i>
    <i>
      <x v="137"/>
    </i>
    <i r="1">
      <x v="1"/>
    </i>
    <i>
      <x v="138"/>
    </i>
    <i r="1">
      <x v="1"/>
    </i>
    <i>
      <x v="139"/>
    </i>
    <i r="1">
      <x v="1"/>
    </i>
    <i>
      <x v="140"/>
    </i>
    <i r="1">
      <x v="1"/>
    </i>
    <i>
      <x v="141"/>
    </i>
    <i r="1">
      <x v="1"/>
    </i>
    <i>
      <x v="142"/>
    </i>
    <i r="1">
      <x v="1"/>
    </i>
    <i>
      <x v="143"/>
    </i>
    <i r="1">
      <x v="1"/>
    </i>
    <i>
      <x v="144"/>
    </i>
    <i r="1">
      <x v="1"/>
    </i>
    <i>
      <x v="145"/>
    </i>
    <i r="1">
      <x v="1"/>
    </i>
    <i>
      <x v="146"/>
    </i>
    <i r="1">
      <x v="1"/>
    </i>
    <i>
      <x v="147"/>
    </i>
    <i r="1">
      <x v="1"/>
    </i>
    <i>
      <x v="148"/>
    </i>
    <i r="1">
      <x v="1"/>
    </i>
    <i>
      <x v="149"/>
    </i>
    <i r="1">
      <x v="1"/>
    </i>
    <i>
      <x v="150"/>
    </i>
    <i r="1">
      <x v="1"/>
    </i>
    <i>
      <x v="151"/>
    </i>
    <i r="1">
      <x v="1"/>
    </i>
    <i>
      <x v="152"/>
    </i>
    <i r="1">
      <x v="1"/>
    </i>
    <i>
      <x v="153"/>
    </i>
    <i r="1">
      <x v="1"/>
    </i>
    <i>
      <x v="154"/>
    </i>
    <i r="1">
      <x v="1"/>
    </i>
    <i>
      <x v="155"/>
    </i>
    <i r="1">
      <x v="1"/>
    </i>
    <i>
      <x v="156"/>
    </i>
    <i r="1">
      <x v="1"/>
    </i>
    <i>
      <x v="157"/>
    </i>
    <i r="1">
      <x v="1"/>
    </i>
    <i>
      <x v="158"/>
    </i>
    <i r="1">
      <x v="1"/>
    </i>
    <i>
      <x v="159"/>
    </i>
    <i r="1">
      <x v="1"/>
    </i>
    <i>
      <x v="160"/>
    </i>
    <i r="1">
      <x v="1"/>
    </i>
    <i>
      <x v="161"/>
    </i>
    <i r="1">
      <x v="1"/>
    </i>
    <i>
      <x v="162"/>
    </i>
    <i r="1">
      <x v="1"/>
    </i>
    <i>
      <x v="163"/>
    </i>
    <i r="1">
      <x v="1"/>
    </i>
    <i>
      <x v="164"/>
    </i>
    <i r="1">
      <x v="1"/>
    </i>
    <i>
      <x v="165"/>
    </i>
    <i r="1">
      <x v="1"/>
    </i>
    <i>
      <x v="166"/>
    </i>
    <i r="1">
      <x v="1"/>
    </i>
    <i>
      <x v="167"/>
    </i>
    <i r="1">
      <x v="1"/>
    </i>
    <i>
      <x v="168"/>
    </i>
    <i r="1">
      <x v="1"/>
    </i>
    <i>
      <x v="169"/>
    </i>
    <i r="1">
      <x v="1"/>
    </i>
    <i>
      <x v="170"/>
    </i>
    <i r="1">
      <x v="1"/>
    </i>
    <i>
      <x v="171"/>
    </i>
    <i r="1">
      <x v="1"/>
    </i>
    <i>
      <x v="172"/>
    </i>
    <i r="1">
      <x v="1"/>
    </i>
    <i>
      <x v="173"/>
    </i>
    <i r="1">
      <x v="1"/>
    </i>
    <i>
      <x v="174"/>
    </i>
    <i r="1">
      <x v="1"/>
    </i>
    <i>
      <x v="175"/>
    </i>
    <i r="1">
      <x v="1"/>
    </i>
    <i>
      <x v="176"/>
    </i>
    <i r="1">
      <x v="1"/>
    </i>
    <i>
      <x v="177"/>
    </i>
    <i r="1">
      <x v="1"/>
    </i>
    <i>
      <x v="178"/>
    </i>
    <i r="1">
      <x v="1"/>
    </i>
    <i>
      <x v="179"/>
    </i>
    <i r="1">
      <x v="1"/>
    </i>
    <i>
      <x v="180"/>
    </i>
    <i r="1">
      <x v="1"/>
    </i>
    <i>
      <x v="181"/>
    </i>
    <i r="1">
      <x v="1"/>
    </i>
    <i>
      <x v="182"/>
    </i>
    <i r="1">
      <x v="1"/>
    </i>
    <i>
      <x v="183"/>
    </i>
    <i r="1">
      <x v="1"/>
    </i>
    <i>
      <x v="184"/>
    </i>
    <i r="1">
      <x v="1"/>
    </i>
    <i>
      <x v="185"/>
    </i>
    <i r="1">
      <x v="1"/>
    </i>
    <i>
      <x v="186"/>
    </i>
    <i r="1">
      <x v="1"/>
    </i>
    <i>
      <x v="187"/>
    </i>
    <i r="1">
      <x v="1"/>
    </i>
    <i>
      <x v="188"/>
    </i>
    <i r="1">
      <x v="1"/>
    </i>
    <i>
      <x v="189"/>
    </i>
    <i r="1">
      <x v="1"/>
    </i>
    <i>
      <x v="190"/>
    </i>
    <i r="1">
      <x v="1"/>
    </i>
    <i>
      <x v="191"/>
    </i>
    <i r="1">
      <x v="1"/>
    </i>
    <i>
      <x v="192"/>
    </i>
    <i r="1">
      <x v="1"/>
    </i>
    <i>
      <x v="193"/>
    </i>
    <i r="1">
      <x v="1"/>
    </i>
    <i>
      <x v="194"/>
    </i>
    <i r="1">
      <x v="1"/>
    </i>
    <i>
      <x v="195"/>
    </i>
    <i r="1">
      <x v="1"/>
    </i>
    <i>
      <x v="196"/>
    </i>
    <i r="1">
      <x v="1"/>
    </i>
    <i>
      <x v="197"/>
    </i>
    <i r="1">
      <x v="1"/>
    </i>
    <i>
      <x v="198"/>
    </i>
    <i r="1">
      <x v="1"/>
    </i>
    <i>
      <x v="199"/>
    </i>
    <i r="1">
      <x v="1"/>
    </i>
    <i>
      <x v="200"/>
    </i>
    <i r="1">
      <x v="1"/>
    </i>
    <i>
      <x v="201"/>
    </i>
    <i r="1">
      <x v="1"/>
    </i>
    <i>
      <x v="202"/>
    </i>
    <i r="1">
      <x v="1"/>
    </i>
    <i>
      <x v="203"/>
    </i>
    <i r="1">
      <x v="1"/>
    </i>
    <i>
      <x v="204"/>
    </i>
    <i r="1">
      <x v="1"/>
    </i>
    <i>
      <x v="205"/>
    </i>
    <i r="1">
      <x v="1"/>
    </i>
    <i>
      <x v="206"/>
    </i>
    <i r="1">
      <x v="1"/>
    </i>
    <i>
      <x v="207"/>
    </i>
    <i r="1">
      <x v="1"/>
    </i>
    <i>
      <x v="208"/>
    </i>
    <i r="1">
      <x v="1"/>
    </i>
    <i>
      <x v="209"/>
    </i>
    <i r="1">
      <x v="1"/>
    </i>
    <i>
      <x v="210"/>
    </i>
    <i r="1">
      <x v="1"/>
    </i>
    <i>
      <x v="211"/>
    </i>
    <i r="1">
      <x v="1"/>
    </i>
    <i>
      <x v="212"/>
    </i>
    <i r="1">
      <x v="1"/>
    </i>
    <i>
      <x v="213"/>
    </i>
    <i r="1">
      <x v="1"/>
    </i>
    <i>
      <x v="214"/>
    </i>
    <i r="1">
      <x v="1"/>
    </i>
    <i>
      <x v="215"/>
    </i>
    <i r="1">
      <x v="1"/>
    </i>
    <i>
      <x v="216"/>
    </i>
    <i r="1">
      <x v="1"/>
    </i>
    <i>
      <x v="217"/>
    </i>
    <i r="1">
      <x v="1"/>
    </i>
    <i>
      <x v="218"/>
    </i>
    <i r="1">
      <x v="1"/>
    </i>
    <i>
      <x v="219"/>
    </i>
    <i r="1">
      <x v="1"/>
    </i>
    <i>
      <x v="220"/>
    </i>
    <i r="1">
      <x v="1"/>
    </i>
    <i>
      <x v="221"/>
    </i>
    <i r="1">
      <x v="1"/>
    </i>
    <i>
      <x v="222"/>
    </i>
    <i r="1">
      <x v="1"/>
    </i>
    <i>
      <x v="223"/>
    </i>
    <i r="1">
      <x v="1"/>
    </i>
    <i>
      <x v="224"/>
    </i>
    <i r="1">
      <x v="1"/>
    </i>
    <i>
      <x v="225"/>
    </i>
    <i r="1">
      <x v="1"/>
    </i>
    <i>
      <x v="226"/>
    </i>
    <i r="1">
      <x v="1"/>
    </i>
    <i>
      <x v="227"/>
    </i>
    <i r="1">
      <x v="1"/>
    </i>
    <i>
      <x v="228"/>
    </i>
    <i r="1">
      <x v="1"/>
    </i>
    <i>
      <x v="229"/>
    </i>
    <i r="1">
      <x v="1"/>
    </i>
    <i>
      <x v="230"/>
    </i>
    <i r="1">
      <x v="1"/>
    </i>
    <i>
      <x v="231"/>
    </i>
    <i r="1">
      <x v="1"/>
    </i>
    <i>
      <x v="232"/>
    </i>
    <i r="1">
      <x v="1"/>
    </i>
    <i>
      <x v="233"/>
    </i>
    <i r="1">
      <x v="1"/>
    </i>
    <i>
      <x v="234"/>
    </i>
    <i r="1">
      <x v="1"/>
    </i>
    <i>
      <x v="235"/>
    </i>
    <i r="1">
      <x v="1"/>
    </i>
    <i>
      <x v="236"/>
    </i>
    <i r="1">
      <x v="1"/>
    </i>
    <i>
      <x v="237"/>
    </i>
    <i r="1">
      <x v="1"/>
    </i>
    <i>
      <x v="238"/>
    </i>
    <i r="1">
      <x v="1"/>
    </i>
    <i>
      <x v="239"/>
    </i>
    <i r="1">
      <x v="1"/>
    </i>
    <i>
      <x v="240"/>
    </i>
    <i r="1">
      <x v="1"/>
    </i>
    <i>
      <x v="241"/>
    </i>
    <i r="1">
      <x v="1"/>
    </i>
    <i>
      <x v="242"/>
    </i>
    <i r="1">
      <x v="1"/>
    </i>
    <i>
      <x v="243"/>
    </i>
    <i r="1">
      <x v="1"/>
    </i>
    <i>
      <x v="244"/>
    </i>
    <i r="1">
      <x v="1"/>
    </i>
    <i>
      <x v="245"/>
    </i>
    <i r="1">
      <x v="1"/>
    </i>
    <i>
      <x v="246"/>
    </i>
    <i r="1">
      <x v="1"/>
    </i>
    <i>
      <x v="247"/>
    </i>
    <i r="1">
      <x v="1"/>
    </i>
    <i>
      <x v="248"/>
    </i>
    <i r="1">
      <x v="1"/>
    </i>
    <i>
      <x v="249"/>
    </i>
    <i r="1">
      <x v="1"/>
    </i>
    <i>
      <x v="250"/>
    </i>
    <i r="1">
      <x v="1"/>
    </i>
    <i>
      <x v="251"/>
    </i>
    <i r="1">
      <x v="1"/>
    </i>
    <i>
      <x v="252"/>
    </i>
    <i r="1">
      <x v="1"/>
    </i>
    <i>
      <x v="253"/>
    </i>
    <i r="1">
      <x v="1"/>
    </i>
    <i>
      <x v="254"/>
    </i>
    <i r="1">
      <x v="1"/>
    </i>
    <i>
      <x v="255"/>
    </i>
    <i r="1">
      <x v="1"/>
    </i>
    <i>
      <x v="256"/>
    </i>
    <i r="1">
      <x v="1"/>
    </i>
    <i>
      <x v="257"/>
    </i>
    <i r="1">
      <x v="1"/>
    </i>
    <i>
      <x v="258"/>
    </i>
    <i r="1">
      <x v="1"/>
    </i>
    <i>
      <x v="259"/>
    </i>
    <i r="1">
      <x v="1"/>
    </i>
    <i>
      <x v="260"/>
    </i>
    <i r="1">
      <x v="1"/>
    </i>
    <i>
      <x v="261"/>
    </i>
    <i r="1">
      <x v="1"/>
    </i>
    <i>
      <x v="262"/>
    </i>
    <i r="1">
      <x v="1"/>
    </i>
    <i>
      <x v="263"/>
    </i>
    <i r="1">
      <x v="1"/>
    </i>
    <i>
      <x v="264"/>
    </i>
    <i r="1">
      <x v="1"/>
    </i>
    <i>
      <x v="265"/>
    </i>
    <i r="1">
      <x v="1"/>
    </i>
    <i>
      <x v="266"/>
    </i>
    <i r="1">
      <x v="1"/>
    </i>
    <i>
      <x v="267"/>
    </i>
    <i r="1">
      <x v="1"/>
    </i>
    <i>
      <x v="268"/>
    </i>
    <i r="1">
      <x v="1"/>
    </i>
    <i>
      <x v="269"/>
    </i>
    <i r="1">
      <x v="1"/>
    </i>
    <i>
      <x v="270"/>
    </i>
    <i r="1">
      <x v="1"/>
    </i>
    <i>
      <x v="271"/>
    </i>
    <i r="1">
      <x v="1"/>
    </i>
    <i>
      <x v="272"/>
    </i>
    <i r="1">
      <x v="1"/>
    </i>
    <i>
      <x v="273"/>
    </i>
    <i r="1">
      <x v="1"/>
    </i>
    <i>
      <x v="274"/>
    </i>
    <i r="1">
      <x v="1"/>
    </i>
    <i>
      <x v="275"/>
    </i>
    <i r="1">
      <x v="1"/>
    </i>
    <i>
      <x v="276"/>
    </i>
    <i r="1">
      <x v="1"/>
    </i>
    <i>
      <x v="277"/>
    </i>
    <i r="1">
      <x v="1"/>
    </i>
    <i>
      <x v="278"/>
    </i>
    <i r="1">
      <x v="1"/>
    </i>
    <i>
      <x v="279"/>
    </i>
    <i r="1">
      <x v="1"/>
    </i>
    <i>
      <x v="280"/>
    </i>
    <i r="1">
      <x v="1"/>
    </i>
    <i>
      <x v="281"/>
    </i>
    <i r="1">
      <x v="1"/>
    </i>
    <i>
      <x v="282"/>
    </i>
    <i r="1">
      <x v="1"/>
    </i>
    <i>
      <x v="283"/>
    </i>
    <i r="1">
      <x v="1"/>
    </i>
    <i>
      <x v="284"/>
    </i>
    <i r="1">
      <x v="1"/>
    </i>
    <i>
      <x v="285"/>
    </i>
    <i r="1">
      <x v="1"/>
    </i>
    <i>
      <x v="286"/>
    </i>
    <i r="1">
      <x v="1"/>
    </i>
    <i>
      <x v="287"/>
    </i>
    <i r="1">
      <x v="1"/>
    </i>
    <i>
      <x v="288"/>
    </i>
    <i r="1">
      <x v="1"/>
    </i>
    <i>
      <x v="289"/>
    </i>
    <i r="1">
      <x v="1"/>
    </i>
    <i>
      <x v="290"/>
    </i>
    <i r="1">
      <x v="1"/>
    </i>
    <i>
      <x v="291"/>
    </i>
    <i r="1">
      <x v="1"/>
    </i>
    <i>
      <x v="292"/>
    </i>
    <i r="1">
      <x v="1"/>
    </i>
    <i>
      <x v="293"/>
    </i>
    <i r="1">
      <x v="1"/>
    </i>
    <i>
      <x v="294"/>
    </i>
    <i r="1">
      <x v="1"/>
    </i>
    <i>
      <x v="295"/>
    </i>
    <i r="1">
      <x v="1"/>
    </i>
    <i>
      <x v="296"/>
    </i>
    <i r="1">
      <x v="1"/>
    </i>
    <i>
      <x v="297"/>
    </i>
    <i r="1">
      <x v="1"/>
    </i>
    <i>
      <x v="298"/>
    </i>
    <i r="1">
      <x v="1"/>
    </i>
    <i>
      <x v="299"/>
    </i>
    <i r="1">
      <x v="1"/>
    </i>
    <i>
      <x v="300"/>
    </i>
    <i r="1">
      <x v="1"/>
    </i>
    <i>
      <x v="301"/>
    </i>
    <i r="1">
      <x v="1"/>
    </i>
    <i>
      <x v="302"/>
    </i>
    <i r="1">
      <x v="1"/>
    </i>
    <i>
      <x v="303"/>
    </i>
    <i r="1">
      <x v="1"/>
    </i>
    <i>
      <x v="304"/>
    </i>
    <i r="1">
      <x v="1"/>
    </i>
    <i>
      <x v="305"/>
    </i>
    <i r="1">
      <x v="1"/>
    </i>
    <i>
      <x v="306"/>
    </i>
    <i r="1">
      <x v="1"/>
    </i>
    <i>
      <x v="307"/>
    </i>
    <i r="1">
      <x v="1"/>
    </i>
    <i>
      <x v="308"/>
    </i>
    <i r="1">
      <x v="1"/>
    </i>
    <i>
      <x v="309"/>
    </i>
    <i r="1">
      <x v="1"/>
    </i>
    <i>
      <x v="310"/>
    </i>
    <i r="1">
      <x v="1"/>
    </i>
    <i>
      <x v="311"/>
    </i>
    <i r="1">
      <x v="1"/>
    </i>
    <i>
      <x v="312"/>
    </i>
    <i r="1">
      <x v="1"/>
    </i>
    <i>
      <x v="313"/>
    </i>
    <i r="1">
      <x v="1"/>
    </i>
    <i>
      <x v="314"/>
    </i>
    <i r="1">
      <x v="1"/>
    </i>
    <i>
      <x v="315"/>
    </i>
    <i r="1">
      <x v="1"/>
    </i>
    <i>
      <x v="316"/>
    </i>
    <i r="1">
      <x v="1"/>
    </i>
    <i>
      <x v="317"/>
    </i>
    <i r="1">
      <x v="1"/>
    </i>
    <i>
      <x v="318"/>
    </i>
    <i r="1">
      <x v="1"/>
    </i>
    <i>
      <x v="319"/>
    </i>
    <i r="1">
      <x v="1"/>
    </i>
    <i>
      <x v="320"/>
    </i>
    <i r="1">
      <x v="1"/>
    </i>
    <i>
      <x v="321"/>
    </i>
    <i r="1">
      <x v="1"/>
    </i>
    <i>
      <x v="322"/>
    </i>
    <i r="1">
      <x v="1"/>
    </i>
    <i>
      <x v="323"/>
    </i>
    <i r="1">
      <x v="1"/>
    </i>
    <i>
      <x v="324"/>
    </i>
    <i r="1">
      <x v="1"/>
    </i>
    <i>
      <x v="325"/>
    </i>
    <i r="1">
      <x v="1"/>
    </i>
    <i>
      <x v="326"/>
    </i>
    <i r="1">
      <x v="1"/>
    </i>
    <i>
      <x v="327"/>
    </i>
    <i r="1">
      <x v="2"/>
    </i>
    <i>
      <x v="328"/>
    </i>
    <i r="1">
      <x v="2"/>
    </i>
    <i>
      <x v="329"/>
    </i>
    <i r="1">
      <x v="1"/>
    </i>
    <i>
      <x v="330"/>
    </i>
    <i r="1">
      <x v="1"/>
    </i>
    <i>
      <x v="331"/>
    </i>
    <i r="1">
      <x v="1"/>
    </i>
    <i>
      <x v="332"/>
    </i>
    <i r="1">
      <x v="1"/>
    </i>
    <i>
      <x v="333"/>
    </i>
    <i r="1">
      <x v="1"/>
    </i>
    <i>
      <x v="334"/>
    </i>
    <i r="1">
      <x v="1"/>
    </i>
    <i>
      <x v="335"/>
    </i>
    <i r="1">
      <x v="1"/>
    </i>
    <i>
      <x v="336"/>
    </i>
    <i r="1">
      <x v="1"/>
    </i>
    <i>
      <x v="337"/>
    </i>
    <i r="1">
      <x v="1"/>
    </i>
    <i>
      <x v="338"/>
    </i>
    <i r="1">
      <x v="1"/>
    </i>
    <i>
      <x v="339"/>
    </i>
    <i r="1">
      <x v="1"/>
    </i>
    <i>
      <x v="340"/>
    </i>
    <i r="1">
      <x v="1"/>
    </i>
    <i>
      <x v="341"/>
    </i>
    <i r="1">
      <x v="1"/>
    </i>
    <i>
      <x v="342"/>
    </i>
    <i r="1">
      <x v="1"/>
    </i>
    <i>
      <x v="343"/>
    </i>
    <i r="1">
      <x v="1"/>
    </i>
    <i>
      <x v="344"/>
    </i>
    <i r="1">
      <x v="1"/>
    </i>
    <i>
      <x v="345"/>
    </i>
    <i r="1">
      <x v="1"/>
    </i>
    <i>
      <x v="346"/>
    </i>
    <i r="1">
      <x v="1"/>
    </i>
    <i>
      <x v="347"/>
    </i>
    <i r="1">
      <x v="1"/>
    </i>
    <i>
      <x v="348"/>
    </i>
    <i r="1">
      <x v="1"/>
    </i>
    <i>
      <x v="349"/>
    </i>
    <i r="1">
      <x v="1"/>
    </i>
    <i>
      <x v="350"/>
    </i>
    <i r="1">
      <x v="1"/>
    </i>
    <i>
      <x v="351"/>
    </i>
    <i r="1">
      <x v="1"/>
    </i>
    <i>
      <x v="352"/>
    </i>
    <i r="1">
      <x v="1"/>
    </i>
    <i>
      <x v="353"/>
    </i>
    <i r="1">
      <x v="1"/>
    </i>
    <i>
      <x v="354"/>
    </i>
    <i r="1">
      <x v="1"/>
    </i>
    <i>
      <x v="355"/>
    </i>
    <i r="1">
      <x v="1"/>
    </i>
    <i>
      <x v="356"/>
    </i>
    <i r="1">
      <x v="1"/>
    </i>
    <i>
      <x v="357"/>
    </i>
    <i r="1">
      <x v="1"/>
    </i>
    <i>
      <x v="358"/>
    </i>
    <i r="1">
      <x v="1"/>
    </i>
    <i>
      <x v="359"/>
    </i>
    <i r="1">
      <x v="1"/>
    </i>
    <i>
      <x v="360"/>
    </i>
    <i r="1">
      <x v="1"/>
    </i>
    <i>
      <x v="361"/>
    </i>
    <i r="1">
      <x v="1"/>
    </i>
    <i>
      <x v="362"/>
    </i>
    <i r="1">
      <x v="1"/>
    </i>
    <i>
      <x v="363"/>
    </i>
    <i r="1">
      <x v="1"/>
    </i>
    <i>
      <x v="364"/>
    </i>
    <i r="1">
      <x v="1"/>
    </i>
    <i>
      <x v="365"/>
    </i>
    <i r="1">
      <x v="1"/>
    </i>
    <i>
      <x v="366"/>
    </i>
    <i r="1">
      <x v="1"/>
    </i>
    <i>
      <x v="367"/>
    </i>
    <i r="1">
      <x v="1"/>
    </i>
    <i>
      <x v="368"/>
    </i>
    <i r="1">
      <x v="1"/>
    </i>
    <i>
      <x v="369"/>
    </i>
    <i r="1">
      <x v="1"/>
    </i>
    <i>
      <x v="370"/>
    </i>
    <i r="1">
      <x v="1"/>
    </i>
    <i>
      <x v="371"/>
    </i>
    <i r="1">
      <x v="1"/>
    </i>
    <i>
      <x v="372"/>
    </i>
    <i r="1">
      <x v="1"/>
    </i>
    <i>
      <x v="373"/>
    </i>
    <i r="1">
      <x v="1"/>
    </i>
    <i>
      <x v="374"/>
    </i>
    <i r="1">
      <x v="1"/>
    </i>
    <i>
      <x v="375"/>
    </i>
    <i r="1">
      <x v="1"/>
    </i>
    <i>
      <x v="376"/>
    </i>
    <i r="1">
      <x v="1"/>
    </i>
    <i>
      <x v="377"/>
    </i>
    <i r="1">
      <x v="1"/>
    </i>
    <i>
      <x v="378"/>
    </i>
    <i r="1">
      <x v="1"/>
    </i>
    <i>
      <x v="379"/>
    </i>
    <i r="1">
      <x v="1"/>
    </i>
    <i>
      <x v="380"/>
    </i>
    <i r="1">
      <x v="1"/>
    </i>
    <i>
      <x v="381"/>
    </i>
    <i r="1">
      <x v="1"/>
    </i>
    <i>
      <x v="382"/>
    </i>
    <i r="1">
      <x v="1"/>
    </i>
    <i>
      <x v="383"/>
    </i>
    <i r="1">
      <x v="1"/>
    </i>
    <i>
      <x v="384"/>
    </i>
    <i r="1">
      <x v="1"/>
    </i>
    <i>
      <x v="385"/>
    </i>
    <i r="1">
      <x v="1"/>
    </i>
    <i>
      <x v="386"/>
    </i>
    <i r="1">
      <x v="1"/>
    </i>
    <i>
      <x v="387"/>
    </i>
    <i r="1">
      <x v="1"/>
    </i>
    <i>
      <x v="388"/>
    </i>
    <i r="1">
      <x v="1"/>
    </i>
    <i>
      <x v="389"/>
    </i>
    <i r="1">
      <x v="1"/>
    </i>
    <i>
      <x v="390"/>
    </i>
    <i r="1">
      <x v="1"/>
    </i>
    <i>
      <x v="391"/>
    </i>
    <i r="1">
      <x v="1"/>
    </i>
    <i>
      <x v="392"/>
    </i>
    <i r="1">
      <x v="1"/>
    </i>
    <i>
      <x v="393"/>
    </i>
    <i r="1">
      <x v="1"/>
    </i>
    <i>
      <x v="394"/>
    </i>
    <i r="1">
      <x v="1"/>
    </i>
    <i>
      <x v="395"/>
    </i>
    <i r="1">
      <x v="1"/>
    </i>
    <i>
      <x v="396"/>
    </i>
    <i r="1">
      <x v="1"/>
    </i>
    <i>
      <x v="397"/>
    </i>
    <i r="1">
      <x v="1"/>
    </i>
    <i>
      <x v="398"/>
    </i>
    <i r="1">
      <x v="1"/>
    </i>
    <i>
      <x v="399"/>
    </i>
    <i r="1">
      <x v="1"/>
    </i>
    <i>
      <x v="400"/>
    </i>
    <i r="1">
      <x v="1"/>
    </i>
    <i>
      <x v="401"/>
    </i>
    <i r="1">
      <x v="1"/>
    </i>
    <i>
      <x v="402"/>
    </i>
    <i r="1">
      <x v="1"/>
    </i>
    <i>
      <x v="403"/>
    </i>
    <i r="1">
      <x v="1"/>
    </i>
    <i>
      <x v="404"/>
    </i>
    <i r="1">
      <x v="1"/>
    </i>
    <i>
      <x v="405"/>
    </i>
    <i r="1">
      <x v="1"/>
    </i>
    <i>
      <x v="406"/>
    </i>
    <i r="1">
      <x v="1"/>
    </i>
    <i>
      <x v="407"/>
    </i>
    <i r="1">
      <x v="1"/>
    </i>
    <i>
      <x v="408"/>
    </i>
    <i r="1">
      <x v="1"/>
    </i>
    <i>
      <x v="409"/>
    </i>
    <i r="1">
      <x v="1"/>
    </i>
    <i>
      <x v="410"/>
    </i>
    <i r="1">
      <x v="1"/>
    </i>
    <i>
      <x v="411"/>
    </i>
    <i r="1">
      <x v="1"/>
    </i>
    <i>
      <x v="412"/>
    </i>
    <i r="1">
      <x v="1"/>
    </i>
    <i>
      <x v="413"/>
    </i>
    <i r="1">
      <x v="1"/>
    </i>
    <i>
      <x v="414"/>
    </i>
    <i r="1">
      <x v="1"/>
    </i>
    <i>
      <x v="415"/>
    </i>
    <i r="1">
      <x v="1"/>
    </i>
    <i>
      <x v="416"/>
    </i>
    <i r="1">
      <x v="1"/>
    </i>
    <i>
      <x v="417"/>
    </i>
    <i r="1">
      <x v="1"/>
    </i>
    <i>
      <x v="418"/>
    </i>
    <i r="1">
      <x v="1"/>
    </i>
    <i>
      <x v="419"/>
    </i>
    <i r="1">
      <x v="1"/>
    </i>
    <i>
      <x v="420"/>
    </i>
    <i r="1">
      <x v="1"/>
    </i>
    <i>
      <x v="421"/>
    </i>
    <i r="1">
      <x v="1"/>
    </i>
    <i>
      <x v="422"/>
    </i>
    <i r="1">
      <x v="1"/>
    </i>
    <i>
      <x v="423"/>
    </i>
    <i r="1">
      <x v="1"/>
    </i>
    <i>
      <x v="424"/>
    </i>
    <i r="1">
      <x v="1"/>
    </i>
    <i>
      <x v="425"/>
    </i>
    <i r="1">
      <x v="1"/>
    </i>
    <i>
      <x v="426"/>
    </i>
    <i r="1">
      <x v="1"/>
    </i>
    <i>
      <x v="427"/>
    </i>
    <i r="1">
      <x v="1"/>
    </i>
    <i>
      <x v="428"/>
    </i>
    <i r="1">
      <x v="1"/>
    </i>
    <i>
      <x v="429"/>
    </i>
    <i r="1">
      <x v="1"/>
    </i>
    <i>
      <x v="430"/>
    </i>
    <i r="1">
      <x v="1"/>
    </i>
    <i>
      <x v="431"/>
    </i>
    <i r="1">
      <x v="1"/>
    </i>
    <i>
      <x v="432"/>
    </i>
    <i r="1">
      <x v="1"/>
    </i>
    <i>
      <x v="433"/>
    </i>
    <i r="1">
      <x v="1"/>
    </i>
    <i>
      <x v="434"/>
    </i>
    <i r="1">
      <x v="1"/>
    </i>
    <i>
      <x v="435"/>
    </i>
    <i r="1">
      <x v="1"/>
    </i>
    <i>
      <x v="436"/>
    </i>
    <i r="1">
      <x v="1"/>
    </i>
    <i>
      <x v="437"/>
    </i>
    <i r="1">
      <x v="1"/>
    </i>
    <i>
      <x v="438"/>
    </i>
    <i r="1">
      <x v="1"/>
    </i>
    <i>
      <x v="439"/>
    </i>
    <i r="1">
      <x v="1"/>
    </i>
    <i>
      <x v="440"/>
    </i>
    <i r="1">
      <x/>
    </i>
    <i>
      <x v="441"/>
    </i>
    <i r="1"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C3D25F-A98D-4432-8178-703DC048BF3A}" name="Tableau croisé dynamique29" cacheId="12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A14" firstHeaderRow="1" firstDataRow="1" firstDataCol="1"/>
  <pivotFields count="2">
    <pivotField axis="axisRow" showAll="0">
      <items count="6">
        <item x="3"/>
        <item x="1"/>
        <item x="2"/>
        <item x="0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0"/>
    <field x="1"/>
  </rowFields>
  <rowItems count="11">
    <i>
      <x/>
    </i>
    <i r="1">
      <x v="2"/>
    </i>
    <i>
      <x v="1"/>
    </i>
    <i r="1">
      <x v="1"/>
    </i>
    <i>
      <x v="2"/>
    </i>
    <i r="1">
      <x/>
    </i>
    <i>
      <x v="3"/>
    </i>
    <i r="1">
      <x/>
    </i>
    <i>
      <x v="4"/>
    </i>
    <i r="1"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68"/>
  <sheetViews>
    <sheetView workbookViewId="0">
      <selection activeCell="E4" sqref="E4"/>
    </sheetView>
  </sheetViews>
  <sheetFormatPr baseColWidth="10" defaultColWidth="9.140625" defaultRowHeight="15" x14ac:dyDescent="0.25"/>
  <cols>
    <col min="1" max="1" width="8.28515625" bestFit="1" customWidth="1"/>
    <col min="2" max="2" width="52.85546875" bestFit="1" customWidth="1"/>
    <col min="4" max="4" width="52.85546875" bestFit="1" customWidth="1"/>
  </cols>
  <sheetData>
    <row r="1" spans="1:4" x14ac:dyDescent="0.25">
      <c r="A1" t="s">
        <v>0</v>
      </c>
      <c r="B1" t="s">
        <v>1</v>
      </c>
    </row>
    <row r="2" spans="1:4" x14ac:dyDescent="0.25">
      <c r="A2" t="str">
        <f>"100001"</f>
        <v>100001</v>
      </c>
      <c r="B2" t="s">
        <v>2</v>
      </c>
    </row>
    <row r="3" spans="1:4" x14ac:dyDescent="0.25">
      <c r="A3" t="str">
        <f>"100002"</f>
        <v>100002</v>
      </c>
      <c r="B3" t="s">
        <v>3</v>
      </c>
    </row>
    <row r="4" spans="1:4" x14ac:dyDescent="0.25">
      <c r="A4" t="str">
        <f>"100003"</f>
        <v>100003</v>
      </c>
      <c r="B4" t="s">
        <v>4</v>
      </c>
      <c r="D4" s="14" t="s">
        <v>13094</v>
      </c>
    </row>
    <row r="5" spans="1:4" x14ac:dyDescent="0.25">
      <c r="A5" t="str">
        <f>"100004"</f>
        <v>100004</v>
      </c>
      <c r="B5" t="s">
        <v>5</v>
      </c>
      <c r="D5" s="15" t="s">
        <v>1830</v>
      </c>
    </row>
    <row r="6" spans="1:4" x14ac:dyDescent="0.25">
      <c r="A6" t="str">
        <f>"100005"</f>
        <v>100005</v>
      </c>
      <c r="B6" t="s">
        <v>6</v>
      </c>
      <c r="D6" s="15" t="s">
        <v>1687</v>
      </c>
    </row>
    <row r="7" spans="1:4" x14ac:dyDescent="0.25">
      <c r="A7" t="str">
        <f>"100006"</f>
        <v>100006</v>
      </c>
      <c r="B7" t="s">
        <v>7</v>
      </c>
      <c r="D7" s="15" t="s">
        <v>2079</v>
      </c>
    </row>
    <row r="8" spans="1:4" x14ac:dyDescent="0.25">
      <c r="A8" t="str">
        <f>"100007"</f>
        <v>100007</v>
      </c>
      <c r="B8" t="s">
        <v>8</v>
      </c>
      <c r="D8" s="15" t="s">
        <v>897</v>
      </c>
    </row>
    <row r="9" spans="1:4" x14ac:dyDescent="0.25">
      <c r="A9" t="str">
        <f>"100008"</f>
        <v>100008</v>
      </c>
      <c r="B9" t="s">
        <v>9</v>
      </c>
      <c r="D9" s="15" t="s">
        <v>1482</v>
      </c>
    </row>
    <row r="10" spans="1:4" x14ac:dyDescent="0.25">
      <c r="A10" t="str">
        <f>"100009"</f>
        <v>100009</v>
      </c>
      <c r="B10" t="s">
        <v>10</v>
      </c>
      <c r="D10" s="15" t="s">
        <v>277</v>
      </c>
    </row>
    <row r="11" spans="1:4" x14ac:dyDescent="0.25">
      <c r="A11" t="str">
        <f>"100010"</f>
        <v>100010</v>
      </c>
      <c r="B11" t="s">
        <v>11</v>
      </c>
      <c r="D11" s="15" t="s">
        <v>2779</v>
      </c>
    </row>
    <row r="12" spans="1:4" x14ac:dyDescent="0.25">
      <c r="A12" t="str">
        <f>"100011"</f>
        <v>100011</v>
      </c>
      <c r="B12" t="s">
        <v>12</v>
      </c>
      <c r="D12" s="15" t="s">
        <v>2099</v>
      </c>
    </row>
    <row r="13" spans="1:4" x14ac:dyDescent="0.25">
      <c r="A13" t="str">
        <f>"100012"</f>
        <v>100012</v>
      </c>
      <c r="B13" t="s">
        <v>13</v>
      </c>
      <c r="D13" s="15" t="s">
        <v>2175</v>
      </c>
    </row>
    <row r="14" spans="1:4" x14ac:dyDescent="0.25">
      <c r="A14" t="str">
        <f>"100013"</f>
        <v>100013</v>
      </c>
      <c r="B14" t="s">
        <v>14</v>
      </c>
      <c r="D14" s="15" t="s">
        <v>1140</v>
      </c>
    </row>
    <row r="15" spans="1:4" x14ac:dyDescent="0.25">
      <c r="A15" t="str">
        <f>"100014"</f>
        <v>100014</v>
      </c>
      <c r="B15" t="s">
        <v>15</v>
      </c>
      <c r="D15" s="15" t="s">
        <v>177</v>
      </c>
    </row>
    <row r="16" spans="1:4" x14ac:dyDescent="0.25">
      <c r="A16" t="str">
        <f>"100015"</f>
        <v>100015</v>
      </c>
      <c r="B16" t="s">
        <v>16</v>
      </c>
      <c r="D16" s="15" t="s">
        <v>1164</v>
      </c>
    </row>
    <row r="17" spans="1:4" x14ac:dyDescent="0.25">
      <c r="A17" t="str">
        <f>"100016"</f>
        <v>100016</v>
      </c>
      <c r="B17" t="s">
        <v>17</v>
      </c>
      <c r="D17" s="15" t="s">
        <v>2381</v>
      </c>
    </row>
    <row r="18" spans="1:4" x14ac:dyDescent="0.25">
      <c r="A18" t="str">
        <f>"100017"</f>
        <v>100017</v>
      </c>
      <c r="B18" t="s">
        <v>18</v>
      </c>
      <c r="D18" s="15" t="s">
        <v>1378</v>
      </c>
    </row>
    <row r="19" spans="1:4" x14ac:dyDescent="0.25">
      <c r="A19" t="str">
        <f>"100018"</f>
        <v>100018</v>
      </c>
      <c r="B19" t="s">
        <v>19</v>
      </c>
      <c r="D19" s="15" t="s">
        <v>2431</v>
      </c>
    </row>
    <row r="20" spans="1:4" x14ac:dyDescent="0.25">
      <c r="A20" t="str">
        <f>"100019"</f>
        <v>100019</v>
      </c>
      <c r="B20" t="s">
        <v>20</v>
      </c>
      <c r="D20" s="15" t="s">
        <v>1377</v>
      </c>
    </row>
    <row r="21" spans="1:4" x14ac:dyDescent="0.25">
      <c r="A21" t="str">
        <f>"100020"</f>
        <v>100020</v>
      </c>
      <c r="B21" t="s">
        <v>21</v>
      </c>
      <c r="D21" s="15" t="s">
        <v>1391</v>
      </c>
    </row>
    <row r="22" spans="1:4" x14ac:dyDescent="0.25">
      <c r="A22" t="str">
        <f>"100021"</f>
        <v>100021</v>
      </c>
      <c r="B22" t="s">
        <v>22</v>
      </c>
      <c r="D22" s="15" t="s">
        <v>2620</v>
      </c>
    </row>
    <row r="23" spans="1:4" x14ac:dyDescent="0.25">
      <c r="A23" t="str">
        <f>"100022"</f>
        <v>100022</v>
      </c>
      <c r="B23" t="s">
        <v>23</v>
      </c>
      <c r="D23" s="15" t="s">
        <v>2438</v>
      </c>
    </row>
    <row r="24" spans="1:4" x14ac:dyDescent="0.25">
      <c r="A24" t="str">
        <f>"100023"</f>
        <v>100023</v>
      </c>
      <c r="B24" t="s">
        <v>24</v>
      </c>
      <c r="D24" s="15" t="s">
        <v>488</v>
      </c>
    </row>
    <row r="25" spans="1:4" x14ac:dyDescent="0.25">
      <c r="A25" t="str">
        <f>"100024"</f>
        <v>100024</v>
      </c>
      <c r="B25" t="s">
        <v>25</v>
      </c>
      <c r="D25" s="15" t="s">
        <v>2237</v>
      </c>
    </row>
    <row r="26" spans="1:4" x14ac:dyDescent="0.25">
      <c r="A26" t="str">
        <f>"100025"</f>
        <v>100025</v>
      </c>
      <c r="B26" t="s">
        <v>26</v>
      </c>
      <c r="D26" s="15" t="s">
        <v>2433</v>
      </c>
    </row>
    <row r="27" spans="1:4" x14ac:dyDescent="0.25">
      <c r="A27" t="str">
        <f>"100026"</f>
        <v>100026</v>
      </c>
      <c r="B27" t="s">
        <v>27</v>
      </c>
      <c r="D27" s="15" t="s">
        <v>1137</v>
      </c>
    </row>
    <row r="28" spans="1:4" x14ac:dyDescent="0.25">
      <c r="A28" t="str">
        <f>"100027"</f>
        <v>100027</v>
      </c>
      <c r="B28" t="s">
        <v>28</v>
      </c>
      <c r="D28" s="15" t="s">
        <v>2393</v>
      </c>
    </row>
    <row r="29" spans="1:4" x14ac:dyDescent="0.25">
      <c r="A29" t="str">
        <f>"100028"</f>
        <v>100028</v>
      </c>
      <c r="B29" t="s">
        <v>29</v>
      </c>
      <c r="D29" s="15" t="s">
        <v>1994</v>
      </c>
    </row>
    <row r="30" spans="1:4" x14ac:dyDescent="0.25">
      <c r="A30" t="str">
        <f>"100029"</f>
        <v>100029</v>
      </c>
      <c r="B30" t="s">
        <v>30</v>
      </c>
      <c r="D30" s="15" t="s">
        <v>1196</v>
      </c>
    </row>
    <row r="31" spans="1:4" x14ac:dyDescent="0.25">
      <c r="A31" t="str">
        <f>"100030"</f>
        <v>100030</v>
      </c>
      <c r="B31" t="s">
        <v>31</v>
      </c>
      <c r="D31" s="15" t="s">
        <v>661</v>
      </c>
    </row>
    <row r="32" spans="1:4" x14ac:dyDescent="0.25">
      <c r="A32" t="str">
        <f>"100031"</f>
        <v>100031</v>
      </c>
      <c r="B32" t="s">
        <v>32</v>
      </c>
      <c r="D32" s="15" t="s">
        <v>2364</v>
      </c>
    </row>
    <row r="33" spans="1:4" x14ac:dyDescent="0.25">
      <c r="A33" t="str">
        <f>"100032"</f>
        <v>100032</v>
      </c>
      <c r="B33" t="s">
        <v>33</v>
      </c>
      <c r="D33" s="15" t="s">
        <v>2437</v>
      </c>
    </row>
    <row r="34" spans="1:4" x14ac:dyDescent="0.25">
      <c r="A34" t="str">
        <f>"100033"</f>
        <v>100033</v>
      </c>
      <c r="B34" t="s">
        <v>34</v>
      </c>
      <c r="D34" s="15" t="s">
        <v>2466</v>
      </c>
    </row>
    <row r="35" spans="1:4" x14ac:dyDescent="0.25">
      <c r="A35" t="str">
        <f>"100034"</f>
        <v>100034</v>
      </c>
      <c r="B35" t="s">
        <v>35</v>
      </c>
      <c r="D35" s="15" t="s">
        <v>2491</v>
      </c>
    </row>
    <row r="36" spans="1:4" x14ac:dyDescent="0.25">
      <c r="A36" t="str">
        <f>"100035"</f>
        <v>100035</v>
      </c>
      <c r="B36" t="s">
        <v>36</v>
      </c>
      <c r="D36" s="15" t="s">
        <v>2415</v>
      </c>
    </row>
    <row r="37" spans="1:4" x14ac:dyDescent="0.25">
      <c r="A37" t="str">
        <f>"100036"</f>
        <v>100036</v>
      </c>
      <c r="B37" t="s">
        <v>37</v>
      </c>
      <c r="D37" s="15" t="s">
        <v>327</v>
      </c>
    </row>
    <row r="38" spans="1:4" x14ac:dyDescent="0.25">
      <c r="A38" t="str">
        <f>"100037"</f>
        <v>100037</v>
      </c>
      <c r="B38" t="s">
        <v>38</v>
      </c>
      <c r="D38" s="15" t="s">
        <v>328</v>
      </c>
    </row>
    <row r="39" spans="1:4" x14ac:dyDescent="0.25">
      <c r="A39" t="str">
        <f>"100038"</f>
        <v>100038</v>
      </c>
      <c r="B39" t="s">
        <v>39</v>
      </c>
      <c r="D39" s="15" t="s">
        <v>2631</v>
      </c>
    </row>
    <row r="40" spans="1:4" x14ac:dyDescent="0.25">
      <c r="A40" t="str">
        <f>"100039"</f>
        <v>100039</v>
      </c>
      <c r="B40" t="s">
        <v>40</v>
      </c>
      <c r="D40" s="15" t="s">
        <v>2115</v>
      </c>
    </row>
    <row r="41" spans="1:4" x14ac:dyDescent="0.25">
      <c r="A41" t="str">
        <f>"100040"</f>
        <v>100040</v>
      </c>
      <c r="B41" t="s">
        <v>41</v>
      </c>
      <c r="D41" s="15" t="s">
        <v>2357</v>
      </c>
    </row>
    <row r="42" spans="1:4" x14ac:dyDescent="0.25">
      <c r="A42" t="str">
        <f>"100041"</f>
        <v>100041</v>
      </c>
      <c r="B42" t="s">
        <v>42</v>
      </c>
      <c r="D42" s="15" t="s">
        <v>2163</v>
      </c>
    </row>
    <row r="43" spans="1:4" x14ac:dyDescent="0.25">
      <c r="A43" t="str">
        <f>"100042"</f>
        <v>100042</v>
      </c>
      <c r="B43" t="s">
        <v>43</v>
      </c>
      <c r="D43" s="15" t="s">
        <v>1959</v>
      </c>
    </row>
    <row r="44" spans="1:4" x14ac:dyDescent="0.25">
      <c r="A44" t="str">
        <f>"100043"</f>
        <v>100043</v>
      </c>
      <c r="B44" t="s">
        <v>44</v>
      </c>
      <c r="D44" s="15" t="s">
        <v>885</v>
      </c>
    </row>
    <row r="45" spans="1:4" x14ac:dyDescent="0.25">
      <c r="A45" t="str">
        <f>"100044"</f>
        <v>100044</v>
      </c>
      <c r="B45" t="s">
        <v>45</v>
      </c>
      <c r="D45" s="15" t="s">
        <v>1661</v>
      </c>
    </row>
    <row r="46" spans="1:4" x14ac:dyDescent="0.25">
      <c r="A46" t="str">
        <f>"100045"</f>
        <v>100045</v>
      </c>
      <c r="B46" t="s">
        <v>46</v>
      </c>
      <c r="D46" s="15" t="s">
        <v>955</v>
      </c>
    </row>
    <row r="47" spans="1:4" x14ac:dyDescent="0.25">
      <c r="A47" t="str">
        <f>"100046"</f>
        <v>100046</v>
      </c>
      <c r="B47" t="s">
        <v>47</v>
      </c>
      <c r="D47" s="15" t="s">
        <v>1094</v>
      </c>
    </row>
    <row r="48" spans="1:4" x14ac:dyDescent="0.25">
      <c r="A48" t="str">
        <f>"100047"</f>
        <v>100047</v>
      </c>
      <c r="B48" t="s">
        <v>48</v>
      </c>
      <c r="D48" s="15" t="s">
        <v>1914</v>
      </c>
    </row>
    <row r="49" spans="1:4" x14ac:dyDescent="0.25">
      <c r="A49" t="str">
        <f>"100048"</f>
        <v>100048</v>
      </c>
      <c r="B49" t="s">
        <v>49</v>
      </c>
      <c r="D49" s="15" t="s">
        <v>2513</v>
      </c>
    </row>
    <row r="50" spans="1:4" x14ac:dyDescent="0.25">
      <c r="A50" t="str">
        <f>"100049"</f>
        <v>100049</v>
      </c>
      <c r="B50" t="s">
        <v>50</v>
      </c>
      <c r="D50" s="15" t="s">
        <v>275</v>
      </c>
    </row>
    <row r="51" spans="1:4" x14ac:dyDescent="0.25">
      <c r="A51" t="str">
        <f>"100050"</f>
        <v>100050</v>
      </c>
      <c r="B51" t="s">
        <v>51</v>
      </c>
      <c r="D51" s="15" t="s">
        <v>2159</v>
      </c>
    </row>
    <row r="52" spans="1:4" x14ac:dyDescent="0.25">
      <c r="A52" t="str">
        <f>"100051"</f>
        <v>100051</v>
      </c>
      <c r="B52" t="s">
        <v>52</v>
      </c>
      <c r="D52" s="15" t="s">
        <v>1195</v>
      </c>
    </row>
    <row r="53" spans="1:4" x14ac:dyDescent="0.25">
      <c r="A53" t="str">
        <f>"100052"</f>
        <v>100052</v>
      </c>
      <c r="B53" t="s">
        <v>53</v>
      </c>
      <c r="D53" s="15" t="s">
        <v>2767</v>
      </c>
    </row>
    <row r="54" spans="1:4" x14ac:dyDescent="0.25">
      <c r="A54" t="str">
        <f>"100053"</f>
        <v>100053</v>
      </c>
      <c r="B54" t="s">
        <v>54</v>
      </c>
      <c r="D54" s="15" t="s">
        <v>2565</v>
      </c>
    </row>
    <row r="55" spans="1:4" x14ac:dyDescent="0.25">
      <c r="A55" t="str">
        <f>"100054"</f>
        <v>100054</v>
      </c>
      <c r="B55" t="s">
        <v>55</v>
      </c>
      <c r="D55" s="15" t="s">
        <v>1265</v>
      </c>
    </row>
    <row r="56" spans="1:4" x14ac:dyDescent="0.25">
      <c r="A56" t="str">
        <f>"100055"</f>
        <v>100055</v>
      </c>
      <c r="B56" t="s">
        <v>56</v>
      </c>
      <c r="D56" s="15" t="s">
        <v>1358</v>
      </c>
    </row>
    <row r="57" spans="1:4" x14ac:dyDescent="0.25">
      <c r="A57" t="str">
        <f>"100056"</f>
        <v>100056</v>
      </c>
      <c r="B57" t="s">
        <v>57</v>
      </c>
      <c r="D57" s="15" t="s">
        <v>2697</v>
      </c>
    </row>
    <row r="58" spans="1:4" x14ac:dyDescent="0.25">
      <c r="A58" t="str">
        <f>"100057"</f>
        <v>100057</v>
      </c>
      <c r="B58" t="s">
        <v>58</v>
      </c>
      <c r="D58" s="15" t="s">
        <v>1861</v>
      </c>
    </row>
    <row r="59" spans="1:4" x14ac:dyDescent="0.25">
      <c r="A59" t="str">
        <f>"100058"</f>
        <v>100058</v>
      </c>
      <c r="B59" t="s">
        <v>59</v>
      </c>
      <c r="D59" s="15" t="s">
        <v>2331</v>
      </c>
    </row>
    <row r="60" spans="1:4" x14ac:dyDescent="0.25">
      <c r="A60" t="str">
        <f>"100059"</f>
        <v>100059</v>
      </c>
      <c r="B60" t="s">
        <v>60</v>
      </c>
      <c r="D60" s="15" t="s">
        <v>288</v>
      </c>
    </row>
    <row r="61" spans="1:4" x14ac:dyDescent="0.25">
      <c r="A61" t="str">
        <f>"100060"</f>
        <v>100060</v>
      </c>
      <c r="B61" t="s">
        <v>61</v>
      </c>
      <c r="D61" s="15" t="s">
        <v>2770</v>
      </c>
    </row>
    <row r="62" spans="1:4" x14ac:dyDescent="0.25">
      <c r="A62" t="str">
        <f>"100061"</f>
        <v>100061</v>
      </c>
      <c r="B62" t="s">
        <v>62</v>
      </c>
      <c r="D62" s="15" t="s">
        <v>1224</v>
      </c>
    </row>
    <row r="63" spans="1:4" x14ac:dyDescent="0.25">
      <c r="A63" t="str">
        <f>"100062"</f>
        <v>100062</v>
      </c>
      <c r="B63" t="s">
        <v>63</v>
      </c>
      <c r="D63" s="15" t="s">
        <v>978</v>
      </c>
    </row>
    <row r="64" spans="1:4" x14ac:dyDescent="0.25">
      <c r="A64" t="str">
        <f>"100063"</f>
        <v>100063</v>
      </c>
      <c r="B64" t="s">
        <v>64</v>
      </c>
      <c r="D64" s="15" t="s">
        <v>1777</v>
      </c>
    </row>
    <row r="65" spans="1:4" x14ac:dyDescent="0.25">
      <c r="A65" t="str">
        <f>"100064"</f>
        <v>100064</v>
      </c>
      <c r="B65" t="s">
        <v>65</v>
      </c>
      <c r="D65" s="15" t="s">
        <v>2217</v>
      </c>
    </row>
    <row r="66" spans="1:4" x14ac:dyDescent="0.25">
      <c r="A66" t="str">
        <f>"100065"</f>
        <v>100065</v>
      </c>
      <c r="B66" t="s">
        <v>66</v>
      </c>
      <c r="D66" s="15" t="s">
        <v>1964</v>
      </c>
    </row>
    <row r="67" spans="1:4" x14ac:dyDescent="0.25">
      <c r="A67" t="str">
        <f>"100066"</f>
        <v>100066</v>
      </c>
      <c r="B67" t="s">
        <v>67</v>
      </c>
      <c r="D67" s="15" t="s">
        <v>1709</v>
      </c>
    </row>
    <row r="68" spans="1:4" x14ac:dyDescent="0.25">
      <c r="A68" t="str">
        <f>"100067"</f>
        <v>100067</v>
      </c>
      <c r="B68" t="s">
        <v>68</v>
      </c>
      <c r="D68" s="15" t="s">
        <v>2124</v>
      </c>
    </row>
    <row r="69" spans="1:4" x14ac:dyDescent="0.25">
      <c r="A69" t="str">
        <f>"100068"</f>
        <v>100068</v>
      </c>
      <c r="B69" t="s">
        <v>69</v>
      </c>
      <c r="D69" s="15" t="s">
        <v>1489</v>
      </c>
    </row>
    <row r="70" spans="1:4" x14ac:dyDescent="0.25">
      <c r="A70" t="str">
        <f>"100069"</f>
        <v>100069</v>
      </c>
      <c r="B70" t="s">
        <v>70</v>
      </c>
      <c r="D70" s="15" t="s">
        <v>1333</v>
      </c>
    </row>
    <row r="71" spans="1:4" x14ac:dyDescent="0.25">
      <c r="A71" t="str">
        <f>"100070"</f>
        <v>100070</v>
      </c>
      <c r="B71" t="s">
        <v>71</v>
      </c>
      <c r="D71" s="15" t="s">
        <v>1327</v>
      </c>
    </row>
    <row r="72" spans="1:4" x14ac:dyDescent="0.25">
      <c r="A72" t="str">
        <f>"100071"</f>
        <v>100071</v>
      </c>
      <c r="B72" t="s">
        <v>72</v>
      </c>
      <c r="D72" s="15" t="s">
        <v>2477</v>
      </c>
    </row>
    <row r="73" spans="1:4" x14ac:dyDescent="0.25">
      <c r="A73" t="str">
        <f>"100072"</f>
        <v>100072</v>
      </c>
      <c r="B73" t="s">
        <v>73</v>
      </c>
      <c r="D73" s="15" t="s">
        <v>1447</v>
      </c>
    </row>
    <row r="74" spans="1:4" x14ac:dyDescent="0.25">
      <c r="A74" t="str">
        <f>"100073"</f>
        <v>100073</v>
      </c>
      <c r="B74" t="s">
        <v>74</v>
      </c>
      <c r="D74" s="15" t="s">
        <v>1153</v>
      </c>
    </row>
    <row r="75" spans="1:4" x14ac:dyDescent="0.25">
      <c r="A75" t="str">
        <f>"100074"</f>
        <v>100074</v>
      </c>
      <c r="B75" t="s">
        <v>75</v>
      </c>
      <c r="D75" s="15" t="s">
        <v>1658</v>
      </c>
    </row>
    <row r="76" spans="1:4" x14ac:dyDescent="0.25">
      <c r="A76" t="str">
        <f>"100075"</f>
        <v>100075</v>
      </c>
      <c r="B76" t="s">
        <v>76</v>
      </c>
      <c r="D76" s="15" t="s">
        <v>1629</v>
      </c>
    </row>
    <row r="77" spans="1:4" x14ac:dyDescent="0.25">
      <c r="A77" t="str">
        <f>"100076"</f>
        <v>100076</v>
      </c>
      <c r="B77" t="s">
        <v>77</v>
      </c>
      <c r="D77" s="15" t="s">
        <v>492</v>
      </c>
    </row>
    <row r="78" spans="1:4" x14ac:dyDescent="0.25">
      <c r="A78" t="str">
        <f>"100077"</f>
        <v>100077</v>
      </c>
      <c r="B78" t="s">
        <v>78</v>
      </c>
      <c r="D78" s="15" t="s">
        <v>674</v>
      </c>
    </row>
    <row r="79" spans="1:4" x14ac:dyDescent="0.25">
      <c r="A79" t="str">
        <f>"100078"</f>
        <v>100078</v>
      </c>
      <c r="B79" t="s">
        <v>79</v>
      </c>
      <c r="D79" s="15" t="s">
        <v>787</v>
      </c>
    </row>
    <row r="80" spans="1:4" x14ac:dyDescent="0.25">
      <c r="A80" t="str">
        <f>"100079"</f>
        <v>100079</v>
      </c>
      <c r="B80" t="s">
        <v>80</v>
      </c>
      <c r="D80" s="15" t="s">
        <v>1112</v>
      </c>
    </row>
    <row r="81" spans="1:4" x14ac:dyDescent="0.25">
      <c r="A81" t="str">
        <f>"100080"</f>
        <v>100080</v>
      </c>
      <c r="B81" t="s">
        <v>81</v>
      </c>
      <c r="D81" s="15" t="s">
        <v>2063</v>
      </c>
    </row>
    <row r="82" spans="1:4" x14ac:dyDescent="0.25">
      <c r="A82" t="str">
        <f>"100081"</f>
        <v>100081</v>
      </c>
      <c r="B82" t="s">
        <v>82</v>
      </c>
      <c r="D82" s="15" t="s">
        <v>1734</v>
      </c>
    </row>
    <row r="83" spans="1:4" x14ac:dyDescent="0.25">
      <c r="A83" t="str">
        <f>"100082"</f>
        <v>100082</v>
      </c>
      <c r="B83" t="s">
        <v>83</v>
      </c>
      <c r="D83" s="15" t="s">
        <v>266</v>
      </c>
    </row>
    <row r="84" spans="1:4" x14ac:dyDescent="0.25">
      <c r="A84" t="str">
        <f>"100083"</f>
        <v>100083</v>
      </c>
      <c r="B84" t="s">
        <v>84</v>
      </c>
      <c r="D84" s="15" t="s">
        <v>1524</v>
      </c>
    </row>
    <row r="85" spans="1:4" x14ac:dyDescent="0.25">
      <c r="A85" t="str">
        <f>"100084"</f>
        <v>100084</v>
      </c>
      <c r="B85" t="s">
        <v>85</v>
      </c>
      <c r="D85" s="15" t="s">
        <v>1428</v>
      </c>
    </row>
    <row r="86" spans="1:4" x14ac:dyDescent="0.25">
      <c r="A86" t="str">
        <f>"100085"</f>
        <v>100085</v>
      </c>
      <c r="B86" t="s">
        <v>86</v>
      </c>
      <c r="D86" s="15" t="s">
        <v>862</v>
      </c>
    </row>
    <row r="87" spans="1:4" x14ac:dyDescent="0.25">
      <c r="A87" t="str">
        <f>"100086"</f>
        <v>100086</v>
      </c>
      <c r="B87" t="s">
        <v>87</v>
      </c>
      <c r="D87" s="15" t="s">
        <v>653</v>
      </c>
    </row>
    <row r="88" spans="1:4" x14ac:dyDescent="0.25">
      <c r="A88" t="str">
        <f>"100087"</f>
        <v>100087</v>
      </c>
      <c r="B88" t="s">
        <v>88</v>
      </c>
      <c r="D88" s="15" t="s">
        <v>540</v>
      </c>
    </row>
    <row r="89" spans="1:4" x14ac:dyDescent="0.25">
      <c r="A89" t="str">
        <f>"100088"</f>
        <v>100088</v>
      </c>
      <c r="B89" t="s">
        <v>89</v>
      </c>
      <c r="D89" s="15" t="s">
        <v>2285</v>
      </c>
    </row>
    <row r="90" spans="1:4" x14ac:dyDescent="0.25">
      <c r="A90" t="str">
        <f>"100089"</f>
        <v>100089</v>
      </c>
      <c r="B90" t="s">
        <v>90</v>
      </c>
      <c r="D90" s="15" t="s">
        <v>2761</v>
      </c>
    </row>
    <row r="91" spans="1:4" x14ac:dyDescent="0.25">
      <c r="A91" t="str">
        <f>"100090"</f>
        <v>100090</v>
      </c>
      <c r="B91" t="s">
        <v>91</v>
      </c>
      <c r="D91" s="15" t="s">
        <v>2719</v>
      </c>
    </row>
    <row r="92" spans="1:4" x14ac:dyDescent="0.25">
      <c r="A92" t="str">
        <f>"100091"</f>
        <v>100091</v>
      </c>
      <c r="B92" t="s">
        <v>92</v>
      </c>
      <c r="D92" s="15" t="s">
        <v>1823</v>
      </c>
    </row>
    <row r="93" spans="1:4" x14ac:dyDescent="0.25">
      <c r="A93" t="str">
        <f>"100092"</f>
        <v>100092</v>
      </c>
      <c r="B93" t="s">
        <v>93</v>
      </c>
      <c r="D93" s="15" t="s">
        <v>772</v>
      </c>
    </row>
    <row r="94" spans="1:4" x14ac:dyDescent="0.25">
      <c r="A94" t="str">
        <f>"100093"</f>
        <v>100093</v>
      </c>
      <c r="B94" t="s">
        <v>94</v>
      </c>
      <c r="D94" s="15" t="s">
        <v>329</v>
      </c>
    </row>
    <row r="95" spans="1:4" x14ac:dyDescent="0.25">
      <c r="A95" t="str">
        <f>"100094"</f>
        <v>100094</v>
      </c>
      <c r="B95" t="s">
        <v>95</v>
      </c>
      <c r="D95" s="15" t="s">
        <v>708</v>
      </c>
    </row>
    <row r="96" spans="1:4" x14ac:dyDescent="0.25">
      <c r="A96" t="str">
        <f>"100095"</f>
        <v>100095</v>
      </c>
      <c r="B96" t="s">
        <v>96</v>
      </c>
      <c r="D96" s="15" t="s">
        <v>1125</v>
      </c>
    </row>
    <row r="97" spans="1:4" x14ac:dyDescent="0.25">
      <c r="A97" t="str">
        <f>"100096"</f>
        <v>100096</v>
      </c>
      <c r="B97" t="s">
        <v>97</v>
      </c>
      <c r="D97" s="15" t="s">
        <v>2090</v>
      </c>
    </row>
    <row r="98" spans="1:4" x14ac:dyDescent="0.25">
      <c r="A98" t="str">
        <f>"100097"</f>
        <v>100097</v>
      </c>
      <c r="B98" t="s">
        <v>98</v>
      </c>
      <c r="D98" s="15" t="s">
        <v>2730</v>
      </c>
    </row>
    <row r="99" spans="1:4" x14ac:dyDescent="0.25">
      <c r="A99" t="str">
        <f>"100098"</f>
        <v>100098</v>
      </c>
      <c r="B99" t="s">
        <v>99</v>
      </c>
      <c r="D99" s="15" t="s">
        <v>778</v>
      </c>
    </row>
    <row r="100" spans="1:4" x14ac:dyDescent="0.25">
      <c r="A100" t="str">
        <f>"100099"</f>
        <v>100099</v>
      </c>
      <c r="B100" t="s">
        <v>100</v>
      </c>
      <c r="D100" s="15" t="s">
        <v>990</v>
      </c>
    </row>
    <row r="101" spans="1:4" x14ac:dyDescent="0.25">
      <c r="A101" t="str">
        <f>"100100"</f>
        <v>100100</v>
      </c>
      <c r="B101" t="s">
        <v>101</v>
      </c>
      <c r="D101" s="15" t="s">
        <v>2663</v>
      </c>
    </row>
    <row r="102" spans="1:4" x14ac:dyDescent="0.25">
      <c r="A102" t="str">
        <f>"100101"</f>
        <v>100101</v>
      </c>
      <c r="B102" t="s">
        <v>102</v>
      </c>
      <c r="D102" s="15" t="s">
        <v>1848</v>
      </c>
    </row>
    <row r="103" spans="1:4" x14ac:dyDescent="0.25">
      <c r="A103" t="str">
        <f>"100102"</f>
        <v>100102</v>
      </c>
      <c r="B103" t="s">
        <v>103</v>
      </c>
      <c r="D103" s="15" t="s">
        <v>2434</v>
      </c>
    </row>
    <row r="104" spans="1:4" x14ac:dyDescent="0.25">
      <c r="A104" t="str">
        <f>"100103"</f>
        <v>100103</v>
      </c>
      <c r="B104" t="s">
        <v>104</v>
      </c>
      <c r="D104" s="15" t="s">
        <v>700</v>
      </c>
    </row>
    <row r="105" spans="1:4" x14ac:dyDescent="0.25">
      <c r="A105" t="str">
        <f>"100104"</f>
        <v>100104</v>
      </c>
      <c r="B105" t="s">
        <v>105</v>
      </c>
      <c r="D105" s="15" t="s">
        <v>1209</v>
      </c>
    </row>
    <row r="106" spans="1:4" x14ac:dyDescent="0.25">
      <c r="A106" t="str">
        <f>"100105"</f>
        <v>100105</v>
      </c>
      <c r="B106" t="s">
        <v>106</v>
      </c>
      <c r="D106" s="15" t="s">
        <v>1570</v>
      </c>
    </row>
    <row r="107" spans="1:4" x14ac:dyDescent="0.25">
      <c r="A107" t="str">
        <f>"100106"</f>
        <v>100106</v>
      </c>
      <c r="B107" t="s">
        <v>107</v>
      </c>
      <c r="D107" s="15" t="s">
        <v>330</v>
      </c>
    </row>
    <row r="108" spans="1:4" x14ac:dyDescent="0.25">
      <c r="A108" t="str">
        <f>"100107"</f>
        <v>100107</v>
      </c>
      <c r="B108" t="s">
        <v>108</v>
      </c>
      <c r="D108" s="15" t="s">
        <v>926</v>
      </c>
    </row>
    <row r="109" spans="1:4" x14ac:dyDescent="0.25">
      <c r="A109" t="str">
        <f>"100108"</f>
        <v>100108</v>
      </c>
      <c r="B109" t="s">
        <v>109</v>
      </c>
      <c r="D109" s="15" t="s">
        <v>2337</v>
      </c>
    </row>
    <row r="110" spans="1:4" x14ac:dyDescent="0.25">
      <c r="A110" t="str">
        <f>"100109"</f>
        <v>100109</v>
      </c>
      <c r="B110" t="s">
        <v>110</v>
      </c>
      <c r="D110" s="15" t="s">
        <v>2397</v>
      </c>
    </row>
    <row r="111" spans="1:4" x14ac:dyDescent="0.25">
      <c r="A111" t="str">
        <f>"100110"</f>
        <v>100110</v>
      </c>
      <c r="B111" t="s">
        <v>111</v>
      </c>
      <c r="D111" s="15" t="s">
        <v>2336</v>
      </c>
    </row>
    <row r="112" spans="1:4" x14ac:dyDescent="0.25">
      <c r="A112" t="str">
        <f>"100111"</f>
        <v>100111</v>
      </c>
      <c r="B112" t="s">
        <v>112</v>
      </c>
      <c r="D112" s="15" t="s">
        <v>1463</v>
      </c>
    </row>
    <row r="113" spans="1:4" x14ac:dyDescent="0.25">
      <c r="A113" t="str">
        <f>"100112"</f>
        <v>100112</v>
      </c>
      <c r="B113" t="s">
        <v>113</v>
      </c>
      <c r="D113" s="15" t="s">
        <v>1881</v>
      </c>
    </row>
    <row r="114" spans="1:4" x14ac:dyDescent="0.25">
      <c r="A114" t="str">
        <f>"100113"</f>
        <v>100113</v>
      </c>
      <c r="B114" t="s">
        <v>114</v>
      </c>
      <c r="D114" s="15" t="s">
        <v>192</v>
      </c>
    </row>
    <row r="115" spans="1:4" x14ac:dyDescent="0.25">
      <c r="A115" t="str">
        <f>"100114"</f>
        <v>100114</v>
      </c>
      <c r="B115" t="s">
        <v>115</v>
      </c>
      <c r="D115" s="15" t="s">
        <v>2226</v>
      </c>
    </row>
    <row r="116" spans="1:4" x14ac:dyDescent="0.25">
      <c r="A116" t="str">
        <f>"100115"</f>
        <v>100115</v>
      </c>
      <c r="B116" t="s">
        <v>116</v>
      </c>
      <c r="D116" s="15" t="s">
        <v>3</v>
      </c>
    </row>
    <row r="117" spans="1:4" x14ac:dyDescent="0.25">
      <c r="A117" t="str">
        <f>"100116"</f>
        <v>100116</v>
      </c>
      <c r="B117" t="s">
        <v>117</v>
      </c>
      <c r="D117" s="15" t="s">
        <v>2141</v>
      </c>
    </row>
    <row r="118" spans="1:4" x14ac:dyDescent="0.25">
      <c r="A118" t="str">
        <f>"100117"</f>
        <v>100117</v>
      </c>
      <c r="B118" t="s">
        <v>118</v>
      </c>
      <c r="D118" s="15" t="s">
        <v>982</v>
      </c>
    </row>
    <row r="119" spans="1:4" x14ac:dyDescent="0.25">
      <c r="A119" t="str">
        <f>"100118"</f>
        <v>100118</v>
      </c>
      <c r="B119" t="s">
        <v>119</v>
      </c>
      <c r="D119" s="15" t="s">
        <v>1986</v>
      </c>
    </row>
    <row r="120" spans="1:4" x14ac:dyDescent="0.25">
      <c r="A120" t="str">
        <f>"100119"</f>
        <v>100119</v>
      </c>
      <c r="B120" t="s">
        <v>120</v>
      </c>
      <c r="D120" s="15" t="s">
        <v>2113</v>
      </c>
    </row>
    <row r="121" spans="1:4" x14ac:dyDescent="0.25">
      <c r="A121" t="str">
        <f>"100120"</f>
        <v>100120</v>
      </c>
      <c r="B121" t="s">
        <v>121</v>
      </c>
      <c r="D121" s="15" t="s">
        <v>821</v>
      </c>
    </row>
    <row r="122" spans="1:4" x14ac:dyDescent="0.25">
      <c r="A122" t="str">
        <f>"100121"</f>
        <v>100121</v>
      </c>
      <c r="B122" t="s">
        <v>122</v>
      </c>
      <c r="D122" s="15" t="s">
        <v>2812</v>
      </c>
    </row>
    <row r="123" spans="1:4" x14ac:dyDescent="0.25">
      <c r="A123" t="str">
        <f>"100122"</f>
        <v>100122</v>
      </c>
      <c r="B123" t="s">
        <v>123</v>
      </c>
      <c r="D123" s="15" t="s">
        <v>1165</v>
      </c>
    </row>
    <row r="124" spans="1:4" x14ac:dyDescent="0.25">
      <c r="A124" t="str">
        <f>"100123"</f>
        <v>100123</v>
      </c>
      <c r="B124" t="s">
        <v>124</v>
      </c>
      <c r="D124" s="15" t="s">
        <v>1539</v>
      </c>
    </row>
    <row r="125" spans="1:4" x14ac:dyDescent="0.25">
      <c r="A125" t="str">
        <f>"100124"</f>
        <v>100124</v>
      </c>
      <c r="B125" t="s">
        <v>125</v>
      </c>
      <c r="D125" s="15" t="s">
        <v>1840</v>
      </c>
    </row>
    <row r="126" spans="1:4" x14ac:dyDescent="0.25">
      <c r="A126" t="str">
        <f>"100125"</f>
        <v>100125</v>
      </c>
      <c r="B126" t="s">
        <v>126</v>
      </c>
      <c r="D126" s="15" t="s">
        <v>2813</v>
      </c>
    </row>
    <row r="127" spans="1:4" x14ac:dyDescent="0.25">
      <c r="A127" t="str">
        <f>"100126"</f>
        <v>100126</v>
      </c>
      <c r="B127" t="s">
        <v>127</v>
      </c>
      <c r="D127" s="15" t="s">
        <v>2034</v>
      </c>
    </row>
    <row r="128" spans="1:4" x14ac:dyDescent="0.25">
      <c r="A128" t="str">
        <f>"100127"</f>
        <v>100127</v>
      </c>
      <c r="B128" t="s">
        <v>128</v>
      </c>
      <c r="D128" s="15" t="s">
        <v>1131</v>
      </c>
    </row>
    <row r="129" spans="1:4" x14ac:dyDescent="0.25">
      <c r="A129" t="str">
        <f>"100128"</f>
        <v>100128</v>
      </c>
      <c r="B129" t="s">
        <v>129</v>
      </c>
      <c r="D129" s="15" t="s">
        <v>331</v>
      </c>
    </row>
    <row r="130" spans="1:4" x14ac:dyDescent="0.25">
      <c r="A130" t="str">
        <f>"100129"</f>
        <v>100129</v>
      </c>
      <c r="B130" t="s">
        <v>130</v>
      </c>
      <c r="D130" s="15" t="s">
        <v>1167</v>
      </c>
    </row>
    <row r="131" spans="1:4" x14ac:dyDescent="0.25">
      <c r="A131" t="str">
        <f>"100130"</f>
        <v>100130</v>
      </c>
      <c r="B131" t="s">
        <v>131</v>
      </c>
      <c r="D131" s="15" t="s">
        <v>2754</v>
      </c>
    </row>
    <row r="132" spans="1:4" x14ac:dyDescent="0.25">
      <c r="A132" t="str">
        <f>"100131"</f>
        <v>100131</v>
      </c>
      <c r="B132" t="s">
        <v>132</v>
      </c>
      <c r="D132" s="15" t="s">
        <v>1531</v>
      </c>
    </row>
    <row r="133" spans="1:4" x14ac:dyDescent="0.25">
      <c r="A133" t="str">
        <f>"100132"</f>
        <v>100132</v>
      </c>
      <c r="B133" t="s">
        <v>133</v>
      </c>
      <c r="D133" s="15" t="s">
        <v>884</v>
      </c>
    </row>
    <row r="134" spans="1:4" x14ac:dyDescent="0.25">
      <c r="A134" t="str">
        <f>"100133"</f>
        <v>100133</v>
      </c>
      <c r="B134" t="s">
        <v>134</v>
      </c>
      <c r="D134" s="15" t="s">
        <v>2687</v>
      </c>
    </row>
    <row r="135" spans="1:4" x14ac:dyDescent="0.25">
      <c r="A135" t="str">
        <f>"100134"</f>
        <v>100134</v>
      </c>
      <c r="B135" t="s">
        <v>135</v>
      </c>
      <c r="D135" s="15" t="s">
        <v>494</v>
      </c>
    </row>
    <row r="136" spans="1:4" x14ac:dyDescent="0.25">
      <c r="A136" t="str">
        <f>"100135"</f>
        <v>100135</v>
      </c>
      <c r="B136" t="s">
        <v>136</v>
      </c>
      <c r="D136" s="15" t="s">
        <v>1438</v>
      </c>
    </row>
    <row r="137" spans="1:4" x14ac:dyDescent="0.25">
      <c r="A137" t="str">
        <f>"100136"</f>
        <v>100136</v>
      </c>
      <c r="B137" t="s">
        <v>137</v>
      </c>
      <c r="D137" s="15" t="s">
        <v>2</v>
      </c>
    </row>
    <row r="138" spans="1:4" x14ac:dyDescent="0.25">
      <c r="A138" t="str">
        <f>"100137"</f>
        <v>100137</v>
      </c>
      <c r="B138" t="s">
        <v>138</v>
      </c>
      <c r="D138" s="15" t="s">
        <v>1069</v>
      </c>
    </row>
    <row r="139" spans="1:4" x14ac:dyDescent="0.25">
      <c r="A139" t="str">
        <f>"100138"</f>
        <v>100138</v>
      </c>
      <c r="B139" t="s">
        <v>139</v>
      </c>
      <c r="D139" s="15" t="s">
        <v>2470</v>
      </c>
    </row>
    <row r="140" spans="1:4" x14ac:dyDescent="0.25">
      <c r="A140" t="str">
        <f>"100139"</f>
        <v>100139</v>
      </c>
      <c r="B140" t="s">
        <v>140</v>
      </c>
      <c r="D140" s="15" t="s">
        <v>932</v>
      </c>
    </row>
    <row r="141" spans="1:4" x14ac:dyDescent="0.25">
      <c r="A141" t="str">
        <f>"100140"</f>
        <v>100140</v>
      </c>
      <c r="B141" t="s">
        <v>141</v>
      </c>
      <c r="D141" s="15" t="s">
        <v>946</v>
      </c>
    </row>
    <row r="142" spans="1:4" x14ac:dyDescent="0.25">
      <c r="A142" t="str">
        <f>"100141"</f>
        <v>100141</v>
      </c>
      <c r="B142" t="s">
        <v>142</v>
      </c>
      <c r="D142" s="15" t="s">
        <v>2377</v>
      </c>
    </row>
    <row r="143" spans="1:4" x14ac:dyDescent="0.25">
      <c r="A143" t="str">
        <f>"100142"</f>
        <v>100142</v>
      </c>
      <c r="B143" t="s">
        <v>143</v>
      </c>
      <c r="D143" s="15" t="s">
        <v>796</v>
      </c>
    </row>
    <row r="144" spans="1:4" x14ac:dyDescent="0.25">
      <c r="A144" t="str">
        <f>"100143"</f>
        <v>100143</v>
      </c>
      <c r="B144" t="s">
        <v>144</v>
      </c>
      <c r="D144" s="15" t="s">
        <v>1798</v>
      </c>
    </row>
    <row r="145" spans="1:4" x14ac:dyDescent="0.25">
      <c r="A145" t="str">
        <f>"100144"</f>
        <v>100144</v>
      </c>
      <c r="B145" t="s">
        <v>145</v>
      </c>
      <c r="D145" s="15" t="s">
        <v>332</v>
      </c>
    </row>
    <row r="146" spans="1:4" x14ac:dyDescent="0.25">
      <c r="A146" t="str">
        <f>"100145"</f>
        <v>100145</v>
      </c>
      <c r="B146" t="s">
        <v>146</v>
      </c>
      <c r="D146" s="15" t="s">
        <v>1908</v>
      </c>
    </row>
    <row r="147" spans="1:4" x14ac:dyDescent="0.25">
      <c r="A147" t="str">
        <f>"100146"</f>
        <v>100146</v>
      </c>
      <c r="B147" t="s">
        <v>147</v>
      </c>
      <c r="D147" s="15" t="s">
        <v>333</v>
      </c>
    </row>
    <row r="148" spans="1:4" x14ac:dyDescent="0.25">
      <c r="A148" t="str">
        <f>"100147"</f>
        <v>100147</v>
      </c>
      <c r="B148" t="s">
        <v>148</v>
      </c>
      <c r="D148" s="15" t="s">
        <v>2783</v>
      </c>
    </row>
    <row r="149" spans="1:4" x14ac:dyDescent="0.25">
      <c r="A149" t="str">
        <f>"100148"</f>
        <v>100148</v>
      </c>
      <c r="B149" t="s">
        <v>149</v>
      </c>
      <c r="D149" s="15" t="s">
        <v>242</v>
      </c>
    </row>
    <row r="150" spans="1:4" x14ac:dyDescent="0.25">
      <c r="D150" s="15" t="s">
        <v>2248</v>
      </c>
    </row>
    <row r="151" spans="1:4" x14ac:dyDescent="0.25">
      <c r="A151" t="str">
        <f>"100149"</f>
        <v>100149</v>
      </c>
      <c r="B151" t="s">
        <v>150</v>
      </c>
      <c r="D151" s="15" t="s">
        <v>2314</v>
      </c>
    </row>
    <row r="152" spans="1:4" x14ac:dyDescent="0.25">
      <c r="A152" t="str">
        <f>"100150"</f>
        <v>100150</v>
      </c>
      <c r="B152" t="s">
        <v>151</v>
      </c>
      <c r="D152" s="15" t="s">
        <v>2452</v>
      </c>
    </row>
    <row r="153" spans="1:4" x14ac:dyDescent="0.25">
      <c r="A153" t="str">
        <f>"100151"</f>
        <v>100151</v>
      </c>
      <c r="B153" t="s">
        <v>152</v>
      </c>
      <c r="D153" s="15" t="s">
        <v>1360</v>
      </c>
    </row>
    <row r="154" spans="1:4" x14ac:dyDescent="0.25">
      <c r="A154" t="str">
        <f>"100152"</f>
        <v>100152</v>
      </c>
      <c r="B154" t="s">
        <v>153</v>
      </c>
      <c r="D154" s="15" t="s">
        <v>272</v>
      </c>
    </row>
    <row r="155" spans="1:4" x14ac:dyDescent="0.25">
      <c r="A155" t="str">
        <f>"100153"</f>
        <v>100153</v>
      </c>
      <c r="B155" t="s">
        <v>154</v>
      </c>
      <c r="D155" s="15" t="s">
        <v>1325</v>
      </c>
    </row>
    <row r="156" spans="1:4" x14ac:dyDescent="0.25">
      <c r="A156" t="str">
        <f>"100154"</f>
        <v>100154</v>
      </c>
      <c r="B156" t="s">
        <v>155</v>
      </c>
      <c r="D156" s="15" t="s">
        <v>334</v>
      </c>
    </row>
    <row r="157" spans="1:4" x14ac:dyDescent="0.25">
      <c r="A157" t="str">
        <f>"100156"</f>
        <v>100156</v>
      </c>
      <c r="B157" t="s">
        <v>156</v>
      </c>
      <c r="D157" s="15" t="s">
        <v>748</v>
      </c>
    </row>
    <row r="158" spans="1:4" x14ac:dyDescent="0.25">
      <c r="A158" t="str">
        <f>"100157"</f>
        <v>100157</v>
      </c>
      <c r="B158" t="s">
        <v>157</v>
      </c>
      <c r="D158" s="15" t="s">
        <v>2299</v>
      </c>
    </row>
    <row r="159" spans="1:4" x14ac:dyDescent="0.25">
      <c r="A159" t="str">
        <f>"100158"</f>
        <v>100158</v>
      </c>
      <c r="B159" t="s">
        <v>158</v>
      </c>
      <c r="D159" s="15" t="s">
        <v>1009</v>
      </c>
    </row>
    <row r="160" spans="1:4" x14ac:dyDescent="0.25">
      <c r="A160" t="str">
        <f>"100159"</f>
        <v>100159</v>
      </c>
      <c r="B160" t="s">
        <v>159</v>
      </c>
      <c r="D160" s="15" t="s">
        <v>1904</v>
      </c>
    </row>
    <row r="161" spans="1:4" x14ac:dyDescent="0.25">
      <c r="D161" s="15" t="s">
        <v>2765</v>
      </c>
    </row>
    <row r="162" spans="1:4" x14ac:dyDescent="0.25">
      <c r="A162" t="str">
        <f>"100160"</f>
        <v>100160</v>
      </c>
      <c r="B162" t="s">
        <v>160</v>
      </c>
      <c r="D162" s="15" t="s">
        <v>489</v>
      </c>
    </row>
    <row r="163" spans="1:4" x14ac:dyDescent="0.25">
      <c r="A163" t="str">
        <f>"100161"</f>
        <v>100161</v>
      </c>
      <c r="B163" t="s">
        <v>161</v>
      </c>
      <c r="D163" s="15" t="s">
        <v>335</v>
      </c>
    </row>
    <row r="164" spans="1:4" x14ac:dyDescent="0.25">
      <c r="A164" t="str">
        <f>"100162"</f>
        <v>100162</v>
      </c>
      <c r="B164" t="s">
        <v>162</v>
      </c>
      <c r="D164" s="15" t="s">
        <v>2108</v>
      </c>
    </row>
    <row r="165" spans="1:4" x14ac:dyDescent="0.25">
      <c r="A165" t="str">
        <f>"100163"</f>
        <v>100163</v>
      </c>
      <c r="B165" t="s">
        <v>163</v>
      </c>
      <c r="D165" s="15" t="s">
        <v>1296</v>
      </c>
    </row>
    <row r="166" spans="1:4" x14ac:dyDescent="0.25">
      <c r="A166" t="str">
        <f>"100164"</f>
        <v>100164</v>
      </c>
      <c r="B166" t="s">
        <v>164</v>
      </c>
      <c r="D166" s="15" t="s">
        <v>2686</v>
      </c>
    </row>
    <row r="167" spans="1:4" x14ac:dyDescent="0.25">
      <c r="A167" t="str">
        <f>"100165"</f>
        <v>100165</v>
      </c>
      <c r="B167" t="s">
        <v>165</v>
      </c>
      <c r="D167" s="15" t="s">
        <v>449</v>
      </c>
    </row>
    <row r="168" spans="1:4" x14ac:dyDescent="0.25">
      <c r="A168" t="str">
        <f>"100166"</f>
        <v>100166</v>
      </c>
      <c r="B168" t="s">
        <v>166</v>
      </c>
      <c r="D168" s="15" t="s">
        <v>1816</v>
      </c>
    </row>
    <row r="169" spans="1:4" x14ac:dyDescent="0.25">
      <c r="A169" t="str">
        <f>"100167"</f>
        <v>100167</v>
      </c>
      <c r="B169" t="s">
        <v>167</v>
      </c>
      <c r="D169" s="15" t="s">
        <v>2652</v>
      </c>
    </row>
    <row r="170" spans="1:4" x14ac:dyDescent="0.25">
      <c r="A170" t="str">
        <f>"100168"</f>
        <v>100168</v>
      </c>
      <c r="B170" t="s">
        <v>168</v>
      </c>
      <c r="D170" s="15" t="s">
        <v>1382</v>
      </c>
    </row>
    <row r="171" spans="1:4" x14ac:dyDescent="0.25">
      <c r="A171" t="str">
        <f>"100169"</f>
        <v>100169</v>
      </c>
      <c r="B171" t="s">
        <v>169</v>
      </c>
      <c r="D171" s="15" t="s">
        <v>2750</v>
      </c>
    </row>
    <row r="172" spans="1:4" x14ac:dyDescent="0.25">
      <c r="A172" t="str">
        <f>"100170"</f>
        <v>100170</v>
      </c>
      <c r="B172" t="s">
        <v>170</v>
      </c>
      <c r="D172" s="15" t="s">
        <v>2109</v>
      </c>
    </row>
    <row r="173" spans="1:4" x14ac:dyDescent="0.25">
      <c r="A173" t="str">
        <f>"100171"</f>
        <v>100171</v>
      </c>
      <c r="B173" t="s">
        <v>171</v>
      </c>
      <c r="D173" s="15" t="s">
        <v>2223</v>
      </c>
    </row>
    <row r="174" spans="1:4" x14ac:dyDescent="0.25">
      <c r="A174" t="str">
        <f>"100172"</f>
        <v>100172</v>
      </c>
      <c r="B174" t="s">
        <v>172</v>
      </c>
      <c r="D174" s="15" t="s">
        <v>249</v>
      </c>
    </row>
    <row r="175" spans="1:4" x14ac:dyDescent="0.25">
      <c r="A175" t="str">
        <f>"100173"</f>
        <v>100173</v>
      </c>
      <c r="B175" t="s">
        <v>173</v>
      </c>
      <c r="D175" s="15" t="s">
        <v>2659</v>
      </c>
    </row>
    <row r="176" spans="1:4" x14ac:dyDescent="0.25">
      <c r="A176" t="str">
        <f>"100174"</f>
        <v>100174</v>
      </c>
      <c r="B176" t="s">
        <v>174</v>
      </c>
      <c r="D176" s="15" t="s">
        <v>2586</v>
      </c>
    </row>
    <row r="177" spans="1:4" x14ac:dyDescent="0.25">
      <c r="A177" t="str">
        <f>"100175"</f>
        <v>100175</v>
      </c>
      <c r="B177" t="s">
        <v>175</v>
      </c>
      <c r="D177" s="15" t="s">
        <v>1275</v>
      </c>
    </row>
    <row r="178" spans="1:4" x14ac:dyDescent="0.25">
      <c r="A178" t="str">
        <f>"100176"</f>
        <v>100176</v>
      </c>
      <c r="B178" t="s">
        <v>176</v>
      </c>
      <c r="D178" s="15" t="s">
        <v>273</v>
      </c>
    </row>
    <row r="179" spans="1:4" x14ac:dyDescent="0.25">
      <c r="A179" t="str">
        <f>"100177"</f>
        <v>100177</v>
      </c>
      <c r="B179" t="s">
        <v>177</v>
      </c>
      <c r="D179" s="15" t="s">
        <v>1308</v>
      </c>
    </row>
    <row r="180" spans="1:4" x14ac:dyDescent="0.25">
      <c r="A180" t="str">
        <f>"100178"</f>
        <v>100178</v>
      </c>
      <c r="B180" t="s">
        <v>178</v>
      </c>
      <c r="D180" s="15" t="s">
        <v>866</v>
      </c>
    </row>
    <row r="181" spans="1:4" x14ac:dyDescent="0.25">
      <c r="A181" t="str">
        <f>"100179"</f>
        <v>100179</v>
      </c>
      <c r="B181" t="s">
        <v>179</v>
      </c>
      <c r="D181" s="15" t="s">
        <v>2083</v>
      </c>
    </row>
    <row r="182" spans="1:4" x14ac:dyDescent="0.25">
      <c r="A182" t="str">
        <f>"100181"</f>
        <v>100181</v>
      </c>
      <c r="B182" t="s">
        <v>180</v>
      </c>
      <c r="D182" s="15" t="s">
        <v>570</v>
      </c>
    </row>
    <row r="183" spans="1:4" x14ac:dyDescent="0.25">
      <c r="A183" t="str">
        <f>"100182"</f>
        <v>100182</v>
      </c>
      <c r="B183" t="s">
        <v>181</v>
      </c>
      <c r="D183" s="15" t="s">
        <v>2032</v>
      </c>
    </row>
    <row r="184" spans="1:4" x14ac:dyDescent="0.25">
      <c r="A184" t="str">
        <f>"100183"</f>
        <v>100183</v>
      </c>
      <c r="B184" t="s">
        <v>182</v>
      </c>
      <c r="D184" s="15" t="s">
        <v>1930</v>
      </c>
    </row>
    <row r="185" spans="1:4" x14ac:dyDescent="0.25">
      <c r="A185" t="str">
        <f>"100184"</f>
        <v>100184</v>
      </c>
      <c r="B185" t="s">
        <v>183</v>
      </c>
      <c r="D185" s="15" t="s">
        <v>276</v>
      </c>
    </row>
    <row r="186" spans="1:4" x14ac:dyDescent="0.25">
      <c r="A186" t="str">
        <f>"100185"</f>
        <v>100185</v>
      </c>
      <c r="B186" t="s">
        <v>184</v>
      </c>
      <c r="D186" s="15" t="s">
        <v>2817</v>
      </c>
    </row>
    <row r="187" spans="1:4" x14ac:dyDescent="0.25">
      <c r="A187" t="str">
        <f>"100186"</f>
        <v>100186</v>
      </c>
      <c r="B187" t="s">
        <v>185</v>
      </c>
      <c r="D187" s="15" t="s">
        <v>1723</v>
      </c>
    </row>
    <row r="188" spans="1:4" x14ac:dyDescent="0.25">
      <c r="A188" t="str">
        <f>"100187"</f>
        <v>100187</v>
      </c>
      <c r="B188" t="s">
        <v>186</v>
      </c>
      <c r="D188" s="15" t="s">
        <v>1041</v>
      </c>
    </row>
    <row r="189" spans="1:4" x14ac:dyDescent="0.25">
      <c r="A189" t="str">
        <f>"100188"</f>
        <v>100188</v>
      </c>
      <c r="B189" t="s">
        <v>187</v>
      </c>
      <c r="D189" s="15" t="s">
        <v>2044</v>
      </c>
    </row>
    <row r="190" spans="1:4" x14ac:dyDescent="0.25">
      <c r="A190" t="str">
        <f>"100189"</f>
        <v>100189</v>
      </c>
      <c r="B190" t="s">
        <v>188</v>
      </c>
      <c r="D190" s="15" t="s">
        <v>2598</v>
      </c>
    </row>
    <row r="191" spans="1:4" x14ac:dyDescent="0.25">
      <c r="A191" t="str">
        <f>"100190"</f>
        <v>100190</v>
      </c>
      <c r="B191" t="s">
        <v>189</v>
      </c>
      <c r="D191" s="15" t="s">
        <v>851</v>
      </c>
    </row>
    <row r="192" spans="1:4" x14ac:dyDescent="0.25">
      <c r="A192" t="str">
        <f>"100191"</f>
        <v>100191</v>
      </c>
      <c r="B192" t="s">
        <v>190</v>
      </c>
      <c r="D192" s="15" t="s">
        <v>2609</v>
      </c>
    </row>
    <row r="193" spans="1:4" x14ac:dyDescent="0.25">
      <c r="A193" t="str">
        <f>"100192"</f>
        <v>100192</v>
      </c>
      <c r="B193" t="s">
        <v>191</v>
      </c>
      <c r="D193" s="15" t="s">
        <v>2011</v>
      </c>
    </row>
    <row r="194" spans="1:4" x14ac:dyDescent="0.25">
      <c r="A194" t="str">
        <f>"100193"</f>
        <v>100193</v>
      </c>
      <c r="B194" t="s">
        <v>192</v>
      </c>
      <c r="D194" s="15" t="s">
        <v>2791</v>
      </c>
    </row>
    <row r="195" spans="1:4" x14ac:dyDescent="0.25">
      <c r="A195" t="str">
        <f>"100194"</f>
        <v>100194</v>
      </c>
      <c r="B195" t="s">
        <v>193</v>
      </c>
      <c r="D195" s="15" t="s">
        <v>1688</v>
      </c>
    </row>
    <row r="196" spans="1:4" x14ac:dyDescent="0.25">
      <c r="A196" t="str">
        <f>"100195"</f>
        <v>100195</v>
      </c>
      <c r="B196" t="s">
        <v>194</v>
      </c>
      <c r="D196" s="15" t="s">
        <v>2792</v>
      </c>
    </row>
    <row r="197" spans="1:4" x14ac:dyDescent="0.25">
      <c r="A197" t="str">
        <f>"100196"</f>
        <v>100196</v>
      </c>
      <c r="B197" t="s">
        <v>195</v>
      </c>
      <c r="D197" s="15" t="s">
        <v>606</v>
      </c>
    </row>
    <row r="198" spans="1:4" x14ac:dyDescent="0.25">
      <c r="A198" t="str">
        <f>"100197"</f>
        <v>100197</v>
      </c>
      <c r="B198" t="s">
        <v>196</v>
      </c>
      <c r="D198" s="15" t="s">
        <v>736</v>
      </c>
    </row>
    <row r="199" spans="1:4" x14ac:dyDescent="0.25">
      <c r="A199" t="str">
        <f>"100199"</f>
        <v>100199</v>
      </c>
      <c r="B199" t="s">
        <v>197</v>
      </c>
      <c r="D199" s="15" t="s">
        <v>1950</v>
      </c>
    </row>
    <row r="200" spans="1:4" x14ac:dyDescent="0.25">
      <c r="A200" t="str">
        <f>"100200"</f>
        <v>100200</v>
      </c>
      <c r="B200" t="s">
        <v>198</v>
      </c>
      <c r="D200" s="15" t="s">
        <v>1626</v>
      </c>
    </row>
    <row r="201" spans="1:4" x14ac:dyDescent="0.25">
      <c r="A201" t="str">
        <f>"100201"</f>
        <v>100201</v>
      </c>
      <c r="B201" t="s">
        <v>199</v>
      </c>
      <c r="D201" s="15" t="s">
        <v>150</v>
      </c>
    </row>
    <row r="202" spans="1:4" x14ac:dyDescent="0.25">
      <c r="A202" t="str">
        <f>"100202"</f>
        <v>100202</v>
      </c>
      <c r="B202" t="s">
        <v>200</v>
      </c>
      <c r="D202" s="15" t="s">
        <v>2133</v>
      </c>
    </row>
    <row r="203" spans="1:4" x14ac:dyDescent="0.25">
      <c r="A203" t="str">
        <f>"100203"</f>
        <v>100203</v>
      </c>
      <c r="B203" t="s">
        <v>201</v>
      </c>
      <c r="D203" s="15" t="s">
        <v>931</v>
      </c>
    </row>
    <row r="204" spans="1:4" x14ac:dyDescent="0.25">
      <c r="A204" t="str">
        <f>"100204"</f>
        <v>100204</v>
      </c>
      <c r="B204" t="s">
        <v>202</v>
      </c>
      <c r="D204" s="15" t="s">
        <v>336</v>
      </c>
    </row>
    <row r="205" spans="1:4" x14ac:dyDescent="0.25">
      <c r="A205" t="str">
        <f>"100205"</f>
        <v>100205</v>
      </c>
      <c r="B205" t="s">
        <v>203</v>
      </c>
      <c r="D205" s="15" t="s">
        <v>890</v>
      </c>
    </row>
    <row r="206" spans="1:4" x14ac:dyDescent="0.25">
      <c r="A206" t="str">
        <f>"100206"</f>
        <v>100206</v>
      </c>
      <c r="B206" t="s">
        <v>204</v>
      </c>
      <c r="D206" s="15" t="s">
        <v>2208</v>
      </c>
    </row>
    <row r="207" spans="1:4" x14ac:dyDescent="0.25">
      <c r="A207" t="str">
        <f>"100207"</f>
        <v>100207</v>
      </c>
      <c r="B207" t="s">
        <v>205</v>
      </c>
      <c r="D207" s="15" t="s">
        <v>2670</v>
      </c>
    </row>
    <row r="208" spans="1:4" x14ac:dyDescent="0.25">
      <c r="A208" t="str">
        <f>"100208"</f>
        <v>100208</v>
      </c>
      <c r="B208" t="s">
        <v>206</v>
      </c>
      <c r="D208" s="15" t="s">
        <v>1541</v>
      </c>
    </row>
    <row r="209" spans="1:4" x14ac:dyDescent="0.25">
      <c r="A209" t="str">
        <f>"100209"</f>
        <v>100209</v>
      </c>
      <c r="B209" t="s">
        <v>207</v>
      </c>
      <c r="D209" s="15" t="s">
        <v>505</v>
      </c>
    </row>
    <row r="210" spans="1:4" x14ac:dyDescent="0.25">
      <c r="A210" t="str">
        <f>"100210"</f>
        <v>100210</v>
      </c>
      <c r="B210" t="s">
        <v>208</v>
      </c>
      <c r="D210" s="15" t="s">
        <v>2147</v>
      </c>
    </row>
    <row r="211" spans="1:4" x14ac:dyDescent="0.25">
      <c r="A211" t="str">
        <f>"100211"</f>
        <v>100211</v>
      </c>
      <c r="B211" t="s">
        <v>209</v>
      </c>
      <c r="D211" s="15" t="s">
        <v>337</v>
      </c>
    </row>
    <row r="212" spans="1:4" x14ac:dyDescent="0.25">
      <c r="A212" t="str">
        <f>"100212"</f>
        <v>100212</v>
      </c>
      <c r="B212" t="s">
        <v>210</v>
      </c>
      <c r="D212" s="15" t="s">
        <v>338</v>
      </c>
    </row>
    <row r="213" spans="1:4" x14ac:dyDescent="0.25">
      <c r="A213" t="str">
        <f>"100213"</f>
        <v>100213</v>
      </c>
      <c r="B213" t="s">
        <v>211</v>
      </c>
      <c r="D213" s="15" t="s">
        <v>261</v>
      </c>
    </row>
    <row r="214" spans="1:4" x14ac:dyDescent="0.25">
      <c r="A214" t="str">
        <f>"100214"</f>
        <v>100214</v>
      </c>
      <c r="B214" t="s">
        <v>212</v>
      </c>
      <c r="D214" s="15" t="s">
        <v>514</v>
      </c>
    </row>
    <row r="215" spans="1:4" x14ac:dyDescent="0.25">
      <c r="A215" t="str">
        <f>"100215"</f>
        <v>100215</v>
      </c>
      <c r="B215" t="s">
        <v>213</v>
      </c>
      <c r="D215" s="15" t="s">
        <v>267</v>
      </c>
    </row>
    <row r="216" spans="1:4" x14ac:dyDescent="0.25">
      <c r="A216" t="str">
        <f>"100216"</f>
        <v>100216</v>
      </c>
      <c r="B216" t="s">
        <v>214</v>
      </c>
      <c r="D216" s="15" t="s">
        <v>493</v>
      </c>
    </row>
    <row r="217" spans="1:4" x14ac:dyDescent="0.25">
      <c r="A217" t="str">
        <f>"100217"</f>
        <v>100217</v>
      </c>
      <c r="B217" t="s">
        <v>215</v>
      </c>
      <c r="D217" s="15" t="s">
        <v>1820</v>
      </c>
    </row>
    <row r="218" spans="1:4" x14ac:dyDescent="0.25">
      <c r="A218" t="str">
        <f>"100218"</f>
        <v>100218</v>
      </c>
      <c r="B218" t="s">
        <v>216</v>
      </c>
      <c r="D218" s="15" t="s">
        <v>613</v>
      </c>
    </row>
    <row r="219" spans="1:4" x14ac:dyDescent="0.25">
      <c r="A219" t="str">
        <f>"100219"</f>
        <v>100219</v>
      </c>
      <c r="B219" t="s">
        <v>217</v>
      </c>
      <c r="D219" s="15" t="s">
        <v>1268</v>
      </c>
    </row>
    <row r="220" spans="1:4" x14ac:dyDescent="0.25">
      <c r="A220" t="str">
        <f>"100220"</f>
        <v>100220</v>
      </c>
      <c r="B220" t="s">
        <v>218</v>
      </c>
      <c r="D220" s="15" t="s">
        <v>1042</v>
      </c>
    </row>
    <row r="221" spans="1:4" x14ac:dyDescent="0.25">
      <c r="A221" t="str">
        <f>"100221"</f>
        <v>100221</v>
      </c>
      <c r="B221" t="s">
        <v>219</v>
      </c>
      <c r="D221" s="15" t="s">
        <v>1648</v>
      </c>
    </row>
    <row r="222" spans="1:4" x14ac:dyDescent="0.25">
      <c r="A222" t="str">
        <f>"100222"</f>
        <v>100222</v>
      </c>
      <c r="B222" t="s">
        <v>220</v>
      </c>
      <c r="D222" s="15" t="s">
        <v>1906</v>
      </c>
    </row>
    <row r="223" spans="1:4" x14ac:dyDescent="0.25">
      <c r="A223" t="str">
        <f>"100223"</f>
        <v>100223</v>
      </c>
      <c r="B223" t="s">
        <v>221</v>
      </c>
      <c r="D223" s="15" t="s">
        <v>1533</v>
      </c>
    </row>
    <row r="224" spans="1:4" x14ac:dyDescent="0.25">
      <c r="A224" t="str">
        <f>"100224"</f>
        <v>100224</v>
      </c>
      <c r="B224" t="s">
        <v>222</v>
      </c>
      <c r="D224" s="15" t="s">
        <v>1721</v>
      </c>
    </row>
    <row r="225" spans="1:4" x14ac:dyDescent="0.25">
      <c r="A225" t="str">
        <f>"100225"</f>
        <v>100225</v>
      </c>
      <c r="B225" t="s">
        <v>223</v>
      </c>
      <c r="D225" s="15" t="s">
        <v>914</v>
      </c>
    </row>
    <row r="226" spans="1:4" x14ac:dyDescent="0.25">
      <c r="A226" t="str">
        <f>"100226"</f>
        <v>100226</v>
      </c>
      <c r="B226" t="s">
        <v>224</v>
      </c>
      <c r="D226" s="15" t="s">
        <v>1054</v>
      </c>
    </row>
    <row r="227" spans="1:4" x14ac:dyDescent="0.25">
      <c r="A227" t="str">
        <f>"100227"</f>
        <v>100227</v>
      </c>
      <c r="B227" t="s">
        <v>225</v>
      </c>
      <c r="D227" s="15" t="s">
        <v>339</v>
      </c>
    </row>
    <row r="228" spans="1:4" x14ac:dyDescent="0.25">
      <c r="A228" t="str">
        <f>"100228"</f>
        <v>100228</v>
      </c>
      <c r="B228" t="s">
        <v>226</v>
      </c>
      <c r="D228" s="15" t="s">
        <v>340</v>
      </c>
    </row>
    <row r="229" spans="1:4" x14ac:dyDescent="0.25">
      <c r="A229" t="str">
        <f>"100229"</f>
        <v>100229</v>
      </c>
      <c r="B229" t="s">
        <v>227</v>
      </c>
      <c r="D229" s="15" t="s">
        <v>959</v>
      </c>
    </row>
    <row r="230" spans="1:4" x14ac:dyDescent="0.25">
      <c r="A230" t="str">
        <f>"100230"</f>
        <v>100230</v>
      </c>
      <c r="B230" t="s">
        <v>228</v>
      </c>
      <c r="D230" s="15" t="s">
        <v>1519</v>
      </c>
    </row>
    <row r="231" spans="1:4" x14ac:dyDescent="0.25">
      <c r="A231" t="str">
        <f>"100231"</f>
        <v>100231</v>
      </c>
      <c r="B231" t="s">
        <v>229</v>
      </c>
      <c r="D231" s="15" t="s">
        <v>758</v>
      </c>
    </row>
    <row r="232" spans="1:4" x14ac:dyDescent="0.25">
      <c r="A232" t="str">
        <f>"100232"</f>
        <v>100232</v>
      </c>
      <c r="B232" t="s">
        <v>230</v>
      </c>
      <c r="D232" s="15" t="s">
        <v>1701</v>
      </c>
    </row>
    <row r="233" spans="1:4" x14ac:dyDescent="0.25">
      <c r="A233" t="str">
        <f>"100233"</f>
        <v>100233</v>
      </c>
      <c r="B233" t="s">
        <v>231</v>
      </c>
      <c r="D233" s="15" t="s">
        <v>341</v>
      </c>
    </row>
    <row r="234" spans="1:4" x14ac:dyDescent="0.25">
      <c r="A234" t="str">
        <f>"100234"</f>
        <v>100234</v>
      </c>
      <c r="B234" t="s">
        <v>232</v>
      </c>
      <c r="D234" s="15" t="s">
        <v>553</v>
      </c>
    </row>
    <row r="235" spans="1:4" x14ac:dyDescent="0.25">
      <c r="A235" t="str">
        <f>"100235"</f>
        <v>100235</v>
      </c>
      <c r="B235" t="s">
        <v>233</v>
      </c>
      <c r="D235" s="15" t="s">
        <v>1475</v>
      </c>
    </row>
    <row r="236" spans="1:4" x14ac:dyDescent="0.25">
      <c r="A236" t="str">
        <f>"100236"</f>
        <v>100236</v>
      </c>
      <c r="B236" t="s">
        <v>234</v>
      </c>
      <c r="D236" s="15" t="s">
        <v>1256</v>
      </c>
    </row>
    <row r="237" spans="1:4" x14ac:dyDescent="0.25">
      <c r="A237" t="str">
        <f>"100237"</f>
        <v>100237</v>
      </c>
      <c r="B237" t="s">
        <v>235</v>
      </c>
      <c r="D237" s="15" t="s">
        <v>342</v>
      </c>
    </row>
    <row r="238" spans="1:4" x14ac:dyDescent="0.25">
      <c r="A238" t="str">
        <f>"100238"</f>
        <v>100238</v>
      </c>
      <c r="B238" t="s">
        <v>236</v>
      </c>
      <c r="D238" s="15" t="s">
        <v>1013</v>
      </c>
    </row>
    <row r="239" spans="1:4" x14ac:dyDescent="0.25">
      <c r="A239" t="str">
        <f>"100239"</f>
        <v>100239</v>
      </c>
      <c r="B239" t="s">
        <v>237</v>
      </c>
      <c r="D239" s="15" t="s">
        <v>705</v>
      </c>
    </row>
    <row r="240" spans="1:4" x14ac:dyDescent="0.25">
      <c r="A240" t="str">
        <f>"100240"</f>
        <v>100240</v>
      </c>
      <c r="B240" t="s">
        <v>238</v>
      </c>
      <c r="D240" s="15" t="s">
        <v>1936</v>
      </c>
    </row>
    <row r="241" spans="1:4" x14ac:dyDescent="0.25">
      <c r="A241" t="str">
        <f>"100241"</f>
        <v>100241</v>
      </c>
      <c r="B241" t="s">
        <v>239</v>
      </c>
      <c r="D241" s="15" t="s">
        <v>1841</v>
      </c>
    </row>
    <row r="242" spans="1:4" x14ac:dyDescent="0.25">
      <c r="A242" t="str">
        <f>"100242"</f>
        <v>100242</v>
      </c>
      <c r="B242" t="s">
        <v>240</v>
      </c>
      <c r="D242" s="15" t="s">
        <v>894</v>
      </c>
    </row>
    <row r="243" spans="1:4" x14ac:dyDescent="0.25">
      <c r="A243" t="str">
        <f>"100243"</f>
        <v>100243</v>
      </c>
      <c r="B243" t="s">
        <v>241</v>
      </c>
      <c r="D243" s="15" t="s">
        <v>343</v>
      </c>
    </row>
    <row r="244" spans="1:4" x14ac:dyDescent="0.25">
      <c r="A244" t="str">
        <f>"100244"</f>
        <v>100244</v>
      </c>
      <c r="B244" t="s">
        <v>242</v>
      </c>
      <c r="D244" s="15" t="s">
        <v>691</v>
      </c>
    </row>
    <row r="245" spans="1:4" x14ac:dyDescent="0.25">
      <c r="A245" t="str">
        <f>"100245"</f>
        <v>100245</v>
      </c>
      <c r="B245" t="s">
        <v>243</v>
      </c>
      <c r="D245" s="15" t="s">
        <v>1126</v>
      </c>
    </row>
    <row r="246" spans="1:4" x14ac:dyDescent="0.25">
      <c r="A246" t="str">
        <f>"100246"</f>
        <v>100246</v>
      </c>
      <c r="B246" t="s">
        <v>244</v>
      </c>
      <c r="D246" s="15" t="s">
        <v>344</v>
      </c>
    </row>
    <row r="247" spans="1:4" x14ac:dyDescent="0.25">
      <c r="A247" t="str">
        <f>"100247"</f>
        <v>100247</v>
      </c>
      <c r="B247" t="s">
        <v>245</v>
      </c>
      <c r="D247" s="15" t="s">
        <v>1496</v>
      </c>
    </row>
    <row r="248" spans="1:4" x14ac:dyDescent="0.25">
      <c r="A248" t="str">
        <f>"100248"</f>
        <v>100248</v>
      </c>
      <c r="B248" t="s">
        <v>246</v>
      </c>
      <c r="D248" s="15" t="s">
        <v>346</v>
      </c>
    </row>
    <row r="249" spans="1:4" x14ac:dyDescent="0.25">
      <c r="A249" t="str">
        <f>"100249"</f>
        <v>100249</v>
      </c>
      <c r="B249" t="s">
        <v>247</v>
      </c>
      <c r="D249" s="15" t="s">
        <v>1521</v>
      </c>
    </row>
    <row r="250" spans="1:4" x14ac:dyDescent="0.25">
      <c r="A250" t="str">
        <f>"100250"</f>
        <v>100250</v>
      </c>
      <c r="B250" t="s">
        <v>248</v>
      </c>
      <c r="D250" s="15" t="s">
        <v>1875</v>
      </c>
    </row>
    <row r="251" spans="1:4" x14ac:dyDescent="0.25">
      <c r="A251" t="str">
        <f>"100251"</f>
        <v>100251</v>
      </c>
      <c r="B251" t="s">
        <v>249</v>
      </c>
      <c r="D251" s="15" t="s">
        <v>1715</v>
      </c>
    </row>
    <row r="252" spans="1:4" x14ac:dyDescent="0.25">
      <c r="A252" t="str">
        <f>"100252"</f>
        <v>100252</v>
      </c>
      <c r="B252" t="s">
        <v>250</v>
      </c>
      <c r="D252" s="15" t="s">
        <v>1247</v>
      </c>
    </row>
    <row r="253" spans="1:4" x14ac:dyDescent="0.25">
      <c r="A253" t="str">
        <f>"100253"</f>
        <v>100253</v>
      </c>
      <c r="B253" t="s">
        <v>251</v>
      </c>
      <c r="D253" s="15" t="s">
        <v>347</v>
      </c>
    </row>
    <row r="254" spans="1:4" x14ac:dyDescent="0.25">
      <c r="A254" t="str">
        <f>"100254"</f>
        <v>100254</v>
      </c>
      <c r="B254" t="s">
        <v>252</v>
      </c>
      <c r="D254" s="15" t="s">
        <v>1004</v>
      </c>
    </row>
    <row r="255" spans="1:4" x14ac:dyDescent="0.25">
      <c r="A255" t="str">
        <f>"100255"</f>
        <v>100255</v>
      </c>
      <c r="B255" t="s">
        <v>253</v>
      </c>
      <c r="D255" s="15" t="s">
        <v>1664</v>
      </c>
    </row>
    <row r="256" spans="1:4" x14ac:dyDescent="0.25">
      <c r="A256" t="str">
        <f>"100256"</f>
        <v>100256</v>
      </c>
      <c r="B256" t="s">
        <v>254</v>
      </c>
      <c r="D256" s="15" t="s">
        <v>2291</v>
      </c>
    </row>
    <row r="257" spans="1:4" x14ac:dyDescent="0.25">
      <c r="A257" t="str">
        <f>"100257"</f>
        <v>100257</v>
      </c>
      <c r="B257" t="s">
        <v>255</v>
      </c>
      <c r="D257" s="15" t="s">
        <v>2298</v>
      </c>
    </row>
    <row r="258" spans="1:4" x14ac:dyDescent="0.25">
      <c r="A258" t="str">
        <f>"100258"</f>
        <v>100258</v>
      </c>
      <c r="B258" t="s">
        <v>256</v>
      </c>
      <c r="D258" s="15" t="s">
        <v>2186</v>
      </c>
    </row>
    <row r="259" spans="1:4" x14ac:dyDescent="0.25">
      <c r="A259" t="str">
        <f>"100259"</f>
        <v>100259</v>
      </c>
      <c r="B259" t="s">
        <v>257</v>
      </c>
      <c r="D259" s="15" t="s">
        <v>695</v>
      </c>
    </row>
    <row r="260" spans="1:4" x14ac:dyDescent="0.25">
      <c r="A260" t="str">
        <f>"100260"</f>
        <v>100260</v>
      </c>
      <c r="B260" t="s">
        <v>258</v>
      </c>
      <c r="D260" s="15" t="s">
        <v>1448</v>
      </c>
    </row>
    <row r="261" spans="1:4" x14ac:dyDescent="0.25">
      <c r="A261" t="str">
        <f>"100261"</f>
        <v>100261</v>
      </c>
      <c r="B261" t="s">
        <v>259</v>
      </c>
      <c r="D261" s="15" t="s">
        <v>1427</v>
      </c>
    </row>
    <row r="262" spans="1:4" x14ac:dyDescent="0.25">
      <c r="A262" t="str">
        <f>"100262"</f>
        <v>100262</v>
      </c>
      <c r="B262" t="s">
        <v>260</v>
      </c>
      <c r="D262" s="15" t="s">
        <v>348</v>
      </c>
    </row>
    <row r="263" spans="1:4" x14ac:dyDescent="0.25">
      <c r="A263" t="str">
        <f>"100263"</f>
        <v>100263</v>
      </c>
      <c r="B263" t="s">
        <v>261</v>
      </c>
      <c r="D263" s="15" t="s">
        <v>491</v>
      </c>
    </row>
    <row r="264" spans="1:4" x14ac:dyDescent="0.25">
      <c r="A264" t="str">
        <f>"100264"</f>
        <v>100264</v>
      </c>
      <c r="B264" t="s">
        <v>262</v>
      </c>
      <c r="D264" s="15" t="s">
        <v>1817</v>
      </c>
    </row>
    <row r="265" spans="1:4" x14ac:dyDescent="0.25">
      <c r="A265" t="str">
        <f>"100265"</f>
        <v>100265</v>
      </c>
      <c r="B265" t="s">
        <v>263</v>
      </c>
      <c r="D265" s="15" t="s">
        <v>2354</v>
      </c>
    </row>
    <row r="266" spans="1:4" x14ac:dyDescent="0.25">
      <c r="A266" t="str">
        <f>"100266"</f>
        <v>100266</v>
      </c>
      <c r="B266" t="s">
        <v>264</v>
      </c>
      <c r="D266" s="15" t="s">
        <v>739</v>
      </c>
    </row>
    <row r="267" spans="1:4" x14ac:dyDescent="0.25">
      <c r="A267" t="str">
        <f>"100267"</f>
        <v>100267</v>
      </c>
      <c r="B267" t="s">
        <v>265</v>
      </c>
      <c r="D267" s="15" t="s">
        <v>1866</v>
      </c>
    </row>
    <row r="268" spans="1:4" x14ac:dyDescent="0.25">
      <c r="A268" t="str">
        <f>"100268"</f>
        <v>100268</v>
      </c>
      <c r="B268" t="s">
        <v>266</v>
      </c>
      <c r="D268" s="15" t="s">
        <v>349</v>
      </c>
    </row>
    <row r="269" spans="1:4" x14ac:dyDescent="0.25">
      <c r="A269" t="str">
        <f>"100269"</f>
        <v>100269</v>
      </c>
      <c r="B269" t="s">
        <v>267</v>
      </c>
      <c r="D269" s="15" t="s">
        <v>1383</v>
      </c>
    </row>
    <row r="270" spans="1:4" x14ac:dyDescent="0.25">
      <c r="A270" t="str">
        <f>"100270"</f>
        <v>100270</v>
      </c>
      <c r="B270" t="s">
        <v>268</v>
      </c>
      <c r="D270" s="15" t="s">
        <v>527</v>
      </c>
    </row>
    <row r="271" spans="1:4" x14ac:dyDescent="0.25">
      <c r="A271" t="str">
        <f>"100271"</f>
        <v>100271</v>
      </c>
      <c r="B271" t="s">
        <v>269</v>
      </c>
      <c r="D271" s="15" t="s">
        <v>620</v>
      </c>
    </row>
    <row r="272" spans="1:4" x14ac:dyDescent="0.25">
      <c r="A272" t="str">
        <f>"100272"</f>
        <v>100272</v>
      </c>
      <c r="B272" t="s">
        <v>270</v>
      </c>
      <c r="D272" s="15" t="s">
        <v>350</v>
      </c>
    </row>
    <row r="273" spans="1:4" x14ac:dyDescent="0.25">
      <c r="A273" t="str">
        <f>"100273"</f>
        <v>100273</v>
      </c>
      <c r="B273" t="s">
        <v>271</v>
      </c>
      <c r="D273" s="15" t="s">
        <v>2202</v>
      </c>
    </row>
    <row r="274" spans="1:4" x14ac:dyDescent="0.25">
      <c r="A274" t="str">
        <f>"100274"</f>
        <v>100274</v>
      </c>
      <c r="B274" t="s">
        <v>272</v>
      </c>
      <c r="D274" s="15" t="s">
        <v>420</v>
      </c>
    </row>
    <row r="275" spans="1:4" x14ac:dyDescent="0.25">
      <c r="A275" t="str">
        <f>"100275"</f>
        <v>100275</v>
      </c>
      <c r="B275" t="s">
        <v>273</v>
      </c>
      <c r="D275" s="15" t="s">
        <v>933</v>
      </c>
    </row>
    <row r="276" spans="1:4" x14ac:dyDescent="0.25">
      <c r="A276" t="str">
        <f>"100276"</f>
        <v>100276</v>
      </c>
      <c r="B276" t="s">
        <v>274</v>
      </c>
      <c r="D276" s="15" t="s">
        <v>2094</v>
      </c>
    </row>
    <row r="277" spans="1:4" x14ac:dyDescent="0.25">
      <c r="A277" t="str">
        <f>"100277"</f>
        <v>100277</v>
      </c>
      <c r="B277" t="s">
        <v>275</v>
      </c>
      <c r="D277" s="15" t="s">
        <v>1578</v>
      </c>
    </row>
    <row r="278" spans="1:4" x14ac:dyDescent="0.25">
      <c r="A278" t="str">
        <f>"100278"</f>
        <v>100278</v>
      </c>
      <c r="B278" t="s">
        <v>276</v>
      </c>
      <c r="D278" s="15" t="s">
        <v>1858</v>
      </c>
    </row>
    <row r="279" spans="1:4" x14ac:dyDescent="0.25">
      <c r="A279" t="str">
        <f>"100279"</f>
        <v>100279</v>
      </c>
      <c r="B279" t="s">
        <v>277</v>
      </c>
      <c r="D279" s="15" t="s">
        <v>669</v>
      </c>
    </row>
    <row r="280" spans="1:4" x14ac:dyDescent="0.25">
      <c r="A280" t="str">
        <f>"100280"</f>
        <v>100280</v>
      </c>
      <c r="B280" t="s">
        <v>278</v>
      </c>
      <c r="D280" s="15" t="s">
        <v>1499</v>
      </c>
    </row>
    <row r="281" spans="1:4" x14ac:dyDescent="0.25">
      <c r="A281" t="str">
        <f>"100281"</f>
        <v>100281</v>
      </c>
      <c r="B281" t="s">
        <v>279</v>
      </c>
      <c r="D281" s="15" t="s">
        <v>1968</v>
      </c>
    </row>
    <row r="282" spans="1:4" x14ac:dyDescent="0.25">
      <c r="A282" t="str">
        <f>"100282"</f>
        <v>100282</v>
      </c>
      <c r="B282" t="s">
        <v>280</v>
      </c>
      <c r="D282" s="15" t="s">
        <v>1250</v>
      </c>
    </row>
    <row r="283" spans="1:4" x14ac:dyDescent="0.25">
      <c r="A283" t="str">
        <f>"100283"</f>
        <v>100283</v>
      </c>
      <c r="B283" t="s">
        <v>281</v>
      </c>
      <c r="D283" s="15" t="s">
        <v>1748</v>
      </c>
    </row>
    <row r="284" spans="1:4" x14ac:dyDescent="0.25">
      <c r="A284" t="str">
        <f>"100284"</f>
        <v>100284</v>
      </c>
      <c r="B284" t="s">
        <v>282</v>
      </c>
      <c r="D284" s="15" t="s">
        <v>1281</v>
      </c>
    </row>
    <row r="285" spans="1:4" x14ac:dyDescent="0.25">
      <c r="A285" t="str">
        <f>"100285"</f>
        <v>100285</v>
      </c>
      <c r="B285" t="s">
        <v>283</v>
      </c>
      <c r="D285" s="15" t="s">
        <v>1933</v>
      </c>
    </row>
    <row r="286" spans="1:4" x14ac:dyDescent="0.25">
      <c r="A286" t="str">
        <f>"100286"</f>
        <v>100286</v>
      </c>
      <c r="B286" t="s">
        <v>284</v>
      </c>
      <c r="D286" s="15" t="s">
        <v>1002</v>
      </c>
    </row>
    <row r="287" spans="1:4" x14ac:dyDescent="0.25">
      <c r="A287" t="str">
        <f>"100287"</f>
        <v>100287</v>
      </c>
      <c r="B287" t="s">
        <v>285</v>
      </c>
      <c r="D287" s="15" t="s">
        <v>351</v>
      </c>
    </row>
    <row r="288" spans="1:4" x14ac:dyDescent="0.25">
      <c r="A288" t="str">
        <f>"1002873"</f>
        <v>1002873</v>
      </c>
      <c r="B288" t="s">
        <v>286</v>
      </c>
      <c r="D288" s="15" t="s">
        <v>590</v>
      </c>
    </row>
    <row r="289" spans="1:4" x14ac:dyDescent="0.25">
      <c r="A289" t="str">
        <f>"100288"</f>
        <v>100288</v>
      </c>
      <c r="B289" t="s">
        <v>287</v>
      </c>
      <c r="D289" s="15" t="s">
        <v>2078</v>
      </c>
    </row>
    <row r="290" spans="1:4" x14ac:dyDescent="0.25">
      <c r="A290" t="str">
        <f>"100289"</f>
        <v>100289</v>
      </c>
      <c r="B290" t="s">
        <v>288</v>
      </c>
      <c r="D290" s="15" t="s">
        <v>1405</v>
      </c>
    </row>
    <row r="291" spans="1:4" x14ac:dyDescent="0.25">
      <c r="A291" t="str">
        <f>"100290"</f>
        <v>100290</v>
      </c>
      <c r="B291" t="s">
        <v>289</v>
      </c>
      <c r="D291" s="15" t="s">
        <v>625</v>
      </c>
    </row>
    <row r="292" spans="1:4" x14ac:dyDescent="0.25">
      <c r="A292" t="str">
        <f>"100291"</f>
        <v>100291</v>
      </c>
      <c r="B292" t="s">
        <v>290</v>
      </c>
      <c r="D292" s="15" t="s">
        <v>1862</v>
      </c>
    </row>
    <row r="293" spans="1:4" x14ac:dyDescent="0.25">
      <c r="A293" t="str">
        <f>"100292"</f>
        <v>100292</v>
      </c>
      <c r="B293" t="s">
        <v>291</v>
      </c>
      <c r="D293" s="15" t="s">
        <v>1288</v>
      </c>
    </row>
    <row r="294" spans="1:4" x14ac:dyDescent="0.25">
      <c r="A294" t="str">
        <f>"100293"</f>
        <v>100293</v>
      </c>
      <c r="B294" t="s">
        <v>292</v>
      </c>
      <c r="D294" s="15" t="s">
        <v>1114</v>
      </c>
    </row>
    <row r="295" spans="1:4" x14ac:dyDescent="0.25">
      <c r="A295" t="str">
        <f>"100294"</f>
        <v>100294</v>
      </c>
      <c r="B295" t="s">
        <v>293</v>
      </c>
      <c r="D295" s="15" t="s">
        <v>352</v>
      </c>
    </row>
    <row r="296" spans="1:4" x14ac:dyDescent="0.25">
      <c r="A296" t="str">
        <f>"100295"</f>
        <v>100295</v>
      </c>
      <c r="B296" t="s">
        <v>294</v>
      </c>
      <c r="D296" s="15" t="s">
        <v>1295</v>
      </c>
    </row>
    <row r="297" spans="1:4" x14ac:dyDescent="0.25">
      <c r="A297" t="str">
        <f>"100296"</f>
        <v>100296</v>
      </c>
      <c r="B297" t="s">
        <v>295</v>
      </c>
      <c r="D297" s="15" t="s">
        <v>812</v>
      </c>
    </row>
    <row r="298" spans="1:4" x14ac:dyDescent="0.25">
      <c r="A298" t="str">
        <f>"100297"</f>
        <v>100297</v>
      </c>
      <c r="B298" t="s">
        <v>296</v>
      </c>
      <c r="D298" s="15" t="s">
        <v>794</v>
      </c>
    </row>
    <row r="299" spans="1:4" x14ac:dyDescent="0.25">
      <c r="A299" t="str">
        <f>"100298"</f>
        <v>100298</v>
      </c>
      <c r="B299" t="s">
        <v>297</v>
      </c>
      <c r="D299" s="15" t="s">
        <v>1797</v>
      </c>
    </row>
    <row r="300" spans="1:4" x14ac:dyDescent="0.25">
      <c r="A300" t="str">
        <f>"100299"</f>
        <v>100299</v>
      </c>
      <c r="B300" t="s">
        <v>298</v>
      </c>
      <c r="D300" s="15" t="s">
        <v>1547</v>
      </c>
    </row>
    <row r="301" spans="1:4" x14ac:dyDescent="0.25">
      <c r="A301" t="str">
        <f>"100300"</f>
        <v>100300</v>
      </c>
      <c r="B301" t="s">
        <v>299</v>
      </c>
      <c r="D301" s="15" t="s">
        <v>353</v>
      </c>
    </row>
    <row r="302" spans="1:4" x14ac:dyDescent="0.25">
      <c r="A302" t="str">
        <f>"100301"</f>
        <v>100301</v>
      </c>
      <c r="B302" t="s">
        <v>300</v>
      </c>
      <c r="D302" s="15" t="s">
        <v>1205</v>
      </c>
    </row>
    <row r="303" spans="1:4" x14ac:dyDescent="0.25">
      <c r="A303" t="str">
        <f>"100302"</f>
        <v>100302</v>
      </c>
      <c r="B303" t="s">
        <v>301</v>
      </c>
      <c r="D303" s="15" t="s">
        <v>962</v>
      </c>
    </row>
    <row r="304" spans="1:4" x14ac:dyDescent="0.25">
      <c r="A304" t="str">
        <f>"100303"</f>
        <v>100303</v>
      </c>
      <c r="B304" t="s">
        <v>302</v>
      </c>
      <c r="D304" s="15" t="s">
        <v>881</v>
      </c>
    </row>
    <row r="305" spans="1:4" x14ac:dyDescent="0.25">
      <c r="A305" t="str">
        <f>"100304"</f>
        <v>100304</v>
      </c>
      <c r="B305" t="s">
        <v>303</v>
      </c>
      <c r="D305" s="15" t="s">
        <v>792</v>
      </c>
    </row>
    <row r="306" spans="1:4" x14ac:dyDescent="0.25">
      <c r="A306" t="str">
        <f>"100305"</f>
        <v>100305</v>
      </c>
      <c r="B306" t="s">
        <v>304</v>
      </c>
      <c r="D306" s="15" t="s">
        <v>1171</v>
      </c>
    </row>
    <row r="307" spans="1:4" x14ac:dyDescent="0.25">
      <c r="A307" t="str">
        <f>"100306"</f>
        <v>100306</v>
      </c>
      <c r="B307" t="s">
        <v>305</v>
      </c>
      <c r="D307" s="15" t="s">
        <v>1408</v>
      </c>
    </row>
    <row r="308" spans="1:4" x14ac:dyDescent="0.25">
      <c r="A308" t="str">
        <f>"100307"</f>
        <v>100307</v>
      </c>
      <c r="B308" t="s">
        <v>306</v>
      </c>
      <c r="D308" s="15" t="s">
        <v>156</v>
      </c>
    </row>
    <row r="309" spans="1:4" x14ac:dyDescent="0.25">
      <c r="A309" t="str">
        <f>"100308"</f>
        <v>100308</v>
      </c>
      <c r="B309" t="s">
        <v>307</v>
      </c>
      <c r="D309" s="15" t="s">
        <v>2341</v>
      </c>
    </row>
    <row r="310" spans="1:4" x14ac:dyDescent="0.25">
      <c r="A310" t="str">
        <f>"100309"</f>
        <v>100309</v>
      </c>
      <c r="B310" t="s">
        <v>308</v>
      </c>
      <c r="D310" s="15" t="s">
        <v>1497</v>
      </c>
    </row>
    <row r="311" spans="1:4" x14ac:dyDescent="0.25">
      <c r="A311" t="str">
        <f>"100310"</f>
        <v>100310</v>
      </c>
      <c r="B311" t="s">
        <v>309</v>
      </c>
      <c r="D311" s="15" t="s">
        <v>1194</v>
      </c>
    </row>
    <row r="312" spans="1:4" x14ac:dyDescent="0.25">
      <c r="A312" t="str">
        <f>"100311"</f>
        <v>100311</v>
      </c>
      <c r="B312" t="s">
        <v>310</v>
      </c>
      <c r="D312" s="15" t="s">
        <v>2675</v>
      </c>
    </row>
    <row r="313" spans="1:4" x14ac:dyDescent="0.25">
      <c r="A313" t="str">
        <f>"100312"</f>
        <v>100312</v>
      </c>
      <c r="B313" t="s">
        <v>311</v>
      </c>
      <c r="D313" s="15" t="s">
        <v>1293</v>
      </c>
    </row>
    <row r="314" spans="1:4" x14ac:dyDescent="0.25">
      <c r="A314" t="str">
        <f>"100313"</f>
        <v>100313</v>
      </c>
      <c r="B314" t="s">
        <v>312</v>
      </c>
      <c r="D314" s="15" t="s">
        <v>2070</v>
      </c>
    </row>
    <row r="315" spans="1:4" x14ac:dyDescent="0.25">
      <c r="A315" t="str">
        <f>"100314"</f>
        <v>100314</v>
      </c>
      <c r="B315" t="s">
        <v>313</v>
      </c>
      <c r="D315" s="15" t="s">
        <v>2575</v>
      </c>
    </row>
    <row r="316" spans="1:4" x14ac:dyDescent="0.25">
      <c r="A316" t="str">
        <f>"100315"</f>
        <v>100315</v>
      </c>
      <c r="B316" t="s">
        <v>314</v>
      </c>
      <c r="D316" s="15" t="s">
        <v>2462</v>
      </c>
    </row>
    <row r="317" spans="1:4" x14ac:dyDescent="0.25">
      <c r="A317" t="str">
        <f>"100316"</f>
        <v>100316</v>
      </c>
      <c r="B317" t="s">
        <v>315</v>
      </c>
      <c r="D317" s="15" t="s">
        <v>832</v>
      </c>
    </row>
    <row r="318" spans="1:4" x14ac:dyDescent="0.25">
      <c r="A318" t="str">
        <f>"100317"</f>
        <v>100317</v>
      </c>
      <c r="B318" t="s">
        <v>316</v>
      </c>
      <c r="D318" s="15" t="s">
        <v>2621</v>
      </c>
    </row>
    <row r="319" spans="1:4" x14ac:dyDescent="0.25">
      <c r="A319" t="str">
        <f>"100318"</f>
        <v>100318</v>
      </c>
      <c r="B319" t="s">
        <v>317</v>
      </c>
      <c r="D319" s="15" t="s">
        <v>504</v>
      </c>
    </row>
    <row r="320" spans="1:4" x14ac:dyDescent="0.25">
      <c r="A320" t="str">
        <f>"100319"</f>
        <v>100319</v>
      </c>
      <c r="B320" t="s">
        <v>318</v>
      </c>
      <c r="D320" s="15" t="s">
        <v>745</v>
      </c>
    </row>
    <row r="321" spans="1:4" x14ac:dyDescent="0.25">
      <c r="A321" t="str">
        <f>"100320"</f>
        <v>100320</v>
      </c>
      <c r="B321" t="s">
        <v>319</v>
      </c>
      <c r="D321" s="15" t="s">
        <v>1934</v>
      </c>
    </row>
    <row r="322" spans="1:4" x14ac:dyDescent="0.25">
      <c r="A322" t="str">
        <f>"100321"</f>
        <v>100321</v>
      </c>
      <c r="B322" t="s">
        <v>320</v>
      </c>
      <c r="D322" s="15" t="s">
        <v>750</v>
      </c>
    </row>
    <row r="323" spans="1:4" x14ac:dyDescent="0.25">
      <c r="A323" t="str">
        <f>"100322"</f>
        <v>100322</v>
      </c>
      <c r="B323" t="s">
        <v>321</v>
      </c>
      <c r="D323" s="15" t="s">
        <v>2640</v>
      </c>
    </row>
    <row r="324" spans="1:4" x14ac:dyDescent="0.25">
      <c r="A324" t="str">
        <f>"100323"</f>
        <v>100323</v>
      </c>
      <c r="B324" t="s">
        <v>322</v>
      </c>
      <c r="D324" s="15" t="s">
        <v>2763</v>
      </c>
    </row>
    <row r="325" spans="1:4" x14ac:dyDescent="0.25">
      <c r="A325" t="str">
        <f>"100324"</f>
        <v>100324</v>
      </c>
      <c r="B325" t="s">
        <v>323</v>
      </c>
      <c r="D325" s="15" t="s">
        <v>25</v>
      </c>
    </row>
    <row r="326" spans="1:4" x14ac:dyDescent="0.25">
      <c r="A326" t="str">
        <f>"100325"</f>
        <v>100325</v>
      </c>
      <c r="B326" t="s">
        <v>324</v>
      </c>
      <c r="D326" s="15" t="s">
        <v>877</v>
      </c>
    </row>
    <row r="327" spans="1:4" x14ac:dyDescent="0.25">
      <c r="A327" t="str">
        <f>"100326"</f>
        <v>100326</v>
      </c>
      <c r="B327" t="s">
        <v>325</v>
      </c>
      <c r="D327" s="15" t="s">
        <v>187</v>
      </c>
    </row>
    <row r="328" spans="1:4" x14ac:dyDescent="0.25">
      <c r="A328" t="str">
        <f>"100327"</f>
        <v>100327</v>
      </c>
      <c r="B328" t="s">
        <v>326</v>
      </c>
      <c r="D328" s="15" t="s">
        <v>2542</v>
      </c>
    </row>
    <row r="329" spans="1:4" x14ac:dyDescent="0.25">
      <c r="A329" t="str">
        <f>"100328"</f>
        <v>100328</v>
      </c>
      <c r="B329" t="s">
        <v>327</v>
      </c>
      <c r="D329" s="15" t="s">
        <v>2358</v>
      </c>
    </row>
    <row r="330" spans="1:4" x14ac:dyDescent="0.25">
      <c r="A330" t="str">
        <f>"100329"</f>
        <v>100329</v>
      </c>
      <c r="B330" t="s">
        <v>328</v>
      </c>
      <c r="D330" s="15" t="s">
        <v>2395</v>
      </c>
    </row>
    <row r="331" spans="1:4" x14ac:dyDescent="0.25">
      <c r="A331" t="str">
        <f>"100330"</f>
        <v>100330</v>
      </c>
      <c r="B331" t="s">
        <v>329</v>
      </c>
      <c r="D331" s="15" t="s">
        <v>301</v>
      </c>
    </row>
    <row r="332" spans="1:4" x14ac:dyDescent="0.25">
      <c r="A332" t="str">
        <f>"100331"</f>
        <v>100331</v>
      </c>
      <c r="B332" t="s">
        <v>330</v>
      </c>
      <c r="D332" s="15" t="s">
        <v>2169</v>
      </c>
    </row>
    <row r="333" spans="1:4" x14ac:dyDescent="0.25">
      <c r="A333" t="str">
        <f>"100332"</f>
        <v>100332</v>
      </c>
      <c r="B333" t="s">
        <v>331</v>
      </c>
      <c r="D333" s="15" t="s">
        <v>1871</v>
      </c>
    </row>
    <row r="334" spans="1:4" x14ac:dyDescent="0.25">
      <c r="A334" t="str">
        <f>"100333"</f>
        <v>100333</v>
      </c>
      <c r="B334" t="s">
        <v>332</v>
      </c>
      <c r="D334" s="15" t="s">
        <v>1864</v>
      </c>
    </row>
    <row r="335" spans="1:4" x14ac:dyDescent="0.25">
      <c r="A335" t="str">
        <f>"100334"</f>
        <v>100334</v>
      </c>
      <c r="B335" t="s">
        <v>333</v>
      </c>
      <c r="D335" s="15" t="s">
        <v>2171</v>
      </c>
    </row>
    <row r="336" spans="1:4" x14ac:dyDescent="0.25">
      <c r="A336" t="str">
        <f>"100335"</f>
        <v>100335</v>
      </c>
      <c r="B336" t="s">
        <v>334</v>
      </c>
      <c r="D336" s="15" t="s">
        <v>2054</v>
      </c>
    </row>
    <row r="337" spans="1:4" x14ac:dyDescent="0.25">
      <c r="A337" t="str">
        <f>"100336"</f>
        <v>100336</v>
      </c>
      <c r="B337" t="s">
        <v>335</v>
      </c>
      <c r="D337" s="15" t="s">
        <v>2241</v>
      </c>
    </row>
    <row r="338" spans="1:4" x14ac:dyDescent="0.25">
      <c r="A338" t="str">
        <f>"100337"</f>
        <v>100337</v>
      </c>
      <c r="B338" t="s">
        <v>336</v>
      </c>
      <c r="D338" s="15" t="s">
        <v>2143</v>
      </c>
    </row>
    <row r="339" spans="1:4" x14ac:dyDescent="0.25">
      <c r="D339" s="15" t="s">
        <v>1656</v>
      </c>
    </row>
    <row r="340" spans="1:4" x14ac:dyDescent="0.25">
      <c r="A340" t="str">
        <f>"100338"</f>
        <v>100338</v>
      </c>
      <c r="B340" t="s">
        <v>337</v>
      </c>
      <c r="D340" s="15" t="s">
        <v>278</v>
      </c>
    </row>
    <row r="341" spans="1:4" x14ac:dyDescent="0.25">
      <c r="A341" t="str">
        <f>"100339"</f>
        <v>100339</v>
      </c>
      <c r="B341" t="s">
        <v>338</v>
      </c>
      <c r="D341" s="15" t="s">
        <v>1887</v>
      </c>
    </row>
    <row r="342" spans="1:4" x14ac:dyDescent="0.25">
      <c r="A342" t="str">
        <f>"100340"</f>
        <v>100340</v>
      </c>
      <c r="B342" t="s">
        <v>339</v>
      </c>
      <c r="D342" s="15" t="s">
        <v>555</v>
      </c>
    </row>
    <row r="343" spans="1:4" x14ac:dyDescent="0.25">
      <c r="A343" t="str">
        <f>"100341"</f>
        <v>100341</v>
      </c>
      <c r="B343" t="s">
        <v>340</v>
      </c>
      <c r="D343" s="15" t="s">
        <v>1795</v>
      </c>
    </row>
    <row r="344" spans="1:4" x14ac:dyDescent="0.25">
      <c r="A344" t="str">
        <f>"100342"</f>
        <v>100342</v>
      </c>
      <c r="B344" t="s">
        <v>341</v>
      </c>
      <c r="D344" s="15" t="s">
        <v>2310</v>
      </c>
    </row>
    <row r="345" spans="1:4" x14ac:dyDescent="0.25">
      <c r="A345" t="str">
        <f>"100343"</f>
        <v>100343</v>
      </c>
      <c r="B345" t="s">
        <v>342</v>
      </c>
      <c r="D345" s="15" t="s">
        <v>1350</v>
      </c>
    </row>
    <row r="346" spans="1:4" x14ac:dyDescent="0.25">
      <c r="A346" t="str">
        <f>"100344"</f>
        <v>100344</v>
      </c>
      <c r="B346" t="s">
        <v>343</v>
      </c>
      <c r="D346" s="15" t="s">
        <v>551</v>
      </c>
    </row>
    <row r="347" spans="1:4" x14ac:dyDescent="0.25">
      <c r="A347" t="str">
        <f>"100345"</f>
        <v>100345</v>
      </c>
      <c r="B347" t="s">
        <v>344</v>
      </c>
      <c r="D347" s="15" t="s">
        <v>2630</v>
      </c>
    </row>
    <row r="348" spans="1:4" x14ac:dyDescent="0.25">
      <c r="A348" t="str">
        <f>"100346"</f>
        <v>100346</v>
      </c>
      <c r="B348" t="s">
        <v>345</v>
      </c>
      <c r="D348" s="15" t="s">
        <v>2218</v>
      </c>
    </row>
    <row r="349" spans="1:4" x14ac:dyDescent="0.25">
      <c r="A349" t="str">
        <f>"100347"</f>
        <v>100347</v>
      </c>
      <c r="B349" t="s">
        <v>346</v>
      </c>
      <c r="D349" s="15" t="s">
        <v>1516</v>
      </c>
    </row>
    <row r="350" spans="1:4" x14ac:dyDescent="0.25">
      <c r="D350" s="15" t="s">
        <v>160</v>
      </c>
    </row>
    <row r="351" spans="1:4" x14ac:dyDescent="0.25">
      <c r="A351" t="str">
        <f>"100348"</f>
        <v>100348</v>
      </c>
      <c r="B351" t="s">
        <v>347</v>
      </c>
      <c r="D351" s="15" t="s">
        <v>789</v>
      </c>
    </row>
    <row r="352" spans="1:4" x14ac:dyDescent="0.25">
      <c r="A352" t="str">
        <f>"100349"</f>
        <v>100349</v>
      </c>
      <c r="B352" t="s">
        <v>348</v>
      </c>
      <c r="D352" s="15" t="s">
        <v>1615</v>
      </c>
    </row>
    <row r="353" spans="1:4" x14ac:dyDescent="0.25">
      <c r="D353" s="15" t="s">
        <v>2398</v>
      </c>
    </row>
    <row r="354" spans="1:4" x14ac:dyDescent="0.25">
      <c r="A354" t="str">
        <f>"100350"</f>
        <v>100350</v>
      </c>
      <c r="B354" t="s">
        <v>349</v>
      </c>
      <c r="D354" s="15" t="s">
        <v>1574</v>
      </c>
    </row>
    <row r="355" spans="1:4" x14ac:dyDescent="0.25">
      <c r="D355" s="15" t="s">
        <v>1156</v>
      </c>
    </row>
    <row r="356" spans="1:4" x14ac:dyDescent="0.25">
      <c r="A356" t="str">
        <f>"100351"</f>
        <v>100351</v>
      </c>
      <c r="B356" t="s">
        <v>350</v>
      </c>
      <c r="D356" s="15" t="s">
        <v>2805</v>
      </c>
    </row>
    <row r="357" spans="1:4" x14ac:dyDescent="0.25">
      <c r="A357" t="str">
        <f>"100352"</f>
        <v>100352</v>
      </c>
      <c r="B357" t="s">
        <v>351</v>
      </c>
      <c r="D357" s="15" t="s">
        <v>2488</v>
      </c>
    </row>
    <row r="358" spans="1:4" x14ac:dyDescent="0.25">
      <c r="D358" s="15" t="s">
        <v>2569</v>
      </c>
    </row>
    <row r="359" spans="1:4" x14ac:dyDescent="0.25">
      <c r="A359" t="str">
        <f>"100353"</f>
        <v>100353</v>
      </c>
      <c r="B359" t="s">
        <v>352</v>
      </c>
      <c r="D359" s="15" t="s">
        <v>2524</v>
      </c>
    </row>
    <row r="360" spans="1:4" x14ac:dyDescent="0.25">
      <c r="D360" s="15" t="s">
        <v>1829</v>
      </c>
    </row>
    <row r="361" spans="1:4" x14ac:dyDescent="0.25">
      <c r="A361" t="str">
        <f>"100354"</f>
        <v>100354</v>
      </c>
      <c r="B361" t="s">
        <v>353</v>
      </c>
      <c r="D361" s="15" t="s">
        <v>1371</v>
      </c>
    </row>
    <row r="362" spans="1:4" x14ac:dyDescent="0.25">
      <c r="D362" s="15" t="s">
        <v>1569</v>
      </c>
    </row>
    <row r="363" spans="1:4" x14ac:dyDescent="0.25">
      <c r="A363" t="str">
        <f>"100355"</f>
        <v>100355</v>
      </c>
      <c r="B363" t="s">
        <v>354</v>
      </c>
      <c r="D363" s="15" t="s">
        <v>902</v>
      </c>
    </row>
    <row r="364" spans="1:4" x14ac:dyDescent="0.25">
      <c r="A364" t="str">
        <f>"100356"</f>
        <v>100356</v>
      </c>
      <c r="B364" t="s">
        <v>355</v>
      </c>
      <c r="D364" s="15" t="s">
        <v>644</v>
      </c>
    </row>
    <row r="365" spans="1:4" x14ac:dyDescent="0.25">
      <c r="A365" t="str">
        <f>"100357"</f>
        <v>100357</v>
      </c>
      <c r="B365" t="s">
        <v>356</v>
      </c>
      <c r="D365" s="15" t="s">
        <v>1254</v>
      </c>
    </row>
    <row r="366" spans="1:4" x14ac:dyDescent="0.25">
      <c r="A366" t="str">
        <f>"100358"</f>
        <v>100358</v>
      </c>
      <c r="B366" t="s">
        <v>357</v>
      </c>
      <c r="D366" s="15" t="s">
        <v>996</v>
      </c>
    </row>
    <row r="367" spans="1:4" x14ac:dyDescent="0.25">
      <c r="A367" t="str">
        <f>"100359"</f>
        <v>100359</v>
      </c>
      <c r="B367" t="s">
        <v>358</v>
      </c>
      <c r="D367" s="15" t="s">
        <v>2703</v>
      </c>
    </row>
    <row r="368" spans="1:4" x14ac:dyDescent="0.25">
      <c r="A368" t="str">
        <f>"100360"</f>
        <v>100360</v>
      </c>
      <c r="B368" t="s">
        <v>359</v>
      </c>
      <c r="D368" s="15" t="s">
        <v>2665</v>
      </c>
    </row>
    <row r="369" spans="1:4" x14ac:dyDescent="0.25">
      <c r="A369" t="str">
        <f>"100361"</f>
        <v>100361</v>
      </c>
      <c r="B369" t="s">
        <v>360</v>
      </c>
      <c r="D369" s="15" t="s">
        <v>1602</v>
      </c>
    </row>
    <row r="370" spans="1:4" x14ac:dyDescent="0.25">
      <c r="A370" t="str">
        <f>"100362"</f>
        <v>100362</v>
      </c>
      <c r="B370" t="s">
        <v>361</v>
      </c>
      <c r="D370" s="15" t="s">
        <v>1243</v>
      </c>
    </row>
    <row r="371" spans="1:4" x14ac:dyDescent="0.25">
      <c r="A371" t="str">
        <f>"100363"</f>
        <v>100363</v>
      </c>
      <c r="B371" t="s">
        <v>362</v>
      </c>
      <c r="D371" s="15" t="s">
        <v>679</v>
      </c>
    </row>
    <row r="372" spans="1:4" x14ac:dyDescent="0.25">
      <c r="A372" t="str">
        <f>"100364"</f>
        <v>100364</v>
      </c>
      <c r="B372" t="s">
        <v>363</v>
      </c>
      <c r="D372" s="15" t="s">
        <v>1217</v>
      </c>
    </row>
    <row r="373" spans="1:4" x14ac:dyDescent="0.25">
      <c r="A373" t="str">
        <f>"100365"</f>
        <v>100365</v>
      </c>
      <c r="B373" t="s">
        <v>364</v>
      </c>
      <c r="D373" s="15" t="s">
        <v>1003</v>
      </c>
    </row>
    <row r="374" spans="1:4" x14ac:dyDescent="0.25">
      <c r="A374" t="str">
        <f>"100366"</f>
        <v>100366</v>
      </c>
      <c r="B374" t="s">
        <v>365</v>
      </c>
      <c r="D374" s="15" t="s">
        <v>2727</v>
      </c>
    </row>
    <row r="375" spans="1:4" x14ac:dyDescent="0.25">
      <c r="A375" t="str">
        <f>"100367"</f>
        <v>100367</v>
      </c>
      <c r="B375" t="s">
        <v>366</v>
      </c>
      <c r="D375" s="15" t="s">
        <v>490</v>
      </c>
    </row>
    <row r="376" spans="1:4" x14ac:dyDescent="0.25">
      <c r="A376" t="str">
        <f>"100368"</f>
        <v>100368</v>
      </c>
      <c r="B376" t="s">
        <v>367</v>
      </c>
      <c r="D376" s="15" t="s">
        <v>1491</v>
      </c>
    </row>
    <row r="377" spans="1:4" x14ac:dyDescent="0.25">
      <c r="A377" t="str">
        <f>"100369"</f>
        <v>100369</v>
      </c>
      <c r="B377" t="s">
        <v>368</v>
      </c>
      <c r="D377" s="15" t="s">
        <v>2417</v>
      </c>
    </row>
    <row r="378" spans="1:4" x14ac:dyDescent="0.25">
      <c r="D378" s="15" t="s">
        <v>1743</v>
      </c>
    </row>
    <row r="379" spans="1:4" x14ac:dyDescent="0.25">
      <c r="A379" t="str">
        <f>"100370"</f>
        <v>100370</v>
      </c>
      <c r="B379" t="s">
        <v>369</v>
      </c>
      <c r="D379" s="15" t="s">
        <v>2632</v>
      </c>
    </row>
    <row r="380" spans="1:4" x14ac:dyDescent="0.25">
      <c r="D380" s="15" t="s">
        <v>1022</v>
      </c>
    </row>
    <row r="381" spans="1:4" x14ac:dyDescent="0.25">
      <c r="A381" t="str">
        <f>"100371"</f>
        <v>100371</v>
      </c>
      <c r="B381" t="s">
        <v>370</v>
      </c>
      <c r="D381" s="15" t="s">
        <v>2760</v>
      </c>
    </row>
    <row r="382" spans="1:4" x14ac:dyDescent="0.25">
      <c r="D382" s="15" t="s">
        <v>2531</v>
      </c>
    </row>
    <row r="383" spans="1:4" x14ac:dyDescent="0.25">
      <c r="A383" t="str">
        <f>"100372"</f>
        <v>100372</v>
      </c>
      <c r="B383" t="s">
        <v>371</v>
      </c>
      <c r="D383" s="15" t="s">
        <v>1364</v>
      </c>
    </row>
    <row r="384" spans="1:4" x14ac:dyDescent="0.25">
      <c r="A384" t="str">
        <f>"100373"</f>
        <v>100373</v>
      </c>
      <c r="B384" t="s">
        <v>372</v>
      </c>
      <c r="D384" s="15" t="s">
        <v>2131</v>
      </c>
    </row>
    <row r="385" spans="1:4" x14ac:dyDescent="0.25">
      <c r="A385" t="str">
        <f>"100374"</f>
        <v>100374</v>
      </c>
      <c r="B385" t="s">
        <v>373</v>
      </c>
      <c r="D385" s="15" t="s">
        <v>1235</v>
      </c>
    </row>
    <row r="386" spans="1:4" x14ac:dyDescent="0.25">
      <c r="A386" t="str">
        <f>"100375"</f>
        <v>100375</v>
      </c>
      <c r="B386" t="s">
        <v>374</v>
      </c>
      <c r="D386" s="15" t="s">
        <v>1122</v>
      </c>
    </row>
    <row r="387" spans="1:4" x14ac:dyDescent="0.25">
      <c r="A387" t="str">
        <f>"100376"</f>
        <v>100376</v>
      </c>
      <c r="B387" t="s">
        <v>375</v>
      </c>
      <c r="D387" s="15" t="s">
        <v>201</v>
      </c>
    </row>
    <row r="388" spans="1:4" x14ac:dyDescent="0.25">
      <c r="A388" t="str">
        <f>"100377"</f>
        <v>100377</v>
      </c>
      <c r="B388" t="s">
        <v>376</v>
      </c>
      <c r="D388" s="15" t="s">
        <v>27</v>
      </c>
    </row>
    <row r="389" spans="1:4" x14ac:dyDescent="0.25">
      <c r="D389" s="15" t="s">
        <v>1245</v>
      </c>
    </row>
    <row r="390" spans="1:4" x14ac:dyDescent="0.25">
      <c r="A390" t="str">
        <f>"100378"</f>
        <v>100378</v>
      </c>
      <c r="B390" t="s">
        <v>377</v>
      </c>
      <c r="D390" s="15" t="s">
        <v>813</v>
      </c>
    </row>
    <row r="391" spans="1:4" x14ac:dyDescent="0.25">
      <c r="D391" s="15" t="s">
        <v>986</v>
      </c>
    </row>
    <row r="392" spans="1:4" x14ac:dyDescent="0.25">
      <c r="A392" t="str">
        <f>"100379"</f>
        <v>100379</v>
      </c>
      <c r="B392" t="s">
        <v>378</v>
      </c>
      <c r="D392" s="15" t="s">
        <v>1735</v>
      </c>
    </row>
    <row r="393" spans="1:4" x14ac:dyDescent="0.25">
      <c r="D393" s="15" t="s">
        <v>2592</v>
      </c>
    </row>
    <row r="394" spans="1:4" x14ac:dyDescent="0.25">
      <c r="A394" t="str">
        <f>"100380"</f>
        <v>100380</v>
      </c>
      <c r="B394" t="s">
        <v>379</v>
      </c>
      <c r="D394" s="15" t="s">
        <v>2625</v>
      </c>
    </row>
    <row r="395" spans="1:4" x14ac:dyDescent="0.25">
      <c r="A395" t="str">
        <f>"100381"</f>
        <v>100381</v>
      </c>
      <c r="B395" t="s">
        <v>380</v>
      </c>
      <c r="D395" s="15" t="s">
        <v>2233</v>
      </c>
    </row>
    <row r="396" spans="1:4" x14ac:dyDescent="0.25">
      <c r="D396" s="15" t="s">
        <v>19</v>
      </c>
    </row>
    <row r="397" spans="1:4" x14ac:dyDescent="0.25">
      <c r="A397" t="str">
        <f>"100382"</f>
        <v>100382</v>
      </c>
      <c r="B397" t="s">
        <v>381</v>
      </c>
      <c r="D397" s="15" t="s">
        <v>2422</v>
      </c>
    </row>
    <row r="398" spans="1:4" x14ac:dyDescent="0.25">
      <c r="A398" t="str">
        <f>"100383"</f>
        <v>100383</v>
      </c>
      <c r="B398" t="s">
        <v>382</v>
      </c>
      <c r="D398" s="15" t="s">
        <v>1258</v>
      </c>
    </row>
    <row r="399" spans="1:4" x14ac:dyDescent="0.25">
      <c r="A399" t="str">
        <f>"100384"</f>
        <v>100384</v>
      </c>
      <c r="B399" t="s">
        <v>383</v>
      </c>
      <c r="D399" s="15" t="s">
        <v>503</v>
      </c>
    </row>
    <row r="400" spans="1:4" x14ac:dyDescent="0.25">
      <c r="A400" t="str">
        <f>"100385"</f>
        <v>100385</v>
      </c>
      <c r="B400" t="s">
        <v>384</v>
      </c>
      <c r="D400" s="15" t="s">
        <v>995</v>
      </c>
    </row>
    <row r="401" spans="1:4" x14ac:dyDescent="0.25">
      <c r="A401" t="str">
        <f>"100386"</f>
        <v>100386</v>
      </c>
      <c r="B401" t="s">
        <v>385</v>
      </c>
      <c r="D401" s="15" t="s">
        <v>20</v>
      </c>
    </row>
    <row r="402" spans="1:4" x14ac:dyDescent="0.25">
      <c r="A402" t="str">
        <f>"100387"</f>
        <v>100387</v>
      </c>
      <c r="B402" t="s">
        <v>386</v>
      </c>
      <c r="D402" s="15" t="s">
        <v>2140</v>
      </c>
    </row>
    <row r="403" spans="1:4" x14ac:dyDescent="0.25">
      <c r="A403" t="str">
        <f>"100388"</f>
        <v>100388</v>
      </c>
      <c r="B403" t="s">
        <v>387</v>
      </c>
      <c r="D403" s="15" t="s">
        <v>18</v>
      </c>
    </row>
    <row r="404" spans="1:4" x14ac:dyDescent="0.25">
      <c r="A404" t="str">
        <f>"100389"</f>
        <v>100389</v>
      </c>
      <c r="B404" t="s">
        <v>388</v>
      </c>
      <c r="D404" s="15" t="s">
        <v>1363</v>
      </c>
    </row>
    <row r="405" spans="1:4" x14ac:dyDescent="0.25">
      <c r="A405" t="str">
        <f>"100390"</f>
        <v>100390</v>
      </c>
      <c r="B405" t="s">
        <v>389</v>
      </c>
      <c r="D405" s="15" t="s">
        <v>1472</v>
      </c>
    </row>
    <row r="406" spans="1:4" x14ac:dyDescent="0.25">
      <c r="A406" t="str">
        <f>"100391"</f>
        <v>100391</v>
      </c>
      <c r="B406" t="s">
        <v>390</v>
      </c>
      <c r="D406" s="15" t="s">
        <v>191</v>
      </c>
    </row>
    <row r="407" spans="1:4" x14ac:dyDescent="0.25">
      <c r="A407" t="str">
        <f>"100392"</f>
        <v>100392</v>
      </c>
      <c r="B407" t="s">
        <v>391</v>
      </c>
      <c r="D407" s="15" t="s">
        <v>21</v>
      </c>
    </row>
    <row r="408" spans="1:4" x14ac:dyDescent="0.25">
      <c r="A408" t="str">
        <f>"100393"</f>
        <v>100393</v>
      </c>
      <c r="B408" t="s">
        <v>392</v>
      </c>
      <c r="D408" s="15" t="s">
        <v>2810</v>
      </c>
    </row>
    <row r="409" spans="1:4" x14ac:dyDescent="0.25">
      <c r="A409" t="str">
        <f>"100394"</f>
        <v>100394</v>
      </c>
      <c r="B409" t="s">
        <v>393</v>
      </c>
      <c r="D409" s="15" t="s">
        <v>575</v>
      </c>
    </row>
    <row r="410" spans="1:4" x14ac:dyDescent="0.25">
      <c r="A410" t="str">
        <f>"100395"</f>
        <v>100395</v>
      </c>
      <c r="B410" t="s">
        <v>394</v>
      </c>
      <c r="D410" s="15" t="s">
        <v>23</v>
      </c>
    </row>
    <row r="411" spans="1:4" x14ac:dyDescent="0.25">
      <c r="A411" t="str">
        <f>"100396"</f>
        <v>100396</v>
      </c>
      <c r="B411" t="s">
        <v>395</v>
      </c>
      <c r="D411" s="15" t="s">
        <v>682</v>
      </c>
    </row>
    <row r="412" spans="1:4" x14ac:dyDescent="0.25">
      <c r="A412" t="str">
        <f>"100397"</f>
        <v>100397</v>
      </c>
      <c r="B412" t="s">
        <v>396</v>
      </c>
      <c r="D412" s="15" t="s">
        <v>539</v>
      </c>
    </row>
    <row r="413" spans="1:4" x14ac:dyDescent="0.25">
      <c r="A413" t="str">
        <f>"100398"</f>
        <v>100398</v>
      </c>
      <c r="B413" t="s">
        <v>397</v>
      </c>
      <c r="D413" s="15" t="s">
        <v>1571</v>
      </c>
    </row>
    <row r="414" spans="1:4" x14ac:dyDescent="0.25">
      <c r="A414" t="str">
        <f>"100399"</f>
        <v>100399</v>
      </c>
      <c r="B414" t="s">
        <v>398</v>
      </c>
      <c r="D414" s="15" t="s">
        <v>1201</v>
      </c>
    </row>
    <row r="415" spans="1:4" x14ac:dyDescent="0.25">
      <c r="A415" t="str">
        <f>"100400"</f>
        <v>100400</v>
      </c>
      <c r="B415" t="s">
        <v>399</v>
      </c>
      <c r="D415" s="15" t="s">
        <v>444</v>
      </c>
    </row>
    <row r="416" spans="1:4" x14ac:dyDescent="0.25">
      <c r="A416" t="str">
        <f>"100401"</f>
        <v>100401</v>
      </c>
      <c r="B416" t="s">
        <v>400</v>
      </c>
      <c r="D416" s="15" t="s">
        <v>1297</v>
      </c>
    </row>
    <row r="417" spans="1:4" x14ac:dyDescent="0.25">
      <c r="A417" t="str">
        <f>"100402"</f>
        <v>100402</v>
      </c>
      <c r="B417" t="s">
        <v>401</v>
      </c>
      <c r="D417" s="15" t="s">
        <v>1765</v>
      </c>
    </row>
    <row r="418" spans="1:4" x14ac:dyDescent="0.25">
      <c r="A418" t="str">
        <f>"100403"</f>
        <v>100403</v>
      </c>
      <c r="B418" t="s">
        <v>402</v>
      </c>
      <c r="D418" s="15" t="s">
        <v>24</v>
      </c>
    </row>
    <row r="419" spans="1:4" x14ac:dyDescent="0.25">
      <c r="A419" t="str">
        <f>"100404"</f>
        <v>100404</v>
      </c>
      <c r="B419" t="s">
        <v>403</v>
      </c>
      <c r="D419" s="15" t="s">
        <v>631</v>
      </c>
    </row>
    <row r="420" spans="1:4" x14ac:dyDescent="0.25">
      <c r="A420" t="str">
        <f>"100405"</f>
        <v>100405</v>
      </c>
      <c r="B420" t="s">
        <v>404</v>
      </c>
      <c r="D420" s="15" t="s">
        <v>818</v>
      </c>
    </row>
    <row r="421" spans="1:4" x14ac:dyDescent="0.25">
      <c r="A421" t="str">
        <f>"100406"</f>
        <v>100406</v>
      </c>
      <c r="B421" t="s">
        <v>405</v>
      </c>
      <c r="D421" s="15" t="s">
        <v>612</v>
      </c>
    </row>
    <row r="422" spans="1:4" x14ac:dyDescent="0.25">
      <c r="D422" s="15" t="s">
        <v>2412</v>
      </c>
    </row>
    <row r="423" spans="1:4" x14ac:dyDescent="0.25">
      <c r="A423" t="str">
        <f>"100407"</f>
        <v>100407</v>
      </c>
      <c r="B423" t="s">
        <v>406</v>
      </c>
      <c r="D423" s="15" t="s">
        <v>979</v>
      </c>
    </row>
    <row r="424" spans="1:4" x14ac:dyDescent="0.25">
      <c r="D424" s="15" t="s">
        <v>2702</v>
      </c>
    </row>
    <row r="425" spans="1:4" x14ac:dyDescent="0.25">
      <c r="A425" t="str">
        <f>"100408"</f>
        <v>100408</v>
      </c>
      <c r="B425" t="s">
        <v>407</v>
      </c>
      <c r="D425" s="15" t="s">
        <v>656</v>
      </c>
    </row>
    <row r="426" spans="1:4" x14ac:dyDescent="0.25">
      <c r="A426" t="str">
        <f>"100409"</f>
        <v>100409</v>
      </c>
      <c r="B426" t="s">
        <v>408</v>
      </c>
      <c r="D426" s="15" t="s">
        <v>2277</v>
      </c>
    </row>
    <row r="427" spans="1:4" x14ac:dyDescent="0.25">
      <c r="A427" t="str">
        <f>"100410"</f>
        <v>100410</v>
      </c>
      <c r="B427" t="s">
        <v>409</v>
      </c>
      <c r="D427" s="15" t="s">
        <v>2718</v>
      </c>
    </row>
    <row r="428" spans="1:4" x14ac:dyDescent="0.25">
      <c r="A428" t="str">
        <f>"100411"</f>
        <v>100411</v>
      </c>
      <c r="B428" t="s">
        <v>410</v>
      </c>
      <c r="D428" s="15" t="s">
        <v>721</v>
      </c>
    </row>
    <row r="429" spans="1:4" x14ac:dyDescent="0.25">
      <c r="A429" t="str">
        <f>"100412"</f>
        <v>100412</v>
      </c>
      <c r="B429" t="s">
        <v>411</v>
      </c>
      <c r="D429" s="15" t="s">
        <v>2271</v>
      </c>
    </row>
    <row r="430" spans="1:4" x14ac:dyDescent="0.25">
      <c r="A430" t="str">
        <f>"100413"</f>
        <v>100413</v>
      </c>
      <c r="B430" t="s">
        <v>412</v>
      </c>
      <c r="D430" s="15" t="s">
        <v>1989</v>
      </c>
    </row>
    <row r="431" spans="1:4" x14ac:dyDescent="0.25">
      <c r="D431" s="15" t="s">
        <v>532</v>
      </c>
    </row>
    <row r="432" spans="1:4" x14ac:dyDescent="0.25">
      <c r="A432" t="str">
        <f>"100414"</f>
        <v>100414</v>
      </c>
      <c r="B432" t="s">
        <v>413</v>
      </c>
      <c r="D432" s="15" t="s">
        <v>2037</v>
      </c>
    </row>
    <row r="433" spans="1:4" x14ac:dyDescent="0.25">
      <c r="A433" t="str">
        <f>"100415"</f>
        <v>100415</v>
      </c>
      <c r="B433" t="s">
        <v>414</v>
      </c>
      <c r="D433" s="15" t="s">
        <v>354</v>
      </c>
    </row>
    <row r="434" spans="1:4" x14ac:dyDescent="0.25">
      <c r="A434" t="str">
        <f>"100416"</f>
        <v>100416</v>
      </c>
      <c r="B434" t="s">
        <v>415</v>
      </c>
      <c r="D434" s="15" t="s">
        <v>148</v>
      </c>
    </row>
    <row r="435" spans="1:4" x14ac:dyDescent="0.25">
      <c r="A435" t="str">
        <f>"100417"</f>
        <v>100417</v>
      </c>
      <c r="B435" t="s">
        <v>416</v>
      </c>
      <c r="D435" s="15" t="s">
        <v>356</v>
      </c>
    </row>
    <row r="436" spans="1:4" x14ac:dyDescent="0.25">
      <c r="A436" t="str">
        <f>"100418"</f>
        <v>100418</v>
      </c>
      <c r="B436" t="s">
        <v>417</v>
      </c>
      <c r="D436" s="15" t="s">
        <v>1677</v>
      </c>
    </row>
    <row r="437" spans="1:4" x14ac:dyDescent="0.25">
      <c r="D437" s="15" t="s">
        <v>909</v>
      </c>
    </row>
    <row r="438" spans="1:4" x14ac:dyDescent="0.25">
      <c r="A438" t="str">
        <f>"100419"</f>
        <v>100419</v>
      </c>
      <c r="B438" t="s">
        <v>418</v>
      </c>
      <c r="D438" s="15" t="s">
        <v>1485</v>
      </c>
    </row>
    <row r="439" spans="1:4" x14ac:dyDescent="0.25">
      <c r="A439" t="str">
        <f>"100420"</f>
        <v>100420</v>
      </c>
      <c r="B439" t="s">
        <v>419</v>
      </c>
      <c r="D439" s="15" t="s">
        <v>1958</v>
      </c>
    </row>
    <row r="440" spans="1:4" x14ac:dyDescent="0.25">
      <c r="A440" t="str">
        <f>"100421"</f>
        <v>100421</v>
      </c>
      <c r="B440" t="s">
        <v>420</v>
      </c>
      <c r="D440" s="15" t="s">
        <v>628</v>
      </c>
    </row>
    <row r="441" spans="1:4" x14ac:dyDescent="0.25">
      <c r="A441" t="str">
        <f>"100422"</f>
        <v>100422</v>
      </c>
      <c r="B441" t="s">
        <v>421</v>
      </c>
      <c r="D441" s="15" t="s">
        <v>685</v>
      </c>
    </row>
    <row r="442" spans="1:4" x14ac:dyDescent="0.25">
      <c r="A442" t="str">
        <f>"100423"</f>
        <v>100423</v>
      </c>
      <c r="B442" t="s">
        <v>422</v>
      </c>
      <c r="D442" s="15" t="s">
        <v>1907</v>
      </c>
    </row>
    <row r="443" spans="1:4" x14ac:dyDescent="0.25">
      <c r="A443" t="str">
        <f>"100424"</f>
        <v>100424</v>
      </c>
      <c r="B443" t="s">
        <v>423</v>
      </c>
      <c r="D443" s="15" t="s">
        <v>357</v>
      </c>
    </row>
    <row r="444" spans="1:4" x14ac:dyDescent="0.25">
      <c r="A444" t="str">
        <f>"100425"</f>
        <v>100425</v>
      </c>
      <c r="B444" t="s">
        <v>424</v>
      </c>
      <c r="D444" s="15" t="s">
        <v>1522</v>
      </c>
    </row>
    <row r="445" spans="1:4" x14ac:dyDescent="0.25">
      <c r="D445" s="15" t="s">
        <v>536</v>
      </c>
    </row>
    <row r="446" spans="1:4" x14ac:dyDescent="0.25">
      <c r="A446" t="str">
        <f>"100426"</f>
        <v>100426</v>
      </c>
      <c r="B446" t="s">
        <v>425</v>
      </c>
      <c r="D446" s="15" t="s">
        <v>358</v>
      </c>
    </row>
    <row r="447" spans="1:4" x14ac:dyDescent="0.25">
      <c r="D447" s="15" t="s">
        <v>1869</v>
      </c>
    </row>
    <row r="448" spans="1:4" x14ac:dyDescent="0.25">
      <c r="A448" t="str">
        <f>"100427"</f>
        <v>100427</v>
      </c>
      <c r="B448" t="s">
        <v>426</v>
      </c>
      <c r="D448" s="15" t="s">
        <v>762</v>
      </c>
    </row>
    <row r="449" spans="1:4" x14ac:dyDescent="0.25">
      <c r="D449" s="15" t="s">
        <v>944</v>
      </c>
    </row>
    <row r="450" spans="1:4" x14ac:dyDescent="0.25">
      <c r="A450" t="str">
        <f>"100428"</f>
        <v>100428</v>
      </c>
      <c r="B450" t="s">
        <v>427</v>
      </c>
      <c r="D450" s="15" t="s">
        <v>359</v>
      </c>
    </row>
    <row r="451" spans="1:4" x14ac:dyDescent="0.25">
      <c r="D451" s="15" t="s">
        <v>1198</v>
      </c>
    </row>
    <row r="452" spans="1:4" x14ac:dyDescent="0.25">
      <c r="A452" t="str">
        <f>"100429"</f>
        <v>100429</v>
      </c>
      <c r="B452" t="s">
        <v>428</v>
      </c>
      <c r="D452" s="15" t="s">
        <v>678</v>
      </c>
    </row>
    <row r="453" spans="1:4" x14ac:dyDescent="0.25">
      <c r="D453" s="15" t="s">
        <v>1229</v>
      </c>
    </row>
    <row r="454" spans="1:4" x14ac:dyDescent="0.25">
      <c r="A454" t="str">
        <f>"100430"</f>
        <v>100430</v>
      </c>
      <c r="B454" t="s">
        <v>429</v>
      </c>
      <c r="D454" s="15" t="s">
        <v>567</v>
      </c>
    </row>
    <row r="455" spans="1:4" x14ac:dyDescent="0.25">
      <c r="D455" s="15" t="s">
        <v>1774</v>
      </c>
    </row>
    <row r="456" spans="1:4" x14ac:dyDescent="0.25">
      <c r="A456" t="str">
        <f>"100431"</f>
        <v>100431</v>
      </c>
      <c r="B456" t="s">
        <v>430</v>
      </c>
      <c r="D456" s="15" t="s">
        <v>1057</v>
      </c>
    </row>
    <row r="457" spans="1:4" x14ac:dyDescent="0.25">
      <c r="D457" s="15" t="s">
        <v>1812</v>
      </c>
    </row>
    <row r="458" spans="1:4" x14ac:dyDescent="0.25">
      <c r="A458" t="str">
        <f>"100432"</f>
        <v>100432</v>
      </c>
      <c r="B458" t="s">
        <v>431</v>
      </c>
      <c r="D458" s="15" t="s">
        <v>1380</v>
      </c>
    </row>
    <row r="459" spans="1:4" x14ac:dyDescent="0.25">
      <c r="D459" s="15" t="s">
        <v>1818</v>
      </c>
    </row>
    <row r="460" spans="1:4" x14ac:dyDescent="0.25">
      <c r="A460" t="str">
        <f>"100433"</f>
        <v>100433</v>
      </c>
      <c r="B460" t="s">
        <v>432</v>
      </c>
      <c r="D460" s="15" t="s">
        <v>889</v>
      </c>
    </row>
    <row r="461" spans="1:4" x14ac:dyDescent="0.25">
      <c r="A461" t="str">
        <f>"100434"</f>
        <v>100434</v>
      </c>
      <c r="B461" t="s">
        <v>433</v>
      </c>
      <c r="D461" s="15" t="s">
        <v>871</v>
      </c>
    </row>
    <row r="462" spans="1:4" x14ac:dyDescent="0.25">
      <c r="A462" t="str">
        <f>"100435"</f>
        <v>100435</v>
      </c>
      <c r="B462" t="s">
        <v>434</v>
      </c>
      <c r="D462" s="15" t="s">
        <v>822</v>
      </c>
    </row>
    <row r="463" spans="1:4" x14ac:dyDescent="0.25">
      <c r="A463" t="str">
        <f>"100436"</f>
        <v>100436</v>
      </c>
      <c r="B463" t="s">
        <v>435</v>
      </c>
      <c r="D463" s="15" t="s">
        <v>847</v>
      </c>
    </row>
    <row r="464" spans="1:4" x14ac:dyDescent="0.25">
      <c r="A464" t="str">
        <f>"100437"</f>
        <v>100437</v>
      </c>
      <c r="B464" t="s">
        <v>436</v>
      </c>
      <c r="D464" s="15" t="s">
        <v>360</v>
      </c>
    </row>
    <row r="465" spans="1:4" x14ac:dyDescent="0.25">
      <c r="A465" t="str">
        <f>"100438"</f>
        <v>100438</v>
      </c>
      <c r="B465" t="s">
        <v>437</v>
      </c>
      <c r="D465" s="15" t="s">
        <v>814</v>
      </c>
    </row>
    <row r="466" spans="1:4" x14ac:dyDescent="0.25">
      <c r="D466" s="15" t="s">
        <v>1825</v>
      </c>
    </row>
    <row r="467" spans="1:4" x14ac:dyDescent="0.25">
      <c r="A467" t="str">
        <f>"100439"</f>
        <v>100439</v>
      </c>
      <c r="B467" t="s">
        <v>438</v>
      </c>
      <c r="D467" s="15" t="s">
        <v>1385</v>
      </c>
    </row>
    <row r="468" spans="1:4" x14ac:dyDescent="0.25">
      <c r="D468" s="15" t="s">
        <v>146</v>
      </c>
    </row>
    <row r="469" spans="1:4" x14ac:dyDescent="0.25">
      <c r="A469" t="str">
        <f>"100440"</f>
        <v>100440</v>
      </c>
      <c r="B469" t="s">
        <v>439</v>
      </c>
      <c r="D469" s="15" t="s">
        <v>76</v>
      </c>
    </row>
    <row r="470" spans="1:4" x14ac:dyDescent="0.25">
      <c r="A470" t="str">
        <f>"100441"</f>
        <v>100441</v>
      </c>
      <c r="B470" t="s">
        <v>440</v>
      </c>
      <c r="D470" s="15" t="s">
        <v>579</v>
      </c>
    </row>
    <row r="471" spans="1:4" x14ac:dyDescent="0.25">
      <c r="A471" t="str">
        <f>"100442"</f>
        <v>100442</v>
      </c>
      <c r="B471" t="s">
        <v>441</v>
      </c>
      <c r="D471" s="15" t="s">
        <v>828</v>
      </c>
    </row>
    <row r="472" spans="1:4" x14ac:dyDescent="0.25">
      <c r="A472" t="str">
        <f>"100443"</f>
        <v>100443</v>
      </c>
      <c r="B472" t="s">
        <v>442</v>
      </c>
      <c r="D472" s="15" t="s">
        <v>1488</v>
      </c>
    </row>
    <row r="473" spans="1:4" x14ac:dyDescent="0.25">
      <c r="A473" t="str">
        <f>"100444"</f>
        <v>100444</v>
      </c>
      <c r="B473" t="s">
        <v>443</v>
      </c>
      <c r="D473" s="15" t="s">
        <v>1714</v>
      </c>
    </row>
    <row r="474" spans="1:4" x14ac:dyDescent="0.25">
      <c r="A474" t="str">
        <f>"100445"</f>
        <v>100445</v>
      </c>
      <c r="B474" t="s">
        <v>444</v>
      </c>
      <c r="D474" s="15" t="s">
        <v>2038</v>
      </c>
    </row>
    <row r="475" spans="1:4" x14ac:dyDescent="0.25">
      <c r="A475" t="str">
        <f>"100446"</f>
        <v>100446</v>
      </c>
      <c r="B475" t="s">
        <v>445</v>
      </c>
      <c r="D475" s="15" t="s">
        <v>970</v>
      </c>
    </row>
    <row r="476" spans="1:4" x14ac:dyDescent="0.25">
      <c r="A476" t="str">
        <f>"100447"</f>
        <v>100447</v>
      </c>
      <c r="B476" t="s">
        <v>446</v>
      </c>
      <c r="D476" s="15" t="s">
        <v>766</v>
      </c>
    </row>
    <row r="477" spans="1:4" x14ac:dyDescent="0.25">
      <c r="A477" t="str">
        <f>"100448"</f>
        <v>100448</v>
      </c>
      <c r="B477" t="s">
        <v>447</v>
      </c>
      <c r="D477" s="15" t="s">
        <v>85</v>
      </c>
    </row>
    <row r="478" spans="1:4" x14ac:dyDescent="0.25">
      <c r="D478" s="15" t="s">
        <v>361</v>
      </c>
    </row>
    <row r="479" spans="1:4" x14ac:dyDescent="0.25">
      <c r="A479" t="str">
        <f>"100449"</f>
        <v>100449</v>
      </c>
      <c r="B479" t="s">
        <v>448</v>
      </c>
      <c r="D479" s="15" t="s">
        <v>1072</v>
      </c>
    </row>
    <row r="480" spans="1:4" x14ac:dyDescent="0.25">
      <c r="A480" t="str">
        <f>"100450"</f>
        <v>100450</v>
      </c>
      <c r="B480" t="s">
        <v>449</v>
      </c>
      <c r="D480" s="15" t="s">
        <v>2732</v>
      </c>
    </row>
    <row r="481" spans="1:4" x14ac:dyDescent="0.25">
      <c r="A481" t="str">
        <f>"100451"</f>
        <v>100451</v>
      </c>
      <c r="B481" t="s">
        <v>450</v>
      </c>
      <c r="D481" s="15" t="s">
        <v>1647</v>
      </c>
    </row>
    <row r="482" spans="1:4" x14ac:dyDescent="0.25">
      <c r="A482" t="str">
        <f>"100452"</f>
        <v>100452</v>
      </c>
      <c r="B482" t="s">
        <v>451</v>
      </c>
      <c r="D482" s="15" t="s">
        <v>1782</v>
      </c>
    </row>
    <row r="483" spans="1:4" x14ac:dyDescent="0.25">
      <c r="A483" t="str">
        <f>"100453"</f>
        <v>100453</v>
      </c>
      <c r="B483" t="s">
        <v>452</v>
      </c>
      <c r="D483" s="15" t="s">
        <v>1330</v>
      </c>
    </row>
    <row r="484" spans="1:4" x14ac:dyDescent="0.25">
      <c r="A484" t="str">
        <f>"100454"</f>
        <v>100454</v>
      </c>
      <c r="B484" t="s">
        <v>453</v>
      </c>
      <c r="D484" s="15" t="s">
        <v>2647</v>
      </c>
    </row>
    <row r="485" spans="1:4" x14ac:dyDescent="0.25">
      <c r="A485" t="str">
        <f>"100455"</f>
        <v>100455</v>
      </c>
      <c r="B485" t="s">
        <v>454</v>
      </c>
      <c r="D485" s="15" t="s">
        <v>987</v>
      </c>
    </row>
    <row r="486" spans="1:4" x14ac:dyDescent="0.25">
      <c r="A486" t="str">
        <f>"100456"</f>
        <v>100456</v>
      </c>
      <c r="B486" t="s">
        <v>455</v>
      </c>
      <c r="D486" s="15" t="s">
        <v>1023</v>
      </c>
    </row>
    <row r="487" spans="1:4" x14ac:dyDescent="0.25">
      <c r="A487" t="str">
        <f>"100457"</f>
        <v>100457</v>
      </c>
      <c r="B487" t="s">
        <v>456</v>
      </c>
      <c r="D487" s="15" t="s">
        <v>2307</v>
      </c>
    </row>
    <row r="488" spans="1:4" x14ac:dyDescent="0.25">
      <c r="A488" t="str">
        <f>"100458"</f>
        <v>100458</v>
      </c>
      <c r="B488" t="s">
        <v>457</v>
      </c>
      <c r="D488" s="15" t="s">
        <v>723</v>
      </c>
    </row>
    <row r="489" spans="1:4" x14ac:dyDescent="0.25">
      <c r="A489" t="str">
        <f>"100459"</f>
        <v>100459</v>
      </c>
      <c r="B489" t="s">
        <v>458</v>
      </c>
      <c r="D489" s="15" t="s">
        <v>2385</v>
      </c>
    </row>
    <row r="490" spans="1:4" x14ac:dyDescent="0.25">
      <c r="A490" t="str">
        <f>"100460"</f>
        <v>100460</v>
      </c>
      <c r="B490" t="s">
        <v>459</v>
      </c>
      <c r="D490" s="15" t="s">
        <v>2386</v>
      </c>
    </row>
    <row r="491" spans="1:4" x14ac:dyDescent="0.25">
      <c r="A491" t="str">
        <f>"100461"</f>
        <v>100461</v>
      </c>
      <c r="B491" t="s">
        <v>460</v>
      </c>
      <c r="D491" s="15" t="s">
        <v>2708</v>
      </c>
    </row>
    <row r="492" spans="1:4" x14ac:dyDescent="0.25">
      <c r="A492" t="str">
        <f>"100462"</f>
        <v>100462</v>
      </c>
      <c r="B492" t="s">
        <v>461</v>
      </c>
      <c r="D492" s="15" t="s">
        <v>1111</v>
      </c>
    </row>
    <row r="493" spans="1:4" x14ac:dyDescent="0.25">
      <c r="A493" t="str">
        <f>"100463"</f>
        <v>100463</v>
      </c>
      <c r="B493" t="s">
        <v>462</v>
      </c>
      <c r="D493" s="15" t="s">
        <v>2059</v>
      </c>
    </row>
    <row r="494" spans="1:4" x14ac:dyDescent="0.25">
      <c r="A494" t="str">
        <f>"100464"</f>
        <v>100464</v>
      </c>
      <c r="B494" t="s">
        <v>463</v>
      </c>
      <c r="D494" s="15" t="s">
        <v>591</v>
      </c>
    </row>
    <row r="495" spans="1:4" x14ac:dyDescent="0.25">
      <c r="A495" t="str">
        <f>"100465"</f>
        <v>100465</v>
      </c>
      <c r="B495" t="s">
        <v>464</v>
      </c>
      <c r="D495" s="15" t="s">
        <v>2008</v>
      </c>
    </row>
    <row r="496" spans="1:4" x14ac:dyDescent="0.25">
      <c r="A496" t="str">
        <f>"100466"</f>
        <v>100466</v>
      </c>
      <c r="B496" t="s">
        <v>465</v>
      </c>
      <c r="D496" s="15" t="s">
        <v>769</v>
      </c>
    </row>
    <row r="497" spans="1:4" x14ac:dyDescent="0.25">
      <c r="A497" t="str">
        <f>"100467"</f>
        <v>100467</v>
      </c>
      <c r="B497" t="s">
        <v>466</v>
      </c>
      <c r="D497" s="15" t="s">
        <v>1225</v>
      </c>
    </row>
    <row r="498" spans="1:4" x14ac:dyDescent="0.25">
      <c r="A498" t="str">
        <f>"100468"</f>
        <v>100468</v>
      </c>
      <c r="B498" t="s">
        <v>467</v>
      </c>
      <c r="D498" s="15" t="s">
        <v>2517</v>
      </c>
    </row>
    <row r="499" spans="1:4" x14ac:dyDescent="0.25">
      <c r="A499" t="str">
        <f>"100469"</f>
        <v>100469</v>
      </c>
      <c r="B499" t="s">
        <v>468</v>
      </c>
      <c r="D499" s="15" t="s">
        <v>2267</v>
      </c>
    </row>
    <row r="500" spans="1:4" x14ac:dyDescent="0.25">
      <c r="A500" t="str">
        <f>"100470"</f>
        <v>100470</v>
      </c>
      <c r="B500" t="s">
        <v>469</v>
      </c>
      <c r="D500" s="15" t="s">
        <v>2774</v>
      </c>
    </row>
    <row r="501" spans="1:4" x14ac:dyDescent="0.25">
      <c r="A501" t="str">
        <f>"100471"</f>
        <v>100471</v>
      </c>
      <c r="B501" t="s">
        <v>470</v>
      </c>
      <c r="D501" s="15" t="s">
        <v>22</v>
      </c>
    </row>
    <row r="502" spans="1:4" x14ac:dyDescent="0.25">
      <c r="A502" t="str">
        <f>"100472"</f>
        <v>100472</v>
      </c>
      <c r="B502" t="s">
        <v>471</v>
      </c>
      <c r="D502" s="15" t="s">
        <v>2482</v>
      </c>
    </row>
    <row r="503" spans="1:4" x14ac:dyDescent="0.25">
      <c r="A503" t="str">
        <f>"100473"</f>
        <v>100473</v>
      </c>
      <c r="B503" t="s">
        <v>472</v>
      </c>
      <c r="D503" s="15" t="s">
        <v>2048</v>
      </c>
    </row>
    <row r="504" spans="1:4" x14ac:dyDescent="0.25">
      <c r="A504" t="str">
        <f>"100474"</f>
        <v>100474</v>
      </c>
      <c r="B504" t="s">
        <v>473</v>
      </c>
      <c r="D504" s="15" t="s">
        <v>2391</v>
      </c>
    </row>
    <row r="505" spans="1:4" x14ac:dyDescent="0.25">
      <c r="A505" t="str">
        <f>"100475"</f>
        <v>100475</v>
      </c>
      <c r="B505" t="s">
        <v>474</v>
      </c>
      <c r="D505" s="15" t="s">
        <v>1514</v>
      </c>
    </row>
    <row r="506" spans="1:4" x14ac:dyDescent="0.25">
      <c r="A506" t="str">
        <f>"100476"</f>
        <v>100476</v>
      </c>
      <c r="B506" t="s">
        <v>475</v>
      </c>
      <c r="D506" s="15" t="s">
        <v>2537</v>
      </c>
    </row>
    <row r="507" spans="1:4" x14ac:dyDescent="0.25">
      <c r="A507" t="str">
        <f>"100477"</f>
        <v>100477</v>
      </c>
      <c r="B507" t="s">
        <v>476</v>
      </c>
      <c r="D507" s="15" t="s">
        <v>2296</v>
      </c>
    </row>
    <row r="508" spans="1:4" x14ac:dyDescent="0.25">
      <c r="A508" t="str">
        <f>"100478"</f>
        <v>100478</v>
      </c>
      <c r="B508" t="s">
        <v>477</v>
      </c>
      <c r="D508" s="15" t="s">
        <v>2231</v>
      </c>
    </row>
    <row r="509" spans="1:4" x14ac:dyDescent="0.25">
      <c r="A509" t="str">
        <f>"100479"</f>
        <v>100479</v>
      </c>
      <c r="B509" t="s">
        <v>478</v>
      </c>
      <c r="D509" s="15" t="s">
        <v>2302</v>
      </c>
    </row>
    <row r="510" spans="1:4" x14ac:dyDescent="0.25">
      <c r="A510" t="str">
        <f>"100480"</f>
        <v>100480</v>
      </c>
      <c r="B510" t="s">
        <v>479</v>
      </c>
      <c r="D510" s="15" t="s">
        <v>2275</v>
      </c>
    </row>
    <row r="511" spans="1:4" x14ac:dyDescent="0.25">
      <c r="A511" t="str">
        <f>"100481"</f>
        <v>100481</v>
      </c>
      <c r="B511" t="s">
        <v>480</v>
      </c>
      <c r="D511" s="15" t="s">
        <v>2073</v>
      </c>
    </row>
    <row r="512" spans="1:4" x14ac:dyDescent="0.25">
      <c r="A512" t="str">
        <f>"100482"</f>
        <v>100482</v>
      </c>
      <c r="B512" t="s">
        <v>481</v>
      </c>
      <c r="D512" s="15" t="s">
        <v>1870</v>
      </c>
    </row>
    <row r="513" spans="1:4" x14ac:dyDescent="0.25">
      <c r="A513" t="str">
        <f>"100483"</f>
        <v>100483</v>
      </c>
      <c r="B513" t="s">
        <v>482</v>
      </c>
      <c r="D513" s="15" t="s">
        <v>445</v>
      </c>
    </row>
    <row r="514" spans="1:4" x14ac:dyDescent="0.25">
      <c r="A514" t="str">
        <f>"100484"</f>
        <v>100484</v>
      </c>
      <c r="B514" t="s">
        <v>483</v>
      </c>
      <c r="D514" s="15" t="s">
        <v>1991</v>
      </c>
    </row>
    <row r="515" spans="1:4" x14ac:dyDescent="0.25">
      <c r="A515" t="str">
        <f>"100485"</f>
        <v>100485</v>
      </c>
      <c r="B515" t="s">
        <v>484</v>
      </c>
      <c r="D515" s="15" t="s">
        <v>246</v>
      </c>
    </row>
    <row r="516" spans="1:4" x14ac:dyDescent="0.25">
      <c r="A516" t="str">
        <f>"100486"</f>
        <v>100486</v>
      </c>
      <c r="B516" t="s">
        <v>485</v>
      </c>
      <c r="D516" s="15" t="s">
        <v>226</v>
      </c>
    </row>
    <row r="517" spans="1:4" x14ac:dyDescent="0.25">
      <c r="A517" t="str">
        <f>"100487"</f>
        <v>100487</v>
      </c>
      <c r="B517" t="s">
        <v>486</v>
      </c>
      <c r="D517" s="15" t="s">
        <v>155</v>
      </c>
    </row>
    <row r="518" spans="1:4" x14ac:dyDescent="0.25">
      <c r="A518" t="str">
        <f>"100488"</f>
        <v>100488</v>
      </c>
      <c r="B518" t="s">
        <v>487</v>
      </c>
      <c r="D518" s="15" t="s">
        <v>2474</v>
      </c>
    </row>
    <row r="519" spans="1:4" x14ac:dyDescent="0.25">
      <c r="A519" t="str">
        <f>"100489"</f>
        <v>100489</v>
      </c>
      <c r="B519" t="s">
        <v>488</v>
      </c>
      <c r="D519" s="15" t="s">
        <v>362</v>
      </c>
    </row>
    <row r="520" spans="1:4" x14ac:dyDescent="0.25">
      <c r="A520" t="str">
        <f>"100490"</f>
        <v>100490</v>
      </c>
      <c r="B520" t="s">
        <v>489</v>
      </c>
      <c r="D520" s="15" t="s">
        <v>2451</v>
      </c>
    </row>
    <row r="521" spans="1:4" x14ac:dyDescent="0.25">
      <c r="A521" t="str">
        <f>"100491"</f>
        <v>100491</v>
      </c>
      <c r="B521" t="s">
        <v>490</v>
      </c>
      <c r="D521" s="15" t="s">
        <v>746</v>
      </c>
    </row>
    <row r="522" spans="1:4" x14ac:dyDescent="0.25">
      <c r="A522" t="str">
        <f>"100492"</f>
        <v>100492</v>
      </c>
      <c r="B522" t="s">
        <v>491</v>
      </c>
      <c r="D522" s="15" t="s">
        <v>817</v>
      </c>
    </row>
    <row r="523" spans="1:4" x14ac:dyDescent="0.25">
      <c r="A523" t="str">
        <f>"100493"</f>
        <v>100493</v>
      </c>
      <c r="B523" t="s">
        <v>492</v>
      </c>
      <c r="D523" s="15" t="s">
        <v>1176</v>
      </c>
    </row>
    <row r="524" spans="1:4" x14ac:dyDescent="0.25">
      <c r="A524" t="str">
        <f>"100494"</f>
        <v>100494</v>
      </c>
      <c r="B524" t="s">
        <v>493</v>
      </c>
      <c r="D524" s="15" t="s">
        <v>1030</v>
      </c>
    </row>
    <row r="525" spans="1:4" x14ac:dyDescent="0.25">
      <c r="A525" t="str">
        <f>"100495"</f>
        <v>100495</v>
      </c>
      <c r="B525" t="s">
        <v>494</v>
      </c>
      <c r="D525" s="15" t="s">
        <v>1971</v>
      </c>
    </row>
    <row r="526" spans="1:4" x14ac:dyDescent="0.25">
      <c r="A526" t="str">
        <f>"100496"</f>
        <v>100496</v>
      </c>
      <c r="B526" t="s">
        <v>495</v>
      </c>
      <c r="D526" s="15" t="s">
        <v>711</v>
      </c>
    </row>
    <row r="527" spans="1:4" x14ac:dyDescent="0.25">
      <c r="A527" t="str">
        <f>"100497"</f>
        <v>100497</v>
      </c>
      <c r="B527" t="s">
        <v>496</v>
      </c>
      <c r="D527" s="15" t="s">
        <v>26</v>
      </c>
    </row>
    <row r="528" spans="1:4" x14ac:dyDescent="0.25">
      <c r="A528" t="str">
        <f>"100498"</f>
        <v>100498</v>
      </c>
      <c r="B528" t="s">
        <v>497</v>
      </c>
      <c r="D528" s="15" t="s">
        <v>1432</v>
      </c>
    </row>
    <row r="529" spans="1:4" x14ac:dyDescent="0.25">
      <c r="A529" t="str">
        <f>"100499"</f>
        <v>100499</v>
      </c>
      <c r="B529" t="s">
        <v>498</v>
      </c>
      <c r="D529" s="15" t="s">
        <v>147</v>
      </c>
    </row>
    <row r="530" spans="1:4" x14ac:dyDescent="0.25">
      <c r="A530" t="str">
        <f>"100500"</f>
        <v>100500</v>
      </c>
      <c r="B530" t="s">
        <v>499</v>
      </c>
      <c r="D530" s="15" t="s">
        <v>2239</v>
      </c>
    </row>
    <row r="531" spans="1:4" x14ac:dyDescent="0.25">
      <c r="A531" t="str">
        <f>"100501"</f>
        <v>100501</v>
      </c>
      <c r="B531" t="s">
        <v>500</v>
      </c>
      <c r="D531" s="15" t="s">
        <v>1099</v>
      </c>
    </row>
    <row r="532" spans="1:4" x14ac:dyDescent="0.25">
      <c r="A532" t="str">
        <f>"100502"</f>
        <v>100502</v>
      </c>
      <c r="B532" t="s">
        <v>501</v>
      </c>
      <c r="D532" s="15" t="s">
        <v>314</v>
      </c>
    </row>
    <row r="533" spans="1:4" x14ac:dyDescent="0.25">
      <c r="A533" t="str">
        <f>"100503"</f>
        <v>100503</v>
      </c>
      <c r="B533" t="s">
        <v>502</v>
      </c>
      <c r="D533" s="15" t="s">
        <v>1885</v>
      </c>
    </row>
    <row r="534" spans="1:4" x14ac:dyDescent="0.25">
      <c r="A534" t="str">
        <f>"100504"</f>
        <v>100504</v>
      </c>
      <c r="B534" t="s">
        <v>503</v>
      </c>
      <c r="D534" s="15" t="s">
        <v>181</v>
      </c>
    </row>
    <row r="535" spans="1:4" x14ac:dyDescent="0.25">
      <c r="A535" t="str">
        <f>"100505"</f>
        <v>100505</v>
      </c>
      <c r="B535" t="s">
        <v>504</v>
      </c>
      <c r="D535" s="15" t="s">
        <v>1075</v>
      </c>
    </row>
    <row r="536" spans="1:4" x14ac:dyDescent="0.25">
      <c r="A536" t="str">
        <f>"100506"</f>
        <v>100506</v>
      </c>
      <c r="B536" t="s">
        <v>505</v>
      </c>
      <c r="D536" s="15" t="s">
        <v>186</v>
      </c>
    </row>
    <row r="537" spans="1:4" x14ac:dyDescent="0.25">
      <c r="A537" t="str">
        <f>"100507"</f>
        <v>100507</v>
      </c>
      <c r="B537" t="s">
        <v>506</v>
      </c>
      <c r="D537" s="15" t="s">
        <v>2563</v>
      </c>
    </row>
    <row r="538" spans="1:4" x14ac:dyDescent="0.25">
      <c r="A538" t="str">
        <f>"100508"</f>
        <v>100508</v>
      </c>
      <c r="B538" t="s">
        <v>507</v>
      </c>
      <c r="D538" s="15" t="s">
        <v>1769</v>
      </c>
    </row>
    <row r="539" spans="1:4" x14ac:dyDescent="0.25">
      <c r="A539" t="str">
        <f>"100509"</f>
        <v>100509</v>
      </c>
      <c r="B539" t="s">
        <v>508</v>
      </c>
      <c r="D539" s="15" t="s">
        <v>623</v>
      </c>
    </row>
    <row r="540" spans="1:4" x14ac:dyDescent="0.25">
      <c r="A540" t="str">
        <f>"100510"</f>
        <v>100510</v>
      </c>
      <c r="B540" t="s">
        <v>509</v>
      </c>
      <c r="D540" s="15" t="s">
        <v>1641</v>
      </c>
    </row>
    <row r="541" spans="1:4" x14ac:dyDescent="0.25">
      <c r="A541" t="str">
        <f>"100511"</f>
        <v>100511</v>
      </c>
      <c r="B541" t="s">
        <v>510</v>
      </c>
      <c r="D541" s="15" t="s">
        <v>1231</v>
      </c>
    </row>
    <row r="542" spans="1:4" x14ac:dyDescent="0.25">
      <c r="A542" t="str">
        <f>"100512"</f>
        <v>100512</v>
      </c>
      <c r="B542" t="s">
        <v>511</v>
      </c>
      <c r="D542" s="15" t="s">
        <v>1628</v>
      </c>
    </row>
    <row r="543" spans="1:4" x14ac:dyDescent="0.25">
      <c r="A543" t="str">
        <f>"100513"</f>
        <v>100513</v>
      </c>
      <c r="B543" t="s">
        <v>512</v>
      </c>
      <c r="D543" s="15" t="s">
        <v>2642</v>
      </c>
    </row>
    <row r="544" spans="1:4" x14ac:dyDescent="0.25">
      <c r="A544" t="str">
        <f>"100514"</f>
        <v>100514</v>
      </c>
      <c r="B544" t="s">
        <v>513</v>
      </c>
      <c r="D544" s="15" t="s">
        <v>2420</v>
      </c>
    </row>
    <row r="545" spans="1:4" x14ac:dyDescent="0.25">
      <c r="A545" t="str">
        <f>"100515"</f>
        <v>100515</v>
      </c>
      <c r="B545" t="s">
        <v>514</v>
      </c>
      <c r="D545" s="15" t="s">
        <v>2436</v>
      </c>
    </row>
    <row r="546" spans="1:4" x14ac:dyDescent="0.25">
      <c r="A546" t="str">
        <f>"100516"</f>
        <v>100516</v>
      </c>
      <c r="B546" t="s">
        <v>515</v>
      </c>
      <c r="D546" s="15" t="s">
        <v>2540</v>
      </c>
    </row>
    <row r="547" spans="1:4" x14ac:dyDescent="0.25">
      <c r="A547" t="str">
        <f>"100517"</f>
        <v>100517</v>
      </c>
      <c r="B547" t="s">
        <v>516</v>
      </c>
      <c r="D547" s="15" t="s">
        <v>1154</v>
      </c>
    </row>
    <row r="548" spans="1:4" x14ac:dyDescent="0.25">
      <c r="A548" t="str">
        <f>"100518"</f>
        <v>100518</v>
      </c>
      <c r="B548" t="s">
        <v>517</v>
      </c>
      <c r="D548" s="15" t="s">
        <v>224</v>
      </c>
    </row>
    <row r="549" spans="1:4" x14ac:dyDescent="0.25">
      <c r="A549" t="str">
        <f>"100519"</f>
        <v>100519</v>
      </c>
      <c r="B549" t="s">
        <v>518</v>
      </c>
      <c r="D549" s="15" t="s">
        <v>2701</v>
      </c>
    </row>
    <row r="550" spans="1:4" x14ac:dyDescent="0.25">
      <c r="A550" t="str">
        <f>"100520"</f>
        <v>100520</v>
      </c>
      <c r="B550" t="s">
        <v>519</v>
      </c>
      <c r="D550" s="15" t="s">
        <v>2528</v>
      </c>
    </row>
    <row r="551" spans="1:4" x14ac:dyDescent="0.25">
      <c r="A551" t="str">
        <f>"100521"</f>
        <v>100521</v>
      </c>
      <c r="B551" t="s">
        <v>520</v>
      </c>
      <c r="D551" s="15" t="s">
        <v>225</v>
      </c>
    </row>
    <row r="552" spans="1:4" x14ac:dyDescent="0.25">
      <c r="A552" t="str">
        <f>"100522"</f>
        <v>100522</v>
      </c>
      <c r="B552" t="s">
        <v>521</v>
      </c>
      <c r="D552" s="15" t="s">
        <v>2152</v>
      </c>
    </row>
    <row r="553" spans="1:4" x14ac:dyDescent="0.25">
      <c r="A553" t="str">
        <f>"100523"</f>
        <v>100523</v>
      </c>
      <c r="B553" t="s">
        <v>522</v>
      </c>
      <c r="D553" s="15" t="s">
        <v>188</v>
      </c>
    </row>
    <row r="554" spans="1:4" x14ac:dyDescent="0.25">
      <c r="A554" t="str">
        <f>"100524"</f>
        <v>100524</v>
      </c>
      <c r="B554" t="s">
        <v>523</v>
      </c>
      <c r="D554" s="15" t="s">
        <v>363</v>
      </c>
    </row>
    <row r="555" spans="1:4" x14ac:dyDescent="0.25">
      <c r="A555" t="str">
        <f>"100525"</f>
        <v>100525</v>
      </c>
      <c r="B555" t="s">
        <v>524</v>
      </c>
      <c r="D555" s="15" t="s">
        <v>2150</v>
      </c>
    </row>
    <row r="556" spans="1:4" x14ac:dyDescent="0.25">
      <c r="A556" t="str">
        <f>"100526"</f>
        <v>100526</v>
      </c>
      <c r="B556" t="s">
        <v>525</v>
      </c>
      <c r="D556" s="15" t="s">
        <v>1502</v>
      </c>
    </row>
    <row r="557" spans="1:4" x14ac:dyDescent="0.25">
      <c r="A557" t="str">
        <f>"100527"</f>
        <v>100527</v>
      </c>
      <c r="B557" t="s">
        <v>526</v>
      </c>
      <c r="D557" s="15" t="s">
        <v>2347</v>
      </c>
    </row>
    <row r="558" spans="1:4" x14ac:dyDescent="0.25">
      <c r="A558" t="str">
        <f>"100528"</f>
        <v>100528</v>
      </c>
      <c r="B558" t="s">
        <v>527</v>
      </c>
      <c r="D558" s="15" t="s">
        <v>790</v>
      </c>
    </row>
    <row r="559" spans="1:4" x14ac:dyDescent="0.25">
      <c r="A559" t="str">
        <f>"100529"</f>
        <v>100529</v>
      </c>
      <c r="B559" t="s">
        <v>528</v>
      </c>
      <c r="D559" s="15" t="s">
        <v>230</v>
      </c>
    </row>
    <row r="560" spans="1:4" x14ac:dyDescent="0.25">
      <c r="A560" t="str">
        <f>"100530"</f>
        <v>100530</v>
      </c>
      <c r="B560" t="s">
        <v>529</v>
      </c>
      <c r="D560" s="15" t="s">
        <v>245</v>
      </c>
    </row>
    <row r="561" spans="1:4" x14ac:dyDescent="0.25">
      <c r="A561" t="str">
        <f>"100531"</f>
        <v>100531</v>
      </c>
      <c r="B561" t="s">
        <v>530</v>
      </c>
      <c r="D561" s="15" t="s">
        <v>1311</v>
      </c>
    </row>
    <row r="562" spans="1:4" x14ac:dyDescent="0.25">
      <c r="A562" t="str">
        <f>"100532"</f>
        <v>100532</v>
      </c>
      <c r="B562" t="s">
        <v>531</v>
      </c>
      <c r="D562" s="15" t="s">
        <v>1063</v>
      </c>
    </row>
    <row r="563" spans="1:4" x14ac:dyDescent="0.25">
      <c r="A563" t="str">
        <f>"100533"</f>
        <v>100533</v>
      </c>
      <c r="B563" t="s">
        <v>532</v>
      </c>
      <c r="D563" s="15" t="s">
        <v>663</v>
      </c>
    </row>
    <row r="564" spans="1:4" x14ac:dyDescent="0.25">
      <c r="A564" t="str">
        <f>"100534"</f>
        <v>100534</v>
      </c>
      <c r="B564" t="s">
        <v>533</v>
      </c>
      <c r="D564" s="15" t="s">
        <v>1796</v>
      </c>
    </row>
    <row r="565" spans="1:4" x14ac:dyDescent="0.25">
      <c r="A565" t="str">
        <f>"100535"</f>
        <v>100535</v>
      </c>
      <c r="B565" t="s">
        <v>534</v>
      </c>
      <c r="D565" s="15" t="s">
        <v>1058</v>
      </c>
    </row>
    <row r="566" spans="1:4" x14ac:dyDescent="0.25">
      <c r="A566" t="str">
        <f>"100536"</f>
        <v>100536</v>
      </c>
      <c r="B566" t="s">
        <v>535</v>
      </c>
      <c r="D566" s="15" t="s">
        <v>1049</v>
      </c>
    </row>
    <row r="567" spans="1:4" x14ac:dyDescent="0.25">
      <c r="A567" t="str">
        <f>"100537"</f>
        <v>100537</v>
      </c>
      <c r="B567" t="s">
        <v>536</v>
      </c>
      <c r="D567" s="15" t="s">
        <v>804</v>
      </c>
    </row>
    <row r="568" spans="1:4" x14ac:dyDescent="0.25">
      <c r="A568" t="str">
        <f>"100538"</f>
        <v>100538</v>
      </c>
      <c r="B568" t="s">
        <v>537</v>
      </c>
      <c r="D568" s="15" t="s">
        <v>1992</v>
      </c>
    </row>
    <row r="569" spans="1:4" x14ac:dyDescent="0.25">
      <c r="A569" t="str">
        <f>"100539"</f>
        <v>100539</v>
      </c>
      <c r="B569" t="s">
        <v>538</v>
      </c>
      <c r="D569" s="15" t="s">
        <v>1255</v>
      </c>
    </row>
    <row r="570" spans="1:4" x14ac:dyDescent="0.25">
      <c r="A570" t="str">
        <f>"100540"</f>
        <v>100540</v>
      </c>
      <c r="B570" t="s">
        <v>539</v>
      </c>
      <c r="D570" s="15" t="s">
        <v>626</v>
      </c>
    </row>
    <row r="571" spans="1:4" x14ac:dyDescent="0.25">
      <c r="A571" t="str">
        <f>"100541"</f>
        <v>100541</v>
      </c>
      <c r="B571" t="s">
        <v>540</v>
      </c>
      <c r="D571" s="15" t="s">
        <v>1446</v>
      </c>
    </row>
    <row r="572" spans="1:4" x14ac:dyDescent="0.25">
      <c r="A572" t="str">
        <f>"100542"</f>
        <v>100542</v>
      </c>
      <c r="B572" t="s">
        <v>541</v>
      </c>
      <c r="D572" s="15" t="s">
        <v>1314</v>
      </c>
    </row>
    <row r="573" spans="1:4" x14ac:dyDescent="0.25">
      <c r="A573" t="str">
        <f>"100543"</f>
        <v>100543</v>
      </c>
      <c r="B573" t="s">
        <v>542</v>
      </c>
      <c r="D573" s="15" t="s">
        <v>228</v>
      </c>
    </row>
    <row r="574" spans="1:4" x14ac:dyDescent="0.25">
      <c r="A574" t="str">
        <f>"100544"</f>
        <v>100544</v>
      </c>
      <c r="B574" t="s">
        <v>543</v>
      </c>
      <c r="D574" s="15" t="s">
        <v>1850</v>
      </c>
    </row>
    <row r="575" spans="1:4" x14ac:dyDescent="0.25">
      <c r="A575" t="str">
        <f>"100545"</f>
        <v>100545</v>
      </c>
      <c r="B575" t="s">
        <v>544</v>
      </c>
      <c r="D575" s="15" t="s">
        <v>618</v>
      </c>
    </row>
    <row r="576" spans="1:4" x14ac:dyDescent="0.25">
      <c r="A576" t="str">
        <f>"100546"</f>
        <v>100546</v>
      </c>
      <c r="B576" t="s">
        <v>545</v>
      </c>
      <c r="D576" s="15" t="s">
        <v>364</v>
      </c>
    </row>
    <row r="577" spans="1:4" x14ac:dyDescent="0.25">
      <c r="A577" t="str">
        <f>"100547"</f>
        <v>100547</v>
      </c>
      <c r="B577" t="s">
        <v>546</v>
      </c>
      <c r="D577" s="15" t="s">
        <v>1008</v>
      </c>
    </row>
    <row r="578" spans="1:4" x14ac:dyDescent="0.25">
      <c r="A578" t="str">
        <f>"100548"</f>
        <v>100548</v>
      </c>
      <c r="B578" t="s">
        <v>547</v>
      </c>
      <c r="D578" s="15" t="s">
        <v>2622</v>
      </c>
    </row>
    <row r="579" spans="1:4" x14ac:dyDescent="0.25">
      <c r="A579" t="str">
        <f>"100549"</f>
        <v>100549</v>
      </c>
      <c r="B579" t="s">
        <v>548</v>
      </c>
      <c r="D579" s="15" t="s">
        <v>183</v>
      </c>
    </row>
    <row r="580" spans="1:4" x14ac:dyDescent="0.25">
      <c r="A580" t="str">
        <f>"100550"</f>
        <v>100550</v>
      </c>
      <c r="B580" t="s">
        <v>549</v>
      </c>
      <c r="D580" s="15" t="s">
        <v>2432</v>
      </c>
    </row>
    <row r="581" spans="1:4" x14ac:dyDescent="0.25">
      <c r="A581" t="str">
        <f>"100551"</f>
        <v>100551</v>
      </c>
      <c r="B581" t="s">
        <v>550</v>
      </c>
      <c r="D581" s="15" t="s">
        <v>2740</v>
      </c>
    </row>
    <row r="582" spans="1:4" x14ac:dyDescent="0.25">
      <c r="A582" t="str">
        <f>"100552"</f>
        <v>100552</v>
      </c>
      <c r="B582" t="s">
        <v>551</v>
      </c>
      <c r="D582" s="15" t="s">
        <v>366</v>
      </c>
    </row>
    <row r="583" spans="1:4" x14ac:dyDescent="0.25">
      <c r="A583" t="str">
        <f>"100553"</f>
        <v>100553</v>
      </c>
      <c r="B583" t="s">
        <v>552</v>
      </c>
      <c r="D583" s="15" t="s">
        <v>2450</v>
      </c>
    </row>
    <row r="584" spans="1:4" x14ac:dyDescent="0.25">
      <c r="A584" t="str">
        <f>"100554"</f>
        <v>100554</v>
      </c>
      <c r="B584" t="s">
        <v>553</v>
      </c>
      <c r="D584" s="15" t="s">
        <v>2014</v>
      </c>
    </row>
    <row r="585" spans="1:4" x14ac:dyDescent="0.25">
      <c r="A585" t="str">
        <f>"100555"</f>
        <v>100555</v>
      </c>
      <c r="B585" t="s">
        <v>554</v>
      </c>
      <c r="D585" s="15" t="s">
        <v>1843</v>
      </c>
    </row>
    <row r="586" spans="1:4" x14ac:dyDescent="0.25">
      <c r="A586" t="str">
        <f>"100556"</f>
        <v>100556</v>
      </c>
      <c r="B586" t="s">
        <v>555</v>
      </c>
      <c r="D586" s="15" t="s">
        <v>699</v>
      </c>
    </row>
    <row r="587" spans="1:4" x14ac:dyDescent="0.25">
      <c r="A587" t="str">
        <f>"100557"</f>
        <v>100557</v>
      </c>
      <c r="B587" t="s">
        <v>556</v>
      </c>
      <c r="D587" s="15" t="s">
        <v>239</v>
      </c>
    </row>
    <row r="588" spans="1:4" x14ac:dyDescent="0.25">
      <c r="A588" t="str">
        <f>"100558"</f>
        <v>100558</v>
      </c>
      <c r="B588" t="s">
        <v>557</v>
      </c>
      <c r="D588" s="15" t="s">
        <v>2151</v>
      </c>
    </row>
    <row r="589" spans="1:4" x14ac:dyDescent="0.25">
      <c r="A589" t="str">
        <f>"100559"</f>
        <v>100559</v>
      </c>
      <c r="B589" t="s">
        <v>558</v>
      </c>
      <c r="D589" s="15" t="s">
        <v>761</v>
      </c>
    </row>
    <row r="590" spans="1:4" x14ac:dyDescent="0.25">
      <c r="A590" t="str">
        <f>"100560"</f>
        <v>100560</v>
      </c>
      <c r="B590" t="s">
        <v>559</v>
      </c>
      <c r="D590" s="15" t="s">
        <v>755</v>
      </c>
    </row>
    <row r="591" spans="1:4" x14ac:dyDescent="0.25">
      <c r="A591" t="str">
        <f>"100561"</f>
        <v>100561</v>
      </c>
      <c r="B591" t="s">
        <v>560</v>
      </c>
      <c r="D591" s="15" t="s">
        <v>1213</v>
      </c>
    </row>
    <row r="592" spans="1:4" x14ac:dyDescent="0.25">
      <c r="A592" t="str">
        <f>"100562"</f>
        <v>100562</v>
      </c>
      <c r="B592" t="s">
        <v>561</v>
      </c>
      <c r="D592" s="15" t="s">
        <v>231</v>
      </c>
    </row>
    <row r="593" spans="1:4" x14ac:dyDescent="0.25">
      <c r="A593" t="str">
        <f>"100563"</f>
        <v>100563</v>
      </c>
      <c r="B593" t="s">
        <v>562</v>
      </c>
      <c r="D593" s="15" t="s">
        <v>1230</v>
      </c>
    </row>
    <row r="594" spans="1:4" x14ac:dyDescent="0.25">
      <c r="A594" t="str">
        <f>"100564"</f>
        <v>100564</v>
      </c>
      <c r="B594" t="s">
        <v>563</v>
      </c>
      <c r="D594" s="15" t="s">
        <v>1480</v>
      </c>
    </row>
    <row r="595" spans="1:4" x14ac:dyDescent="0.25">
      <c r="A595" t="str">
        <f>"100565"</f>
        <v>100565</v>
      </c>
      <c r="B595" t="s">
        <v>564</v>
      </c>
      <c r="D595" s="15" t="s">
        <v>802</v>
      </c>
    </row>
    <row r="596" spans="1:4" x14ac:dyDescent="0.25">
      <c r="A596" t="str">
        <f>"100566"</f>
        <v>100566</v>
      </c>
      <c r="B596" t="s">
        <v>565</v>
      </c>
      <c r="D596" s="15" t="s">
        <v>684</v>
      </c>
    </row>
    <row r="597" spans="1:4" x14ac:dyDescent="0.25">
      <c r="A597" t="str">
        <f>"100567"</f>
        <v>100567</v>
      </c>
      <c r="B597" t="s">
        <v>566</v>
      </c>
      <c r="D597" s="15" t="s">
        <v>2628</v>
      </c>
    </row>
    <row r="598" spans="1:4" x14ac:dyDescent="0.25">
      <c r="A598" t="str">
        <f>"100568"</f>
        <v>100568</v>
      </c>
      <c r="B598" t="s">
        <v>567</v>
      </c>
      <c r="D598" s="15" t="s">
        <v>1442</v>
      </c>
    </row>
    <row r="599" spans="1:4" x14ac:dyDescent="0.25">
      <c r="A599" t="str">
        <f>"100569"</f>
        <v>100569</v>
      </c>
      <c r="B599" t="s">
        <v>568</v>
      </c>
      <c r="D599" s="15" t="s">
        <v>182</v>
      </c>
    </row>
    <row r="600" spans="1:4" x14ac:dyDescent="0.25">
      <c r="A600" t="str">
        <f>"100570"</f>
        <v>100570</v>
      </c>
      <c r="B600" t="s">
        <v>569</v>
      </c>
      <c r="D600" s="15" t="s">
        <v>2602</v>
      </c>
    </row>
    <row r="601" spans="1:4" x14ac:dyDescent="0.25">
      <c r="A601" t="str">
        <f>"100571"</f>
        <v>100571</v>
      </c>
      <c r="B601" t="s">
        <v>570</v>
      </c>
      <c r="D601" s="15" t="s">
        <v>2000</v>
      </c>
    </row>
    <row r="602" spans="1:4" x14ac:dyDescent="0.25">
      <c r="A602" t="str">
        <f>"100572"</f>
        <v>100572</v>
      </c>
      <c r="B602" t="s">
        <v>571</v>
      </c>
      <c r="D602" s="15" t="s">
        <v>367</v>
      </c>
    </row>
    <row r="603" spans="1:4" x14ac:dyDescent="0.25">
      <c r="A603" t="str">
        <f>"100573"</f>
        <v>100573</v>
      </c>
      <c r="B603" t="s">
        <v>572</v>
      </c>
      <c r="D603" s="15" t="s">
        <v>227</v>
      </c>
    </row>
    <row r="604" spans="1:4" x14ac:dyDescent="0.25">
      <c r="A604" t="str">
        <f>"100574"</f>
        <v>100574</v>
      </c>
      <c r="B604" t="s">
        <v>573</v>
      </c>
      <c r="D604" s="15" t="s">
        <v>1573</v>
      </c>
    </row>
    <row r="605" spans="1:4" x14ac:dyDescent="0.25">
      <c r="A605" t="str">
        <f>"100575"</f>
        <v>100575</v>
      </c>
      <c r="B605" t="s">
        <v>574</v>
      </c>
      <c r="D605" s="15" t="s">
        <v>2286</v>
      </c>
    </row>
    <row r="606" spans="1:4" x14ac:dyDescent="0.25">
      <c r="A606" t="str">
        <f>"100576"</f>
        <v>100576</v>
      </c>
      <c r="B606" t="s">
        <v>575</v>
      </c>
      <c r="D606" s="15" t="s">
        <v>1650</v>
      </c>
    </row>
    <row r="607" spans="1:4" x14ac:dyDescent="0.25">
      <c r="A607" t="str">
        <f>"100577"</f>
        <v>100577</v>
      </c>
      <c r="B607" t="s">
        <v>576</v>
      </c>
      <c r="D607" s="15" t="s">
        <v>526</v>
      </c>
    </row>
    <row r="608" spans="1:4" x14ac:dyDescent="0.25">
      <c r="A608" t="str">
        <f>"100578"</f>
        <v>100578</v>
      </c>
      <c r="B608" t="s">
        <v>577</v>
      </c>
      <c r="D608" s="15" t="s">
        <v>240</v>
      </c>
    </row>
    <row r="609" spans="1:4" x14ac:dyDescent="0.25">
      <c r="A609" t="str">
        <f>"100579"</f>
        <v>100579</v>
      </c>
      <c r="B609" t="s">
        <v>578</v>
      </c>
      <c r="D609" s="15" t="s">
        <v>184</v>
      </c>
    </row>
    <row r="610" spans="1:4" x14ac:dyDescent="0.25">
      <c r="A610" t="str">
        <f>"100580"</f>
        <v>100580</v>
      </c>
      <c r="B610" t="s">
        <v>579</v>
      </c>
      <c r="D610" s="15" t="s">
        <v>232</v>
      </c>
    </row>
    <row r="611" spans="1:4" x14ac:dyDescent="0.25">
      <c r="A611" t="str">
        <f>"100581"</f>
        <v>100581</v>
      </c>
      <c r="B611" t="s">
        <v>580</v>
      </c>
      <c r="D611" s="15" t="s">
        <v>2617</v>
      </c>
    </row>
    <row r="612" spans="1:4" x14ac:dyDescent="0.25">
      <c r="A612" t="str">
        <f>"100582"</f>
        <v>100582</v>
      </c>
      <c r="B612" t="s">
        <v>581</v>
      </c>
      <c r="D612" s="15" t="s">
        <v>1876</v>
      </c>
    </row>
    <row r="613" spans="1:4" x14ac:dyDescent="0.25">
      <c r="A613" t="str">
        <f>"100583"</f>
        <v>100583</v>
      </c>
      <c r="B613" t="s">
        <v>582</v>
      </c>
      <c r="D613" s="15" t="s">
        <v>185</v>
      </c>
    </row>
    <row r="614" spans="1:4" x14ac:dyDescent="0.25">
      <c r="A614" t="str">
        <f>"100584"</f>
        <v>100584</v>
      </c>
      <c r="B614" t="s">
        <v>583</v>
      </c>
      <c r="D614" s="15" t="s">
        <v>1630</v>
      </c>
    </row>
    <row r="615" spans="1:4" x14ac:dyDescent="0.25">
      <c r="A615" t="str">
        <f>"100585"</f>
        <v>100585</v>
      </c>
      <c r="B615" t="s">
        <v>584</v>
      </c>
      <c r="D615" s="15" t="s">
        <v>1614</v>
      </c>
    </row>
    <row r="616" spans="1:4" x14ac:dyDescent="0.25">
      <c r="A616" t="str">
        <f>"100586"</f>
        <v>100586</v>
      </c>
      <c r="B616" t="s">
        <v>585</v>
      </c>
      <c r="D616" s="15" t="s">
        <v>241</v>
      </c>
    </row>
    <row r="617" spans="1:4" x14ac:dyDescent="0.25">
      <c r="A617" t="str">
        <f>"100587"</f>
        <v>100587</v>
      </c>
      <c r="B617" t="s">
        <v>586</v>
      </c>
      <c r="D617" s="15" t="s">
        <v>1070</v>
      </c>
    </row>
    <row r="618" spans="1:4" x14ac:dyDescent="0.25">
      <c r="A618" t="str">
        <f>"100588"</f>
        <v>100588</v>
      </c>
      <c r="B618" t="s">
        <v>587</v>
      </c>
      <c r="D618" s="15" t="s">
        <v>2667</v>
      </c>
    </row>
    <row r="619" spans="1:4" x14ac:dyDescent="0.25">
      <c r="A619" t="str">
        <f>"100589"</f>
        <v>100589</v>
      </c>
      <c r="B619" t="s">
        <v>588</v>
      </c>
      <c r="D619" s="15" t="s">
        <v>368</v>
      </c>
    </row>
    <row r="620" spans="1:4" x14ac:dyDescent="0.25">
      <c r="A620" t="str">
        <f>"100590"</f>
        <v>100590</v>
      </c>
      <c r="B620" t="s">
        <v>589</v>
      </c>
      <c r="D620" s="15" t="s">
        <v>1863</v>
      </c>
    </row>
    <row r="621" spans="1:4" x14ac:dyDescent="0.25">
      <c r="A621" t="str">
        <f>"100591"</f>
        <v>100591</v>
      </c>
      <c r="B621" t="s">
        <v>590</v>
      </c>
      <c r="D621" s="15" t="s">
        <v>235</v>
      </c>
    </row>
    <row r="622" spans="1:4" x14ac:dyDescent="0.25">
      <c r="A622" t="str">
        <f>"100592"</f>
        <v>100592</v>
      </c>
      <c r="B622" t="s">
        <v>591</v>
      </c>
      <c r="D622" s="15" t="s">
        <v>2103</v>
      </c>
    </row>
    <row r="623" spans="1:4" x14ac:dyDescent="0.25">
      <c r="A623" t="str">
        <f>"100593"</f>
        <v>100593</v>
      </c>
      <c r="B623" t="s">
        <v>592</v>
      </c>
      <c r="D623" s="15" t="s">
        <v>244</v>
      </c>
    </row>
    <row r="624" spans="1:4" x14ac:dyDescent="0.25">
      <c r="A624" t="str">
        <f>"100594"</f>
        <v>100594</v>
      </c>
      <c r="B624" t="s">
        <v>593</v>
      </c>
      <c r="D624" s="15" t="s">
        <v>702</v>
      </c>
    </row>
    <row r="625" spans="1:4" x14ac:dyDescent="0.25">
      <c r="A625" t="str">
        <f>"100595"</f>
        <v>100595</v>
      </c>
      <c r="B625" t="s">
        <v>594</v>
      </c>
      <c r="D625" s="15" t="s">
        <v>1662</v>
      </c>
    </row>
    <row r="626" spans="1:4" x14ac:dyDescent="0.25">
      <c r="A626" t="str">
        <f>"100596"</f>
        <v>100596</v>
      </c>
      <c r="B626" t="s">
        <v>595</v>
      </c>
      <c r="D626" s="15" t="s">
        <v>229</v>
      </c>
    </row>
    <row r="627" spans="1:4" x14ac:dyDescent="0.25">
      <c r="A627" t="str">
        <f>"100597"</f>
        <v>100597</v>
      </c>
      <c r="B627" t="s">
        <v>596</v>
      </c>
      <c r="D627" s="15" t="s">
        <v>908</v>
      </c>
    </row>
    <row r="628" spans="1:4" x14ac:dyDescent="0.25">
      <c r="A628" t="str">
        <f>"100598"</f>
        <v>100598</v>
      </c>
      <c r="B628" t="s">
        <v>597</v>
      </c>
      <c r="D628" s="15" t="s">
        <v>1929</v>
      </c>
    </row>
    <row r="629" spans="1:4" x14ac:dyDescent="0.25">
      <c r="A629" t="str">
        <f>"100599"</f>
        <v>100599</v>
      </c>
      <c r="B629" t="s">
        <v>598</v>
      </c>
      <c r="D629" s="15" t="s">
        <v>1223</v>
      </c>
    </row>
    <row r="630" spans="1:4" x14ac:dyDescent="0.25">
      <c r="A630" t="str">
        <f>"100600"</f>
        <v>100600</v>
      </c>
      <c r="B630" t="s">
        <v>599</v>
      </c>
      <c r="D630" s="15" t="s">
        <v>2797</v>
      </c>
    </row>
    <row r="631" spans="1:4" x14ac:dyDescent="0.25">
      <c r="A631" t="str">
        <f>"100601"</f>
        <v>100601</v>
      </c>
      <c r="B631" t="s">
        <v>600</v>
      </c>
      <c r="D631" s="15" t="s">
        <v>1939</v>
      </c>
    </row>
    <row r="632" spans="1:4" x14ac:dyDescent="0.25">
      <c r="A632" t="str">
        <f>"100602"</f>
        <v>100602</v>
      </c>
      <c r="B632" t="s">
        <v>601</v>
      </c>
      <c r="D632" s="15" t="s">
        <v>751</v>
      </c>
    </row>
    <row r="633" spans="1:4" x14ac:dyDescent="0.25">
      <c r="A633" t="str">
        <f>"100603"</f>
        <v>100603</v>
      </c>
      <c r="B633" t="s">
        <v>602</v>
      </c>
      <c r="D633" s="15" t="s">
        <v>2164</v>
      </c>
    </row>
    <row r="634" spans="1:4" x14ac:dyDescent="0.25">
      <c r="A634" t="str">
        <f>"100604"</f>
        <v>100604</v>
      </c>
      <c r="B634" t="s">
        <v>603</v>
      </c>
      <c r="D634" s="15" t="s">
        <v>816</v>
      </c>
    </row>
    <row r="635" spans="1:4" x14ac:dyDescent="0.25">
      <c r="A635" t="str">
        <f>"100605"</f>
        <v>100605</v>
      </c>
      <c r="B635" t="s">
        <v>604</v>
      </c>
      <c r="D635" s="15" t="s">
        <v>369</v>
      </c>
    </row>
    <row r="636" spans="1:4" x14ac:dyDescent="0.25">
      <c r="A636" t="str">
        <f>"100606"</f>
        <v>100606</v>
      </c>
      <c r="B636" t="s">
        <v>605</v>
      </c>
      <c r="D636" s="15" t="s">
        <v>370</v>
      </c>
    </row>
    <row r="637" spans="1:4" x14ac:dyDescent="0.25">
      <c r="A637" t="str">
        <f>"100607"</f>
        <v>100607</v>
      </c>
      <c r="B637" t="s">
        <v>606</v>
      </c>
      <c r="D637" s="15" t="s">
        <v>1020</v>
      </c>
    </row>
    <row r="638" spans="1:4" x14ac:dyDescent="0.25">
      <c r="A638" t="str">
        <f>"100608"</f>
        <v>100608</v>
      </c>
      <c r="B638" t="s">
        <v>607</v>
      </c>
      <c r="D638" s="15" t="s">
        <v>1728</v>
      </c>
    </row>
    <row r="639" spans="1:4" x14ac:dyDescent="0.25">
      <c r="A639" t="str">
        <f>"100609"</f>
        <v>100609</v>
      </c>
      <c r="B639" t="s">
        <v>608</v>
      </c>
      <c r="D639" s="15" t="s">
        <v>236</v>
      </c>
    </row>
    <row r="640" spans="1:4" x14ac:dyDescent="0.25">
      <c r="A640" t="str">
        <f>"100610"</f>
        <v>100610</v>
      </c>
      <c r="B640" t="s">
        <v>609</v>
      </c>
      <c r="D640" s="15" t="s">
        <v>1918</v>
      </c>
    </row>
    <row r="641" spans="1:4" x14ac:dyDescent="0.25">
      <c r="A641" t="str">
        <f>"100611"</f>
        <v>100611</v>
      </c>
      <c r="B641" t="s">
        <v>610</v>
      </c>
      <c r="D641" s="15" t="s">
        <v>238</v>
      </c>
    </row>
    <row r="642" spans="1:4" x14ac:dyDescent="0.25">
      <c r="A642" t="str">
        <f>"100612"</f>
        <v>100612</v>
      </c>
      <c r="B642" t="s">
        <v>611</v>
      </c>
      <c r="D642" s="15" t="s">
        <v>2071</v>
      </c>
    </row>
    <row r="643" spans="1:4" x14ac:dyDescent="0.25">
      <c r="A643" t="str">
        <f>"100613"</f>
        <v>100613</v>
      </c>
      <c r="B643" t="s">
        <v>612</v>
      </c>
      <c r="D643" s="15" t="s">
        <v>2246</v>
      </c>
    </row>
    <row r="644" spans="1:4" x14ac:dyDescent="0.25">
      <c r="A644" t="str">
        <f>"100614"</f>
        <v>100614</v>
      </c>
      <c r="B644" t="s">
        <v>613</v>
      </c>
      <c r="D644" s="15" t="s">
        <v>754</v>
      </c>
    </row>
    <row r="645" spans="1:4" x14ac:dyDescent="0.25">
      <c r="A645" t="str">
        <f>"100615"</f>
        <v>100615</v>
      </c>
      <c r="B645" t="s">
        <v>614</v>
      </c>
      <c r="D645" s="15" t="s">
        <v>1807</v>
      </c>
    </row>
    <row r="646" spans="1:4" x14ac:dyDescent="0.25">
      <c r="A646" t="str">
        <f>"100616"</f>
        <v>100616</v>
      </c>
      <c r="B646" t="s">
        <v>615</v>
      </c>
      <c r="D646" s="15" t="s">
        <v>1399</v>
      </c>
    </row>
    <row r="647" spans="1:4" x14ac:dyDescent="0.25">
      <c r="A647" t="str">
        <f>"100617"</f>
        <v>100617</v>
      </c>
      <c r="B647" t="s">
        <v>616</v>
      </c>
      <c r="D647" s="15" t="s">
        <v>2674</v>
      </c>
    </row>
    <row r="648" spans="1:4" x14ac:dyDescent="0.25">
      <c r="A648" t="str">
        <f>"100618"</f>
        <v>100618</v>
      </c>
      <c r="B648" t="s">
        <v>617</v>
      </c>
      <c r="D648" s="15" t="s">
        <v>2324</v>
      </c>
    </row>
    <row r="649" spans="1:4" x14ac:dyDescent="0.25">
      <c r="A649" t="str">
        <f>"100619"</f>
        <v>100619</v>
      </c>
      <c r="B649" t="s">
        <v>618</v>
      </c>
      <c r="D649" s="15" t="s">
        <v>2547</v>
      </c>
    </row>
    <row r="650" spans="1:4" x14ac:dyDescent="0.25">
      <c r="A650" t="str">
        <f>"100620"</f>
        <v>100620</v>
      </c>
      <c r="B650" t="s">
        <v>619</v>
      </c>
      <c r="D650" s="15" t="s">
        <v>961</v>
      </c>
    </row>
    <row r="651" spans="1:4" x14ac:dyDescent="0.25">
      <c r="A651" t="str">
        <f>"100621"</f>
        <v>100621</v>
      </c>
      <c r="B651" t="s">
        <v>620</v>
      </c>
      <c r="D651" s="15" t="s">
        <v>1335</v>
      </c>
    </row>
    <row r="652" spans="1:4" x14ac:dyDescent="0.25">
      <c r="A652" t="str">
        <f>"100622"</f>
        <v>100622</v>
      </c>
      <c r="B652" t="s">
        <v>621</v>
      </c>
      <c r="D652" s="15" t="s">
        <v>2110</v>
      </c>
    </row>
    <row r="653" spans="1:4" x14ac:dyDescent="0.25">
      <c r="A653" t="str">
        <f>"100623"</f>
        <v>100623</v>
      </c>
      <c r="B653" t="s">
        <v>622</v>
      </c>
      <c r="D653" s="15" t="s">
        <v>2153</v>
      </c>
    </row>
    <row r="654" spans="1:4" x14ac:dyDescent="0.25">
      <c r="A654" t="str">
        <f>"100624"</f>
        <v>100624</v>
      </c>
      <c r="B654" t="s">
        <v>623</v>
      </c>
      <c r="D654" s="15" t="s">
        <v>1947</v>
      </c>
    </row>
    <row r="655" spans="1:4" x14ac:dyDescent="0.25">
      <c r="A655" t="str">
        <f>"100625"</f>
        <v>100625</v>
      </c>
      <c r="B655" t="s">
        <v>624</v>
      </c>
      <c r="D655" s="15" t="s">
        <v>2035</v>
      </c>
    </row>
    <row r="656" spans="1:4" x14ac:dyDescent="0.25">
      <c r="A656" t="str">
        <f>"100626"</f>
        <v>100626</v>
      </c>
      <c r="B656" t="s">
        <v>625</v>
      </c>
      <c r="D656" s="15" t="s">
        <v>2782</v>
      </c>
    </row>
    <row r="657" spans="1:4" x14ac:dyDescent="0.25">
      <c r="A657" t="str">
        <f>"100628"</f>
        <v>100628</v>
      </c>
      <c r="B657" t="s">
        <v>626</v>
      </c>
      <c r="D657" s="15" t="s">
        <v>1666</v>
      </c>
    </row>
    <row r="658" spans="1:4" x14ac:dyDescent="0.25">
      <c r="A658" t="str">
        <f>"100629"</f>
        <v>100629</v>
      </c>
      <c r="B658" t="s">
        <v>627</v>
      </c>
      <c r="D658" s="15" t="s">
        <v>2827</v>
      </c>
    </row>
    <row r="659" spans="1:4" x14ac:dyDescent="0.25">
      <c r="A659" t="str">
        <f>"100630"</f>
        <v>100630</v>
      </c>
      <c r="B659" t="s">
        <v>628</v>
      </c>
      <c r="D659" s="15" t="s">
        <v>2348</v>
      </c>
    </row>
    <row r="660" spans="1:4" x14ac:dyDescent="0.25">
      <c r="A660" t="str">
        <f>"100631"</f>
        <v>100631</v>
      </c>
      <c r="B660" t="s">
        <v>629</v>
      </c>
      <c r="D660" s="15" t="s">
        <v>2830</v>
      </c>
    </row>
    <row r="661" spans="1:4" x14ac:dyDescent="0.25">
      <c r="A661" t="str">
        <f>"100632"</f>
        <v>100632</v>
      </c>
      <c r="B661" t="s">
        <v>630</v>
      </c>
      <c r="D661" s="15" t="s">
        <v>2366</v>
      </c>
    </row>
    <row r="662" spans="1:4" x14ac:dyDescent="0.25">
      <c r="A662" t="str">
        <f>"100633"</f>
        <v>100633</v>
      </c>
      <c r="B662" t="s">
        <v>631</v>
      </c>
      <c r="D662" s="15" t="s">
        <v>826</v>
      </c>
    </row>
    <row r="663" spans="1:4" x14ac:dyDescent="0.25">
      <c r="A663" t="str">
        <f>"100634"</f>
        <v>100634</v>
      </c>
      <c r="B663" t="s">
        <v>632</v>
      </c>
      <c r="D663" s="15" t="s">
        <v>784</v>
      </c>
    </row>
    <row r="664" spans="1:4" x14ac:dyDescent="0.25">
      <c r="A664" t="str">
        <f>"100635"</f>
        <v>100635</v>
      </c>
      <c r="B664" t="s">
        <v>633</v>
      </c>
      <c r="D664" s="15" t="s">
        <v>1772</v>
      </c>
    </row>
    <row r="665" spans="1:4" x14ac:dyDescent="0.25">
      <c r="A665" t="str">
        <f>"100636"</f>
        <v>100636</v>
      </c>
      <c r="B665" t="s">
        <v>634</v>
      </c>
      <c r="D665" s="15" t="s">
        <v>380</v>
      </c>
    </row>
    <row r="666" spans="1:4" x14ac:dyDescent="0.25">
      <c r="A666" t="str">
        <f>"100637"</f>
        <v>100637</v>
      </c>
      <c r="B666" t="s">
        <v>635</v>
      </c>
      <c r="D666" s="15" t="s">
        <v>1781</v>
      </c>
    </row>
    <row r="667" spans="1:4" x14ac:dyDescent="0.25">
      <c r="A667" t="str">
        <f>"100638"</f>
        <v>100638</v>
      </c>
      <c r="B667" t="s">
        <v>636</v>
      </c>
      <c r="D667" s="15" t="s">
        <v>588</v>
      </c>
    </row>
    <row r="668" spans="1:4" x14ac:dyDescent="0.25">
      <c r="A668" t="str">
        <f>"100639"</f>
        <v>100639</v>
      </c>
      <c r="B668" t="s">
        <v>637</v>
      </c>
      <c r="D668" s="15" t="s">
        <v>1478</v>
      </c>
    </row>
    <row r="669" spans="1:4" x14ac:dyDescent="0.25">
      <c r="A669" t="str">
        <f>"100640"</f>
        <v>100640</v>
      </c>
      <c r="B669" t="s">
        <v>638</v>
      </c>
      <c r="D669" s="15" t="s">
        <v>1651</v>
      </c>
    </row>
    <row r="670" spans="1:4" x14ac:dyDescent="0.25">
      <c r="A670" t="str">
        <f>"100641"</f>
        <v>100641</v>
      </c>
      <c r="B670" t="s">
        <v>639</v>
      </c>
      <c r="D670" s="15" t="s">
        <v>1924</v>
      </c>
    </row>
    <row r="671" spans="1:4" x14ac:dyDescent="0.25">
      <c r="A671" t="str">
        <f>"100642"</f>
        <v>100642</v>
      </c>
      <c r="B671" t="s">
        <v>640</v>
      </c>
      <c r="D671" s="15" t="s">
        <v>740</v>
      </c>
    </row>
    <row r="672" spans="1:4" x14ac:dyDescent="0.25">
      <c r="A672" t="str">
        <f>"100643"</f>
        <v>100643</v>
      </c>
      <c r="B672" t="s">
        <v>641</v>
      </c>
      <c r="D672" s="15" t="s">
        <v>1954</v>
      </c>
    </row>
    <row r="673" spans="1:4" x14ac:dyDescent="0.25">
      <c r="A673" t="str">
        <f>"100644"</f>
        <v>100644</v>
      </c>
      <c r="B673" t="s">
        <v>642</v>
      </c>
      <c r="D673" s="15" t="s">
        <v>1826</v>
      </c>
    </row>
    <row r="674" spans="1:4" x14ac:dyDescent="0.25">
      <c r="A674" t="str">
        <f>"100645"</f>
        <v>100645</v>
      </c>
      <c r="B674" t="s">
        <v>643</v>
      </c>
      <c r="D674" s="15" t="s">
        <v>1263</v>
      </c>
    </row>
    <row r="675" spans="1:4" x14ac:dyDescent="0.25">
      <c r="A675" t="str">
        <f>"100646"</f>
        <v>100646</v>
      </c>
      <c r="B675" t="s">
        <v>644</v>
      </c>
      <c r="D675" s="15" t="s">
        <v>797</v>
      </c>
    </row>
    <row r="676" spans="1:4" x14ac:dyDescent="0.25">
      <c r="A676" t="str">
        <f>"100647"</f>
        <v>100647</v>
      </c>
      <c r="B676" t="s">
        <v>645</v>
      </c>
      <c r="D676" s="15" t="s">
        <v>578</v>
      </c>
    </row>
    <row r="677" spans="1:4" x14ac:dyDescent="0.25">
      <c r="A677" t="str">
        <f>"100648"</f>
        <v>100648</v>
      </c>
      <c r="B677" t="s">
        <v>646</v>
      </c>
      <c r="D677" s="15" t="s">
        <v>2005</v>
      </c>
    </row>
    <row r="678" spans="1:4" x14ac:dyDescent="0.25">
      <c r="A678" t="str">
        <f>"100649"</f>
        <v>100649</v>
      </c>
      <c r="B678" t="s">
        <v>647</v>
      </c>
      <c r="D678" s="15" t="s">
        <v>372</v>
      </c>
    </row>
    <row r="679" spans="1:4" x14ac:dyDescent="0.25">
      <c r="A679" t="str">
        <f>"100650"</f>
        <v>100650</v>
      </c>
      <c r="B679" t="s">
        <v>648</v>
      </c>
      <c r="D679" s="15" t="s">
        <v>941</v>
      </c>
    </row>
    <row r="680" spans="1:4" x14ac:dyDescent="0.25">
      <c r="A680" t="str">
        <f>"100651"</f>
        <v>100651</v>
      </c>
      <c r="B680" t="s">
        <v>649</v>
      </c>
      <c r="D680" s="15" t="s">
        <v>1613</v>
      </c>
    </row>
    <row r="681" spans="1:4" x14ac:dyDescent="0.25">
      <c r="A681" t="str">
        <f>"100652"</f>
        <v>100652</v>
      </c>
      <c r="B681" t="s">
        <v>650</v>
      </c>
      <c r="D681" s="15" t="s">
        <v>373</v>
      </c>
    </row>
    <row r="682" spans="1:4" x14ac:dyDescent="0.25">
      <c r="A682" t="str">
        <f>"100653"</f>
        <v>100653</v>
      </c>
      <c r="B682" t="s">
        <v>651</v>
      </c>
      <c r="D682" s="15" t="s">
        <v>907</v>
      </c>
    </row>
    <row r="683" spans="1:4" x14ac:dyDescent="0.25">
      <c r="A683" t="str">
        <f>"100654"</f>
        <v>100654</v>
      </c>
      <c r="B683" t="s">
        <v>652</v>
      </c>
      <c r="D683" s="15" t="s">
        <v>1494</v>
      </c>
    </row>
    <row r="684" spans="1:4" x14ac:dyDescent="0.25">
      <c r="A684" t="str">
        <f>"100655"</f>
        <v>100655</v>
      </c>
      <c r="B684" t="s">
        <v>653</v>
      </c>
      <c r="D684" s="15" t="s">
        <v>374</v>
      </c>
    </row>
    <row r="685" spans="1:4" x14ac:dyDescent="0.25">
      <c r="A685" t="str">
        <f>"100656"</f>
        <v>100656</v>
      </c>
      <c r="B685" t="s">
        <v>654</v>
      </c>
      <c r="D685" s="15" t="s">
        <v>1355</v>
      </c>
    </row>
    <row r="686" spans="1:4" x14ac:dyDescent="0.25">
      <c r="A686" t="str">
        <f>"100657"</f>
        <v>100657</v>
      </c>
      <c r="B686" t="s">
        <v>655</v>
      </c>
      <c r="D686" s="15" t="s">
        <v>947</v>
      </c>
    </row>
    <row r="687" spans="1:4" x14ac:dyDescent="0.25">
      <c r="A687" t="str">
        <f>"100658"</f>
        <v>100658</v>
      </c>
      <c r="B687" t="s">
        <v>656</v>
      </c>
      <c r="D687" s="15" t="s">
        <v>375</v>
      </c>
    </row>
    <row r="688" spans="1:4" x14ac:dyDescent="0.25">
      <c r="A688" t="str">
        <f>"100659"</f>
        <v>100659</v>
      </c>
      <c r="B688" t="s">
        <v>657</v>
      </c>
      <c r="D688" s="15" t="s">
        <v>788</v>
      </c>
    </row>
    <row r="689" spans="1:4" x14ac:dyDescent="0.25">
      <c r="A689" t="str">
        <f>"100660"</f>
        <v>100660</v>
      </c>
      <c r="B689" t="s">
        <v>658</v>
      </c>
      <c r="D689" s="15" t="s">
        <v>963</v>
      </c>
    </row>
    <row r="690" spans="1:4" x14ac:dyDescent="0.25">
      <c r="A690" t="str">
        <f>"100661"</f>
        <v>100661</v>
      </c>
      <c r="B690" t="s">
        <v>659</v>
      </c>
      <c r="D690" s="15" t="s">
        <v>966</v>
      </c>
    </row>
    <row r="691" spans="1:4" x14ac:dyDescent="0.25">
      <c r="A691" t="str">
        <f>"100662"</f>
        <v>100662</v>
      </c>
      <c r="B691" t="s">
        <v>660</v>
      </c>
      <c r="D691" s="15" t="s">
        <v>1828</v>
      </c>
    </row>
    <row r="692" spans="1:4" x14ac:dyDescent="0.25">
      <c r="A692" t="str">
        <f>"100663"</f>
        <v>100663</v>
      </c>
      <c r="B692" t="s">
        <v>661</v>
      </c>
      <c r="D692" s="15" t="s">
        <v>376</v>
      </c>
    </row>
    <row r="693" spans="1:4" x14ac:dyDescent="0.25">
      <c r="A693" t="str">
        <f>"100664"</f>
        <v>100664</v>
      </c>
      <c r="B693" t="s">
        <v>662</v>
      </c>
      <c r="D693" s="15" t="s">
        <v>1525</v>
      </c>
    </row>
    <row r="694" spans="1:4" x14ac:dyDescent="0.25">
      <c r="A694" t="str">
        <f>"100665"</f>
        <v>100665</v>
      </c>
      <c r="B694" t="s">
        <v>663</v>
      </c>
      <c r="D694" s="15" t="s">
        <v>710</v>
      </c>
    </row>
    <row r="695" spans="1:4" x14ac:dyDescent="0.25">
      <c r="A695" t="str">
        <f>"100666"</f>
        <v>100666</v>
      </c>
      <c r="B695" t="s">
        <v>664</v>
      </c>
      <c r="D695" s="15" t="s">
        <v>1911</v>
      </c>
    </row>
    <row r="696" spans="1:4" x14ac:dyDescent="0.25">
      <c r="A696" t="str">
        <f>"100667"</f>
        <v>100667</v>
      </c>
      <c r="B696" t="s">
        <v>665</v>
      </c>
      <c r="D696" s="15" t="s">
        <v>377</v>
      </c>
    </row>
    <row r="697" spans="1:4" x14ac:dyDescent="0.25">
      <c r="A697" t="str">
        <f>"100668"</f>
        <v>100668</v>
      </c>
      <c r="B697" t="s">
        <v>666</v>
      </c>
      <c r="D697" s="15" t="s">
        <v>1520</v>
      </c>
    </row>
    <row r="698" spans="1:4" x14ac:dyDescent="0.25">
      <c r="A698" t="str">
        <f>"100669"</f>
        <v>100669</v>
      </c>
      <c r="B698" t="s">
        <v>667</v>
      </c>
      <c r="D698" s="15" t="s">
        <v>1932</v>
      </c>
    </row>
    <row r="699" spans="1:4" x14ac:dyDescent="0.25">
      <c r="A699" t="str">
        <f>"100670"</f>
        <v>100670</v>
      </c>
      <c r="B699" t="s">
        <v>668</v>
      </c>
      <c r="D699" s="15" t="s">
        <v>1751</v>
      </c>
    </row>
    <row r="700" spans="1:4" x14ac:dyDescent="0.25">
      <c r="A700" t="str">
        <f>"100671"</f>
        <v>100671</v>
      </c>
      <c r="B700" t="s">
        <v>669</v>
      </c>
      <c r="D700" s="15" t="s">
        <v>744</v>
      </c>
    </row>
    <row r="701" spans="1:4" x14ac:dyDescent="0.25">
      <c r="A701" t="str">
        <f>"100672"</f>
        <v>100672</v>
      </c>
      <c r="B701" t="s">
        <v>670</v>
      </c>
      <c r="D701" s="15" t="s">
        <v>1227</v>
      </c>
    </row>
    <row r="702" spans="1:4" x14ac:dyDescent="0.25">
      <c r="A702" t="str">
        <f>"100673"</f>
        <v>100673</v>
      </c>
      <c r="B702" t="s">
        <v>671</v>
      </c>
      <c r="D702" s="15" t="s">
        <v>1264</v>
      </c>
    </row>
    <row r="703" spans="1:4" x14ac:dyDescent="0.25">
      <c r="A703" t="str">
        <f>"100674"</f>
        <v>100674</v>
      </c>
      <c r="B703" t="s">
        <v>672</v>
      </c>
      <c r="D703" s="15" t="s">
        <v>1352</v>
      </c>
    </row>
    <row r="704" spans="1:4" x14ac:dyDescent="0.25">
      <c r="A704" t="str">
        <f>"100675"</f>
        <v>100675</v>
      </c>
      <c r="B704" t="s">
        <v>673</v>
      </c>
      <c r="D704" s="15" t="s">
        <v>1966</v>
      </c>
    </row>
    <row r="705" spans="1:4" x14ac:dyDescent="0.25">
      <c r="A705" t="str">
        <f>"100676"</f>
        <v>100676</v>
      </c>
      <c r="B705" t="s">
        <v>674</v>
      </c>
      <c r="D705" s="15" t="s">
        <v>798</v>
      </c>
    </row>
    <row r="706" spans="1:4" x14ac:dyDescent="0.25">
      <c r="A706" t="str">
        <f>"100677"</f>
        <v>100677</v>
      </c>
      <c r="B706" t="s">
        <v>675</v>
      </c>
      <c r="D706" s="15" t="s">
        <v>652</v>
      </c>
    </row>
    <row r="707" spans="1:4" x14ac:dyDescent="0.25">
      <c r="A707" t="str">
        <f>"100678"</f>
        <v>100678</v>
      </c>
      <c r="B707" t="s">
        <v>676</v>
      </c>
      <c r="D707" s="15" t="s">
        <v>735</v>
      </c>
    </row>
    <row r="708" spans="1:4" x14ac:dyDescent="0.25">
      <c r="A708" t="str">
        <f>"100679"</f>
        <v>100679</v>
      </c>
      <c r="B708" t="s">
        <v>677</v>
      </c>
      <c r="D708" s="15" t="s">
        <v>1353</v>
      </c>
    </row>
    <row r="709" spans="1:4" x14ac:dyDescent="0.25">
      <c r="A709" t="str">
        <f>"100680"</f>
        <v>100680</v>
      </c>
      <c r="B709" t="s">
        <v>678</v>
      </c>
      <c r="D709" s="15" t="s">
        <v>820</v>
      </c>
    </row>
    <row r="710" spans="1:4" x14ac:dyDescent="0.25">
      <c r="A710" t="str">
        <f>"100681"</f>
        <v>100681</v>
      </c>
      <c r="B710" t="s">
        <v>679</v>
      </c>
      <c r="D710" s="15" t="s">
        <v>899</v>
      </c>
    </row>
    <row r="711" spans="1:4" x14ac:dyDescent="0.25">
      <c r="A711" t="str">
        <f>"100682"</f>
        <v>100682</v>
      </c>
      <c r="B711" t="s">
        <v>680</v>
      </c>
      <c r="D711" s="15" t="s">
        <v>667</v>
      </c>
    </row>
    <row r="712" spans="1:4" x14ac:dyDescent="0.25">
      <c r="A712" t="str">
        <f>"100683"</f>
        <v>100683</v>
      </c>
      <c r="B712" t="s">
        <v>681</v>
      </c>
      <c r="D712" s="15" t="s">
        <v>900</v>
      </c>
    </row>
    <row r="713" spans="1:4" x14ac:dyDescent="0.25">
      <c r="A713" t="str">
        <f>"100684"</f>
        <v>100684</v>
      </c>
      <c r="B713" t="s">
        <v>682</v>
      </c>
      <c r="D713" s="15" t="s">
        <v>378</v>
      </c>
    </row>
    <row r="714" spans="1:4" x14ac:dyDescent="0.25">
      <c r="A714" t="str">
        <f>"100685"</f>
        <v>100685</v>
      </c>
      <c r="B714" t="s">
        <v>683</v>
      </c>
      <c r="D714" s="15" t="s">
        <v>1025</v>
      </c>
    </row>
    <row r="715" spans="1:4" x14ac:dyDescent="0.25">
      <c r="A715" t="str">
        <f>"100686"</f>
        <v>100686</v>
      </c>
      <c r="B715" t="s">
        <v>684</v>
      </c>
      <c r="D715" s="15" t="s">
        <v>901</v>
      </c>
    </row>
    <row r="716" spans="1:4" x14ac:dyDescent="0.25">
      <c r="A716" t="str">
        <f>"100687"</f>
        <v>100687</v>
      </c>
      <c r="B716" t="s">
        <v>685</v>
      </c>
      <c r="D716" s="15" t="s">
        <v>1317</v>
      </c>
    </row>
    <row r="717" spans="1:4" x14ac:dyDescent="0.25">
      <c r="A717" t="str">
        <f>"100688"</f>
        <v>100688</v>
      </c>
      <c r="B717" t="s">
        <v>686</v>
      </c>
      <c r="D717" s="15" t="s">
        <v>731</v>
      </c>
    </row>
    <row r="718" spans="1:4" x14ac:dyDescent="0.25">
      <c r="A718" t="str">
        <f>"100689"</f>
        <v>100689</v>
      </c>
      <c r="B718" t="s">
        <v>687</v>
      </c>
      <c r="D718" s="15" t="s">
        <v>791</v>
      </c>
    </row>
    <row r="719" spans="1:4" x14ac:dyDescent="0.25">
      <c r="A719" t="str">
        <f>"100690"</f>
        <v>100690</v>
      </c>
      <c r="B719" t="s">
        <v>688</v>
      </c>
      <c r="D719" s="15" t="s">
        <v>1846</v>
      </c>
    </row>
    <row r="720" spans="1:4" x14ac:dyDescent="0.25">
      <c r="A720" t="str">
        <f>"100691"</f>
        <v>100691</v>
      </c>
      <c r="B720" t="s">
        <v>689</v>
      </c>
      <c r="D720" s="15" t="s">
        <v>734</v>
      </c>
    </row>
    <row r="721" spans="1:4" x14ac:dyDescent="0.25">
      <c r="A721" t="str">
        <f>"100692"</f>
        <v>100692</v>
      </c>
      <c r="B721" t="s">
        <v>690</v>
      </c>
      <c r="D721" s="15" t="s">
        <v>852</v>
      </c>
    </row>
    <row r="722" spans="1:4" x14ac:dyDescent="0.25">
      <c r="A722" t="str">
        <f>"100693"</f>
        <v>100693</v>
      </c>
      <c r="B722" t="s">
        <v>691</v>
      </c>
      <c r="D722" s="15" t="s">
        <v>1905</v>
      </c>
    </row>
    <row r="723" spans="1:4" x14ac:dyDescent="0.25">
      <c r="A723" t="str">
        <f>"100694"</f>
        <v>100694</v>
      </c>
      <c r="B723" t="s">
        <v>692</v>
      </c>
      <c r="D723" s="15" t="s">
        <v>1686</v>
      </c>
    </row>
    <row r="724" spans="1:4" x14ac:dyDescent="0.25">
      <c r="A724" t="str">
        <f>"100695"</f>
        <v>100695</v>
      </c>
      <c r="B724" t="s">
        <v>693</v>
      </c>
      <c r="D724" s="15" t="s">
        <v>1305</v>
      </c>
    </row>
    <row r="725" spans="1:4" x14ac:dyDescent="0.25">
      <c r="A725" t="str">
        <f>"100696"</f>
        <v>100696</v>
      </c>
      <c r="B725" t="s">
        <v>694</v>
      </c>
      <c r="D725" s="15" t="s">
        <v>1988</v>
      </c>
    </row>
    <row r="726" spans="1:4" x14ac:dyDescent="0.25">
      <c r="A726" t="str">
        <f>"100697"</f>
        <v>100697</v>
      </c>
      <c r="B726" t="s">
        <v>695</v>
      </c>
      <c r="D726" s="15" t="s">
        <v>853</v>
      </c>
    </row>
    <row r="727" spans="1:4" x14ac:dyDescent="0.25">
      <c r="A727" t="str">
        <f>"100698"</f>
        <v>100698</v>
      </c>
      <c r="B727" t="s">
        <v>696</v>
      </c>
      <c r="D727" s="15" t="s">
        <v>934</v>
      </c>
    </row>
    <row r="728" spans="1:4" x14ac:dyDescent="0.25">
      <c r="A728" t="str">
        <f>"100699"</f>
        <v>100699</v>
      </c>
      <c r="B728" t="s">
        <v>697</v>
      </c>
      <c r="D728" s="15" t="s">
        <v>1962</v>
      </c>
    </row>
    <row r="729" spans="1:4" x14ac:dyDescent="0.25">
      <c r="A729" t="str">
        <f>"100700"</f>
        <v>100700</v>
      </c>
      <c r="B729" t="s">
        <v>698</v>
      </c>
      <c r="D729" s="15" t="s">
        <v>1241</v>
      </c>
    </row>
    <row r="730" spans="1:4" x14ac:dyDescent="0.25">
      <c r="A730" t="str">
        <f>"100701"</f>
        <v>100701</v>
      </c>
      <c r="B730" t="s">
        <v>699</v>
      </c>
      <c r="D730" s="15" t="s">
        <v>771</v>
      </c>
    </row>
    <row r="731" spans="1:4" x14ac:dyDescent="0.25">
      <c r="A731" t="str">
        <f>"100702"</f>
        <v>100702</v>
      </c>
      <c r="B731" t="s">
        <v>700</v>
      </c>
      <c r="D731" s="15" t="s">
        <v>381</v>
      </c>
    </row>
    <row r="732" spans="1:4" x14ac:dyDescent="0.25">
      <c r="A732" t="str">
        <f>"100703"</f>
        <v>100703</v>
      </c>
      <c r="B732" t="s">
        <v>701</v>
      </c>
      <c r="D732" s="15" t="s">
        <v>670</v>
      </c>
    </row>
    <row r="733" spans="1:4" x14ac:dyDescent="0.25">
      <c r="A733" t="str">
        <f>"100704"</f>
        <v>100704</v>
      </c>
      <c r="B733" t="s">
        <v>702</v>
      </c>
      <c r="D733" s="15" t="s">
        <v>793</v>
      </c>
    </row>
    <row r="734" spans="1:4" x14ac:dyDescent="0.25">
      <c r="A734" t="str">
        <f>"100705"</f>
        <v>100705</v>
      </c>
      <c r="B734" t="s">
        <v>703</v>
      </c>
      <c r="D734" s="15" t="s">
        <v>1490</v>
      </c>
    </row>
    <row r="735" spans="1:4" x14ac:dyDescent="0.25">
      <c r="A735" t="str">
        <f>"100706"</f>
        <v>100706</v>
      </c>
      <c r="B735" t="s">
        <v>704</v>
      </c>
      <c r="D735" s="15" t="s">
        <v>1832</v>
      </c>
    </row>
    <row r="736" spans="1:4" x14ac:dyDescent="0.25">
      <c r="A736" t="str">
        <f>"100707"</f>
        <v>100707</v>
      </c>
      <c r="B736" t="s">
        <v>705</v>
      </c>
      <c r="D736" s="15" t="s">
        <v>1476</v>
      </c>
    </row>
    <row r="737" spans="1:4" x14ac:dyDescent="0.25">
      <c r="A737" t="str">
        <f>"100708"</f>
        <v>100708</v>
      </c>
      <c r="B737" t="s">
        <v>706</v>
      </c>
      <c r="D737" s="15" t="s">
        <v>1307</v>
      </c>
    </row>
    <row r="738" spans="1:4" x14ac:dyDescent="0.25">
      <c r="A738" t="str">
        <f>"100709"</f>
        <v>100709</v>
      </c>
      <c r="B738" t="s">
        <v>707</v>
      </c>
      <c r="D738" s="15" t="s">
        <v>1286</v>
      </c>
    </row>
    <row r="739" spans="1:4" x14ac:dyDescent="0.25">
      <c r="A739" t="str">
        <f>"100710"</f>
        <v>100710</v>
      </c>
      <c r="B739" t="s">
        <v>708</v>
      </c>
      <c r="D739" s="15" t="s">
        <v>1498</v>
      </c>
    </row>
    <row r="740" spans="1:4" x14ac:dyDescent="0.25">
      <c r="A740" t="str">
        <f>"100711"</f>
        <v>100711</v>
      </c>
      <c r="B740" t="s">
        <v>709</v>
      </c>
      <c r="D740" s="15" t="s">
        <v>1909</v>
      </c>
    </row>
    <row r="741" spans="1:4" x14ac:dyDescent="0.25">
      <c r="A741" t="str">
        <f>"100712"</f>
        <v>100712</v>
      </c>
      <c r="B741" t="s">
        <v>710</v>
      </c>
      <c r="D741" s="15" t="s">
        <v>747</v>
      </c>
    </row>
    <row r="742" spans="1:4" x14ac:dyDescent="0.25">
      <c r="A742" t="str">
        <f>"100713"</f>
        <v>100713</v>
      </c>
      <c r="B742" t="s">
        <v>711</v>
      </c>
      <c r="D742" s="15" t="s">
        <v>799</v>
      </c>
    </row>
    <row r="743" spans="1:4" x14ac:dyDescent="0.25">
      <c r="A743" t="str">
        <f>"100714"</f>
        <v>100714</v>
      </c>
      <c r="B743" t="s">
        <v>712</v>
      </c>
      <c r="D743" s="15" t="s">
        <v>1752</v>
      </c>
    </row>
    <row r="744" spans="1:4" x14ac:dyDescent="0.25">
      <c r="A744" t="str">
        <f>"100715"</f>
        <v>100715</v>
      </c>
      <c r="B744" t="s">
        <v>713</v>
      </c>
      <c r="D744" s="15" t="s">
        <v>776</v>
      </c>
    </row>
    <row r="745" spans="1:4" x14ac:dyDescent="0.25">
      <c r="A745" t="str">
        <f>"100716"</f>
        <v>100716</v>
      </c>
      <c r="B745" t="s">
        <v>714</v>
      </c>
      <c r="D745" s="15" t="s">
        <v>1941</v>
      </c>
    </row>
    <row r="746" spans="1:4" x14ac:dyDescent="0.25">
      <c r="A746" t="str">
        <f>"100717"</f>
        <v>100717</v>
      </c>
      <c r="B746" t="s">
        <v>715</v>
      </c>
      <c r="D746" s="15" t="s">
        <v>1946</v>
      </c>
    </row>
    <row r="747" spans="1:4" x14ac:dyDescent="0.25">
      <c r="A747" t="str">
        <f>"100718"</f>
        <v>100718</v>
      </c>
      <c r="B747" t="s">
        <v>716</v>
      </c>
      <c r="D747" s="15" t="s">
        <v>1228</v>
      </c>
    </row>
    <row r="748" spans="1:4" x14ac:dyDescent="0.25">
      <c r="A748" t="str">
        <f>"100719"</f>
        <v>100719</v>
      </c>
      <c r="B748" t="s">
        <v>717</v>
      </c>
      <c r="D748" s="15" t="s">
        <v>733</v>
      </c>
    </row>
    <row r="749" spans="1:4" x14ac:dyDescent="0.25">
      <c r="A749" t="str">
        <f>"100720"</f>
        <v>100720</v>
      </c>
      <c r="B749" t="s">
        <v>718</v>
      </c>
      <c r="D749" s="15" t="s">
        <v>1316</v>
      </c>
    </row>
    <row r="750" spans="1:4" x14ac:dyDescent="0.25">
      <c r="A750" t="str">
        <f>"100721"</f>
        <v>100721</v>
      </c>
      <c r="B750" t="s">
        <v>719</v>
      </c>
      <c r="D750" s="15" t="s">
        <v>468</v>
      </c>
    </row>
    <row r="751" spans="1:4" x14ac:dyDescent="0.25">
      <c r="A751" t="str">
        <f>"100723"</f>
        <v>100723</v>
      </c>
      <c r="B751" t="s">
        <v>720</v>
      </c>
      <c r="D751" s="15" t="s">
        <v>1157</v>
      </c>
    </row>
    <row r="752" spans="1:4" x14ac:dyDescent="0.25">
      <c r="A752" t="str">
        <f>"100724"</f>
        <v>100724</v>
      </c>
      <c r="B752" t="s">
        <v>721</v>
      </c>
      <c r="D752" s="15" t="s">
        <v>1961</v>
      </c>
    </row>
    <row r="753" spans="1:4" x14ac:dyDescent="0.25">
      <c r="A753" t="str">
        <f>"100725"</f>
        <v>100725</v>
      </c>
      <c r="B753" t="s">
        <v>722</v>
      </c>
      <c r="D753" s="15" t="s">
        <v>1453</v>
      </c>
    </row>
    <row r="754" spans="1:4" x14ac:dyDescent="0.25">
      <c r="A754" t="str">
        <f>"100726"</f>
        <v>100726</v>
      </c>
      <c r="B754" t="s">
        <v>723</v>
      </c>
      <c r="D754" s="15" t="s">
        <v>1318</v>
      </c>
    </row>
    <row r="755" spans="1:4" x14ac:dyDescent="0.25">
      <c r="A755" t="str">
        <f>"100727"</f>
        <v>100727</v>
      </c>
      <c r="B755" t="s">
        <v>724</v>
      </c>
      <c r="D755" s="15" t="s">
        <v>1920</v>
      </c>
    </row>
    <row r="756" spans="1:4" x14ac:dyDescent="0.25">
      <c r="A756" t="str">
        <f>"100728"</f>
        <v>100728</v>
      </c>
      <c r="B756" t="s">
        <v>725</v>
      </c>
      <c r="D756" s="15" t="s">
        <v>634</v>
      </c>
    </row>
    <row r="757" spans="1:4" x14ac:dyDescent="0.25">
      <c r="A757" t="str">
        <f>"100729"</f>
        <v>100729</v>
      </c>
      <c r="B757" t="s">
        <v>726</v>
      </c>
      <c r="D757" s="15" t="s">
        <v>878</v>
      </c>
    </row>
    <row r="758" spans="1:4" x14ac:dyDescent="0.25">
      <c r="A758" t="str">
        <f>"100730"</f>
        <v>100730</v>
      </c>
      <c r="B758" t="s">
        <v>727</v>
      </c>
      <c r="D758" s="15" t="s">
        <v>379</v>
      </c>
    </row>
    <row r="759" spans="1:4" x14ac:dyDescent="0.25">
      <c r="A759" t="str">
        <f>"100731"</f>
        <v>100731</v>
      </c>
      <c r="B759" t="s">
        <v>728</v>
      </c>
      <c r="D759" s="15" t="s">
        <v>1680</v>
      </c>
    </row>
    <row r="760" spans="1:4" x14ac:dyDescent="0.25">
      <c r="A760" t="str">
        <f>"100732"</f>
        <v>100732</v>
      </c>
      <c r="B760" t="s">
        <v>729</v>
      </c>
      <c r="D760" s="15" t="s">
        <v>647</v>
      </c>
    </row>
    <row r="761" spans="1:4" x14ac:dyDescent="0.25">
      <c r="A761" t="str">
        <f>"100733"</f>
        <v>100733</v>
      </c>
      <c r="B761" t="s">
        <v>730</v>
      </c>
      <c r="D761" s="15" t="s">
        <v>692</v>
      </c>
    </row>
    <row r="762" spans="1:4" x14ac:dyDescent="0.25">
      <c r="A762" t="str">
        <f>"100734"</f>
        <v>100734</v>
      </c>
      <c r="B762" t="s">
        <v>731</v>
      </c>
      <c r="D762" s="15" t="s">
        <v>1487</v>
      </c>
    </row>
    <row r="763" spans="1:4" x14ac:dyDescent="0.25">
      <c r="A763" t="str">
        <f>"100735"</f>
        <v>100735</v>
      </c>
      <c r="B763" t="s">
        <v>732</v>
      </c>
      <c r="D763" s="15" t="s">
        <v>1916</v>
      </c>
    </row>
    <row r="764" spans="1:4" x14ac:dyDescent="0.25">
      <c r="A764" t="str">
        <f>"100736"</f>
        <v>100736</v>
      </c>
      <c r="B764" t="s">
        <v>733</v>
      </c>
      <c r="D764" s="15" t="s">
        <v>1770</v>
      </c>
    </row>
    <row r="765" spans="1:4" x14ac:dyDescent="0.25">
      <c r="A765" t="str">
        <f>"100737"</f>
        <v>100737</v>
      </c>
      <c r="B765" t="s">
        <v>734</v>
      </c>
      <c r="D765" s="15" t="s">
        <v>1031</v>
      </c>
    </row>
    <row r="766" spans="1:4" x14ac:dyDescent="0.25">
      <c r="A766" t="str">
        <f>"100738"</f>
        <v>100738</v>
      </c>
      <c r="B766" t="s">
        <v>735</v>
      </c>
      <c r="D766" s="15" t="s">
        <v>858</v>
      </c>
    </row>
    <row r="767" spans="1:4" x14ac:dyDescent="0.25">
      <c r="A767" t="str">
        <f>"100739"</f>
        <v>100739</v>
      </c>
      <c r="B767" t="s">
        <v>736</v>
      </c>
      <c r="D767" s="15" t="s">
        <v>1043</v>
      </c>
    </row>
    <row r="768" spans="1:4" x14ac:dyDescent="0.25">
      <c r="A768" t="str">
        <f>"100740"</f>
        <v>100740</v>
      </c>
      <c r="B768" t="s">
        <v>737</v>
      </c>
      <c r="D768" s="15" t="s">
        <v>1323</v>
      </c>
    </row>
    <row r="769" spans="1:4" x14ac:dyDescent="0.25">
      <c r="A769" t="str">
        <f>"100741"</f>
        <v>100741</v>
      </c>
      <c r="B769" t="s">
        <v>738</v>
      </c>
      <c r="D769" s="15" t="s">
        <v>1827</v>
      </c>
    </row>
    <row r="770" spans="1:4" x14ac:dyDescent="0.25">
      <c r="A770" t="str">
        <f>"100742"</f>
        <v>100742</v>
      </c>
      <c r="B770" t="s">
        <v>739</v>
      </c>
      <c r="D770" s="15" t="s">
        <v>1978</v>
      </c>
    </row>
    <row r="771" spans="1:4" x14ac:dyDescent="0.25">
      <c r="A771" t="str">
        <f>"100743"</f>
        <v>100743</v>
      </c>
      <c r="B771" t="s">
        <v>740</v>
      </c>
      <c r="D771" s="15" t="s">
        <v>1892</v>
      </c>
    </row>
    <row r="772" spans="1:4" x14ac:dyDescent="0.25">
      <c r="A772" t="str">
        <f>"100744"</f>
        <v>100744</v>
      </c>
      <c r="B772" t="s">
        <v>741</v>
      </c>
      <c r="D772" s="15" t="s">
        <v>1787</v>
      </c>
    </row>
    <row r="773" spans="1:4" x14ac:dyDescent="0.25">
      <c r="A773" t="str">
        <f>"100745"</f>
        <v>100745</v>
      </c>
      <c r="B773" t="s">
        <v>742</v>
      </c>
      <c r="D773" s="15" t="s">
        <v>1096</v>
      </c>
    </row>
    <row r="774" spans="1:4" x14ac:dyDescent="0.25">
      <c r="A774" t="str">
        <f>"100746"</f>
        <v>100746</v>
      </c>
      <c r="B774" t="s">
        <v>743</v>
      </c>
      <c r="D774" s="15" t="s">
        <v>1351</v>
      </c>
    </row>
    <row r="775" spans="1:4" x14ac:dyDescent="0.25">
      <c r="A775" t="str">
        <f>"100747"</f>
        <v>100747</v>
      </c>
      <c r="B775" t="s">
        <v>744</v>
      </c>
      <c r="D775" s="15" t="s">
        <v>1912</v>
      </c>
    </row>
    <row r="776" spans="1:4" x14ac:dyDescent="0.25">
      <c r="A776" t="str">
        <f>"100748"</f>
        <v>100748</v>
      </c>
      <c r="B776" t="s">
        <v>745</v>
      </c>
      <c r="D776" s="15" t="s">
        <v>1534</v>
      </c>
    </row>
    <row r="777" spans="1:4" x14ac:dyDescent="0.25">
      <c r="A777" t="str">
        <f>"100749"</f>
        <v>100749</v>
      </c>
      <c r="B777" t="s">
        <v>746</v>
      </c>
      <c r="D777" s="15" t="s">
        <v>808</v>
      </c>
    </row>
    <row r="778" spans="1:4" x14ac:dyDescent="0.25">
      <c r="A778" t="str">
        <f>"100750"</f>
        <v>100750</v>
      </c>
      <c r="B778" t="s">
        <v>747</v>
      </c>
      <c r="D778" s="15" t="s">
        <v>779</v>
      </c>
    </row>
    <row r="779" spans="1:4" x14ac:dyDescent="0.25">
      <c r="A779" t="str">
        <f>"100751"</f>
        <v>100751</v>
      </c>
      <c r="B779" t="s">
        <v>748</v>
      </c>
      <c r="D779" s="15" t="s">
        <v>810</v>
      </c>
    </row>
    <row r="780" spans="1:4" x14ac:dyDescent="0.25">
      <c r="A780" t="str">
        <f>"100752"</f>
        <v>100752</v>
      </c>
      <c r="B780" t="s">
        <v>749</v>
      </c>
      <c r="D780" s="15" t="s">
        <v>371</v>
      </c>
    </row>
    <row r="781" spans="1:4" x14ac:dyDescent="0.25">
      <c r="A781" t="str">
        <f>"100753"</f>
        <v>100753</v>
      </c>
      <c r="B781" t="s">
        <v>750</v>
      </c>
      <c r="D781" s="15" t="s">
        <v>641</v>
      </c>
    </row>
    <row r="782" spans="1:4" x14ac:dyDescent="0.25">
      <c r="A782" t="str">
        <f>"100754"</f>
        <v>100754</v>
      </c>
      <c r="B782" t="s">
        <v>751</v>
      </c>
      <c r="D782" s="15" t="s">
        <v>840</v>
      </c>
    </row>
    <row r="783" spans="1:4" x14ac:dyDescent="0.25">
      <c r="A783" t="str">
        <f>"100755"</f>
        <v>100755</v>
      </c>
      <c r="B783" t="s">
        <v>752</v>
      </c>
      <c r="D783" s="15" t="s">
        <v>823</v>
      </c>
    </row>
    <row r="784" spans="1:4" x14ac:dyDescent="0.25">
      <c r="A784" t="str">
        <f>"100756"</f>
        <v>100756</v>
      </c>
      <c r="B784" t="s">
        <v>753</v>
      </c>
      <c r="D784" s="15" t="s">
        <v>2568</v>
      </c>
    </row>
    <row r="785" spans="1:4" x14ac:dyDescent="0.25">
      <c r="A785" t="str">
        <f>"100757"</f>
        <v>100757</v>
      </c>
      <c r="B785" t="s">
        <v>754</v>
      </c>
      <c r="D785" s="15" t="s">
        <v>2330</v>
      </c>
    </row>
    <row r="786" spans="1:4" x14ac:dyDescent="0.25">
      <c r="A786" t="str">
        <f>"100758"</f>
        <v>100758</v>
      </c>
      <c r="B786" t="s">
        <v>755</v>
      </c>
      <c r="D786" s="15" t="s">
        <v>2295</v>
      </c>
    </row>
    <row r="787" spans="1:4" x14ac:dyDescent="0.25">
      <c r="A787" t="str">
        <f>"100759"</f>
        <v>100759</v>
      </c>
      <c r="B787" t="s">
        <v>756</v>
      </c>
      <c r="D787" s="15" t="s">
        <v>2322</v>
      </c>
    </row>
    <row r="788" spans="1:4" x14ac:dyDescent="0.25">
      <c r="A788" t="str">
        <f>"100760"</f>
        <v>100760</v>
      </c>
      <c r="B788" t="s">
        <v>757</v>
      </c>
      <c r="D788" s="15" t="s">
        <v>2566</v>
      </c>
    </row>
    <row r="789" spans="1:4" x14ac:dyDescent="0.25">
      <c r="A789" t="str">
        <f>"100761"</f>
        <v>100761</v>
      </c>
      <c r="B789" t="s">
        <v>758</v>
      </c>
      <c r="D789" s="15" t="s">
        <v>783</v>
      </c>
    </row>
    <row r="790" spans="1:4" x14ac:dyDescent="0.25">
      <c r="A790" t="str">
        <f>"100762"</f>
        <v>100762</v>
      </c>
      <c r="B790" t="s">
        <v>759</v>
      </c>
      <c r="D790" s="15" t="s">
        <v>1306</v>
      </c>
    </row>
    <row r="791" spans="1:4" x14ac:dyDescent="0.25">
      <c r="A791" t="str">
        <f>"100763"</f>
        <v>100763</v>
      </c>
      <c r="B791" t="s">
        <v>760</v>
      </c>
      <c r="D791" s="15" t="s">
        <v>2459</v>
      </c>
    </row>
    <row r="792" spans="1:4" x14ac:dyDescent="0.25">
      <c r="A792" t="str">
        <f>"100764"</f>
        <v>100764</v>
      </c>
      <c r="B792" t="s">
        <v>761</v>
      </c>
      <c r="D792" s="15" t="s">
        <v>1342</v>
      </c>
    </row>
    <row r="793" spans="1:4" x14ac:dyDescent="0.25">
      <c r="A793" t="str">
        <f>"100765"</f>
        <v>100765</v>
      </c>
      <c r="B793" t="s">
        <v>762</v>
      </c>
      <c r="D793" s="15" t="s">
        <v>838</v>
      </c>
    </row>
    <row r="794" spans="1:4" x14ac:dyDescent="0.25">
      <c r="A794" t="str">
        <f>"100766"</f>
        <v>100766</v>
      </c>
      <c r="B794" t="s">
        <v>763</v>
      </c>
      <c r="D794" s="15" t="s">
        <v>775</v>
      </c>
    </row>
    <row r="795" spans="1:4" x14ac:dyDescent="0.25">
      <c r="A795" t="str">
        <f>"100767"</f>
        <v>100767</v>
      </c>
      <c r="B795" t="s">
        <v>764</v>
      </c>
      <c r="D795" s="15" t="s">
        <v>1390</v>
      </c>
    </row>
    <row r="796" spans="1:4" x14ac:dyDescent="0.25">
      <c r="A796" t="str">
        <f>"100768"</f>
        <v>100768</v>
      </c>
      <c r="B796" t="s">
        <v>765</v>
      </c>
      <c r="D796" s="15" t="s">
        <v>874</v>
      </c>
    </row>
    <row r="797" spans="1:4" x14ac:dyDescent="0.25">
      <c r="A797" t="str">
        <f>"100769"</f>
        <v>100769</v>
      </c>
      <c r="B797" t="s">
        <v>766</v>
      </c>
      <c r="D797" s="15" t="s">
        <v>715</v>
      </c>
    </row>
    <row r="798" spans="1:4" x14ac:dyDescent="0.25">
      <c r="A798" t="str">
        <f>"100770"</f>
        <v>100770</v>
      </c>
      <c r="B798" t="s">
        <v>767</v>
      </c>
      <c r="D798" s="15" t="s">
        <v>1349</v>
      </c>
    </row>
    <row r="799" spans="1:4" x14ac:dyDescent="0.25">
      <c r="A799" t="str">
        <f>"100771"</f>
        <v>100771</v>
      </c>
      <c r="B799" t="s">
        <v>768</v>
      </c>
      <c r="D799" s="15" t="s">
        <v>621</v>
      </c>
    </row>
    <row r="800" spans="1:4" x14ac:dyDescent="0.25">
      <c r="A800" t="str">
        <f>"100772"</f>
        <v>100772</v>
      </c>
      <c r="B800" t="s">
        <v>769</v>
      </c>
      <c r="D800" s="15" t="s">
        <v>1113</v>
      </c>
    </row>
    <row r="801" spans="1:4" x14ac:dyDescent="0.25">
      <c r="A801" t="str">
        <f>"100773"</f>
        <v>100773</v>
      </c>
      <c r="B801" t="s">
        <v>770</v>
      </c>
      <c r="D801" s="15" t="s">
        <v>1266</v>
      </c>
    </row>
    <row r="802" spans="1:4" x14ac:dyDescent="0.25">
      <c r="A802" t="str">
        <f>"100774"</f>
        <v>100774</v>
      </c>
      <c r="B802" t="s">
        <v>771</v>
      </c>
      <c r="D802" s="15" t="s">
        <v>1611</v>
      </c>
    </row>
    <row r="803" spans="1:4" x14ac:dyDescent="0.25">
      <c r="A803" t="str">
        <f>"100775"</f>
        <v>100775</v>
      </c>
      <c r="B803" t="s">
        <v>772</v>
      </c>
      <c r="D803" s="15" t="s">
        <v>1014</v>
      </c>
    </row>
    <row r="804" spans="1:4" x14ac:dyDescent="0.25">
      <c r="A804" t="str">
        <f>"100776"</f>
        <v>100776</v>
      </c>
      <c r="B804" t="s">
        <v>773</v>
      </c>
      <c r="D804" s="15" t="s">
        <v>825</v>
      </c>
    </row>
    <row r="805" spans="1:4" x14ac:dyDescent="0.25">
      <c r="A805" t="str">
        <f>"100777"</f>
        <v>100777</v>
      </c>
      <c r="B805" t="s">
        <v>774</v>
      </c>
      <c r="D805" s="15" t="s">
        <v>1211</v>
      </c>
    </row>
    <row r="806" spans="1:4" x14ac:dyDescent="0.25">
      <c r="A806" t="str">
        <f>"100778"</f>
        <v>100778</v>
      </c>
      <c r="B806" t="s">
        <v>775</v>
      </c>
      <c r="D806" s="15" t="s">
        <v>643</v>
      </c>
    </row>
    <row r="807" spans="1:4" x14ac:dyDescent="0.25">
      <c r="A807" t="str">
        <f>"100779"</f>
        <v>100779</v>
      </c>
      <c r="B807" t="s">
        <v>776</v>
      </c>
      <c r="D807" s="15" t="s">
        <v>243</v>
      </c>
    </row>
    <row r="808" spans="1:4" x14ac:dyDescent="0.25">
      <c r="A808" t="str">
        <f>"100780"</f>
        <v>100780</v>
      </c>
      <c r="B808" t="s">
        <v>777</v>
      </c>
      <c r="D808" s="15" t="s">
        <v>1806</v>
      </c>
    </row>
    <row r="809" spans="1:4" x14ac:dyDescent="0.25">
      <c r="A809" t="str">
        <f>"100781"</f>
        <v>100781</v>
      </c>
      <c r="B809" t="s">
        <v>778</v>
      </c>
      <c r="D809" s="15" t="s">
        <v>237</v>
      </c>
    </row>
    <row r="810" spans="1:4" x14ac:dyDescent="0.25">
      <c r="A810" t="str">
        <f>"100782"</f>
        <v>100782</v>
      </c>
      <c r="B810" t="s">
        <v>779</v>
      </c>
      <c r="D810" s="15" t="s">
        <v>1851</v>
      </c>
    </row>
    <row r="811" spans="1:4" x14ac:dyDescent="0.25">
      <c r="A811" t="str">
        <f>"100783"</f>
        <v>100783</v>
      </c>
      <c r="B811" t="s">
        <v>780</v>
      </c>
      <c r="D811" s="15" t="s">
        <v>997</v>
      </c>
    </row>
    <row r="812" spans="1:4" x14ac:dyDescent="0.25">
      <c r="A812" t="str">
        <f>"100784"</f>
        <v>100784</v>
      </c>
      <c r="B812" t="s">
        <v>781</v>
      </c>
      <c r="D812" s="15" t="s">
        <v>234</v>
      </c>
    </row>
    <row r="813" spans="1:4" x14ac:dyDescent="0.25">
      <c r="A813" t="str">
        <f>"100785"</f>
        <v>100785</v>
      </c>
      <c r="B813" t="s">
        <v>782</v>
      </c>
      <c r="D813" s="15" t="s">
        <v>629</v>
      </c>
    </row>
    <row r="814" spans="1:4" x14ac:dyDescent="0.25">
      <c r="A814" t="str">
        <f>"100786"</f>
        <v>100786</v>
      </c>
      <c r="B814" t="s">
        <v>783</v>
      </c>
      <c r="D814" s="15" t="s">
        <v>2051</v>
      </c>
    </row>
    <row r="815" spans="1:4" x14ac:dyDescent="0.25">
      <c r="A815" t="str">
        <f>"100787"</f>
        <v>100787</v>
      </c>
      <c r="B815" t="s">
        <v>784</v>
      </c>
      <c r="D815" s="15" t="s">
        <v>2599</v>
      </c>
    </row>
    <row r="816" spans="1:4" x14ac:dyDescent="0.25">
      <c r="A816" t="str">
        <f>"100788"</f>
        <v>100788</v>
      </c>
      <c r="B816" t="s">
        <v>785</v>
      </c>
      <c r="D816" s="15" t="s">
        <v>2149</v>
      </c>
    </row>
    <row r="817" spans="1:4" x14ac:dyDescent="0.25">
      <c r="A817" t="str">
        <f>"100789"</f>
        <v>100789</v>
      </c>
      <c r="B817" t="s">
        <v>786</v>
      </c>
      <c r="D817" s="15" t="s">
        <v>850</v>
      </c>
    </row>
    <row r="818" spans="1:4" x14ac:dyDescent="0.25">
      <c r="A818" t="str">
        <f>"100790"</f>
        <v>100790</v>
      </c>
      <c r="B818" t="s">
        <v>787</v>
      </c>
      <c r="D818" s="15" t="s">
        <v>2180</v>
      </c>
    </row>
    <row r="819" spans="1:4" x14ac:dyDescent="0.25">
      <c r="A819" t="str">
        <f>"100791"</f>
        <v>100791</v>
      </c>
      <c r="B819" t="s">
        <v>788</v>
      </c>
      <c r="D819" s="15" t="s">
        <v>720</v>
      </c>
    </row>
    <row r="820" spans="1:4" x14ac:dyDescent="0.25">
      <c r="A820" t="str">
        <f>"100792"</f>
        <v>100792</v>
      </c>
      <c r="B820" t="s">
        <v>789</v>
      </c>
      <c r="D820" s="15" t="s">
        <v>1729</v>
      </c>
    </row>
    <row r="821" spans="1:4" x14ac:dyDescent="0.25">
      <c r="A821" t="str">
        <f>"100793"</f>
        <v>100793</v>
      </c>
      <c r="B821" t="s">
        <v>790</v>
      </c>
      <c r="D821" s="15" t="s">
        <v>382</v>
      </c>
    </row>
    <row r="822" spans="1:4" x14ac:dyDescent="0.25">
      <c r="A822" t="str">
        <f>"100794"</f>
        <v>100794</v>
      </c>
      <c r="B822" t="s">
        <v>791</v>
      </c>
      <c r="D822" s="15" t="s">
        <v>2247</v>
      </c>
    </row>
    <row r="823" spans="1:4" x14ac:dyDescent="0.25">
      <c r="A823" t="str">
        <f>"100795"</f>
        <v>100795</v>
      </c>
      <c r="B823" t="s">
        <v>792</v>
      </c>
      <c r="D823" s="15" t="s">
        <v>383</v>
      </c>
    </row>
    <row r="824" spans="1:4" x14ac:dyDescent="0.25">
      <c r="A824" t="str">
        <f>"100796"</f>
        <v>100796</v>
      </c>
      <c r="B824" t="s">
        <v>793</v>
      </c>
      <c r="D824" s="15" t="s">
        <v>976</v>
      </c>
    </row>
    <row r="825" spans="1:4" x14ac:dyDescent="0.25">
      <c r="A825" t="str">
        <f>"100797"</f>
        <v>100797</v>
      </c>
      <c r="B825" t="s">
        <v>794</v>
      </c>
      <c r="D825" s="15" t="s">
        <v>1334</v>
      </c>
    </row>
    <row r="826" spans="1:4" x14ac:dyDescent="0.25">
      <c r="A826" t="str">
        <f>"100798"</f>
        <v>100798</v>
      </c>
      <c r="B826" t="s">
        <v>795</v>
      </c>
      <c r="D826" s="15" t="s">
        <v>1758</v>
      </c>
    </row>
    <row r="827" spans="1:4" x14ac:dyDescent="0.25">
      <c r="A827" t="str">
        <f>"100799"</f>
        <v>100799</v>
      </c>
      <c r="B827" t="s">
        <v>796</v>
      </c>
      <c r="D827" s="15" t="s">
        <v>1984</v>
      </c>
    </row>
    <row r="828" spans="1:4" x14ac:dyDescent="0.25">
      <c r="A828" t="str">
        <f>"100800"</f>
        <v>100800</v>
      </c>
      <c r="B828" t="s">
        <v>797</v>
      </c>
      <c r="D828" s="15" t="s">
        <v>1116</v>
      </c>
    </row>
    <row r="829" spans="1:4" x14ac:dyDescent="0.25">
      <c r="A829" t="str">
        <f>"100801"</f>
        <v>100801</v>
      </c>
      <c r="B829" t="s">
        <v>798</v>
      </c>
      <c r="D829" s="15" t="s">
        <v>615</v>
      </c>
    </row>
    <row r="830" spans="1:4" x14ac:dyDescent="0.25">
      <c r="A830" t="str">
        <f>"100802"</f>
        <v>100802</v>
      </c>
      <c r="B830" t="s">
        <v>799</v>
      </c>
      <c r="D830" s="15" t="s">
        <v>1683</v>
      </c>
    </row>
    <row r="831" spans="1:4" x14ac:dyDescent="0.25">
      <c r="A831" t="str">
        <f>"100803"</f>
        <v>100803</v>
      </c>
      <c r="B831" t="s">
        <v>800</v>
      </c>
      <c r="D831" s="15" t="s">
        <v>1017</v>
      </c>
    </row>
    <row r="832" spans="1:4" x14ac:dyDescent="0.25">
      <c r="A832" t="str">
        <f>"100804"</f>
        <v>100804</v>
      </c>
      <c r="B832" t="s">
        <v>801</v>
      </c>
      <c r="D832" s="15" t="s">
        <v>1749</v>
      </c>
    </row>
    <row r="833" spans="1:4" x14ac:dyDescent="0.25">
      <c r="A833" t="str">
        <f>"100805"</f>
        <v>100805</v>
      </c>
      <c r="B833" t="s">
        <v>802</v>
      </c>
      <c r="D833" s="15" t="s">
        <v>2370</v>
      </c>
    </row>
    <row r="834" spans="1:4" x14ac:dyDescent="0.25">
      <c r="A834" t="str">
        <f>"100806"</f>
        <v>100806</v>
      </c>
      <c r="B834" t="s">
        <v>803</v>
      </c>
      <c r="D834" s="15" t="s">
        <v>1788</v>
      </c>
    </row>
    <row r="835" spans="1:4" x14ac:dyDescent="0.25">
      <c r="A835" t="str">
        <f>"100807"</f>
        <v>100807</v>
      </c>
      <c r="B835" t="s">
        <v>804</v>
      </c>
      <c r="D835" s="15" t="s">
        <v>1267</v>
      </c>
    </row>
    <row r="836" spans="1:4" x14ac:dyDescent="0.25">
      <c r="A836" t="str">
        <f>"100808"</f>
        <v>100808</v>
      </c>
      <c r="B836" t="s">
        <v>805</v>
      </c>
      <c r="D836" s="15" t="s">
        <v>1455</v>
      </c>
    </row>
    <row r="837" spans="1:4" x14ac:dyDescent="0.25">
      <c r="A837" t="str">
        <f>"100809"</f>
        <v>100809</v>
      </c>
      <c r="B837" t="s">
        <v>806</v>
      </c>
      <c r="D837" s="15" t="s">
        <v>2414</v>
      </c>
    </row>
    <row r="838" spans="1:4" x14ac:dyDescent="0.25">
      <c r="A838" t="str">
        <f>"100810"</f>
        <v>100810</v>
      </c>
      <c r="B838" t="s">
        <v>807</v>
      </c>
      <c r="D838" s="15" t="s">
        <v>295</v>
      </c>
    </row>
    <row r="839" spans="1:4" x14ac:dyDescent="0.25">
      <c r="A839" t="str">
        <f>"100811"</f>
        <v>100811</v>
      </c>
      <c r="B839" t="s">
        <v>808</v>
      </c>
      <c r="D839" s="15" t="s">
        <v>1018</v>
      </c>
    </row>
    <row r="840" spans="1:4" x14ac:dyDescent="0.25">
      <c r="A840" t="str">
        <f>"100812"</f>
        <v>100812</v>
      </c>
      <c r="B840" t="s">
        <v>809</v>
      </c>
      <c r="D840" s="15" t="s">
        <v>989</v>
      </c>
    </row>
    <row r="841" spans="1:4" x14ac:dyDescent="0.25">
      <c r="A841" t="str">
        <f>"100813"</f>
        <v>100813</v>
      </c>
      <c r="B841" t="s">
        <v>810</v>
      </c>
      <c r="D841" s="15" t="s">
        <v>1474</v>
      </c>
    </row>
    <row r="842" spans="1:4" x14ac:dyDescent="0.25">
      <c r="A842" t="str">
        <f>"100814"</f>
        <v>100814</v>
      </c>
      <c r="B842" t="s">
        <v>811</v>
      </c>
      <c r="D842" s="15" t="s">
        <v>2799</v>
      </c>
    </row>
    <row r="843" spans="1:4" x14ac:dyDescent="0.25">
      <c r="A843" t="str">
        <f>"100815"</f>
        <v>100815</v>
      </c>
      <c r="B843" t="s">
        <v>812</v>
      </c>
      <c r="D843" s="15" t="s">
        <v>1503</v>
      </c>
    </row>
    <row r="844" spans="1:4" x14ac:dyDescent="0.25">
      <c r="A844" t="str">
        <f>"100816"</f>
        <v>100816</v>
      </c>
      <c r="B844" t="s">
        <v>813</v>
      </c>
      <c r="D844" s="15" t="s">
        <v>645</v>
      </c>
    </row>
    <row r="845" spans="1:4" x14ac:dyDescent="0.25">
      <c r="A845" t="str">
        <f>"100817"</f>
        <v>100817</v>
      </c>
      <c r="B845" t="s">
        <v>814</v>
      </c>
      <c r="D845" s="15" t="s">
        <v>2826</v>
      </c>
    </row>
    <row r="846" spans="1:4" x14ac:dyDescent="0.25">
      <c r="A846" t="str">
        <f>"100818"</f>
        <v>100818</v>
      </c>
      <c r="B846" t="s">
        <v>815</v>
      </c>
      <c r="D846" s="15" t="s">
        <v>757</v>
      </c>
    </row>
    <row r="847" spans="1:4" x14ac:dyDescent="0.25">
      <c r="A847" t="str">
        <f>"100819"</f>
        <v>100819</v>
      </c>
      <c r="B847" t="s">
        <v>816</v>
      </c>
      <c r="D847" s="15" t="s">
        <v>285</v>
      </c>
    </row>
    <row r="848" spans="1:4" x14ac:dyDescent="0.25">
      <c r="A848" t="str">
        <f>"100820"</f>
        <v>100820</v>
      </c>
      <c r="B848" t="s">
        <v>817</v>
      </c>
      <c r="D848" s="15" t="s">
        <v>312</v>
      </c>
    </row>
    <row r="849" spans="1:4" x14ac:dyDescent="0.25">
      <c r="A849" t="str">
        <f>"100821"</f>
        <v>100821</v>
      </c>
      <c r="B849" t="s">
        <v>818</v>
      </c>
      <c r="D849" s="15" t="s">
        <v>2145</v>
      </c>
    </row>
    <row r="850" spans="1:4" x14ac:dyDescent="0.25">
      <c r="A850" t="str">
        <f>"100822"</f>
        <v>100822</v>
      </c>
      <c r="B850" t="s">
        <v>819</v>
      </c>
      <c r="D850" s="15" t="s">
        <v>581</v>
      </c>
    </row>
    <row r="851" spans="1:4" x14ac:dyDescent="0.25">
      <c r="A851" t="str">
        <f>"100823"</f>
        <v>100823</v>
      </c>
      <c r="B851" t="s">
        <v>820</v>
      </c>
      <c r="D851" s="15" t="s">
        <v>2344</v>
      </c>
    </row>
    <row r="852" spans="1:4" x14ac:dyDescent="0.25">
      <c r="A852" t="str">
        <f>"100824"</f>
        <v>100824</v>
      </c>
      <c r="B852" t="s">
        <v>821</v>
      </c>
      <c r="D852" s="15" t="s">
        <v>325</v>
      </c>
    </row>
    <row r="853" spans="1:4" x14ac:dyDescent="0.25">
      <c r="A853" t="str">
        <f>"100825"</f>
        <v>100825</v>
      </c>
      <c r="B853" t="s">
        <v>822</v>
      </c>
      <c r="D853" s="15" t="s">
        <v>486</v>
      </c>
    </row>
    <row r="854" spans="1:4" x14ac:dyDescent="0.25">
      <c r="A854" t="str">
        <f>"100826"</f>
        <v>100826</v>
      </c>
      <c r="B854" t="s">
        <v>823</v>
      </c>
      <c r="D854" s="15" t="s">
        <v>2752</v>
      </c>
    </row>
    <row r="855" spans="1:4" x14ac:dyDescent="0.25">
      <c r="A855" t="str">
        <f>"100827"</f>
        <v>100827</v>
      </c>
      <c r="B855" t="s">
        <v>824</v>
      </c>
      <c r="D855" s="15" t="s">
        <v>693</v>
      </c>
    </row>
    <row r="856" spans="1:4" x14ac:dyDescent="0.25">
      <c r="A856" t="str">
        <f>"100828"</f>
        <v>100828</v>
      </c>
      <c r="B856" t="s">
        <v>825</v>
      </c>
      <c r="D856" s="15" t="s">
        <v>888</v>
      </c>
    </row>
    <row r="857" spans="1:4" x14ac:dyDescent="0.25">
      <c r="A857" t="str">
        <f>"100829"</f>
        <v>100829</v>
      </c>
      <c r="B857" t="s">
        <v>826</v>
      </c>
      <c r="D857" s="15" t="s">
        <v>1280</v>
      </c>
    </row>
    <row r="858" spans="1:4" x14ac:dyDescent="0.25">
      <c r="A858" t="str">
        <f>"100830"</f>
        <v>100830</v>
      </c>
      <c r="B858" t="s">
        <v>827</v>
      </c>
      <c r="D858" s="15" t="s">
        <v>1789</v>
      </c>
    </row>
    <row r="859" spans="1:4" x14ac:dyDescent="0.25">
      <c r="A859" t="str">
        <f>"100831"</f>
        <v>100831</v>
      </c>
      <c r="B859" t="s">
        <v>828</v>
      </c>
      <c r="D859" s="15" t="s">
        <v>1678</v>
      </c>
    </row>
    <row r="860" spans="1:4" x14ac:dyDescent="0.25">
      <c r="A860" t="str">
        <f>"100832"</f>
        <v>100832</v>
      </c>
      <c r="B860" t="s">
        <v>829</v>
      </c>
      <c r="D860" s="15" t="s">
        <v>289</v>
      </c>
    </row>
    <row r="861" spans="1:4" x14ac:dyDescent="0.25">
      <c r="A861" t="str">
        <f>"100833"</f>
        <v>100833</v>
      </c>
      <c r="B861" t="s">
        <v>830</v>
      </c>
      <c r="D861" s="15" t="s">
        <v>384</v>
      </c>
    </row>
    <row r="862" spans="1:4" x14ac:dyDescent="0.25">
      <c r="A862" t="str">
        <f>"100834"</f>
        <v>100834</v>
      </c>
      <c r="B862" t="s">
        <v>831</v>
      </c>
      <c r="D862" s="15" t="s">
        <v>1007</v>
      </c>
    </row>
    <row r="863" spans="1:4" x14ac:dyDescent="0.25">
      <c r="A863" t="str">
        <f>"100835"</f>
        <v>100835</v>
      </c>
      <c r="B863" t="s">
        <v>832</v>
      </c>
      <c r="D863" s="15" t="s">
        <v>281</v>
      </c>
    </row>
    <row r="864" spans="1:4" x14ac:dyDescent="0.25">
      <c r="A864" t="str">
        <f>"100836"</f>
        <v>100836</v>
      </c>
      <c r="B864" t="s">
        <v>833</v>
      </c>
      <c r="D864" s="15" t="s">
        <v>283</v>
      </c>
    </row>
    <row r="865" spans="1:4" x14ac:dyDescent="0.25">
      <c r="A865" t="str">
        <f>"100837"</f>
        <v>100837</v>
      </c>
      <c r="B865" t="s">
        <v>834</v>
      </c>
      <c r="D865" s="15" t="s">
        <v>1800</v>
      </c>
    </row>
    <row r="866" spans="1:4" x14ac:dyDescent="0.25">
      <c r="A866" t="str">
        <f>"100838"</f>
        <v>100838</v>
      </c>
      <c r="B866" t="s">
        <v>835</v>
      </c>
      <c r="D866" s="15" t="s">
        <v>1467</v>
      </c>
    </row>
    <row r="867" spans="1:4" x14ac:dyDescent="0.25">
      <c r="A867" t="str">
        <f>"100839"</f>
        <v>100839</v>
      </c>
      <c r="B867" t="s">
        <v>836</v>
      </c>
      <c r="D867" s="15" t="s">
        <v>1642</v>
      </c>
    </row>
    <row r="868" spans="1:4" x14ac:dyDescent="0.25">
      <c r="A868" t="str">
        <f>"100840"</f>
        <v>100840</v>
      </c>
      <c r="B868" t="s">
        <v>837</v>
      </c>
      <c r="D868" s="15" t="s">
        <v>916</v>
      </c>
    </row>
    <row r="869" spans="1:4" x14ac:dyDescent="0.25">
      <c r="A869" t="str">
        <f>"100841"</f>
        <v>100841</v>
      </c>
      <c r="B869" t="s">
        <v>838</v>
      </c>
      <c r="D869" s="15" t="s">
        <v>1601</v>
      </c>
    </row>
    <row r="870" spans="1:4" x14ac:dyDescent="0.25">
      <c r="A870" t="str">
        <f>"100842"</f>
        <v>100842</v>
      </c>
      <c r="B870" t="s">
        <v>839</v>
      </c>
      <c r="D870" s="15" t="s">
        <v>2273</v>
      </c>
    </row>
    <row r="871" spans="1:4" x14ac:dyDescent="0.25">
      <c r="A871" t="str">
        <f>"100843"</f>
        <v>100843</v>
      </c>
      <c r="B871" t="s">
        <v>840</v>
      </c>
      <c r="D871" s="15" t="s">
        <v>1753</v>
      </c>
    </row>
    <row r="872" spans="1:4" x14ac:dyDescent="0.25">
      <c r="A872" t="str">
        <f>"100844"</f>
        <v>100844</v>
      </c>
      <c r="B872" t="s">
        <v>841</v>
      </c>
      <c r="D872" s="15" t="s">
        <v>2585</v>
      </c>
    </row>
    <row r="873" spans="1:4" x14ac:dyDescent="0.25">
      <c r="A873" t="str">
        <f>"100845"</f>
        <v>100845</v>
      </c>
      <c r="B873" t="s">
        <v>842</v>
      </c>
      <c r="D873" s="15" t="s">
        <v>1257</v>
      </c>
    </row>
    <row r="874" spans="1:4" x14ac:dyDescent="0.25">
      <c r="A874" t="str">
        <f>"100846"</f>
        <v>100846</v>
      </c>
      <c r="B874" t="s">
        <v>843</v>
      </c>
      <c r="D874" s="15" t="s">
        <v>1387</v>
      </c>
    </row>
    <row r="875" spans="1:4" x14ac:dyDescent="0.25">
      <c r="A875" t="str">
        <f>"100847"</f>
        <v>100847</v>
      </c>
      <c r="B875" t="s">
        <v>844</v>
      </c>
      <c r="D875" s="15" t="s">
        <v>1469</v>
      </c>
    </row>
    <row r="876" spans="1:4" x14ac:dyDescent="0.25">
      <c r="A876" t="str">
        <f>"100848"</f>
        <v>100848</v>
      </c>
      <c r="B876" t="s">
        <v>845</v>
      </c>
      <c r="D876" s="15" t="s">
        <v>805</v>
      </c>
    </row>
    <row r="877" spans="1:4" x14ac:dyDescent="0.25">
      <c r="A877" t="str">
        <f>"100849"</f>
        <v>100849</v>
      </c>
      <c r="B877" t="s">
        <v>846</v>
      </c>
      <c r="D877" s="15" t="s">
        <v>1506</v>
      </c>
    </row>
    <row r="878" spans="1:4" x14ac:dyDescent="0.25">
      <c r="A878" t="str">
        <f>"100850"</f>
        <v>100850</v>
      </c>
      <c r="B878" t="s">
        <v>847</v>
      </c>
      <c r="D878" s="15" t="s">
        <v>2560</v>
      </c>
    </row>
    <row r="879" spans="1:4" x14ac:dyDescent="0.25">
      <c r="A879" t="str">
        <f>"100851"</f>
        <v>100851</v>
      </c>
      <c r="B879" t="s">
        <v>848</v>
      </c>
      <c r="D879" s="15" t="s">
        <v>2309</v>
      </c>
    </row>
    <row r="880" spans="1:4" x14ac:dyDescent="0.25">
      <c r="A880" t="str">
        <f>"100852"</f>
        <v>100852</v>
      </c>
      <c r="B880" t="s">
        <v>849</v>
      </c>
      <c r="D880" s="15" t="s">
        <v>1732</v>
      </c>
    </row>
    <row r="881" spans="1:4" x14ac:dyDescent="0.25">
      <c r="A881" t="str">
        <f>"100853"</f>
        <v>100853</v>
      </c>
      <c r="B881" t="s">
        <v>850</v>
      </c>
      <c r="D881" s="15" t="s">
        <v>1312</v>
      </c>
    </row>
    <row r="882" spans="1:4" x14ac:dyDescent="0.25">
      <c r="A882" t="str">
        <f>"100854"</f>
        <v>100854</v>
      </c>
      <c r="B882" t="s">
        <v>851</v>
      </c>
      <c r="D882" s="15" t="s">
        <v>1236</v>
      </c>
    </row>
    <row r="883" spans="1:4" x14ac:dyDescent="0.25">
      <c r="A883" t="str">
        <f>"100855"</f>
        <v>100855</v>
      </c>
      <c r="B883" t="s">
        <v>852</v>
      </c>
      <c r="D883" s="15" t="s">
        <v>716</v>
      </c>
    </row>
    <row r="884" spans="1:4" x14ac:dyDescent="0.25">
      <c r="A884" t="str">
        <f>"100856"</f>
        <v>100856</v>
      </c>
      <c r="B884" t="s">
        <v>853</v>
      </c>
      <c r="D884" s="15" t="s">
        <v>2724</v>
      </c>
    </row>
    <row r="885" spans="1:4" x14ac:dyDescent="0.25">
      <c r="A885" t="str">
        <f>"100857"</f>
        <v>100857</v>
      </c>
      <c r="B885" t="s">
        <v>854</v>
      </c>
      <c r="D885" s="15" t="s">
        <v>2801</v>
      </c>
    </row>
    <row r="886" spans="1:4" x14ac:dyDescent="0.25">
      <c r="A886" t="str">
        <f>"100858"</f>
        <v>100858</v>
      </c>
      <c r="B886" t="s">
        <v>855</v>
      </c>
      <c r="D886" s="15" t="s">
        <v>2384</v>
      </c>
    </row>
    <row r="887" spans="1:4" x14ac:dyDescent="0.25">
      <c r="A887" t="str">
        <f>"100859"</f>
        <v>100859</v>
      </c>
      <c r="B887" t="s">
        <v>856</v>
      </c>
      <c r="D887" s="15" t="s">
        <v>1776</v>
      </c>
    </row>
    <row r="888" spans="1:4" x14ac:dyDescent="0.25">
      <c r="A888" t="str">
        <f>"100860"</f>
        <v>100860</v>
      </c>
      <c r="B888" t="s">
        <v>857</v>
      </c>
      <c r="D888" s="15" t="s">
        <v>859</v>
      </c>
    </row>
    <row r="889" spans="1:4" x14ac:dyDescent="0.25">
      <c r="A889" t="str">
        <f>"100861"</f>
        <v>100861</v>
      </c>
      <c r="B889" t="s">
        <v>858</v>
      </c>
      <c r="D889" s="15" t="s">
        <v>304</v>
      </c>
    </row>
    <row r="890" spans="1:4" x14ac:dyDescent="0.25">
      <c r="A890" t="str">
        <f>"100862"</f>
        <v>100862</v>
      </c>
      <c r="B890" t="s">
        <v>859</v>
      </c>
      <c r="D890" s="15" t="s">
        <v>2392</v>
      </c>
    </row>
    <row r="891" spans="1:4" x14ac:dyDescent="0.25">
      <c r="A891" t="str">
        <f>"100863"</f>
        <v>100863</v>
      </c>
      <c r="B891" t="s">
        <v>860</v>
      </c>
      <c r="D891" s="15" t="s">
        <v>2399</v>
      </c>
    </row>
    <row r="892" spans="1:4" x14ac:dyDescent="0.25">
      <c r="A892" t="str">
        <f>"100864"</f>
        <v>100864</v>
      </c>
      <c r="B892" t="s">
        <v>861</v>
      </c>
      <c r="D892" s="15" t="s">
        <v>280</v>
      </c>
    </row>
    <row r="893" spans="1:4" x14ac:dyDescent="0.25">
      <c r="A893" t="str">
        <f>"100865"</f>
        <v>100865</v>
      </c>
      <c r="B893" t="s">
        <v>862</v>
      </c>
      <c r="D893" s="15" t="s">
        <v>298</v>
      </c>
    </row>
    <row r="894" spans="1:4" x14ac:dyDescent="0.25">
      <c r="A894" t="str">
        <f>"100866"</f>
        <v>100866</v>
      </c>
      <c r="B894" t="s">
        <v>863</v>
      </c>
      <c r="D894" s="15" t="s">
        <v>290</v>
      </c>
    </row>
    <row r="895" spans="1:4" x14ac:dyDescent="0.25">
      <c r="A895" t="str">
        <f>"100867"</f>
        <v>100867</v>
      </c>
      <c r="B895" t="s">
        <v>864</v>
      </c>
      <c r="D895" s="15" t="s">
        <v>284</v>
      </c>
    </row>
    <row r="896" spans="1:4" x14ac:dyDescent="0.25">
      <c r="A896" t="str">
        <f>"100868"</f>
        <v>100868</v>
      </c>
      <c r="B896" t="s">
        <v>865</v>
      </c>
      <c r="D896" s="15" t="s">
        <v>311</v>
      </c>
    </row>
    <row r="897" spans="1:4" x14ac:dyDescent="0.25">
      <c r="A897" t="str">
        <f>"100869"</f>
        <v>100869</v>
      </c>
      <c r="B897" t="s">
        <v>866</v>
      </c>
      <c r="D897" s="15" t="s">
        <v>303</v>
      </c>
    </row>
    <row r="898" spans="1:4" x14ac:dyDescent="0.25">
      <c r="A898" t="str">
        <f>"100870"</f>
        <v>100870</v>
      </c>
      <c r="B898" t="s">
        <v>867</v>
      </c>
      <c r="D898" s="15" t="s">
        <v>271</v>
      </c>
    </row>
    <row r="899" spans="1:4" x14ac:dyDescent="0.25">
      <c r="A899" t="str">
        <f>"100871"</f>
        <v>100871</v>
      </c>
      <c r="B899" t="s">
        <v>868</v>
      </c>
      <c r="D899" s="15" t="s">
        <v>291</v>
      </c>
    </row>
    <row r="900" spans="1:4" x14ac:dyDescent="0.25">
      <c r="A900" t="str">
        <f>"100872"</f>
        <v>100872</v>
      </c>
      <c r="B900" t="s">
        <v>869</v>
      </c>
      <c r="D900" s="15" t="s">
        <v>296</v>
      </c>
    </row>
    <row r="901" spans="1:4" x14ac:dyDescent="0.25">
      <c r="A901" t="str">
        <f>"100873"</f>
        <v>100873</v>
      </c>
      <c r="B901" t="s">
        <v>870</v>
      </c>
      <c r="D901" s="15" t="s">
        <v>317</v>
      </c>
    </row>
    <row r="902" spans="1:4" x14ac:dyDescent="0.25">
      <c r="A902" t="str">
        <f>"100874"</f>
        <v>100874</v>
      </c>
      <c r="B902" t="s">
        <v>871</v>
      </c>
      <c r="D902" s="15" t="s">
        <v>299</v>
      </c>
    </row>
    <row r="903" spans="1:4" x14ac:dyDescent="0.25">
      <c r="A903" t="str">
        <f>"100875"</f>
        <v>100875</v>
      </c>
      <c r="B903" t="s">
        <v>872</v>
      </c>
      <c r="D903" s="15" t="s">
        <v>287</v>
      </c>
    </row>
    <row r="904" spans="1:4" x14ac:dyDescent="0.25">
      <c r="A904" t="str">
        <f>"100876"</f>
        <v>100876</v>
      </c>
      <c r="B904" t="s">
        <v>873</v>
      </c>
      <c r="D904" s="15" t="s">
        <v>323</v>
      </c>
    </row>
    <row r="905" spans="1:4" x14ac:dyDescent="0.25">
      <c r="A905" t="str">
        <f>"100877"</f>
        <v>100877</v>
      </c>
      <c r="B905" t="s">
        <v>874</v>
      </c>
      <c r="D905" s="15" t="s">
        <v>1184</v>
      </c>
    </row>
    <row r="906" spans="1:4" x14ac:dyDescent="0.25">
      <c r="A906" t="str">
        <f>"100878"</f>
        <v>100878</v>
      </c>
      <c r="B906" t="s">
        <v>875</v>
      </c>
      <c r="D906" s="15" t="s">
        <v>324</v>
      </c>
    </row>
    <row r="907" spans="1:4" x14ac:dyDescent="0.25">
      <c r="A907" t="str">
        <f>"100879"</f>
        <v>100879</v>
      </c>
      <c r="B907" t="s">
        <v>876</v>
      </c>
      <c r="D907" s="15" t="s">
        <v>1742</v>
      </c>
    </row>
    <row r="908" spans="1:4" x14ac:dyDescent="0.25">
      <c r="A908" t="str">
        <f>"100880"</f>
        <v>100880</v>
      </c>
      <c r="B908" t="s">
        <v>877</v>
      </c>
      <c r="D908" s="15" t="s">
        <v>302</v>
      </c>
    </row>
    <row r="909" spans="1:4" x14ac:dyDescent="0.25">
      <c r="A909" t="str">
        <f>"100881"</f>
        <v>100881</v>
      </c>
      <c r="B909" t="s">
        <v>878</v>
      </c>
      <c r="D909" s="15" t="s">
        <v>1392</v>
      </c>
    </row>
    <row r="910" spans="1:4" x14ac:dyDescent="0.25">
      <c r="A910" t="str">
        <f>"100882"</f>
        <v>100882</v>
      </c>
      <c r="B910" t="s">
        <v>879</v>
      </c>
      <c r="D910" s="15" t="s">
        <v>305</v>
      </c>
    </row>
    <row r="911" spans="1:4" x14ac:dyDescent="0.25">
      <c r="A911" t="str">
        <f>"100883"</f>
        <v>100883</v>
      </c>
      <c r="B911" t="s">
        <v>880</v>
      </c>
      <c r="D911" s="15" t="s">
        <v>292</v>
      </c>
    </row>
    <row r="912" spans="1:4" x14ac:dyDescent="0.25">
      <c r="A912" t="str">
        <f>"100884"</f>
        <v>100884</v>
      </c>
      <c r="B912" t="s">
        <v>881</v>
      </c>
      <c r="D912" s="15" t="s">
        <v>279</v>
      </c>
    </row>
    <row r="913" spans="1:4" x14ac:dyDescent="0.25">
      <c r="A913" t="str">
        <f>"100885"</f>
        <v>100885</v>
      </c>
      <c r="B913" t="s">
        <v>882</v>
      </c>
      <c r="D913" s="15" t="s">
        <v>1624</v>
      </c>
    </row>
    <row r="914" spans="1:4" x14ac:dyDescent="0.25">
      <c r="A914" t="str">
        <f>"100886"</f>
        <v>100886</v>
      </c>
      <c r="B914" t="s">
        <v>883</v>
      </c>
      <c r="D914" s="15" t="s">
        <v>151</v>
      </c>
    </row>
    <row r="915" spans="1:4" x14ac:dyDescent="0.25">
      <c r="A915" t="str">
        <f>"100887"</f>
        <v>100887</v>
      </c>
      <c r="B915" t="s">
        <v>884</v>
      </c>
      <c r="D915" s="15" t="s">
        <v>293</v>
      </c>
    </row>
    <row r="916" spans="1:4" x14ac:dyDescent="0.25">
      <c r="A916" t="str">
        <f>"100888"</f>
        <v>100888</v>
      </c>
      <c r="B916" t="s">
        <v>885</v>
      </c>
      <c r="D916" s="15" t="s">
        <v>2394</v>
      </c>
    </row>
    <row r="917" spans="1:4" x14ac:dyDescent="0.25">
      <c r="A917" t="str">
        <f>"100889"</f>
        <v>100889</v>
      </c>
      <c r="B917" t="s">
        <v>886</v>
      </c>
      <c r="D917" s="15" t="s">
        <v>509</v>
      </c>
    </row>
    <row r="918" spans="1:4" x14ac:dyDescent="0.25">
      <c r="A918" t="str">
        <f>"100890"</f>
        <v>100890</v>
      </c>
      <c r="B918" t="s">
        <v>887</v>
      </c>
      <c r="D918" s="15" t="s">
        <v>322</v>
      </c>
    </row>
    <row r="919" spans="1:4" x14ac:dyDescent="0.25">
      <c r="A919" t="str">
        <f>"100891"</f>
        <v>100891</v>
      </c>
      <c r="B919" t="s">
        <v>888</v>
      </c>
      <c r="D919" s="15" t="s">
        <v>321</v>
      </c>
    </row>
    <row r="920" spans="1:4" x14ac:dyDescent="0.25">
      <c r="A920" t="str">
        <f>"100892"</f>
        <v>100892</v>
      </c>
      <c r="B920" t="s">
        <v>889</v>
      </c>
      <c r="D920" s="15" t="s">
        <v>1207</v>
      </c>
    </row>
    <row r="921" spans="1:4" x14ac:dyDescent="0.25">
      <c r="A921" t="str">
        <f>"100893"</f>
        <v>100893</v>
      </c>
      <c r="B921" t="s">
        <v>890</v>
      </c>
      <c r="D921" s="15" t="s">
        <v>1319</v>
      </c>
    </row>
    <row r="922" spans="1:4" x14ac:dyDescent="0.25">
      <c r="A922" t="str">
        <f>"100894"</f>
        <v>100894</v>
      </c>
      <c r="B922" t="s">
        <v>891</v>
      </c>
      <c r="D922" s="15" t="s">
        <v>1158</v>
      </c>
    </row>
    <row r="923" spans="1:4" x14ac:dyDescent="0.25">
      <c r="A923" t="str">
        <f>"100895"</f>
        <v>100895</v>
      </c>
      <c r="B923" t="s">
        <v>892</v>
      </c>
      <c r="D923" s="15" t="s">
        <v>319</v>
      </c>
    </row>
    <row r="924" spans="1:4" x14ac:dyDescent="0.25">
      <c r="A924" t="str">
        <f>"100896"</f>
        <v>100896</v>
      </c>
      <c r="B924" t="s">
        <v>893</v>
      </c>
      <c r="D924" s="15" t="s">
        <v>2481</v>
      </c>
    </row>
    <row r="925" spans="1:4" x14ac:dyDescent="0.25">
      <c r="A925" t="str">
        <f>"100897"</f>
        <v>100897</v>
      </c>
      <c r="B925" t="s">
        <v>894</v>
      </c>
      <c r="D925" s="15" t="s">
        <v>316</v>
      </c>
    </row>
    <row r="926" spans="1:4" x14ac:dyDescent="0.25">
      <c r="A926" t="str">
        <f>"100898"</f>
        <v>100898</v>
      </c>
      <c r="B926" t="s">
        <v>895</v>
      </c>
      <c r="D926" s="15" t="s">
        <v>297</v>
      </c>
    </row>
    <row r="927" spans="1:4" x14ac:dyDescent="0.25">
      <c r="A927" t="str">
        <f>"100899"</f>
        <v>100899</v>
      </c>
      <c r="B927" t="s">
        <v>896</v>
      </c>
      <c r="D927" s="15" t="s">
        <v>233</v>
      </c>
    </row>
    <row r="928" spans="1:4" x14ac:dyDescent="0.25">
      <c r="A928" t="str">
        <f>"100900"</f>
        <v>100900</v>
      </c>
      <c r="B928" t="s">
        <v>897</v>
      </c>
      <c r="D928" s="15" t="s">
        <v>719</v>
      </c>
    </row>
    <row r="929" spans="1:4" x14ac:dyDescent="0.25">
      <c r="A929" t="str">
        <f>"100901"</f>
        <v>100901</v>
      </c>
      <c r="B929" t="s">
        <v>898</v>
      </c>
      <c r="D929" s="15" t="s">
        <v>313</v>
      </c>
    </row>
    <row r="930" spans="1:4" x14ac:dyDescent="0.25">
      <c r="A930" t="str">
        <f>"100902"</f>
        <v>100902</v>
      </c>
      <c r="B930" t="s">
        <v>899</v>
      </c>
      <c r="D930" s="15" t="s">
        <v>487</v>
      </c>
    </row>
    <row r="931" spans="1:4" x14ac:dyDescent="0.25">
      <c r="A931" t="str">
        <f>"100903"</f>
        <v>100903</v>
      </c>
      <c r="B931" t="s">
        <v>900</v>
      </c>
      <c r="D931" s="15" t="s">
        <v>2177</v>
      </c>
    </row>
    <row r="932" spans="1:4" x14ac:dyDescent="0.25">
      <c r="A932" t="str">
        <f>"100904"</f>
        <v>100904</v>
      </c>
      <c r="B932" t="s">
        <v>901</v>
      </c>
      <c r="D932" s="15" t="s">
        <v>547</v>
      </c>
    </row>
    <row r="933" spans="1:4" x14ac:dyDescent="0.25">
      <c r="A933" t="str">
        <f>"100905"</f>
        <v>100905</v>
      </c>
      <c r="B933" t="s">
        <v>902</v>
      </c>
      <c r="D933" s="15" t="s">
        <v>294</v>
      </c>
    </row>
    <row r="934" spans="1:4" x14ac:dyDescent="0.25">
      <c r="A934" t="str">
        <f>"100906"</f>
        <v>100906</v>
      </c>
      <c r="B934" t="s">
        <v>903</v>
      </c>
      <c r="D934" s="15" t="s">
        <v>2097</v>
      </c>
    </row>
    <row r="935" spans="1:4" x14ac:dyDescent="0.25">
      <c r="A935" t="str">
        <f>"100907"</f>
        <v>100907</v>
      </c>
      <c r="B935" t="s">
        <v>904</v>
      </c>
      <c r="D935" s="15" t="s">
        <v>1239</v>
      </c>
    </row>
    <row r="936" spans="1:4" x14ac:dyDescent="0.25">
      <c r="A936" t="str">
        <f>"100908"</f>
        <v>100908</v>
      </c>
      <c r="B936" t="s">
        <v>905</v>
      </c>
      <c r="D936" s="15" t="s">
        <v>972</v>
      </c>
    </row>
    <row r="937" spans="1:4" x14ac:dyDescent="0.25">
      <c r="A937" t="str">
        <f>"100909"</f>
        <v>100909</v>
      </c>
      <c r="B937" t="s">
        <v>906</v>
      </c>
      <c r="D937" s="15" t="s">
        <v>320</v>
      </c>
    </row>
    <row r="938" spans="1:4" x14ac:dyDescent="0.25">
      <c r="A938" t="str">
        <f>"100910"</f>
        <v>100910</v>
      </c>
      <c r="B938" t="s">
        <v>907</v>
      </c>
      <c r="D938" s="15" t="s">
        <v>300</v>
      </c>
    </row>
    <row r="939" spans="1:4" x14ac:dyDescent="0.25">
      <c r="A939" t="str">
        <f>"100911"</f>
        <v>100911</v>
      </c>
      <c r="B939" t="s">
        <v>908</v>
      </c>
      <c r="D939" s="15" t="s">
        <v>308</v>
      </c>
    </row>
    <row r="940" spans="1:4" x14ac:dyDescent="0.25">
      <c r="A940" t="str">
        <f>"100912"</f>
        <v>100912</v>
      </c>
      <c r="B940" t="s">
        <v>909</v>
      </c>
      <c r="D940" s="15" t="s">
        <v>1093</v>
      </c>
    </row>
    <row r="941" spans="1:4" x14ac:dyDescent="0.25">
      <c r="A941" t="str">
        <f>"100913"</f>
        <v>100913</v>
      </c>
      <c r="B941" t="s">
        <v>910</v>
      </c>
      <c r="D941" s="15" t="s">
        <v>209</v>
      </c>
    </row>
    <row r="942" spans="1:4" x14ac:dyDescent="0.25">
      <c r="A942" t="str">
        <f>"100914"</f>
        <v>100914</v>
      </c>
      <c r="B942" t="s">
        <v>911</v>
      </c>
      <c r="D942" s="15" t="s">
        <v>1771</v>
      </c>
    </row>
    <row r="943" spans="1:4" x14ac:dyDescent="0.25">
      <c r="A943" t="str">
        <f>"100915"</f>
        <v>100915</v>
      </c>
      <c r="B943" t="s">
        <v>912</v>
      </c>
      <c r="D943" s="15" t="s">
        <v>259</v>
      </c>
    </row>
    <row r="944" spans="1:4" x14ac:dyDescent="0.25">
      <c r="A944" t="str">
        <f>"100916"</f>
        <v>100916</v>
      </c>
      <c r="B944" t="s">
        <v>913</v>
      </c>
      <c r="D944" s="15" t="s">
        <v>713</v>
      </c>
    </row>
    <row r="945" spans="1:4" x14ac:dyDescent="0.25">
      <c r="A945" t="str">
        <f>"100917"</f>
        <v>100917</v>
      </c>
      <c r="B945" t="s">
        <v>914</v>
      </c>
      <c r="D945" s="15" t="s">
        <v>318</v>
      </c>
    </row>
    <row r="946" spans="1:4" x14ac:dyDescent="0.25">
      <c r="A946" t="str">
        <f>"100918"</f>
        <v>100918</v>
      </c>
      <c r="B946" t="s">
        <v>915</v>
      </c>
      <c r="D946" s="15" t="s">
        <v>315</v>
      </c>
    </row>
    <row r="947" spans="1:4" x14ac:dyDescent="0.25">
      <c r="A947" t="str">
        <f>"100919"</f>
        <v>100919</v>
      </c>
      <c r="B947" t="s">
        <v>916</v>
      </c>
      <c r="D947" s="15" t="s">
        <v>1882</v>
      </c>
    </row>
    <row r="948" spans="1:4" x14ac:dyDescent="0.25">
      <c r="A948" t="str">
        <f>"100920"</f>
        <v>100920</v>
      </c>
      <c r="B948" t="s">
        <v>917</v>
      </c>
      <c r="D948" s="15" t="s">
        <v>1404</v>
      </c>
    </row>
    <row r="949" spans="1:4" x14ac:dyDescent="0.25">
      <c r="A949" t="str">
        <f>"100921"</f>
        <v>100921</v>
      </c>
      <c r="B949" t="s">
        <v>918</v>
      </c>
      <c r="D949" s="15" t="s">
        <v>2504</v>
      </c>
    </row>
    <row r="950" spans="1:4" x14ac:dyDescent="0.25">
      <c r="A950" t="str">
        <f>"100922"</f>
        <v>100922</v>
      </c>
      <c r="B950" t="s">
        <v>919</v>
      </c>
      <c r="D950" s="15" t="s">
        <v>309</v>
      </c>
    </row>
    <row r="951" spans="1:4" x14ac:dyDescent="0.25">
      <c r="A951" t="str">
        <f>"100923"</f>
        <v>100923</v>
      </c>
      <c r="B951" t="s">
        <v>920</v>
      </c>
      <c r="D951" s="15" t="s">
        <v>956</v>
      </c>
    </row>
    <row r="952" spans="1:4" x14ac:dyDescent="0.25">
      <c r="A952" t="str">
        <f>"100924"</f>
        <v>100924</v>
      </c>
      <c r="B952" t="s">
        <v>921</v>
      </c>
      <c r="D952" s="15" t="s">
        <v>2066</v>
      </c>
    </row>
    <row r="953" spans="1:4" x14ac:dyDescent="0.25">
      <c r="A953" t="str">
        <f>"100925"</f>
        <v>100925</v>
      </c>
      <c r="B953" t="s">
        <v>922</v>
      </c>
      <c r="D953" s="15" t="s">
        <v>306</v>
      </c>
    </row>
    <row r="954" spans="1:4" x14ac:dyDescent="0.25">
      <c r="A954" t="str">
        <f>"100926"</f>
        <v>100926</v>
      </c>
      <c r="B954" t="s">
        <v>923</v>
      </c>
      <c r="D954" s="15" t="s">
        <v>515</v>
      </c>
    </row>
    <row r="955" spans="1:4" x14ac:dyDescent="0.25">
      <c r="A955" t="str">
        <f>"100927"</f>
        <v>100927</v>
      </c>
      <c r="B955" t="s">
        <v>924</v>
      </c>
      <c r="D955" s="15" t="s">
        <v>511</v>
      </c>
    </row>
    <row r="956" spans="1:4" x14ac:dyDescent="0.25">
      <c r="A956" t="str">
        <f>"100928"</f>
        <v>100928</v>
      </c>
      <c r="B956" t="s">
        <v>925</v>
      </c>
      <c r="D956" s="15" t="s">
        <v>2380</v>
      </c>
    </row>
    <row r="957" spans="1:4" x14ac:dyDescent="0.25">
      <c r="A957" t="str">
        <f>"100929"</f>
        <v>100929</v>
      </c>
      <c r="B957" t="s">
        <v>926</v>
      </c>
      <c r="D957" s="15" t="s">
        <v>310</v>
      </c>
    </row>
    <row r="958" spans="1:4" x14ac:dyDescent="0.25">
      <c r="A958" t="str">
        <f>"100930"</f>
        <v>100930</v>
      </c>
      <c r="B958" t="s">
        <v>927</v>
      </c>
      <c r="D958" s="15" t="s">
        <v>282</v>
      </c>
    </row>
    <row r="959" spans="1:4" x14ac:dyDescent="0.25">
      <c r="A959" t="str">
        <f>"100931"</f>
        <v>100931</v>
      </c>
      <c r="B959" t="s">
        <v>928</v>
      </c>
      <c r="D959" s="15" t="s">
        <v>307</v>
      </c>
    </row>
    <row r="960" spans="1:4" x14ac:dyDescent="0.25">
      <c r="A960" t="str">
        <f>"100932"</f>
        <v>100932</v>
      </c>
      <c r="B960" t="s">
        <v>929</v>
      </c>
      <c r="D960" s="15" t="s">
        <v>1425</v>
      </c>
    </row>
    <row r="961" spans="1:4" x14ac:dyDescent="0.25">
      <c r="A961" t="str">
        <f>"100933"</f>
        <v>100933</v>
      </c>
      <c r="B961" t="s">
        <v>930</v>
      </c>
      <c r="D961" s="15" t="s">
        <v>2030</v>
      </c>
    </row>
    <row r="962" spans="1:4" x14ac:dyDescent="0.25">
      <c r="A962" t="str">
        <f>"100934"</f>
        <v>100934</v>
      </c>
      <c r="B962" t="s">
        <v>931</v>
      </c>
      <c r="D962" s="15" t="s">
        <v>1523</v>
      </c>
    </row>
    <row r="963" spans="1:4" x14ac:dyDescent="0.25">
      <c r="A963" t="str">
        <f>"100935"</f>
        <v>100935</v>
      </c>
      <c r="B963" t="s">
        <v>932</v>
      </c>
      <c r="D963" s="15" t="s">
        <v>2156</v>
      </c>
    </row>
    <row r="964" spans="1:4" x14ac:dyDescent="0.25">
      <c r="A964" t="str">
        <f>"100936"</f>
        <v>100936</v>
      </c>
      <c r="B964" t="s">
        <v>933</v>
      </c>
      <c r="D964" s="15" t="s">
        <v>1761</v>
      </c>
    </row>
    <row r="965" spans="1:4" x14ac:dyDescent="0.25">
      <c r="A965" t="str">
        <f>"100937"</f>
        <v>100937</v>
      </c>
      <c r="B965" t="s">
        <v>934</v>
      </c>
      <c r="D965" s="15" t="s">
        <v>2355</v>
      </c>
    </row>
    <row r="966" spans="1:4" x14ac:dyDescent="0.25">
      <c r="A966" t="str">
        <f>"100938"</f>
        <v>100938</v>
      </c>
      <c r="B966" t="s">
        <v>935</v>
      </c>
      <c r="D966" s="15" t="s">
        <v>2255</v>
      </c>
    </row>
    <row r="967" spans="1:4" x14ac:dyDescent="0.25">
      <c r="A967" t="str">
        <f>"100939"</f>
        <v>100939</v>
      </c>
      <c r="B967" t="s">
        <v>936</v>
      </c>
      <c r="D967" s="15" t="s">
        <v>2148</v>
      </c>
    </row>
    <row r="968" spans="1:4" x14ac:dyDescent="0.25">
      <c r="A968" t="str">
        <f>"100940"</f>
        <v>100940</v>
      </c>
      <c r="B968" t="s">
        <v>937</v>
      </c>
      <c r="D968" s="15" t="s">
        <v>694</v>
      </c>
    </row>
    <row r="969" spans="1:4" x14ac:dyDescent="0.25">
      <c r="A969" t="str">
        <f>"100941"</f>
        <v>100941</v>
      </c>
      <c r="B969" t="s">
        <v>938</v>
      </c>
      <c r="D969" s="15" t="s">
        <v>954</v>
      </c>
    </row>
    <row r="970" spans="1:4" x14ac:dyDescent="0.25">
      <c r="A970" t="str">
        <f>"100942"</f>
        <v>100942</v>
      </c>
      <c r="B970" t="s">
        <v>939</v>
      </c>
      <c r="D970" s="15" t="s">
        <v>1108</v>
      </c>
    </row>
    <row r="971" spans="1:4" x14ac:dyDescent="0.25">
      <c r="A971" t="str">
        <f>"100943"</f>
        <v>100943</v>
      </c>
      <c r="B971" t="s">
        <v>940</v>
      </c>
      <c r="D971" s="15" t="s">
        <v>1635</v>
      </c>
    </row>
    <row r="972" spans="1:4" x14ac:dyDescent="0.25">
      <c r="A972" t="str">
        <f>"100944"</f>
        <v>100944</v>
      </c>
      <c r="B972" t="s">
        <v>941</v>
      </c>
      <c r="D972" s="15" t="s">
        <v>2250</v>
      </c>
    </row>
    <row r="973" spans="1:4" x14ac:dyDescent="0.25">
      <c r="A973" t="str">
        <f>"100945"</f>
        <v>100945</v>
      </c>
      <c r="B973" t="s">
        <v>942</v>
      </c>
      <c r="D973" s="15" t="s">
        <v>251</v>
      </c>
    </row>
    <row r="974" spans="1:4" x14ac:dyDescent="0.25">
      <c r="A974" t="str">
        <f>"100946"</f>
        <v>100946</v>
      </c>
      <c r="B974" t="s">
        <v>943</v>
      </c>
      <c r="D974" s="15" t="s">
        <v>2472</v>
      </c>
    </row>
    <row r="975" spans="1:4" x14ac:dyDescent="0.25">
      <c r="A975" t="str">
        <f>"100947"</f>
        <v>100947</v>
      </c>
      <c r="B975" t="s">
        <v>944</v>
      </c>
      <c r="D975" s="15" t="s">
        <v>264</v>
      </c>
    </row>
    <row r="976" spans="1:4" x14ac:dyDescent="0.25">
      <c r="A976" t="str">
        <f>"100948"</f>
        <v>100948</v>
      </c>
      <c r="B976" t="s">
        <v>945</v>
      </c>
      <c r="D976" s="15" t="s">
        <v>1895</v>
      </c>
    </row>
    <row r="977" spans="1:4" x14ac:dyDescent="0.25">
      <c r="A977" t="str">
        <f>"100949"</f>
        <v>100949</v>
      </c>
      <c r="B977" t="s">
        <v>946</v>
      </c>
      <c r="D977" s="15" t="s">
        <v>2023</v>
      </c>
    </row>
    <row r="978" spans="1:4" x14ac:dyDescent="0.25">
      <c r="A978" t="str">
        <f>"100950"</f>
        <v>100950</v>
      </c>
      <c r="B978" t="s">
        <v>947</v>
      </c>
      <c r="D978" s="15" t="s">
        <v>2786</v>
      </c>
    </row>
    <row r="979" spans="1:4" x14ac:dyDescent="0.25">
      <c r="A979" t="str">
        <f>"100951"</f>
        <v>100951</v>
      </c>
      <c r="B979" t="s">
        <v>948</v>
      </c>
      <c r="D979" s="15" t="s">
        <v>386</v>
      </c>
    </row>
    <row r="980" spans="1:4" x14ac:dyDescent="0.25">
      <c r="A980" t="str">
        <f>"100952"</f>
        <v>100952</v>
      </c>
      <c r="B980" t="s">
        <v>949</v>
      </c>
      <c r="D980" s="15" t="s">
        <v>1123</v>
      </c>
    </row>
    <row r="981" spans="1:4" x14ac:dyDescent="0.25">
      <c r="A981" t="str">
        <f>"100953"</f>
        <v>100953</v>
      </c>
      <c r="B981" t="s">
        <v>950</v>
      </c>
      <c r="D981" s="15" t="s">
        <v>1697</v>
      </c>
    </row>
    <row r="982" spans="1:4" x14ac:dyDescent="0.25">
      <c r="A982" t="str">
        <f>"100954"</f>
        <v>100954</v>
      </c>
      <c r="B982" t="s">
        <v>951</v>
      </c>
      <c r="D982" s="15" t="s">
        <v>1591</v>
      </c>
    </row>
    <row r="983" spans="1:4" x14ac:dyDescent="0.25">
      <c r="A983" t="str">
        <f>"100955"</f>
        <v>100955</v>
      </c>
      <c r="B983" t="s">
        <v>952</v>
      </c>
      <c r="D983" s="15" t="s">
        <v>2816</v>
      </c>
    </row>
    <row r="984" spans="1:4" x14ac:dyDescent="0.25">
      <c r="A984" t="str">
        <f>"100956"</f>
        <v>100956</v>
      </c>
      <c r="B984" t="s">
        <v>953</v>
      </c>
      <c r="D984" s="15" t="s">
        <v>1694</v>
      </c>
    </row>
    <row r="985" spans="1:4" x14ac:dyDescent="0.25">
      <c r="A985" t="str">
        <f>"100957"</f>
        <v>100957</v>
      </c>
      <c r="B985" t="s">
        <v>954</v>
      </c>
      <c r="D985" s="15" t="s">
        <v>827</v>
      </c>
    </row>
    <row r="986" spans="1:4" x14ac:dyDescent="0.25">
      <c r="A986" t="str">
        <f>"100958"</f>
        <v>100958</v>
      </c>
      <c r="B986" t="s">
        <v>955</v>
      </c>
      <c r="D986" s="15" t="s">
        <v>1189</v>
      </c>
    </row>
    <row r="987" spans="1:4" x14ac:dyDescent="0.25">
      <c r="A987" t="str">
        <f>"100959"</f>
        <v>100959</v>
      </c>
      <c r="B987" t="s">
        <v>956</v>
      </c>
      <c r="D987" s="15" t="s">
        <v>1512</v>
      </c>
    </row>
    <row r="988" spans="1:4" x14ac:dyDescent="0.25">
      <c r="A988" t="str">
        <f>"100960"</f>
        <v>100960</v>
      </c>
      <c r="B988" t="s">
        <v>957</v>
      </c>
      <c r="D988" s="15" t="s">
        <v>1161</v>
      </c>
    </row>
    <row r="989" spans="1:4" x14ac:dyDescent="0.25">
      <c r="A989" t="str">
        <f>"100961"</f>
        <v>100961</v>
      </c>
      <c r="B989" t="s">
        <v>958</v>
      </c>
      <c r="D989" s="15" t="s">
        <v>1691</v>
      </c>
    </row>
    <row r="990" spans="1:4" x14ac:dyDescent="0.25">
      <c r="A990" t="str">
        <f>"100962"</f>
        <v>100962</v>
      </c>
      <c r="B990" t="s">
        <v>959</v>
      </c>
      <c r="D990" s="15" t="s">
        <v>2243</v>
      </c>
    </row>
    <row r="991" spans="1:4" x14ac:dyDescent="0.25">
      <c r="A991" t="str">
        <f>"100963"</f>
        <v>100963</v>
      </c>
      <c r="B991" t="s">
        <v>960</v>
      </c>
      <c r="D991" s="15" t="s">
        <v>270</v>
      </c>
    </row>
    <row r="992" spans="1:4" x14ac:dyDescent="0.25">
      <c r="A992" t="str">
        <f>"100964"</f>
        <v>100964</v>
      </c>
      <c r="B992" t="s">
        <v>961</v>
      </c>
      <c r="D992" s="15" t="s">
        <v>2456</v>
      </c>
    </row>
    <row r="993" spans="1:4" x14ac:dyDescent="0.25">
      <c r="A993" t="str">
        <f>"100965"</f>
        <v>100965</v>
      </c>
      <c r="B993" t="s">
        <v>962</v>
      </c>
      <c r="D993" s="15" t="s">
        <v>977</v>
      </c>
    </row>
    <row r="994" spans="1:4" x14ac:dyDescent="0.25">
      <c r="A994" t="str">
        <f>"100966"</f>
        <v>100966</v>
      </c>
      <c r="B994" t="s">
        <v>963</v>
      </c>
      <c r="D994" s="15" t="s">
        <v>2077</v>
      </c>
    </row>
    <row r="995" spans="1:4" x14ac:dyDescent="0.25">
      <c r="A995" t="str">
        <f>"100967"</f>
        <v>100967</v>
      </c>
      <c r="B995" t="s">
        <v>964</v>
      </c>
      <c r="D995" s="15" t="s">
        <v>2021</v>
      </c>
    </row>
    <row r="996" spans="1:4" x14ac:dyDescent="0.25">
      <c r="A996" t="str">
        <f>"100968"</f>
        <v>100968</v>
      </c>
      <c r="B996" t="s">
        <v>965</v>
      </c>
      <c r="D996" s="15" t="s">
        <v>2060</v>
      </c>
    </row>
    <row r="997" spans="1:4" x14ac:dyDescent="0.25">
      <c r="A997" t="str">
        <f>"100969"</f>
        <v>100969</v>
      </c>
      <c r="B997" t="s">
        <v>966</v>
      </c>
      <c r="D997" s="15" t="s">
        <v>387</v>
      </c>
    </row>
    <row r="998" spans="1:4" x14ac:dyDescent="0.25">
      <c r="A998" t="str">
        <f>"100970"</f>
        <v>100970</v>
      </c>
      <c r="B998" t="s">
        <v>967</v>
      </c>
      <c r="D998" s="15" t="s">
        <v>737</v>
      </c>
    </row>
    <row r="999" spans="1:4" x14ac:dyDescent="0.25">
      <c r="A999" t="str">
        <f>"100971"</f>
        <v>100971</v>
      </c>
      <c r="B999" t="s">
        <v>968</v>
      </c>
      <c r="D999" s="15" t="s">
        <v>1556</v>
      </c>
    </row>
    <row r="1000" spans="1:4" x14ac:dyDescent="0.25">
      <c r="A1000" t="str">
        <f>"100972"</f>
        <v>100972</v>
      </c>
      <c r="B1000" t="s">
        <v>969</v>
      </c>
      <c r="D1000" s="15" t="s">
        <v>2489</v>
      </c>
    </row>
    <row r="1001" spans="1:4" x14ac:dyDescent="0.25">
      <c r="A1001" t="str">
        <f>"100973"</f>
        <v>100973</v>
      </c>
      <c r="B1001" t="s">
        <v>970</v>
      </c>
      <c r="D1001" s="15" t="s">
        <v>1251</v>
      </c>
    </row>
    <row r="1002" spans="1:4" x14ac:dyDescent="0.25">
      <c r="A1002" t="str">
        <f>"100974"</f>
        <v>100974</v>
      </c>
      <c r="B1002" t="s">
        <v>971</v>
      </c>
      <c r="D1002" s="15" t="s">
        <v>1931</v>
      </c>
    </row>
    <row r="1003" spans="1:4" x14ac:dyDescent="0.25">
      <c r="A1003" t="str">
        <f>"100975"</f>
        <v>100975</v>
      </c>
      <c r="B1003" t="s">
        <v>972</v>
      </c>
      <c r="D1003" s="15" t="s">
        <v>1166</v>
      </c>
    </row>
    <row r="1004" spans="1:4" x14ac:dyDescent="0.25">
      <c r="A1004" t="str">
        <f>"100976"</f>
        <v>100976</v>
      </c>
      <c r="B1004" t="s">
        <v>973</v>
      </c>
      <c r="D1004" s="15" t="s">
        <v>1348</v>
      </c>
    </row>
    <row r="1005" spans="1:4" x14ac:dyDescent="0.25">
      <c r="A1005" t="str">
        <f>"100977"</f>
        <v>100977</v>
      </c>
      <c r="B1005" t="s">
        <v>974</v>
      </c>
      <c r="D1005" s="15" t="s">
        <v>593</v>
      </c>
    </row>
    <row r="1006" spans="1:4" x14ac:dyDescent="0.25">
      <c r="A1006" t="str">
        <f>"100978"</f>
        <v>100978</v>
      </c>
      <c r="B1006" t="s">
        <v>975</v>
      </c>
      <c r="D1006" s="15" t="s">
        <v>2493</v>
      </c>
    </row>
    <row r="1007" spans="1:4" x14ac:dyDescent="0.25">
      <c r="A1007" t="str">
        <f>"100979"</f>
        <v>100979</v>
      </c>
      <c r="B1007" t="s">
        <v>976</v>
      </c>
      <c r="D1007" s="15" t="s">
        <v>2265</v>
      </c>
    </row>
    <row r="1008" spans="1:4" x14ac:dyDescent="0.25">
      <c r="A1008" t="str">
        <f>"100980"</f>
        <v>100980</v>
      </c>
      <c r="B1008" t="s">
        <v>977</v>
      </c>
      <c r="D1008" s="15" t="s">
        <v>975</v>
      </c>
    </row>
    <row r="1009" spans="1:4" x14ac:dyDescent="0.25">
      <c r="A1009" t="str">
        <f>"100981"</f>
        <v>100981</v>
      </c>
      <c r="B1009" t="s">
        <v>978</v>
      </c>
      <c r="D1009" s="15" t="s">
        <v>2643</v>
      </c>
    </row>
    <row r="1010" spans="1:4" x14ac:dyDescent="0.25">
      <c r="A1010" t="str">
        <f>"100982"</f>
        <v>100982</v>
      </c>
      <c r="B1010" t="s">
        <v>979</v>
      </c>
      <c r="D1010" s="15" t="s">
        <v>1285</v>
      </c>
    </row>
    <row r="1011" spans="1:4" x14ac:dyDescent="0.25">
      <c r="A1011" t="str">
        <f>"100983"</f>
        <v>100983</v>
      </c>
      <c r="B1011" t="s">
        <v>980</v>
      </c>
      <c r="D1011" s="15" t="s">
        <v>1127</v>
      </c>
    </row>
    <row r="1012" spans="1:4" x14ac:dyDescent="0.25">
      <c r="A1012" t="str">
        <f>"100984"</f>
        <v>100984</v>
      </c>
      <c r="B1012" t="s">
        <v>981</v>
      </c>
      <c r="D1012" s="15" t="s">
        <v>1528</v>
      </c>
    </row>
    <row r="1013" spans="1:4" x14ac:dyDescent="0.25">
      <c r="A1013" t="str">
        <f>"100985"</f>
        <v>100985</v>
      </c>
      <c r="B1013" t="s">
        <v>982</v>
      </c>
      <c r="D1013" s="15" t="s">
        <v>1606</v>
      </c>
    </row>
    <row r="1014" spans="1:4" x14ac:dyDescent="0.25">
      <c r="A1014" t="str">
        <f>"100986"</f>
        <v>100986</v>
      </c>
      <c r="B1014" t="s">
        <v>983</v>
      </c>
      <c r="D1014" s="15" t="s">
        <v>524</v>
      </c>
    </row>
    <row r="1015" spans="1:4" x14ac:dyDescent="0.25">
      <c r="A1015" t="str">
        <f>"100987"</f>
        <v>100987</v>
      </c>
      <c r="B1015" t="s">
        <v>984</v>
      </c>
      <c r="D1015" s="15" t="s">
        <v>2057</v>
      </c>
    </row>
    <row r="1016" spans="1:4" x14ac:dyDescent="0.25">
      <c r="A1016" t="str">
        <f>"100988"</f>
        <v>100988</v>
      </c>
      <c r="B1016" t="s">
        <v>985</v>
      </c>
      <c r="D1016" s="15" t="s">
        <v>2605</v>
      </c>
    </row>
    <row r="1017" spans="1:4" x14ac:dyDescent="0.25">
      <c r="A1017" t="str">
        <f>"100989"</f>
        <v>100989</v>
      </c>
      <c r="B1017" t="s">
        <v>986</v>
      </c>
      <c r="D1017" s="15" t="s">
        <v>1459</v>
      </c>
    </row>
    <row r="1018" spans="1:4" x14ac:dyDescent="0.25">
      <c r="A1018" t="str">
        <f>"100990"</f>
        <v>100990</v>
      </c>
      <c r="B1018" t="s">
        <v>987</v>
      </c>
      <c r="D1018" s="15" t="s">
        <v>2561</v>
      </c>
    </row>
    <row r="1019" spans="1:4" x14ac:dyDescent="0.25">
      <c r="A1019" t="str">
        <f>"100991"</f>
        <v>100991</v>
      </c>
      <c r="B1019" t="s">
        <v>988</v>
      </c>
      <c r="D1019" s="15" t="s">
        <v>1710</v>
      </c>
    </row>
    <row r="1020" spans="1:4" x14ac:dyDescent="0.25">
      <c r="A1020" t="str">
        <f>"100992"</f>
        <v>100992</v>
      </c>
      <c r="B1020" t="s">
        <v>989</v>
      </c>
      <c r="D1020" s="15" t="s">
        <v>924</v>
      </c>
    </row>
    <row r="1021" spans="1:4" x14ac:dyDescent="0.25">
      <c r="A1021" t="str">
        <f>"100993"</f>
        <v>100993</v>
      </c>
      <c r="B1021" t="s">
        <v>990</v>
      </c>
      <c r="D1021" s="15" t="s">
        <v>983</v>
      </c>
    </row>
    <row r="1022" spans="1:4" x14ac:dyDescent="0.25">
      <c r="A1022" t="str">
        <f>"100994"</f>
        <v>100994</v>
      </c>
      <c r="B1022" t="s">
        <v>991</v>
      </c>
      <c r="D1022" s="15" t="s">
        <v>2467</v>
      </c>
    </row>
    <row r="1023" spans="1:4" x14ac:dyDescent="0.25">
      <c r="A1023" t="str">
        <f>"100995"</f>
        <v>100995</v>
      </c>
      <c r="B1023" t="s">
        <v>992</v>
      </c>
      <c r="D1023" s="15" t="s">
        <v>1011</v>
      </c>
    </row>
    <row r="1024" spans="1:4" x14ac:dyDescent="0.25">
      <c r="A1024" t="str">
        <f>"100996"</f>
        <v>100996</v>
      </c>
      <c r="B1024" t="s">
        <v>993</v>
      </c>
      <c r="D1024" s="15" t="s">
        <v>2454</v>
      </c>
    </row>
    <row r="1025" spans="1:4" x14ac:dyDescent="0.25">
      <c r="A1025" t="str">
        <f>"100997"</f>
        <v>100997</v>
      </c>
      <c r="B1025" t="s">
        <v>994</v>
      </c>
      <c r="D1025" s="15" t="s">
        <v>1282</v>
      </c>
    </row>
    <row r="1026" spans="1:4" x14ac:dyDescent="0.25">
      <c r="A1026" t="str">
        <f>"100998"</f>
        <v>100998</v>
      </c>
      <c r="B1026" t="s">
        <v>995</v>
      </c>
      <c r="D1026" s="15" t="s">
        <v>2120</v>
      </c>
    </row>
    <row r="1027" spans="1:4" x14ac:dyDescent="0.25">
      <c r="A1027" t="str">
        <f>"100999"</f>
        <v>100999</v>
      </c>
      <c r="B1027" t="s">
        <v>996</v>
      </c>
      <c r="D1027" s="15" t="s">
        <v>1511</v>
      </c>
    </row>
    <row r="1028" spans="1:4" x14ac:dyDescent="0.25">
      <c r="A1028" t="str">
        <f>"101000"</f>
        <v>101000</v>
      </c>
      <c r="B1028" t="s">
        <v>997</v>
      </c>
      <c r="D1028" s="15" t="s">
        <v>388</v>
      </c>
    </row>
    <row r="1029" spans="1:4" x14ac:dyDescent="0.25">
      <c r="A1029" t="str">
        <f>"101001"</f>
        <v>101001</v>
      </c>
      <c r="B1029" t="s">
        <v>998</v>
      </c>
      <c r="D1029" s="15" t="s">
        <v>2056</v>
      </c>
    </row>
    <row r="1030" spans="1:4" x14ac:dyDescent="0.25">
      <c r="A1030" t="str">
        <f>"101002"</f>
        <v>101002</v>
      </c>
      <c r="B1030" t="s">
        <v>999</v>
      </c>
      <c r="D1030" s="15" t="s">
        <v>920</v>
      </c>
    </row>
    <row r="1031" spans="1:4" x14ac:dyDescent="0.25">
      <c r="A1031" t="str">
        <f>"101003"</f>
        <v>101003</v>
      </c>
      <c r="B1031" t="s">
        <v>1000</v>
      </c>
      <c r="D1031" s="15" t="s">
        <v>252</v>
      </c>
    </row>
    <row r="1032" spans="1:4" x14ac:dyDescent="0.25">
      <c r="A1032" t="str">
        <f>"101004"</f>
        <v>101004</v>
      </c>
      <c r="B1032" t="s">
        <v>1001</v>
      </c>
      <c r="D1032" s="15" t="s">
        <v>883</v>
      </c>
    </row>
    <row r="1033" spans="1:4" x14ac:dyDescent="0.25">
      <c r="A1033" t="str">
        <f>"101005"</f>
        <v>101005</v>
      </c>
      <c r="B1033" t="s">
        <v>1002</v>
      </c>
      <c r="D1033" s="15" t="s">
        <v>1104</v>
      </c>
    </row>
    <row r="1034" spans="1:4" x14ac:dyDescent="0.25">
      <c r="A1034" t="str">
        <f>"101006"</f>
        <v>101006</v>
      </c>
      <c r="B1034" t="s">
        <v>1003</v>
      </c>
      <c r="D1034" s="15" t="s">
        <v>2197</v>
      </c>
    </row>
    <row r="1035" spans="1:4" x14ac:dyDescent="0.25">
      <c r="A1035" t="str">
        <f>"101007"</f>
        <v>101007</v>
      </c>
      <c r="B1035" t="s">
        <v>1004</v>
      </c>
      <c r="D1035" s="15" t="s">
        <v>254</v>
      </c>
    </row>
    <row r="1036" spans="1:4" x14ac:dyDescent="0.25">
      <c r="A1036" t="str">
        <f>"101008"</f>
        <v>101008</v>
      </c>
      <c r="B1036" t="s">
        <v>1005</v>
      </c>
      <c r="D1036" s="15" t="s">
        <v>2613</v>
      </c>
    </row>
    <row r="1037" spans="1:4" x14ac:dyDescent="0.25">
      <c r="A1037" t="str">
        <f>"101009"</f>
        <v>101009</v>
      </c>
      <c r="B1037" t="s">
        <v>1006</v>
      </c>
      <c r="D1037" s="15" t="s">
        <v>250</v>
      </c>
    </row>
    <row r="1038" spans="1:4" x14ac:dyDescent="0.25">
      <c r="A1038" t="str">
        <f>"101010"</f>
        <v>101010</v>
      </c>
      <c r="B1038" t="s">
        <v>1007</v>
      </c>
      <c r="D1038" s="15" t="s">
        <v>1010</v>
      </c>
    </row>
    <row r="1039" spans="1:4" x14ac:dyDescent="0.25">
      <c r="A1039" t="str">
        <f>"101011"</f>
        <v>101011</v>
      </c>
      <c r="B1039" t="s">
        <v>1008</v>
      </c>
      <c r="D1039" s="15" t="s">
        <v>1394</v>
      </c>
    </row>
    <row r="1040" spans="1:4" x14ac:dyDescent="0.25">
      <c r="A1040" t="str">
        <f>"101012"</f>
        <v>101012</v>
      </c>
      <c r="B1040" t="s">
        <v>1009</v>
      </c>
      <c r="D1040" s="15" t="s">
        <v>1550</v>
      </c>
    </row>
    <row r="1041" spans="1:4" x14ac:dyDescent="0.25">
      <c r="A1041" t="str">
        <f>"101013"</f>
        <v>101013</v>
      </c>
      <c r="B1041" t="s">
        <v>1010</v>
      </c>
      <c r="D1041" s="15" t="s">
        <v>2487</v>
      </c>
    </row>
    <row r="1042" spans="1:4" x14ac:dyDescent="0.25">
      <c r="A1042" t="str">
        <f>"101014"</f>
        <v>101014</v>
      </c>
      <c r="B1042" t="s">
        <v>1011</v>
      </c>
      <c r="D1042" s="15" t="s">
        <v>2170</v>
      </c>
    </row>
    <row r="1043" spans="1:4" x14ac:dyDescent="0.25">
      <c r="A1043" t="str">
        <f>"101015"</f>
        <v>101015</v>
      </c>
      <c r="B1043" t="s">
        <v>1012</v>
      </c>
      <c r="D1043" s="15" t="s">
        <v>2084</v>
      </c>
    </row>
    <row r="1044" spans="1:4" x14ac:dyDescent="0.25">
      <c r="A1044" t="str">
        <f>"101016"</f>
        <v>101016</v>
      </c>
      <c r="B1044" t="s">
        <v>1013</v>
      </c>
      <c r="D1044" s="15" t="s">
        <v>2215</v>
      </c>
    </row>
    <row r="1045" spans="1:4" x14ac:dyDescent="0.25">
      <c r="A1045" t="str">
        <f>"101017"</f>
        <v>101017</v>
      </c>
      <c r="B1045" t="s">
        <v>1014</v>
      </c>
      <c r="D1045" s="15" t="s">
        <v>2564</v>
      </c>
    </row>
    <row r="1046" spans="1:4" x14ac:dyDescent="0.25">
      <c r="A1046" t="str">
        <f>"101018"</f>
        <v>101018</v>
      </c>
      <c r="B1046" t="s">
        <v>1015</v>
      </c>
      <c r="D1046" s="15" t="s">
        <v>2671</v>
      </c>
    </row>
    <row r="1047" spans="1:4" x14ac:dyDescent="0.25">
      <c r="A1047" t="str">
        <f>"101019"</f>
        <v>101019</v>
      </c>
      <c r="B1047" t="s">
        <v>1016</v>
      </c>
      <c r="D1047" s="15" t="s">
        <v>2189</v>
      </c>
    </row>
    <row r="1048" spans="1:4" x14ac:dyDescent="0.25">
      <c r="A1048" t="str">
        <f>"101020"</f>
        <v>101020</v>
      </c>
      <c r="B1048" t="s">
        <v>1017</v>
      </c>
      <c r="D1048" s="15" t="s">
        <v>513</v>
      </c>
    </row>
    <row r="1049" spans="1:4" x14ac:dyDescent="0.25">
      <c r="A1049" t="str">
        <f>"101021"</f>
        <v>101021</v>
      </c>
      <c r="B1049" t="s">
        <v>1018</v>
      </c>
      <c r="D1049" s="15" t="s">
        <v>1754</v>
      </c>
    </row>
    <row r="1050" spans="1:4" x14ac:dyDescent="0.25">
      <c r="A1050" t="str">
        <f>"101022"</f>
        <v>101022</v>
      </c>
      <c r="B1050" t="s">
        <v>1019</v>
      </c>
      <c r="D1050" s="15" t="s">
        <v>255</v>
      </c>
    </row>
    <row r="1051" spans="1:4" x14ac:dyDescent="0.25">
      <c r="A1051" t="str">
        <f>"101023"</f>
        <v>101023</v>
      </c>
      <c r="B1051" t="s">
        <v>1020</v>
      </c>
      <c r="D1051" s="15" t="s">
        <v>2710</v>
      </c>
    </row>
    <row r="1052" spans="1:4" x14ac:dyDescent="0.25">
      <c r="A1052" t="str">
        <f>"101024"</f>
        <v>101024</v>
      </c>
      <c r="B1052" t="s">
        <v>1021</v>
      </c>
      <c r="D1052" s="15" t="s">
        <v>1079</v>
      </c>
    </row>
    <row r="1053" spans="1:4" x14ac:dyDescent="0.25">
      <c r="A1053" t="str">
        <f>"101025"</f>
        <v>101025</v>
      </c>
      <c r="B1053" t="s">
        <v>1022</v>
      </c>
      <c r="D1053" s="15" t="s">
        <v>2738</v>
      </c>
    </row>
    <row r="1054" spans="1:4" x14ac:dyDescent="0.25">
      <c r="A1054" t="str">
        <f>"101026"</f>
        <v>101026</v>
      </c>
      <c r="B1054" t="s">
        <v>1023</v>
      </c>
      <c r="D1054" s="15" t="s">
        <v>257</v>
      </c>
    </row>
    <row r="1055" spans="1:4" x14ac:dyDescent="0.25">
      <c r="A1055" t="str">
        <f>"101027"</f>
        <v>101027</v>
      </c>
      <c r="B1055" t="s">
        <v>1024</v>
      </c>
      <c r="D1055" s="15" t="s">
        <v>157</v>
      </c>
    </row>
    <row r="1056" spans="1:4" x14ac:dyDescent="0.25">
      <c r="A1056" t="str">
        <f>"101028"</f>
        <v>101028</v>
      </c>
      <c r="B1056" t="s">
        <v>1025</v>
      </c>
      <c r="D1056" s="15" t="s">
        <v>260</v>
      </c>
    </row>
    <row r="1057" spans="1:4" x14ac:dyDescent="0.25">
      <c r="A1057" t="str">
        <f>"101029"</f>
        <v>101029</v>
      </c>
      <c r="B1057" t="s">
        <v>1026</v>
      </c>
      <c r="D1057" s="15" t="s">
        <v>389</v>
      </c>
    </row>
    <row r="1058" spans="1:4" x14ac:dyDescent="0.25">
      <c r="A1058" t="str">
        <f>"101030"</f>
        <v>101030</v>
      </c>
      <c r="B1058" t="s">
        <v>1027</v>
      </c>
      <c r="D1058" s="15" t="s">
        <v>1682</v>
      </c>
    </row>
    <row r="1059" spans="1:4" x14ac:dyDescent="0.25">
      <c r="A1059" t="str">
        <f>"101031"</f>
        <v>101031</v>
      </c>
      <c r="B1059" t="s">
        <v>1028</v>
      </c>
      <c r="D1059" s="15" t="s">
        <v>1741</v>
      </c>
    </row>
    <row r="1060" spans="1:4" x14ac:dyDescent="0.25">
      <c r="A1060" t="str">
        <f>"101032"</f>
        <v>101032</v>
      </c>
      <c r="B1060" t="s">
        <v>1029</v>
      </c>
      <c r="D1060" s="15" t="s">
        <v>1423</v>
      </c>
    </row>
    <row r="1061" spans="1:4" x14ac:dyDescent="0.25">
      <c r="A1061" t="str">
        <f>"101033"</f>
        <v>101033</v>
      </c>
      <c r="B1061" t="s">
        <v>1030</v>
      </c>
      <c r="D1061" s="15" t="s">
        <v>265</v>
      </c>
    </row>
    <row r="1062" spans="1:4" x14ac:dyDescent="0.25">
      <c r="A1062" t="str">
        <f>"101034"</f>
        <v>101034</v>
      </c>
      <c r="B1062" t="s">
        <v>1031</v>
      </c>
      <c r="D1062" s="15" t="s">
        <v>1530</v>
      </c>
    </row>
    <row r="1063" spans="1:4" x14ac:dyDescent="0.25">
      <c r="A1063" t="str">
        <f>"101035"</f>
        <v>101035</v>
      </c>
      <c r="B1063" t="s">
        <v>1032</v>
      </c>
      <c r="D1063" s="15" t="s">
        <v>922</v>
      </c>
    </row>
    <row r="1064" spans="1:4" x14ac:dyDescent="0.25">
      <c r="A1064" t="str">
        <f>"101036"</f>
        <v>101036</v>
      </c>
      <c r="B1064" t="s">
        <v>1033</v>
      </c>
      <c r="D1064" s="15" t="s">
        <v>1336</v>
      </c>
    </row>
    <row r="1065" spans="1:4" x14ac:dyDescent="0.25">
      <c r="A1065" t="str">
        <f>"101037"</f>
        <v>101037</v>
      </c>
      <c r="B1065" t="s">
        <v>1034</v>
      </c>
      <c r="D1065" s="15" t="s">
        <v>2232</v>
      </c>
    </row>
    <row r="1066" spans="1:4" x14ac:dyDescent="0.25">
      <c r="A1066" t="str">
        <f>"101038"</f>
        <v>101038</v>
      </c>
      <c r="B1066" t="s">
        <v>1035</v>
      </c>
      <c r="D1066" s="15" t="s">
        <v>2162</v>
      </c>
    </row>
    <row r="1067" spans="1:4" x14ac:dyDescent="0.25">
      <c r="A1067" t="str">
        <f>"101039"</f>
        <v>101039</v>
      </c>
      <c r="B1067" t="s">
        <v>1036</v>
      </c>
      <c r="D1067" s="15" t="s">
        <v>2428</v>
      </c>
    </row>
    <row r="1068" spans="1:4" x14ac:dyDescent="0.25">
      <c r="A1068" t="str">
        <f>"101040"</f>
        <v>101040</v>
      </c>
      <c r="B1068" t="s">
        <v>1037</v>
      </c>
      <c r="D1068" s="15" t="s">
        <v>1983</v>
      </c>
    </row>
    <row r="1069" spans="1:4" x14ac:dyDescent="0.25">
      <c r="A1069" t="str">
        <f>"101041"</f>
        <v>101041</v>
      </c>
      <c r="B1069" t="s">
        <v>1038</v>
      </c>
      <c r="D1069" s="15" t="s">
        <v>1220</v>
      </c>
    </row>
    <row r="1070" spans="1:4" x14ac:dyDescent="0.25">
      <c r="A1070" t="str">
        <f>"101042"</f>
        <v>101042</v>
      </c>
      <c r="B1070" t="s">
        <v>1039</v>
      </c>
      <c r="D1070" s="15" t="s">
        <v>856</v>
      </c>
    </row>
    <row r="1071" spans="1:4" x14ac:dyDescent="0.25">
      <c r="A1071" t="str">
        <f>"101043"</f>
        <v>101043</v>
      </c>
      <c r="B1071" t="s">
        <v>1040</v>
      </c>
      <c r="D1071" s="15" t="s">
        <v>1724</v>
      </c>
    </row>
    <row r="1072" spans="1:4" x14ac:dyDescent="0.25">
      <c r="A1072" t="str">
        <f>"101044"</f>
        <v>101044</v>
      </c>
      <c r="B1072" t="s">
        <v>1041</v>
      </c>
      <c r="D1072" s="15" t="s">
        <v>1441</v>
      </c>
    </row>
    <row r="1073" spans="1:4" x14ac:dyDescent="0.25">
      <c r="A1073" t="str">
        <f>"101045"</f>
        <v>101045</v>
      </c>
      <c r="B1073" t="s">
        <v>1042</v>
      </c>
      <c r="D1073" s="15" t="s">
        <v>149</v>
      </c>
    </row>
    <row r="1074" spans="1:4" x14ac:dyDescent="0.25">
      <c r="A1074" t="str">
        <f>"101046"</f>
        <v>101046</v>
      </c>
      <c r="B1074" t="s">
        <v>1043</v>
      </c>
      <c r="D1074" s="15" t="s">
        <v>1290</v>
      </c>
    </row>
    <row r="1075" spans="1:4" x14ac:dyDescent="0.25">
      <c r="A1075" t="str">
        <f>"101047"</f>
        <v>101047</v>
      </c>
      <c r="B1075" t="s">
        <v>1044</v>
      </c>
      <c r="D1075" s="15" t="s">
        <v>258</v>
      </c>
    </row>
    <row r="1076" spans="1:4" x14ac:dyDescent="0.25">
      <c r="A1076" t="str">
        <f>"101048"</f>
        <v>101048</v>
      </c>
      <c r="B1076" t="s">
        <v>1045</v>
      </c>
      <c r="D1076" s="15" t="s">
        <v>262</v>
      </c>
    </row>
    <row r="1077" spans="1:4" x14ac:dyDescent="0.25">
      <c r="A1077" t="str">
        <f>"101049"</f>
        <v>101049</v>
      </c>
      <c r="B1077" t="s">
        <v>1046</v>
      </c>
      <c r="D1077" s="15" t="s">
        <v>1430</v>
      </c>
    </row>
    <row r="1078" spans="1:4" x14ac:dyDescent="0.25">
      <c r="A1078" t="str">
        <f>"101050"</f>
        <v>101050</v>
      </c>
      <c r="B1078" t="s">
        <v>1047</v>
      </c>
      <c r="D1078" s="15" t="s">
        <v>2230</v>
      </c>
    </row>
    <row r="1079" spans="1:4" x14ac:dyDescent="0.25">
      <c r="A1079" t="str">
        <f>"101051"</f>
        <v>101051</v>
      </c>
      <c r="B1079" t="s">
        <v>1048</v>
      </c>
      <c r="D1079" s="15" t="s">
        <v>1716</v>
      </c>
    </row>
    <row r="1080" spans="1:4" x14ac:dyDescent="0.25">
      <c r="A1080" t="str">
        <f>"101052"</f>
        <v>101052</v>
      </c>
      <c r="B1080" t="s">
        <v>1049</v>
      </c>
      <c r="D1080" s="15" t="s">
        <v>269</v>
      </c>
    </row>
    <row r="1081" spans="1:4" x14ac:dyDescent="0.25">
      <c r="A1081" t="str">
        <f>"101053"</f>
        <v>101053</v>
      </c>
      <c r="B1081" t="s">
        <v>1050</v>
      </c>
      <c r="D1081" s="15" t="s">
        <v>2257</v>
      </c>
    </row>
    <row r="1082" spans="1:4" x14ac:dyDescent="0.25">
      <c r="A1082" t="str">
        <f>"101054"</f>
        <v>101054</v>
      </c>
      <c r="B1082" t="s">
        <v>1051</v>
      </c>
      <c r="D1082" s="15" t="s">
        <v>1050</v>
      </c>
    </row>
    <row r="1083" spans="1:4" x14ac:dyDescent="0.25">
      <c r="A1083" t="str">
        <f>"101055"</f>
        <v>101055</v>
      </c>
      <c r="B1083" t="s">
        <v>1052</v>
      </c>
      <c r="D1083" s="15" t="s">
        <v>855</v>
      </c>
    </row>
    <row r="1084" spans="1:4" x14ac:dyDescent="0.25">
      <c r="A1084" t="str">
        <f>"101056"</f>
        <v>101056</v>
      </c>
      <c r="B1084" t="s">
        <v>1053</v>
      </c>
      <c r="D1084" s="15" t="s">
        <v>274</v>
      </c>
    </row>
    <row r="1085" spans="1:4" x14ac:dyDescent="0.25">
      <c r="A1085" t="str">
        <f>"101057"</f>
        <v>101057</v>
      </c>
      <c r="B1085" t="s">
        <v>1054</v>
      </c>
      <c r="D1085" s="15" t="s">
        <v>2093</v>
      </c>
    </row>
    <row r="1086" spans="1:4" x14ac:dyDescent="0.25">
      <c r="A1086" t="str">
        <f>"101058"</f>
        <v>101058</v>
      </c>
      <c r="B1086" t="s">
        <v>1055</v>
      </c>
      <c r="D1086" s="15" t="s">
        <v>1347</v>
      </c>
    </row>
    <row r="1087" spans="1:4" x14ac:dyDescent="0.25">
      <c r="A1087" t="str">
        <f>"101059"</f>
        <v>101059</v>
      </c>
      <c r="B1087" t="s">
        <v>1056</v>
      </c>
      <c r="D1087" s="15" t="s">
        <v>2506</v>
      </c>
    </row>
    <row r="1088" spans="1:4" x14ac:dyDescent="0.25">
      <c r="A1088" t="str">
        <f>"101060"</f>
        <v>101060</v>
      </c>
      <c r="B1088" t="s">
        <v>1057</v>
      </c>
      <c r="D1088" s="15" t="s">
        <v>2362</v>
      </c>
    </row>
    <row r="1089" spans="1:4" x14ac:dyDescent="0.25">
      <c r="A1089" t="str">
        <f>"101061"</f>
        <v>101061</v>
      </c>
      <c r="B1089" t="s">
        <v>1058</v>
      </c>
      <c r="D1089" s="15" t="s">
        <v>2593</v>
      </c>
    </row>
    <row r="1090" spans="1:4" x14ac:dyDescent="0.25">
      <c r="A1090" t="str">
        <f>"101062"</f>
        <v>101062</v>
      </c>
      <c r="B1090" t="s">
        <v>1059</v>
      </c>
      <c r="D1090" s="15" t="s">
        <v>2356</v>
      </c>
    </row>
    <row r="1091" spans="1:4" x14ac:dyDescent="0.25">
      <c r="A1091" t="str">
        <f>"101063"</f>
        <v>101063</v>
      </c>
      <c r="B1091" t="s">
        <v>1060</v>
      </c>
      <c r="D1091" s="15" t="s">
        <v>1174</v>
      </c>
    </row>
    <row r="1092" spans="1:4" x14ac:dyDescent="0.25">
      <c r="A1092" t="str">
        <f>"101064"</f>
        <v>101064</v>
      </c>
      <c r="B1092" t="s">
        <v>1061</v>
      </c>
      <c r="D1092" s="15" t="s">
        <v>1953</v>
      </c>
    </row>
    <row r="1093" spans="1:4" x14ac:dyDescent="0.25">
      <c r="A1093" t="str">
        <f>"101065"</f>
        <v>101065</v>
      </c>
      <c r="B1093" t="s">
        <v>1062</v>
      </c>
      <c r="D1093" s="15" t="s">
        <v>927</v>
      </c>
    </row>
    <row r="1094" spans="1:4" x14ac:dyDescent="0.25">
      <c r="A1094" t="str">
        <f>"101066"</f>
        <v>101066</v>
      </c>
      <c r="B1094" t="s">
        <v>1063</v>
      </c>
      <c r="D1094" s="15" t="s">
        <v>2758</v>
      </c>
    </row>
    <row r="1095" spans="1:4" x14ac:dyDescent="0.25">
      <c r="A1095" t="str">
        <f>"101067"</f>
        <v>101067</v>
      </c>
      <c r="B1095" t="s">
        <v>1064</v>
      </c>
      <c r="D1095" s="15" t="s">
        <v>1634</v>
      </c>
    </row>
    <row r="1096" spans="1:4" x14ac:dyDescent="0.25">
      <c r="A1096" t="str">
        <f>"101068"</f>
        <v>101068</v>
      </c>
      <c r="B1096" t="s">
        <v>1065</v>
      </c>
      <c r="D1096" s="15" t="s">
        <v>1813</v>
      </c>
    </row>
    <row r="1097" spans="1:4" x14ac:dyDescent="0.25">
      <c r="A1097" t="str">
        <f>"101069"</f>
        <v>101069</v>
      </c>
      <c r="B1097" t="s">
        <v>1066</v>
      </c>
      <c r="D1097" s="15" t="s">
        <v>2157</v>
      </c>
    </row>
    <row r="1098" spans="1:4" x14ac:dyDescent="0.25">
      <c r="A1098" t="str">
        <f>"101070"</f>
        <v>101070</v>
      </c>
      <c r="B1098" t="s">
        <v>1067</v>
      </c>
      <c r="D1098" s="15" t="s">
        <v>263</v>
      </c>
    </row>
    <row r="1099" spans="1:4" x14ac:dyDescent="0.25">
      <c r="A1099" t="str">
        <f>"101071"</f>
        <v>101071</v>
      </c>
      <c r="B1099" t="s">
        <v>1068</v>
      </c>
      <c r="D1099" s="15" t="s">
        <v>256</v>
      </c>
    </row>
    <row r="1100" spans="1:4" x14ac:dyDescent="0.25">
      <c r="A1100" t="str">
        <f>"101072"</f>
        <v>101072</v>
      </c>
      <c r="B1100" t="s">
        <v>1069</v>
      </c>
      <c r="D1100" s="15" t="s">
        <v>268</v>
      </c>
    </row>
    <row r="1101" spans="1:4" x14ac:dyDescent="0.25">
      <c r="A1101" t="str">
        <f>"101073"</f>
        <v>101073</v>
      </c>
      <c r="B1101" t="s">
        <v>1070</v>
      </c>
      <c r="D1101" s="15" t="s">
        <v>2597</v>
      </c>
    </row>
    <row r="1102" spans="1:4" x14ac:dyDescent="0.25">
      <c r="A1102" t="str">
        <f>"101074"</f>
        <v>101074</v>
      </c>
      <c r="B1102" t="s">
        <v>1071</v>
      </c>
      <c r="D1102" s="15" t="s">
        <v>253</v>
      </c>
    </row>
    <row r="1103" spans="1:4" x14ac:dyDescent="0.25">
      <c r="A1103" t="str">
        <f>"101075"</f>
        <v>101075</v>
      </c>
      <c r="B1103" t="s">
        <v>1072</v>
      </c>
      <c r="D1103" s="15" t="s">
        <v>967</v>
      </c>
    </row>
    <row r="1104" spans="1:4" x14ac:dyDescent="0.25">
      <c r="A1104" t="str">
        <f>"101076"</f>
        <v>101076</v>
      </c>
      <c r="B1104" t="s">
        <v>1073</v>
      </c>
      <c r="D1104" s="15" t="s">
        <v>1206</v>
      </c>
    </row>
    <row r="1105" spans="1:4" x14ac:dyDescent="0.25">
      <c r="A1105" t="str">
        <f>"101077"</f>
        <v>101077</v>
      </c>
      <c r="B1105" t="s">
        <v>1074</v>
      </c>
      <c r="D1105" s="15" t="s">
        <v>1814</v>
      </c>
    </row>
    <row r="1106" spans="1:4" x14ac:dyDescent="0.25">
      <c r="A1106" t="str">
        <f>"101078"</f>
        <v>101078</v>
      </c>
      <c r="B1106" t="s">
        <v>1075</v>
      </c>
      <c r="D1106" s="15" t="s">
        <v>2725</v>
      </c>
    </row>
    <row r="1107" spans="1:4" x14ac:dyDescent="0.25">
      <c r="A1107" t="str">
        <f>"101079"</f>
        <v>101079</v>
      </c>
      <c r="B1107" t="s">
        <v>1076</v>
      </c>
      <c r="D1107" s="15" t="s">
        <v>1801</v>
      </c>
    </row>
    <row r="1108" spans="1:4" x14ac:dyDescent="0.25">
      <c r="A1108" t="str">
        <f>"101080"</f>
        <v>101080</v>
      </c>
      <c r="B1108" t="s">
        <v>1077</v>
      </c>
      <c r="D1108" s="15" t="s">
        <v>2657</v>
      </c>
    </row>
    <row r="1109" spans="1:4" x14ac:dyDescent="0.25">
      <c r="A1109" t="str">
        <f>"101081"</f>
        <v>101081</v>
      </c>
      <c r="B1109" t="s">
        <v>1078</v>
      </c>
      <c r="D1109" s="15" t="s">
        <v>1199</v>
      </c>
    </row>
    <row r="1110" spans="1:4" x14ac:dyDescent="0.25">
      <c r="A1110" t="str">
        <f>"101082"</f>
        <v>101082</v>
      </c>
      <c r="B1110" t="s">
        <v>1079</v>
      </c>
      <c r="D1110" s="15" t="s">
        <v>2457</v>
      </c>
    </row>
    <row r="1111" spans="1:4" x14ac:dyDescent="0.25">
      <c r="A1111" t="str">
        <f>"101083"</f>
        <v>101083</v>
      </c>
      <c r="B1111" t="s">
        <v>1080</v>
      </c>
      <c r="D1111" s="15" t="s">
        <v>9</v>
      </c>
    </row>
    <row r="1112" spans="1:4" x14ac:dyDescent="0.25">
      <c r="A1112" t="str">
        <f>"101084"</f>
        <v>101084</v>
      </c>
      <c r="B1112" t="s">
        <v>1081</v>
      </c>
      <c r="D1112" s="15" t="s">
        <v>2541</v>
      </c>
    </row>
    <row r="1113" spans="1:4" x14ac:dyDescent="0.25">
      <c r="A1113" t="str">
        <f>"101085"</f>
        <v>101085</v>
      </c>
      <c r="B1113" t="s">
        <v>1082</v>
      </c>
      <c r="D1113" s="15" t="s">
        <v>2229</v>
      </c>
    </row>
    <row r="1114" spans="1:4" x14ac:dyDescent="0.25">
      <c r="A1114" t="str">
        <f>"101086"</f>
        <v>101086</v>
      </c>
      <c r="B1114" t="s">
        <v>1083</v>
      </c>
      <c r="D1114" s="15" t="s">
        <v>595</v>
      </c>
    </row>
    <row r="1115" spans="1:4" x14ac:dyDescent="0.25">
      <c r="A1115" t="str">
        <f>"101087"</f>
        <v>101087</v>
      </c>
      <c r="B1115" t="s">
        <v>1084</v>
      </c>
      <c r="D1115" s="15" t="s">
        <v>2655</v>
      </c>
    </row>
    <row r="1116" spans="1:4" x14ac:dyDescent="0.25">
      <c r="A1116" t="str">
        <f>"101088"</f>
        <v>101088</v>
      </c>
      <c r="B1116" t="s">
        <v>1085</v>
      </c>
      <c r="D1116" s="15" t="s">
        <v>2104</v>
      </c>
    </row>
    <row r="1117" spans="1:4" x14ac:dyDescent="0.25">
      <c r="A1117" t="str">
        <f>"101089"</f>
        <v>101089</v>
      </c>
      <c r="B1117" t="s">
        <v>1086</v>
      </c>
      <c r="D1117" s="15" t="s">
        <v>2019</v>
      </c>
    </row>
    <row r="1118" spans="1:4" x14ac:dyDescent="0.25">
      <c r="A1118" t="str">
        <f>"101090"</f>
        <v>101090</v>
      </c>
      <c r="B1118" t="s">
        <v>1087</v>
      </c>
      <c r="D1118" s="15" t="s">
        <v>390</v>
      </c>
    </row>
    <row r="1119" spans="1:4" x14ac:dyDescent="0.25">
      <c r="A1119" t="str">
        <f>"101091"</f>
        <v>101091</v>
      </c>
      <c r="B1119" t="s">
        <v>1088</v>
      </c>
      <c r="D1119" s="15" t="s">
        <v>452</v>
      </c>
    </row>
    <row r="1120" spans="1:4" x14ac:dyDescent="0.25">
      <c r="A1120" t="str">
        <f>"101092"</f>
        <v>101092</v>
      </c>
      <c r="B1120" t="s">
        <v>1089</v>
      </c>
      <c r="D1120" s="15" t="s">
        <v>2699</v>
      </c>
    </row>
    <row r="1121" spans="1:4" x14ac:dyDescent="0.25">
      <c r="A1121" t="str">
        <f>"101093"</f>
        <v>101093</v>
      </c>
      <c r="B1121" t="s">
        <v>1090</v>
      </c>
      <c r="D1121" s="15" t="s">
        <v>345</v>
      </c>
    </row>
    <row r="1122" spans="1:4" x14ac:dyDescent="0.25">
      <c r="A1122" t="str">
        <f>"101094"</f>
        <v>101094</v>
      </c>
      <c r="B1122" t="s">
        <v>1091</v>
      </c>
      <c r="D1122" s="15" t="s">
        <v>433</v>
      </c>
    </row>
    <row r="1123" spans="1:4" x14ac:dyDescent="0.25">
      <c r="A1123" t="str">
        <f>"101095"</f>
        <v>101095</v>
      </c>
      <c r="B1123" t="s">
        <v>1092</v>
      </c>
      <c r="D1123" s="15" t="s">
        <v>2821</v>
      </c>
    </row>
    <row r="1124" spans="1:4" x14ac:dyDescent="0.25">
      <c r="A1124" t="str">
        <f>"101096"</f>
        <v>101096</v>
      </c>
      <c r="B1124" t="s">
        <v>1093</v>
      </c>
      <c r="D1124" s="15" t="s">
        <v>1764</v>
      </c>
    </row>
    <row r="1125" spans="1:4" x14ac:dyDescent="0.25">
      <c r="A1125" t="str">
        <f>"101097"</f>
        <v>101097</v>
      </c>
      <c r="B1125" t="s">
        <v>1094</v>
      </c>
      <c r="D1125" s="15" t="s">
        <v>1659</v>
      </c>
    </row>
    <row r="1126" spans="1:4" x14ac:dyDescent="0.25">
      <c r="A1126" t="str">
        <f>"101098"</f>
        <v>101098</v>
      </c>
      <c r="B1126" t="s">
        <v>1095</v>
      </c>
      <c r="D1126" s="15" t="s">
        <v>355</v>
      </c>
    </row>
    <row r="1127" spans="1:4" x14ac:dyDescent="0.25">
      <c r="A1127" t="str">
        <f>"101099"</f>
        <v>101099</v>
      </c>
      <c r="B1127" t="s">
        <v>1096</v>
      </c>
      <c r="D1127" s="15" t="s">
        <v>2039</v>
      </c>
    </row>
    <row r="1128" spans="1:4" x14ac:dyDescent="0.25">
      <c r="A1128" t="str">
        <f>"101100"</f>
        <v>101100</v>
      </c>
      <c r="B1128" t="s">
        <v>1097</v>
      </c>
      <c r="D1128" s="15" t="s">
        <v>391</v>
      </c>
    </row>
    <row r="1129" spans="1:4" x14ac:dyDescent="0.25">
      <c r="A1129" t="str">
        <f>"101101"</f>
        <v>101101</v>
      </c>
      <c r="B1129" t="s">
        <v>1098</v>
      </c>
      <c r="D1129" s="15" t="s">
        <v>404</v>
      </c>
    </row>
    <row r="1130" spans="1:4" x14ac:dyDescent="0.25">
      <c r="A1130" t="str">
        <f>"101102"</f>
        <v>101102</v>
      </c>
      <c r="B1130" t="s">
        <v>1099</v>
      </c>
      <c r="D1130" s="15" t="s">
        <v>2360</v>
      </c>
    </row>
    <row r="1131" spans="1:4" x14ac:dyDescent="0.25">
      <c r="A1131" t="str">
        <f>"101103"</f>
        <v>101103</v>
      </c>
      <c r="B1131" t="s">
        <v>1100</v>
      </c>
      <c r="D1131" s="15" t="s">
        <v>607</v>
      </c>
    </row>
    <row r="1132" spans="1:4" x14ac:dyDescent="0.25">
      <c r="A1132" t="str">
        <f>"101104"</f>
        <v>101104</v>
      </c>
      <c r="B1132" t="s">
        <v>1101</v>
      </c>
      <c r="D1132" s="15" t="s">
        <v>1842</v>
      </c>
    </row>
    <row r="1133" spans="1:4" x14ac:dyDescent="0.25">
      <c r="A1133" t="str">
        <f>"101105"</f>
        <v>101105</v>
      </c>
      <c r="B1133" t="s">
        <v>1102</v>
      </c>
      <c r="D1133" s="15" t="s">
        <v>2662</v>
      </c>
    </row>
    <row r="1134" spans="1:4" x14ac:dyDescent="0.25">
      <c r="A1134" t="str">
        <f>"101106"</f>
        <v>101106</v>
      </c>
      <c r="B1134" t="s">
        <v>1103</v>
      </c>
      <c r="D1134" s="15" t="s">
        <v>1675</v>
      </c>
    </row>
    <row r="1135" spans="1:4" x14ac:dyDescent="0.25">
      <c r="A1135" t="str">
        <f>"101107"</f>
        <v>101107</v>
      </c>
      <c r="B1135" t="s">
        <v>1104</v>
      </c>
      <c r="D1135" s="15" t="s">
        <v>1564</v>
      </c>
    </row>
    <row r="1136" spans="1:4" x14ac:dyDescent="0.25">
      <c r="A1136" t="str">
        <f>"101108"</f>
        <v>101108</v>
      </c>
      <c r="B1136" t="s">
        <v>1105</v>
      </c>
      <c r="D1136" s="15" t="s">
        <v>1366</v>
      </c>
    </row>
    <row r="1137" spans="1:4" x14ac:dyDescent="0.25">
      <c r="A1137" t="str">
        <f>"101109"</f>
        <v>101109</v>
      </c>
      <c r="B1137" t="s">
        <v>1106</v>
      </c>
      <c r="D1137" s="15" t="s">
        <v>2372</v>
      </c>
    </row>
    <row r="1138" spans="1:4" x14ac:dyDescent="0.25">
      <c r="A1138" t="str">
        <f>"101110"</f>
        <v>101110</v>
      </c>
      <c r="B1138" t="s">
        <v>1107</v>
      </c>
      <c r="D1138" s="15" t="s">
        <v>2672</v>
      </c>
    </row>
    <row r="1139" spans="1:4" x14ac:dyDescent="0.25">
      <c r="A1139" t="str">
        <f>"101111"</f>
        <v>101111</v>
      </c>
      <c r="B1139" t="s">
        <v>1108</v>
      </c>
      <c r="D1139" s="15" t="s">
        <v>1975</v>
      </c>
    </row>
    <row r="1140" spans="1:4" x14ac:dyDescent="0.25">
      <c r="A1140" t="str">
        <f>"101112"</f>
        <v>101112</v>
      </c>
      <c r="B1140" t="s">
        <v>1109</v>
      </c>
      <c r="D1140" s="15" t="s">
        <v>1717</v>
      </c>
    </row>
    <row r="1141" spans="1:4" x14ac:dyDescent="0.25">
      <c r="A1141" t="str">
        <f>"101113"</f>
        <v>101113</v>
      </c>
      <c r="B1141" t="s">
        <v>1110</v>
      </c>
      <c r="D1141" s="15" t="s">
        <v>326</v>
      </c>
    </row>
    <row r="1142" spans="1:4" x14ac:dyDescent="0.25">
      <c r="A1142" t="str">
        <f>"101114"</f>
        <v>101114</v>
      </c>
      <c r="B1142" t="s">
        <v>1111</v>
      </c>
      <c r="D1142" s="15" t="s">
        <v>1631</v>
      </c>
    </row>
    <row r="1143" spans="1:4" x14ac:dyDescent="0.25">
      <c r="A1143" t="str">
        <f>"101115"</f>
        <v>101115</v>
      </c>
      <c r="B1143" t="s">
        <v>1112</v>
      </c>
      <c r="D1143" s="15" t="s">
        <v>538</v>
      </c>
    </row>
    <row r="1144" spans="1:4" x14ac:dyDescent="0.25">
      <c r="A1144" t="str">
        <f>"101116"</f>
        <v>101116</v>
      </c>
      <c r="B1144" t="s">
        <v>1113</v>
      </c>
      <c r="D1144" s="15" t="s">
        <v>2820</v>
      </c>
    </row>
    <row r="1145" spans="1:4" x14ac:dyDescent="0.25">
      <c r="A1145" t="str">
        <f>"101117"</f>
        <v>101117</v>
      </c>
      <c r="B1145" t="s">
        <v>1114</v>
      </c>
      <c r="D1145" s="15" t="s">
        <v>1646</v>
      </c>
    </row>
    <row r="1146" spans="1:4" x14ac:dyDescent="0.25">
      <c r="A1146" t="str">
        <f>"101118"</f>
        <v>101118</v>
      </c>
      <c r="B1146" t="s">
        <v>1115</v>
      </c>
      <c r="D1146" s="15" t="s">
        <v>392</v>
      </c>
    </row>
    <row r="1147" spans="1:4" x14ac:dyDescent="0.25">
      <c r="A1147" t="str">
        <f>"101119"</f>
        <v>101119</v>
      </c>
      <c r="B1147" t="s">
        <v>1116</v>
      </c>
      <c r="D1147" s="15" t="s">
        <v>1890</v>
      </c>
    </row>
    <row r="1148" spans="1:4" x14ac:dyDescent="0.25">
      <c r="A1148" t="str">
        <f>"101120"</f>
        <v>101120</v>
      </c>
      <c r="B1148" t="s">
        <v>1117</v>
      </c>
      <c r="D1148" s="15" t="s">
        <v>122</v>
      </c>
    </row>
    <row r="1149" spans="1:4" x14ac:dyDescent="0.25">
      <c r="A1149" t="str">
        <f>"101121"</f>
        <v>101121</v>
      </c>
      <c r="B1149" t="s">
        <v>1118</v>
      </c>
      <c r="D1149" s="15" t="s">
        <v>564</v>
      </c>
    </row>
    <row r="1150" spans="1:4" x14ac:dyDescent="0.25">
      <c r="A1150" t="str">
        <f>"101122"</f>
        <v>101122</v>
      </c>
      <c r="B1150" t="s">
        <v>1119</v>
      </c>
      <c r="D1150" s="15" t="s">
        <v>958</v>
      </c>
    </row>
    <row r="1151" spans="1:4" x14ac:dyDescent="0.25">
      <c r="A1151" t="str">
        <f>"101123"</f>
        <v>101123</v>
      </c>
      <c r="B1151" t="s">
        <v>1120</v>
      </c>
      <c r="D1151" s="15" t="s">
        <v>756</v>
      </c>
    </row>
    <row r="1152" spans="1:4" x14ac:dyDescent="0.25">
      <c r="A1152" t="str">
        <f>"101124"</f>
        <v>101124</v>
      </c>
      <c r="B1152" t="s">
        <v>1121</v>
      </c>
      <c r="D1152" s="15" t="s">
        <v>15</v>
      </c>
    </row>
    <row r="1153" spans="1:4" x14ac:dyDescent="0.25">
      <c r="A1153" t="str">
        <f>"101125"</f>
        <v>101125</v>
      </c>
      <c r="B1153" t="s">
        <v>1122</v>
      </c>
      <c r="D1153" s="15" t="s">
        <v>803</v>
      </c>
    </row>
    <row r="1154" spans="1:4" x14ac:dyDescent="0.25">
      <c r="A1154" t="str">
        <f>"101126"</f>
        <v>101126</v>
      </c>
      <c r="B1154" t="s">
        <v>1123</v>
      </c>
      <c r="D1154" s="15" t="s">
        <v>1203</v>
      </c>
    </row>
    <row r="1155" spans="1:4" x14ac:dyDescent="0.25">
      <c r="A1155" t="str">
        <f>"101127"</f>
        <v>101127</v>
      </c>
      <c r="B1155" t="s">
        <v>1124</v>
      </c>
      <c r="D1155" s="15" t="s">
        <v>2646</v>
      </c>
    </row>
    <row r="1156" spans="1:4" x14ac:dyDescent="0.25">
      <c r="A1156" t="str">
        <f>"101128"</f>
        <v>101128</v>
      </c>
      <c r="B1156" t="s">
        <v>1125</v>
      </c>
      <c r="D1156" s="15" t="s">
        <v>1035</v>
      </c>
    </row>
    <row r="1157" spans="1:4" x14ac:dyDescent="0.25">
      <c r="A1157" t="str">
        <f>"101129"</f>
        <v>101129</v>
      </c>
      <c r="B1157" t="s">
        <v>1126</v>
      </c>
      <c r="D1157" s="15" t="s">
        <v>394</v>
      </c>
    </row>
    <row r="1158" spans="1:4" x14ac:dyDescent="0.25">
      <c r="A1158" t="str">
        <f>"101130"</f>
        <v>101130</v>
      </c>
      <c r="B1158" t="s">
        <v>1127</v>
      </c>
      <c r="D1158" s="15" t="s">
        <v>1575</v>
      </c>
    </row>
    <row r="1159" spans="1:4" x14ac:dyDescent="0.25">
      <c r="A1159" t="str">
        <f>"101131"</f>
        <v>101131</v>
      </c>
      <c r="B1159" t="s">
        <v>1128</v>
      </c>
      <c r="D1159" s="15" t="s">
        <v>2213</v>
      </c>
    </row>
    <row r="1160" spans="1:4" x14ac:dyDescent="0.25">
      <c r="A1160" t="str">
        <f>"101132"</f>
        <v>101132</v>
      </c>
      <c r="B1160" t="s">
        <v>1129</v>
      </c>
      <c r="D1160" s="15" t="s">
        <v>1558</v>
      </c>
    </row>
    <row r="1161" spans="1:4" x14ac:dyDescent="0.25">
      <c r="A1161" t="str">
        <f>"101133"</f>
        <v>101133</v>
      </c>
      <c r="B1161" t="s">
        <v>1130</v>
      </c>
      <c r="D1161" s="15" t="s">
        <v>795</v>
      </c>
    </row>
    <row r="1162" spans="1:4" x14ac:dyDescent="0.25">
      <c r="A1162" t="str">
        <f>"101134"</f>
        <v>101134</v>
      </c>
      <c r="B1162" t="s">
        <v>1131</v>
      </c>
      <c r="D1162" s="15" t="s">
        <v>1713</v>
      </c>
    </row>
    <row r="1163" spans="1:4" x14ac:dyDescent="0.25">
      <c r="A1163" t="str">
        <f>"101135"</f>
        <v>101135</v>
      </c>
      <c r="B1163" t="s">
        <v>1132</v>
      </c>
      <c r="D1163" s="15" t="s">
        <v>2577</v>
      </c>
    </row>
    <row r="1164" spans="1:4" x14ac:dyDescent="0.25">
      <c r="A1164" t="str">
        <f>"101136"</f>
        <v>101136</v>
      </c>
      <c r="B1164" t="s">
        <v>1133</v>
      </c>
      <c r="D1164" s="15" t="s">
        <v>2125</v>
      </c>
    </row>
    <row r="1165" spans="1:4" x14ac:dyDescent="0.25">
      <c r="A1165" t="str">
        <f>"101137"</f>
        <v>101137</v>
      </c>
      <c r="B1165" t="s">
        <v>1134</v>
      </c>
      <c r="D1165" s="15" t="s">
        <v>393</v>
      </c>
    </row>
    <row r="1166" spans="1:4" x14ac:dyDescent="0.25">
      <c r="A1166" t="str">
        <f>"101138"</f>
        <v>101138</v>
      </c>
      <c r="B1166" t="s">
        <v>1135</v>
      </c>
      <c r="D1166" s="15" t="s">
        <v>395</v>
      </c>
    </row>
    <row r="1167" spans="1:4" x14ac:dyDescent="0.25">
      <c r="A1167" t="str">
        <f>"101139"</f>
        <v>101139</v>
      </c>
      <c r="B1167" t="s">
        <v>1136</v>
      </c>
      <c r="D1167" s="15" t="s">
        <v>365</v>
      </c>
    </row>
    <row r="1168" spans="1:4" x14ac:dyDescent="0.25">
      <c r="A1168" t="str">
        <f>"101140"</f>
        <v>101140</v>
      </c>
      <c r="B1168" t="s">
        <v>1137</v>
      </c>
      <c r="D1168" s="15" t="s">
        <v>1412</v>
      </c>
    </row>
    <row r="1169" spans="1:4" x14ac:dyDescent="0.25">
      <c r="A1169" t="str">
        <f>"101141"</f>
        <v>101141</v>
      </c>
      <c r="B1169" t="s">
        <v>1138</v>
      </c>
      <c r="D1169" s="15" t="s">
        <v>1584</v>
      </c>
    </row>
    <row r="1170" spans="1:4" x14ac:dyDescent="0.25">
      <c r="A1170" t="str">
        <f>"101142"</f>
        <v>101142</v>
      </c>
      <c r="B1170" t="s">
        <v>1139</v>
      </c>
      <c r="D1170" s="15" t="s">
        <v>1419</v>
      </c>
    </row>
    <row r="1171" spans="1:4" x14ac:dyDescent="0.25">
      <c r="A1171" t="str">
        <f>"101143"</f>
        <v>101143</v>
      </c>
      <c r="B1171" t="s">
        <v>1140</v>
      </c>
      <c r="D1171" s="15" t="s">
        <v>1636</v>
      </c>
    </row>
    <row r="1172" spans="1:4" x14ac:dyDescent="0.25">
      <c r="A1172" t="str">
        <f>"101144"</f>
        <v>101144</v>
      </c>
      <c r="B1172" t="s">
        <v>1141</v>
      </c>
      <c r="D1172" s="15" t="s">
        <v>1625</v>
      </c>
    </row>
    <row r="1173" spans="1:4" x14ac:dyDescent="0.25">
      <c r="A1173" t="str">
        <f>"101145"</f>
        <v>101145</v>
      </c>
      <c r="B1173" t="s">
        <v>1142</v>
      </c>
      <c r="D1173" s="15" t="s">
        <v>396</v>
      </c>
    </row>
    <row r="1174" spans="1:4" x14ac:dyDescent="0.25">
      <c r="A1174" t="str">
        <f>"101146"</f>
        <v>101146</v>
      </c>
      <c r="B1174" t="s">
        <v>1143</v>
      </c>
      <c r="D1174" s="15" t="s">
        <v>2806</v>
      </c>
    </row>
    <row r="1175" spans="1:4" x14ac:dyDescent="0.25">
      <c r="A1175" t="str">
        <f>"101147"</f>
        <v>101147</v>
      </c>
      <c r="B1175" t="s">
        <v>1144</v>
      </c>
      <c r="D1175" s="15" t="s">
        <v>2430</v>
      </c>
    </row>
    <row r="1176" spans="1:4" x14ac:dyDescent="0.25">
      <c r="A1176" t="str">
        <f>"101148"</f>
        <v>101148</v>
      </c>
      <c r="B1176" t="s">
        <v>1145</v>
      </c>
      <c r="D1176" s="15" t="s">
        <v>829</v>
      </c>
    </row>
    <row r="1177" spans="1:4" x14ac:dyDescent="0.25">
      <c r="A1177" t="str">
        <f>"101149"</f>
        <v>101149</v>
      </c>
      <c r="B1177" t="s">
        <v>1146</v>
      </c>
      <c r="D1177" s="15" t="s">
        <v>1155</v>
      </c>
    </row>
    <row r="1178" spans="1:4" x14ac:dyDescent="0.25">
      <c r="A1178" t="str">
        <f>"101150"</f>
        <v>101150</v>
      </c>
      <c r="B1178" t="s">
        <v>1147</v>
      </c>
      <c r="D1178" s="15" t="s">
        <v>2016</v>
      </c>
    </row>
    <row r="1179" spans="1:4" x14ac:dyDescent="0.25">
      <c r="A1179" t="str">
        <f>"101151"</f>
        <v>101151</v>
      </c>
      <c r="B1179" t="s">
        <v>1148</v>
      </c>
      <c r="D1179" s="15" t="s">
        <v>1576</v>
      </c>
    </row>
    <row r="1180" spans="1:4" x14ac:dyDescent="0.25">
      <c r="A1180" t="str">
        <f>"101152"</f>
        <v>101152</v>
      </c>
      <c r="B1180" t="s">
        <v>1149</v>
      </c>
      <c r="D1180" s="15" t="s">
        <v>846</v>
      </c>
    </row>
    <row r="1181" spans="1:4" x14ac:dyDescent="0.25">
      <c r="A1181" t="str">
        <f>"101153"</f>
        <v>101153</v>
      </c>
      <c r="B1181" t="s">
        <v>1150</v>
      </c>
      <c r="D1181" s="15" t="s">
        <v>2413</v>
      </c>
    </row>
    <row r="1182" spans="1:4" x14ac:dyDescent="0.25">
      <c r="A1182" t="str">
        <f>"101154"</f>
        <v>101154</v>
      </c>
      <c r="B1182" t="s">
        <v>1151</v>
      </c>
      <c r="D1182" s="15" t="s">
        <v>2260</v>
      </c>
    </row>
    <row r="1183" spans="1:4" x14ac:dyDescent="0.25">
      <c r="A1183" t="str">
        <f>"101155"</f>
        <v>101155</v>
      </c>
      <c r="B1183" t="s">
        <v>1152</v>
      </c>
      <c r="D1183" s="15" t="s">
        <v>2154</v>
      </c>
    </row>
    <row r="1184" spans="1:4" x14ac:dyDescent="0.25">
      <c r="A1184" t="str">
        <f>"101156"</f>
        <v>101156</v>
      </c>
      <c r="B1184" t="s">
        <v>1153</v>
      </c>
      <c r="D1184" s="15" t="s">
        <v>1221</v>
      </c>
    </row>
    <row r="1185" spans="1:4" x14ac:dyDescent="0.25">
      <c r="A1185" t="str">
        <f>"101157"</f>
        <v>101157</v>
      </c>
      <c r="B1185" t="s">
        <v>1154</v>
      </c>
      <c r="D1185" s="15" t="s">
        <v>1421</v>
      </c>
    </row>
    <row r="1186" spans="1:4" x14ac:dyDescent="0.25">
      <c r="A1186" t="str">
        <f>"101158"</f>
        <v>101158</v>
      </c>
      <c r="B1186" t="s">
        <v>1155</v>
      </c>
      <c r="D1186" s="15" t="s">
        <v>2284</v>
      </c>
    </row>
    <row r="1187" spans="1:4" x14ac:dyDescent="0.25">
      <c r="A1187" t="str">
        <f>"101159"</f>
        <v>101159</v>
      </c>
      <c r="B1187" t="s">
        <v>1156</v>
      </c>
      <c r="D1187" s="15" t="s">
        <v>2449</v>
      </c>
    </row>
    <row r="1188" spans="1:4" x14ac:dyDescent="0.25">
      <c r="A1188" t="str">
        <f>"101160"</f>
        <v>101160</v>
      </c>
      <c r="B1188" t="s">
        <v>1157</v>
      </c>
      <c r="D1188" s="15" t="s">
        <v>1957</v>
      </c>
    </row>
    <row r="1189" spans="1:4" x14ac:dyDescent="0.25">
      <c r="A1189" t="str">
        <f>"101161"</f>
        <v>101161</v>
      </c>
      <c r="B1189" t="s">
        <v>1158</v>
      </c>
      <c r="D1189" s="15" t="s">
        <v>193</v>
      </c>
    </row>
    <row r="1190" spans="1:4" x14ac:dyDescent="0.25">
      <c r="A1190" t="str">
        <f>"101162"</f>
        <v>101162</v>
      </c>
      <c r="B1190" t="s">
        <v>1159</v>
      </c>
      <c r="D1190" s="15" t="s">
        <v>557</v>
      </c>
    </row>
    <row r="1191" spans="1:4" x14ac:dyDescent="0.25">
      <c r="A1191" t="str">
        <f>"101163"</f>
        <v>101163</v>
      </c>
      <c r="B1191" t="s">
        <v>1160</v>
      </c>
      <c r="D1191" s="15" t="s">
        <v>1048</v>
      </c>
    </row>
    <row r="1192" spans="1:4" x14ac:dyDescent="0.25">
      <c r="A1192" t="str">
        <f>"101164"</f>
        <v>101164</v>
      </c>
      <c r="B1192" t="s">
        <v>1161</v>
      </c>
      <c r="D1192" s="15" t="s">
        <v>1527</v>
      </c>
    </row>
    <row r="1193" spans="1:4" x14ac:dyDescent="0.25">
      <c r="A1193" t="str">
        <f>"101165"</f>
        <v>101165</v>
      </c>
      <c r="B1193" t="s">
        <v>1162</v>
      </c>
      <c r="D1193" s="15" t="s">
        <v>1792</v>
      </c>
    </row>
    <row r="1194" spans="1:4" x14ac:dyDescent="0.25">
      <c r="A1194" t="str">
        <f>"101166"</f>
        <v>101166</v>
      </c>
      <c r="B1194" t="s">
        <v>1163</v>
      </c>
      <c r="D1194" s="15" t="s">
        <v>2206</v>
      </c>
    </row>
    <row r="1195" spans="1:4" x14ac:dyDescent="0.25">
      <c r="A1195" t="str">
        <f>"101167"</f>
        <v>101167</v>
      </c>
      <c r="B1195" t="s">
        <v>1164</v>
      </c>
      <c r="D1195" s="15" t="s">
        <v>560</v>
      </c>
    </row>
    <row r="1196" spans="1:4" x14ac:dyDescent="0.25">
      <c r="A1196" t="str">
        <f>"101168"</f>
        <v>101168</v>
      </c>
      <c r="B1196" t="s">
        <v>1165</v>
      </c>
      <c r="D1196" s="15" t="s">
        <v>2144</v>
      </c>
    </row>
    <row r="1197" spans="1:4" x14ac:dyDescent="0.25">
      <c r="A1197" t="str">
        <f>"101169"</f>
        <v>101169</v>
      </c>
      <c r="B1197" t="s">
        <v>1166</v>
      </c>
      <c r="D1197" s="15" t="s">
        <v>2253</v>
      </c>
    </row>
    <row r="1198" spans="1:4" x14ac:dyDescent="0.25">
      <c r="A1198" t="str">
        <f>"101170"</f>
        <v>101170</v>
      </c>
      <c r="B1198" t="s">
        <v>1167</v>
      </c>
      <c r="D1198" s="15" t="s">
        <v>499</v>
      </c>
    </row>
    <row r="1199" spans="1:4" x14ac:dyDescent="0.25">
      <c r="A1199" t="str">
        <f>"101171"</f>
        <v>101171</v>
      </c>
      <c r="B1199" t="s">
        <v>1168</v>
      </c>
      <c r="D1199" s="15" t="s">
        <v>1103</v>
      </c>
    </row>
    <row r="1200" spans="1:4" x14ac:dyDescent="0.25">
      <c r="A1200" t="str">
        <f>"101172"</f>
        <v>101172</v>
      </c>
      <c r="B1200" t="s">
        <v>1169</v>
      </c>
      <c r="D1200" s="15" t="s">
        <v>1304</v>
      </c>
    </row>
    <row r="1201" spans="1:4" x14ac:dyDescent="0.25">
      <c r="A1201" t="str">
        <f>"101173"</f>
        <v>101173</v>
      </c>
      <c r="B1201" t="s">
        <v>1170</v>
      </c>
      <c r="D1201" s="15" t="s">
        <v>1731</v>
      </c>
    </row>
    <row r="1202" spans="1:4" x14ac:dyDescent="0.25">
      <c r="A1202" t="str">
        <f>"101174"</f>
        <v>101174</v>
      </c>
      <c r="B1202" t="s">
        <v>1171</v>
      </c>
      <c r="D1202" s="15" t="s">
        <v>1649</v>
      </c>
    </row>
    <row r="1203" spans="1:4" x14ac:dyDescent="0.25">
      <c r="A1203" t="str">
        <f>"101175"</f>
        <v>101175</v>
      </c>
      <c r="B1203" t="s">
        <v>1172</v>
      </c>
      <c r="D1203" s="15" t="s">
        <v>2185</v>
      </c>
    </row>
    <row r="1204" spans="1:4" x14ac:dyDescent="0.25">
      <c r="A1204" t="str">
        <f>"101176"</f>
        <v>101176</v>
      </c>
      <c r="B1204" t="s">
        <v>1173</v>
      </c>
      <c r="D1204" s="15" t="s">
        <v>2469</v>
      </c>
    </row>
    <row r="1205" spans="1:4" x14ac:dyDescent="0.25">
      <c r="A1205" t="str">
        <f>"101177"</f>
        <v>101177</v>
      </c>
      <c r="B1205" t="s">
        <v>1174</v>
      </c>
      <c r="D1205" s="15" t="s">
        <v>2769</v>
      </c>
    </row>
    <row r="1206" spans="1:4" x14ac:dyDescent="0.25">
      <c r="A1206" t="str">
        <f>"101178"</f>
        <v>101178</v>
      </c>
      <c r="B1206" t="s">
        <v>1175</v>
      </c>
      <c r="D1206" s="15" t="s">
        <v>1621</v>
      </c>
    </row>
    <row r="1207" spans="1:4" x14ac:dyDescent="0.25">
      <c r="A1207" t="str">
        <f>"101179"</f>
        <v>101179</v>
      </c>
      <c r="B1207" t="s">
        <v>1176</v>
      </c>
      <c r="D1207" s="15" t="s">
        <v>496</v>
      </c>
    </row>
    <row r="1208" spans="1:4" x14ac:dyDescent="0.25">
      <c r="A1208" t="str">
        <f>"101180"</f>
        <v>101180</v>
      </c>
      <c r="B1208" t="s">
        <v>1177</v>
      </c>
      <c r="D1208" s="15" t="s">
        <v>1537</v>
      </c>
    </row>
    <row r="1209" spans="1:4" x14ac:dyDescent="0.25">
      <c r="A1209" t="str">
        <f>"101181"</f>
        <v>101181</v>
      </c>
      <c r="B1209" t="s">
        <v>1178</v>
      </c>
      <c r="D1209" s="15" t="s">
        <v>992</v>
      </c>
    </row>
    <row r="1210" spans="1:4" x14ac:dyDescent="0.25">
      <c r="A1210" t="str">
        <f>"101182"</f>
        <v>101182</v>
      </c>
      <c r="B1210" t="s">
        <v>1179</v>
      </c>
      <c r="D1210" s="15" t="s">
        <v>1375</v>
      </c>
    </row>
    <row r="1211" spans="1:4" x14ac:dyDescent="0.25">
      <c r="A1211" t="str">
        <f>"101183"</f>
        <v>101183</v>
      </c>
      <c r="B1211" t="s">
        <v>1180</v>
      </c>
      <c r="D1211" s="15" t="s">
        <v>502</v>
      </c>
    </row>
    <row r="1212" spans="1:4" x14ac:dyDescent="0.25">
      <c r="A1212" t="str">
        <f>"101184"</f>
        <v>101184</v>
      </c>
      <c r="B1212" t="s">
        <v>1181</v>
      </c>
      <c r="D1212" s="15" t="s">
        <v>1386</v>
      </c>
    </row>
    <row r="1213" spans="1:4" x14ac:dyDescent="0.25">
      <c r="A1213" t="str">
        <f>"101185"</f>
        <v>101185</v>
      </c>
      <c r="B1213" t="s">
        <v>1182</v>
      </c>
      <c r="D1213" s="15" t="s">
        <v>1151</v>
      </c>
    </row>
    <row r="1214" spans="1:4" x14ac:dyDescent="0.25">
      <c r="A1214" t="str">
        <f>"101186"</f>
        <v>101186</v>
      </c>
      <c r="B1214" t="s">
        <v>1183</v>
      </c>
      <c r="D1214" s="15" t="s">
        <v>770</v>
      </c>
    </row>
    <row r="1215" spans="1:4" x14ac:dyDescent="0.25">
      <c r="A1215" t="str">
        <f>"101187"</f>
        <v>101187</v>
      </c>
      <c r="B1215" t="s">
        <v>1184</v>
      </c>
      <c r="D1215" s="15" t="s">
        <v>824</v>
      </c>
    </row>
    <row r="1216" spans="1:4" x14ac:dyDescent="0.25">
      <c r="A1216" t="str">
        <f>"101188"</f>
        <v>101188</v>
      </c>
      <c r="B1216" t="s">
        <v>1185</v>
      </c>
      <c r="D1216" s="15" t="s">
        <v>1150</v>
      </c>
    </row>
    <row r="1217" spans="1:4" x14ac:dyDescent="0.25">
      <c r="A1217" t="str">
        <f>"101189"</f>
        <v>101189</v>
      </c>
      <c r="B1217" t="s">
        <v>1186</v>
      </c>
      <c r="D1217" s="15" t="s">
        <v>397</v>
      </c>
    </row>
    <row r="1218" spans="1:4" x14ac:dyDescent="0.25">
      <c r="A1218" t="str">
        <f>"101190"</f>
        <v>101190</v>
      </c>
      <c r="B1218" t="s">
        <v>1187</v>
      </c>
      <c r="D1218" s="15" t="s">
        <v>767</v>
      </c>
    </row>
    <row r="1219" spans="1:4" x14ac:dyDescent="0.25">
      <c r="A1219" t="str">
        <f>"101191"</f>
        <v>101191</v>
      </c>
      <c r="B1219" t="s">
        <v>1188</v>
      </c>
      <c r="D1219" s="15" t="s">
        <v>1960</v>
      </c>
    </row>
    <row r="1220" spans="1:4" x14ac:dyDescent="0.25">
      <c r="A1220" t="str">
        <f>"101192"</f>
        <v>101192</v>
      </c>
      <c r="B1220" t="s">
        <v>1189</v>
      </c>
      <c r="D1220" s="15" t="s">
        <v>1948</v>
      </c>
    </row>
    <row r="1221" spans="1:4" x14ac:dyDescent="0.25">
      <c r="A1221" t="str">
        <f>"101193"</f>
        <v>101193</v>
      </c>
      <c r="B1221" t="s">
        <v>1190</v>
      </c>
      <c r="D1221" s="15" t="s">
        <v>898</v>
      </c>
    </row>
    <row r="1222" spans="1:4" x14ac:dyDescent="0.25">
      <c r="A1222" t="str">
        <f>"101194"</f>
        <v>101194</v>
      </c>
      <c r="B1222" t="s">
        <v>1191</v>
      </c>
      <c r="D1222" s="15" t="s">
        <v>1354</v>
      </c>
    </row>
    <row r="1223" spans="1:4" x14ac:dyDescent="0.25">
      <c r="A1223" t="str">
        <f>"101195"</f>
        <v>101195</v>
      </c>
      <c r="B1223" t="s">
        <v>1192</v>
      </c>
      <c r="D1223" s="15" t="s">
        <v>765</v>
      </c>
    </row>
    <row r="1224" spans="1:4" x14ac:dyDescent="0.25">
      <c r="A1224" t="str">
        <f>"101196"</f>
        <v>101196</v>
      </c>
      <c r="B1224" t="s">
        <v>1193</v>
      </c>
      <c r="D1224" s="15" t="s">
        <v>398</v>
      </c>
    </row>
    <row r="1225" spans="1:4" x14ac:dyDescent="0.25">
      <c r="A1225" t="str">
        <f>"101197"</f>
        <v>101197</v>
      </c>
      <c r="B1225" t="s">
        <v>1194</v>
      </c>
      <c r="D1225" s="15" t="s">
        <v>1553</v>
      </c>
    </row>
    <row r="1226" spans="1:4" x14ac:dyDescent="0.25">
      <c r="A1226" t="str">
        <f>"101198"</f>
        <v>101198</v>
      </c>
      <c r="B1226" t="s">
        <v>1195</v>
      </c>
      <c r="D1226" s="15" t="s">
        <v>495</v>
      </c>
    </row>
    <row r="1227" spans="1:4" x14ac:dyDescent="0.25">
      <c r="A1227" t="str">
        <f>"101199"</f>
        <v>101199</v>
      </c>
      <c r="B1227" t="s">
        <v>1196</v>
      </c>
      <c r="D1227" s="15" t="s">
        <v>2107</v>
      </c>
    </row>
    <row r="1228" spans="1:4" x14ac:dyDescent="0.25">
      <c r="A1228" t="str">
        <f>"101200"</f>
        <v>101200</v>
      </c>
      <c r="B1228" t="s">
        <v>1197</v>
      </c>
      <c r="D1228" s="15" t="s">
        <v>1169</v>
      </c>
    </row>
    <row r="1229" spans="1:4" x14ac:dyDescent="0.25">
      <c r="A1229" t="str">
        <f>"101201"</f>
        <v>101201</v>
      </c>
      <c r="B1229" t="s">
        <v>1198</v>
      </c>
      <c r="D1229" s="15" t="s">
        <v>2096</v>
      </c>
    </row>
    <row r="1230" spans="1:4" x14ac:dyDescent="0.25">
      <c r="A1230" t="str">
        <f>"101202"</f>
        <v>101202</v>
      </c>
      <c r="B1230" t="s">
        <v>1199</v>
      </c>
      <c r="D1230" s="15" t="s">
        <v>1435</v>
      </c>
    </row>
    <row r="1231" spans="1:4" x14ac:dyDescent="0.25">
      <c r="A1231" t="str">
        <f>"101203"</f>
        <v>101203</v>
      </c>
      <c r="B1231" t="s">
        <v>1200</v>
      </c>
      <c r="D1231" s="15" t="s">
        <v>1755</v>
      </c>
    </row>
    <row r="1232" spans="1:4" x14ac:dyDescent="0.25">
      <c r="A1232" t="str">
        <f>"101204"</f>
        <v>101204</v>
      </c>
      <c r="B1232" t="s">
        <v>1201</v>
      </c>
      <c r="D1232" s="15" t="s">
        <v>8</v>
      </c>
    </row>
    <row r="1233" spans="1:4" x14ac:dyDescent="0.25">
      <c r="A1233" t="str">
        <f>"101205"</f>
        <v>101205</v>
      </c>
      <c r="B1233" t="s">
        <v>1202</v>
      </c>
      <c r="D1233" s="15" t="s">
        <v>399</v>
      </c>
    </row>
    <row r="1234" spans="1:4" x14ac:dyDescent="0.25">
      <c r="A1234" t="str">
        <f>"101206"</f>
        <v>101206</v>
      </c>
      <c r="B1234" t="s">
        <v>1203</v>
      </c>
      <c r="D1234" s="15" t="s">
        <v>2815</v>
      </c>
    </row>
    <row r="1235" spans="1:4" x14ac:dyDescent="0.25">
      <c r="A1235" t="str">
        <f>"101207"</f>
        <v>101207</v>
      </c>
      <c r="B1235" t="s">
        <v>1204</v>
      </c>
      <c r="D1235" s="15" t="s">
        <v>1458</v>
      </c>
    </row>
    <row r="1236" spans="1:4" x14ac:dyDescent="0.25">
      <c r="A1236" t="str">
        <f>"101208"</f>
        <v>101208</v>
      </c>
      <c r="B1236" t="s">
        <v>1205</v>
      </c>
      <c r="D1236" s="15" t="s">
        <v>2049</v>
      </c>
    </row>
    <row r="1237" spans="1:4" x14ac:dyDescent="0.25">
      <c r="A1237" t="str">
        <f>"101209"</f>
        <v>101209</v>
      </c>
      <c r="B1237" t="s">
        <v>1206</v>
      </c>
      <c r="D1237" s="15" t="s">
        <v>2736</v>
      </c>
    </row>
    <row r="1238" spans="1:4" x14ac:dyDescent="0.25">
      <c r="A1238" t="str">
        <f>"101210"</f>
        <v>101210</v>
      </c>
      <c r="B1238" t="s">
        <v>1207</v>
      </c>
      <c r="D1238" s="15" t="s">
        <v>1902</v>
      </c>
    </row>
    <row r="1239" spans="1:4" x14ac:dyDescent="0.25">
      <c r="A1239" t="str">
        <f>"101211"</f>
        <v>101211</v>
      </c>
      <c r="B1239" t="s">
        <v>1208</v>
      </c>
      <c r="D1239" s="15" t="s">
        <v>1401</v>
      </c>
    </row>
    <row r="1240" spans="1:4" x14ac:dyDescent="0.25">
      <c r="A1240" t="str">
        <f>"101212"</f>
        <v>101212</v>
      </c>
      <c r="B1240" t="s">
        <v>1209</v>
      </c>
      <c r="D1240" s="15" t="s">
        <v>1338</v>
      </c>
    </row>
    <row r="1241" spans="1:4" x14ac:dyDescent="0.25">
      <c r="A1241" t="str">
        <f>"101213"</f>
        <v>101213</v>
      </c>
      <c r="B1241" t="s">
        <v>1210</v>
      </c>
      <c r="D1241" s="15" t="s">
        <v>2693</v>
      </c>
    </row>
    <row r="1242" spans="1:4" x14ac:dyDescent="0.25">
      <c r="A1242" t="str">
        <f>"101214"</f>
        <v>101214</v>
      </c>
      <c r="B1242" t="s">
        <v>1211</v>
      </c>
      <c r="D1242" s="15" t="s">
        <v>500</v>
      </c>
    </row>
    <row r="1243" spans="1:4" x14ac:dyDescent="0.25">
      <c r="A1243" t="str">
        <f>"101215"</f>
        <v>101215</v>
      </c>
      <c r="B1243" t="s">
        <v>1212</v>
      </c>
      <c r="D1243" s="15" t="s">
        <v>633</v>
      </c>
    </row>
    <row r="1244" spans="1:4" x14ac:dyDescent="0.25">
      <c r="A1244" t="str">
        <f>"101216"</f>
        <v>101216</v>
      </c>
      <c r="B1244" t="s">
        <v>1213</v>
      </c>
      <c r="D1244" s="15" t="s">
        <v>2463</v>
      </c>
    </row>
    <row r="1245" spans="1:4" x14ac:dyDescent="0.25">
      <c r="A1245" t="str">
        <f>"101217"</f>
        <v>101217</v>
      </c>
      <c r="B1245" t="s">
        <v>1214</v>
      </c>
      <c r="D1245" s="15" t="s">
        <v>497</v>
      </c>
    </row>
    <row r="1246" spans="1:4" x14ac:dyDescent="0.25">
      <c r="A1246" t="str">
        <f>"101218"</f>
        <v>101218</v>
      </c>
      <c r="B1246" t="s">
        <v>1215</v>
      </c>
      <c r="D1246" s="15" t="s">
        <v>385</v>
      </c>
    </row>
    <row r="1247" spans="1:4" x14ac:dyDescent="0.25">
      <c r="A1247" t="str">
        <f>"101219"</f>
        <v>101219</v>
      </c>
      <c r="B1247" t="s">
        <v>1216</v>
      </c>
      <c r="D1247" s="15" t="s">
        <v>2755</v>
      </c>
    </row>
    <row r="1248" spans="1:4" x14ac:dyDescent="0.25">
      <c r="A1248" t="str">
        <f>"101220"</f>
        <v>101220</v>
      </c>
      <c r="B1248" t="s">
        <v>1217</v>
      </c>
      <c r="D1248" s="15" t="s">
        <v>2497</v>
      </c>
    </row>
    <row r="1249" spans="1:4" x14ac:dyDescent="0.25">
      <c r="A1249" t="str">
        <f>"101221"</f>
        <v>101221</v>
      </c>
      <c r="B1249" t="s">
        <v>1218</v>
      </c>
      <c r="D1249" s="15" t="s">
        <v>400</v>
      </c>
    </row>
    <row r="1250" spans="1:4" x14ac:dyDescent="0.25">
      <c r="A1250" t="str">
        <f>"101222"</f>
        <v>101222</v>
      </c>
      <c r="B1250" t="s">
        <v>1219</v>
      </c>
      <c r="D1250" s="15" t="s">
        <v>2831</v>
      </c>
    </row>
    <row r="1251" spans="1:4" x14ac:dyDescent="0.25">
      <c r="A1251" t="str">
        <f>"101223"</f>
        <v>101223</v>
      </c>
      <c r="B1251" t="s">
        <v>1220</v>
      </c>
      <c r="D1251" s="15" t="s">
        <v>2673</v>
      </c>
    </row>
    <row r="1252" spans="1:4" x14ac:dyDescent="0.25">
      <c r="A1252" t="str">
        <f>"101224"</f>
        <v>101224</v>
      </c>
      <c r="B1252" t="s">
        <v>1221</v>
      </c>
      <c r="D1252" s="15" t="s">
        <v>2010</v>
      </c>
    </row>
    <row r="1253" spans="1:4" x14ac:dyDescent="0.25">
      <c r="A1253" t="str">
        <f>"101225"</f>
        <v>101225</v>
      </c>
      <c r="B1253" t="s">
        <v>1222</v>
      </c>
      <c r="D1253" s="15" t="s">
        <v>2327</v>
      </c>
    </row>
    <row r="1254" spans="1:4" x14ac:dyDescent="0.25">
      <c r="A1254" t="str">
        <f>"101226"</f>
        <v>101226</v>
      </c>
      <c r="B1254" t="s">
        <v>1223</v>
      </c>
      <c r="D1254" s="15" t="s">
        <v>2468</v>
      </c>
    </row>
    <row r="1255" spans="1:4" x14ac:dyDescent="0.25">
      <c r="A1255" t="str">
        <f>"101227"</f>
        <v>101227</v>
      </c>
      <c r="B1255" t="s">
        <v>1224</v>
      </c>
      <c r="D1255" s="15" t="s">
        <v>2192</v>
      </c>
    </row>
    <row r="1256" spans="1:4" x14ac:dyDescent="0.25">
      <c r="A1256" t="str">
        <f>"101228"</f>
        <v>101228</v>
      </c>
      <c r="B1256" t="s">
        <v>1225</v>
      </c>
      <c r="D1256" s="15" t="s">
        <v>1356</v>
      </c>
    </row>
    <row r="1257" spans="1:4" x14ac:dyDescent="0.25">
      <c r="A1257" t="str">
        <f>"101229"</f>
        <v>101229</v>
      </c>
      <c r="B1257" t="s">
        <v>1226</v>
      </c>
      <c r="D1257" s="15" t="s">
        <v>2283</v>
      </c>
    </row>
    <row r="1258" spans="1:4" x14ac:dyDescent="0.25">
      <c r="A1258" t="str">
        <f>"101230"</f>
        <v>101230</v>
      </c>
      <c r="B1258" t="s">
        <v>1227</v>
      </c>
      <c r="D1258" s="15" t="s">
        <v>2269</v>
      </c>
    </row>
    <row r="1259" spans="1:4" x14ac:dyDescent="0.25">
      <c r="A1259" t="str">
        <f>"101231"</f>
        <v>101231</v>
      </c>
      <c r="B1259" t="s">
        <v>1228</v>
      </c>
      <c r="D1259" s="15" t="s">
        <v>1913</v>
      </c>
    </row>
    <row r="1260" spans="1:4" x14ac:dyDescent="0.25">
      <c r="A1260" t="str">
        <f>"101232"</f>
        <v>101232</v>
      </c>
      <c r="B1260" t="s">
        <v>1229</v>
      </c>
      <c r="D1260" s="15" t="s">
        <v>2714</v>
      </c>
    </row>
    <row r="1261" spans="1:4" x14ac:dyDescent="0.25">
      <c r="A1261" t="str">
        <f>"101233"</f>
        <v>101233</v>
      </c>
      <c r="B1261" t="s">
        <v>1230</v>
      </c>
      <c r="D1261" s="15" t="s">
        <v>2334</v>
      </c>
    </row>
    <row r="1262" spans="1:4" x14ac:dyDescent="0.25">
      <c r="A1262" t="str">
        <f>"101234"</f>
        <v>101234</v>
      </c>
      <c r="B1262" t="s">
        <v>1231</v>
      </c>
      <c r="D1262" s="15" t="s">
        <v>498</v>
      </c>
    </row>
    <row r="1263" spans="1:4" x14ac:dyDescent="0.25">
      <c r="A1263" t="str">
        <f>"101235"</f>
        <v>101235</v>
      </c>
      <c r="B1263" t="s">
        <v>1232</v>
      </c>
      <c r="D1263" s="15" t="s">
        <v>501</v>
      </c>
    </row>
    <row r="1264" spans="1:4" x14ac:dyDescent="0.25">
      <c r="A1264" t="str">
        <f>"101236"</f>
        <v>101236</v>
      </c>
      <c r="B1264" t="s">
        <v>1233</v>
      </c>
      <c r="D1264" s="15" t="s">
        <v>1006</v>
      </c>
    </row>
    <row r="1265" spans="1:4" x14ac:dyDescent="0.25">
      <c r="A1265" t="str">
        <f>"101237"</f>
        <v>101237</v>
      </c>
      <c r="B1265" t="s">
        <v>1234</v>
      </c>
      <c r="D1265" s="15" t="s">
        <v>1590</v>
      </c>
    </row>
    <row r="1266" spans="1:4" x14ac:dyDescent="0.25">
      <c r="A1266" t="str">
        <f>"101238"</f>
        <v>101238</v>
      </c>
      <c r="B1266" t="s">
        <v>1235</v>
      </c>
      <c r="D1266" s="15" t="s">
        <v>401</v>
      </c>
    </row>
    <row r="1267" spans="1:4" x14ac:dyDescent="0.25">
      <c r="A1267" t="str">
        <f>"101239"</f>
        <v>101239</v>
      </c>
      <c r="B1267" t="s">
        <v>1236</v>
      </c>
      <c r="D1267" s="15" t="s">
        <v>1302</v>
      </c>
    </row>
    <row r="1268" spans="1:4" x14ac:dyDescent="0.25">
      <c r="A1268" t="str">
        <f>"101240"</f>
        <v>101240</v>
      </c>
      <c r="B1268" t="s">
        <v>1237</v>
      </c>
      <c r="D1268" s="15" t="s">
        <v>2047</v>
      </c>
    </row>
    <row r="1269" spans="1:4" x14ac:dyDescent="0.25">
      <c r="A1269" t="str">
        <f>"101241"</f>
        <v>101241</v>
      </c>
      <c r="B1269" t="s">
        <v>1238</v>
      </c>
      <c r="D1269" s="15" t="s">
        <v>2116</v>
      </c>
    </row>
    <row r="1270" spans="1:4" x14ac:dyDescent="0.25">
      <c r="A1270" t="str">
        <f>"101242"</f>
        <v>101242</v>
      </c>
      <c r="B1270" t="s">
        <v>1239</v>
      </c>
      <c r="D1270" s="15" t="s">
        <v>142</v>
      </c>
    </row>
    <row r="1271" spans="1:4" x14ac:dyDescent="0.25">
      <c r="A1271" t="str">
        <f>"101243"</f>
        <v>101243</v>
      </c>
      <c r="B1271" t="s">
        <v>1240</v>
      </c>
      <c r="D1271" s="15" t="s">
        <v>16</v>
      </c>
    </row>
    <row r="1272" spans="1:4" x14ac:dyDescent="0.25">
      <c r="A1272" t="str">
        <f>"101244"</f>
        <v>101244</v>
      </c>
      <c r="B1272" t="s">
        <v>1241</v>
      </c>
      <c r="D1272" s="15" t="s">
        <v>1949</v>
      </c>
    </row>
    <row r="1273" spans="1:4" x14ac:dyDescent="0.25">
      <c r="A1273" t="str">
        <f>"101245"</f>
        <v>101245</v>
      </c>
      <c r="B1273" t="s">
        <v>1242</v>
      </c>
      <c r="D1273" s="15" t="s">
        <v>17</v>
      </c>
    </row>
    <row r="1274" spans="1:4" x14ac:dyDescent="0.25">
      <c r="A1274" t="str">
        <f>"101246"</f>
        <v>101246</v>
      </c>
      <c r="B1274" t="s">
        <v>1243</v>
      </c>
      <c r="D1274" s="15" t="s">
        <v>1109</v>
      </c>
    </row>
    <row r="1275" spans="1:4" x14ac:dyDescent="0.25">
      <c r="A1275" t="str">
        <f>"101247"</f>
        <v>101247</v>
      </c>
      <c r="B1275" t="s">
        <v>1244</v>
      </c>
      <c r="D1275" s="15" t="s">
        <v>1620</v>
      </c>
    </row>
    <row r="1276" spans="1:4" x14ac:dyDescent="0.25">
      <c r="A1276" t="str">
        <f>"101248"</f>
        <v>101248</v>
      </c>
      <c r="B1276" t="s">
        <v>1245</v>
      </c>
      <c r="D1276" s="15" t="s">
        <v>2515</v>
      </c>
    </row>
    <row r="1277" spans="1:4" x14ac:dyDescent="0.25">
      <c r="A1277" t="str">
        <f>"101249"</f>
        <v>101249</v>
      </c>
      <c r="B1277" t="s">
        <v>1246</v>
      </c>
      <c r="D1277" s="15" t="s">
        <v>1180</v>
      </c>
    </row>
    <row r="1278" spans="1:4" x14ac:dyDescent="0.25">
      <c r="A1278" t="str">
        <f>"101250"</f>
        <v>101250</v>
      </c>
      <c r="B1278" t="s">
        <v>1247</v>
      </c>
      <c r="D1278" s="15" t="s">
        <v>2224</v>
      </c>
    </row>
    <row r="1279" spans="1:4" x14ac:dyDescent="0.25">
      <c r="A1279" t="str">
        <f>"101251"</f>
        <v>101251</v>
      </c>
      <c r="B1279" t="s">
        <v>1248</v>
      </c>
      <c r="D1279" s="15" t="s">
        <v>2612</v>
      </c>
    </row>
    <row r="1280" spans="1:4" x14ac:dyDescent="0.25">
      <c r="A1280" t="str">
        <f>"101252"</f>
        <v>101252</v>
      </c>
      <c r="B1280" t="s">
        <v>1249</v>
      </c>
      <c r="D1280" s="15" t="s">
        <v>985</v>
      </c>
    </row>
    <row r="1281" spans="1:4" x14ac:dyDescent="0.25">
      <c r="A1281" t="str">
        <f>"101253"</f>
        <v>101253</v>
      </c>
      <c r="B1281" t="s">
        <v>1250</v>
      </c>
      <c r="D1281" s="15" t="s">
        <v>2304</v>
      </c>
    </row>
    <row r="1282" spans="1:4" x14ac:dyDescent="0.25">
      <c r="A1282" t="str">
        <f>"101254"</f>
        <v>101254</v>
      </c>
      <c r="B1282" t="s">
        <v>1251</v>
      </c>
      <c r="D1282" s="15" t="s">
        <v>1128</v>
      </c>
    </row>
    <row r="1283" spans="1:4" x14ac:dyDescent="0.25">
      <c r="A1283" t="str">
        <f>"101255"</f>
        <v>101255</v>
      </c>
      <c r="B1283" t="s">
        <v>1252</v>
      </c>
      <c r="D1283" s="15" t="s">
        <v>518</v>
      </c>
    </row>
    <row r="1284" spans="1:4" x14ac:dyDescent="0.25">
      <c r="A1284" t="str">
        <f>"101256"</f>
        <v>101256</v>
      </c>
      <c r="B1284" t="s">
        <v>1253</v>
      </c>
      <c r="D1284" s="15" t="s">
        <v>31</v>
      </c>
    </row>
    <row r="1285" spans="1:4" x14ac:dyDescent="0.25">
      <c r="A1285" t="str">
        <f>"101257"</f>
        <v>101257</v>
      </c>
      <c r="B1285" t="s">
        <v>1254</v>
      </c>
      <c r="D1285" s="15" t="s">
        <v>1567</v>
      </c>
    </row>
    <row r="1286" spans="1:4" x14ac:dyDescent="0.25">
      <c r="A1286" t="str">
        <f>"101258"</f>
        <v>101258</v>
      </c>
      <c r="B1286" t="s">
        <v>1255</v>
      </c>
      <c r="D1286" s="15" t="s">
        <v>522</v>
      </c>
    </row>
    <row r="1287" spans="1:4" x14ac:dyDescent="0.25">
      <c r="A1287" t="str">
        <f>"101259"</f>
        <v>101259</v>
      </c>
      <c r="B1287" t="s">
        <v>1256</v>
      </c>
      <c r="D1287" s="15" t="s">
        <v>2015</v>
      </c>
    </row>
    <row r="1288" spans="1:4" x14ac:dyDescent="0.25">
      <c r="A1288" t="str">
        <f>"101260"</f>
        <v>101260</v>
      </c>
      <c r="B1288" t="s">
        <v>1257</v>
      </c>
      <c r="D1288" s="15" t="s">
        <v>1652</v>
      </c>
    </row>
    <row r="1289" spans="1:4" x14ac:dyDescent="0.25">
      <c r="A1289" t="str">
        <f>"101261"</f>
        <v>101261</v>
      </c>
      <c r="B1289" t="s">
        <v>1258</v>
      </c>
      <c r="D1289" s="15" t="s">
        <v>1046</v>
      </c>
    </row>
    <row r="1290" spans="1:4" x14ac:dyDescent="0.25">
      <c r="A1290" t="str">
        <f>"101262"</f>
        <v>101262</v>
      </c>
      <c r="B1290" t="s">
        <v>1259</v>
      </c>
      <c r="D1290" s="15" t="s">
        <v>402</v>
      </c>
    </row>
    <row r="1291" spans="1:4" x14ac:dyDescent="0.25">
      <c r="A1291" t="str">
        <f>"101263"</f>
        <v>101263</v>
      </c>
      <c r="B1291" t="s">
        <v>1260</v>
      </c>
      <c r="D1291" s="15" t="s">
        <v>116</v>
      </c>
    </row>
    <row r="1292" spans="1:4" x14ac:dyDescent="0.25">
      <c r="A1292" t="str">
        <f>"101264"</f>
        <v>101264</v>
      </c>
      <c r="B1292" t="s">
        <v>1261</v>
      </c>
      <c r="D1292" s="15" t="s">
        <v>1546</v>
      </c>
    </row>
    <row r="1293" spans="1:4" x14ac:dyDescent="0.25">
      <c r="A1293" t="str">
        <f>"101265"</f>
        <v>101265</v>
      </c>
      <c r="B1293" t="s">
        <v>1262</v>
      </c>
      <c r="D1293" s="15" t="s">
        <v>627</v>
      </c>
    </row>
    <row r="1294" spans="1:4" x14ac:dyDescent="0.25">
      <c r="A1294" t="str">
        <f>"101266"</f>
        <v>101266</v>
      </c>
      <c r="B1294" t="s">
        <v>1263</v>
      </c>
      <c r="D1294" s="15" t="s">
        <v>2484</v>
      </c>
    </row>
    <row r="1295" spans="1:4" x14ac:dyDescent="0.25">
      <c r="A1295" t="str">
        <f>"101267"</f>
        <v>101267</v>
      </c>
      <c r="B1295" t="s">
        <v>1264</v>
      </c>
      <c r="D1295" s="15" t="s">
        <v>806</v>
      </c>
    </row>
    <row r="1296" spans="1:4" x14ac:dyDescent="0.25">
      <c r="A1296" t="str">
        <f>"101268"</f>
        <v>101268</v>
      </c>
      <c r="B1296" t="s">
        <v>1265</v>
      </c>
      <c r="D1296" s="15" t="s">
        <v>516</v>
      </c>
    </row>
    <row r="1297" spans="1:4" x14ac:dyDescent="0.25">
      <c r="A1297" t="str">
        <f>"101269"</f>
        <v>101269</v>
      </c>
      <c r="B1297" t="s">
        <v>1266</v>
      </c>
      <c r="D1297" s="15" t="s">
        <v>533</v>
      </c>
    </row>
    <row r="1298" spans="1:4" x14ac:dyDescent="0.25">
      <c r="A1298" t="str">
        <f>"101270"</f>
        <v>101270</v>
      </c>
      <c r="B1298" t="s">
        <v>1267</v>
      </c>
      <c r="D1298" s="15" t="s">
        <v>1038</v>
      </c>
    </row>
    <row r="1299" spans="1:4" x14ac:dyDescent="0.25">
      <c r="A1299" t="str">
        <f>"101271"</f>
        <v>101271</v>
      </c>
      <c r="B1299" t="s">
        <v>1268</v>
      </c>
      <c r="D1299" s="15" t="s">
        <v>1896</v>
      </c>
    </row>
    <row r="1300" spans="1:4" x14ac:dyDescent="0.25">
      <c r="A1300" t="str">
        <f>"101272"</f>
        <v>101272</v>
      </c>
      <c r="B1300" t="s">
        <v>1269</v>
      </c>
      <c r="D1300" s="15" t="s">
        <v>1426</v>
      </c>
    </row>
    <row r="1301" spans="1:4" x14ac:dyDescent="0.25">
      <c r="A1301" t="str">
        <f>"101273"</f>
        <v>101273</v>
      </c>
      <c r="B1301" t="s">
        <v>1270</v>
      </c>
      <c r="D1301" s="15" t="s">
        <v>1384</v>
      </c>
    </row>
    <row r="1302" spans="1:4" x14ac:dyDescent="0.25">
      <c r="A1302" t="str">
        <f>"101274"</f>
        <v>101274</v>
      </c>
      <c r="B1302" t="s">
        <v>1271</v>
      </c>
      <c r="D1302" s="15" t="s">
        <v>556</v>
      </c>
    </row>
    <row r="1303" spans="1:4" x14ac:dyDescent="0.25">
      <c r="A1303" t="str">
        <f>"101275"</f>
        <v>101275</v>
      </c>
      <c r="B1303" t="s">
        <v>1272</v>
      </c>
      <c r="D1303" s="15" t="s">
        <v>1757</v>
      </c>
    </row>
    <row r="1304" spans="1:4" x14ac:dyDescent="0.25">
      <c r="A1304" t="str">
        <f>"101276"</f>
        <v>101276</v>
      </c>
      <c r="B1304" t="s">
        <v>1273</v>
      </c>
      <c r="D1304" s="15" t="s">
        <v>1240</v>
      </c>
    </row>
    <row r="1305" spans="1:4" x14ac:dyDescent="0.25">
      <c r="A1305" t="str">
        <f>"101277"</f>
        <v>101277</v>
      </c>
      <c r="B1305" t="s">
        <v>1274</v>
      </c>
      <c r="D1305" s="15" t="s">
        <v>521</v>
      </c>
    </row>
    <row r="1306" spans="1:4" x14ac:dyDescent="0.25">
      <c r="A1306" t="str">
        <f>"101278"</f>
        <v>101278</v>
      </c>
      <c r="B1306" t="s">
        <v>1275</v>
      </c>
      <c r="D1306" s="15" t="s">
        <v>2210</v>
      </c>
    </row>
    <row r="1307" spans="1:4" x14ac:dyDescent="0.25">
      <c r="A1307" t="str">
        <f>"101279"</f>
        <v>101279</v>
      </c>
      <c r="B1307" t="s">
        <v>1276</v>
      </c>
      <c r="D1307" s="15" t="s">
        <v>2483</v>
      </c>
    </row>
    <row r="1308" spans="1:4" x14ac:dyDescent="0.25">
      <c r="A1308" t="str">
        <f>"101280"</f>
        <v>101280</v>
      </c>
      <c r="B1308" t="s">
        <v>1277</v>
      </c>
      <c r="D1308" s="15" t="s">
        <v>1416</v>
      </c>
    </row>
    <row r="1309" spans="1:4" x14ac:dyDescent="0.25">
      <c r="A1309" t="str">
        <f>"101281"</f>
        <v>101281</v>
      </c>
      <c r="B1309" t="s">
        <v>1278</v>
      </c>
      <c r="D1309" s="15" t="s">
        <v>2519</v>
      </c>
    </row>
    <row r="1310" spans="1:4" x14ac:dyDescent="0.25">
      <c r="A1310" t="str">
        <f>"101282"</f>
        <v>101282</v>
      </c>
      <c r="B1310" t="s">
        <v>1279</v>
      </c>
      <c r="D1310" s="15" t="s">
        <v>1657</v>
      </c>
    </row>
    <row r="1311" spans="1:4" x14ac:dyDescent="0.25">
      <c r="A1311" t="str">
        <f>"101283"</f>
        <v>101283</v>
      </c>
      <c r="B1311" t="s">
        <v>1280</v>
      </c>
      <c r="D1311" s="15" t="s">
        <v>686</v>
      </c>
    </row>
    <row r="1312" spans="1:4" x14ac:dyDescent="0.25">
      <c r="A1312" t="str">
        <f>"101284"</f>
        <v>101284</v>
      </c>
      <c r="B1312" t="s">
        <v>1281</v>
      </c>
      <c r="D1312" s="15" t="s">
        <v>1609</v>
      </c>
    </row>
    <row r="1313" spans="1:4" x14ac:dyDescent="0.25">
      <c r="A1313" t="str">
        <f>"101285"</f>
        <v>101285</v>
      </c>
      <c r="B1313" t="s">
        <v>1282</v>
      </c>
      <c r="D1313" s="15" t="s">
        <v>1486</v>
      </c>
    </row>
    <row r="1314" spans="1:4" x14ac:dyDescent="0.25">
      <c r="A1314" t="str">
        <f>"101286"</f>
        <v>101286</v>
      </c>
      <c r="B1314" t="s">
        <v>1283</v>
      </c>
      <c r="D1314" s="15" t="s">
        <v>1824</v>
      </c>
    </row>
    <row r="1315" spans="1:4" x14ac:dyDescent="0.25">
      <c r="A1315" t="str">
        <f>"101287"</f>
        <v>101287</v>
      </c>
      <c r="B1315" t="s">
        <v>1284</v>
      </c>
      <c r="D1315" s="15" t="s">
        <v>1073</v>
      </c>
    </row>
    <row r="1316" spans="1:4" x14ac:dyDescent="0.25">
      <c r="A1316" t="str">
        <f>"101288"</f>
        <v>101288</v>
      </c>
      <c r="B1316" t="s">
        <v>1285</v>
      </c>
      <c r="D1316" s="15" t="s">
        <v>1942</v>
      </c>
    </row>
    <row r="1317" spans="1:4" x14ac:dyDescent="0.25">
      <c r="A1317" t="str">
        <f>"101289"</f>
        <v>101289</v>
      </c>
      <c r="B1317" t="s">
        <v>1286</v>
      </c>
      <c r="D1317" s="15" t="s">
        <v>939</v>
      </c>
    </row>
    <row r="1318" spans="1:4" x14ac:dyDescent="0.25">
      <c r="A1318" t="str">
        <f>"101290"</f>
        <v>101290</v>
      </c>
      <c r="B1318" t="s">
        <v>1287</v>
      </c>
      <c r="D1318" s="15" t="s">
        <v>28</v>
      </c>
    </row>
    <row r="1319" spans="1:4" x14ac:dyDescent="0.25">
      <c r="A1319" t="str">
        <f>"101291"</f>
        <v>101291</v>
      </c>
      <c r="B1319" t="s">
        <v>1288</v>
      </c>
      <c r="D1319" s="15" t="s">
        <v>565</v>
      </c>
    </row>
    <row r="1320" spans="1:4" x14ac:dyDescent="0.25">
      <c r="A1320" t="str">
        <f>"101292"</f>
        <v>101292</v>
      </c>
      <c r="B1320" t="s">
        <v>1289</v>
      </c>
      <c r="D1320" s="15" t="s">
        <v>403</v>
      </c>
    </row>
    <row r="1321" spans="1:4" x14ac:dyDescent="0.25">
      <c r="A1321" t="str">
        <f>"101293"</f>
        <v>101293</v>
      </c>
      <c r="B1321" t="s">
        <v>1290</v>
      </c>
      <c r="D1321" s="15" t="s">
        <v>2615</v>
      </c>
    </row>
    <row r="1322" spans="1:4" x14ac:dyDescent="0.25">
      <c r="A1322" t="str">
        <f>"101294"</f>
        <v>101294</v>
      </c>
      <c r="B1322" t="s">
        <v>1291</v>
      </c>
      <c r="D1322" s="15" t="s">
        <v>569</v>
      </c>
    </row>
    <row r="1323" spans="1:4" x14ac:dyDescent="0.25">
      <c r="A1323" t="str">
        <f>"101295"</f>
        <v>101295</v>
      </c>
      <c r="B1323" t="s">
        <v>1292</v>
      </c>
      <c r="D1323" s="15" t="s">
        <v>2538</v>
      </c>
    </row>
    <row r="1324" spans="1:4" x14ac:dyDescent="0.25">
      <c r="A1324" t="str">
        <f>"101296"</f>
        <v>101296</v>
      </c>
      <c r="B1324" t="s">
        <v>1293</v>
      </c>
      <c r="D1324" s="15" t="s">
        <v>35</v>
      </c>
    </row>
    <row r="1325" spans="1:4" x14ac:dyDescent="0.25">
      <c r="A1325" t="str">
        <f>"101297"</f>
        <v>101297</v>
      </c>
      <c r="B1325" t="s">
        <v>1294</v>
      </c>
      <c r="D1325" s="15" t="s">
        <v>1395</v>
      </c>
    </row>
    <row r="1326" spans="1:4" x14ac:dyDescent="0.25">
      <c r="A1326" t="str">
        <f>"101298"</f>
        <v>101298</v>
      </c>
      <c r="B1326" t="s">
        <v>1295</v>
      </c>
      <c r="D1326" s="15" t="s">
        <v>1845</v>
      </c>
    </row>
    <row r="1327" spans="1:4" x14ac:dyDescent="0.25">
      <c r="A1327" t="str">
        <f>"101299"</f>
        <v>101299</v>
      </c>
      <c r="B1327" t="s">
        <v>1296</v>
      </c>
      <c r="D1327" s="15" t="s">
        <v>1719</v>
      </c>
    </row>
    <row r="1328" spans="1:4" x14ac:dyDescent="0.25">
      <c r="A1328" t="str">
        <f>"101300"</f>
        <v>101300</v>
      </c>
      <c r="B1328" t="s">
        <v>1297</v>
      </c>
      <c r="D1328" s="15" t="s">
        <v>1903</v>
      </c>
    </row>
    <row r="1329" spans="1:4" x14ac:dyDescent="0.25">
      <c r="A1329" t="str">
        <f>"101301"</f>
        <v>101301</v>
      </c>
      <c r="B1329" t="s">
        <v>1298</v>
      </c>
      <c r="D1329" s="15" t="s">
        <v>639</v>
      </c>
    </row>
    <row r="1330" spans="1:4" x14ac:dyDescent="0.25">
      <c r="A1330" t="str">
        <f>"101302"</f>
        <v>101302</v>
      </c>
      <c r="B1330" t="s">
        <v>1299</v>
      </c>
      <c r="D1330" s="15" t="s">
        <v>1778</v>
      </c>
    </row>
    <row r="1331" spans="1:4" x14ac:dyDescent="0.25">
      <c r="A1331" t="str">
        <f>"101303"</f>
        <v>101303</v>
      </c>
      <c r="B1331" t="s">
        <v>1300</v>
      </c>
      <c r="D1331" s="15" t="s">
        <v>1559</v>
      </c>
    </row>
    <row r="1332" spans="1:4" x14ac:dyDescent="0.25">
      <c r="A1332" t="str">
        <f>"101304"</f>
        <v>101304</v>
      </c>
      <c r="B1332" t="s">
        <v>1301</v>
      </c>
      <c r="D1332" s="15" t="s">
        <v>1429</v>
      </c>
    </row>
    <row r="1333" spans="1:4" x14ac:dyDescent="0.25">
      <c r="A1333" t="str">
        <f>"101305"</f>
        <v>101305</v>
      </c>
      <c r="B1333" t="s">
        <v>1302</v>
      </c>
      <c r="D1333" s="15" t="s">
        <v>1747</v>
      </c>
    </row>
    <row r="1334" spans="1:4" x14ac:dyDescent="0.25">
      <c r="A1334" t="str">
        <f>"101306"</f>
        <v>101306</v>
      </c>
      <c r="B1334" t="s">
        <v>1303</v>
      </c>
      <c r="D1334" s="15" t="s">
        <v>722</v>
      </c>
    </row>
    <row r="1335" spans="1:4" x14ac:dyDescent="0.25">
      <c r="A1335" t="str">
        <f>"101307"</f>
        <v>101307</v>
      </c>
      <c r="B1335" t="s">
        <v>1304</v>
      </c>
      <c r="D1335" s="15" t="s">
        <v>1760</v>
      </c>
    </row>
    <row r="1336" spans="1:4" x14ac:dyDescent="0.25">
      <c r="A1336" t="str">
        <f>"101308"</f>
        <v>101308</v>
      </c>
      <c r="B1336" t="s">
        <v>1305</v>
      </c>
      <c r="D1336" s="15" t="s">
        <v>2379</v>
      </c>
    </row>
    <row r="1337" spans="1:4" x14ac:dyDescent="0.25">
      <c r="A1337" t="str">
        <f>"101309"</f>
        <v>101309</v>
      </c>
      <c r="B1337" t="s">
        <v>1306</v>
      </c>
      <c r="D1337" s="15" t="s">
        <v>2784</v>
      </c>
    </row>
    <row r="1338" spans="1:4" x14ac:dyDescent="0.25">
      <c r="A1338" t="str">
        <f>"101310"</f>
        <v>101310</v>
      </c>
      <c r="B1338" t="s">
        <v>1307</v>
      </c>
      <c r="D1338" s="15" t="s">
        <v>407</v>
      </c>
    </row>
    <row r="1339" spans="1:4" x14ac:dyDescent="0.25">
      <c r="A1339" t="str">
        <f>"101311"</f>
        <v>101311</v>
      </c>
      <c r="B1339" t="s">
        <v>1308</v>
      </c>
      <c r="D1339" s="15" t="s">
        <v>512</v>
      </c>
    </row>
    <row r="1340" spans="1:4" x14ac:dyDescent="0.25">
      <c r="A1340" t="str">
        <f>"101312"</f>
        <v>101312</v>
      </c>
      <c r="B1340" t="s">
        <v>1309</v>
      </c>
      <c r="D1340" s="15" t="s">
        <v>1182</v>
      </c>
    </row>
    <row r="1341" spans="1:4" x14ac:dyDescent="0.25">
      <c r="A1341" t="str">
        <f>"101313"</f>
        <v>101313</v>
      </c>
      <c r="B1341" t="s">
        <v>1310</v>
      </c>
      <c r="D1341" s="15" t="s">
        <v>2225</v>
      </c>
    </row>
    <row r="1342" spans="1:4" x14ac:dyDescent="0.25">
      <c r="A1342" t="str">
        <f>"101314"</f>
        <v>101314</v>
      </c>
      <c r="B1342" t="s">
        <v>1311</v>
      </c>
      <c r="D1342" s="15" t="s">
        <v>2764</v>
      </c>
    </row>
    <row r="1343" spans="1:4" x14ac:dyDescent="0.25">
      <c r="A1343" t="str">
        <f>"101315"</f>
        <v>101315</v>
      </c>
      <c r="B1343" t="s">
        <v>1312</v>
      </c>
      <c r="D1343" s="15" t="s">
        <v>1088</v>
      </c>
    </row>
    <row r="1344" spans="1:4" x14ac:dyDescent="0.25">
      <c r="A1344" t="str">
        <f>"101316"</f>
        <v>101316</v>
      </c>
      <c r="B1344" t="s">
        <v>1313</v>
      </c>
      <c r="D1344" s="15" t="s">
        <v>1032</v>
      </c>
    </row>
    <row r="1345" spans="1:4" x14ac:dyDescent="0.25">
      <c r="A1345" t="str">
        <f>"101317"</f>
        <v>101317</v>
      </c>
      <c r="B1345" t="s">
        <v>1314</v>
      </c>
      <c r="D1345" s="15" t="s">
        <v>1044</v>
      </c>
    </row>
    <row r="1346" spans="1:4" x14ac:dyDescent="0.25">
      <c r="A1346" t="str">
        <f>"101318"</f>
        <v>101318</v>
      </c>
      <c r="B1346" t="s">
        <v>1315</v>
      </c>
      <c r="D1346" s="15" t="s">
        <v>1785</v>
      </c>
    </row>
    <row r="1347" spans="1:4" x14ac:dyDescent="0.25">
      <c r="A1347" t="str">
        <f>"101319"</f>
        <v>101319</v>
      </c>
      <c r="B1347" t="s">
        <v>1316</v>
      </c>
      <c r="D1347" s="15" t="s">
        <v>528</v>
      </c>
    </row>
    <row r="1348" spans="1:4" x14ac:dyDescent="0.25">
      <c r="A1348" t="str">
        <f>"101320"</f>
        <v>101320</v>
      </c>
      <c r="B1348" t="s">
        <v>1317</v>
      </c>
      <c r="D1348" s="15" t="s">
        <v>2001</v>
      </c>
    </row>
    <row r="1349" spans="1:4" x14ac:dyDescent="0.25">
      <c r="A1349" t="str">
        <f>"101321"</f>
        <v>101321</v>
      </c>
      <c r="B1349" t="s">
        <v>1318</v>
      </c>
      <c r="D1349" s="15" t="s">
        <v>1029</v>
      </c>
    </row>
    <row r="1350" spans="1:4" x14ac:dyDescent="0.25">
      <c r="A1350" t="str">
        <f>"101322"</f>
        <v>101322</v>
      </c>
      <c r="B1350" t="s">
        <v>1319</v>
      </c>
      <c r="D1350" s="15" t="s">
        <v>2367</v>
      </c>
    </row>
    <row r="1351" spans="1:4" x14ac:dyDescent="0.25">
      <c r="A1351" t="str">
        <f>"101323"</f>
        <v>101323</v>
      </c>
      <c r="B1351" t="s">
        <v>1320</v>
      </c>
      <c r="D1351" s="15" t="s">
        <v>408</v>
      </c>
    </row>
    <row r="1352" spans="1:4" x14ac:dyDescent="0.25">
      <c r="A1352" t="str">
        <f>"101324"</f>
        <v>101324</v>
      </c>
      <c r="B1352" t="s">
        <v>1321</v>
      </c>
      <c r="D1352" s="15" t="s">
        <v>1078</v>
      </c>
    </row>
    <row r="1353" spans="1:4" x14ac:dyDescent="0.25">
      <c r="A1353" t="str">
        <f>"101325"</f>
        <v>101325</v>
      </c>
      <c r="B1353" t="s">
        <v>1322</v>
      </c>
      <c r="D1353" s="15" t="s">
        <v>2803</v>
      </c>
    </row>
    <row r="1354" spans="1:4" x14ac:dyDescent="0.25">
      <c r="A1354" t="str">
        <f>"101326"</f>
        <v>101326</v>
      </c>
      <c r="B1354" t="s">
        <v>1323</v>
      </c>
      <c r="D1354" s="15" t="s">
        <v>409</v>
      </c>
    </row>
    <row r="1355" spans="1:4" x14ac:dyDescent="0.25">
      <c r="A1355" t="str">
        <f>"101327"</f>
        <v>101327</v>
      </c>
      <c r="B1355" t="s">
        <v>1324</v>
      </c>
      <c r="D1355" s="15" t="s">
        <v>1372</v>
      </c>
    </row>
    <row r="1356" spans="1:4" x14ac:dyDescent="0.25">
      <c r="A1356" t="str">
        <f>"101328"</f>
        <v>101328</v>
      </c>
      <c r="B1356" t="s">
        <v>1325</v>
      </c>
      <c r="D1356" s="15" t="s">
        <v>1484</v>
      </c>
    </row>
    <row r="1357" spans="1:4" x14ac:dyDescent="0.25">
      <c r="A1357" t="str">
        <f>"101329"</f>
        <v>101329</v>
      </c>
      <c r="B1357" t="s">
        <v>1326</v>
      </c>
      <c r="D1357" s="15" t="s">
        <v>506</v>
      </c>
    </row>
    <row r="1358" spans="1:4" x14ac:dyDescent="0.25">
      <c r="A1358" t="str">
        <f>"101330"</f>
        <v>101330</v>
      </c>
      <c r="B1358" t="s">
        <v>1327</v>
      </c>
      <c r="D1358" s="15" t="s">
        <v>1477</v>
      </c>
    </row>
    <row r="1359" spans="1:4" x14ac:dyDescent="0.25">
      <c r="A1359" t="str">
        <f>"101331"</f>
        <v>101331</v>
      </c>
      <c r="B1359" t="s">
        <v>1328</v>
      </c>
      <c r="D1359" s="15" t="s">
        <v>1136</v>
      </c>
    </row>
    <row r="1360" spans="1:4" x14ac:dyDescent="0.25">
      <c r="A1360" t="str">
        <f>"101332"</f>
        <v>101332</v>
      </c>
      <c r="B1360" t="s">
        <v>1329</v>
      </c>
      <c r="D1360" s="15" t="s">
        <v>2017</v>
      </c>
    </row>
    <row r="1361" spans="1:4" x14ac:dyDescent="0.25">
      <c r="A1361" t="str">
        <f>"101333"</f>
        <v>101333</v>
      </c>
      <c r="B1361" t="s">
        <v>1330</v>
      </c>
      <c r="D1361" s="15" t="s">
        <v>2335</v>
      </c>
    </row>
    <row r="1362" spans="1:4" x14ac:dyDescent="0.25">
      <c r="A1362" t="str">
        <f>"101334"</f>
        <v>101334</v>
      </c>
      <c r="B1362" t="s">
        <v>1331</v>
      </c>
      <c r="D1362" s="15" t="s">
        <v>507</v>
      </c>
    </row>
    <row r="1363" spans="1:4" x14ac:dyDescent="0.25">
      <c r="A1363" t="str">
        <f>"101335"</f>
        <v>101335</v>
      </c>
      <c r="B1363" t="s">
        <v>1332</v>
      </c>
      <c r="D1363" s="15" t="s">
        <v>980</v>
      </c>
    </row>
    <row r="1364" spans="1:4" x14ac:dyDescent="0.25">
      <c r="A1364" t="str">
        <f>"101336"</f>
        <v>101336</v>
      </c>
      <c r="B1364" t="s">
        <v>1333</v>
      </c>
      <c r="D1364" s="15" t="s">
        <v>1076</v>
      </c>
    </row>
    <row r="1365" spans="1:4" x14ac:dyDescent="0.25">
      <c r="A1365" t="str">
        <f>"101337"</f>
        <v>101337</v>
      </c>
      <c r="B1365" t="s">
        <v>1334</v>
      </c>
      <c r="D1365" s="15" t="s">
        <v>2311</v>
      </c>
    </row>
    <row r="1366" spans="1:4" x14ac:dyDescent="0.25">
      <c r="A1366" t="str">
        <f>"101338"</f>
        <v>101338</v>
      </c>
      <c r="B1366" t="s">
        <v>1335</v>
      </c>
      <c r="D1366" s="15" t="s">
        <v>1540</v>
      </c>
    </row>
    <row r="1367" spans="1:4" x14ac:dyDescent="0.25">
      <c r="A1367" t="str">
        <f>"101339"</f>
        <v>101339</v>
      </c>
      <c r="B1367" t="s">
        <v>1336</v>
      </c>
      <c r="D1367" s="15" t="s">
        <v>687</v>
      </c>
    </row>
    <row r="1368" spans="1:4" x14ac:dyDescent="0.25">
      <c r="A1368" t="str">
        <f>"101340"</f>
        <v>101340</v>
      </c>
      <c r="B1368" t="s">
        <v>1337</v>
      </c>
      <c r="D1368" s="15" t="s">
        <v>510</v>
      </c>
    </row>
    <row r="1369" spans="1:4" x14ac:dyDescent="0.25">
      <c r="A1369" t="str">
        <f>"101341"</f>
        <v>101341</v>
      </c>
      <c r="B1369" t="s">
        <v>1338</v>
      </c>
      <c r="D1369" s="15" t="s">
        <v>1891</v>
      </c>
    </row>
    <row r="1370" spans="1:4" x14ac:dyDescent="0.25">
      <c r="A1370" t="str">
        <f>"101342"</f>
        <v>101342</v>
      </c>
      <c r="B1370" t="s">
        <v>1339</v>
      </c>
      <c r="D1370" s="15" t="s">
        <v>2092</v>
      </c>
    </row>
    <row r="1371" spans="1:4" x14ac:dyDescent="0.25">
      <c r="A1371" t="str">
        <f>"101343"</f>
        <v>101343</v>
      </c>
      <c r="B1371" t="s">
        <v>1340</v>
      </c>
      <c r="D1371" s="15" t="s">
        <v>1802</v>
      </c>
    </row>
    <row r="1372" spans="1:4" x14ac:dyDescent="0.25">
      <c r="A1372" t="str">
        <f>"101344"</f>
        <v>101344</v>
      </c>
      <c r="B1372" t="s">
        <v>1341</v>
      </c>
      <c r="D1372" s="15" t="s">
        <v>2158</v>
      </c>
    </row>
    <row r="1373" spans="1:4" x14ac:dyDescent="0.25">
      <c r="A1373" t="str">
        <f>"101345"</f>
        <v>101345</v>
      </c>
      <c r="B1373" t="s">
        <v>1342</v>
      </c>
      <c r="D1373" s="15" t="s">
        <v>1917</v>
      </c>
    </row>
    <row r="1374" spans="1:4" x14ac:dyDescent="0.25">
      <c r="A1374" t="str">
        <f>"101346"</f>
        <v>101346</v>
      </c>
      <c r="B1374" t="s">
        <v>1343</v>
      </c>
      <c r="D1374" s="15" t="s">
        <v>614</v>
      </c>
    </row>
    <row r="1375" spans="1:4" x14ac:dyDescent="0.25">
      <c r="A1375" t="str">
        <f>"101347"</f>
        <v>101347</v>
      </c>
      <c r="B1375" t="s">
        <v>1344</v>
      </c>
      <c r="D1375" s="15" t="s">
        <v>2244</v>
      </c>
    </row>
    <row r="1376" spans="1:4" x14ac:dyDescent="0.25">
      <c r="A1376" t="str">
        <f>"101348"</f>
        <v>101348</v>
      </c>
      <c r="B1376" t="s">
        <v>1345</v>
      </c>
      <c r="D1376" s="15" t="s">
        <v>1790</v>
      </c>
    </row>
    <row r="1377" spans="1:4" x14ac:dyDescent="0.25">
      <c r="A1377" t="str">
        <f>"101349"</f>
        <v>101349</v>
      </c>
      <c r="B1377" t="s">
        <v>1346</v>
      </c>
      <c r="D1377" s="15" t="s">
        <v>1808</v>
      </c>
    </row>
    <row r="1378" spans="1:4" x14ac:dyDescent="0.25">
      <c r="A1378" t="str">
        <f>"101350"</f>
        <v>101350</v>
      </c>
      <c r="B1378" t="s">
        <v>1347</v>
      </c>
      <c r="D1378" s="15" t="s">
        <v>1910</v>
      </c>
    </row>
    <row r="1379" spans="1:4" x14ac:dyDescent="0.25">
      <c r="A1379" t="str">
        <f>"101351"</f>
        <v>101351</v>
      </c>
      <c r="B1379" t="s">
        <v>1348</v>
      </c>
      <c r="D1379" s="15" t="s">
        <v>2502</v>
      </c>
    </row>
    <row r="1380" spans="1:4" x14ac:dyDescent="0.25">
      <c r="A1380" t="str">
        <f>"101352"</f>
        <v>101352</v>
      </c>
      <c r="B1380" t="s">
        <v>1349</v>
      </c>
      <c r="D1380" s="15" t="s">
        <v>1791</v>
      </c>
    </row>
    <row r="1381" spans="1:4" x14ac:dyDescent="0.25">
      <c r="A1381" t="str">
        <f>"101353"</f>
        <v>101353</v>
      </c>
      <c r="B1381" t="s">
        <v>1350</v>
      </c>
      <c r="D1381" s="15" t="s">
        <v>1501</v>
      </c>
    </row>
    <row r="1382" spans="1:4" x14ac:dyDescent="0.25">
      <c r="A1382" t="str">
        <f>"101354"</f>
        <v>101354</v>
      </c>
      <c r="B1382" t="s">
        <v>1351</v>
      </c>
      <c r="D1382" s="15" t="s">
        <v>2626</v>
      </c>
    </row>
    <row r="1383" spans="1:4" x14ac:dyDescent="0.25">
      <c r="A1383" t="str">
        <f>"101355"</f>
        <v>101355</v>
      </c>
      <c r="B1383" t="s">
        <v>1352</v>
      </c>
      <c r="D1383" s="15" t="s">
        <v>1177</v>
      </c>
    </row>
    <row r="1384" spans="1:4" x14ac:dyDescent="0.25">
      <c r="A1384" t="str">
        <f>"101356"</f>
        <v>101356</v>
      </c>
      <c r="B1384" t="s">
        <v>1353</v>
      </c>
      <c r="D1384" s="15" t="s">
        <v>1810</v>
      </c>
    </row>
    <row r="1385" spans="1:4" x14ac:dyDescent="0.25">
      <c r="A1385" t="str">
        <f>"101357"</f>
        <v>101357</v>
      </c>
      <c r="B1385" t="s">
        <v>1354</v>
      </c>
      <c r="D1385" s="15" t="s">
        <v>585</v>
      </c>
    </row>
    <row r="1386" spans="1:4" x14ac:dyDescent="0.25">
      <c r="A1386" t="str">
        <f>"101358"</f>
        <v>101358</v>
      </c>
      <c r="B1386" t="s">
        <v>1355</v>
      </c>
      <c r="D1386" s="15" t="s">
        <v>410</v>
      </c>
    </row>
    <row r="1387" spans="1:4" x14ac:dyDescent="0.25">
      <c r="A1387" t="str">
        <f>"101359"</f>
        <v>101359</v>
      </c>
      <c r="B1387" t="s">
        <v>1356</v>
      </c>
      <c r="D1387" s="15" t="s">
        <v>1464</v>
      </c>
    </row>
    <row r="1388" spans="1:4" x14ac:dyDescent="0.25">
      <c r="A1388" t="str">
        <f>"101360"</f>
        <v>101360</v>
      </c>
      <c r="B1388" t="s">
        <v>1357</v>
      </c>
      <c r="D1388" s="15" t="s">
        <v>2518</v>
      </c>
    </row>
    <row r="1389" spans="1:4" x14ac:dyDescent="0.25">
      <c r="A1389" t="str">
        <f>"101361"</f>
        <v>101361</v>
      </c>
      <c r="B1389" t="s">
        <v>1358</v>
      </c>
      <c r="D1389" s="15" t="s">
        <v>1298</v>
      </c>
    </row>
    <row r="1390" spans="1:4" x14ac:dyDescent="0.25">
      <c r="A1390" t="str">
        <f>"101362"</f>
        <v>101362</v>
      </c>
      <c r="B1390" t="s">
        <v>1359</v>
      </c>
      <c r="D1390" s="15" t="s">
        <v>2775</v>
      </c>
    </row>
    <row r="1391" spans="1:4" x14ac:dyDescent="0.25">
      <c r="A1391" t="str">
        <f>"101363"</f>
        <v>101363</v>
      </c>
      <c r="B1391" t="s">
        <v>1360</v>
      </c>
      <c r="D1391" s="15" t="s">
        <v>508</v>
      </c>
    </row>
    <row r="1392" spans="1:4" x14ac:dyDescent="0.25">
      <c r="A1392" t="str">
        <f>"101364"</f>
        <v>101364</v>
      </c>
      <c r="B1392" t="s">
        <v>1361</v>
      </c>
      <c r="D1392" s="15" t="s">
        <v>1077</v>
      </c>
    </row>
    <row r="1393" spans="1:4" x14ac:dyDescent="0.25">
      <c r="A1393" t="str">
        <f>"101365"</f>
        <v>101365</v>
      </c>
      <c r="B1393" t="s">
        <v>1362</v>
      </c>
      <c r="D1393" s="15" t="s">
        <v>152</v>
      </c>
    </row>
    <row r="1394" spans="1:4" x14ac:dyDescent="0.25">
      <c r="A1394" t="str">
        <f>"101366"</f>
        <v>101366</v>
      </c>
      <c r="B1394" t="s">
        <v>1363</v>
      </c>
      <c r="D1394" s="15" t="s">
        <v>2282</v>
      </c>
    </row>
    <row r="1395" spans="1:4" x14ac:dyDescent="0.25">
      <c r="A1395" t="str">
        <f>"101367"</f>
        <v>101367</v>
      </c>
      <c r="B1395" t="s">
        <v>1364</v>
      </c>
      <c r="D1395" s="15" t="s">
        <v>860</v>
      </c>
    </row>
    <row r="1396" spans="1:4" x14ac:dyDescent="0.25">
      <c r="A1396" t="str">
        <f>"101368"</f>
        <v>101368</v>
      </c>
      <c r="B1396" t="s">
        <v>1365</v>
      </c>
      <c r="D1396" s="15" t="s">
        <v>59</v>
      </c>
    </row>
    <row r="1397" spans="1:4" x14ac:dyDescent="0.25">
      <c r="A1397" t="str">
        <f>"101369"</f>
        <v>101369</v>
      </c>
      <c r="B1397" t="s">
        <v>1366</v>
      </c>
      <c r="D1397" s="15" t="s">
        <v>1733</v>
      </c>
    </row>
    <row r="1398" spans="1:4" x14ac:dyDescent="0.25">
      <c r="A1398" t="str">
        <f>"101370"</f>
        <v>101370</v>
      </c>
      <c r="B1398" t="s">
        <v>1367</v>
      </c>
      <c r="D1398" s="15" t="s">
        <v>993</v>
      </c>
    </row>
    <row r="1399" spans="1:4" x14ac:dyDescent="0.25">
      <c r="A1399" t="str">
        <f>"101371"</f>
        <v>101371</v>
      </c>
      <c r="B1399" t="s">
        <v>1368</v>
      </c>
      <c r="D1399" s="15" t="s">
        <v>1270</v>
      </c>
    </row>
    <row r="1400" spans="1:4" x14ac:dyDescent="0.25">
      <c r="A1400" t="str">
        <f>"101372"</f>
        <v>101372</v>
      </c>
      <c r="B1400" t="s">
        <v>1369</v>
      </c>
      <c r="D1400" s="15" t="s">
        <v>1340</v>
      </c>
    </row>
    <row r="1401" spans="1:4" x14ac:dyDescent="0.25">
      <c r="A1401" t="str">
        <f>"101373"</f>
        <v>101373</v>
      </c>
      <c r="B1401" t="s">
        <v>1370</v>
      </c>
      <c r="D1401" s="15" t="s">
        <v>520</v>
      </c>
    </row>
    <row r="1402" spans="1:4" x14ac:dyDescent="0.25">
      <c r="A1402" t="str">
        <f>"101374"</f>
        <v>101374</v>
      </c>
      <c r="B1402" t="s">
        <v>1371</v>
      </c>
      <c r="D1402" s="15" t="s">
        <v>1237</v>
      </c>
    </row>
    <row r="1403" spans="1:4" x14ac:dyDescent="0.25">
      <c r="A1403" t="str">
        <f>"101375"</f>
        <v>101375</v>
      </c>
      <c r="B1403" t="s">
        <v>1372</v>
      </c>
      <c r="D1403" s="15" t="s">
        <v>517</v>
      </c>
    </row>
    <row r="1404" spans="1:4" x14ac:dyDescent="0.25">
      <c r="A1404" t="str">
        <f>"101376"</f>
        <v>101376</v>
      </c>
      <c r="B1404" t="s">
        <v>1373</v>
      </c>
      <c r="D1404" s="15" t="s">
        <v>154</v>
      </c>
    </row>
    <row r="1405" spans="1:4" x14ac:dyDescent="0.25">
      <c r="A1405" t="str">
        <f>"101377"</f>
        <v>101377</v>
      </c>
      <c r="B1405" t="s">
        <v>1374</v>
      </c>
      <c r="D1405" s="15" t="s">
        <v>1407</v>
      </c>
    </row>
    <row r="1406" spans="1:4" x14ac:dyDescent="0.25">
      <c r="A1406" t="str">
        <f>"101378"</f>
        <v>101378</v>
      </c>
      <c r="B1406" t="s">
        <v>1375</v>
      </c>
      <c r="D1406" s="15" t="s">
        <v>2002</v>
      </c>
    </row>
    <row r="1407" spans="1:4" x14ac:dyDescent="0.25">
      <c r="A1407" t="str">
        <f>"101379"</f>
        <v>101379</v>
      </c>
      <c r="B1407" t="s">
        <v>1376</v>
      </c>
      <c r="D1407" s="15" t="s">
        <v>2800</v>
      </c>
    </row>
    <row r="1408" spans="1:4" x14ac:dyDescent="0.25">
      <c r="A1408" t="str">
        <f>"101380"</f>
        <v>101380</v>
      </c>
      <c r="B1408" t="s">
        <v>1377</v>
      </c>
      <c r="D1408" s="15" t="s">
        <v>1692</v>
      </c>
    </row>
    <row r="1409" spans="1:4" x14ac:dyDescent="0.25">
      <c r="A1409" t="str">
        <f>"101381"</f>
        <v>101381</v>
      </c>
      <c r="B1409" t="s">
        <v>1378</v>
      </c>
      <c r="D1409" s="15" t="s">
        <v>2509</v>
      </c>
    </row>
    <row r="1410" spans="1:4" x14ac:dyDescent="0.25">
      <c r="A1410" t="str">
        <f>"101382"</f>
        <v>101382</v>
      </c>
      <c r="B1410" t="s">
        <v>1379</v>
      </c>
      <c r="D1410" s="15" t="s">
        <v>616</v>
      </c>
    </row>
    <row r="1411" spans="1:4" x14ac:dyDescent="0.25">
      <c r="A1411" t="str">
        <f>"101383"</f>
        <v>101383</v>
      </c>
      <c r="B1411" t="s">
        <v>1380</v>
      </c>
      <c r="D1411" s="15" t="s">
        <v>523</v>
      </c>
    </row>
    <row r="1412" spans="1:4" x14ac:dyDescent="0.25">
      <c r="A1412" t="str">
        <f>"101384"</f>
        <v>101384</v>
      </c>
      <c r="B1412" t="s">
        <v>1381</v>
      </c>
      <c r="D1412" s="15" t="s">
        <v>1170</v>
      </c>
    </row>
    <row r="1413" spans="1:4" x14ac:dyDescent="0.25">
      <c r="A1413" t="str">
        <f>"101385"</f>
        <v>101385</v>
      </c>
      <c r="B1413" t="s">
        <v>1382</v>
      </c>
      <c r="D1413" s="15" t="s">
        <v>1090</v>
      </c>
    </row>
    <row r="1414" spans="1:4" x14ac:dyDescent="0.25">
      <c r="A1414" t="str">
        <f>"101386"</f>
        <v>101386</v>
      </c>
      <c r="B1414" t="s">
        <v>1383</v>
      </c>
      <c r="D1414" s="15" t="s">
        <v>1037</v>
      </c>
    </row>
    <row r="1415" spans="1:4" x14ac:dyDescent="0.25">
      <c r="A1415" t="str">
        <f>"101387"</f>
        <v>101387</v>
      </c>
      <c r="B1415" t="s">
        <v>1384</v>
      </c>
      <c r="D1415" s="15" t="s">
        <v>2306</v>
      </c>
    </row>
    <row r="1416" spans="1:4" x14ac:dyDescent="0.25">
      <c r="A1416" t="str">
        <f>"101388"</f>
        <v>101388</v>
      </c>
      <c r="B1416" t="s">
        <v>1385</v>
      </c>
      <c r="D1416" s="15" t="s">
        <v>974</v>
      </c>
    </row>
    <row r="1417" spans="1:4" x14ac:dyDescent="0.25">
      <c r="A1417" t="str">
        <f>"101389"</f>
        <v>101389</v>
      </c>
      <c r="B1417" t="s">
        <v>1386</v>
      </c>
      <c r="D1417" s="15" t="s">
        <v>1047</v>
      </c>
    </row>
    <row r="1418" spans="1:4" x14ac:dyDescent="0.25">
      <c r="A1418" t="str">
        <f>"101390"</f>
        <v>101390</v>
      </c>
      <c r="B1418" t="s">
        <v>1387</v>
      </c>
      <c r="D1418" s="15" t="s">
        <v>1185</v>
      </c>
    </row>
    <row r="1419" spans="1:4" x14ac:dyDescent="0.25">
      <c r="A1419" t="str">
        <f>"101391"</f>
        <v>101391</v>
      </c>
      <c r="B1419" t="s">
        <v>1388</v>
      </c>
      <c r="D1419" s="15" t="s">
        <v>605</v>
      </c>
    </row>
    <row r="1420" spans="1:4" x14ac:dyDescent="0.25">
      <c r="A1420" t="str">
        <f>"101392"</f>
        <v>101392</v>
      </c>
      <c r="B1420" t="s">
        <v>1389</v>
      </c>
      <c r="D1420" s="15" t="s">
        <v>1315</v>
      </c>
    </row>
    <row r="1421" spans="1:4" x14ac:dyDescent="0.25">
      <c r="A1421" t="str">
        <f>"101393"</f>
        <v>101393</v>
      </c>
      <c r="B1421" t="s">
        <v>1390</v>
      </c>
      <c r="D1421" s="15" t="s">
        <v>531</v>
      </c>
    </row>
    <row r="1422" spans="1:4" x14ac:dyDescent="0.25">
      <c r="A1422" t="str">
        <f>"101394"</f>
        <v>101394</v>
      </c>
      <c r="B1422" t="s">
        <v>1391</v>
      </c>
      <c r="D1422" s="15" t="s">
        <v>411</v>
      </c>
    </row>
    <row r="1423" spans="1:4" x14ac:dyDescent="0.25">
      <c r="A1423" t="str">
        <f>"101395"</f>
        <v>101395</v>
      </c>
      <c r="B1423" t="s">
        <v>1392</v>
      </c>
      <c r="D1423" s="15" t="s">
        <v>525</v>
      </c>
    </row>
    <row r="1424" spans="1:4" x14ac:dyDescent="0.25">
      <c r="A1424" t="str">
        <f>"101396"</f>
        <v>101396</v>
      </c>
      <c r="B1424" t="s">
        <v>1393</v>
      </c>
      <c r="D1424" s="15" t="s">
        <v>1106</v>
      </c>
    </row>
    <row r="1425" spans="1:4" x14ac:dyDescent="0.25">
      <c r="A1425" t="str">
        <f>"101397"</f>
        <v>101397</v>
      </c>
      <c r="B1425" t="s">
        <v>1394</v>
      </c>
      <c r="D1425" s="15" t="s">
        <v>642</v>
      </c>
    </row>
    <row r="1426" spans="1:4" x14ac:dyDescent="0.25">
      <c r="A1426" t="str">
        <f>"101398"</f>
        <v>101398</v>
      </c>
      <c r="B1426" t="s">
        <v>1395</v>
      </c>
      <c r="D1426" s="15" t="s">
        <v>2045</v>
      </c>
    </row>
    <row r="1427" spans="1:4" x14ac:dyDescent="0.25">
      <c r="A1427" t="str">
        <f>"101399"</f>
        <v>101399</v>
      </c>
      <c r="B1427" t="s">
        <v>1396</v>
      </c>
      <c r="D1427" s="15" t="s">
        <v>2706</v>
      </c>
    </row>
    <row r="1428" spans="1:4" x14ac:dyDescent="0.25">
      <c r="A1428" t="str">
        <f>"101400"</f>
        <v>101400</v>
      </c>
      <c r="B1428" t="s">
        <v>1397</v>
      </c>
      <c r="D1428" s="15" t="s">
        <v>1451</v>
      </c>
    </row>
    <row r="1429" spans="1:4" x14ac:dyDescent="0.25">
      <c r="A1429" t="str">
        <f>"101401"</f>
        <v>101401</v>
      </c>
      <c r="B1429" t="s">
        <v>1398</v>
      </c>
      <c r="D1429" s="15" t="s">
        <v>2789</v>
      </c>
    </row>
    <row r="1430" spans="1:4" x14ac:dyDescent="0.25">
      <c r="A1430" t="str">
        <f>"101402"</f>
        <v>101402</v>
      </c>
      <c r="B1430" t="s">
        <v>1399</v>
      </c>
      <c r="D1430" s="15" t="s">
        <v>1100</v>
      </c>
    </row>
    <row r="1431" spans="1:4" x14ac:dyDescent="0.25">
      <c r="A1431" t="str">
        <f>"101403"</f>
        <v>101403</v>
      </c>
      <c r="B1431" t="s">
        <v>1400</v>
      </c>
      <c r="D1431" s="15" t="s">
        <v>1283</v>
      </c>
    </row>
    <row r="1432" spans="1:4" x14ac:dyDescent="0.25">
      <c r="A1432" t="str">
        <f>"101404"</f>
        <v>101404</v>
      </c>
      <c r="B1432" t="s">
        <v>1401</v>
      </c>
      <c r="D1432" s="15" t="s">
        <v>2101</v>
      </c>
    </row>
    <row r="1433" spans="1:4" x14ac:dyDescent="0.25">
      <c r="A1433" t="str">
        <f>"101405"</f>
        <v>101405</v>
      </c>
      <c r="B1433" t="s">
        <v>1402</v>
      </c>
      <c r="D1433" s="15" t="s">
        <v>1669</v>
      </c>
    </row>
    <row r="1434" spans="1:4" x14ac:dyDescent="0.25">
      <c r="A1434" t="str">
        <f>"101406"</f>
        <v>101406</v>
      </c>
      <c r="B1434" t="s">
        <v>1403</v>
      </c>
      <c r="D1434" s="15" t="s">
        <v>1373</v>
      </c>
    </row>
    <row r="1435" spans="1:4" x14ac:dyDescent="0.25">
      <c r="A1435" t="str">
        <f>"101407"</f>
        <v>101407</v>
      </c>
      <c r="B1435" t="s">
        <v>1404</v>
      </c>
      <c r="D1435" s="15" t="s">
        <v>1955</v>
      </c>
    </row>
    <row r="1436" spans="1:4" x14ac:dyDescent="0.25">
      <c r="A1436" t="str">
        <f>"101408"</f>
        <v>101408</v>
      </c>
      <c r="B1436" t="s">
        <v>1405</v>
      </c>
      <c r="D1436" s="15" t="s">
        <v>2332</v>
      </c>
    </row>
    <row r="1437" spans="1:4" x14ac:dyDescent="0.25">
      <c r="A1437" t="str">
        <f>"101409"</f>
        <v>101409</v>
      </c>
      <c r="B1437" t="s">
        <v>1406</v>
      </c>
      <c r="D1437" s="15" t="s">
        <v>1389</v>
      </c>
    </row>
    <row r="1438" spans="1:4" x14ac:dyDescent="0.25">
      <c r="A1438" t="str">
        <f>"101410"</f>
        <v>101410</v>
      </c>
      <c r="B1438" t="s">
        <v>1407</v>
      </c>
      <c r="D1438" s="15" t="s">
        <v>1246</v>
      </c>
    </row>
    <row r="1439" spans="1:4" x14ac:dyDescent="0.25">
      <c r="A1439" t="str">
        <f>"101411"</f>
        <v>101411</v>
      </c>
      <c r="B1439" t="s">
        <v>1408</v>
      </c>
      <c r="D1439" s="15" t="s">
        <v>1582</v>
      </c>
    </row>
    <row r="1440" spans="1:4" x14ac:dyDescent="0.25">
      <c r="A1440" t="str">
        <f>"101412"</f>
        <v>101412</v>
      </c>
      <c r="B1440" t="s">
        <v>1409</v>
      </c>
      <c r="D1440" s="15" t="s">
        <v>1457</v>
      </c>
    </row>
    <row r="1441" spans="1:4" x14ac:dyDescent="0.25">
      <c r="A1441" t="str">
        <f>"101413"</f>
        <v>101413</v>
      </c>
      <c r="B1441" t="s">
        <v>1410</v>
      </c>
      <c r="D1441" s="15" t="s">
        <v>1192</v>
      </c>
    </row>
    <row r="1442" spans="1:4" x14ac:dyDescent="0.25">
      <c r="A1442" t="str">
        <f>"101414"</f>
        <v>101414</v>
      </c>
      <c r="B1442" t="s">
        <v>1411</v>
      </c>
      <c r="D1442" s="15" t="s">
        <v>2656</v>
      </c>
    </row>
    <row r="1443" spans="1:4" x14ac:dyDescent="0.25">
      <c r="A1443" t="str">
        <f>"101415"</f>
        <v>101415</v>
      </c>
      <c r="B1443" t="s">
        <v>1412</v>
      </c>
      <c r="D1443" s="15" t="s">
        <v>1422</v>
      </c>
    </row>
    <row r="1444" spans="1:4" x14ac:dyDescent="0.25">
      <c r="A1444" t="str">
        <f>"101416"</f>
        <v>101416</v>
      </c>
      <c r="B1444" t="s">
        <v>1413</v>
      </c>
      <c r="D1444" s="15" t="s">
        <v>2421</v>
      </c>
    </row>
    <row r="1445" spans="1:4" x14ac:dyDescent="0.25">
      <c r="A1445" t="str">
        <f>"101417"</f>
        <v>101417</v>
      </c>
      <c r="B1445" t="s">
        <v>1414</v>
      </c>
      <c r="D1445" s="15" t="s">
        <v>2475</v>
      </c>
    </row>
    <row r="1446" spans="1:4" x14ac:dyDescent="0.25">
      <c r="A1446" t="str">
        <f>"101418"</f>
        <v>101418</v>
      </c>
      <c r="B1446" t="s">
        <v>1415</v>
      </c>
      <c r="D1446" s="15" t="s">
        <v>1718</v>
      </c>
    </row>
    <row r="1447" spans="1:4" x14ac:dyDescent="0.25">
      <c r="A1447" t="str">
        <f>"101419"</f>
        <v>101419</v>
      </c>
      <c r="B1447" t="s">
        <v>1416</v>
      </c>
      <c r="D1447" s="15" t="s">
        <v>1321</v>
      </c>
    </row>
    <row r="1448" spans="1:4" x14ac:dyDescent="0.25">
      <c r="A1448" t="str">
        <f>"101420"</f>
        <v>101420</v>
      </c>
      <c r="B1448" t="s">
        <v>1417</v>
      </c>
      <c r="D1448" s="15" t="s">
        <v>2368</v>
      </c>
    </row>
    <row r="1449" spans="1:4" x14ac:dyDescent="0.25">
      <c r="A1449" t="str">
        <f>"101421"</f>
        <v>101421</v>
      </c>
      <c r="B1449" t="s">
        <v>1418</v>
      </c>
      <c r="D1449" s="15" t="s">
        <v>1767</v>
      </c>
    </row>
    <row r="1450" spans="1:4" x14ac:dyDescent="0.25">
      <c r="A1450" t="str">
        <f>"101422"</f>
        <v>101422</v>
      </c>
      <c r="B1450" t="s">
        <v>1419</v>
      </c>
      <c r="D1450" s="15" t="s">
        <v>1269</v>
      </c>
    </row>
    <row r="1451" spans="1:4" x14ac:dyDescent="0.25">
      <c r="A1451" t="str">
        <f>"101423"</f>
        <v>101423</v>
      </c>
      <c r="B1451" t="s">
        <v>1420</v>
      </c>
      <c r="D1451" s="15" t="s">
        <v>1698</v>
      </c>
    </row>
    <row r="1452" spans="1:4" x14ac:dyDescent="0.25">
      <c r="A1452" t="str">
        <f>"101424"</f>
        <v>101424</v>
      </c>
      <c r="B1452" t="s">
        <v>1421</v>
      </c>
      <c r="D1452" s="15" t="s">
        <v>2731</v>
      </c>
    </row>
    <row r="1453" spans="1:4" x14ac:dyDescent="0.25">
      <c r="A1453" t="str">
        <f>"101425"</f>
        <v>101425</v>
      </c>
      <c r="B1453" t="s">
        <v>1422</v>
      </c>
      <c r="D1453" s="15" t="s">
        <v>2376</v>
      </c>
    </row>
    <row r="1454" spans="1:4" x14ac:dyDescent="0.25">
      <c r="A1454" t="str">
        <f>"101426"</f>
        <v>101426</v>
      </c>
      <c r="B1454" t="s">
        <v>1423</v>
      </c>
      <c r="D1454" s="15" t="s">
        <v>1720</v>
      </c>
    </row>
    <row r="1455" spans="1:4" x14ac:dyDescent="0.25">
      <c r="A1455" t="str">
        <f>"101427"</f>
        <v>101427</v>
      </c>
      <c r="B1455" t="s">
        <v>1424</v>
      </c>
      <c r="D1455" s="15" t="s">
        <v>2410</v>
      </c>
    </row>
    <row r="1456" spans="1:4" x14ac:dyDescent="0.25">
      <c r="A1456" t="str">
        <f>"101428"</f>
        <v>101428</v>
      </c>
      <c r="B1456" t="s">
        <v>1425</v>
      </c>
      <c r="D1456" s="15" t="s">
        <v>2251</v>
      </c>
    </row>
    <row r="1457" spans="1:4" x14ac:dyDescent="0.25">
      <c r="A1457" t="str">
        <f>"101429"</f>
        <v>101429</v>
      </c>
      <c r="B1457" t="s">
        <v>1426</v>
      </c>
      <c r="D1457" s="15" t="s">
        <v>2350</v>
      </c>
    </row>
    <row r="1458" spans="1:4" x14ac:dyDescent="0.25">
      <c r="A1458" t="str">
        <f>"101430"</f>
        <v>101430</v>
      </c>
      <c r="B1458" t="s">
        <v>1427</v>
      </c>
      <c r="D1458" s="15" t="s">
        <v>1433</v>
      </c>
    </row>
    <row r="1459" spans="1:4" x14ac:dyDescent="0.25">
      <c r="A1459" t="str">
        <f>"101431"</f>
        <v>101431</v>
      </c>
      <c r="B1459" t="s">
        <v>1428</v>
      </c>
      <c r="D1459" s="15" t="s">
        <v>646</v>
      </c>
    </row>
    <row r="1460" spans="1:4" x14ac:dyDescent="0.25">
      <c r="A1460" t="str">
        <f>"101432"</f>
        <v>101432</v>
      </c>
      <c r="B1460" t="s">
        <v>1429</v>
      </c>
      <c r="D1460" s="15" t="s">
        <v>2726</v>
      </c>
    </row>
    <row r="1461" spans="1:4" x14ac:dyDescent="0.25">
      <c r="A1461" t="str">
        <f>"101433"</f>
        <v>101433</v>
      </c>
      <c r="B1461" t="s">
        <v>1430</v>
      </c>
      <c r="D1461" s="15" t="s">
        <v>988</v>
      </c>
    </row>
    <row r="1462" spans="1:4" x14ac:dyDescent="0.25">
      <c r="A1462" t="str">
        <f>"101434"</f>
        <v>101434</v>
      </c>
      <c r="B1462" t="s">
        <v>1431</v>
      </c>
      <c r="D1462" s="15" t="s">
        <v>2649</v>
      </c>
    </row>
    <row r="1463" spans="1:4" x14ac:dyDescent="0.25">
      <c r="A1463" t="str">
        <f>"101435"</f>
        <v>101435</v>
      </c>
      <c r="B1463" t="s">
        <v>1432</v>
      </c>
      <c r="D1463" s="15" t="s">
        <v>773</v>
      </c>
    </row>
    <row r="1464" spans="1:4" x14ac:dyDescent="0.25">
      <c r="A1464" t="str">
        <f>"101436"</f>
        <v>101436</v>
      </c>
      <c r="B1464" t="s">
        <v>1433</v>
      </c>
      <c r="D1464" s="15" t="s">
        <v>412</v>
      </c>
    </row>
    <row r="1465" spans="1:4" x14ac:dyDescent="0.25">
      <c r="A1465" t="str">
        <f>"101437"</f>
        <v>101437</v>
      </c>
      <c r="B1465" t="s">
        <v>1434</v>
      </c>
      <c r="D1465" s="15" t="s">
        <v>194</v>
      </c>
    </row>
    <row r="1466" spans="1:4" x14ac:dyDescent="0.25">
      <c r="A1466" t="str">
        <f>"101438"</f>
        <v>101438</v>
      </c>
      <c r="B1466" t="s">
        <v>1435</v>
      </c>
      <c r="D1466" s="15" t="s">
        <v>1118</v>
      </c>
    </row>
    <row r="1467" spans="1:4" x14ac:dyDescent="0.25">
      <c r="A1467" t="str">
        <f>"101439"</f>
        <v>101439</v>
      </c>
      <c r="B1467" t="s">
        <v>1436</v>
      </c>
      <c r="D1467" s="15" t="s">
        <v>696</v>
      </c>
    </row>
    <row r="1468" spans="1:4" x14ac:dyDescent="0.25">
      <c r="A1468" t="str">
        <f>"101440"</f>
        <v>101440</v>
      </c>
      <c r="B1468" t="s">
        <v>1437</v>
      </c>
      <c r="D1468" s="15" t="s">
        <v>2534</v>
      </c>
    </row>
    <row r="1469" spans="1:4" x14ac:dyDescent="0.25">
      <c r="A1469" t="str">
        <f>"101441"</f>
        <v>101441</v>
      </c>
      <c r="B1469" t="s">
        <v>1438</v>
      </c>
      <c r="D1469" s="15" t="s">
        <v>1261</v>
      </c>
    </row>
    <row r="1470" spans="1:4" x14ac:dyDescent="0.25">
      <c r="A1470" t="str">
        <f>"101442"</f>
        <v>101442</v>
      </c>
      <c r="B1470" t="s">
        <v>1439</v>
      </c>
      <c r="D1470" s="15" t="s">
        <v>2634</v>
      </c>
    </row>
    <row r="1471" spans="1:4" x14ac:dyDescent="0.25">
      <c r="A1471" t="str">
        <f>"101443"</f>
        <v>101443</v>
      </c>
      <c r="B1471" t="s">
        <v>1440</v>
      </c>
      <c r="D1471" s="15" t="s">
        <v>2520</v>
      </c>
    </row>
    <row r="1472" spans="1:4" x14ac:dyDescent="0.25">
      <c r="A1472" t="str">
        <f>"101444"</f>
        <v>101444</v>
      </c>
      <c r="B1472" t="s">
        <v>1441</v>
      </c>
      <c r="D1472" s="15" t="s">
        <v>1665</v>
      </c>
    </row>
    <row r="1473" spans="1:4" x14ac:dyDescent="0.25">
      <c r="A1473" t="str">
        <f>"101445"</f>
        <v>101445</v>
      </c>
      <c r="B1473" t="s">
        <v>1442</v>
      </c>
      <c r="D1473" s="15" t="s">
        <v>2574</v>
      </c>
    </row>
    <row r="1474" spans="1:4" x14ac:dyDescent="0.25">
      <c r="A1474" t="str">
        <f>"101446"</f>
        <v>101446</v>
      </c>
      <c r="B1474" t="s">
        <v>1443</v>
      </c>
      <c r="D1474" s="15" t="s">
        <v>2114</v>
      </c>
    </row>
    <row r="1475" spans="1:4" x14ac:dyDescent="0.25">
      <c r="A1475" t="str">
        <f>"101447"</f>
        <v>101447</v>
      </c>
      <c r="B1475" t="s">
        <v>1444</v>
      </c>
      <c r="D1475" s="15" t="s">
        <v>2326</v>
      </c>
    </row>
    <row r="1476" spans="1:4" x14ac:dyDescent="0.25">
      <c r="A1476" t="str">
        <f>"101448"</f>
        <v>101448</v>
      </c>
      <c r="B1476" t="s">
        <v>1445</v>
      </c>
      <c r="D1476" s="15" t="s">
        <v>1027</v>
      </c>
    </row>
    <row r="1477" spans="1:4" x14ac:dyDescent="0.25">
      <c r="A1477" t="str">
        <f>"101449"</f>
        <v>101449</v>
      </c>
      <c r="B1477" t="s">
        <v>1446</v>
      </c>
      <c r="D1477" s="15" t="s">
        <v>2042</v>
      </c>
    </row>
    <row r="1478" spans="1:4" x14ac:dyDescent="0.25">
      <c r="A1478" t="str">
        <f>"101450"</f>
        <v>101450</v>
      </c>
      <c r="B1478" t="s">
        <v>1447</v>
      </c>
      <c r="D1478" s="15" t="s">
        <v>703</v>
      </c>
    </row>
    <row r="1479" spans="1:4" x14ac:dyDescent="0.25">
      <c r="A1479" t="str">
        <f>"101451"</f>
        <v>101451</v>
      </c>
      <c r="B1479" t="s">
        <v>1448</v>
      </c>
      <c r="D1479" s="15" t="s">
        <v>2274</v>
      </c>
    </row>
    <row r="1480" spans="1:4" x14ac:dyDescent="0.25">
      <c r="A1480" t="str">
        <f>"101452"</f>
        <v>101452</v>
      </c>
      <c r="B1480" t="s">
        <v>1449</v>
      </c>
      <c r="D1480" s="15" t="s">
        <v>659</v>
      </c>
    </row>
    <row r="1481" spans="1:4" x14ac:dyDescent="0.25">
      <c r="A1481" t="str">
        <f>"101453"</f>
        <v>101453</v>
      </c>
      <c r="B1481" t="s">
        <v>1450</v>
      </c>
      <c r="D1481" s="15" t="s">
        <v>1566</v>
      </c>
    </row>
    <row r="1482" spans="1:4" x14ac:dyDescent="0.25">
      <c r="A1482" t="str">
        <f>"101454"</f>
        <v>101454</v>
      </c>
      <c r="B1482" t="s">
        <v>1451</v>
      </c>
      <c r="D1482" s="15" t="s">
        <v>1119</v>
      </c>
    </row>
    <row r="1483" spans="1:4" x14ac:dyDescent="0.25">
      <c r="A1483" t="str">
        <f>"101455"</f>
        <v>101455</v>
      </c>
      <c r="B1483" t="s">
        <v>1452</v>
      </c>
      <c r="D1483" s="15" t="s">
        <v>413</v>
      </c>
    </row>
    <row r="1484" spans="1:4" x14ac:dyDescent="0.25">
      <c r="A1484" t="str">
        <f>"101456"</f>
        <v>101456</v>
      </c>
      <c r="B1484" t="s">
        <v>1453</v>
      </c>
      <c r="D1484" s="15" t="s">
        <v>1644</v>
      </c>
    </row>
    <row r="1485" spans="1:4" x14ac:dyDescent="0.25">
      <c r="A1485" t="str">
        <f>"101457"</f>
        <v>101457</v>
      </c>
      <c r="B1485" t="s">
        <v>1454</v>
      </c>
      <c r="D1485" s="15" t="s">
        <v>842</v>
      </c>
    </row>
    <row r="1486" spans="1:4" x14ac:dyDescent="0.25">
      <c r="A1486" t="str">
        <f>"101458"</f>
        <v>101458</v>
      </c>
      <c r="B1486" t="s">
        <v>1455</v>
      </c>
      <c r="D1486" s="15" t="s">
        <v>1684</v>
      </c>
    </row>
    <row r="1487" spans="1:4" x14ac:dyDescent="0.25">
      <c r="A1487" t="str">
        <f>"101459"</f>
        <v>101459</v>
      </c>
      <c r="B1487" t="s">
        <v>1456</v>
      </c>
      <c r="D1487" s="15" t="s">
        <v>414</v>
      </c>
    </row>
    <row r="1488" spans="1:4" x14ac:dyDescent="0.25">
      <c r="A1488" t="str">
        <f>"101460"</f>
        <v>101460</v>
      </c>
      <c r="B1488" t="s">
        <v>1457</v>
      </c>
      <c r="D1488" s="15" t="s">
        <v>1087</v>
      </c>
    </row>
    <row r="1489" spans="1:4" x14ac:dyDescent="0.25">
      <c r="A1489" t="str">
        <f>"101461"</f>
        <v>101461</v>
      </c>
      <c r="B1489" t="s">
        <v>1458</v>
      </c>
      <c r="D1489" s="15" t="s">
        <v>1272</v>
      </c>
    </row>
    <row r="1490" spans="1:4" x14ac:dyDescent="0.25">
      <c r="A1490" t="str">
        <f>"101462"</f>
        <v>101462</v>
      </c>
      <c r="B1490" t="s">
        <v>1459</v>
      </c>
      <c r="D1490" s="15" t="s">
        <v>1028</v>
      </c>
    </row>
    <row r="1491" spans="1:4" x14ac:dyDescent="0.25">
      <c r="A1491" t="str">
        <f>"101463"</f>
        <v>101463</v>
      </c>
      <c r="B1491" t="s">
        <v>1460</v>
      </c>
      <c r="D1491" s="15" t="s">
        <v>2371</v>
      </c>
    </row>
    <row r="1492" spans="1:4" x14ac:dyDescent="0.25">
      <c r="A1492" t="str">
        <f>"101464"</f>
        <v>101464</v>
      </c>
      <c r="B1492" t="s">
        <v>1461</v>
      </c>
      <c r="D1492" s="15" t="s">
        <v>1019</v>
      </c>
    </row>
    <row r="1493" spans="1:4" x14ac:dyDescent="0.25">
      <c r="A1493" t="str">
        <f>"101465"</f>
        <v>101465</v>
      </c>
      <c r="B1493" t="s">
        <v>1462</v>
      </c>
      <c r="D1493" s="15" t="s">
        <v>2536</v>
      </c>
    </row>
    <row r="1494" spans="1:4" x14ac:dyDescent="0.25">
      <c r="A1494" t="str">
        <f>"101466"</f>
        <v>101466</v>
      </c>
      <c r="B1494" t="s">
        <v>1463</v>
      </c>
      <c r="D1494" s="15" t="s">
        <v>1793</v>
      </c>
    </row>
    <row r="1495" spans="1:4" x14ac:dyDescent="0.25">
      <c r="A1495" t="str">
        <f>"101467"</f>
        <v>101467</v>
      </c>
      <c r="B1495" t="s">
        <v>1464</v>
      </c>
      <c r="D1495" s="15" t="s">
        <v>2041</v>
      </c>
    </row>
    <row r="1496" spans="1:4" x14ac:dyDescent="0.25">
      <c r="A1496" t="str">
        <f>"101468"</f>
        <v>101468</v>
      </c>
      <c r="B1496" t="s">
        <v>1465</v>
      </c>
      <c r="D1496" s="15" t="s">
        <v>1059</v>
      </c>
    </row>
    <row r="1497" spans="1:4" x14ac:dyDescent="0.25">
      <c r="A1497" t="str">
        <f>"101469"</f>
        <v>101469</v>
      </c>
      <c r="B1497" t="s">
        <v>1466</v>
      </c>
      <c r="D1497" s="15" t="s">
        <v>2111</v>
      </c>
    </row>
    <row r="1498" spans="1:4" x14ac:dyDescent="0.25">
      <c r="A1498" t="str">
        <f>"101470"</f>
        <v>101470</v>
      </c>
      <c r="B1498" t="s">
        <v>1467</v>
      </c>
      <c r="D1498" s="15" t="s">
        <v>2076</v>
      </c>
    </row>
    <row r="1499" spans="1:4" x14ac:dyDescent="0.25">
      <c r="A1499" t="str">
        <f>"101471"</f>
        <v>101471</v>
      </c>
      <c r="B1499" t="s">
        <v>1468</v>
      </c>
      <c r="D1499" s="15" t="s">
        <v>1440</v>
      </c>
    </row>
    <row r="1500" spans="1:4" x14ac:dyDescent="0.25">
      <c r="A1500" t="str">
        <f>"101472"</f>
        <v>101472</v>
      </c>
      <c r="B1500" t="s">
        <v>1469</v>
      </c>
      <c r="D1500" s="15" t="s">
        <v>830</v>
      </c>
    </row>
    <row r="1501" spans="1:4" x14ac:dyDescent="0.25">
      <c r="A1501" t="str">
        <f>"101473"</f>
        <v>101473</v>
      </c>
      <c r="B1501" t="s">
        <v>1470</v>
      </c>
      <c r="D1501" s="15" t="s">
        <v>80</v>
      </c>
    </row>
    <row r="1502" spans="1:4" x14ac:dyDescent="0.25">
      <c r="A1502" t="str">
        <f>"101474"</f>
        <v>101474</v>
      </c>
      <c r="B1502" t="s">
        <v>1471</v>
      </c>
      <c r="D1502" s="15" t="s">
        <v>1085</v>
      </c>
    </row>
    <row r="1503" spans="1:4" x14ac:dyDescent="0.25">
      <c r="A1503" t="str">
        <f>"101475"</f>
        <v>101475</v>
      </c>
      <c r="B1503" t="s">
        <v>1472</v>
      </c>
      <c r="D1503" s="15" t="s">
        <v>1963</v>
      </c>
    </row>
    <row r="1504" spans="1:4" x14ac:dyDescent="0.25">
      <c r="A1504" t="str">
        <f>"101476"</f>
        <v>101476</v>
      </c>
      <c r="B1504" t="s">
        <v>1473</v>
      </c>
      <c r="D1504" s="15" t="s">
        <v>602</v>
      </c>
    </row>
    <row r="1505" spans="1:4" x14ac:dyDescent="0.25">
      <c r="A1505" t="str">
        <f>"101477"</f>
        <v>101477</v>
      </c>
      <c r="B1505" t="s">
        <v>1474</v>
      </c>
      <c r="D1505" s="15" t="s">
        <v>161</v>
      </c>
    </row>
    <row r="1506" spans="1:4" x14ac:dyDescent="0.25">
      <c r="A1506" t="str">
        <f>"101478"</f>
        <v>101478</v>
      </c>
      <c r="B1506" t="s">
        <v>1475</v>
      </c>
      <c r="D1506" s="15" t="s">
        <v>2404</v>
      </c>
    </row>
    <row r="1507" spans="1:4" x14ac:dyDescent="0.25">
      <c r="A1507" t="str">
        <f>"101479"</f>
        <v>101479</v>
      </c>
      <c r="B1507" t="s">
        <v>1476</v>
      </c>
      <c r="D1507" s="15" t="s">
        <v>550</v>
      </c>
    </row>
    <row r="1508" spans="1:4" x14ac:dyDescent="0.25">
      <c r="A1508" t="str">
        <f>"101480"</f>
        <v>101480</v>
      </c>
      <c r="B1508" t="s">
        <v>1477</v>
      </c>
      <c r="D1508" s="15" t="s">
        <v>2301</v>
      </c>
    </row>
    <row r="1509" spans="1:4" x14ac:dyDescent="0.25">
      <c r="A1509" t="str">
        <f>"101481"</f>
        <v>101481</v>
      </c>
      <c r="B1509" t="s">
        <v>1478</v>
      </c>
      <c r="D1509" s="15" t="s">
        <v>1859</v>
      </c>
    </row>
    <row r="1510" spans="1:4" x14ac:dyDescent="0.25">
      <c r="A1510" t="str">
        <f>"101482"</f>
        <v>101482</v>
      </c>
      <c r="B1510" t="s">
        <v>1479</v>
      </c>
      <c r="D1510" s="15" t="s">
        <v>1604</v>
      </c>
    </row>
    <row r="1511" spans="1:4" x14ac:dyDescent="0.25">
      <c r="A1511" t="str">
        <f>"101483"</f>
        <v>101483</v>
      </c>
      <c r="B1511" t="s">
        <v>1480</v>
      </c>
      <c r="D1511" s="15" t="s">
        <v>2722</v>
      </c>
    </row>
    <row r="1512" spans="1:4" x14ac:dyDescent="0.25">
      <c r="A1512" t="str">
        <f>"101484"</f>
        <v>101484</v>
      </c>
      <c r="B1512" t="s">
        <v>1481</v>
      </c>
      <c r="D1512" s="15" t="s">
        <v>782</v>
      </c>
    </row>
    <row r="1513" spans="1:4" x14ac:dyDescent="0.25">
      <c r="A1513" t="str">
        <f>"101485"</f>
        <v>101485</v>
      </c>
      <c r="B1513" t="s">
        <v>1482</v>
      </c>
      <c r="D1513" s="15" t="s">
        <v>2263</v>
      </c>
    </row>
    <row r="1514" spans="1:4" x14ac:dyDescent="0.25">
      <c r="A1514" t="str">
        <f>"101486"</f>
        <v>101486</v>
      </c>
      <c r="B1514" t="s">
        <v>1483</v>
      </c>
      <c r="D1514" s="15" t="s">
        <v>12</v>
      </c>
    </row>
    <row r="1515" spans="1:4" x14ac:dyDescent="0.25">
      <c r="A1515" t="str">
        <f>"101487"</f>
        <v>101487</v>
      </c>
      <c r="B1515" t="s">
        <v>1484</v>
      </c>
      <c r="D1515" s="15" t="s">
        <v>2581</v>
      </c>
    </row>
    <row r="1516" spans="1:4" x14ac:dyDescent="0.25">
      <c r="A1516" t="str">
        <f>"101488"</f>
        <v>101488</v>
      </c>
      <c r="B1516" t="s">
        <v>1485</v>
      </c>
      <c r="D1516" s="15" t="s">
        <v>2072</v>
      </c>
    </row>
    <row r="1517" spans="1:4" x14ac:dyDescent="0.25">
      <c r="A1517" t="str">
        <f>"101489"</f>
        <v>101489</v>
      </c>
      <c r="B1517" t="s">
        <v>1486</v>
      </c>
      <c r="D1517" s="15" t="s">
        <v>2582</v>
      </c>
    </row>
    <row r="1518" spans="1:4" x14ac:dyDescent="0.25">
      <c r="A1518" t="str">
        <f>"101490"</f>
        <v>101490</v>
      </c>
      <c r="B1518" t="s">
        <v>1487</v>
      </c>
      <c r="D1518" s="15" t="s">
        <v>2781</v>
      </c>
    </row>
    <row r="1519" spans="1:4" x14ac:dyDescent="0.25">
      <c r="A1519" t="str">
        <f>"101491"</f>
        <v>101491</v>
      </c>
      <c r="B1519" t="s">
        <v>1488</v>
      </c>
      <c r="D1519" s="15" t="s">
        <v>949</v>
      </c>
    </row>
    <row r="1520" spans="1:4" x14ac:dyDescent="0.25">
      <c r="A1520" t="str">
        <f>"101492"</f>
        <v>101492</v>
      </c>
      <c r="B1520" t="s">
        <v>1489</v>
      </c>
      <c r="D1520" s="15" t="s">
        <v>1052</v>
      </c>
    </row>
    <row r="1521" spans="1:4" x14ac:dyDescent="0.25">
      <c r="A1521" t="str">
        <f>"101493"</f>
        <v>101493</v>
      </c>
      <c r="B1521" t="s">
        <v>1490</v>
      </c>
      <c r="D1521" s="15" t="s">
        <v>1855</v>
      </c>
    </row>
    <row r="1522" spans="1:4" x14ac:dyDescent="0.25">
      <c r="A1522" t="str">
        <f>"101494"</f>
        <v>101494</v>
      </c>
      <c r="B1522" t="s">
        <v>1491</v>
      </c>
      <c r="D1522" s="15" t="s">
        <v>7</v>
      </c>
    </row>
    <row r="1523" spans="1:4" x14ac:dyDescent="0.25">
      <c r="A1523" t="str">
        <f>"101495"</f>
        <v>101495</v>
      </c>
      <c r="B1523" t="s">
        <v>1492</v>
      </c>
      <c r="D1523" s="15" t="s">
        <v>1965</v>
      </c>
    </row>
    <row r="1524" spans="1:4" x14ac:dyDescent="0.25">
      <c r="A1524" t="str">
        <f>"101496"</f>
        <v>101496</v>
      </c>
      <c r="B1524" t="s">
        <v>1493</v>
      </c>
      <c r="D1524" s="15" t="s">
        <v>729</v>
      </c>
    </row>
    <row r="1525" spans="1:4" x14ac:dyDescent="0.25">
      <c r="A1525" t="str">
        <f>"101497"</f>
        <v>101497</v>
      </c>
      <c r="B1525" t="s">
        <v>1494</v>
      </c>
      <c r="D1525" s="15" t="s">
        <v>1021</v>
      </c>
    </row>
    <row r="1526" spans="1:4" x14ac:dyDescent="0.25">
      <c r="A1526" t="str">
        <f>"101498"</f>
        <v>101498</v>
      </c>
      <c r="B1526" t="s">
        <v>1495</v>
      </c>
      <c r="D1526" s="15" t="s">
        <v>2408</v>
      </c>
    </row>
    <row r="1527" spans="1:4" x14ac:dyDescent="0.25">
      <c r="A1527" t="str">
        <f>"101499"</f>
        <v>101499</v>
      </c>
      <c r="B1527" t="s">
        <v>1496</v>
      </c>
      <c r="D1527" s="15" t="s">
        <v>2238</v>
      </c>
    </row>
    <row r="1528" spans="1:4" x14ac:dyDescent="0.25">
      <c r="A1528" t="str">
        <f>"101500"</f>
        <v>101500</v>
      </c>
      <c r="B1528" t="s">
        <v>1497</v>
      </c>
      <c r="D1528" s="15" t="s">
        <v>1805</v>
      </c>
    </row>
    <row r="1529" spans="1:4" x14ac:dyDescent="0.25">
      <c r="A1529" t="str">
        <f>"101501"</f>
        <v>101501</v>
      </c>
      <c r="B1529" t="s">
        <v>1498</v>
      </c>
      <c r="D1529" s="15" t="s">
        <v>162</v>
      </c>
    </row>
    <row r="1530" spans="1:4" x14ac:dyDescent="0.25">
      <c r="A1530" t="str">
        <f>"101502"</f>
        <v>101502</v>
      </c>
      <c r="B1530" t="s">
        <v>1499</v>
      </c>
      <c r="D1530" s="15" t="s">
        <v>405</v>
      </c>
    </row>
    <row r="1531" spans="1:4" x14ac:dyDescent="0.25">
      <c r="A1531" t="str">
        <f>"101503"</f>
        <v>101503</v>
      </c>
      <c r="B1531" t="s">
        <v>1500</v>
      </c>
      <c r="D1531" s="15" t="s">
        <v>1418</v>
      </c>
    </row>
    <row r="1532" spans="1:4" x14ac:dyDescent="0.25">
      <c r="A1532" t="str">
        <f>"101504"</f>
        <v>101504</v>
      </c>
      <c r="B1532" t="s">
        <v>1501</v>
      </c>
      <c r="D1532" s="15" t="s">
        <v>1413</v>
      </c>
    </row>
    <row r="1533" spans="1:4" x14ac:dyDescent="0.25">
      <c r="A1533" t="str">
        <f>"101505"</f>
        <v>101505</v>
      </c>
      <c r="B1533" t="s">
        <v>1502</v>
      </c>
      <c r="D1533" s="15" t="s">
        <v>1852</v>
      </c>
    </row>
    <row r="1534" spans="1:4" x14ac:dyDescent="0.25">
      <c r="A1534" t="str">
        <f>"101506"</f>
        <v>101506</v>
      </c>
      <c r="B1534" t="s">
        <v>1503</v>
      </c>
      <c r="D1534" s="15" t="s">
        <v>1529</v>
      </c>
    </row>
    <row r="1535" spans="1:4" x14ac:dyDescent="0.25">
      <c r="A1535" t="str">
        <f>"101507"</f>
        <v>101507</v>
      </c>
      <c r="B1535" t="s">
        <v>1504</v>
      </c>
      <c r="D1535" s="15" t="s">
        <v>718</v>
      </c>
    </row>
    <row r="1536" spans="1:4" x14ac:dyDescent="0.25">
      <c r="A1536" t="str">
        <f>"101508"</f>
        <v>101508</v>
      </c>
      <c r="B1536" t="s">
        <v>1505</v>
      </c>
      <c r="D1536" s="15" t="s">
        <v>1130</v>
      </c>
    </row>
    <row r="1537" spans="1:4" x14ac:dyDescent="0.25">
      <c r="A1537" t="str">
        <f>"101509"</f>
        <v>101509</v>
      </c>
      <c r="B1537" t="s">
        <v>1506</v>
      </c>
      <c r="D1537" s="15" t="s">
        <v>2427</v>
      </c>
    </row>
    <row r="1538" spans="1:4" x14ac:dyDescent="0.25">
      <c r="A1538" t="str">
        <f>"101510"</f>
        <v>101510</v>
      </c>
      <c r="B1538" t="s">
        <v>1507</v>
      </c>
      <c r="D1538" s="15" t="s">
        <v>2346</v>
      </c>
    </row>
    <row r="1539" spans="1:4" x14ac:dyDescent="0.25">
      <c r="A1539" t="str">
        <f>"101511"</f>
        <v>101511</v>
      </c>
      <c r="B1539" t="s">
        <v>1508</v>
      </c>
      <c r="D1539" s="15" t="s">
        <v>415</v>
      </c>
    </row>
    <row r="1540" spans="1:4" x14ac:dyDescent="0.25">
      <c r="A1540" t="str">
        <f>"101512"</f>
        <v>101512</v>
      </c>
      <c r="B1540" t="s">
        <v>1509</v>
      </c>
      <c r="D1540" s="15" t="s">
        <v>2458</v>
      </c>
    </row>
    <row r="1541" spans="1:4" x14ac:dyDescent="0.25">
      <c r="A1541" t="str">
        <f>"101513"</f>
        <v>101513</v>
      </c>
      <c r="B1541" t="s">
        <v>1510</v>
      </c>
      <c r="D1541" s="15" t="s">
        <v>1454</v>
      </c>
    </row>
    <row r="1542" spans="1:4" x14ac:dyDescent="0.25">
      <c r="A1542" t="str">
        <f>"101514"</f>
        <v>101514</v>
      </c>
      <c r="B1542" t="s">
        <v>1511</v>
      </c>
      <c r="D1542" s="15" t="s">
        <v>2698</v>
      </c>
    </row>
    <row r="1543" spans="1:4" x14ac:dyDescent="0.25">
      <c r="A1543" t="str">
        <f>"101515"</f>
        <v>101515</v>
      </c>
      <c r="B1543" t="s">
        <v>1512</v>
      </c>
      <c r="D1543" s="15" t="s">
        <v>13</v>
      </c>
    </row>
    <row r="1544" spans="1:4" x14ac:dyDescent="0.25">
      <c r="A1544" t="str">
        <f>"101516"</f>
        <v>101516</v>
      </c>
      <c r="B1544" t="s">
        <v>1513</v>
      </c>
      <c r="D1544" s="15" t="s">
        <v>416</v>
      </c>
    </row>
    <row r="1545" spans="1:4" x14ac:dyDescent="0.25">
      <c r="A1545" t="str">
        <f>"101517"</f>
        <v>101517</v>
      </c>
      <c r="B1545" t="s">
        <v>1514</v>
      </c>
      <c r="D1545" s="15" t="s">
        <v>417</v>
      </c>
    </row>
    <row r="1546" spans="1:4" x14ac:dyDescent="0.25">
      <c r="A1546" t="str">
        <f>"101518"</f>
        <v>101518</v>
      </c>
      <c r="B1546" t="s">
        <v>1515</v>
      </c>
      <c r="D1546" s="15" t="s">
        <v>2773</v>
      </c>
    </row>
    <row r="1547" spans="1:4" x14ac:dyDescent="0.25">
      <c r="A1547" t="str">
        <f>"101519"</f>
        <v>101519</v>
      </c>
      <c r="B1547" t="s">
        <v>1516</v>
      </c>
      <c r="D1547" s="15" t="s">
        <v>1995</v>
      </c>
    </row>
    <row r="1548" spans="1:4" x14ac:dyDescent="0.25">
      <c r="A1548" t="str">
        <f>"101520"</f>
        <v>101520</v>
      </c>
      <c r="B1548" t="s">
        <v>1517</v>
      </c>
      <c r="D1548" s="15" t="s">
        <v>1216</v>
      </c>
    </row>
    <row r="1549" spans="1:4" x14ac:dyDescent="0.25">
      <c r="A1549" t="str">
        <f>"101521"</f>
        <v>101521</v>
      </c>
      <c r="B1549" t="s">
        <v>1518</v>
      </c>
      <c r="D1549" s="15" t="s">
        <v>2532</v>
      </c>
    </row>
    <row r="1550" spans="1:4" x14ac:dyDescent="0.25">
      <c r="A1550" t="str">
        <f>"101522"</f>
        <v>101522</v>
      </c>
      <c r="B1550" t="s">
        <v>1519</v>
      </c>
      <c r="D1550" s="15" t="s">
        <v>568</v>
      </c>
    </row>
    <row r="1551" spans="1:4" x14ac:dyDescent="0.25">
      <c r="A1551" t="str">
        <f>"101523"</f>
        <v>101523</v>
      </c>
      <c r="B1551" t="s">
        <v>1520</v>
      </c>
      <c r="D1551" s="15" t="s">
        <v>994</v>
      </c>
    </row>
    <row r="1552" spans="1:4" x14ac:dyDescent="0.25">
      <c r="A1552" t="str">
        <f>"101524"</f>
        <v>101524</v>
      </c>
      <c r="B1552" t="s">
        <v>1521</v>
      </c>
      <c r="D1552" s="15" t="s">
        <v>14</v>
      </c>
    </row>
    <row r="1553" spans="1:4" x14ac:dyDescent="0.25">
      <c r="A1553" t="str">
        <f>"101525"</f>
        <v>101525</v>
      </c>
      <c r="B1553" t="s">
        <v>1522</v>
      </c>
      <c r="D1553" s="15" t="s">
        <v>2576</v>
      </c>
    </row>
    <row r="1554" spans="1:4" x14ac:dyDescent="0.25">
      <c r="A1554" t="str">
        <f>"101526"</f>
        <v>101526</v>
      </c>
      <c r="B1554" t="s">
        <v>1523</v>
      </c>
      <c r="D1554" s="15" t="s">
        <v>4</v>
      </c>
    </row>
    <row r="1555" spans="1:4" x14ac:dyDescent="0.25">
      <c r="A1555" t="str">
        <f>"101527"</f>
        <v>101527</v>
      </c>
      <c r="B1555" t="s">
        <v>1524</v>
      </c>
      <c r="D1555" s="15" t="s">
        <v>1663</v>
      </c>
    </row>
    <row r="1556" spans="1:4" x14ac:dyDescent="0.25">
      <c r="A1556" t="str">
        <f>"101528"</f>
        <v>101528</v>
      </c>
      <c r="B1556" t="s">
        <v>1525</v>
      </c>
      <c r="D1556" s="15" t="s">
        <v>1803</v>
      </c>
    </row>
    <row r="1557" spans="1:4" x14ac:dyDescent="0.25">
      <c r="A1557" t="str">
        <f>"101529"</f>
        <v>101529</v>
      </c>
      <c r="B1557" t="s">
        <v>1526</v>
      </c>
      <c r="D1557" s="15" t="s">
        <v>2112</v>
      </c>
    </row>
    <row r="1558" spans="1:4" x14ac:dyDescent="0.25">
      <c r="A1558" t="str">
        <f>"101530"</f>
        <v>101530</v>
      </c>
      <c r="B1558" t="s">
        <v>1527</v>
      </c>
      <c r="D1558" s="15" t="s">
        <v>418</v>
      </c>
    </row>
    <row r="1559" spans="1:4" x14ac:dyDescent="0.25">
      <c r="A1559" t="str">
        <f>"101531"</f>
        <v>101531</v>
      </c>
      <c r="B1559" t="s">
        <v>1528</v>
      </c>
      <c r="D1559" s="15" t="s">
        <v>172</v>
      </c>
    </row>
    <row r="1560" spans="1:4" x14ac:dyDescent="0.25">
      <c r="A1560" t="str">
        <f>"101532"</f>
        <v>101532</v>
      </c>
      <c r="B1560" t="s">
        <v>1529</v>
      </c>
      <c r="D1560" s="15" t="s">
        <v>1513</v>
      </c>
    </row>
    <row r="1561" spans="1:4" x14ac:dyDescent="0.25">
      <c r="A1561" t="str">
        <f>"101533"</f>
        <v>101533</v>
      </c>
      <c r="B1561" t="s">
        <v>1530</v>
      </c>
      <c r="D1561" s="15" t="s">
        <v>2118</v>
      </c>
    </row>
    <row r="1562" spans="1:4" x14ac:dyDescent="0.25">
      <c r="A1562" t="str">
        <f>"101534"</f>
        <v>101534</v>
      </c>
      <c r="B1562" t="s">
        <v>1531</v>
      </c>
      <c r="D1562" s="15" t="s">
        <v>2221</v>
      </c>
    </row>
    <row r="1563" spans="1:4" x14ac:dyDescent="0.25">
      <c r="A1563" t="str">
        <f>"101535"</f>
        <v>101535</v>
      </c>
      <c r="B1563" t="s">
        <v>1532</v>
      </c>
      <c r="D1563" s="15" t="s">
        <v>800</v>
      </c>
    </row>
    <row r="1564" spans="1:4" x14ac:dyDescent="0.25">
      <c r="A1564" t="str">
        <f>"101536"</f>
        <v>101536</v>
      </c>
      <c r="B1564" t="s">
        <v>1533</v>
      </c>
      <c r="D1564" s="15" t="s">
        <v>419</v>
      </c>
    </row>
    <row r="1565" spans="1:4" x14ac:dyDescent="0.25">
      <c r="A1565" t="str">
        <f>"101537"</f>
        <v>101537</v>
      </c>
      <c r="B1565" t="s">
        <v>1534</v>
      </c>
      <c r="D1565" s="15" t="s">
        <v>728</v>
      </c>
    </row>
    <row r="1566" spans="1:4" x14ac:dyDescent="0.25">
      <c r="A1566" t="str">
        <f>"101538"</f>
        <v>101538</v>
      </c>
      <c r="B1566" t="s">
        <v>1535</v>
      </c>
      <c r="D1566" s="15" t="s">
        <v>839</v>
      </c>
    </row>
    <row r="1567" spans="1:4" x14ac:dyDescent="0.25">
      <c r="A1567" t="str">
        <f>"101539"</f>
        <v>101539</v>
      </c>
      <c r="B1567" t="s">
        <v>1536</v>
      </c>
      <c r="D1567" s="15" t="s">
        <v>913</v>
      </c>
    </row>
    <row r="1568" spans="1:4" x14ac:dyDescent="0.25">
      <c r="A1568" t="str">
        <f>"101540"</f>
        <v>101540</v>
      </c>
      <c r="B1568" t="s">
        <v>1537</v>
      </c>
      <c r="D1568" s="15" t="s">
        <v>1587</v>
      </c>
    </row>
    <row r="1569" spans="1:4" x14ac:dyDescent="0.25">
      <c r="A1569" t="str">
        <f>"101541"</f>
        <v>101541</v>
      </c>
      <c r="B1569" t="s">
        <v>1538</v>
      </c>
      <c r="D1569" s="15" t="s">
        <v>2046</v>
      </c>
    </row>
    <row r="1570" spans="1:4" x14ac:dyDescent="0.25">
      <c r="A1570" t="str">
        <f>"101542"</f>
        <v>101542</v>
      </c>
      <c r="B1570" t="s">
        <v>1539</v>
      </c>
      <c r="D1570" s="15" t="s">
        <v>2619</v>
      </c>
    </row>
    <row r="1571" spans="1:4" x14ac:dyDescent="0.25">
      <c r="A1571" t="str">
        <f>"101543"</f>
        <v>101543</v>
      </c>
      <c r="B1571" t="s">
        <v>1540</v>
      </c>
      <c r="D1571" s="15" t="s">
        <v>957</v>
      </c>
    </row>
    <row r="1572" spans="1:4" x14ac:dyDescent="0.25">
      <c r="A1572" t="str">
        <f>"101544"</f>
        <v>101544</v>
      </c>
      <c r="B1572" t="s">
        <v>1541</v>
      </c>
      <c r="D1572" s="15" t="s">
        <v>1105</v>
      </c>
    </row>
    <row r="1573" spans="1:4" x14ac:dyDescent="0.25">
      <c r="A1573" t="str">
        <f>"101545"</f>
        <v>101545</v>
      </c>
      <c r="B1573" t="s">
        <v>1542</v>
      </c>
      <c r="D1573" s="15" t="s">
        <v>1839</v>
      </c>
    </row>
    <row r="1574" spans="1:4" x14ac:dyDescent="0.25">
      <c r="A1574" t="str">
        <f>"101546"</f>
        <v>101546</v>
      </c>
      <c r="B1574" t="s">
        <v>1543</v>
      </c>
      <c r="D1574" s="15" t="s">
        <v>1400</v>
      </c>
    </row>
    <row r="1575" spans="1:4" x14ac:dyDescent="0.25">
      <c r="A1575" t="str">
        <f>"101547"</f>
        <v>101547</v>
      </c>
      <c r="B1575" t="s">
        <v>1544</v>
      </c>
      <c r="D1575" s="15" t="s">
        <v>2074</v>
      </c>
    </row>
    <row r="1576" spans="1:4" x14ac:dyDescent="0.25">
      <c r="A1576" t="str">
        <f>"101548"</f>
        <v>101548</v>
      </c>
      <c r="B1576" t="s">
        <v>1545</v>
      </c>
      <c r="D1576" s="15" t="s">
        <v>1603</v>
      </c>
    </row>
    <row r="1577" spans="1:4" x14ac:dyDescent="0.25">
      <c r="A1577" t="str">
        <f>"101549"</f>
        <v>101549</v>
      </c>
      <c r="B1577" t="s">
        <v>729</v>
      </c>
      <c r="D1577" s="15" t="s">
        <v>1586</v>
      </c>
    </row>
    <row r="1578" spans="1:4" x14ac:dyDescent="0.25">
      <c r="A1578" t="str">
        <f>"101550"</f>
        <v>101550</v>
      </c>
      <c r="B1578" t="s">
        <v>1546</v>
      </c>
      <c r="D1578" s="15" t="s">
        <v>422</v>
      </c>
    </row>
    <row r="1579" spans="1:4" x14ac:dyDescent="0.25">
      <c r="A1579" t="str">
        <f>"101551"</f>
        <v>101551</v>
      </c>
      <c r="B1579" t="s">
        <v>1547</v>
      </c>
      <c r="D1579" s="15" t="s">
        <v>423</v>
      </c>
    </row>
    <row r="1580" spans="1:4" x14ac:dyDescent="0.25">
      <c r="A1580" t="str">
        <f>"101552"</f>
        <v>101552</v>
      </c>
      <c r="B1580" t="s">
        <v>1548</v>
      </c>
      <c r="D1580" s="15" t="s">
        <v>2119</v>
      </c>
    </row>
    <row r="1581" spans="1:4" x14ac:dyDescent="0.25">
      <c r="A1581" t="str">
        <f>"101553"</f>
        <v>101553</v>
      </c>
      <c r="B1581" t="s">
        <v>1549</v>
      </c>
      <c r="D1581" s="15" t="s">
        <v>1374</v>
      </c>
    </row>
    <row r="1582" spans="1:4" x14ac:dyDescent="0.25">
      <c r="A1582" t="str">
        <f>"101554"</f>
        <v>101554</v>
      </c>
      <c r="B1582" t="s">
        <v>1550</v>
      </c>
      <c r="D1582" s="15" t="s">
        <v>2065</v>
      </c>
    </row>
    <row r="1583" spans="1:4" x14ac:dyDescent="0.25">
      <c r="A1583" t="str">
        <f>"101555"</f>
        <v>101555</v>
      </c>
      <c r="B1583" t="s">
        <v>1551</v>
      </c>
      <c r="D1583" s="15" t="s">
        <v>424</v>
      </c>
    </row>
    <row r="1584" spans="1:4" x14ac:dyDescent="0.25">
      <c r="A1584" t="str">
        <f>"101556"</f>
        <v>101556</v>
      </c>
      <c r="B1584" t="s">
        <v>1552</v>
      </c>
      <c r="D1584" s="15" t="s">
        <v>1098</v>
      </c>
    </row>
    <row r="1585" spans="1:4" x14ac:dyDescent="0.25">
      <c r="A1585" t="str">
        <f>"101557"</f>
        <v>101557</v>
      </c>
      <c r="B1585" t="s">
        <v>1553</v>
      </c>
      <c r="D1585" s="15" t="s">
        <v>425</v>
      </c>
    </row>
    <row r="1586" spans="1:4" x14ac:dyDescent="0.25">
      <c r="A1586" t="str">
        <f>"101558"</f>
        <v>101558</v>
      </c>
      <c r="B1586" t="s">
        <v>1554</v>
      </c>
      <c r="D1586" s="15" t="s">
        <v>1560</v>
      </c>
    </row>
    <row r="1587" spans="1:4" x14ac:dyDescent="0.25">
      <c r="A1587" t="str">
        <f>"101559"</f>
        <v>101559</v>
      </c>
      <c r="B1587" t="s">
        <v>1555</v>
      </c>
      <c r="D1587" s="15" t="s">
        <v>2407</v>
      </c>
    </row>
    <row r="1588" spans="1:4" x14ac:dyDescent="0.25">
      <c r="A1588" t="str">
        <f>"101560"</f>
        <v>101560</v>
      </c>
      <c r="B1588" t="s">
        <v>1556</v>
      </c>
      <c r="D1588" s="15" t="s">
        <v>2375</v>
      </c>
    </row>
    <row r="1589" spans="1:4" x14ac:dyDescent="0.25">
      <c r="A1589" t="str">
        <f>"101561"</f>
        <v>101561</v>
      </c>
      <c r="B1589" t="s">
        <v>1557</v>
      </c>
      <c r="D1589" s="15" t="s">
        <v>891</v>
      </c>
    </row>
    <row r="1590" spans="1:4" x14ac:dyDescent="0.25">
      <c r="A1590" t="str">
        <f>"101562"</f>
        <v>101562</v>
      </c>
      <c r="B1590" t="s">
        <v>1558</v>
      </c>
      <c r="D1590" s="15" t="s">
        <v>849</v>
      </c>
    </row>
    <row r="1591" spans="1:4" x14ac:dyDescent="0.25">
      <c r="A1591" t="str">
        <f>"101563"</f>
        <v>101563</v>
      </c>
      <c r="B1591" t="s">
        <v>1559</v>
      </c>
      <c r="D1591" s="15" t="s">
        <v>128</v>
      </c>
    </row>
    <row r="1592" spans="1:4" x14ac:dyDescent="0.25">
      <c r="A1592" t="str">
        <f>"101564"</f>
        <v>101564</v>
      </c>
      <c r="B1592" t="s">
        <v>1560</v>
      </c>
      <c r="D1592" s="15" t="s">
        <v>1592</v>
      </c>
    </row>
    <row r="1593" spans="1:4" x14ac:dyDescent="0.25">
      <c r="A1593" t="str">
        <f>"101565"</f>
        <v>101565</v>
      </c>
      <c r="B1593" t="s">
        <v>1561</v>
      </c>
      <c r="D1593" s="15" t="s">
        <v>1436</v>
      </c>
    </row>
    <row r="1594" spans="1:4" x14ac:dyDescent="0.25">
      <c r="A1594" t="str">
        <f>"101566"</f>
        <v>101566</v>
      </c>
      <c r="B1594" t="s">
        <v>1562</v>
      </c>
      <c r="D1594" s="15" t="s">
        <v>2228</v>
      </c>
    </row>
    <row r="1595" spans="1:4" x14ac:dyDescent="0.25">
      <c r="A1595" t="str">
        <f>"101567"</f>
        <v>101567</v>
      </c>
      <c r="B1595" t="s">
        <v>1563</v>
      </c>
      <c r="D1595" s="15" t="s">
        <v>2711</v>
      </c>
    </row>
    <row r="1596" spans="1:4" x14ac:dyDescent="0.25">
      <c r="A1596" t="str">
        <f>"101568"</f>
        <v>101568</v>
      </c>
      <c r="B1596" t="s">
        <v>1564</v>
      </c>
      <c r="D1596" s="15" t="s">
        <v>1505</v>
      </c>
    </row>
    <row r="1597" spans="1:4" x14ac:dyDescent="0.25">
      <c r="A1597" t="str">
        <f>"101569"</f>
        <v>101569</v>
      </c>
      <c r="B1597" t="s">
        <v>1565</v>
      </c>
      <c r="D1597" s="15" t="s">
        <v>426</v>
      </c>
    </row>
    <row r="1598" spans="1:4" x14ac:dyDescent="0.25">
      <c r="A1598" t="str">
        <f>"101570"</f>
        <v>101570</v>
      </c>
      <c r="B1598" t="s">
        <v>1566</v>
      </c>
      <c r="D1598" s="15" t="s">
        <v>2423</v>
      </c>
    </row>
    <row r="1599" spans="1:4" x14ac:dyDescent="0.25">
      <c r="A1599" t="str">
        <f>"101571"</f>
        <v>101571</v>
      </c>
      <c r="B1599" t="s">
        <v>1567</v>
      </c>
      <c r="D1599" s="15" t="s">
        <v>640</v>
      </c>
    </row>
    <row r="1600" spans="1:4" x14ac:dyDescent="0.25">
      <c r="A1600" t="str">
        <f>"101572"</f>
        <v>101572</v>
      </c>
      <c r="B1600" t="s">
        <v>1568</v>
      </c>
      <c r="D1600" s="15" t="s">
        <v>1102</v>
      </c>
    </row>
    <row r="1601" spans="1:4" x14ac:dyDescent="0.25">
      <c r="A1601" t="str">
        <f>"101573"</f>
        <v>101573</v>
      </c>
      <c r="B1601" t="s">
        <v>1569</v>
      </c>
      <c r="D1601" s="15" t="s">
        <v>2220</v>
      </c>
    </row>
    <row r="1602" spans="1:4" x14ac:dyDescent="0.25">
      <c r="A1602" t="str">
        <f>"101574"</f>
        <v>101574</v>
      </c>
      <c r="B1602" t="s">
        <v>1570</v>
      </c>
      <c r="D1602" s="15" t="s">
        <v>1853</v>
      </c>
    </row>
    <row r="1603" spans="1:4" x14ac:dyDescent="0.25">
      <c r="A1603" t="str">
        <f>"101575"</f>
        <v>101575</v>
      </c>
      <c r="B1603" t="s">
        <v>1571</v>
      </c>
      <c r="D1603" s="15" t="s">
        <v>427</v>
      </c>
    </row>
    <row r="1604" spans="1:4" x14ac:dyDescent="0.25">
      <c r="A1604" t="str">
        <f>"101576"</f>
        <v>101576</v>
      </c>
      <c r="B1604" t="s">
        <v>1572</v>
      </c>
      <c r="D1604" s="15" t="s">
        <v>1873</v>
      </c>
    </row>
    <row r="1605" spans="1:4" x14ac:dyDescent="0.25">
      <c r="A1605" t="str">
        <f>"101577"</f>
        <v>101577</v>
      </c>
      <c r="B1605" t="s">
        <v>1573</v>
      </c>
      <c r="D1605" s="15" t="s">
        <v>1001</v>
      </c>
    </row>
    <row r="1606" spans="1:4" x14ac:dyDescent="0.25">
      <c r="A1606" t="str">
        <f>"101578"</f>
        <v>101578</v>
      </c>
      <c r="B1606" t="s">
        <v>1574</v>
      </c>
      <c r="D1606" s="15" t="s">
        <v>428</v>
      </c>
    </row>
    <row r="1607" spans="1:4" x14ac:dyDescent="0.25">
      <c r="A1607" t="str">
        <f>"101579"</f>
        <v>101579</v>
      </c>
      <c r="B1607" t="s">
        <v>1575</v>
      </c>
      <c r="D1607" s="15" t="s">
        <v>1886</v>
      </c>
    </row>
    <row r="1608" spans="1:4" x14ac:dyDescent="0.25">
      <c r="A1608" t="str">
        <f>"101580"</f>
        <v>101580</v>
      </c>
      <c r="B1608" t="s">
        <v>1576</v>
      </c>
      <c r="D1608" s="15" t="s">
        <v>1872</v>
      </c>
    </row>
    <row r="1609" spans="1:4" x14ac:dyDescent="0.25">
      <c r="A1609" t="str">
        <f>"101581"</f>
        <v>101581</v>
      </c>
      <c r="B1609" t="s">
        <v>1577</v>
      </c>
      <c r="D1609" s="15" t="s">
        <v>429</v>
      </c>
    </row>
    <row r="1610" spans="1:4" x14ac:dyDescent="0.25">
      <c r="A1610" t="str">
        <f>"101582"</f>
        <v>101582</v>
      </c>
      <c r="B1610" t="s">
        <v>1578</v>
      </c>
      <c r="D1610" s="15" t="s">
        <v>430</v>
      </c>
    </row>
    <row r="1611" spans="1:4" x14ac:dyDescent="0.25">
      <c r="A1611" t="str">
        <f>"101583"</f>
        <v>101583</v>
      </c>
      <c r="B1611" t="s">
        <v>1579</v>
      </c>
      <c r="D1611" s="15" t="s">
        <v>2321</v>
      </c>
    </row>
    <row r="1612" spans="1:4" x14ac:dyDescent="0.25">
      <c r="A1612" t="str">
        <f>"101584"</f>
        <v>101584</v>
      </c>
      <c r="B1612" t="s">
        <v>1580</v>
      </c>
      <c r="D1612" s="15" t="s">
        <v>431</v>
      </c>
    </row>
    <row r="1613" spans="1:4" x14ac:dyDescent="0.25">
      <c r="A1613" t="str">
        <f>"101585"</f>
        <v>101585</v>
      </c>
      <c r="B1613" t="s">
        <v>1581</v>
      </c>
      <c r="D1613" s="15" t="s">
        <v>1974</v>
      </c>
    </row>
    <row r="1614" spans="1:4" x14ac:dyDescent="0.25">
      <c r="A1614" t="str">
        <f>"101586"</f>
        <v>101586</v>
      </c>
      <c r="B1614" t="s">
        <v>1582</v>
      </c>
      <c r="D1614" s="15" t="s">
        <v>1888</v>
      </c>
    </row>
    <row r="1615" spans="1:4" x14ac:dyDescent="0.25">
      <c r="A1615" t="str">
        <f>"101587"</f>
        <v>101587</v>
      </c>
      <c r="B1615" t="s">
        <v>1583</v>
      </c>
      <c r="D1615" s="15" t="s">
        <v>1470</v>
      </c>
    </row>
    <row r="1616" spans="1:4" x14ac:dyDescent="0.25">
      <c r="A1616" t="str">
        <f>"101588"</f>
        <v>101588</v>
      </c>
      <c r="B1616" t="s">
        <v>1584</v>
      </c>
      <c r="D1616" s="15" t="s">
        <v>1097</v>
      </c>
    </row>
    <row r="1617" spans="1:4" x14ac:dyDescent="0.25">
      <c r="A1617" t="str">
        <f>"101589"</f>
        <v>101589</v>
      </c>
      <c r="B1617" t="s">
        <v>1585</v>
      </c>
      <c r="D1617" s="15" t="s">
        <v>571</v>
      </c>
    </row>
    <row r="1618" spans="1:4" x14ac:dyDescent="0.25">
      <c r="A1618" t="str">
        <f>"101590"</f>
        <v>101590</v>
      </c>
      <c r="B1618" t="s">
        <v>1586</v>
      </c>
      <c r="D1618" s="15" t="s">
        <v>1878</v>
      </c>
    </row>
    <row r="1619" spans="1:4" x14ac:dyDescent="0.25">
      <c r="A1619" t="str">
        <f>"101591"</f>
        <v>101591</v>
      </c>
      <c r="B1619" t="s">
        <v>1587</v>
      </c>
      <c r="D1619" s="15" t="s">
        <v>432</v>
      </c>
    </row>
    <row r="1620" spans="1:4" x14ac:dyDescent="0.25">
      <c r="A1620" t="str">
        <f>"101592"</f>
        <v>101592</v>
      </c>
      <c r="B1620" t="s">
        <v>1588</v>
      </c>
      <c r="D1620" s="15" t="s">
        <v>688</v>
      </c>
    </row>
    <row r="1621" spans="1:4" x14ac:dyDescent="0.25">
      <c r="A1621" t="str">
        <f>"101593"</f>
        <v>101593</v>
      </c>
      <c r="B1621" t="s">
        <v>1589</v>
      </c>
      <c r="D1621" s="15" t="s">
        <v>596</v>
      </c>
    </row>
    <row r="1622" spans="1:4" x14ac:dyDescent="0.25">
      <c r="A1622" t="str">
        <f>"101594"</f>
        <v>101594</v>
      </c>
      <c r="B1622" t="s">
        <v>1590</v>
      </c>
      <c r="D1622" s="15" t="s">
        <v>2658</v>
      </c>
    </row>
    <row r="1623" spans="1:4" x14ac:dyDescent="0.25">
      <c r="A1623" t="str">
        <f>"101595"</f>
        <v>101595</v>
      </c>
      <c r="B1623" t="s">
        <v>1591</v>
      </c>
      <c r="D1623" s="15" t="s">
        <v>2479</v>
      </c>
    </row>
    <row r="1624" spans="1:4" x14ac:dyDescent="0.25">
      <c r="A1624" t="str">
        <f>"101596"</f>
        <v>101596</v>
      </c>
      <c r="B1624" t="s">
        <v>1592</v>
      </c>
      <c r="D1624" s="15" t="s">
        <v>2733</v>
      </c>
    </row>
    <row r="1625" spans="1:4" x14ac:dyDescent="0.25">
      <c r="A1625" t="str">
        <f>"101597"</f>
        <v>101597</v>
      </c>
      <c r="B1625" t="s">
        <v>1593</v>
      </c>
      <c r="D1625" s="15" t="s">
        <v>1880</v>
      </c>
    </row>
    <row r="1626" spans="1:4" x14ac:dyDescent="0.25">
      <c r="A1626" t="str">
        <f>"101598"</f>
        <v>101598</v>
      </c>
      <c r="B1626" t="s">
        <v>1594</v>
      </c>
      <c r="D1626" s="15" t="s">
        <v>1299</v>
      </c>
    </row>
    <row r="1627" spans="1:4" x14ac:dyDescent="0.25">
      <c r="A1627" t="str">
        <f>"101599"</f>
        <v>101599</v>
      </c>
      <c r="B1627" t="s">
        <v>1595</v>
      </c>
      <c r="D1627" s="15" t="s">
        <v>2648</v>
      </c>
    </row>
    <row r="1628" spans="1:4" x14ac:dyDescent="0.25">
      <c r="A1628" t="str">
        <f>"101600"</f>
        <v>101600</v>
      </c>
      <c r="B1628" t="s">
        <v>1596</v>
      </c>
      <c r="D1628" s="15" t="s">
        <v>2818</v>
      </c>
    </row>
    <row r="1629" spans="1:4" x14ac:dyDescent="0.25">
      <c r="A1629" t="str">
        <f>"101601"</f>
        <v>101601</v>
      </c>
      <c r="B1629" t="s">
        <v>1597</v>
      </c>
      <c r="D1629" s="15" t="s">
        <v>1674</v>
      </c>
    </row>
    <row r="1630" spans="1:4" x14ac:dyDescent="0.25">
      <c r="A1630" t="str">
        <f>"101602"</f>
        <v>101602</v>
      </c>
      <c r="B1630" t="s">
        <v>1598</v>
      </c>
      <c r="D1630" s="15" t="s">
        <v>1414</v>
      </c>
    </row>
    <row r="1631" spans="1:4" x14ac:dyDescent="0.25">
      <c r="A1631" t="str">
        <f>"101603"</f>
        <v>101603</v>
      </c>
      <c r="B1631" t="s">
        <v>1599</v>
      </c>
      <c r="D1631" s="15" t="s">
        <v>2579</v>
      </c>
    </row>
    <row r="1632" spans="1:4" x14ac:dyDescent="0.25">
      <c r="A1632" t="str">
        <f>"101604"</f>
        <v>101604</v>
      </c>
      <c r="B1632" t="s">
        <v>1600</v>
      </c>
      <c r="D1632" s="15" t="s">
        <v>1510</v>
      </c>
    </row>
    <row r="1633" spans="1:4" x14ac:dyDescent="0.25">
      <c r="A1633" t="str">
        <f>"101605"</f>
        <v>101605</v>
      </c>
      <c r="B1633" t="s">
        <v>1601</v>
      </c>
      <c r="D1633" s="15" t="s">
        <v>2446</v>
      </c>
    </row>
    <row r="1634" spans="1:4" x14ac:dyDescent="0.25">
      <c r="A1634" t="str">
        <f>"101606"</f>
        <v>101606</v>
      </c>
      <c r="B1634" t="s">
        <v>1602</v>
      </c>
      <c r="D1634" s="15" t="s">
        <v>2604</v>
      </c>
    </row>
    <row r="1635" spans="1:4" x14ac:dyDescent="0.25">
      <c r="A1635" t="str">
        <f>"101607"</f>
        <v>101607</v>
      </c>
      <c r="B1635" t="s">
        <v>1603</v>
      </c>
      <c r="D1635" s="15" t="s">
        <v>1945</v>
      </c>
    </row>
    <row r="1636" spans="1:4" x14ac:dyDescent="0.25">
      <c r="A1636" t="str">
        <f>"101608"</f>
        <v>101608</v>
      </c>
      <c r="B1636" t="s">
        <v>1604</v>
      </c>
      <c r="D1636" s="15" t="s">
        <v>1000</v>
      </c>
    </row>
    <row r="1637" spans="1:4" x14ac:dyDescent="0.25">
      <c r="A1637" t="str">
        <f>"101609"</f>
        <v>101609</v>
      </c>
      <c r="B1637" t="s">
        <v>1605</v>
      </c>
      <c r="D1637" s="15" t="s">
        <v>726</v>
      </c>
    </row>
    <row r="1638" spans="1:4" x14ac:dyDescent="0.25">
      <c r="A1638" t="str">
        <f>"101610"</f>
        <v>101610</v>
      </c>
      <c r="B1638" t="s">
        <v>1606</v>
      </c>
      <c r="D1638" s="15" t="s">
        <v>1597</v>
      </c>
    </row>
    <row r="1639" spans="1:4" x14ac:dyDescent="0.25">
      <c r="A1639" t="str">
        <f>"101611"</f>
        <v>101611</v>
      </c>
      <c r="B1639" t="s">
        <v>1607</v>
      </c>
      <c r="D1639" s="15" t="s">
        <v>749</v>
      </c>
    </row>
    <row r="1640" spans="1:4" x14ac:dyDescent="0.25">
      <c r="A1640" t="str">
        <f>"101612"</f>
        <v>101612</v>
      </c>
      <c r="B1640" t="s">
        <v>1608</v>
      </c>
      <c r="D1640" s="15" t="s">
        <v>683</v>
      </c>
    </row>
    <row r="1641" spans="1:4" x14ac:dyDescent="0.25">
      <c r="A1641" t="str">
        <f>"101613"</f>
        <v>101613</v>
      </c>
      <c r="B1641" t="s">
        <v>1609</v>
      </c>
      <c r="D1641" s="15" t="s">
        <v>11</v>
      </c>
    </row>
    <row r="1642" spans="1:4" x14ac:dyDescent="0.25">
      <c r="A1642" t="str">
        <f>"101614"</f>
        <v>101614</v>
      </c>
      <c r="B1642" t="s">
        <v>1610</v>
      </c>
      <c r="D1642" s="15" t="s">
        <v>1700</v>
      </c>
    </row>
    <row r="1643" spans="1:4" x14ac:dyDescent="0.25">
      <c r="A1643" t="str">
        <f>"101615"</f>
        <v>101615</v>
      </c>
      <c r="B1643" t="s">
        <v>1611</v>
      </c>
      <c r="D1643" s="15" t="s">
        <v>698</v>
      </c>
    </row>
    <row r="1644" spans="1:4" x14ac:dyDescent="0.25">
      <c r="A1644" t="str">
        <f>"101616"</f>
        <v>101616</v>
      </c>
      <c r="B1644" t="s">
        <v>1612</v>
      </c>
      <c r="D1644" s="15" t="s">
        <v>1410</v>
      </c>
    </row>
    <row r="1645" spans="1:4" x14ac:dyDescent="0.25">
      <c r="A1645" t="str">
        <f>"101617"</f>
        <v>101617</v>
      </c>
      <c r="B1645" t="s">
        <v>1613</v>
      </c>
      <c r="D1645" s="15" t="s">
        <v>5</v>
      </c>
    </row>
    <row r="1646" spans="1:4" x14ac:dyDescent="0.25">
      <c r="A1646" t="str">
        <f>"101618"</f>
        <v>101618</v>
      </c>
      <c r="B1646" t="s">
        <v>1614</v>
      </c>
      <c r="D1646" s="15" t="s">
        <v>2222</v>
      </c>
    </row>
    <row r="1647" spans="1:4" x14ac:dyDescent="0.25">
      <c r="A1647" t="str">
        <f>"101619"</f>
        <v>101619</v>
      </c>
      <c r="B1647" t="s">
        <v>1615</v>
      </c>
      <c r="D1647" s="15" t="s">
        <v>2500</v>
      </c>
    </row>
    <row r="1648" spans="1:4" x14ac:dyDescent="0.25">
      <c r="A1648" t="str">
        <f>"101620"</f>
        <v>101620</v>
      </c>
      <c r="B1648" t="s">
        <v>1616</v>
      </c>
      <c r="D1648" s="15" t="s">
        <v>1273</v>
      </c>
    </row>
    <row r="1649" spans="1:4" x14ac:dyDescent="0.25">
      <c r="A1649" t="str">
        <f>"101621"</f>
        <v>101621</v>
      </c>
      <c r="B1649" t="s">
        <v>1617</v>
      </c>
      <c r="D1649" s="15" t="s">
        <v>2705</v>
      </c>
    </row>
    <row r="1650" spans="1:4" x14ac:dyDescent="0.25">
      <c r="A1650" t="str">
        <f>"101622"</f>
        <v>101622</v>
      </c>
      <c r="B1650" t="s">
        <v>1618</v>
      </c>
      <c r="D1650" s="15" t="s">
        <v>2745</v>
      </c>
    </row>
    <row r="1651" spans="1:4" x14ac:dyDescent="0.25">
      <c r="A1651" t="str">
        <f>"101623"</f>
        <v>101623</v>
      </c>
      <c r="B1651" t="s">
        <v>1619</v>
      </c>
      <c r="D1651" s="15" t="s">
        <v>649</v>
      </c>
    </row>
    <row r="1652" spans="1:4" x14ac:dyDescent="0.25">
      <c r="A1652" t="str">
        <f>"101624"</f>
        <v>101624</v>
      </c>
      <c r="B1652" t="s">
        <v>1620</v>
      </c>
      <c r="D1652" s="15" t="s">
        <v>2723</v>
      </c>
    </row>
    <row r="1653" spans="1:4" x14ac:dyDescent="0.25">
      <c r="A1653" t="str">
        <f>"101625"</f>
        <v>101625</v>
      </c>
      <c r="B1653" t="s">
        <v>1621</v>
      </c>
      <c r="D1653" s="15" t="s">
        <v>51</v>
      </c>
    </row>
    <row r="1654" spans="1:4" x14ac:dyDescent="0.25">
      <c r="A1654" t="str">
        <f>"101626"</f>
        <v>101626</v>
      </c>
      <c r="B1654" t="s">
        <v>1622</v>
      </c>
      <c r="D1654" s="15" t="s">
        <v>1900</v>
      </c>
    </row>
    <row r="1655" spans="1:4" x14ac:dyDescent="0.25">
      <c r="A1655" t="str">
        <f>"101627"</f>
        <v>101627</v>
      </c>
      <c r="B1655" t="s">
        <v>1623</v>
      </c>
      <c r="D1655" s="15" t="s">
        <v>2333</v>
      </c>
    </row>
    <row r="1656" spans="1:4" x14ac:dyDescent="0.25">
      <c r="A1656" t="str">
        <f>"101628"</f>
        <v>101628</v>
      </c>
      <c r="B1656" t="s">
        <v>1624</v>
      </c>
      <c r="D1656" s="15" t="s">
        <v>906</v>
      </c>
    </row>
    <row r="1657" spans="1:4" x14ac:dyDescent="0.25">
      <c r="A1657" t="str">
        <f>"101629"</f>
        <v>101629</v>
      </c>
      <c r="B1657" t="s">
        <v>1625</v>
      </c>
      <c r="D1657" s="15" t="s">
        <v>40</v>
      </c>
    </row>
    <row r="1658" spans="1:4" x14ac:dyDescent="0.25">
      <c r="A1658" t="str">
        <f>"101630"</f>
        <v>101630</v>
      </c>
      <c r="B1658" t="s">
        <v>1626</v>
      </c>
      <c r="D1658" s="15" t="s">
        <v>1053</v>
      </c>
    </row>
    <row r="1659" spans="1:4" x14ac:dyDescent="0.25">
      <c r="A1659" t="str">
        <f>"101631"</f>
        <v>101631</v>
      </c>
      <c r="B1659" t="s">
        <v>1627</v>
      </c>
      <c r="D1659" s="15" t="s">
        <v>676</v>
      </c>
    </row>
    <row r="1660" spans="1:4" x14ac:dyDescent="0.25">
      <c r="A1660" t="str">
        <f>"101632"</f>
        <v>101632</v>
      </c>
      <c r="B1660" t="s">
        <v>1628</v>
      </c>
      <c r="D1660" s="15" t="s">
        <v>1471</v>
      </c>
    </row>
    <row r="1661" spans="1:4" x14ac:dyDescent="0.25">
      <c r="A1661" t="str">
        <f>"101633"</f>
        <v>101633</v>
      </c>
      <c r="B1661" t="s">
        <v>1629</v>
      </c>
      <c r="D1661" s="15" t="s">
        <v>1799</v>
      </c>
    </row>
    <row r="1662" spans="1:4" x14ac:dyDescent="0.25">
      <c r="A1662" t="str">
        <f>"101634"</f>
        <v>101634</v>
      </c>
      <c r="B1662" t="s">
        <v>1630</v>
      </c>
      <c r="D1662" s="15" t="s">
        <v>37</v>
      </c>
    </row>
    <row r="1663" spans="1:4" x14ac:dyDescent="0.25">
      <c r="A1663" t="str">
        <f>"101635"</f>
        <v>101635</v>
      </c>
      <c r="B1663" t="s">
        <v>1631</v>
      </c>
      <c r="D1663" s="15" t="s">
        <v>41</v>
      </c>
    </row>
    <row r="1664" spans="1:4" x14ac:dyDescent="0.25">
      <c r="A1664" t="str">
        <f>"101636"</f>
        <v>101636</v>
      </c>
      <c r="B1664" t="s">
        <v>1632</v>
      </c>
      <c r="D1664" s="15" t="s">
        <v>44</v>
      </c>
    </row>
    <row r="1665" spans="1:4" x14ac:dyDescent="0.25">
      <c r="A1665" t="str">
        <f>"101637"</f>
        <v>101637</v>
      </c>
      <c r="B1665" t="s">
        <v>1633</v>
      </c>
      <c r="D1665" s="15" t="s">
        <v>1437</v>
      </c>
    </row>
    <row r="1666" spans="1:4" x14ac:dyDescent="0.25">
      <c r="A1666" t="str">
        <f>"101638"</f>
        <v>101638</v>
      </c>
      <c r="B1666" t="s">
        <v>1634</v>
      </c>
      <c r="D1666" s="15" t="s">
        <v>892</v>
      </c>
    </row>
    <row r="1667" spans="1:4" x14ac:dyDescent="0.25">
      <c r="A1667" t="str">
        <f>"101639"</f>
        <v>101639</v>
      </c>
      <c r="B1667" t="s">
        <v>1635</v>
      </c>
      <c r="D1667" s="15" t="s">
        <v>45</v>
      </c>
    </row>
    <row r="1668" spans="1:4" x14ac:dyDescent="0.25">
      <c r="A1668" t="str">
        <f>"101640"</f>
        <v>101640</v>
      </c>
      <c r="B1668" t="s">
        <v>1636</v>
      </c>
      <c r="D1668" s="15" t="s">
        <v>2476</v>
      </c>
    </row>
    <row r="1669" spans="1:4" x14ac:dyDescent="0.25">
      <c r="A1669" t="str">
        <f>"101641"</f>
        <v>101641</v>
      </c>
      <c r="B1669" t="s">
        <v>1637</v>
      </c>
      <c r="D1669" s="15" t="s">
        <v>971</v>
      </c>
    </row>
    <row r="1670" spans="1:4" x14ac:dyDescent="0.25">
      <c r="A1670" t="str">
        <f>"101642"</f>
        <v>101642</v>
      </c>
      <c r="B1670" t="s">
        <v>1638</v>
      </c>
      <c r="D1670" s="15" t="s">
        <v>2429</v>
      </c>
    </row>
    <row r="1671" spans="1:4" x14ac:dyDescent="0.25">
      <c r="A1671" t="str">
        <f>"101643"</f>
        <v>101643</v>
      </c>
      <c r="B1671" t="s">
        <v>1639</v>
      </c>
      <c r="D1671" s="15" t="s">
        <v>1188</v>
      </c>
    </row>
    <row r="1672" spans="1:4" x14ac:dyDescent="0.25">
      <c r="A1672" t="str">
        <f>"101644"</f>
        <v>101644</v>
      </c>
      <c r="B1672" t="s">
        <v>1640</v>
      </c>
      <c r="D1672" s="15" t="s">
        <v>2234</v>
      </c>
    </row>
    <row r="1673" spans="1:4" x14ac:dyDescent="0.25">
      <c r="A1673" t="str">
        <f>"101645"</f>
        <v>101645</v>
      </c>
      <c r="B1673" t="s">
        <v>1641</v>
      </c>
      <c r="D1673" s="15" t="s">
        <v>2684</v>
      </c>
    </row>
    <row r="1674" spans="1:4" x14ac:dyDescent="0.25">
      <c r="A1674" t="str">
        <f>"101646"</f>
        <v>101646</v>
      </c>
      <c r="B1674" t="s">
        <v>1642</v>
      </c>
      <c r="D1674" s="15" t="s">
        <v>434</v>
      </c>
    </row>
    <row r="1675" spans="1:4" x14ac:dyDescent="0.25">
      <c r="A1675" t="str">
        <f>"101647"</f>
        <v>101647</v>
      </c>
      <c r="B1675" t="s">
        <v>1643</v>
      </c>
      <c r="D1675" s="15" t="s">
        <v>1726</v>
      </c>
    </row>
    <row r="1676" spans="1:4" x14ac:dyDescent="0.25">
      <c r="A1676" t="str">
        <f>"101648"</f>
        <v>101648</v>
      </c>
      <c r="B1676" t="s">
        <v>1644</v>
      </c>
      <c r="D1676" s="15" t="s">
        <v>435</v>
      </c>
    </row>
    <row r="1677" spans="1:4" x14ac:dyDescent="0.25">
      <c r="A1677" t="str">
        <f>"101649"</f>
        <v>101649</v>
      </c>
      <c r="B1677" t="s">
        <v>1645</v>
      </c>
      <c r="D1677" s="15" t="s">
        <v>1970</v>
      </c>
    </row>
    <row r="1678" spans="1:4" x14ac:dyDescent="0.25">
      <c r="A1678" t="str">
        <f>"101650"</f>
        <v>101650</v>
      </c>
      <c r="B1678" t="s">
        <v>1646</v>
      </c>
      <c r="D1678" s="15" t="s">
        <v>781</v>
      </c>
    </row>
    <row r="1679" spans="1:4" x14ac:dyDescent="0.25">
      <c r="A1679" t="str">
        <f>"101651"</f>
        <v>101651</v>
      </c>
      <c r="B1679" t="s">
        <v>1647</v>
      </c>
      <c r="D1679" s="15" t="s">
        <v>601</v>
      </c>
    </row>
    <row r="1680" spans="1:4" x14ac:dyDescent="0.25">
      <c r="A1680" t="str">
        <f>"101652"</f>
        <v>101652</v>
      </c>
      <c r="B1680" t="s">
        <v>1648</v>
      </c>
      <c r="D1680" s="15" t="s">
        <v>2749</v>
      </c>
    </row>
    <row r="1681" spans="1:4" x14ac:dyDescent="0.25">
      <c r="A1681" t="str">
        <f>"101653"</f>
        <v>101653</v>
      </c>
      <c r="B1681" t="s">
        <v>1649</v>
      </c>
      <c r="D1681" s="15" t="s">
        <v>1794</v>
      </c>
    </row>
    <row r="1682" spans="1:4" x14ac:dyDescent="0.25">
      <c r="A1682" t="str">
        <f>"101654"</f>
        <v>101654</v>
      </c>
      <c r="B1682" t="s">
        <v>1650</v>
      </c>
      <c r="D1682" s="15" t="s">
        <v>1901</v>
      </c>
    </row>
    <row r="1683" spans="1:4" x14ac:dyDescent="0.25">
      <c r="A1683" t="str">
        <f>"101655"</f>
        <v>101655</v>
      </c>
      <c r="B1683" t="s">
        <v>1651</v>
      </c>
      <c r="D1683" s="15" t="s">
        <v>2323</v>
      </c>
    </row>
    <row r="1684" spans="1:4" x14ac:dyDescent="0.25">
      <c r="A1684" t="str">
        <f>"101656"</f>
        <v>101656</v>
      </c>
      <c r="B1684" t="s">
        <v>1652</v>
      </c>
      <c r="D1684" s="15" t="s">
        <v>2716</v>
      </c>
    </row>
    <row r="1685" spans="1:4" x14ac:dyDescent="0.25">
      <c r="A1685" t="str">
        <f>"101657"</f>
        <v>101657</v>
      </c>
      <c r="B1685" t="s">
        <v>1653</v>
      </c>
      <c r="D1685" s="15" t="s">
        <v>1204</v>
      </c>
    </row>
    <row r="1686" spans="1:4" x14ac:dyDescent="0.25">
      <c r="A1686" t="str">
        <f>"101658"</f>
        <v>101658</v>
      </c>
      <c r="B1686" t="s">
        <v>1654</v>
      </c>
      <c r="D1686" s="15" t="s">
        <v>2105</v>
      </c>
    </row>
    <row r="1687" spans="1:4" x14ac:dyDescent="0.25">
      <c r="A1687" t="str">
        <f>"101659"</f>
        <v>101659</v>
      </c>
      <c r="B1687" t="s">
        <v>1655</v>
      </c>
      <c r="D1687" s="15" t="s">
        <v>33</v>
      </c>
    </row>
    <row r="1688" spans="1:4" x14ac:dyDescent="0.25">
      <c r="A1688" t="str">
        <f>"101660"</f>
        <v>101660</v>
      </c>
      <c r="B1688" t="s">
        <v>1656</v>
      </c>
      <c r="D1688" s="15" t="s">
        <v>1619</v>
      </c>
    </row>
    <row r="1689" spans="1:4" x14ac:dyDescent="0.25">
      <c r="A1689" t="str">
        <f>"101661"</f>
        <v>101661</v>
      </c>
      <c r="B1689" t="s">
        <v>1657</v>
      </c>
      <c r="D1689" s="15" t="s">
        <v>2591</v>
      </c>
    </row>
    <row r="1690" spans="1:4" x14ac:dyDescent="0.25">
      <c r="A1690" t="str">
        <f>"101662"</f>
        <v>101662</v>
      </c>
      <c r="B1690" t="s">
        <v>1658</v>
      </c>
      <c r="D1690" s="15" t="s">
        <v>1784</v>
      </c>
    </row>
    <row r="1691" spans="1:4" x14ac:dyDescent="0.25">
      <c r="A1691" t="str">
        <f>"101663"</f>
        <v>101663</v>
      </c>
      <c r="B1691" t="s">
        <v>1659</v>
      </c>
      <c r="D1691" s="15" t="s">
        <v>49</v>
      </c>
    </row>
    <row r="1692" spans="1:4" x14ac:dyDescent="0.25">
      <c r="A1692" t="str">
        <f>"101664"</f>
        <v>101664</v>
      </c>
      <c r="B1692" t="s">
        <v>1660</v>
      </c>
      <c r="D1692" s="15" t="s">
        <v>29</v>
      </c>
    </row>
    <row r="1693" spans="1:4" x14ac:dyDescent="0.25">
      <c r="A1693" t="str">
        <f>"101665"</f>
        <v>101665</v>
      </c>
      <c r="B1693" t="s">
        <v>1661</v>
      </c>
      <c r="D1693" s="15" t="s">
        <v>436</v>
      </c>
    </row>
    <row r="1694" spans="1:4" x14ac:dyDescent="0.25">
      <c r="A1694" t="str">
        <f>"101666"</f>
        <v>101666</v>
      </c>
      <c r="B1694" t="s">
        <v>1662</v>
      </c>
      <c r="D1694" s="15" t="s">
        <v>2383</v>
      </c>
    </row>
    <row r="1695" spans="1:4" x14ac:dyDescent="0.25">
      <c r="A1695" t="str">
        <f>"101667"</f>
        <v>101667</v>
      </c>
      <c r="B1695" t="s">
        <v>1663</v>
      </c>
      <c r="D1695" s="15" t="s">
        <v>1337</v>
      </c>
    </row>
    <row r="1696" spans="1:4" x14ac:dyDescent="0.25">
      <c r="A1696" t="str">
        <f>"101668"</f>
        <v>101668</v>
      </c>
      <c r="B1696" t="s">
        <v>1664</v>
      </c>
      <c r="D1696" s="15" t="s">
        <v>30</v>
      </c>
    </row>
    <row r="1697" spans="1:4" x14ac:dyDescent="0.25">
      <c r="A1697" t="str">
        <f>"101669"</f>
        <v>101669</v>
      </c>
      <c r="B1697" t="s">
        <v>1665</v>
      </c>
      <c r="D1697" s="15" t="s">
        <v>673</v>
      </c>
    </row>
    <row r="1698" spans="1:4" x14ac:dyDescent="0.25">
      <c r="A1698" t="str">
        <f>"101670"</f>
        <v>101670</v>
      </c>
      <c r="B1698" t="s">
        <v>1666</v>
      </c>
      <c r="D1698" s="15" t="s">
        <v>32</v>
      </c>
    </row>
    <row r="1699" spans="1:4" x14ac:dyDescent="0.25">
      <c r="A1699" t="str">
        <f>"101671"</f>
        <v>101671</v>
      </c>
      <c r="B1699" t="s">
        <v>1667</v>
      </c>
      <c r="D1699" s="15" t="s">
        <v>2369</v>
      </c>
    </row>
    <row r="1700" spans="1:4" x14ac:dyDescent="0.25">
      <c r="A1700" t="str">
        <f>"101672"</f>
        <v>101672</v>
      </c>
      <c r="B1700" t="s">
        <v>1668</v>
      </c>
      <c r="D1700" s="15" t="s">
        <v>47</v>
      </c>
    </row>
    <row r="1701" spans="1:4" x14ac:dyDescent="0.25">
      <c r="A1701" t="str">
        <f>"101673"</f>
        <v>101673</v>
      </c>
      <c r="B1701" t="s">
        <v>1669</v>
      </c>
      <c r="D1701" s="15" t="s">
        <v>1179</v>
      </c>
    </row>
    <row r="1702" spans="1:4" x14ac:dyDescent="0.25">
      <c r="A1702" t="str">
        <f>"101674"</f>
        <v>101674</v>
      </c>
      <c r="B1702" t="s">
        <v>1670</v>
      </c>
      <c r="D1702" s="15" t="s">
        <v>1200</v>
      </c>
    </row>
    <row r="1703" spans="1:4" x14ac:dyDescent="0.25">
      <c r="A1703" t="str">
        <f>"101675"</f>
        <v>101675</v>
      </c>
      <c r="B1703" t="s">
        <v>1671</v>
      </c>
      <c r="D1703" s="15" t="s">
        <v>2516</v>
      </c>
    </row>
    <row r="1704" spans="1:4" x14ac:dyDescent="0.25">
      <c r="A1704" t="str">
        <f>"101676"</f>
        <v>101676</v>
      </c>
      <c r="B1704" t="s">
        <v>1672</v>
      </c>
      <c r="D1704" s="15" t="s">
        <v>1730</v>
      </c>
    </row>
    <row r="1705" spans="1:4" x14ac:dyDescent="0.25">
      <c r="A1705" t="str">
        <f>"101677"</f>
        <v>101677</v>
      </c>
      <c r="B1705" t="s">
        <v>1673</v>
      </c>
      <c r="D1705" s="15" t="s">
        <v>1343</v>
      </c>
    </row>
    <row r="1706" spans="1:4" x14ac:dyDescent="0.25">
      <c r="A1706" t="str">
        <f>"101678"</f>
        <v>101678</v>
      </c>
      <c r="B1706" t="s">
        <v>1674</v>
      </c>
      <c r="D1706" s="15" t="s">
        <v>1565</v>
      </c>
    </row>
    <row r="1707" spans="1:4" x14ac:dyDescent="0.25">
      <c r="A1707" t="str">
        <f>"101679"</f>
        <v>101679</v>
      </c>
      <c r="B1707" t="s">
        <v>1675</v>
      </c>
      <c r="D1707" s="15" t="s">
        <v>968</v>
      </c>
    </row>
    <row r="1708" spans="1:4" x14ac:dyDescent="0.25">
      <c r="A1708" t="str">
        <f>"101680"</f>
        <v>101680</v>
      </c>
      <c r="B1708" t="s">
        <v>1676</v>
      </c>
      <c r="D1708" s="15" t="s">
        <v>2624</v>
      </c>
    </row>
    <row r="1709" spans="1:4" x14ac:dyDescent="0.25">
      <c r="A1709" t="str">
        <f>"101681"</f>
        <v>101681</v>
      </c>
      <c r="B1709" t="s">
        <v>1677</v>
      </c>
      <c r="D1709" s="15" t="s">
        <v>2677</v>
      </c>
    </row>
    <row r="1710" spans="1:4" x14ac:dyDescent="0.25">
      <c r="A1710" t="str">
        <f>"101682"</f>
        <v>101682</v>
      </c>
      <c r="B1710" t="s">
        <v>1678</v>
      </c>
      <c r="D1710" s="15" t="s">
        <v>1727</v>
      </c>
    </row>
    <row r="1711" spans="1:4" x14ac:dyDescent="0.25">
      <c r="A1711" t="str">
        <f>"101683"</f>
        <v>101683</v>
      </c>
      <c r="B1711" t="s">
        <v>1679</v>
      </c>
      <c r="D1711" s="15" t="s">
        <v>1252</v>
      </c>
    </row>
    <row r="1712" spans="1:4" x14ac:dyDescent="0.25">
      <c r="A1712" t="str">
        <f>"101684"</f>
        <v>101684</v>
      </c>
      <c r="B1712" t="s">
        <v>1680</v>
      </c>
      <c r="D1712" s="15" t="s">
        <v>599</v>
      </c>
    </row>
    <row r="1713" spans="1:4" x14ac:dyDescent="0.25">
      <c r="A1713" t="str">
        <f>"101685"</f>
        <v>101685</v>
      </c>
      <c r="B1713" t="s">
        <v>1681</v>
      </c>
      <c r="D1713" s="15" t="s">
        <v>1685</v>
      </c>
    </row>
    <row r="1714" spans="1:4" x14ac:dyDescent="0.25">
      <c r="A1714" t="str">
        <f>"101686"</f>
        <v>101686</v>
      </c>
      <c r="B1714" t="s">
        <v>1682</v>
      </c>
      <c r="D1714" s="15" t="s">
        <v>2137</v>
      </c>
    </row>
    <row r="1715" spans="1:4" x14ac:dyDescent="0.25">
      <c r="A1715" t="str">
        <f>"101687"</f>
        <v>101687</v>
      </c>
      <c r="B1715" t="s">
        <v>1683</v>
      </c>
      <c r="D1715" s="15" t="s">
        <v>984</v>
      </c>
    </row>
    <row r="1716" spans="1:4" x14ac:dyDescent="0.25">
      <c r="A1716" t="str">
        <f>"101688"</f>
        <v>101688</v>
      </c>
      <c r="B1716" t="s">
        <v>1684</v>
      </c>
      <c r="D1716" s="15" t="s">
        <v>1121</v>
      </c>
    </row>
    <row r="1717" spans="1:4" x14ac:dyDescent="0.25">
      <c r="A1717" t="str">
        <f>"101689"</f>
        <v>101689</v>
      </c>
      <c r="B1717" t="s">
        <v>1685</v>
      </c>
      <c r="D1717" s="15" t="s">
        <v>752</v>
      </c>
    </row>
    <row r="1718" spans="1:4" x14ac:dyDescent="0.25">
      <c r="A1718" t="str">
        <f>"101690"</f>
        <v>101690</v>
      </c>
      <c r="B1718" t="s">
        <v>1686</v>
      </c>
      <c r="D1718" s="15" t="s">
        <v>437</v>
      </c>
    </row>
    <row r="1719" spans="1:4" x14ac:dyDescent="0.25">
      <c r="A1719" t="str">
        <f>"101691"</f>
        <v>101691</v>
      </c>
      <c r="B1719" t="s">
        <v>1687</v>
      </c>
      <c r="D1719" s="15" t="s">
        <v>1262</v>
      </c>
    </row>
    <row r="1720" spans="1:4" x14ac:dyDescent="0.25">
      <c r="A1720" t="str">
        <f>"101692"</f>
        <v>101692</v>
      </c>
      <c r="B1720" t="s">
        <v>1688</v>
      </c>
      <c r="D1720" s="15" t="s">
        <v>714</v>
      </c>
    </row>
    <row r="1721" spans="1:4" x14ac:dyDescent="0.25">
      <c r="A1721" t="str">
        <f>"101693"</f>
        <v>101693</v>
      </c>
      <c r="B1721" t="s">
        <v>1689</v>
      </c>
      <c r="D1721" s="15" t="s">
        <v>654</v>
      </c>
    </row>
    <row r="1722" spans="1:4" x14ac:dyDescent="0.25">
      <c r="A1722" t="str">
        <f>"101694"</f>
        <v>101694</v>
      </c>
      <c r="B1722" t="s">
        <v>1690</v>
      </c>
      <c r="D1722" s="15" t="s">
        <v>438</v>
      </c>
    </row>
    <row r="1723" spans="1:4" x14ac:dyDescent="0.25">
      <c r="A1723" t="str">
        <f>"101695"</f>
        <v>101695</v>
      </c>
      <c r="B1723" t="s">
        <v>1691</v>
      </c>
      <c r="D1723" s="15" t="s">
        <v>619</v>
      </c>
    </row>
    <row r="1724" spans="1:4" x14ac:dyDescent="0.25">
      <c r="A1724" t="str">
        <f>"101696"</f>
        <v>101696</v>
      </c>
      <c r="B1724" t="s">
        <v>1692</v>
      </c>
      <c r="D1724" s="15" t="s">
        <v>1897</v>
      </c>
    </row>
    <row r="1725" spans="1:4" x14ac:dyDescent="0.25">
      <c r="A1725" t="str">
        <f>"101697"</f>
        <v>101697</v>
      </c>
      <c r="B1725" t="s">
        <v>1693</v>
      </c>
      <c r="D1725" s="15" t="s">
        <v>1712</v>
      </c>
    </row>
    <row r="1726" spans="1:4" x14ac:dyDescent="0.25">
      <c r="A1726" t="str">
        <f>"101698"</f>
        <v>101698</v>
      </c>
      <c r="B1726" t="s">
        <v>1694</v>
      </c>
      <c r="D1726" s="15" t="s">
        <v>2155</v>
      </c>
    </row>
    <row r="1727" spans="1:4" x14ac:dyDescent="0.25">
      <c r="A1727" t="str">
        <f>"101699"</f>
        <v>101699</v>
      </c>
      <c r="B1727" t="s">
        <v>1695</v>
      </c>
      <c r="D1727" s="15" t="s">
        <v>1750</v>
      </c>
    </row>
    <row r="1728" spans="1:4" x14ac:dyDescent="0.25">
      <c r="A1728" t="str">
        <f>"101700"</f>
        <v>101700</v>
      </c>
      <c r="B1728" t="s">
        <v>1696</v>
      </c>
      <c r="D1728" s="15" t="s">
        <v>1460</v>
      </c>
    </row>
    <row r="1729" spans="1:4" x14ac:dyDescent="0.25">
      <c r="A1729" t="str">
        <f>"101701"</f>
        <v>101701</v>
      </c>
      <c r="B1729" t="s">
        <v>1697</v>
      </c>
      <c r="D1729" s="15" t="s">
        <v>145</v>
      </c>
    </row>
    <row r="1730" spans="1:4" x14ac:dyDescent="0.25">
      <c r="A1730" t="str">
        <f>"101702"</f>
        <v>101702</v>
      </c>
      <c r="B1730" t="s">
        <v>1698</v>
      </c>
      <c r="D1730" s="15" t="s">
        <v>143</v>
      </c>
    </row>
    <row r="1731" spans="1:4" x14ac:dyDescent="0.25">
      <c r="A1731" t="str">
        <f>"101703"</f>
        <v>101703</v>
      </c>
      <c r="B1731" t="s">
        <v>1699</v>
      </c>
      <c r="D1731" s="15" t="s">
        <v>2447</v>
      </c>
    </row>
    <row r="1732" spans="1:4" x14ac:dyDescent="0.25">
      <c r="A1732" t="str">
        <f>"101704"</f>
        <v>101704</v>
      </c>
      <c r="B1732" t="s">
        <v>1700</v>
      </c>
      <c r="D1732" s="15" t="s">
        <v>2261</v>
      </c>
    </row>
    <row r="1733" spans="1:4" x14ac:dyDescent="0.25">
      <c r="A1733" t="str">
        <f>"101705"</f>
        <v>101705</v>
      </c>
      <c r="B1733" t="s">
        <v>1701</v>
      </c>
      <c r="D1733" s="15" t="s">
        <v>697</v>
      </c>
    </row>
    <row r="1734" spans="1:4" x14ac:dyDescent="0.25">
      <c r="A1734" t="str">
        <f>"101706"</f>
        <v>101706</v>
      </c>
      <c r="B1734" t="s">
        <v>1702</v>
      </c>
      <c r="D1734" s="15" t="s">
        <v>1577</v>
      </c>
    </row>
    <row r="1735" spans="1:4" x14ac:dyDescent="0.25">
      <c r="A1735" t="str">
        <f>"101707"</f>
        <v>101707</v>
      </c>
      <c r="B1735" t="s">
        <v>1703</v>
      </c>
      <c r="D1735" s="15" t="s">
        <v>2052</v>
      </c>
    </row>
    <row r="1736" spans="1:4" x14ac:dyDescent="0.25">
      <c r="A1736" t="str">
        <f>"101708"</f>
        <v>101708</v>
      </c>
      <c r="B1736" t="s">
        <v>1704</v>
      </c>
      <c r="D1736" s="15" t="s">
        <v>52</v>
      </c>
    </row>
    <row r="1737" spans="1:4" x14ac:dyDescent="0.25">
      <c r="A1737" t="str">
        <f>"101709"</f>
        <v>101709</v>
      </c>
      <c r="B1737" t="s">
        <v>1705</v>
      </c>
      <c r="D1737" s="15" t="s">
        <v>2142</v>
      </c>
    </row>
    <row r="1738" spans="1:4" x14ac:dyDescent="0.25">
      <c r="A1738" t="str">
        <f>"101710"</f>
        <v>101710</v>
      </c>
      <c r="B1738" t="s">
        <v>1706</v>
      </c>
      <c r="D1738" s="15" t="s">
        <v>169</v>
      </c>
    </row>
    <row r="1739" spans="1:4" x14ac:dyDescent="0.25">
      <c r="A1739" t="str">
        <f>"101711"</f>
        <v>101711</v>
      </c>
      <c r="B1739" t="s">
        <v>1707</v>
      </c>
      <c r="D1739" s="15" t="s">
        <v>439</v>
      </c>
    </row>
    <row r="1740" spans="1:4" x14ac:dyDescent="0.25">
      <c r="A1740" t="str">
        <f>"101712"</f>
        <v>101712</v>
      </c>
      <c r="B1740" t="s">
        <v>1708</v>
      </c>
      <c r="D1740" s="15" t="s">
        <v>1595</v>
      </c>
    </row>
    <row r="1741" spans="1:4" x14ac:dyDescent="0.25">
      <c r="A1741" t="str">
        <f>"101713"</f>
        <v>101713</v>
      </c>
      <c r="B1741" t="s">
        <v>1709</v>
      </c>
      <c r="D1741" s="15" t="s">
        <v>1509</v>
      </c>
    </row>
    <row r="1742" spans="1:4" x14ac:dyDescent="0.25">
      <c r="A1742" t="str">
        <f>"101714"</f>
        <v>101714</v>
      </c>
      <c r="B1742" t="s">
        <v>1710</v>
      </c>
      <c r="D1742" s="15" t="s">
        <v>2058</v>
      </c>
    </row>
    <row r="1743" spans="1:4" x14ac:dyDescent="0.25">
      <c r="A1743" t="str">
        <f>"101715"</f>
        <v>101715</v>
      </c>
      <c r="B1743" t="s">
        <v>1711</v>
      </c>
      <c r="D1743" s="15" t="s">
        <v>1834</v>
      </c>
    </row>
    <row r="1744" spans="1:4" x14ac:dyDescent="0.25">
      <c r="A1744" t="str">
        <f>"101716"</f>
        <v>101716</v>
      </c>
      <c r="B1744" t="s">
        <v>1712</v>
      </c>
      <c r="D1744" s="15" t="s">
        <v>1927</v>
      </c>
    </row>
    <row r="1745" spans="1:4" x14ac:dyDescent="0.25">
      <c r="A1745" t="str">
        <f>"101717"</f>
        <v>101717</v>
      </c>
      <c r="B1745" t="s">
        <v>1713</v>
      </c>
      <c r="D1745" s="15" t="s">
        <v>2444</v>
      </c>
    </row>
    <row r="1746" spans="1:4" x14ac:dyDescent="0.25">
      <c r="A1746" t="str">
        <f>"101718"</f>
        <v>101718</v>
      </c>
      <c r="B1746" t="s">
        <v>1714</v>
      </c>
      <c r="D1746" s="15" t="s">
        <v>2580</v>
      </c>
    </row>
    <row r="1747" spans="1:4" x14ac:dyDescent="0.25">
      <c r="A1747" t="str">
        <f>"101719"</f>
        <v>101719</v>
      </c>
      <c r="B1747" t="s">
        <v>1715</v>
      </c>
      <c r="D1747" s="15" t="s">
        <v>2473</v>
      </c>
    </row>
    <row r="1748" spans="1:4" x14ac:dyDescent="0.25">
      <c r="A1748" t="str">
        <f>"101720"</f>
        <v>101720</v>
      </c>
      <c r="B1748" t="s">
        <v>1716</v>
      </c>
      <c r="D1748" s="15" t="s">
        <v>1462</v>
      </c>
    </row>
    <row r="1749" spans="1:4" x14ac:dyDescent="0.25">
      <c r="A1749" t="str">
        <f>"101721"</f>
        <v>101721</v>
      </c>
      <c r="B1749" t="s">
        <v>1717</v>
      </c>
      <c r="D1749" s="15" t="s">
        <v>991</v>
      </c>
    </row>
    <row r="1750" spans="1:4" x14ac:dyDescent="0.25">
      <c r="A1750" t="str">
        <f>"101722"</f>
        <v>101722</v>
      </c>
      <c r="B1750" t="s">
        <v>1718</v>
      </c>
      <c r="D1750" s="15" t="s">
        <v>876</v>
      </c>
    </row>
    <row r="1751" spans="1:4" x14ac:dyDescent="0.25">
      <c r="A1751" t="str">
        <f>"101723"</f>
        <v>101723</v>
      </c>
      <c r="B1751" t="s">
        <v>1719</v>
      </c>
      <c r="D1751" s="15" t="s">
        <v>843</v>
      </c>
    </row>
    <row r="1752" spans="1:4" x14ac:dyDescent="0.25">
      <c r="A1752" t="str">
        <f>"101724"</f>
        <v>101724</v>
      </c>
      <c r="B1752" t="s">
        <v>1720</v>
      </c>
      <c r="D1752" s="15" t="s">
        <v>2590</v>
      </c>
    </row>
    <row r="1753" spans="1:4" x14ac:dyDescent="0.25">
      <c r="A1753" t="str">
        <f>"101725"</f>
        <v>101725</v>
      </c>
      <c r="B1753" t="s">
        <v>1721</v>
      </c>
      <c r="D1753" s="15" t="s">
        <v>1324</v>
      </c>
    </row>
    <row r="1754" spans="1:4" x14ac:dyDescent="0.25">
      <c r="A1754" t="str">
        <f>"101726"</f>
        <v>101726</v>
      </c>
      <c r="B1754" t="s">
        <v>1722</v>
      </c>
      <c r="D1754" s="15" t="s">
        <v>1276</v>
      </c>
    </row>
    <row r="1755" spans="1:4" x14ac:dyDescent="0.25">
      <c r="A1755" t="str">
        <f>"101727"</f>
        <v>101727</v>
      </c>
      <c r="B1755" t="s">
        <v>1723</v>
      </c>
      <c r="D1755" s="15" t="s">
        <v>2281</v>
      </c>
    </row>
    <row r="1756" spans="1:4" x14ac:dyDescent="0.25">
      <c r="A1756" t="str">
        <f>"101728"</f>
        <v>101728</v>
      </c>
      <c r="B1756" t="s">
        <v>1724</v>
      </c>
      <c r="D1756" s="15" t="s">
        <v>981</v>
      </c>
    </row>
    <row r="1757" spans="1:4" x14ac:dyDescent="0.25">
      <c r="A1757" t="str">
        <f>"101729"</f>
        <v>101729</v>
      </c>
      <c r="B1757" t="s">
        <v>1725</v>
      </c>
      <c r="D1757" s="15" t="s">
        <v>1580</v>
      </c>
    </row>
    <row r="1758" spans="1:4" x14ac:dyDescent="0.25">
      <c r="A1758" t="str">
        <f>"101730"</f>
        <v>101730</v>
      </c>
      <c r="B1758" t="s">
        <v>1726</v>
      </c>
      <c r="D1758" s="15" t="s">
        <v>1679</v>
      </c>
    </row>
    <row r="1759" spans="1:4" x14ac:dyDescent="0.25">
      <c r="A1759" t="str">
        <f>"101731"</f>
        <v>101731</v>
      </c>
      <c r="B1759" t="s">
        <v>1727</v>
      </c>
      <c r="D1759" s="15" t="s">
        <v>2166</v>
      </c>
    </row>
    <row r="1760" spans="1:4" x14ac:dyDescent="0.25">
      <c r="A1760" t="str">
        <f>"101732"</f>
        <v>101732</v>
      </c>
      <c r="B1760" t="s">
        <v>1728</v>
      </c>
      <c r="D1760" s="15" t="s">
        <v>1134</v>
      </c>
    </row>
    <row r="1761" spans="1:4" x14ac:dyDescent="0.25">
      <c r="A1761" t="str">
        <f>"101733"</f>
        <v>101733</v>
      </c>
      <c r="B1761" t="s">
        <v>1729</v>
      </c>
      <c r="D1761" s="15" t="s">
        <v>2050</v>
      </c>
    </row>
    <row r="1762" spans="1:4" x14ac:dyDescent="0.25">
      <c r="A1762" t="str">
        <f>"101734"</f>
        <v>101734</v>
      </c>
      <c r="B1762" t="s">
        <v>1730</v>
      </c>
      <c r="D1762" s="15" t="s">
        <v>1045</v>
      </c>
    </row>
    <row r="1763" spans="1:4" x14ac:dyDescent="0.25">
      <c r="A1763" t="str">
        <f>"101735"</f>
        <v>101735</v>
      </c>
      <c r="B1763" t="s">
        <v>1731</v>
      </c>
      <c r="D1763" s="15" t="s">
        <v>1411</v>
      </c>
    </row>
    <row r="1764" spans="1:4" x14ac:dyDescent="0.25">
      <c r="A1764" t="str">
        <f>"101736"</f>
        <v>101736</v>
      </c>
      <c r="B1764" t="s">
        <v>1732</v>
      </c>
      <c r="D1764" s="15" t="s">
        <v>39</v>
      </c>
    </row>
    <row r="1765" spans="1:4" x14ac:dyDescent="0.25">
      <c r="A1765" t="str">
        <f>"101737"</f>
        <v>101737</v>
      </c>
      <c r="B1765" t="s">
        <v>1733</v>
      </c>
      <c r="D1765" s="15" t="s">
        <v>1997</v>
      </c>
    </row>
    <row r="1766" spans="1:4" x14ac:dyDescent="0.25">
      <c r="A1766" t="str">
        <f>"101738"</f>
        <v>101738</v>
      </c>
      <c r="B1766" t="s">
        <v>1734</v>
      </c>
      <c r="D1766" s="15" t="s">
        <v>2637</v>
      </c>
    </row>
    <row r="1767" spans="1:4" x14ac:dyDescent="0.25">
      <c r="A1767" t="str">
        <f>"101739"</f>
        <v>101739</v>
      </c>
      <c r="B1767" t="s">
        <v>1735</v>
      </c>
      <c r="D1767" s="15" t="s">
        <v>178</v>
      </c>
    </row>
    <row r="1768" spans="1:4" x14ac:dyDescent="0.25">
      <c r="A1768" t="str">
        <f>"101740"</f>
        <v>101740</v>
      </c>
      <c r="B1768" t="s">
        <v>1736</v>
      </c>
      <c r="D1768" s="15" t="s">
        <v>743</v>
      </c>
    </row>
    <row r="1769" spans="1:4" x14ac:dyDescent="0.25">
      <c r="A1769" t="str">
        <f>"101741"</f>
        <v>101741</v>
      </c>
      <c r="B1769" t="s">
        <v>1737</v>
      </c>
      <c r="D1769" s="15" t="s">
        <v>2134</v>
      </c>
    </row>
    <row r="1770" spans="1:4" x14ac:dyDescent="0.25">
      <c r="A1770" t="str">
        <f>"101742"</f>
        <v>101742</v>
      </c>
      <c r="B1770" t="s">
        <v>1738</v>
      </c>
      <c r="D1770" s="15" t="s">
        <v>837</v>
      </c>
    </row>
    <row r="1771" spans="1:4" x14ac:dyDescent="0.25">
      <c r="A1771" t="str">
        <f>"101743"</f>
        <v>101743</v>
      </c>
      <c r="B1771" t="s">
        <v>1739</v>
      </c>
      <c r="D1771" s="15" t="s">
        <v>1705</v>
      </c>
    </row>
    <row r="1772" spans="1:4" x14ac:dyDescent="0.25">
      <c r="A1772" t="str">
        <f>"101744"</f>
        <v>101744</v>
      </c>
      <c r="B1772" t="s">
        <v>1740</v>
      </c>
      <c r="D1772" s="15" t="s">
        <v>2495</v>
      </c>
    </row>
    <row r="1773" spans="1:4" x14ac:dyDescent="0.25">
      <c r="A1773" t="str">
        <f>"101745"</f>
        <v>101745</v>
      </c>
      <c r="B1773" t="s">
        <v>1741</v>
      </c>
      <c r="D1773" s="15" t="s">
        <v>519</v>
      </c>
    </row>
    <row r="1774" spans="1:4" x14ac:dyDescent="0.25">
      <c r="A1774" t="str">
        <f>"101746"</f>
        <v>101746</v>
      </c>
      <c r="B1774" t="s">
        <v>1742</v>
      </c>
      <c r="D1774" s="15" t="s">
        <v>1135</v>
      </c>
    </row>
    <row r="1775" spans="1:4" x14ac:dyDescent="0.25">
      <c r="A1775" t="str">
        <f>"101747"</f>
        <v>101747</v>
      </c>
      <c r="B1775" t="s">
        <v>1743</v>
      </c>
      <c r="D1775" s="15" t="s">
        <v>1568</v>
      </c>
    </row>
    <row r="1776" spans="1:4" x14ac:dyDescent="0.25">
      <c r="A1776" t="str">
        <f>"101748"</f>
        <v>101748</v>
      </c>
      <c r="B1776" t="s">
        <v>1744</v>
      </c>
      <c r="D1776" s="15" t="s">
        <v>1362</v>
      </c>
    </row>
    <row r="1777" spans="1:4" x14ac:dyDescent="0.25">
      <c r="A1777" t="str">
        <f>"101749"</f>
        <v>101749</v>
      </c>
      <c r="B1777" t="s">
        <v>1745</v>
      </c>
      <c r="D1777" s="15" t="s">
        <v>440</v>
      </c>
    </row>
    <row r="1778" spans="1:4" x14ac:dyDescent="0.25">
      <c r="A1778" t="str">
        <f>"101750"</f>
        <v>101750</v>
      </c>
      <c r="B1778" t="s">
        <v>1746</v>
      </c>
      <c r="D1778" s="15" t="s">
        <v>2349</v>
      </c>
    </row>
    <row r="1779" spans="1:4" x14ac:dyDescent="0.25">
      <c r="A1779" t="str">
        <f>"101751"</f>
        <v>101751</v>
      </c>
      <c r="B1779" t="s">
        <v>1747</v>
      </c>
      <c r="D1779" s="15" t="s">
        <v>1638</v>
      </c>
    </row>
    <row r="1780" spans="1:4" x14ac:dyDescent="0.25">
      <c r="A1780" t="str">
        <f>"101752"</f>
        <v>101752</v>
      </c>
      <c r="B1780" t="s">
        <v>1748</v>
      </c>
      <c r="D1780" s="15" t="s">
        <v>2578</v>
      </c>
    </row>
    <row r="1781" spans="1:4" x14ac:dyDescent="0.25">
      <c r="A1781" t="str">
        <f>"101753"</f>
        <v>101753</v>
      </c>
      <c r="B1781" t="s">
        <v>1749</v>
      </c>
      <c r="D1781" s="15" t="s">
        <v>2359</v>
      </c>
    </row>
    <row r="1782" spans="1:4" x14ac:dyDescent="0.25">
      <c r="A1782" t="str">
        <f>"101754"</f>
        <v>101754</v>
      </c>
      <c r="B1782" t="s">
        <v>1750</v>
      </c>
      <c r="D1782" s="15" t="s">
        <v>1444</v>
      </c>
    </row>
    <row r="1783" spans="1:4" x14ac:dyDescent="0.25">
      <c r="A1783" t="str">
        <f>"101755"</f>
        <v>101755</v>
      </c>
      <c r="B1783" t="s">
        <v>1751</v>
      </c>
      <c r="D1783" s="15" t="s">
        <v>2525</v>
      </c>
    </row>
    <row r="1784" spans="1:4" x14ac:dyDescent="0.25">
      <c r="A1784" t="str">
        <f>"101756"</f>
        <v>101756</v>
      </c>
      <c r="B1784" t="s">
        <v>1752</v>
      </c>
      <c r="D1784" s="15" t="s">
        <v>2160</v>
      </c>
    </row>
    <row r="1785" spans="1:4" x14ac:dyDescent="0.25">
      <c r="A1785" t="str">
        <f>"101757"</f>
        <v>101757</v>
      </c>
      <c r="B1785" t="s">
        <v>1753</v>
      </c>
      <c r="D1785" s="15" t="s">
        <v>2650</v>
      </c>
    </row>
    <row r="1786" spans="1:4" x14ac:dyDescent="0.25">
      <c r="A1786" t="str">
        <f>"101758"</f>
        <v>101758</v>
      </c>
      <c r="B1786" t="s">
        <v>1754</v>
      </c>
      <c r="D1786" s="15" t="s">
        <v>2494</v>
      </c>
    </row>
    <row r="1787" spans="1:4" x14ac:dyDescent="0.25">
      <c r="A1787" t="str">
        <f>"101759"</f>
        <v>101759</v>
      </c>
      <c r="B1787" t="s">
        <v>1755</v>
      </c>
      <c r="D1787" s="15" t="s">
        <v>2289</v>
      </c>
    </row>
    <row r="1788" spans="1:4" x14ac:dyDescent="0.25">
      <c r="A1788" t="str">
        <f>"101760"</f>
        <v>101760</v>
      </c>
      <c r="B1788" t="s">
        <v>1756</v>
      </c>
      <c r="D1788" s="15" t="s">
        <v>2396</v>
      </c>
    </row>
    <row r="1789" spans="1:4" x14ac:dyDescent="0.25">
      <c r="A1789" t="str">
        <f>"101761"</f>
        <v>101761</v>
      </c>
      <c r="B1789" t="s">
        <v>1757</v>
      </c>
      <c r="D1789" s="15" t="s">
        <v>2501</v>
      </c>
    </row>
    <row r="1790" spans="1:4" x14ac:dyDescent="0.25">
      <c r="A1790" t="str">
        <f>"101762"</f>
        <v>101762</v>
      </c>
      <c r="B1790" t="s">
        <v>1758</v>
      </c>
      <c r="D1790" s="15" t="s">
        <v>136</v>
      </c>
    </row>
    <row r="1791" spans="1:4" x14ac:dyDescent="0.25">
      <c r="A1791" t="str">
        <f>"101763"</f>
        <v>101763</v>
      </c>
      <c r="B1791" t="s">
        <v>1759</v>
      </c>
      <c r="D1791" s="15" t="s">
        <v>42</v>
      </c>
    </row>
    <row r="1792" spans="1:4" x14ac:dyDescent="0.25">
      <c r="A1792" t="str">
        <f>"101764"</f>
        <v>101764</v>
      </c>
      <c r="B1792" t="s">
        <v>1760</v>
      </c>
      <c r="D1792" s="15" t="s">
        <v>943</v>
      </c>
    </row>
    <row r="1793" spans="1:4" x14ac:dyDescent="0.25">
      <c r="A1793" t="str">
        <f>"101765"</f>
        <v>101765</v>
      </c>
      <c r="B1793" t="s">
        <v>1761</v>
      </c>
      <c r="D1793" s="15" t="s">
        <v>1943</v>
      </c>
    </row>
    <row r="1794" spans="1:4" x14ac:dyDescent="0.25">
      <c r="A1794" t="str">
        <f>"101766"</f>
        <v>101766</v>
      </c>
      <c r="B1794" t="s">
        <v>1762</v>
      </c>
      <c r="D1794" s="15" t="s">
        <v>1483</v>
      </c>
    </row>
    <row r="1795" spans="1:4" x14ac:dyDescent="0.25">
      <c r="A1795" t="str">
        <f>"101767"</f>
        <v>101767</v>
      </c>
      <c r="B1795" t="s">
        <v>1763</v>
      </c>
      <c r="D1795" s="15" t="s">
        <v>809</v>
      </c>
    </row>
    <row r="1796" spans="1:4" x14ac:dyDescent="0.25">
      <c r="A1796" t="str">
        <f>"101768"</f>
        <v>101768</v>
      </c>
      <c r="B1796" t="s">
        <v>1764</v>
      </c>
      <c r="D1796" s="15" t="s">
        <v>2122</v>
      </c>
    </row>
    <row r="1797" spans="1:4" x14ac:dyDescent="0.25">
      <c r="A1797" t="str">
        <f>"101769"</f>
        <v>101769</v>
      </c>
      <c r="B1797" t="s">
        <v>1765</v>
      </c>
      <c r="D1797" s="15" t="s">
        <v>1133</v>
      </c>
    </row>
    <row r="1798" spans="1:4" x14ac:dyDescent="0.25">
      <c r="A1798" t="str">
        <f>"101770"</f>
        <v>101770</v>
      </c>
      <c r="B1798" t="s">
        <v>1766</v>
      </c>
      <c r="D1798" s="15" t="s">
        <v>46</v>
      </c>
    </row>
    <row r="1799" spans="1:4" x14ac:dyDescent="0.25">
      <c r="A1799" t="str">
        <f>"101771"</f>
        <v>101771</v>
      </c>
      <c r="B1799" t="s">
        <v>1767</v>
      </c>
      <c r="D1799" s="15" t="s">
        <v>1142</v>
      </c>
    </row>
    <row r="1800" spans="1:4" x14ac:dyDescent="0.25">
      <c r="A1800" t="str">
        <f>"101772"</f>
        <v>101772</v>
      </c>
      <c r="B1800" t="s">
        <v>1768</v>
      </c>
      <c r="D1800" s="15" t="s">
        <v>2737</v>
      </c>
    </row>
    <row r="1801" spans="1:4" x14ac:dyDescent="0.25">
      <c r="A1801" t="str">
        <f>"101773"</f>
        <v>101773</v>
      </c>
      <c r="B1801" t="s">
        <v>1769</v>
      </c>
      <c r="D1801" s="15" t="s">
        <v>675</v>
      </c>
    </row>
    <row r="1802" spans="1:4" x14ac:dyDescent="0.25">
      <c r="A1802" t="str">
        <f>"101774"</f>
        <v>101774</v>
      </c>
      <c r="B1802" t="s">
        <v>1770</v>
      </c>
      <c r="D1802" s="15" t="s">
        <v>836</v>
      </c>
    </row>
    <row r="1803" spans="1:4" x14ac:dyDescent="0.25">
      <c r="A1803" t="str">
        <f>"101775"</f>
        <v>101775</v>
      </c>
      <c r="B1803" t="s">
        <v>1771</v>
      </c>
      <c r="D1803" s="15" t="s">
        <v>1381</v>
      </c>
    </row>
    <row r="1804" spans="1:4" x14ac:dyDescent="0.25">
      <c r="A1804" t="str">
        <f>"101776"</f>
        <v>101776</v>
      </c>
      <c r="B1804" t="s">
        <v>1772</v>
      </c>
      <c r="D1804" s="15" t="s">
        <v>43</v>
      </c>
    </row>
    <row r="1805" spans="1:4" x14ac:dyDescent="0.25">
      <c r="A1805" t="str">
        <f>"101777"</f>
        <v>101777</v>
      </c>
      <c r="B1805" t="s">
        <v>1773</v>
      </c>
      <c r="D1805" s="15" t="s">
        <v>689</v>
      </c>
    </row>
    <row r="1806" spans="1:4" x14ac:dyDescent="0.25">
      <c r="A1806" t="str">
        <f>"101778"</f>
        <v>101778</v>
      </c>
      <c r="B1806" t="s">
        <v>1774</v>
      </c>
      <c r="D1806" s="15" t="s">
        <v>1822</v>
      </c>
    </row>
    <row r="1807" spans="1:4" x14ac:dyDescent="0.25">
      <c r="A1807" t="str">
        <f>"101779"</f>
        <v>101779</v>
      </c>
      <c r="B1807" t="s">
        <v>1775</v>
      </c>
      <c r="D1807" s="15" t="s">
        <v>1545</v>
      </c>
    </row>
    <row r="1808" spans="1:4" x14ac:dyDescent="0.25">
      <c r="A1808" t="str">
        <f>"101780"</f>
        <v>101780</v>
      </c>
      <c r="B1808" t="s">
        <v>1776</v>
      </c>
      <c r="D1808" s="15" t="s">
        <v>2214</v>
      </c>
    </row>
    <row r="1809" spans="1:4" x14ac:dyDescent="0.25">
      <c r="A1809" t="str">
        <f>"101781"</f>
        <v>101781</v>
      </c>
      <c r="B1809" t="s">
        <v>1777</v>
      </c>
      <c r="D1809" s="15" t="s">
        <v>1083</v>
      </c>
    </row>
    <row r="1810" spans="1:4" x14ac:dyDescent="0.25">
      <c r="A1810" t="str">
        <f>"101782"</f>
        <v>101782</v>
      </c>
      <c r="B1810" t="s">
        <v>1778</v>
      </c>
      <c r="D1810" s="15" t="s">
        <v>587</v>
      </c>
    </row>
    <row r="1811" spans="1:4" x14ac:dyDescent="0.25">
      <c r="A1811" t="str">
        <f>"101783"</f>
        <v>101783</v>
      </c>
      <c r="B1811" t="s">
        <v>1779</v>
      </c>
      <c r="D1811" s="15" t="s">
        <v>1284</v>
      </c>
    </row>
    <row r="1812" spans="1:4" x14ac:dyDescent="0.25">
      <c r="A1812" t="str">
        <f>"101784"</f>
        <v>101784</v>
      </c>
      <c r="B1812" t="s">
        <v>1780</v>
      </c>
      <c r="D1812" s="15" t="s">
        <v>577</v>
      </c>
    </row>
    <row r="1813" spans="1:4" x14ac:dyDescent="0.25">
      <c r="A1813" t="str">
        <f>"101785"</f>
        <v>101785</v>
      </c>
      <c r="B1813" t="s">
        <v>1781</v>
      </c>
      <c r="D1813" s="15" t="s">
        <v>2405</v>
      </c>
    </row>
    <row r="1814" spans="1:4" x14ac:dyDescent="0.25">
      <c r="A1814" t="str">
        <f>"101786"</f>
        <v>101786</v>
      </c>
      <c r="B1814" t="s">
        <v>1782</v>
      </c>
      <c r="D1814" s="15" t="s">
        <v>1402</v>
      </c>
    </row>
    <row r="1815" spans="1:4" x14ac:dyDescent="0.25">
      <c r="A1815" t="str">
        <f>"101787"</f>
        <v>101787</v>
      </c>
      <c r="B1815" t="s">
        <v>1783</v>
      </c>
      <c r="D1815" s="15" t="s">
        <v>2020</v>
      </c>
    </row>
    <row r="1816" spans="1:4" x14ac:dyDescent="0.25">
      <c r="A1816" t="str">
        <f>"101788"</f>
        <v>101788</v>
      </c>
      <c r="B1816" t="s">
        <v>1784</v>
      </c>
      <c r="D1816" s="15" t="s">
        <v>36</v>
      </c>
    </row>
    <row r="1817" spans="1:4" x14ac:dyDescent="0.25">
      <c r="A1817" t="str">
        <f>"101789"</f>
        <v>101789</v>
      </c>
      <c r="B1817" t="s">
        <v>1785</v>
      </c>
      <c r="D1817" s="15" t="s">
        <v>2287</v>
      </c>
    </row>
    <row r="1818" spans="1:4" x14ac:dyDescent="0.25">
      <c r="A1818" t="str">
        <f>"101790"</f>
        <v>101790</v>
      </c>
      <c r="B1818" t="s">
        <v>1786</v>
      </c>
      <c r="D1818" s="15" t="s">
        <v>180</v>
      </c>
    </row>
    <row r="1819" spans="1:4" x14ac:dyDescent="0.25">
      <c r="A1819" t="str">
        <f>"101791"</f>
        <v>101791</v>
      </c>
      <c r="B1819" t="s">
        <v>1787</v>
      </c>
      <c r="D1819" s="15" t="s">
        <v>442</v>
      </c>
    </row>
    <row r="1820" spans="1:4" x14ac:dyDescent="0.25">
      <c r="A1820" t="str">
        <f>"101792"</f>
        <v>101792</v>
      </c>
      <c r="B1820" t="s">
        <v>1788</v>
      </c>
      <c r="D1820" s="15" t="s">
        <v>1637</v>
      </c>
    </row>
    <row r="1821" spans="1:4" x14ac:dyDescent="0.25">
      <c r="A1821" t="str">
        <f>"101793"</f>
        <v>101793</v>
      </c>
      <c r="B1821" t="s">
        <v>1789</v>
      </c>
      <c r="D1821" s="15" t="s">
        <v>1865</v>
      </c>
    </row>
    <row r="1822" spans="1:4" x14ac:dyDescent="0.25">
      <c r="A1822" t="str">
        <f>"101794"</f>
        <v>101794</v>
      </c>
      <c r="B1822" t="s">
        <v>1790</v>
      </c>
      <c r="D1822" s="15" t="s">
        <v>2623</v>
      </c>
    </row>
    <row r="1823" spans="1:4" x14ac:dyDescent="0.25">
      <c r="A1823" t="str">
        <f>"101795"</f>
        <v>101795</v>
      </c>
      <c r="B1823" t="s">
        <v>1791</v>
      </c>
      <c r="D1823" s="15" t="s">
        <v>2822</v>
      </c>
    </row>
    <row r="1824" spans="1:4" x14ac:dyDescent="0.25">
      <c r="A1824" t="str">
        <f>"101796"</f>
        <v>101796</v>
      </c>
      <c r="B1824" t="s">
        <v>1792</v>
      </c>
      <c r="D1824" s="15" t="s">
        <v>2363</v>
      </c>
    </row>
    <row r="1825" spans="1:4" x14ac:dyDescent="0.25">
      <c r="A1825" t="str">
        <f>"101797"</f>
        <v>101797</v>
      </c>
      <c r="B1825" t="s">
        <v>1793</v>
      </c>
      <c r="D1825" s="15" t="s">
        <v>2713</v>
      </c>
    </row>
    <row r="1826" spans="1:4" x14ac:dyDescent="0.25">
      <c r="A1826" t="str">
        <f>"101798"</f>
        <v>101798</v>
      </c>
      <c r="B1826" t="s">
        <v>1794</v>
      </c>
      <c r="D1826" s="15" t="s">
        <v>2319</v>
      </c>
    </row>
    <row r="1827" spans="1:4" x14ac:dyDescent="0.25">
      <c r="A1827" t="str">
        <f>"101799"</f>
        <v>101799</v>
      </c>
      <c r="B1827" t="s">
        <v>1795</v>
      </c>
      <c r="D1827" s="15" t="s">
        <v>2735</v>
      </c>
    </row>
    <row r="1828" spans="1:4" x14ac:dyDescent="0.25">
      <c r="A1828" t="str">
        <f>"101800"</f>
        <v>101800</v>
      </c>
      <c r="B1828" t="s">
        <v>1796</v>
      </c>
      <c r="D1828" s="15" t="s">
        <v>2587</v>
      </c>
    </row>
    <row r="1829" spans="1:4" x14ac:dyDescent="0.25">
      <c r="A1829" t="str">
        <f>"101801"</f>
        <v>101801</v>
      </c>
      <c r="B1829" t="s">
        <v>1797</v>
      </c>
      <c r="D1829" s="15" t="s">
        <v>2608</v>
      </c>
    </row>
    <row r="1830" spans="1:4" x14ac:dyDescent="0.25">
      <c r="A1830" t="str">
        <f>"101802"</f>
        <v>101802</v>
      </c>
      <c r="B1830" t="s">
        <v>1798</v>
      </c>
      <c r="D1830" s="15" t="s">
        <v>1815</v>
      </c>
    </row>
    <row r="1831" spans="1:4" x14ac:dyDescent="0.25">
      <c r="A1831" t="str">
        <f>"101803"</f>
        <v>101803</v>
      </c>
      <c r="B1831" t="s">
        <v>1799</v>
      </c>
      <c r="D1831" s="15" t="s">
        <v>443</v>
      </c>
    </row>
    <row r="1832" spans="1:4" x14ac:dyDescent="0.25">
      <c r="A1832" t="str">
        <f>"101804"</f>
        <v>101804</v>
      </c>
      <c r="B1832" t="s">
        <v>1800</v>
      </c>
      <c r="D1832" s="15" t="s">
        <v>1690</v>
      </c>
    </row>
    <row r="1833" spans="1:4" x14ac:dyDescent="0.25">
      <c r="A1833" t="str">
        <f>"101805"</f>
        <v>101805</v>
      </c>
      <c r="B1833" t="s">
        <v>1801</v>
      </c>
      <c r="D1833" s="15" t="s">
        <v>650</v>
      </c>
    </row>
    <row r="1834" spans="1:4" x14ac:dyDescent="0.25">
      <c r="A1834" t="str">
        <f>"101806"</f>
        <v>101806</v>
      </c>
      <c r="B1834" t="s">
        <v>1802</v>
      </c>
      <c r="D1834" s="15" t="s">
        <v>2461</v>
      </c>
    </row>
    <row r="1835" spans="1:4" x14ac:dyDescent="0.25">
      <c r="A1835" t="str">
        <f>"101807"</f>
        <v>101807</v>
      </c>
      <c r="B1835" t="s">
        <v>1803</v>
      </c>
      <c r="D1835" s="15" t="s">
        <v>6</v>
      </c>
    </row>
    <row r="1836" spans="1:4" x14ac:dyDescent="0.25">
      <c r="A1836" t="str">
        <f>"101808"</f>
        <v>101808</v>
      </c>
      <c r="B1836" t="s">
        <v>1804</v>
      </c>
      <c r="D1836" s="15" t="s">
        <v>1388</v>
      </c>
    </row>
    <row r="1837" spans="1:4" x14ac:dyDescent="0.25">
      <c r="A1837" t="str">
        <f>"101809"</f>
        <v>101809</v>
      </c>
      <c r="B1837" t="s">
        <v>1805</v>
      </c>
      <c r="D1837" s="15" t="s">
        <v>48</v>
      </c>
    </row>
    <row r="1838" spans="1:4" x14ac:dyDescent="0.25">
      <c r="A1838" t="str">
        <f>"101810"</f>
        <v>101810</v>
      </c>
      <c r="B1838" t="s">
        <v>1806</v>
      </c>
      <c r="D1838" s="15" t="s">
        <v>1452</v>
      </c>
    </row>
    <row r="1839" spans="1:4" x14ac:dyDescent="0.25">
      <c r="A1839" t="str">
        <f>"101811"</f>
        <v>101811</v>
      </c>
      <c r="B1839" t="s">
        <v>1807</v>
      </c>
      <c r="D1839" s="15" t="s">
        <v>2636</v>
      </c>
    </row>
    <row r="1840" spans="1:4" x14ac:dyDescent="0.25">
      <c r="A1840" t="str">
        <f>"101812"</f>
        <v>101812</v>
      </c>
      <c r="B1840" t="s">
        <v>1808</v>
      </c>
      <c r="D1840" s="15" t="s">
        <v>1160</v>
      </c>
    </row>
    <row r="1841" spans="1:4" x14ac:dyDescent="0.25">
      <c r="A1841" t="str">
        <f>"101813"</f>
        <v>101813</v>
      </c>
      <c r="B1841" t="s">
        <v>1809</v>
      </c>
      <c r="D1841" s="15" t="s">
        <v>1608</v>
      </c>
    </row>
    <row r="1842" spans="1:4" x14ac:dyDescent="0.25">
      <c r="A1842" t="str">
        <f>"101814"</f>
        <v>101814</v>
      </c>
      <c r="B1842" t="s">
        <v>1810</v>
      </c>
      <c r="D1842" s="15" t="s">
        <v>677</v>
      </c>
    </row>
    <row r="1843" spans="1:4" x14ac:dyDescent="0.25">
      <c r="A1843" t="str">
        <f>"101815"</f>
        <v>101815</v>
      </c>
      <c r="B1843" t="s">
        <v>1811</v>
      </c>
      <c r="D1843" s="15" t="s">
        <v>2746</v>
      </c>
    </row>
    <row r="1844" spans="1:4" x14ac:dyDescent="0.25">
      <c r="A1844" t="str">
        <f>"101816"</f>
        <v>101816</v>
      </c>
      <c r="B1844" t="s">
        <v>1812</v>
      </c>
      <c r="D1844" s="15" t="s">
        <v>664</v>
      </c>
    </row>
    <row r="1845" spans="1:4" x14ac:dyDescent="0.25">
      <c r="A1845" t="str">
        <f>"101817"</f>
        <v>101817</v>
      </c>
      <c r="B1845" t="s">
        <v>1813</v>
      </c>
      <c r="D1845" s="15" t="s">
        <v>2794</v>
      </c>
    </row>
    <row r="1846" spans="1:4" x14ac:dyDescent="0.25">
      <c r="A1846" t="str">
        <f>"101818"</f>
        <v>101818</v>
      </c>
      <c r="B1846" t="s">
        <v>1814</v>
      </c>
      <c r="D1846" s="15" t="s">
        <v>1066</v>
      </c>
    </row>
    <row r="1847" spans="1:4" x14ac:dyDescent="0.25">
      <c r="A1847" t="str">
        <f>"101819"</f>
        <v>101819</v>
      </c>
      <c r="B1847" t="s">
        <v>1815</v>
      </c>
      <c r="D1847" s="15" t="s">
        <v>1744</v>
      </c>
    </row>
    <row r="1848" spans="1:4" x14ac:dyDescent="0.25">
      <c r="A1848" t="str">
        <f>"101820"</f>
        <v>101820</v>
      </c>
      <c r="B1848" t="s">
        <v>1816</v>
      </c>
      <c r="D1848" s="15" t="s">
        <v>1696</v>
      </c>
    </row>
    <row r="1849" spans="1:4" x14ac:dyDescent="0.25">
      <c r="A1849" t="str">
        <f>"101821"</f>
        <v>101821</v>
      </c>
      <c r="B1849" t="s">
        <v>1817</v>
      </c>
      <c r="D1849" s="15" t="s">
        <v>1915</v>
      </c>
    </row>
    <row r="1850" spans="1:4" x14ac:dyDescent="0.25">
      <c r="A1850" t="str">
        <f>"101822"</f>
        <v>101822</v>
      </c>
      <c r="B1850" t="s">
        <v>1818</v>
      </c>
      <c r="D1850" s="15" t="s">
        <v>1921</v>
      </c>
    </row>
    <row r="1851" spans="1:4" x14ac:dyDescent="0.25">
      <c r="A1851" t="str">
        <f>"101823"</f>
        <v>101823</v>
      </c>
      <c r="B1851" t="s">
        <v>1819</v>
      </c>
      <c r="D1851" s="15" t="s">
        <v>759</v>
      </c>
    </row>
    <row r="1852" spans="1:4" x14ac:dyDescent="0.25">
      <c r="A1852" t="str">
        <f>"101824"</f>
        <v>101824</v>
      </c>
      <c r="B1852" t="s">
        <v>1820</v>
      </c>
      <c r="D1852" s="15" t="s">
        <v>1600</v>
      </c>
    </row>
    <row r="1853" spans="1:4" x14ac:dyDescent="0.25">
      <c r="A1853" t="str">
        <f>"101825"</f>
        <v>101825</v>
      </c>
      <c r="B1853" t="s">
        <v>1821</v>
      </c>
      <c r="D1853" s="15" t="s">
        <v>603</v>
      </c>
    </row>
    <row r="1854" spans="1:4" x14ac:dyDescent="0.25">
      <c r="A1854" t="str">
        <f>"101826"</f>
        <v>101826</v>
      </c>
      <c r="B1854" t="s">
        <v>1822</v>
      </c>
      <c r="D1854" s="15" t="s">
        <v>1034</v>
      </c>
    </row>
    <row r="1855" spans="1:4" x14ac:dyDescent="0.25">
      <c r="A1855" t="str">
        <f>"101827"</f>
        <v>101827</v>
      </c>
      <c r="B1855" t="s">
        <v>1823</v>
      </c>
      <c r="D1855" s="15" t="s">
        <v>248</v>
      </c>
    </row>
    <row r="1856" spans="1:4" x14ac:dyDescent="0.25">
      <c r="A1856" t="str">
        <f>"101828"</f>
        <v>101828</v>
      </c>
      <c r="B1856" t="s">
        <v>1824</v>
      </c>
      <c r="D1856" s="15" t="s">
        <v>53</v>
      </c>
    </row>
    <row r="1857" spans="1:4" x14ac:dyDescent="0.25">
      <c r="A1857" t="str">
        <f>"101829"</f>
        <v>101829</v>
      </c>
      <c r="B1857" t="s">
        <v>1825</v>
      </c>
      <c r="D1857" s="15" t="s">
        <v>2645</v>
      </c>
    </row>
    <row r="1858" spans="1:4" x14ac:dyDescent="0.25">
      <c r="A1858" t="str">
        <f>"101830"</f>
        <v>101830</v>
      </c>
      <c r="B1858" t="s">
        <v>1826</v>
      </c>
      <c r="D1858" s="15" t="s">
        <v>189</v>
      </c>
    </row>
    <row r="1859" spans="1:4" x14ac:dyDescent="0.25">
      <c r="A1859" t="str">
        <f>"101831"</f>
        <v>101831</v>
      </c>
      <c r="B1859" t="s">
        <v>1827</v>
      </c>
      <c r="D1859" s="15" t="s">
        <v>2373</v>
      </c>
    </row>
    <row r="1860" spans="1:4" x14ac:dyDescent="0.25">
      <c r="A1860" t="str">
        <f>"101832"</f>
        <v>101832</v>
      </c>
      <c r="B1860" t="s">
        <v>1828</v>
      </c>
      <c r="D1860" s="15" t="s">
        <v>1403</v>
      </c>
    </row>
    <row r="1861" spans="1:4" x14ac:dyDescent="0.25">
      <c r="A1861" t="str">
        <f>"101833"</f>
        <v>101833</v>
      </c>
      <c r="B1861" t="s">
        <v>1829</v>
      </c>
      <c r="D1861" s="15" t="s">
        <v>2033</v>
      </c>
    </row>
    <row r="1862" spans="1:4" x14ac:dyDescent="0.25">
      <c r="A1862" t="str">
        <f>"101834"</f>
        <v>101834</v>
      </c>
      <c r="B1862" t="s">
        <v>1830</v>
      </c>
      <c r="D1862" s="15" t="s">
        <v>2013</v>
      </c>
    </row>
    <row r="1863" spans="1:4" x14ac:dyDescent="0.25">
      <c r="A1863" t="str">
        <f>"101835"</f>
        <v>101835</v>
      </c>
      <c r="B1863" t="s">
        <v>1831</v>
      </c>
      <c r="D1863" s="15" t="s">
        <v>552</v>
      </c>
    </row>
    <row r="1864" spans="1:4" x14ac:dyDescent="0.25">
      <c r="A1864" t="str">
        <f>"101836"</f>
        <v>101836</v>
      </c>
      <c r="B1864" t="s">
        <v>1832</v>
      </c>
      <c r="D1864" s="15" t="s">
        <v>1676</v>
      </c>
    </row>
    <row r="1865" spans="1:4" x14ac:dyDescent="0.25">
      <c r="A1865" t="str">
        <f>"101837"</f>
        <v>101837</v>
      </c>
      <c r="B1865" t="s">
        <v>1833</v>
      </c>
      <c r="D1865" s="15" t="s">
        <v>50</v>
      </c>
    </row>
    <row r="1866" spans="1:4" x14ac:dyDescent="0.25">
      <c r="A1866" t="str">
        <f>"101838"</f>
        <v>101838</v>
      </c>
      <c r="B1866" t="s">
        <v>1834</v>
      </c>
      <c r="D1866" s="15" t="s">
        <v>190</v>
      </c>
    </row>
    <row r="1867" spans="1:4" x14ac:dyDescent="0.25">
      <c r="A1867" t="str">
        <f>"101839"</f>
        <v>101839</v>
      </c>
      <c r="B1867" t="s">
        <v>1835</v>
      </c>
      <c r="D1867" s="15" t="s">
        <v>2689</v>
      </c>
    </row>
    <row r="1868" spans="1:4" x14ac:dyDescent="0.25">
      <c r="A1868" t="str">
        <f>"101840"</f>
        <v>101840</v>
      </c>
      <c r="B1868" t="s">
        <v>1836</v>
      </c>
      <c r="D1868" s="15" t="s">
        <v>2824</v>
      </c>
    </row>
    <row r="1869" spans="1:4" x14ac:dyDescent="0.25">
      <c r="A1869" t="str">
        <f>"101841"</f>
        <v>101841</v>
      </c>
      <c r="B1869" t="s">
        <v>1837</v>
      </c>
      <c r="D1869" s="15" t="s">
        <v>2080</v>
      </c>
    </row>
    <row r="1870" spans="1:4" x14ac:dyDescent="0.25">
      <c r="A1870" t="str">
        <f>"101842"</f>
        <v>101842</v>
      </c>
      <c r="B1870" t="s">
        <v>1838</v>
      </c>
      <c r="D1870" s="15" t="s">
        <v>38</v>
      </c>
    </row>
    <row r="1871" spans="1:4" x14ac:dyDescent="0.25">
      <c r="A1871" t="str">
        <f>"101843"</f>
        <v>101843</v>
      </c>
      <c r="B1871" t="s">
        <v>1839</v>
      </c>
      <c r="D1871" s="15" t="s">
        <v>1368</v>
      </c>
    </row>
    <row r="1872" spans="1:4" x14ac:dyDescent="0.25">
      <c r="A1872" t="str">
        <f>"101844"</f>
        <v>101844</v>
      </c>
      <c r="B1872" t="s">
        <v>1840</v>
      </c>
      <c r="D1872" s="15" t="s">
        <v>2787</v>
      </c>
    </row>
    <row r="1873" spans="1:4" x14ac:dyDescent="0.25">
      <c r="A1873" t="str">
        <f>"101845"</f>
        <v>101845</v>
      </c>
      <c r="B1873" t="s">
        <v>1841</v>
      </c>
      <c r="D1873" s="15" t="s">
        <v>2022</v>
      </c>
    </row>
    <row r="1874" spans="1:4" x14ac:dyDescent="0.25">
      <c r="A1874" t="str">
        <f>"101846"</f>
        <v>101846</v>
      </c>
      <c r="B1874" t="s">
        <v>1842</v>
      </c>
      <c r="D1874" s="15" t="s">
        <v>1222</v>
      </c>
    </row>
    <row r="1875" spans="1:4" x14ac:dyDescent="0.25">
      <c r="A1875" t="str">
        <f>"101847"</f>
        <v>101847</v>
      </c>
      <c r="B1875" t="s">
        <v>1843</v>
      </c>
      <c r="D1875" s="15" t="s">
        <v>54</v>
      </c>
    </row>
    <row r="1876" spans="1:4" x14ac:dyDescent="0.25">
      <c r="A1876" t="str">
        <f>"101848"</f>
        <v>101848</v>
      </c>
      <c r="B1876" t="s">
        <v>1844</v>
      </c>
      <c r="D1876" s="15" t="s">
        <v>2514</v>
      </c>
    </row>
    <row r="1877" spans="1:4" x14ac:dyDescent="0.25">
      <c r="A1877" t="str">
        <f>"101849"</f>
        <v>101849</v>
      </c>
      <c r="B1877" t="s">
        <v>1845</v>
      </c>
      <c r="D1877" s="15" t="s">
        <v>144</v>
      </c>
    </row>
    <row r="1878" spans="1:4" x14ac:dyDescent="0.25">
      <c r="A1878" t="str">
        <f>"101850"</f>
        <v>101850</v>
      </c>
      <c r="B1878" t="s">
        <v>1846</v>
      </c>
      <c r="D1878" s="15" t="s">
        <v>34</v>
      </c>
    </row>
    <row r="1879" spans="1:4" x14ac:dyDescent="0.25">
      <c r="A1879" t="str">
        <f>"101851"</f>
        <v>101851</v>
      </c>
      <c r="B1879" t="s">
        <v>1847</v>
      </c>
      <c r="D1879" s="15" t="s">
        <v>1149</v>
      </c>
    </row>
    <row r="1880" spans="1:4" x14ac:dyDescent="0.25">
      <c r="A1880" t="str">
        <f>"101852"</f>
        <v>101852</v>
      </c>
      <c r="B1880" t="s">
        <v>1848</v>
      </c>
      <c r="D1880" s="15" t="s">
        <v>447</v>
      </c>
    </row>
    <row r="1881" spans="1:4" x14ac:dyDescent="0.25">
      <c r="A1881" t="str">
        <f>"101853"</f>
        <v>101853</v>
      </c>
      <c r="B1881" t="s">
        <v>1849</v>
      </c>
      <c r="D1881" s="15" t="s">
        <v>2123</v>
      </c>
    </row>
    <row r="1882" spans="1:4" x14ac:dyDescent="0.25">
      <c r="A1882" t="str">
        <f>"101854"</f>
        <v>101854</v>
      </c>
      <c r="B1882" t="s">
        <v>1850</v>
      </c>
      <c r="D1882" s="15" t="s">
        <v>964</v>
      </c>
    </row>
    <row r="1883" spans="1:4" x14ac:dyDescent="0.25">
      <c r="A1883" t="str">
        <f>"101855"</f>
        <v>101855</v>
      </c>
      <c r="B1883" t="s">
        <v>1851</v>
      </c>
      <c r="D1883" s="15" t="s">
        <v>2317</v>
      </c>
    </row>
    <row r="1884" spans="1:4" x14ac:dyDescent="0.25">
      <c r="A1884" t="str">
        <f>"101856"</f>
        <v>101856</v>
      </c>
      <c r="B1884" t="s">
        <v>1852</v>
      </c>
      <c r="D1884" s="15" t="s">
        <v>448</v>
      </c>
    </row>
    <row r="1885" spans="1:4" x14ac:dyDescent="0.25">
      <c r="A1885" t="str">
        <f>"101857"</f>
        <v>101857</v>
      </c>
      <c r="B1885" t="s">
        <v>1853</v>
      </c>
      <c r="D1885" s="15" t="s">
        <v>1668</v>
      </c>
    </row>
    <row r="1886" spans="1:4" x14ac:dyDescent="0.25">
      <c r="A1886" t="str">
        <f>"101858"</f>
        <v>101858</v>
      </c>
      <c r="B1886" t="s">
        <v>1854</v>
      </c>
      <c r="D1886" s="15" t="s">
        <v>1249</v>
      </c>
    </row>
    <row r="1887" spans="1:4" x14ac:dyDescent="0.25">
      <c r="A1887" t="str">
        <f>"101859"</f>
        <v>101859</v>
      </c>
      <c r="B1887" t="s">
        <v>1855</v>
      </c>
      <c r="D1887" s="15" t="s">
        <v>887</v>
      </c>
    </row>
    <row r="1888" spans="1:4" x14ac:dyDescent="0.25">
      <c r="A1888" t="str">
        <f>"101860"</f>
        <v>101860</v>
      </c>
      <c r="B1888" t="s">
        <v>1856</v>
      </c>
      <c r="D1888" s="15" t="s">
        <v>1183</v>
      </c>
    </row>
    <row r="1889" spans="1:4" x14ac:dyDescent="0.25">
      <c r="A1889" t="str">
        <f>"101861"</f>
        <v>101861</v>
      </c>
      <c r="B1889" t="s">
        <v>1857</v>
      </c>
      <c r="D1889" s="15" t="s">
        <v>2439</v>
      </c>
    </row>
    <row r="1890" spans="1:4" x14ac:dyDescent="0.25">
      <c r="A1890" t="str">
        <f>"101862"</f>
        <v>101862</v>
      </c>
      <c r="B1890" t="s">
        <v>1858</v>
      </c>
      <c r="D1890" s="15" t="s">
        <v>1193</v>
      </c>
    </row>
    <row r="1891" spans="1:4" x14ac:dyDescent="0.25">
      <c r="A1891" t="str">
        <f>"101863"</f>
        <v>101863</v>
      </c>
      <c r="B1891" t="s">
        <v>1859</v>
      </c>
      <c r="D1891" s="15" t="s">
        <v>768</v>
      </c>
    </row>
    <row r="1892" spans="1:4" x14ac:dyDescent="0.25">
      <c r="A1892" t="str">
        <f>"101864"</f>
        <v>101864</v>
      </c>
      <c r="B1892" t="s">
        <v>1860</v>
      </c>
      <c r="D1892" s="15" t="s">
        <v>807</v>
      </c>
    </row>
    <row r="1893" spans="1:4" x14ac:dyDescent="0.25">
      <c r="A1893" t="str">
        <f>"101865"</f>
        <v>101865</v>
      </c>
      <c r="B1893" t="s">
        <v>1861</v>
      </c>
      <c r="D1893" s="15" t="s">
        <v>1370</v>
      </c>
    </row>
    <row r="1894" spans="1:4" x14ac:dyDescent="0.25">
      <c r="A1894" t="str">
        <f>"101866"</f>
        <v>101866</v>
      </c>
      <c r="B1894" t="s">
        <v>1862</v>
      </c>
      <c r="D1894" s="15" t="s">
        <v>55</v>
      </c>
    </row>
    <row r="1895" spans="1:4" x14ac:dyDescent="0.25">
      <c r="A1895" t="str">
        <f>"101867"</f>
        <v>101867</v>
      </c>
      <c r="B1895" t="s">
        <v>1863</v>
      </c>
      <c r="D1895" s="15" t="s">
        <v>198</v>
      </c>
    </row>
    <row r="1896" spans="1:4" x14ac:dyDescent="0.25">
      <c r="A1896" t="str">
        <f>"101868"</f>
        <v>101868</v>
      </c>
      <c r="B1896" t="s">
        <v>1864</v>
      </c>
      <c r="D1896" s="15" t="s">
        <v>1704</v>
      </c>
    </row>
    <row r="1897" spans="1:4" x14ac:dyDescent="0.25">
      <c r="A1897" t="str">
        <f>"101869"</f>
        <v>101869</v>
      </c>
      <c r="B1897" t="s">
        <v>1865</v>
      </c>
      <c r="D1897" s="15" t="s">
        <v>1361</v>
      </c>
    </row>
    <row r="1898" spans="1:4" x14ac:dyDescent="0.25">
      <c r="A1898" t="str">
        <f>"101870"</f>
        <v>101870</v>
      </c>
      <c r="B1898" t="s">
        <v>1866</v>
      </c>
      <c r="D1898" s="15" t="s">
        <v>1831</v>
      </c>
    </row>
    <row r="1899" spans="1:4" x14ac:dyDescent="0.25">
      <c r="A1899" t="str">
        <f>"101871"</f>
        <v>101871</v>
      </c>
      <c r="B1899" t="s">
        <v>1867</v>
      </c>
      <c r="D1899" s="15" t="s">
        <v>2606</v>
      </c>
    </row>
    <row r="1900" spans="1:4" x14ac:dyDescent="0.25">
      <c r="A1900" t="str">
        <f>"101872"</f>
        <v>101872</v>
      </c>
      <c r="B1900" t="s">
        <v>1868</v>
      </c>
      <c r="D1900" s="15" t="s">
        <v>1693</v>
      </c>
    </row>
    <row r="1901" spans="1:4" x14ac:dyDescent="0.25">
      <c r="A1901" t="str">
        <f>"101873"</f>
        <v>101873</v>
      </c>
      <c r="B1901" t="s">
        <v>1869</v>
      </c>
      <c r="D1901" s="15" t="s">
        <v>1633</v>
      </c>
    </row>
    <row r="1902" spans="1:4" x14ac:dyDescent="0.25">
      <c r="A1902" t="str">
        <f>"101874"</f>
        <v>101874</v>
      </c>
      <c r="B1902" t="s">
        <v>1870</v>
      </c>
      <c r="D1902" s="15" t="s">
        <v>655</v>
      </c>
    </row>
    <row r="1903" spans="1:4" x14ac:dyDescent="0.25">
      <c r="A1903" t="str">
        <f>"101875"</f>
        <v>101875</v>
      </c>
      <c r="B1903" t="s">
        <v>1871</v>
      </c>
      <c r="D1903" s="15" t="s">
        <v>1393</v>
      </c>
    </row>
    <row r="1904" spans="1:4" x14ac:dyDescent="0.25">
      <c r="A1904" t="str">
        <f>"101876"</f>
        <v>101876</v>
      </c>
      <c r="B1904" t="s">
        <v>1872</v>
      </c>
      <c r="D1904" s="15" t="s">
        <v>2778</v>
      </c>
    </row>
    <row r="1905" spans="1:4" x14ac:dyDescent="0.25">
      <c r="A1905" t="str">
        <f>"101877"</f>
        <v>101877</v>
      </c>
      <c r="B1905" t="s">
        <v>1873</v>
      </c>
      <c r="D1905" s="15" t="s">
        <v>450</v>
      </c>
    </row>
    <row r="1906" spans="1:4" x14ac:dyDescent="0.25">
      <c r="A1906" t="str">
        <f>"101878"</f>
        <v>101878</v>
      </c>
      <c r="B1906" t="s">
        <v>1874</v>
      </c>
      <c r="D1906" s="15" t="s">
        <v>630</v>
      </c>
    </row>
    <row r="1907" spans="1:4" x14ac:dyDescent="0.25">
      <c r="A1907" t="str">
        <f>"101879"</f>
        <v>101879</v>
      </c>
      <c r="B1907" t="s">
        <v>1875</v>
      </c>
      <c r="D1907" s="15" t="s">
        <v>1844</v>
      </c>
    </row>
    <row r="1908" spans="1:4" x14ac:dyDescent="0.25">
      <c r="A1908" t="str">
        <f>"101880"</f>
        <v>101880</v>
      </c>
      <c r="B1908" t="s">
        <v>1876</v>
      </c>
      <c r="D1908" s="15" t="s">
        <v>451</v>
      </c>
    </row>
    <row r="1909" spans="1:4" x14ac:dyDescent="0.25">
      <c r="A1909" t="str">
        <f>"101881"</f>
        <v>101881</v>
      </c>
      <c r="B1909" t="s">
        <v>1877</v>
      </c>
      <c r="D1909" s="15" t="s">
        <v>558</v>
      </c>
    </row>
    <row r="1910" spans="1:4" x14ac:dyDescent="0.25">
      <c r="A1910" t="str">
        <f>"101882"</f>
        <v>101882</v>
      </c>
      <c r="B1910" t="s">
        <v>1878</v>
      </c>
      <c r="D1910" s="15" t="s">
        <v>2018</v>
      </c>
    </row>
    <row r="1911" spans="1:4" x14ac:dyDescent="0.25">
      <c r="A1911" t="str">
        <f>"101883"</f>
        <v>101883</v>
      </c>
      <c r="B1911" t="s">
        <v>1879</v>
      </c>
      <c r="D1911" s="15" t="s">
        <v>2704</v>
      </c>
    </row>
    <row r="1912" spans="1:4" x14ac:dyDescent="0.25">
      <c r="A1912" t="str">
        <f>"101884"</f>
        <v>101884</v>
      </c>
      <c r="B1912" t="s">
        <v>1880</v>
      </c>
      <c r="D1912" s="15" t="s">
        <v>453</v>
      </c>
    </row>
    <row r="1913" spans="1:4" x14ac:dyDescent="0.25">
      <c r="A1913" t="str">
        <f>"101885"</f>
        <v>101885</v>
      </c>
      <c r="B1913" t="s">
        <v>1881</v>
      </c>
      <c r="D1913" s="15" t="s">
        <v>454</v>
      </c>
    </row>
    <row r="1914" spans="1:4" x14ac:dyDescent="0.25">
      <c r="A1914" t="str">
        <f>"101886"</f>
        <v>101886</v>
      </c>
      <c r="B1914" t="s">
        <v>1882</v>
      </c>
      <c r="D1914" s="15" t="s">
        <v>712</v>
      </c>
    </row>
    <row r="1915" spans="1:4" x14ac:dyDescent="0.25">
      <c r="A1915" t="str">
        <f>"101887"</f>
        <v>101887</v>
      </c>
      <c r="B1915" t="s">
        <v>1883</v>
      </c>
      <c r="D1915" s="15" t="s">
        <v>610</v>
      </c>
    </row>
    <row r="1916" spans="1:4" x14ac:dyDescent="0.25">
      <c r="A1916" t="str">
        <f>"101888"</f>
        <v>101888</v>
      </c>
      <c r="B1916" t="s">
        <v>1884</v>
      </c>
      <c r="D1916" s="15" t="s">
        <v>56</v>
      </c>
    </row>
    <row r="1917" spans="1:4" x14ac:dyDescent="0.25">
      <c r="A1917" t="str">
        <f>"101889"</f>
        <v>101889</v>
      </c>
      <c r="B1917" t="s">
        <v>1885</v>
      </c>
      <c r="D1917" s="15" t="s">
        <v>58</v>
      </c>
    </row>
    <row r="1918" spans="1:4" x14ac:dyDescent="0.25">
      <c r="A1918" t="str">
        <f>"101890"</f>
        <v>101890</v>
      </c>
      <c r="B1918" t="s">
        <v>1886</v>
      </c>
      <c r="D1918" s="15" t="s">
        <v>1740</v>
      </c>
    </row>
    <row r="1919" spans="1:4" x14ac:dyDescent="0.25">
      <c r="A1919" t="str">
        <f>"101891"</f>
        <v>101891</v>
      </c>
      <c r="B1919" t="s">
        <v>1887</v>
      </c>
      <c r="D1919" s="15" t="s">
        <v>1396</v>
      </c>
    </row>
    <row r="1920" spans="1:4" x14ac:dyDescent="0.25">
      <c r="A1920" t="str">
        <f>"101892"</f>
        <v>101892</v>
      </c>
      <c r="B1920" t="s">
        <v>1888</v>
      </c>
      <c r="D1920" s="15" t="s">
        <v>1623</v>
      </c>
    </row>
    <row r="1921" spans="1:4" x14ac:dyDescent="0.25">
      <c r="A1921" t="str">
        <f>"101893"</f>
        <v>101893</v>
      </c>
      <c r="B1921" t="s">
        <v>1889</v>
      </c>
      <c r="D1921" s="15" t="s">
        <v>951</v>
      </c>
    </row>
    <row r="1922" spans="1:4" x14ac:dyDescent="0.25">
      <c r="A1922" t="str">
        <f>"101894"</f>
        <v>101894</v>
      </c>
      <c r="B1922" t="s">
        <v>1890</v>
      </c>
      <c r="D1922" s="15" t="s">
        <v>455</v>
      </c>
    </row>
    <row r="1923" spans="1:4" x14ac:dyDescent="0.25">
      <c r="A1923" t="str">
        <f>"101895"</f>
        <v>101895</v>
      </c>
      <c r="B1923" t="s">
        <v>1891</v>
      </c>
      <c r="D1923" s="15" t="s">
        <v>2288</v>
      </c>
    </row>
    <row r="1924" spans="1:4" x14ac:dyDescent="0.25">
      <c r="A1924" t="str">
        <f>"101896"</f>
        <v>101896</v>
      </c>
      <c r="B1924" t="s">
        <v>1892</v>
      </c>
      <c r="D1924" s="15" t="s">
        <v>57</v>
      </c>
    </row>
    <row r="1925" spans="1:4" x14ac:dyDescent="0.25">
      <c r="A1925" t="str">
        <f>"101897"</f>
        <v>101897</v>
      </c>
      <c r="B1925" t="s">
        <v>1893</v>
      </c>
      <c r="D1925" s="15" t="s">
        <v>1951</v>
      </c>
    </row>
    <row r="1926" spans="1:4" x14ac:dyDescent="0.25">
      <c r="A1926" t="str">
        <f>"101898"</f>
        <v>101898</v>
      </c>
      <c r="B1926" t="s">
        <v>1894</v>
      </c>
      <c r="D1926" s="15" t="s">
        <v>2352</v>
      </c>
    </row>
    <row r="1927" spans="1:4" x14ac:dyDescent="0.25">
      <c r="A1927" t="str">
        <f>"101899"</f>
        <v>101899</v>
      </c>
      <c r="B1927" t="s">
        <v>1895</v>
      </c>
      <c r="D1927" s="15" t="s">
        <v>286</v>
      </c>
    </row>
    <row r="1928" spans="1:4" x14ac:dyDescent="0.25">
      <c r="A1928" t="str">
        <f>"101900"</f>
        <v>101900</v>
      </c>
      <c r="B1928" t="s">
        <v>1896</v>
      </c>
      <c r="D1928" s="15" t="s">
        <v>2654</v>
      </c>
    </row>
    <row r="1929" spans="1:4" x14ac:dyDescent="0.25">
      <c r="A1929" t="str">
        <f>"101901"</f>
        <v>101901</v>
      </c>
      <c r="B1929" t="s">
        <v>1897</v>
      </c>
      <c r="D1929" s="15" t="s">
        <v>2629</v>
      </c>
    </row>
    <row r="1930" spans="1:4" x14ac:dyDescent="0.25">
      <c r="A1930" t="str">
        <f>"101902"</f>
        <v>101902</v>
      </c>
      <c r="B1930" t="s">
        <v>1898</v>
      </c>
      <c r="D1930" s="15" t="s">
        <v>2526</v>
      </c>
    </row>
    <row r="1931" spans="1:4" x14ac:dyDescent="0.25">
      <c r="A1931" t="str">
        <f>"101903"</f>
        <v>101903</v>
      </c>
      <c r="B1931" t="s">
        <v>1899</v>
      </c>
      <c r="D1931" s="15" t="s">
        <v>1450</v>
      </c>
    </row>
    <row r="1932" spans="1:4" x14ac:dyDescent="0.25">
      <c r="A1932" t="str">
        <f>"101904"</f>
        <v>101904</v>
      </c>
      <c r="B1932" t="s">
        <v>1900</v>
      </c>
      <c r="D1932" s="15" t="s">
        <v>2258</v>
      </c>
    </row>
    <row r="1933" spans="1:4" x14ac:dyDescent="0.25">
      <c r="A1933" t="str">
        <f>"101905"</f>
        <v>101905</v>
      </c>
      <c r="B1933" t="s">
        <v>1901</v>
      </c>
      <c r="D1933" s="15" t="s">
        <v>1928</v>
      </c>
    </row>
    <row r="1934" spans="1:4" x14ac:dyDescent="0.25">
      <c r="A1934" t="str">
        <f>"101906"</f>
        <v>101906</v>
      </c>
      <c r="B1934" t="s">
        <v>1902</v>
      </c>
      <c r="D1934" s="15" t="s">
        <v>2653</v>
      </c>
    </row>
    <row r="1935" spans="1:4" x14ac:dyDescent="0.25">
      <c r="A1935" t="str">
        <f>"101907"</f>
        <v>101907</v>
      </c>
      <c r="B1935" t="s">
        <v>1903</v>
      </c>
      <c r="D1935" s="15" t="s">
        <v>2242</v>
      </c>
    </row>
    <row r="1936" spans="1:4" x14ac:dyDescent="0.25">
      <c r="A1936" t="str">
        <f>"101908"</f>
        <v>101908</v>
      </c>
      <c r="B1936" t="s">
        <v>1904</v>
      </c>
      <c r="D1936" s="15" t="s">
        <v>2006</v>
      </c>
    </row>
    <row r="1937" spans="1:4" x14ac:dyDescent="0.25">
      <c r="A1937" t="str">
        <f>"101909"</f>
        <v>101909</v>
      </c>
      <c r="B1937" t="s">
        <v>1905</v>
      </c>
      <c r="D1937" s="15" t="s">
        <v>1594</v>
      </c>
    </row>
    <row r="1938" spans="1:4" x14ac:dyDescent="0.25">
      <c r="A1938" t="str">
        <f>"101910"</f>
        <v>101910</v>
      </c>
      <c r="B1938" t="s">
        <v>1906</v>
      </c>
      <c r="D1938" s="15" t="s">
        <v>1406</v>
      </c>
    </row>
    <row r="1939" spans="1:4" x14ac:dyDescent="0.25">
      <c r="A1939" t="str">
        <f>"101911"</f>
        <v>101911</v>
      </c>
      <c r="B1939" t="s">
        <v>1907</v>
      </c>
      <c r="D1939" s="15" t="s">
        <v>199</v>
      </c>
    </row>
    <row r="1940" spans="1:4" x14ac:dyDescent="0.25">
      <c r="A1940" t="str">
        <f>"101912"</f>
        <v>101912</v>
      </c>
      <c r="B1940" t="s">
        <v>1908</v>
      </c>
      <c r="D1940" s="15" t="s">
        <v>929</v>
      </c>
    </row>
    <row r="1941" spans="1:4" x14ac:dyDescent="0.25">
      <c r="A1941" t="str">
        <f>"101913"</f>
        <v>101913</v>
      </c>
      <c r="B1941" t="s">
        <v>1909</v>
      </c>
      <c r="D1941" s="15" t="s">
        <v>774</v>
      </c>
    </row>
    <row r="1942" spans="1:4" x14ac:dyDescent="0.25">
      <c r="A1942" t="str">
        <f>"101914"</f>
        <v>101914</v>
      </c>
      <c r="B1942" t="s">
        <v>1910</v>
      </c>
      <c r="D1942" s="15" t="s">
        <v>2403</v>
      </c>
    </row>
    <row r="1943" spans="1:4" x14ac:dyDescent="0.25">
      <c r="A1943" t="str">
        <f>"101915"</f>
        <v>101915</v>
      </c>
      <c r="B1943" t="s">
        <v>1911</v>
      </c>
      <c r="D1943" s="15" t="s">
        <v>456</v>
      </c>
    </row>
    <row r="1944" spans="1:4" x14ac:dyDescent="0.25">
      <c r="A1944" t="str">
        <f>"101916"</f>
        <v>101916</v>
      </c>
      <c r="B1944" t="s">
        <v>1912</v>
      </c>
      <c r="D1944" s="15" t="s">
        <v>1893</v>
      </c>
    </row>
    <row r="1945" spans="1:4" x14ac:dyDescent="0.25">
      <c r="A1945" t="str">
        <f>"101917"</f>
        <v>101917</v>
      </c>
      <c r="B1945" t="s">
        <v>1913</v>
      </c>
      <c r="D1945" s="15" t="s">
        <v>1847</v>
      </c>
    </row>
    <row r="1946" spans="1:4" x14ac:dyDescent="0.25">
      <c r="A1946" t="str">
        <f>"101918"</f>
        <v>101918</v>
      </c>
      <c r="B1946" t="s">
        <v>1914</v>
      </c>
      <c r="D1946" s="15" t="s">
        <v>707</v>
      </c>
    </row>
    <row r="1947" spans="1:4" x14ac:dyDescent="0.25">
      <c r="A1947" t="str">
        <f>"101919"</f>
        <v>101919</v>
      </c>
      <c r="B1947" t="s">
        <v>1915</v>
      </c>
      <c r="D1947" s="15" t="s">
        <v>2832</v>
      </c>
    </row>
    <row r="1948" spans="1:4" x14ac:dyDescent="0.25">
      <c r="A1948" t="str">
        <f>"101920"</f>
        <v>101920</v>
      </c>
      <c r="B1948" t="s">
        <v>1916</v>
      </c>
      <c r="D1948" s="15" t="s">
        <v>999</v>
      </c>
    </row>
    <row r="1949" spans="1:4" x14ac:dyDescent="0.25">
      <c r="A1949" t="str">
        <f>"101921"</f>
        <v>101921</v>
      </c>
      <c r="B1949" t="s">
        <v>1917</v>
      </c>
      <c r="D1949" s="15" t="s">
        <v>1689</v>
      </c>
    </row>
    <row r="1950" spans="1:4" x14ac:dyDescent="0.25">
      <c r="A1950" t="str">
        <f>"101922"</f>
        <v>101922</v>
      </c>
      <c r="B1950" t="s">
        <v>1918</v>
      </c>
      <c r="D1950" s="15" t="s">
        <v>2102</v>
      </c>
    </row>
    <row r="1951" spans="1:4" x14ac:dyDescent="0.25">
      <c r="A1951" t="str">
        <f>"101923"</f>
        <v>101923</v>
      </c>
      <c r="B1951" t="s">
        <v>1919</v>
      </c>
      <c r="D1951" s="15" t="s">
        <v>2627</v>
      </c>
    </row>
    <row r="1952" spans="1:4" x14ac:dyDescent="0.25">
      <c r="A1952" t="str">
        <f>"101924"</f>
        <v>101924</v>
      </c>
      <c r="B1952" t="s">
        <v>1920</v>
      </c>
      <c r="D1952" s="15" t="s">
        <v>1746</v>
      </c>
    </row>
    <row r="1953" spans="1:4" x14ac:dyDescent="0.25">
      <c r="A1953" t="str">
        <f>"101925"</f>
        <v>101925</v>
      </c>
      <c r="B1953" t="s">
        <v>1921</v>
      </c>
      <c r="D1953" s="15" t="s">
        <v>1643</v>
      </c>
    </row>
    <row r="1954" spans="1:4" x14ac:dyDescent="0.25">
      <c r="A1954" t="str">
        <f>"101926"</f>
        <v>101926</v>
      </c>
      <c r="B1954" t="s">
        <v>1922</v>
      </c>
      <c r="D1954" s="15" t="s">
        <v>1990</v>
      </c>
    </row>
    <row r="1955" spans="1:4" x14ac:dyDescent="0.25">
      <c r="A1955" t="str">
        <f>"101927"</f>
        <v>101927</v>
      </c>
      <c r="B1955" t="s">
        <v>1923</v>
      </c>
      <c r="D1955" s="15" t="s">
        <v>930</v>
      </c>
    </row>
    <row r="1956" spans="1:4" x14ac:dyDescent="0.25">
      <c r="A1956" t="str">
        <f>"101928"</f>
        <v>101928</v>
      </c>
      <c r="B1956" t="s">
        <v>1924</v>
      </c>
      <c r="D1956" s="15" t="s">
        <v>1232</v>
      </c>
    </row>
    <row r="1957" spans="1:4" x14ac:dyDescent="0.25">
      <c r="A1957" t="str">
        <f>"101929"</f>
        <v>101929</v>
      </c>
      <c r="B1957" t="s">
        <v>1925</v>
      </c>
      <c r="D1957" s="15" t="s">
        <v>2191</v>
      </c>
    </row>
    <row r="1958" spans="1:4" x14ac:dyDescent="0.25">
      <c r="A1958" t="str">
        <f>"101930"</f>
        <v>101930</v>
      </c>
      <c r="B1958" t="s">
        <v>1926</v>
      </c>
      <c r="D1958" s="15" t="s">
        <v>457</v>
      </c>
    </row>
    <row r="1959" spans="1:4" x14ac:dyDescent="0.25">
      <c r="A1959" t="str">
        <f>"101931"</f>
        <v>101931</v>
      </c>
      <c r="B1959" t="s">
        <v>1927</v>
      </c>
      <c r="D1959" s="15" t="s">
        <v>2780</v>
      </c>
    </row>
    <row r="1960" spans="1:4" x14ac:dyDescent="0.25">
      <c r="A1960" t="str">
        <f>"101932"</f>
        <v>101932</v>
      </c>
      <c r="B1960" t="s">
        <v>1928</v>
      </c>
      <c r="D1960" s="15" t="s">
        <v>2187</v>
      </c>
    </row>
    <row r="1961" spans="1:4" x14ac:dyDescent="0.25">
      <c r="A1961" t="str">
        <f>"101933"</f>
        <v>101933</v>
      </c>
      <c r="B1961" t="s">
        <v>1929</v>
      </c>
      <c r="D1961" s="15" t="s">
        <v>200</v>
      </c>
    </row>
    <row r="1962" spans="1:4" x14ac:dyDescent="0.25">
      <c r="A1962" t="str">
        <f>"101934"</f>
        <v>101934</v>
      </c>
      <c r="B1962" t="s">
        <v>1930</v>
      </c>
      <c r="D1962" s="15" t="s">
        <v>1124</v>
      </c>
    </row>
    <row r="1963" spans="1:4" x14ac:dyDescent="0.25">
      <c r="A1963" t="str">
        <f>"101935"</f>
        <v>101935</v>
      </c>
      <c r="B1963" t="s">
        <v>1931</v>
      </c>
      <c r="D1963" s="15" t="s">
        <v>2249</v>
      </c>
    </row>
    <row r="1964" spans="1:4" x14ac:dyDescent="0.25">
      <c r="A1964" t="str">
        <f>"101936"</f>
        <v>101936</v>
      </c>
      <c r="B1964" t="s">
        <v>1932</v>
      </c>
      <c r="D1964" s="15" t="s">
        <v>1725</v>
      </c>
    </row>
    <row r="1965" spans="1:4" x14ac:dyDescent="0.25">
      <c r="A1965" t="str">
        <f>"101937"</f>
        <v>101937</v>
      </c>
      <c r="B1965" t="s">
        <v>1933</v>
      </c>
      <c r="D1965" s="15" t="s">
        <v>2471</v>
      </c>
    </row>
    <row r="1966" spans="1:4" x14ac:dyDescent="0.25">
      <c r="A1966" t="str">
        <f>"101938"</f>
        <v>101938</v>
      </c>
      <c r="B1966" t="s">
        <v>1934</v>
      </c>
      <c r="D1966" s="15" t="s">
        <v>1786</v>
      </c>
    </row>
    <row r="1967" spans="1:4" x14ac:dyDescent="0.25">
      <c r="A1967" t="str">
        <f>"101939"</f>
        <v>101939</v>
      </c>
      <c r="B1967" t="s">
        <v>1935</v>
      </c>
      <c r="D1967" s="15" t="s">
        <v>1439</v>
      </c>
    </row>
    <row r="1968" spans="1:4" x14ac:dyDescent="0.25">
      <c r="A1968" t="str">
        <f>"101940"</f>
        <v>101940</v>
      </c>
      <c r="B1968" t="s">
        <v>1936</v>
      </c>
      <c r="D1968" s="15" t="s">
        <v>2418</v>
      </c>
    </row>
    <row r="1969" spans="1:4" x14ac:dyDescent="0.25">
      <c r="A1969" t="str">
        <f>"101941"</f>
        <v>101941</v>
      </c>
      <c r="B1969" t="s">
        <v>1937</v>
      </c>
      <c r="D1969" s="15" t="s">
        <v>458</v>
      </c>
    </row>
    <row r="1970" spans="1:4" x14ac:dyDescent="0.25">
      <c r="A1970" t="str">
        <f>"101942"</f>
        <v>101942</v>
      </c>
      <c r="B1970" t="s">
        <v>1938</v>
      </c>
      <c r="D1970" s="15" t="s">
        <v>2529</v>
      </c>
    </row>
    <row r="1971" spans="1:4" x14ac:dyDescent="0.25">
      <c r="A1971" t="str">
        <f>"101943"</f>
        <v>101943</v>
      </c>
      <c r="B1971" t="s">
        <v>1939</v>
      </c>
      <c r="D1971" s="15" t="s">
        <v>2639</v>
      </c>
    </row>
    <row r="1972" spans="1:4" x14ac:dyDescent="0.25">
      <c r="A1972" t="str">
        <f>"101944"</f>
        <v>101944</v>
      </c>
      <c r="B1972" t="s">
        <v>1940</v>
      </c>
      <c r="D1972" s="15" t="s">
        <v>1653</v>
      </c>
    </row>
    <row r="1973" spans="1:4" x14ac:dyDescent="0.25">
      <c r="A1973" t="str">
        <f>"101945"</f>
        <v>101945</v>
      </c>
      <c r="B1973" t="s">
        <v>1941</v>
      </c>
      <c r="D1973" s="15" t="s">
        <v>2691</v>
      </c>
    </row>
    <row r="1974" spans="1:4" x14ac:dyDescent="0.25">
      <c r="A1974" t="str">
        <f>"101946"</f>
        <v>101946</v>
      </c>
      <c r="B1974" t="s">
        <v>1942</v>
      </c>
      <c r="D1974" s="15" t="s">
        <v>1996</v>
      </c>
    </row>
    <row r="1975" spans="1:4" x14ac:dyDescent="0.25">
      <c r="A1975" t="str">
        <f>"101947"</f>
        <v>101947</v>
      </c>
      <c r="B1975" t="s">
        <v>1943</v>
      </c>
      <c r="D1975" s="15" t="s">
        <v>2809</v>
      </c>
    </row>
    <row r="1976" spans="1:4" x14ac:dyDescent="0.25">
      <c r="A1976" t="str">
        <f>"101948"</f>
        <v>101948</v>
      </c>
      <c r="B1976" t="s">
        <v>1944</v>
      </c>
      <c r="D1976" s="15" t="s">
        <v>864</v>
      </c>
    </row>
    <row r="1977" spans="1:4" x14ac:dyDescent="0.25">
      <c r="A1977" t="str">
        <f>"101949"</f>
        <v>101949</v>
      </c>
      <c r="B1977" t="s">
        <v>1945</v>
      </c>
      <c r="D1977" s="15" t="s">
        <v>597</v>
      </c>
    </row>
    <row r="1978" spans="1:4" x14ac:dyDescent="0.25">
      <c r="A1978" t="str">
        <f>"101950"</f>
        <v>101950</v>
      </c>
      <c r="B1978" t="s">
        <v>1946</v>
      </c>
      <c r="D1978" s="15" t="s">
        <v>1339</v>
      </c>
    </row>
    <row r="1979" spans="1:4" x14ac:dyDescent="0.25">
      <c r="A1979" t="str">
        <f>"101951"</f>
        <v>101951</v>
      </c>
      <c r="B1979" t="s">
        <v>1947</v>
      </c>
      <c r="D1979" s="15" t="s">
        <v>937</v>
      </c>
    </row>
    <row r="1980" spans="1:4" x14ac:dyDescent="0.25">
      <c r="A1980" t="str">
        <f>"101952"</f>
        <v>101952</v>
      </c>
      <c r="B1980" t="s">
        <v>1948</v>
      </c>
      <c r="D1980" s="15" t="s">
        <v>2558</v>
      </c>
    </row>
    <row r="1981" spans="1:4" x14ac:dyDescent="0.25">
      <c r="A1981" t="str">
        <f>"101953"</f>
        <v>101953</v>
      </c>
      <c r="B1981" t="s">
        <v>1949</v>
      </c>
      <c r="D1981" s="15" t="s">
        <v>2416</v>
      </c>
    </row>
    <row r="1982" spans="1:4" x14ac:dyDescent="0.25">
      <c r="A1982" t="str">
        <f>"101954"</f>
        <v>101954</v>
      </c>
      <c r="B1982" t="s">
        <v>1950</v>
      </c>
      <c r="D1982" s="15" t="s">
        <v>1940</v>
      </c>
    </row>
    <row r="1983" spans="1:4" x14ac:dyDescent="0.25">
      <c r="A1983" t="str">
        <f>"101955"</f>
        <v>101955</v>
      </c>
      <c r="B1983" t="s">
        <v>1951</v>
      </c>
      <c r="D1983" s="15" t="s">
        <v>2440</v>
      </c>
    </row>
    <row r="1984" spans="1:4" x14ac:dyDescent="0.25">
      <c r="A1984" t="str">
        <f>"101956"</f>
        <v>101956</v>
      </c>
      <c r="B1984" t="s">
        <v>1952</v>
      </c>
      <c r="D1984" s="15" t="s">
        <v>589</v>
      </c>
    </row>
    <row r="1985" spans="1:4" x14ac:dyDescent="0.25">
      <c r="A1985" t="str">
        <f>"101957"</f>
        <v>101957</v>
      </c>
      <c r="B1985" t="s">
        <v>1953</v>
      </c>
      <c r="D1985" s="15" t="s">
        <v>584</v>
      </c>
    </row>
    <row r="1986" spans="1:4" x14ac:dyDescent="0.25">
      <c r="A1986" t="str">
        <f>"101958"</f>
        <v>101958</v>
      </c>
      <c r="B1986" t="s">
        <v>1954</v>
      </c>
      <c r="D1986" s="15" t="s">
        <v>1956</v>
      </c>
    </row>
    <row r="1987" spans="1:4" x14ac:dyDescent="0.25">
      <c r="A1987" t="str">
        <f>"101959"</f>
        <v>101959</v>
      </c>
      <c r="B1987" t="s">
        <v>1955</v>
      </c>
      <c r="D1987" s="15" t="s">
        <v>459</v>
      </c>
    </row>
    <row r="1988" spans="1:4" x14ac:dyDescent="0.25">
      <c r="A1988" t="str">
        <f>"101960"</f>
        <v>101960</v>
      </c>
      <c r="B1988" t="s">
        <v>1956</v>
      </c>
      <c r="D1988" s="15" t="s">
        <v>857</v>
      </c>
    </row>
    <row r="1989" spans="1:4" x14ac:dyDescent="0.25">
      <c r="A1989" t="str">
        <f>"101961"</f>
        <v>101961</v>
      </c>
      <c r="B1989" t="s">
        <v>1957</v>
      </c>
      <c r="D1989" s="15" t="s">
        <v>2338</v>
      </c>
    </row>
    <row r="1990" spans="1:4" x14ac:dyDescent="0.25">
      <c r="A1990" t="str">
        <f>"101962"</f>
        <v>101962</v>
      </c>
      <c r="B1990" t="s">
        <v>1958</v>
      </c>
      <c r="D1990" s="15" t="s">
        <v>535</v>
      </c>
    </row>
    <row r="1991" spans="1:4" x14ac:dyDescent="0.25">
      <c r="A1991" t="str">
        <f>"101963"</f>
        <v>101963</v>
      </c>
      <c r="B1991" t="s">
        <v>1959</v>
      </c>
      <c r="D1991" s="15" t="s">
        <v>61</v>
      </c>
    </row>
    <row r="1992" spans="1:4" x14ac:dyDescent="0.25">
      <c r="A1992" t="str">
        <f>"101964"</f>
        <v>101964</v>
      </c>
      <c r="B1992" t="s">
        <v>1960</v>
      </c>
      <c r="D1992" s="15" t="s">
        <v>1244</v>
      </c>
    </row>
    <row r="1993" spans="1:4" x14ac:dyDescent="0.25">
      <c r="A1993" t="str">
        <f>"101965"</f>
        <v>101965</v>
      </c>
      <c r="B1993" t="s">
        <v>1961</v>
      </c>
      <c r="D1993" s="15" t="s">
        <v>2553</v>
      </c>
    </row>
    <row r="1994" spans="1:4" x14ac:dyDescent="0.25">
      <c r="A1994" t="str">
        <f>"101966"</f>
        <v>101966</v>
      </c>
      <c r="B1994" t="s">
        <v>1962</v>
      </c>
      <c r="D1994" s="15" t="s">
        <v>2426</v>
      </c>
    </row>
    <row r="1995" spans="1:4" x14ac:dyDescent="0.25">
      <c r="A1995" t="str">
        <f>"101967"</f>
        <v>101967</v>
      </c>
      <c r="B1995" t="s">
        <v>1963</v>
      </c>
      <c r="D1995" s="15" t="s">
        <v>1552</v>
      </c>
    </row>
    <row r="1996" spans="1:4" x14ac:dyDescent="0.25">
      <c r="A1996" t="str">
        <f>"101968"</f>
        <v>101968</v>
      </c>
      <c r="B1996" t="s">
        <v>1964</v>
      </c>
      <c r="D1996" s="15" t="s">
        <v>636</v>
      </c>
    </row>
    <row r="1997" spans="1:4" x14ac:dyDescent="0.25">
      <c r="A1997" t="str">
        <f>"101969"</f>
        <v>101969</v>
      </c>
      <c r="B1997" t="s">
        <v>1965</v>
      </c>
      <c r="D1997" s="15" t="s">
        <v>1212</v>
      </c>
    </row>
    <row r="1998" spans="1:4" x14ac:dyDescent="0.25">
      <c r="A1998" t="str">
        <f>"101970"</f>
        <v>101970</v>
      </c>
      <c r="B1998" t="s">
        <v>1966</v>
      </c>
      <c r="D1998" s="15" t="s">
        <v>1672</v>
      </c>
    </row>
    <row r="1999" spans="1:4" x14ac:dyDescent="0.25">
      <c r="A1999" t="str">
        <f>"101971"</f>
        <v>101971</v>
      </c>
      <c r="B1999" t="s">
        <v>1967</v>
      </c>
      <c r="D1999" s="15" t="s">
        <v>912</v>
      </c>
    </row>
    <row r="2000" spans="1:4" x14ac:dyDescent="0.25">
      <c r="A2000" t="str">
        <f>"101972"</f>
        <v>101972</v>
      </c>
      <c r="B2000" t="s">
        <v>1968</v>
      </c>
      <c r="D2000" s="15" t="s">
        <v>1654</v>
      </c>
    </row>
    <row r="2001" spans="1:4" x14ac:dyDescent="0.25">
      <c r="A2001" t="str">
        <f>"101973"</f>
        <v>101973</v>
      </c>
      <c r="B2001" t="s">
        <v>1969</v>
      </c>
      <c r="D2001" s="15" t="s">
        <v>668</v>
      </c>
    </row>
    <row r="2002" spans="1:4" x14ac:dyDescent="0.25">
      <c r="A2002" t="str">
        <f>"101974"</f>
        <v>101974</v>
      </c>
      <c r="B2002" t="s">
        <v>1970</v>
      </c>
      <c r="D2002" s="15" t="s">
        <v>1187</v>
      </c>
    </row>
    <row r="2003" spans="1:4" x14ac:dyDescent="0.25">
      <c r="A2003" t="str">
        <f>"101975"</f>
        <v>101975</v>
      </c>
      <c r="B2003" t="s">
        <v>1971</v>
      </c>
      <c r="D2003" s="15" t="s">
        <v>1466</v>
      </c>
    </row>
    <row r="2004" spans="1:4" x14ac:dyDescent="0.25">
      <c r="A2004" t="str">
        <f>"101976"</f>
        <v>101976</v>
      </c>
      <c r="B2004" t="s">
        <v>1972</v>
      </c>
      <c r="D2004" s="15" t="s">
        <v>2409</v>
      </c>
    </row>
    <row r="2005" spans="1:4" x14ac:dyDescent="0.25">
      <c r="A2005" t="str">
        <f>"101977"</f>
        <v>101977</v>
      </c>
      <c r="B2005" t="s">
        <v>1973</v>
      </c>
      <c r="D2005" s="15" t="s">
        <v>2584</v>
      </c>
    </row>
    <row r="2006" spans="1:4" x14ac:dyDescent="0.25">
      <c r="A2006" t="str">
        <f>"101978"</f>
        <v>101978</v>
      </c>
      <c r="B2006" t="s">
        <v>1974</v>
      </c>
      <c r="D2006" s="15" t="s">
        <v>1526</v>
      </c>
    </row>
    <row r="2007" spans="1:4" x14ac:dyDescent="0.25">
      <c r="A2007" t="str">
        <f>"101979"</f>
        <v>101979</v>
      </c>
      <c r="B2007" t="s">
        <v>1975</v>
      </c>
      <c r="D2007" s="15" t="s">
        <v>203</v>
      </c>
    </row>
    <row r="2008" spans="1:4" x14ac:dyDescent="0.25">
      <c r="A2008" t="str">
        <f>"101980"</f>
        <v>101980</v>
      </c>
      <c r="B2008" t="s">
        <v>1976</v>
      </c>
      <c r="D2008" s="15" t="s">
        <v>1101</v>
      </c>
    </row>
    <row r="2009" spans="1:4" x14ac:dyDescent="0.25">
      <c r="A2009" t="str">
        <f>"101981"</f>
        <v>101981</v>
      </c>
      <c r="B2009" t="s">
        <v>1977</v>
      </c>
      <c r="D2009" s="15" t="s">
        <v>1536</v>
      </c>
    </row>
    <row r="2010" spans="1:4" x14ac:dyDescent="0.25">
      <c r="A2010" t="str">
        <f>"101982"</f>
        <v>101982</v>
      </c>
      <c r="B2010" t="s">
        <v>1978</v>
      </c>
      <c r="D2010" s="15" t="s">
        <v>1202</v>
      </c>
    </row>
    <row r="2011" spans="1:4" x14ac:dyDescent="0.25">
      <c r="A2011" t="str">
        <f>"101983"</f>
        <v>101983</v>
      </c>
      <c r="B2011" t="s">
        <v>1979</v>
      </c>
      <c r="D2011" s="15" t="s">
        <v>2496</v>
      </c>
    </row>
    <row r="2012" spans="1:4" x14ac:dyDescent="0.25">
      <c r="A2012" t="str">
        <f>"101984"</f>
        <v>101984</v>
      </c>
      <c r="B2012" t="s">
        <v>1980</v>
      </c>
      <c r="D2012" s="15" t="s">
        <v>2300</v>
      </c>
    </row>
    <row r="2013" spans="1:4" x14ac:dyDescent="0.25">
      <c r="A2013" t="str">
        <f>"101985"</f>
        <v>101985</v>
      </c>
      <c r="B2013" t="s">
        <v>1981</v>
      </c>
      <c r="D2013" s="15" t="s">
        <v>2508</v>
      </c>
    </row>
    <row r="2014" spans="1:4" x14ac:dyDescent="0.25">
      <c r="A2014" t="str">
        <f>"101986"</f>
        <v>101986</v>
      </c>
      <c r="B2014" t="s">
        <v>1982</v>
      </c>
      <c r="D2014" s="15" t="s">
        <v>2478</v>
      </c>
    </row>
    <row r="2015" spans="1:4" x14ac:dyDescent="0.25">
      <c r="A2015" t="str">
        <f>"101987"</f>
        <v>101987</v>
      </c>
      <c r="B2015" t="s">
        <v>1983</v>
      </c>
      <c r="D2015" s="15" t="s">
        <v>421</v>
      </c>
    </row>
    <row r="2016" spans="1:4" x14ac:dyDescent="0.25">
      <c r="A2016" t="str">
        <f>"101988"</f>
        <v>101988</v>
      </c>
      <c r="B2016" t="s">
        <v>1984</v>
      </c>
      <c r="D2016" s="15" t="s">
        <v>2236</v>
      </c>
    </row>
    <row r="2017" spans="1:4" x14ac:dyDescent="0.25">
      <c r="A2017" t="str">
        <f>"101989"</f>
        <v>101989</v>
      </c>
      <c r="B2017" t="s">
        <v>1985</v>
      </c>
      <c r="D2017" s="15" t="s">
        <v>896</v>
      </c>
    </row>
    <row r="2018" spans="1:4" x14ac:dyDescent="0.25">
      <c r="A2018" t="str">
        <f>"101990"</f>
        <v>101990</v>
      </c>
      <c r="B2018" t="s">
        <v>1986</v>
      </c>
      <c r="D2018" s="15" t="s">
        <v>10</v>
      </c>
    </row>
    <row r="2019" spans="1:4" x14ac:dyDescent="0.25">
      <c r="A2019" t="str">
        <f>"101991"</f>
        <v>101991</v>
      </c>
      <c r="B2019" t="s">
        <v>1987</v>
      </c>
      <c r="D2019" s="15" t="s">
        <v>1667</v>
      </c>
    </row>
    <row r="2020" spans="1:4" x14ac:dyDescent="0.25">
      <c r="A2020" t="str">
        <f>"101992"</f>
        <v>101992</v>
      </c>
      <c r="B2020" t="s">
        <v>1988</v>
      </c>
      <c r="D2020" s="15" t="s">
        <v>2611</v>
      </c>
    </row>
    <row r="2021" spans="1:4" x14ac:dyDescent="0.25">
      <c r="A2021" t="str">
        <f>"101993"</f>
        <v>101993</v>
      </c>
      <c r="B2021" t="s">
        <v>1989</v>
      </c>
      <c r="D2021" s="15" t="s">
        <v>2136</v>
      </c>
    </row>
    <row r="2022" spans="1:4" x14ac:dyDescent="0.25">
      <c r="A2022" t="str">
        <f>"101994"</f>
        <v>101994</v>
      </c>
      <c r="B2022" t="s">
        <v>1990</v>
      </c>
      <c r="D2022" s="15" t="s">
        <v>942</v>
      </c>
    </row>
    <row r="2023" spans="1:4" x14ac:dyDescent="0.25">
      <c r="A2023" t="str">
        <f>"101995"</f>
        <v>101995</v>
      </c>
      <c r="B2023" t="s">
        <v>1991</v>
      </c>
      <c r="D2023" s="15" t="s">
        <v>1152</v>
      </c>
    </row>
    <row r="2024" spans="1:4" x14ac:dyDescent="0.25">
      <c r="A2024" t="str">
        <f>"101996"</f>
        <v>101996</v>
      </c>
      <c r="B2024" t="s">
        <v>1992</v>
      </c>
      <c r="D2024" s="15" t="s">
        <v>60</v>
      </c>
    </row>
    <row r="2025" spans="1:4" x14ac:dyDescent="0.25">
      <c r="A2025" t="str">
        <f>"101997"</f>
        <v>101997</v>
      </c>
      <c r="B2025" t="s">
        <v>1993</v>
      </c>
      <c r="D2025" s="15" t="s">
        <v>153</v>
      </c>
    </row>
    <row r="2026" spans="1:4" x14ac:dyDescent="0.25">
      <c r="A2026" t="str">
        <f>"101998"</f>
        <v>101998</v>
      </c>
      <c r="B2026" t="s">
        <v>1994</v>
      </c>
      <c r="D2026" s="15" t="s">
        <v>1889</v>
      </c>
    </row>
    <row r="2027" spans="1:4" x14ac:dyDescent="0.25">
      <c r="A2027" t="str">
        <f>"101999"</f>
        <v>101999</v>
      </c>
      <c r="B2027" t="s">
        <v>1995</v>
      </c>
      <c r="D2027" s="15" t="s">
        <v>910</v>
      </c>
    </row>
    <row r="2028" spans="1:4" x14ac:dyDescent="0.25">
      <c r="A2028" t="str">
        <f>"102000"</f>
        <v>102000</v>
      </c>
      <c r="B2028" t="s">
        <v>1996</v>
      </c>
      <c r="D2028" s="15" t="s">
        <v>915</v>
      </c>
    </row>
    <row r="2029" spans="1:4" x14ac:dyDescent="0.25">
      <c r="A2029" t="str">
        <f>"102001"</f>
        <v>102001</v>
      </c>
      <c r="B2029" t="s">
        <v>1997</v>
      </c>
      <c r="D2029" s="15" t="s">
        <v>1431</v>
      </c>
    </row>
    <row r="2030" spans="1:4" x14ac:dyDescent="0.25">
      <c r="A2030" t="str">
        <f>"102002"</f>
        <v>102002</v>
      </c>
      <c r="B2030" t="s">
        <v>1998</v>
      </c>
      <c r="D2030" s="15" t="s">
        <v>460</v>
      </c>
    </row>
    <row r="2031" spans="1:4" x14ac:dyDescent="0.25">
      <c r="A2031" t="str">
        <f>"102003"</f>
        <v>102003</v>
      </c>
      <c r="B2031" t="s">
        <v>1999</v>
      </c>
      <c r="D2031" s="15" t="s">
        <v>583</v>
      </c>
    </row>
    <row r="2032" spans="1:4" x14ac:dyDescent="0.25">
      <c r="A2032" t="str">
        <f>"102004"</f>
        <v>102004</v>
      </c>
      <c r="B2032" t="s">
        <v>2000</v>
      </c>
      <c r="D2032" s="15" t="s">
        <v>936</v>
      </c>
    </row>
    <row r="2033" spans="1:4" x14ac:dyDescent="0.25">
      <c r="A2033" t="str">
        <f>"102005"</f>
        <v>102005</v>
      </c>
      <c r="B2033" t="s">
        <v>2001</v>
      </c>
      <c r="D2033" s="15" t="s">
        <v>2669</v>
      </c>
    </row>
    <row r="2034" spans="1:4" x14ac:dyDescent="0.25">
      <c r="A2034" t="str">
        <f>"102006"</f>
        <v>102006</v>
      </c>
      <c r="B2034" t="s">
        <v>2002</v>
      </c>
      <c r="D2034" s="15" t="s">
        <v>1415</v>
      </c>
    </row>
    <row r="2035" spans="1:4" x14ac:dyDescent="0.25">
      <c r="A2035" t="str">
        <f>"102007"</f>
        <v>102007</v>
      </c>
      <c r="B2035" t="s">
        <v>2003</v>
      </c>
      <c r="D2035" s="15" t="s">
        <v>63</v>
      </c>
    </row>
    <row r="2036" spans="1:4" x14ac:dyDescent="0.25">
      <c r="A2036" t="str">
        <f>"102008"</f>
        <v>102008</v>
      </c>
      <c r="B2036" t="s">
        <v>2004</v>
      </c>
      <c r="D2036" s="15" t="s">
        <v>485</v>
      </c>
    </row>
    <row r="2037" spans="1:4" x14ac:dyDescent="0.25">
      <c r="A2037" t="str">
        <f>"102009"</f>
        <v>102009</v>
      </c>
      <c r="B2037" t="s">
        <v>2005</v>
      </c>
      <c r="D2037" s="15" t="s">
        <v>1409</v>
      </c>
    </row>
    <row r="2038" spans="1:4" x14ac:dyDescent="0.25">
      <c r="A2038" t="str">
        <f>"102010"</f>
        <v>102010</v>
      </c>
      <c r="B2038" t="s">
        <v>2006</v>
      </c>
      <c r="D2038" s="15" t="s">
        <v>940</v>
      </c>
    </row>
    <row r="2039" spans="1:4" x14ac:dyDescent="0.25">
      <c r="A2039" t="str">
        <f>"102011"</f>
        <v>102011</v>
      </c>
      <c r="B2039" t="s">
        <v>2007</v>
      </c>
      <c r="D2039" s="15" t="s">
        <v>1424</v>
      </c>
    </row>
    <row r="2040" spans="1:4" x14ac:dyDescent="0.25">
      <c r="A2040" t="str">
        <f>"102012"</f>
        <v>102012</v>
      </c>
      <c r="B2040" t="s">
        <v>2008</v>
      </c>
      <c r="D2040" s="15" t="s">
        <v>472</v>
      </c>
    </row>
    <row r="2041" spans="1:4" x14ac:dyDescent="0.25">
      <c r="A2041" t="str">
        <f>"102013"</f>
        <v>102013</v>
      </c>
      <c r="B2041" t="s">
        <v>2009</v>
      </c>
      <c r="D2041" s="15" t="s">
        <v>1278</v>
      </c>
    </row>
    <row r="2042" spans="1:4" x14ac:dyDescent="0.25">
      <c r="A2042" t="str">
        <f>"102014"</f>
        <v>102014</v>
      </c>
      <c r="B2042" t="s">
        <v>2010</v>
      </c>
      <c r="D2042" s="15" t="s">
        <v>893</v>
      </c>
    </row>
    <row r="2043" spans="1:4" x14ac:dyDescent="0.25">
      <c r="A2043" t="str">
        <f>"102015"</f>
        <v>102015</v>
      </c>
      <c r="B2043" t="s">
        <v>2011</v>
      </c>
      <c r="D2043" s="15" t="s">
        <v>1178</v>
      </c>
    </row>
    <row r="2044" spans="1:4" x14ac:dyDescent="0.25">
      <c r="A2044" t="str">
        <f>"102016"</f>
        <v>102016</v>
      </c>
      <c r="B2044" t="s">
        <v>2012</v>
      </c>
      <c r="D2044" s="15" t="s">
        <v>573</v>
      </c>
    </row>
    <row r="2045" spans="1:4" x14ac:dyDescent="0.25">
      <c r="A2045" t="str">
        <f>"102017"</f>
        <v>102017</v>
      </c>
      <c r="B2045" t="s">
        <v>2013</v>
      </c>
      <c r="D2045" s="15" t="s">
        <v>608</v>
      </c>
    </row>
    <row r="2046" spans="1:4" x14ac:dyDescent="0.25">
      <c r="A2046" t="str">
        <f>"102018"</f>
        <v>102018</v>
      </c>
      <c r="B2046" t="s">
        <v>2014</v>
      </c>
      <c r="D2046" s="15" t="s">
        <v>1493</v>
      </c>
    </row>
    <row r="2047" spans="1:4" x14ac:dyDescent="0.25">
      <c r="A2047" t="str">
        <f>"102019"</f>
        <v>102019</v>
      </c>
      <c r="B2047" t="s">
        <v>2015</v>
      </c>
      <c r="D2047" s="15" t="s">
        <v>2064</v>
      </c>
    </row>
    <row r="2048" spans="1:4" x14ac:dyDescent="0.25">
      <c r="A2048" t="str">
        <f>"102020"</f>
        <v>102020</v>
      </c>
      <c r="B2048" t="s">
        <v>2016</v>
      </c>
      <c r="D2048" s="15" t="s">
        <v>1115</v>
      </c>
    </row>
    <row r="2049" spans="1:4" x14ac:dyDescent="0.25">
      <c r="A2049" t="str">
        <f>"102021"</f>
        <v>102021</v>
      </c>
      <c r="B2049" t="s">
        <v>2017</v>
      </c>
      <c r="D2049" s="15" t="s">
        <v>672</v>
      </c>
    </row>
    <row r="2050" spans="1:4" x14ac:dyDescent="0.25">
      <c r="A2050" t="str">
        <f>"102022"</f>
        <v>102022</v>
      </c>
      <c r="B2050" t="s">
        <v>2018</v>
      </c>
      <c r="D2050" s="15" t="s">
        <v>461</v>
      </c>
    </row>
    <row r="2051" spans="1:4" x14ac:dyDescent="0.25">
      <c r="A2051" t="str">
        <f>"102023"</f>
        <v>102023</v>
      </c>
      <c r="B2051" t="s">
        <v>2019</v>
      </c>
      <c r="D2051" s="15" t="s">
        <v>611</v>
      </c>
    </row>
    <row r="2052" spans="1:4" x14ac:dyDescent="0.25">
      <c r="A2052" t="str">
        <f>"102024"</f>
        <v>102024</v>
      </c>
      <c r="B2052" t="s">
        <v>2020</v>
      </c>
      <c r="D2052" s="15" t="s">
        <v>2098</v>
      </c>
    </row>
    <row r="2053" spans="1:4" x14ac:dyDescent="0.25">
      <c r="A2053" t="str">
        <f>"102025"</f>
        <v>102025</v>
      </c>
      <c r="B2053" t="s">
        <v>2021</v>
      </c>
      <c r="D2053" s="15" t="s">
        <v>2212</v>
      </c>
    </row>
    <row r="2054" spans="1:4" x14ac:dyDescent="0.25">
      <c r="A2054" t="str">
        <f>"102026"</f>
        <v>102026</v>
      </c>
      <c r="B2054" t="s">
        <v>2022</v>
      </c>
      <c r="D2054" s="15" t="s">
        <v>785</v>
      </c>
    </row>
    <row r="2055" spans="1:4" x14ac:dyDescent="0.25">
      <c r="A2055" t="str">
        <f>"102027"</f>
        <v>102027</v>
      </c>
      <c r="B2055" t="s">
        <v>2023</v>
      </c>
      <c r="D2055" s="15" t="s">
        <v>651</v>
      </c>
    </row>
    <row r="2056" spans="1:4" x14ac:dyDescent="0.25">
      <c r="A2056" t="str">
        <f>"102028"</f>
        <v>102028</v>
      </c>
      <c r="B2056" t="s">
        <v>2024</v>
      </c>
      <c r="D2056" s="15" t="s">
        <v>786</v>
      </c>
    </row>
    <row r="2057" spans="1:4" x14ac:dyDescent="0.25">
      <c r="A2057" t="str">
        <f>"102029"</f>
        <v>102029</v>
      </c>
      <c r="B2057" t="s">
        <v>2025</v>
      </c>
      <c r="D2057" s="15" t="s">
        <v>2027</v>
      </c>
    </row>
    <row r="2058" spans="1:4" x14ac:dyDescent="0.25">
      <c r="A2058" t="str">
        <f>"102030"</f>
        <v>102030</v>
      </c>
      <c r="B2058" t="s">
        <v>2026</v>
      </c>
      <c r="D2058" s="15" t="s">
        <v>1326</v>
      </c>
    </row>
    <row r="2059" spans="1:4" x14ac:dyDescent="0.25">
      <c r="A2059" t="str">
        <f>"102031"</f>
        <v>102031</v>
      </c>
      <c r="B2059" t="s">
        <v>2027</v>
      </c>
      <c r="D2059" s="15" t="s">
        <v>1736</v>
      </c>
    </row>
    <row r="2060" spans="1:4" x14ac:dyDescent="0.25">
      <c r="A2060" t="str">
        <f>"102032"</f>
        <v>102032</v>
      </c>
      <c r="B2060" t="s">
        <v>2028</v>
      </c>
      <c r="D2060" s="15" t="s">
        <v>2129</v>
      </c>
    </row>
    <row r="2061" spans="1:4" x14ac:dyDescent="0.25">
      <c r="A2061" t="str">
        <f>"102033"</f>
        <v>102033</v>
      </c>
      <c r="B2061" t="s">
        <v>2029</v>
      </c>
      <c r="D2061" s="15" t="s">
        <v>66</v>
      </c>
    </row>
    <row r="2062" spans="1:4" x14ac:dyDescent="0.25">
      <c r="A2062" t="str">
        <f>"102034"</f>
        <v>102034</v>
      </c>
      <c r="B2062" t="s">
        <v>2030</v>
      </c>
      <c r="D2062" s="15" t="s">
        <v>204</v>
      </c>
    </row>
    <row r="2063" spans="1:4" x14ac:dyDescent="0.25">
      <c r="A2063" t="str">
        <f>"102035"</f>
        <v>102035</v>
      </c>
      <c r="B2063" t="s">
        <v>2031</v>
      </c>
      <c r="D2063" s="15" t="s">
        <v>1738</v>
      </c>
    </row>
    <row r="2064" spans="1:4" x14ac:dyDescent="0.25">
      <c r="A2064" t="str">
        <f>"102036"</f>
        <v>102036</v>
      </c>
      <c r="B2064" t="s">
        <v>2032</v>
      </c>
      <c r="D2064" s="15" t="s">
        <v>1215</v>
      </c>
    </row>
    <row r="2065" spans="1:4" x14ac:dyDescent="0.25">
      <c r="A2065" t="str">
        <f>"102037"</f>
        <v>102037</v>
      </c>
      <c r="B2065" t="s">
        <v>2033</v>
      </c>
      <c r="D2065" s="15" t="s">
        <v>72</v>
      </c>
    </row>
    <row r="2066" spans="1:4" x14ac:dyDescent="0.25">
      <c r="A2066" t="str">
        <f>"102038"</f>
        <v>102038</v>
      </c>
      <c r="B2066" t="s">
        <v>53</v>
      </c>
      <c r="D2066" s="15" t="s">
        <v>65</v>
      </c>
    </row>
    <row r="2067" spans="1:4" x14ac:dyDescent="0.25">
      <c r="A2067" t="str">
        <f>"102039"</f>
        <v>102039</v>
      </c>
      <c r="B2067" t="s">
        <v>2034</v>
      </c>
      <c r="D2067" s="15" t="s">
        <v>2028</v>
      </c>
    </row>
    <row r="2068" spans="1:4" x14ac:dyDescent="0.25">
      <c r="A2068" t="str">
        <f>"102040"</f>
        <v>102040</v>
      </c>
      <c r="B2068" t="s">
        <v>2035</v>
      </c>
      <c r="D2068" s="15" t="s">
        <v>1132</v>
      </c>
    </row>
    <row r="2069" spans="1:4" x14ac:dyDescent="0.25">
      <c r="A2069" t="str">
        <f>"102041"</f>
        <v>102041</v>
      </c>
      <c r="B2069" t="s">
        <v>2036</v>
      </c>
      <c r="D2069" s="15" t="s">
        <v>780</v>
      </c>
    </row>
    <row r="2070" spans="1:4" x14ac:dyDescent="0.25">
      <c r="A2070" t="str">
        <f>"102042"</f>
        <v>102042</v>
      </c>
      <c r="B2070" t="s">
        <v>2037</v>
      </c>
      <c r="D2070" s="15" t="s">
        <v>205</v>
      </c>
    </row>
    <row r="2071" spans="1:4" x14ac:dyDescent="0.25">
      <c r="A2071" t="str">
        <f>"102043"</f>
        <v>102043</v>
      </c>
      <c r="B2071" t="s">
        <v>2038</v>
      </c>
      <c r="D2071" s="15" t="s">
        <v>64</v>
      </c>
    </row>
    <row r="2072" spans="1:4" x14ac:dyDescent="0.25">
      <c r="A2072" t="str">
        <f>"102044"</f>
        <v>102044</v>
      </c>
      <c r="B2072" t="s">
        <v>2039</v>
      </c>
      <c r="D2072" s="15" t="s">
        <v>206</v>
      </c>
    </row>
    <row r="2073" spans="1:4" x14ac:dyDescent="0.25">
      <c r="A2073" t="str">
        <f>"102045"</f>
        <v>102045</v>
      </c>
      <c r="B2073" t="s">
        <v>2040</v>
      </c>
      <c r="D2073" s="15" t="s">
        <v>2546</v>
      </c>
    </row>
    <row r="2074" spans="1:4" x14ac:dyDescent="0.25">
      <c r="A2074" t="str">
        <f>"102046"</f>
        <v>102046</v>
      </c>
      <c r="B2074" t="s">
        <v>2041</v>
      </c>
      <c r="D2074" s="15" t="s">
        <v>2595</v>
      </c>
    </row>
    <row r="2075" spans="1:4" x14ac:dyDescent="0.25">
      <c r="A2075" t="str">
        <f>"102047"</f>
        <v>102047</v>
      </c>
      <c r="B2075" t="s">
        <v>2042</v>
      </c>
      <c r="D2075" s="15" t="s">
        <v>2676</v>
      </c>
    </row>
    <row r="2076" spans="1:4" x14ac:dyDescent="0.25">
      <c r="A2076" t="str">
        <f>"102048"</f>
        <v>102048</v>
      </c>
      <c r="B2076" t="s">
        <v>2043</v>
      </c>
      <c r="D2076" s="15" t="s">
        <v>2660</v>
      </c>
    </row>
    <row r="2077" spans="1:4" x14ac:dyDescent="0.25">
      <c r="A2077" t="str">
        <f>"102049"</f>
        <v>102049</v>
      </c>
      <c r="B2077" t="s">
        <v>2044</v>
      </c>
      <c r="D2077" s="15" t="s">
        <v>701</v>
      </c>
    </row>
    <row r="2078" spans="1:4" x14ac:dyDescent="0.25">
      <c r="A2078" t="str">
        <f>"102050"</f>
        <v>102050</v>
      </c>
      <c r="B2078" t="s">
        <v>2045</v>
      </c>
      <c r="D2078" s="15" t="s">
        <v>530</v>
      </c>
    </row>
    <row r="2079" spans="1:4" x14ac:dyDescent="0.25">
      <c r="A2079" t="str">
        <f>"102051"</f>
        <v>102051</v>
      </c>
      <c r="B2079" t="s">
        <v>2046</v>
      </c>
      <c r="D2079" s="15" t="s">
        <v>724</v>
      </c>
    </row>
    <row r="2080" spans="1:4" x14ac:dyDescent="0.25">
      <c r="A2080" t="str">
        <f>"102052"</f>
        <v>102052</v>
      </c>
      <c r="B2080" t="s">
        <v>2047</v>
      </c>
      <c r="D2080" s="15" t="s">
        <v>2512</v>
      </c>
    </row>
    <row r="2081" spans="1:4" x14ac:dyDescent="0.25">
      <c r="A2081" t="str">
        <f>"102053"</f>
        <v>102053</v>
      </c>
      <c r="B2081" t="s">
        <v>2048</v>
      </c>
      <c r="D2081" s="15" t="s">
        <v>2661</v>
      </c>
    </row>
    <row r="2082" spans="1:4" x14ac:dyDescent="0.25">
      <c r="A2082" t="str">
        <f>"102054"</f>
        <v>102054</v>
      </c>
      <c r="B2082" t="s">
        <v>2049</v>
      </c>
      <c r="D2082" s="15" t="s">
        <v>2088</v>
      </c>
    </row>
    <row r="2083" spans="1:4" x14ac:dyDescent="0.25">
      <c r="A2083" t="str">
        <f>"102055"</f>
        <v>102055</v>
      </c>
      <c r="B2083" t="s">
        <v>2050</v>
      </c>
      <c r="D2083" s="15" t="s">
        <v>207</v>
      </c>
    </row>
    <row r="2084" spans="1:4" x14ac:dyDescent="0.25">
      <c r="A2084" t="str">
        <f>"102056"</f>
        <v>102056</v>
      </c>
      <c r="B2084" t="s">
        <v>2051</v>
      </c>
      <c r="D2084" s="15" t="s">
        <v>2188</v>
      </c>
    </row>
    <row r="2085" spans="1:4" x14ac:dyDescent="0.25">
      <c r="A2085" t="str">
        <f>"102057"</f>
        <v>102057</v>
      </c>
      <c r="B2085" t="s">
        <v>2052</v>
      </c>
      <c r="D2085" s="15" t="s">
        <v>2535</v>
      </c>
    </row>
    <row r="2086" spans="1:4" x14ac:dyDescent="0.25">
      <c r="A2086" t="str">
        <f>"102058"</f>
        <v>102058</v>
      </c>
      <c r="B2086" t="s">
        <v>2053</v>
      </c>
      <c r="D2086" s="15" t="s">
        <v>2297</v>
      </c>
    </row>
    <row r="2087" spans="1:4" x14ac:dyDescent="0.25">
      <c r="A2087" t="str">
        <f>"102059"</f>
        <v>102059</v>
      </c>
      <c r="B2087" t="s">
        <v>2054</v>
      </c>
      <c r="D2087" s="15" t="s">
        <v>1071</v>
      </c>
    </row>
    <row r="2088" spans="1:4" x14ac:dyDescent="0.25">
      <c r="A2088" t="str">
        <f>"102060"</f>
        <v>102060</v>
      </c>
      <c r="B2088" t="s">
        <v>2055</v>
      </c>
      <c r="D2088" s="15" t="s">
        <v>1159</v>
      </c>
    </row>
    <row r="2089" spans="1:4" x14ac:dyDescent="0.25">
      <c r="A2089" t="str">
        <f>"102061"</f>
        <v>102061</v>
      </c>
      <c r="B2089" t="s">
        <v>2056</v>
      </c>
      <c r="D2089" s="15" t="s">
        <v>1640</v>
      </c>
    </row>
    <row r="2090" spans="1:4" x14ac:dyDescent="0.25">
      <c r="A2090" t="str">
        <f>"102062"</f>
        <v>102062</v>
      </c>
      <c r="B2090" t="s">
        <v>2057</v>
      </c>
      <c r="D2090" s="15" t="s">
        <v>845</v>
      </c>
    </row>
    <row r="2091" spans="1:4" x14ac:dyDescent="0.25">
      <c r="A2091" t="str">
        <f>"102063"</f>
        <v>102063</v>
      </c>
      <c r="B2091" t="s">
        <v>2058</v>
      </c>
      <c r="D2091" s="15" t="s">
        <v>1612</v>
      </c>
    </row>
    <row r="2092" spans="1:4" x14ac:dyDescent="0.25">
      <c r="A2092" t="str">
        <f>"102064"</f>
        <v>102064</v>
      </c>
      <c r="B2092" t="s">
        <v>2059</v>
      </c>
      <c r="D2092" s="15" t="s">
        <v>1981</v>
      </c>
    </row>
    <row r="2093" spans="1:4" x14ac:dyDescent="0.25">
      <c r="A2093" t="str">
        <f>"102065"</f>
        <v>102065</v>
      </c>
      <c r="B2093" t="s">
        <v>2060</v>
      </c>
      <c r="D2093" s="15" t="s">
        <v>1884</v>
      </c>
    </row>
    <row r="2094" spans="1:4" x14ac:dyDescent="0.25">
      <c r="A2094" t="str">
        <f>"102066"</f>
        <v>102066</v>
      </c>
      <c r="B2094" t="s">
        <v>2061</v>
      </c>
      <c r="D2094" s="15" t="s">
        <v>1548</v>
      </c>
    </row>
    <row r="2095" spans="1:4" x14ac:dyDescent="0.25">
      <c r="A2095" t="str">
        <f>"102067"</f>
        <v>102067</v>
      </c>
      <c r="B2095" t="s">
        <v>2062</v>
      </c>
      <c r="D2095" s="15" t="s">
        <v>870</v>
      </c>
    </row>
    <row r="2096" spans="1:4" x14ac:dyDescent="0.25">
      <c r="A2096" t="str">
        <f>"102068"</f>
        <v>102068</v>
      </c>
      <c r="B2096" t="s">
        <v>2063</v>
      </c>
      <c r="D2096" s="15" t="s">
        <v>1253</v>
      </c>
    </row>
    <row r="2097" spans="1:4" x14ac:dyDescent="0.25">
      <c r="A2097" t="str">
        <f>"102069"</f>
        <v>102069</v>
      </c>
      <c r="B2097" t="s">
        <v>2064</v>
      </c>
      <c r="D2097" s="15" t="s">
        <v>660</v>
      </c>
    </row>
    <row r="2098" spans="1:4" x14ac:dyDescent="0.25">
      <c r="A2098" t="str">
        <f>"102070"</f>
        <v>102070</v>
      </c>
      <c r="B2098" t="s">
        <v>2065</v>
      </c>
      <c r="D2098" s="15" t="s">
        <v>1645</v>
      </c>
    </row>
    <row r="2099" spans="1:4" x14ac:dyDescent="0.25">
      <c r="A2099" t="str">
        <f>"102071"</f>
        <v>102071</v>
      </c>
      <c r="B2099" t="s">
        <v>2066</v>
      </c>
      <c r="D2099" s="15" t="s">
        <v>1208</v>
      </c>
    </row>
    <row r="2100" spans="1:4" x14ac:dyDescent="0.25">
      <c r="A2100" t="str">
        <f>"102072"</f>
        <v>102072</v>
      </c>
      <c r="B2100" t="s">
        <v>2067</v>
      </c>
      <c r="D2100" s="15" t="s">
        <v>463</v>
      </c>
    </row>
    <row r="2101" spans="1:4" x14ac:dyDescent="0.25">
      <c r="A2101" t="str">
        <f>"102073"</f>
        <v>102073</v>
      </c>
      <c r="B2101" t="s">
        <v>2068</v>
      </c>
      <c r="D2101" s="15" t="s">
        <v>950</v>
      </c>
    </row>
    <row r="2102" spans="1:4" x14ac:dyDescent="0.25">
      <c r="A2102" t="str">
        <f>"102074"</f>
        <v>102074</v>
      </c>
      <c r="B2102" t="s">
        <v>2069</v>
      </c>
      <c r="D2102" s="15" t="s">
        <v>464</v>
      </c>
    </row>
    <row r="2103" spans="1:4" x14ac:dyDescent="0.25">
      <c r="A2103" t="str">
        <f>"102075"</f>
        <v>102075</v>
      </c>
      <c r="B2103" t="s">
        <v>2070</v>
      </c>
      <c r="D2103" s="15" t="s">
        <v>865</v>
      </c>
    </row>
    <row r="2104" spans="1:4" x14ac:dyDescent="0.25">
      <c r="A2104" t="str">
        <f>"102076"</f>
        <v>102076</v>
      </c>
      <c r="B2104" t="s">
        <v>2071</v>
      </c>
      <c r="D2104" s="15" t="s">
        <v>462</v>
      </c>
    </row>
    <row r="2105" spans="1:4" x14ac:dyDescent="0.25">
      <c r="A2105" t="str">
        <f>"102077"</f>
        <v>102077</v>
      </c>
      <c r="B2105" t="s">
        <v>2072</v>
      </c>
      <c r="D2105" s="15" t="s">
        <v>973</v>
      </c>
    </row>
    <row r="2106" spans="1:4" x14ac:dyDescent="0.25">
      <c r="A2106" t="str">
        <f>"102078"</f>
        <v>102078</v>
      </c>
      <c r="B2106" t="s">
        <v>2073</v>
      </c>
      <c r="D2106" s="15" t="s">
        <v>658</v>
      </c>
    </row>
    <row r="2107" spans="1:4" x14ac:dyDescent="0.25">
      <c r="A2107" t="str">
        <f>"102079"</f>
        <v>102079</v>
      </c>
      <c r="B2107" t="s">
        <v>2074</v>
      </c>
      <c r="D2107" s="15" t="s">
        <v>1461</v>
      </c>
    </row>
    <row r="2108" spans="1:4" x14ac:dyDescent="0.25">
      <c r="A2108" t="str">
        <f>"102080"</f>
        <v>102080</v>
      </c>
      <c r="B2108" t="s">
        <v>2075</v>
      </c>
      <c r="D2108" s="15" t="s">
        <v>1074</v>
      </c>
    </row>
    <row r="2109" spans="1:4" x14ac:dyDescent="0.25">
      <c r="A2109" t="str">
        <f>"102081"</f>
        <v>102081</v>
      </c>
      <c r="B2109" t="s">
        <v>2076</v>
      </c>
      <c r="D2109" s="15" t="s">
        <v>1703</v>
      </c>
    </row>
    <row r="2110" spans="1:4" x14ac:dyDescent="0.25">
      <c r="A2110" t="str">
        <f>"102082"</f>
        <v>102082</v>
      </c>
      <c r="B2110" t="s">
        <v>2077</v>
      </c>
      <c r="D2110" s="15" t="s">
        <v>681</v>
      </c>
    </row>
    <row r="2111" spans="1:4" x14ac:dyDescent="0.25">
      <c r="A2111" t="str">
        <f>"102083"</f>
        <v>102083</v>
      </c>
      <c r="B2111" t="s">
        <v>2078</v>
      </c>
      <c r="D2111" s="15" t="s">
        <v>1129</v>
      </c>
    </row>
    <row r="2112" spans="1:4" x14ac:dyDescent="0.25">
      <c r="A2112" t="str">
        <f>"102084"</f>
        <v>102084</v>
      </c>
      <c r="B2112" t="s">
        <v>2079</v>
      </c>
      <c r="D2112" s="15" t="s">
        <v>1532</v>
      </c>
    </row>
    <row r="2113" spans="1:4" x14ac:dyDescent="0.25">
      <c r="A2113" t="str">
        <f>"102085"</f>
        <v>102085</v>
      </c>
      <c r="B2113" t="s">
        <v>2080</v>
      </c>
      <c r="D2113" s="15" t="s">
        <v>953</v>
      </c>
    </row>
    <row r="2114" spans="1:4" x14ac:dyDescent="0.25">
      <c r="A2114" t="str">
        <f>"102086"</f>
        <v>102086</v>
      </c>
      <c r="B2114" t="s">
        <v>2081</v>
      </c>
      <c r="D2114" s="15" t="s">
        <v>1894</v>
      </c>
    </row>
    <row r="2115" spans="1:4" x14ac:dyDescent="0.25">
      <c r="A2115" t="str">
        <f>"102087"</f>
        <v>102087</v>
      </c>
      <c r="B2115" t="s">
        <v>2082</v>
      </c>
      <c r="D2115" s="15" t="s">
        <v>637</v>
      </c>
    </row>
    <row r="2116" spans="1:4" x14ac:dyDescent="0.25">
      <c r="A2116" t="str">
        <f>"102088"</f>
        <v>102088</v>
      </c>
      <c r="B2116" t="s">
        <v>2083</v>
      </c>
      <c r="D2116" s="15" t="s">
        <v>960</v>
      </c>
    </row>
    <row r="2117" spans="1:4" x14ac:dyDescent="0.25">
      <c r="A2117" t="str">
        <f>"102089"</f>
        <v>102089</v>
      </c>
      <c r="B2117" t="s">
        <v>2084</v>
      </c>
      <c r="D2117" s="15" t="s">
        <v>592</v>
      </c>
    </row>
    <row r="2118" spans="1:4" x14ac:dyDescent="0.25">
      <c r="A2118" t="str">
        <f>"102090"</f>
        <v>102090</v>
      </c>
      <c r="B2118" t="s">
        <v>2085</v>
      </c>
      <c r="D2118" s="15" t="s">
        <v>1555</v>
      </c>
    </row>
    <row r="2119" spans="1:4" x14ac:dyDescent="0.25">
      <c r="A2119" t="str">
        <f>"102091"</f>
        <v>102091</v>
      </c>
      <c r="B2119" t="s">
        <v>2086</v>
      </c>
      <c r="D2119" s="15" t="s">
        <v>598</v>
      </c>
    </row>
    <row r="2120" spans="1:4" x14ac:dyDescent="0.25">
      <c r="A2120" t="str">
        <f>"102092"</f>
        <v>102092</v>
      </c>
      <c r="B2120" t="s">
        <v>2087</v>
      </c>
      <c r="D2120" s="15" t="s">
        <v>1234</v>
      </c>
    </row>
    <row r="2121" spans="1:4" x14ac:dyDescent="0.25">
      <c r="A2121" t="str">
        <f>"102093"</f>
        <v>102093</v>
      </c>
      <c r="B2121" t="s">
        <v>2088</v>
      </c>
      <c r="D2121" s="15" t="s">
        <v>1622</v>
      </c>
    </row>
    <row r="2122" spans="1:4" x14ac:dyDescent="0.25">
      <c r="A2122" t="str">
        <f>"102094"</f>
        <v>102094</v>
      </c>
      <c r="B2122" t="s">
        <v>2089</v>
      </c>
      <c r="D2122" s="15" t="s">
        <v>1809</v>
      </c>
    </row>
    <row r="2123" spans="1:4" x14ac:dyDescent="0.25">
      <c r="A2123" t="str">
        <f>"102095"</f>
        <v>102095</v>
      </c>
      <c r="B2123" t="s">
        <v>2090</v>
      </c>
      <c r="D2123" s="15" t="s">
        <v>841</v>
      </c>
    </row>
    <row r="2124" spans="1:4" x14ac:dyDescent="0.25">
      <c r="A2124" t="str">
        <f>"102096"</f>
        <v>102096</v>
      </c>
      <c r="B2124" t="s">
        <v>2091</v>
      </c>
      <c r="D2124" s="15" t="s">
        <v>1359</v>
      </c>
    </row>
    <row r="2125" spans="1:4" x14ac:dyDescent="0.25">
      <c r="A2125" t="str">
        <f>"102097"</f>
        <v>102097</v>
      </c>
      <c r="B2125" t="s">
        <v>2092</v>
      </c>
      <c r="D2125" s="15" t="s">
        <v>867</v>
      </c>
    </row>
    <row r="2126" spans="1:4" x14ac:dyDescent="0.25">
      <c r="A2126" t="str">
        <f>"102098"</f>
        <v>102098</v>
      </c>
      <c r="B2126" t="s">
        <v>2093</v>
      </c>
      <c r="D2126" s="15" t="s">
        <v>1811</v>
      </c>
    </row>
    <row r="2127" spans="1:4" x14ac:dyDescent="0.25">
      <c r="A2127" t="str">
        <f>"102099"</f>
        <v>102099</v>
      </c>
      <c r="B2127" t="s">
        <v>2094</v>
      </c>
      <c r="D2127" s="15" t="s">
        <v>2339</v>
      </c>
    </row>
    <row r="2128" spans="1:4" x14ac:dyDescent="0.25">
      <c r="A2128" t="str">
        <f>"102100"</f>
        <v>102100</v>
      </c>
      <c r="B2128" t="s">
        <v>2095</v>
      </c>
      <c r="D2128" s="15" t="s">
        <v>1722</v>
      </c>
    </row>
    <row r="2129" spans="1:4" x14ac:dyDescent="0.25">
      <c r="A2129" t="str">
        <f>"102101"</f>
        <v>102101</v>
      </c>
      <c r="B2129" t="s">
        <v>2096</v>
      </c>
      <c r="D2129" s="15" t="s">
        <v>2303</v>
      </c>
    </row>
    <row r="2130" spans="1:4" x14ac:dyDescent="0.25">
      <c r="A2130" t="str">
        <f>"102102"</f>
        <v>102102</v>
      </c>
      <c r="B2130" t="s">
        <v>2097</v>
      </c>
      <c r="D2130" s="15" t="s">
        <v>921</v>
      </c>
    </row>
    <row r="2131" spans="1:4" x14ac:dyDescent="0.25">
      <c r="A2131" t="str">
        <f>"102103"</f>
        <v>102103</v>
      </c>
      <c r="B2131" t="s">
        <v>2098</v>
      </c>
      <c r="D2131" s="15" t="s">
        <v>1922</v>
      </c>
    </row>
    <row r="2132" spans="1:4" x14ac:dyDescent="0.25">
      <c r="A2132" t="str">
        <f>"102104"</f>
        <v>102104</v>
      </c>
      <c r="B2132" t="s">
        <v>2099</v>
      </c>
      <c r="D2132" s="15" t="s">
        <v>566</v>
      </c>
    </row>
    <row r="2133" spans="1:4" x14ac:dyDescent="0.25">
      <c r="A2133" t="str">
        <f>"102105"</f>
        <v>102105</v>
      </c>
      <c r="B2133" t="s">
        <v>2100</v>
      </c>
      <c r="D2133" s="15" t="s">
        <v>574</v>
      </c>
    </row>
    <row r="2134" spans="1:4" x14ac:dyDescent="0.25">
      <c r="A2134" t="str">
        <f>"102106"</f>
        <v>102106</v>
      </c>
      <c r="B2134" t="s">
        <v>2101</v>
      </c>
      <c r="D2134" s="15" t="s">
        <v>1289</v>
      </c>
    </row>
    <row r="2135" spans="1:4" x14ac:dyDescent="0.25">
      <c r="A2135" t="str">
        <f>"102107"</f>
        <v>102107</v>
      </c>
      <c r="B2135" t="s">
        <v>2102</v>
      </c>
      <c r="D2135" s="15" t="s">
        <v>2085</v>
      </c>
    </row>
    <row r="2136" spans="1:4" x14ac:dyDescent="0.25">
      <c r="A2136" t="str">
        <f>"102108"</f>
        <v>102108</v>
      </c>
      <c r="B2136" t="s">
        <v>2103</v>
      </c>
      <c r="D2136" s="15" t="s">
        <v>123</v>
      </c>
    </row>
    <row r="2137" spans="1:4" x14ac:dyDescent="0.25">
      <c r="A2137" t="str">
        <f>"102109"</f>
        <v>102109</v>
      </c>
      <c r="B2137" t="s">
        <v>2104</v>
      </c>
      <c r="D2137" s="15" t="s">
        <v>1144</v>
      </c>
    </row>
    <row r="2138" spans="1:4" x14ac:dyDescent="0.25">
      <c r="A2138" t="str">
        <f>"102110"</f>
        <v>102110</v>
      </c>
      <c r="B2138" t="s">
        <v>2105</v>
      </c>
      <c r="D2138" s="15" t="s">
        <v>2734</v>
      </c>
    </row>
    <row r="2139" spans="1:4" x14ac:dyDescent="0.25">
      <c r="A2139" t="str">
        <f>"102111"</f>
        <v>102111</v>
      </c>
      <c r="B2139" t="s">
        <v>2106</v>
      </c>
      <c r="D2139" s="15" t="s">
        <v>67</v>
      </c>
    </row>
    <row r="2140" spans="1:4" x14ac:dyDescent="0.25">
      <c r="A2140" t="str">
        <f>"102112"</f>
        <v>102112</v>
      </c>
      <c r="B2140" t="s">
        <v>2107</v>
      </c>
      <c r="D2140" s="15" t="s">
        <v>208</v>
      </c>
    </row>
    <row r="2141" spans="1:4" x14ac:dyDescent="0.25">
      <c r="A2141" t="str">
        <f>"102113"</f>
        <v>102113</v>
      </c>
      <c r="B2141" t="s">
        <v>2108</v>
      </c>
      <c r="D2141" s="15" t="s">
        <v>1082</v>
      </c>
    </row>
    <row r="2142" spans="1:4" x14ac:dyDescent="0.25">
      <c r="A2142" t="str">
        <f>"102114"</f>
        <v>102114</v>
      </c>
      <c r="B2142" t="s">
        <v>2109</v>
      </c>
      <c r="D2142" s="15" t="s">
        <v>903</v>
      </c>
    </row>
    <row r="2143" spans="1:4" x14ac:dyDescent="0.25">
      <c r="A2143" t="str">
        <f>"102115"</f>
        <v>102115</v>
      </c>
      <c r="B2143" t="s">
        <v>2110</v>
      </c>
      <c r="D2143" s="15" t="s">
        <v>1763</v>
      </c>
    </row>
    <row r="2144" spans="1:4" x14ac:dyDescent="0.25">
      <c r="A2144" t="str">
        <f>"102116"</f>
        <v>102116</v>
      </c>
      <c r="B2144" t="s">
        <v>2111</v>
      </c>
      <c r="D2144" s="15" t="s">
        <v>2709</v>
      </c>
    </row>
    <row r="2145" spans="1:4" x14ac:dyDescent="0.25">
      <c r="A2145" t="str">
        <f>"102117"</f>
        <v>102117</v>
      </c>
      <c r="B2145" t="s">
        <v>2112</v>
      </c>
      <c r="D2145" s="15" t="s">
        <v>1681</v>
      </c>
    </row>
    <row r="2146" spans="1:4" x14ac:dyDescent="0.25">
      <c r="A2146" t="str">
        <f>"102118"</f>
        <v>102118</v>
      </c>
      <c r="B2146" t="s">
        <v>2113</v>
      </c>
      <c r="D2146" s="15" t="s">
        <v>1148</v>
      </c>
    </row>
    <row r="2147" spans="1:4" x14ac:dyDescent="0.25">
      <c r="A2147" t="str">
        <f>"102119"</f>
        <v>102119</v>
      </c>
      <c r="B2147" t="s">
        <v>2114</v>
      </c>
      <c r="D2147" s="15" t="s">
        <v>1067</v>
      </c>
    </row>
    <row r="2148" spans="1:4" x14ac:dyDescent="0.25">
      <c r="A2148" t="str">
        <f>"102120"</f>
        <v>102120</v>
      </c>
      <c r="B2148" t="s">
        <v>2115</v>
      </c>
      <c r="D2148" s="15" t="s">
        <v>465</v>
      </c>
    </row>
    <row r="2149" spans="1:4" x14ac:dyDescent="0.25">
      <c r="A2149" t="str">
        <f>"102121"</f>
        <v>102121</v>
      </c>
      <c r="B2149" t="s">
        <v>2116</v>
      </c>
      <c r="D2149" s="15" t="s">
        <v>2390</v>
      </c>
    </row>
    <row r="2150" spans="1:4" x14ac:dyDescent="0.25">
      <c r="A2150" t="str">
        <f>"102122"</f>
        <v>102122</v>
      </c>
      <c r="B2150" t="s">
        <v>2117</v>
      </c>
      <c r="D2150" s="15" t="s">
        <v>2441</v>
      </c>
    </row>
    <row r="2151" spans="1:4" x14ac:dyDescent="0.25">
      <c r="A2151" t="str">
        <f>"102123"</f>
        <v>102123</v>
      </c>
      <c r="B2151" t="s">
        <v>2118</v>
      </c>
      <c r="D2151" s="15" t="s">
        <v>69</v>
      </c>
    </row>
    <row r="2152" spans="1:4" x14ac:dyDescent="0.25">
      <c r="A2152" t="str">
        <f>"102124"</f>
        <v>102124</v>
      </c>
      <c r="B2152" t="s">
        <v>2119</v>
      </c>
      <c r="D2152" s="15" t="s">
        <v>482</v>
      </c>
    </row>
    <row r="2153" spans="1:4" x14ac:dyDescent="0.25">
      <c r="A2153" t="str">
        <f>"102125"</f>
        <v>102125</v>
      </c>
      <c r="B2153" t="s">
        <v>2120</v>
      </c>
      <c r="D2153" s="15" t="s">
        <v>2795</v>
      </c>
    </row>
    <row r="2154" spans="1:4" x14ac:dyDescent="0.25">
      <c r="A2154" t="str">
        <f>"102126"</f>
        <v>102126</v>
      </c>
      <c r="B2154" t="s">
        <v>2121</v>
      </c>
      <c r="D2154" s="15" t="s">
        <v>1783</v>
      </c>
    </row>
    <row r="2155" spans="1:4" x14ac:dyDescent="0.25">
      <c r="A2155" t="str">
        <f>"102127"</f>
        <v>102127</v>
      </c>
      <c r="B2155" t="s">
        <v>2122</v>
      </c>
      <c r="D2155" s="15" t="s">
        <v>2211</v>
      </c>
    </row>
    <row r="2156" spans="1:4" x14ac:dyDescent="0.25">
      <c r="A2156" t="str">
        <f>"102128"</f>
        <v>102128</v>
      </c>
      <c r="B2156" t="s">
        <v>2123</v>
      </c>
      <c r="D2156" s="15" t="s">
        <v>158</v>
      </c>
    </row>
    <row r="2157" spans="1:4" x14ac:dyDescent="0.25">
      <c r="A2157" t="str">
        <f>"102129"</f>
        <v>102129</v>
      </c>
      <c r="B2157" t="s">
        <v>2124</v>
      </c>
      <c r="D2157" s="15" t="s">
        <v>1331</v>
      </c>
    </row>
    <row r="2158" spans="1:4" x14ac:dyDescent="0.25">
      <c r="A2158" t="str">
        <f>"102130"</f>
        <v>102130</v>
      </c>
      <c r="B2158" t="s">
        <v>2125</v>
      </c>
      <c r="D2158" s="15" t="s">
        <v>71</v>
      </c>
    </row>
    <row r="2159" spans="1:4" x14ac:dyDescent="0.25">
      <c r="A2159" t="str">
        <f>"102131"</f>
        <v>102131</v>
      </c>
      <c r="B2159" t="s">
        <v>2126</v>
      </c>
      <c r="D2159" s="15" t="s">
        <v>1291</v>
      </c>
    </row>
    <row r="2160" spans="1:4" x14ac:dyDescent="0.25">
      <c r="A2160" t="str">
        <f>"102132"</f>
        <v>102132</v>
      </c>
      <c r="B2160" t="s">
        <v>2127</v>
      </c>
      <c r="D2160" s="15" t="s">
        <v>70</v>
      </c>
    </row>
    <row r="2161" spans="1:4" x14ac:dyDescent="0.25">
      <c r="A2161" t="str">
        <f>"102133"</f>
        <v>102133</v>
      </c>
      <c r="B2161" t="s">
        <v>2128</v>
      </c>
      <c r="D2161" s="15" t="s">
        <v>1671</v>
      </c>
    </row>
    <row r="2162" spans="1:4" x14ac:dyDescent="0.25">
      <c r="A2162" t="str">
        <f>"102134"</f>
        <v>102134</v>
      </c>
      <c r="B2162" t="s">
        <v>2129</v>
      </c>
      <c r="D2162" s="15" t="s">
        <v>1172</v>
      </c>
    </row>
    <row r="2163" spans="1:4" x14ac:dyDescent="0.25">
      <c r="A2163" t="str">
        <f>"102135"</f>
        <v>102135</v>
      </c>
      <c r="B2163" t="s">
        <v>2130</v>
      </c>
      <c r="D2163" s="15" t="s">
        <v>1766</v>
      </c>
    </row>
    <row r="2164" spans="1:4" x14ac:dyDescent="0.25">
      <c r="A2164" t="str">
        <f>"102136"</f>
        <v>102136</v>
      </c>
      <c r="B2164" t="s">
        <v>2131</v>
      </c>
      <c r="D2164" s="15" t="s">
        <v>68</v>
      </c>
    </row>
    <row r="2165" spans="1:4" x14ac:dyDescent="0.25">
      <c r="A2165" t="str">
        <f>"102137"</f>
        <v>102137</v>
      </c>
      <c r="B2165" t="s">
        <v>2132</v>
      </c>
      <c r="D2165" s="15" t="s">
        <v>1952</v>
      </c>
    </row>
    <row r="2166" spans="1:4" x14ac:dyDescent="0.25">
      <c r="A2166" t="str">
        <f>"102138"</f>
        <v>102138</v>
      </c>
      <c r="B2166" t="s">
        <v>2133</v>
      </c>
      <c r="D2166" s="15" t="s">
        <v>2315</v>
      </c>
    </row>
    <row r="2167" spans="1:4" x14ac:dyDescent="0.25">
      <c r="A2167" t="str">
        <f>"102140"</f>
        <v>102140</v>
      </c>
      <c r="B2167" t="s">
        <v>2134</v>
      </c>
      <c r="D2167" s="15" t="s">
        <v>1605</v>
      </c>
    </row>
    <row r="2168" spans="1:4" x14ac:dyDescent="0.25">
      <c r="A2168" t="str">
        <f>"102141"</f>
        <v>102141</v>
      </c>
      <c r="B2168" t="s">
        <v>2135</v>
      </c>
      <c r="D2168" s="15" t="s">
        <v>1181</v>
      </c>
    </row>
    <row r="2169" spans="1:4" x14ac:dyDescent="0.25">
      <c r="A2169" t="str">
        <f>"102142"</f>
        <v>102142</v>
      </c>
      <c r="B2169" t="s">
        <v>2136</v>
      </c>
      <c r="D2169" s="15" t="s">
        <v>1110</v>
      </c>
    </row>
    <row r="2170" spans="1:4" x14ac:dyDescent="0.25">
      <c r="A2170" t="str">
        <f>"102143"</f>
        <v>102143</v>
      </c>
      <c r="B2170" t="s">
        <v>2137</v>
      </c>
      <c r="D2170" s="15" t="s">
        <v>1495</v>
      </c>
    </row>
    <row r="2171" spans="1:4" x14ac:dyDescent="0.25">
      <c r="A2171" t="str">
        <f>"102144"</f>
        <v>102144</v>
      </c>
      <c r="B2171" t="s">
        <v>2138</v>
      </c>
      <c r="D2171" s="15" t="s">
        <v>1147</v>
      </c>
    </row>
    <row r="2172" spans="1:4" x14ac:dyDescent="0.25">
      <c r="A2172" t="str">
        <f>"102145"</f>
        <v>102145</v>
      </c>
      <c r="B2172" t="s">
        <v>2139</v>
      </c>
      <c r="D2172" s="15" t="s">
        <v>1973</v>
      </c>
    </row>
    <row r="2173" spans="1:4" x14ac:dyDescent="0.25">
      <c r="A2173" t="str">
        <f>"102146"</f>
        <v>102146</v>
      </c>
      <c r="B2173" t="s">
        <v>2140</v>
      </c>
      <c r="D2173" s="15" t="s">
        <v>62</v>
      </c>
    </row>
    <row r="2174" spans="1:4" x14ac:dyDescent="0.25">
      <c r="A2174" t="str">
        <f>"102147"</f>
        <v>102147</v>
      </c>
      <c r="B2174" t="s">
        <v>2141</v>
      </c>
      <c r="D2174" s="15" t="s">
        <v>844</v>
      </c>
    </row>
    <row r="2175" spans="1:4" x14ac:dyDescent="0.25">
      <c r="A2175" t="str">
        <f>"102148"</f>
        <v>102148</v>
      </c>
      <c r="B2175" t="s">
        <v>2142</v>
      </c>
      <c r="D2175" s="15" t="s">
        <v>873</v>
      </c>
    </row>
    <row r="2176" spans="1:4" x14ac:dyDescent="0.25">
      <c r="A2176" t="str">
        <f>"102149"</f>
        <v>102149</v>
      </c>
      <c r="B2176" t="s">
        <v>2143</v>
      </c>
      <c r="D2176" s="15" t="s">
        <v>572</v>
      </c>
    </row>
    <row r="2177" spans="1:4" x14ac:dyDescent="0.25">
      <c r="A2177" t="str">
        <f>"102150"</f>
        <v>102150</v>
      </c>
      <c r="B2177" t="s">
        <v>2144</v>
      </c>
      <c r="D2177" s="15" t="s">
        <v>1585</v>
      </c>
    </row>
    <row r="2178" spans="1:4" x14ac:dyDescent="0.25">
      <c r="A2178" t="str">
        <f>"102151"</f>
        <v>102151</v>
      </c>
      <c r="B2178" t="s">
        <v>2145</v>
      </c>
      <c r="D2178" s="15" t="s">
        <v>1773</v>
      </c>
    </row>
    <row r="2179" spans="1:4" x14ac:dyDescent="0.25">
      <c r="A2179" t="str">
        <f>"102152"</f>
        <v>102152</v>
      </c>
      <c r="B2179" t="s">
        <v>2146</v>
      </c>
      <c r="D2179" s="15" t="s">
        <v>73</v>
      </c>
    </row>
    <row r="2180" spans="1:4" x14ac:dyDescent="0.25">
      <c r="A2180" t="str">
        <f>"102153"</f>
        <v>102153</v>
      </c>
      <c r="B2180" t="s">
        <v>2147</v>
      </c>
      <c r="D2180" s="15" t="s">
        <v>159</v>
      </c>
    </row>
    <row r="2181" spans="1:4" x14ac:dyDescent="0.25">
      <c r="A2181" t="str">
        <f>"102154"</f>
        <v>102154</v>
      </c>
      <c r="B2181" t="s">
        <v>2148</v>
      </c>
      <c r="D2181" s="15" t="s">
        <v>2721</v>
      </c>
    </row>
    <row r="2182" spans="1:4" x14ac:dyDescent="0.25">
      <c r="A2182" t="str">
        <f>"102155"</f>
        <v>102155</v>
      </c>
      <c r="B2182" t="s">
        <v>2149</v>
      </c>
      <c r="D2182" s="15" t="s">
        <v>1033</v>
      </c>
    </row>
    <row r="2183" spans="1:4" x14ac:dyDescent="0.25">
      <c r="A2183" t="str">
        <f>"102156"</f>
        <v>102156</v>
      </c>
      <c r="B2183" t="s">
        <v>2150</v>
      </c>
      <c r="D2183" s="15" t="s">
        <v>2610</v>
      </c>
    </row>
    <row r="2184" spans="1:4" x14ac:dyDescent="0.25">
      <c r="A2184" t="str">
        <f>"102157"</f>
        <v>102157</v>
      </c>
      <c r="B2184" t="s">
        <v>2151</v>
      </c>
      <c r="D2184" s="15" t="s">
        <v>662</v>
      </c>
    </row>
    <row r="2185" spans="1:4" x14ac:dyDescent="0.25">
      <c r="A2185" t="str">
        <f>"102158"</f>
        <v>102158</v>
      </c>
      <c r="B2185" t="s">
        <v>2152</v>
      </c>
      <c r="D2185" s="15" t="s">
        <v>1465</v>
      </c>
    </row>
    <row r="2186" spans="1:4" x14ac:dyDescent="0.25">
      <c r="A2186" t="str">
        <f>"102159"</f>
        <v>102159</v>
      </c>
      <c r="B2186" t="s">
        <v>2153</v>
      </c>
      <c r="D2186" s="15" t="s">
        <v>2270</v>
      </c>
    </row>
    <row r="2187" spans="1:4" x14ac:dyDescent="0.25">
      <c r="A2187" t="str">
        <f>"102160"</f>
        <v>102160</v>
      </c>
      <c r="B2187" t="s">
        <v>2154</v>
      </c>
      <c r="D2187" s="15" t="s">
        <v>1210</v>
      </c>
    </row>
    <row r="2188" spans="1:4" x14ac:dyDescent="0.25">
      <c r="A2188" t="str">
        <f>"102161"</f>
        <v>102161</v>
      </c>
      <c r="B2188" t="s">
        <v>2155</v>
      </c>
      <c r="D2188" s="15" t="s">
        <v>554</v>
      </c>
    </row>
    <row r="2189" spans="1:4" x14ac:dyDescent="0.25">
      <c r="A2189" t="str">
        <f>"102164"</f>
        <v>102164</v>
      </c>
      <c r="B2189" t="s">
        <v>2156</v>
      </c>
      <c r="D2189" s="15" t="s">
        <v>466</v>
      </c>
    </row>
    <row r="2190" spans="1:4" x14ac:dyDescent="0.25">
      <c r="A2190" t="str">
        <f>"102165"</f>
        <v>102165</v>
      </c>
      <c r="B2190" t="s">
        <v>2157</v>
      </c>
      <c r="D2190" s="15" t="s">
        <v>75</v>
      </c>
    </row>
    <row r="2191" spans="1:4" x14ac:dyDescent="0.25">
      <c r="A2191" t="str">
        <f>"102166"</f>
        <v>102166</v>
      </c>
      <c r="B2191" t="s">
        <v>2158</v>
      </c>
      <c r="D2191" s="15" t="s">
        <v>1051</v>
      </c>
    </row>
    <row r="2192" spans="1:4" x14ac:dyDescent="0.25">
      <c r="A2192" t="str">
        <f>"102167"</f>
        <v>102167</v>
      </c>
      <c r="B2192" t="s">
        <v>2159</v>
      </c>
      <c r="D2192" s="15" t="s">
        <v>2739</v>
      </c>
    </row>
    <row r="2193" spans="1:4" x14ac:dyDescent="0.25">
      <c r="A2193" t="str">
        <f>"102168"</f>
        <v>102168</v>
      </c>
      <c r="B2193" t="s">
        <v>2160</v>
      </c>
      <c r="D2193" s="15" t="s">
        <v>1191</v>
      </c>
    </row>
    <row r="2194" spans="1:4" x14ac:dyDescent="0.25">
      <c r="A2194" t="str">
        <f>"102169"</f>
        <v>102169</v>
      </c>
      <c r="B2194" t="s">
        <v>2161</v>
      </c>
      <c r="D2194" s="15" t="s">
        <v>1549</v>
      </c>
    </row>
    <row r="2195" spans="1:4" x14ac:dyDescent="0.25">
      <c r="A2195" t="str">
        <f>"102170"</f>
        <v>102170</v>
      </c>
      <c r="B2195" t="s">
        <v>2162</v>
      </c>
      <c r="D2195" s="15" t="s">
        <v>74</v>
      </c>
    </row>
    <row r="2196" spans="1:4" x14ac:dyDescent="0.25">
      <c r="A2196" t="str">
        <f>"102171"</f>
        <v>102171</v>
      </c>
      <c r="B2196" t="s">
        <v>2163</v>
      </c>
      <c r="D2196" s="15" t="s">
        <v>2401</v>
      </c>
    </row>
    <row r="2197" spans="1:4" x14ac:dyDescent="0.25">
      <c r="A2197" t="str">
        <f>"102172"</f>
        <v>102172</v>
      </c>
      <c r="B2197" t="s">
        <v>2164</v>
      </c>
      <c r="D2197" s="15" t="s">
        <v>1695</v>
      </c>
    </row>
    <row r="2198" spans="1:4" x14ac:dyDescent="0.25">
      <c r="A2198" t="str">
        <f>"102173"</f>
        <v>102173</v>
      </c>
      <c r="B2198" t="s">
        <v>2165</v>
      </c>
      <c r="D2198" s="15" t="s">
        <v>938</v>
      </c>
    </row>
    <row r="2199" spans="1:4" x14ac:dyDescent="0.25">
      <c r="A2199" t="str">
        <f>"102174"</f>
        <v>102174</v>
      </c>
      <c r="B2199" t="s">
        <v>2166</v>
      </c>
      <c r="D2199" s="15" t="s">
        <v>2256</v>
      </c>
    </row>
    <row r="2200" spans="1:4" x14ac:dyDescent="0.25">
      <c r="A2200" t="str">
        <f>"102175"</f>
        <v>102175</v>
      </c>
      <c r="B2200" t="s">
        <v>2167</v>
      </c>
      <c r="D2200" s="15" t="s">
        <v>1397</v>
      </c>
    </row>
    <row r="2201" spans="1:4" x14ac:dyDescent="0.25">
      <c r="A2201" t="str">
        <f>"102176"</f>
        <v>102176</v>
      </c>
      <c r="B2201" t="s">
        <v>2168</v>
      </c>
      <c r="D2201" s="15" t="s">
        <v>2194</v>
      </c>
    </row>
    <row r="2202" spans="1:4" x14ac:dyDescent="0.25">
      <c r="A2202" t="str">
        <f>"102177"</f>
        <v>102177</v>
      </c>
      <c r="B2202" t="s">
        <v>2169</v>
      </c>
      <c r="D2202" s="15" t="s">
        <v>1173</v>
      </c>
    </row>
    <row r="2203" spans="1:4" x14ac:dyDescent="0.25">
      <c r="A2203" t="str">
        <f>"102178"</f>
        <v>102178</v>
      </c>
      <c r="B2203" t="s">
        <v>2170</v>
      </c>
      <c r="D2203" s="15" t="s">
        <v>1551</v>
      </c>
    </row>
    <row r="2204" spans="1:4" x14ac:dyDescent="0.25">
      <c r="A2204" t="str">
        <f>"102179"</f>
        <v>102179</v>
      </c>
      <c r="B2204" t="s">
        <v>2171</v>
      </c>
      <c r="D2204" s="15" t="s">
        <v>2741</v>
      </c>
    </row>
    <row r="2205" spans="1:4" x14ac:dyDescent="0.25">
      <c r="A2205" t="str">
        <f>"102180"</f>
        <v>102180</v>
      </c>
      <c r="B2205" t="s">
        <v>2172</v>
      </c>
      <c r="D2205" s="15" t="s">
        <v>78</v>
      </c>
    </row>
    <row r="2206" spans="1:4" x14ac:dyDescent="0.25">
      <c r="A2206" t="str">
        <f>"102181"</f>
        <v>102181</v>
      </c>
      <c r="B2206" t="s">
        <v>2173</v>
      </c>
      <c r="D2206" s="15" t="s">
        <v>2068</v>
      </c>
    </row>
    <row r="2207" spans="1:4" x14ac:dyDescent="0.25">
      <c r="A2207" t="str">
        <f>"102182"</f>
        <v>102182</v>
      </c>
      <c r="B2207" t="s">
        <v>2174</v>
      </c>
      <c r="D2207" s="15" t="s">
        <v>2062</v>
      </c>
    </row>
    <row r="2208" spans="1:4" x14ac:dyDescent="0.25">
      <c r="A2208" t="str">
        <f>"102183"</f>
        <v>102183</v>
      </c>
      <c r="B2208" t="s">
        <v>2175</v>
      </c>
      <c r="D2208" s="15" t="s">
        <v>2294</v>
      </c>
    </row>
    <row r="2209" spans="1:4" x14ac:dyDescent="0.25">
      <c r="A2209" t="str">
        <f>"102184"</f>
        <v>102184</v>
      </c>
      <c r="B2209" t="s">
        <v>2176</v>
      </c>
      <c r="D2209" s="15" t="s">
        <v>2465</v>
      </c>
    </row>
    <row r="2210" spans="1:4" x14ac:dyDescent="0.25">
      <c r="A2210" t="str">
        <f>"102185"</f>
        <v>102185</v>
      </c>
      <c r="B2210" t="s">
        <v>2177</v>
      </c>
      <c r="D2210" s="15" t="s">
        <v>562</v>
      </c>
    </row>
    <row r="2211" spans="1:4" x14ac:dyDescent="0.25">
      <c r="A2211" t="str">
        <f>"102186"</f>
        <v>102186</v>
      </c>
      <c r="B2211" t="s">
        <v>2178</v>
      </c>
      <c r="D2211" s="15" t="s">
        <v>1468</v>
      </c>
    </row>
    <row r="2212" spans="1:4" x14ac:dyDescent="0.25">
      <c r="A2212" t="str">
        <f>"102187"</f>
        <v>102187</v>
      </c>
      <c r="B2212" t="s">
        <v>2179</v>
      </c>
      <c r="D2212" s="15" t="s">
        <v>632</v>
      </c>
    </row>
    <row r="2213" spans="1:4" x14ac:dyDescent="0.25">
      <c r="A2213" t="str">
        <f>"102188"</f>
        <v>102188</v>
      </c>
      <c r="B2213" t="s">
        <v>2180</v>
      </c>
      <c r="D2213" s="15" t="s">
        <v>2316</v>
      </c>
    </row>
    <row r="2214" spans="1:4" x14ac:dyDescent="0.25">
      <c r="A2214" t="str">
        <f>"102189"</f>
        <v>102189</v>
      </c>
      <c r="B2214" t="s">
        <v>2181</v>
      </c>
      <c r="D2214" s="15" t="s">
        <v>195</v>
      </c>
    </row>
    <row r="2215" spans="1:4" x14ac:dyDescent="0.25">
      <c r="A2215" t="str">
        <f>"102190"</f>
        <v>102190</v>
      </c>
      <c r="B2215" t="s">
        <v>2182</v>
      </c>
      <c r="D2215" s="15" t="s">
        <v>2389</v>
      </c>
    </row>
    <row r="2216" spans="1:4" x14ac:dyDescent="0.25">
      <c r="A2216" t="str">
        <f>"102191"</f>
        <v>102191</v>
      </c>
      <c r="B2216" t="s">
        <v>2183</v>
      </c>
      <c r="D2216" s="15" t="s">
        <v>1219</v>
      </c>
    </row>
    <row r="2217" spans="1:4" x14ac:dyDescent="0.25">
      <c r="A2217" t="str">
        <f>"102192"</f>
        <v>102192</v>
      </c>
      <c r="B2217" t="s">
        <v>2184</v>
      </c>
      <c r="D2217" s="15" t="s">
        <v>2766</v>
      </c>
    </row>
    <row r="2218" spans="1:4" x14ac:dyDescent="0.25">
      <c r="A2218" t="str">
        <f>"102193"</f>
        <v>102193</v>
      </c>
      <c r="B2218" t="s">
        <v>2185</v>
      </c>
      <c r="D2218" s="15" t="s">
        <v>84</v>
      </c>
    </row>
    <row r="2219" spans="1:4" x14ac:dyDescent="0.25">
      <c r="A2219" t="str">
        <f>"102194"</f>
        <v>102194</v>
      </c>
      <c r="B2219" t="s">
        <v>2186</v>
      </c>
      <c r="D2219" s="15" t="s">
        <v>622</v>
      </c>
    </row>
    <row r="2220" spans="1:4" x14ac:dyDescent="0.25">
      <c r="A2220" t="str">
        <f>"102195"</f>
        <v>102195</v>
      </c>
      <c r="B2220" t="s">
        <v>2187</v>
      </c>
      <c r="D2220" s="15" t="s">
        <v>1572</v>
      </c>
    </row>
    <row r="2221" spans="1:4" x14ac:dyDescent="0.25">
      <c r="A2221" t="str">
        <f>"102196"</f>
        <v>102196</v>
      </c>
      <c r="B2221" t="s">
        <v>2188</v>
      </c>
      <c r="D2221" s="15" t="s">
        <v>1344</v>
      </c>
    </row>
    <row r="2222" spans="1:4" x14ac:dyDescent="0.25">
      <c r="A2222" t="str">
        <f>"102197"</f>
        <v>102197</v>
      </c>
      <c r="B2222" t="s">
        <v>2189</v>
      </c>
      <c r="D2222" s="15" t="s">
        <v>2644</v>
      </c>
    </row>
    <row r="2223" spans="1:4" x14ac:dyDescent="0.25">
      <c r="A2223" t="str">
        <f>"102198"</f>
        <v>102198</v>
      </c>
      <c r="B2223" t="s">
        <v>2190</v>
      </c>
      <c r="D2223" s="15" t="s">
        <v>1369</v>
      </c>
    </row>
    <row r="2224" spans="1:4" x14ac:dyDescent="0.25">
      <c r="A2224" t="str">
        <f>"102199"</f>
        <v>102199</v>
      </c>
      <c r="B2224" t="s">
        <v>2191</v>
      </c>
      <c r="D2224" s="15" t="s">
        <v>1218</v>
      </c>
    </row>
    <row r="2225" spans="1:4" x14ac:dyDescent="0.25">
      <c r="A2225" t="str">
        <f>"102200"</f>
        <v>102200</v>
      </c>
      <c r="B2225" t="s">
        <v>2192</v>
      </c>
      <c r="D2225" s="15" t="s">
        <v>1617</v>
      </c>
    </row>
    <row r="2226" spans="1:4" x14ac:dyDescent="0.25">
      <c r="A2226" t="str">
        <f>"102201"</f>
        <v>102201</v>
      </c>
      <c r="B2226" t="s">
        <v>2193</v>
      </c>
      <c r="D2226" s="15" t="s">
        <v>1804</v>
      </c>
    </row>
    <row r="2227" spans="1:4" x14ac:dyDescent="0.25">
      <c r="A2227" t="str">
        <f>"102202"</f>
        <v>102202</v>
      </c>
      <c r="B2227" t="s">
        <v>2194</v>
      </c>
      <c r="D2227" s="15" t="s">
        <v>1500</v>
      </c>
    </row>
    <row r="2228" spans="1:4" x14ac:dyDescent="0.25">
      <c r="A2228" t="str">
        <f>"102203"</f>
        <v>102203</v>
      </c>
      <c r="B2228" t="s">
        <v>2195</v>
      </c>
      <c r="D2228" s="15" t="s">
        <v>1417</v>
      </c>
    </row>
    <row r="2229" spans="1:4" x14ac:dyDescent="0.25">
      <c r="A2229" t="str">
        <f>"102204"</f>
        <v>102204</v>
      </c>
      <c r="B2229" t="s">
        <v>2196</v>
      </c>
      <c r="D2229" s="15" t="s">
        <v>2685</v>
      </c>
    </row>
    <row r="2230" spans="1:4" x14ac:dyDescent="0.25">
      <c r="A2230" t="str">
        <f>"102205"</f>
        <v>102205</v>
      </c>
      <c r="B2230" t="s">
        <v>2197</v>
      </c>
      <c r="D2230" s="15" t="s">
        <v>467</v>
      </c>
    </row>
    <row r="2231" spans="1:4" x14ac:dyDescent="0.25">
      <c r="A2231" t="str">
        <f>"102206"</f>
        <v>102206</v>
      </c>
      <c r="B2231" t="s">
        <v>2198</v>
      </c>
      <c r="D2231" s="15" t="s">
        <v>2453</v>
      </c>
    </row>
    <row r="2232" spans="1:4" x14ac:dyDescent="0.25">
      <c r="A2232" t="str">
        <f>"102207"</f>
        <v>102207</v>
      </c>
      <c r="B2232" t="s">
        <v>2199</v>
      </c>
      <c r="D2232" s="15" t="s">
        <v>543</v>
      </c>
    </row>
    <row r="2233" spans="1:4" x14ac:dyDescent="0.25">
      <c r="A2233" t="str">
        <f>"102208"</f>
        <v>102208</v>
      </c>
      <c r="B2233" t="s">
        <v>2200</v>
      </c>
      <c r="D2233" s="15" t="s">
        <v>2550</v>
      </c>
    </row>
    <row r="2234" spans="1:4" x14ac:dyDescent="0.25">
      <c r="A2234" t="str">
        <f>"102209"</f>
        <v>102209</v>
      </c>
      <c r="B2234" t="s">
        <v>2201</v>
      </c>
      <c r="D2234" s="15" t="s">
        <v>935</v>
      </c>
    </row>
    <row r="2235" spans="1:4" x14ac:dyDescent="0.25">
      <c r="A2235" t="str">
        <f>"102210"</f>
        <v>102210</v>
      </c>
      <c r="B2235" t="s">
        <v>2202</v>
      </c>
      <c r="D2235" s="15" t="s">
        <v>1980</v>
      </c>
    </row>
    <row r="2236" spans="1:4" x14ac:dyDescent="0.25">
      <c r="A2236" t="str">
        <f>"102211"</f>
        <v>102211</v>
      </c>
      <c r="B2236" t="s">
        <v>2203</v>
      </c>
      <c r="D2236" s="15" t="s">
        <v>1616</v>
      </c>
    </row>
    <row r="2237" spans="1:4" x14ac:dyDescent="0.25">
      <c r="A2237" t="str">
        <f>"102212"</f>
        <v>102212</v>
      </c>
      <c r="B2237" t="s">
        <v>2204</v>
      </c>
      <c r="D2237" s="15" t="s">
        <v>1039</v>
      </c>
    </row>
    <row r="2238" spans="1:4" x14ac:dyDescent="0.25">
      <c r="A2238" t="str">
        <f>"102213"</f>
        <v>102213</v>
      </c>
      <c r="B2238" t="s">
        <v>2205</v>
      </c>
      <c r="D2238" s="15" t="s">
        <v>760</v>
      </c>
    </row>
    <row r="2239" spans="1:4" x14ac:dyDescent="0.25">
      <c r="A2239" t="str">
        <f>"102214"</f>
        <v>102214</v>
      </c>
      <c r="B2239" t="s">
        <v>2206</v>
      </c>
      <c r="D2239" s="15" t="s">
        <v>638</v>
      </c>
    </row>
    <row r="2240" spans="1:4" x14ac:dyDescent="0.25">
      <c r="A2240" t="str">
        <f>"102215"</f>
        <v>102215</v>
      </c>
      <c r="B2240" t="s">
        <v>2207</v>
      </c>
      <c r="D2240" s="15" t="s">
        <v>77</v>
      </c>
    </row>
    <row r="2241" spans="1:4" x14ac:dyDescent="0.25">
      <c r="A2241" t="str">
        <f>"102216"</f>
        <v>102216</v>
      </c>
      <c r="B2241" t="s">
        <v>2208</v>
      </c>
      <c r="D2241" s="15" t="s">
        <v>2618</v>
      </c>
    </row>
    <row r="2242" spans="1:4" x14ac:dyDescent="0.25">
      <c r="A2242" t="str">
        <f>"102217"</f>
        <v>102217</v>
      </c>
      <c r="B2242" t="s">
        <v>2209</v>
      </c>
      <c r="D2242" s="15" t="s">
        <v>2245</v>
      </c>
    </row>
    <row r="2243" spans="1:4" x14ac:dyDescent="0.25">
      <c r="A2243" t="str">
        <f>"102218"</f>
        <v>102218</v>
      </c>
      <c r="B2243" t="s">
        <v>2210</v>
      </c>
      <c r="D2243" s="15" t="s">
        <v>1086</v>
      </c>
    </row>
    <row r="2244" spans="1:4" x14ac:dyDescent="0.25">
      <c r="A2244" t="str">
        <f>"102219"</f>
        <v>102219</v>
      </c>
      <c r="B2244" t="s">
        <v>2211</v>
      </c>
      <c r="D2244" s="15" t="s">
        <v>2679</v>
      </c>
    </row>
    <row r="2245" spans="1:4" x14ac:dyDescent="0.25">
      <c r="A2245" t="str">
        <f>"102220"</f>
        <v>102220</v>
      </c>
      <c r="B2245" t="s">
        <v>2212</v>
      </c>
      <c r="D2245" s="15" t="s">
        <v>2196</v>
      </c>
    </row>
    <row r="2246" spans="1:4" x14ac:dyDescent="0.25">
      <c r="A2246" t="str">
        <f>"102221"</f>
        <v>102221</v>
      </c>
      <c r="B2246" t="s">
        <v>2213</v>
      </c>
      <c r="D2246" s="15" t="s">
        <v>1998</v>
      </c>
    </row>
    <row r="2247" spans="1:4" x14ac:dyDescent="0.25">
      <c r="A2247" t="str">
        <f>"102222"</f>
        <v>102222</v>
      </c>
      <c r="B2247" t="s">
        <v>2214</v>
      </c>
      <c r="D2247" s="15" t="s">
        <v>2411</v>
      </c>
    </row>
    <row r="2248" spans="1:4" x14ac:dyDescent="0.25">
      <c r="A2248" t="str">
        <f>"102223"</f>
        <v>102223</v>
      </c>
      <c r="B2248" t="s">
        <v>2215</v>
      </c>
      <c r="D2248" s="15" t="s">
        <v>2804</v>
      </c>
    </row>
    <row r="2249" spans="1:4" x14ac:dyDescent="0.25">
      <c r="A2249" t="str">
        <f>"102224"</f>
        <v>102224</v>
      </c>
      <c r="B2249" t="s">
        <v>2216</v>
      </c>
      <c r="D2249" s="15" t="s">
        <v>1627</v>
      </c>
    </row>
    <row r="2250" spans="1:4" x14ac:dyDescent="0.25">
      <c r="A2250" t="str">
        <f>"102225"</f>
        <v>102225</v>
      </c>
      <c r="B2250" t="s">
        <v>2217</v>
      </c>
      <c r="D2250" s="15" t="s">
        <v>2043</v>
      </c>
    </row>
    <row r="2251" spans="1:4" x14ac:dyDescent="0.25">
      <c r="A2251" t="str">
        <f>"102226"</f>
        <v>102226</v>
      </c>
      <c r="B2251" t="s">
        <v>2218</v>
      </c>
      <c r="D2251" s="15" t="s">
        <v>1060</v>
      </c>
    </row>
    <row r="2252" spans="1:4" x14ac:dyDescent="0.25">
      <c r="A2252" t="str">
        <f>"102227"</f>
        <v>102227</v>
      </c>
      <c r="B2252" t="s">
        <v>2219</v>
      </c>
      <c r="D2252" s="15" t="s">
        <v>1935</v>
      </c>
    </row>
    <row r="2253" spans="1:4" x14ac:dyDescent="0.25">
      <c r="A2253" t="str">
        <f>"102228"</f>
        <v>102228</v>
      </c>
      <c r="B2253" t="s">
        <v>2220</v>
      </c>
      <c r="D2253" s="15" t="s">
        <v>1055</v>
      </c>
    </row>
    <row r="2254" spans="1:4" x14ac:dyDescent="0.25">
      <c r="A2254" t="str">
        <f>"102229"</f>
        <v>102229</v>
      </c>
      <c r="B2254" t="s">
        <v>2221</v>
      </c>
      <c r="D2254" s="15" t="s">
        <v>998</v>
      </c>
    </row>
    <row r="2255" spans="1:4" x14ac:dyDescent="0.25">
      <c r="A2255" t="str">
        <f>"102230"</f>
        <v>102230</v>
      </c>
      <c r="B2255" t="s">
        <v>2222</v>
      </c>
      <c r="D2255" s="15" t="s">
        <v>82</v>
      </c>
    </row>
    <row r="2256" spans="1:4" x14ac:dyDescent="0.25">
      <c r="A2256" t="str">
        <f>"102231"</f>
        <v>102231</v>
      </c>
      <c r="B2256" t="s">
        <v>2223</v>
      </c>
      <c r="D2256" s="15" t="s">
        <v>196</v>
      </c>
    </row>
    <row r="2257" spans="1:4" x14ac:dyDescent="0.25">
      <c r="A2257" t="str">
        <f>"102232"</f>
        <v>102232</v>
      </c>
      <c r="B2257" t="s">
        <v>2224</v>
      </c>
      <c r="D2257" s="15" t="s">
        <v>81</v>
      </c>
    </row>
    <row r="2258" spans="1:4" x14ac:dyDescent="0.25">
      <c r="A2258" t="str">
        <f>"102233"</f>
        <v>102233</v>
      </c>
      <c r="B2258" t="s">
        <v>2225</v>
      </c>
      <c r="D2258" s="15" t="s">
        <v>1329</v>
      </c>
    </row>
    <row r="2259" spans="1:4" x14ac:dyDescent="0.25">
      <c r="A2259" t="str">
        <f>"102234"</f>
        <v>102234</v>
      </c>
      <c r="B2259" t="s">
        <v>2226</v>
      </c>
      <c r="D2259" s="15" t="s">
        <v>2259</v>
      </c>
    </row>
    <row r="2260" spans="1:4" x14ac:dyDescent="0.25">
      <c r="A2260" t="str">
        <f>"102235"</f>
        <v>102235</v>
      </c>
      <c r="B2260" t="s">
        <v>2227</v>
      </c>
      <c r="D2260" s="15" t="s">
        <v>1554</v>
      </c>
    </row>
    <row r="2261" spans="1:4" x14ac:dyDescent="0.25">
      <c r="A2261" t="str">
        <f>"102236"</f>
        <v>102236</v>
      </c>
      <c r="B2261" t="s">
        <v>2228</v>
      </c>
      <c r="D2261" s="15" t="s">
        <v>1259</v>
      </c>
    </row>
    <row r="2262" spans="1:4" x14ac:dyDescent="0.25">
      <c r="A2262" t="str">
        <f>"102237"</f>
        <v>102237</v>
      </c>
      <c r="B2262" t="s">
        <v>2229</v>
      </c>
      <c r="D2262" s="15" t="s">
        <v>83</v>
      </c>
    </row>
    <row r="2263" spans="1:4" x14ac:dyDescent="0.25">
      <c r="A2263" t="str">
        <f>"102238"</f>
        <v>102238</v>
      </c>
      <c r="B2263" t="s">
        <v>2230</v>
      </c>
      <c r="D2263" s="15" t="s">
        <v>2442</v>
      </c>
    </row>
    <row r="2264" spans="1:4" x14ac:dyDescent="0.25">
      <c r="A2264" t="str">
        <f>"102239"</f>
        <v>102239</v>
      </c>
      <c r="B2264" t="s">
        <v>2231</v>
      </c>
      <c r="D2264" s="15" t="s">
        <v>2607</v>
      </c>
    </row>
    <row r="2265" spans="1:4" x14ac:dyDescent="0.25">
      <c r="A2265" t="str">
        <f>"102240"</f>
        <v>102240</v>
      </c>
      <c r="B2265" t="s">
        <v>2232</v>
      </c>
      <c r="D2265" s="15" t="s">
        <v>1320</v>
      </c>
    </row>
    <row r="2266" spans="1:4" x14ac:dyDescent="0.25">
      <c r="A2266" t="str">
        <f>"102241"</f>
        <v>102241</v>
      </c>
      <c r="B2266" t="s">
        <v>2233</v>
      </c>
      <c r="D2266" s="15" t="s">
        <v>2823</v>
      </c>
    </row>
    <row r="2267" spans="1:4" x14ac:dyDescent="0.25">
      <c r="A2267" t="str">
        <f>"102242"</f>
        <v>102242</v>
      </c>
      <c r="B2267" t="s">
        <v>2234</v>
      </c>
      <c r="D2267" s="15" t="s">
        <v>1345</v>
      </c>
    </row>
    <row r="2268" spans="1:4" x14ac:dyDescent="0.25">
      <c r="A2268" t="str">
        <f>"102243"</f>
        <v>102243</v>
      </c>
      <c r="B2268" t="s">
        <v>2235</v>
      </c>
      <c r="D2268" s="15" t="s">
        <v>1837</v>
      </c>
    </row>
    <row r="2269" spans="1:4" x14ac:dyDescent="0.25">
      <c r="A2269" t="str">
        <f>"102244"</f>
        <v>102244</v>
      </c>
      <c r="B2269" t="s">
        <v>2236</v>
      </c>
      <c r="D2269" s="15" t="s">
        <v>79</v>
      </c>
    </row>
    <row r="2270" spans="1:4" x14ac:dyDescent="0.25">
      <c r="A2270" t="str">
        <f>"102245"</f>
        <v>102245</v>
      </c>
      <c r="B2270" t="s">
        <v>2237</v>
      </c>
      <c r="D2270" s="15" t="s">
        <v>2511</v>
      </c>
    </row>
    <row r="2271" spans="1:4" x14ac:dyDescent="0.25">
      <c r="A2271" t="str">
        <f>"1022458"</f>
        <v>1022458</v>
      </c>
      <c r="B2271" t="s">
        <v>2238</v>
      </c>
      <c r="D2271" s="15" t="s">
        <v>2819</v>
      </c>
    </row>
    <row r="2272" spans="1:4" x14ac:dyDescent="0.25">
      <c r="A2272" t="str">
        <f>"102246"</f>
        <v>102246</v>
      </c>
      <c r="B2272" t="s">
        <v>2239</v>
      </c>
      <c r="D2272" s="15" t="s">
        <v>2198</v>
      </c>
    </row>
    <row r="2273" spans="1:4" x14ac:dyDescent="0.25">
      <c r="A2273" t="str">
        <f>"102247"</f>
        <v>102247</v>
      </c>
      <c r="B2273" t="s">
        <v>2240</v>
      </c>
      <c r="D2273" s="15" t="s">
        <v>1544</v>
      </c>
    </row>
    <row r="2274" spans="1:4" x14ac:dyDescent="0.25">
      <c r="A2274" t="str">
        <f>"102248"</f>
        <v>102248</v>
      </c>
      <c r="B2274" t="s">
        <v>2241</v>
      </c>
      <c r="D2274" s="15" t="s">
        <v>2036</v>
      </c>
    </row>
    <row r="2275" spans="1:4" x14ac:dyDescent="0.25">
      <c r="A2275" t="str">
        <f>"102249"</f>
        <v>102249</v>
      </c>
      <c r="B2275" t="s">
        <v>2242</v>
      </c>
      <c r="D2275" s="15" t="s">
        <v>868</v>
      </c>
    </row>
    <row r="2276" spans="1:4" x14ac:dyDescent="0.25">
      <c r="A2276" t="str">
        <f>"102250"</f>
        <v>102250</v>
      </c>
      <c r="B2276" t="s">
        <v>2243</v>
      </c>
      <c r="D2276" s="15" t="s">
        <v>2276</v>
      </c>
    </row>
    <row r="2277" spans="1:4" x14ac:dyDescent="0.25">
      <c r="A2277" t="str">
        <f>"102251"</f>
        <v>102251</v>
      </c>
      <c r="B2277" t="s">
        <v>2244</v>
      </c>
      <c r="D2277" s="15" t="s">
        <v>1588</v>
      </c>
    </row>
    <row r="2278" spans="1:4" x14ac:dyDescent="0.25">
      <c r="A2278" t="str">
        <f>"102252"</f>
        <v>102252</v>
      </c>
      <c r="B2278" t="s">
        <v>2245</v>
      </c>
      <c r="D2278" s="15" t="s">
        <v>2240</v>
      </c>
    </row>
    <row r="2279" spans="1:4" x14ac:dyDescent="0.25">
      <c r="A2279" t="str">
        <f>"102253"</f>
        <v>102253</v>
      </c>
      <c r="B2279" t="s">
        <v>2246</v>
      </c>
      <c r="D2279" s="15" t="s">
        <v>2530</v>
      </c>
    </row>
    <row r="2280" spans="1:4" x14ac:dyDescent="0.25">
      <c r="A2280" t="str">
        <f>"102254"</f>
        <v>102254</v>
      </c>
      <c r="B2280" t="s">
        <v>2247</v>
      </c>
      <c r="D2280" s="15" t="s">
        <v>2678</v>
      </c>
    </row>
    <row r="2281" spans="1:4" x14ac:dyDescent="0.25">
      <c r="A2281" t="str">
        <f>"102255"</f>
        <v>102255</v>
      </c>
      <c r="B2281" t="s">
        <v>2248</v>
      </c>
      <c r="D2281" s="15" t="s">
        <v>717</v>
      </c>
    </row>
    <row r="2282" spans="1:4" x14ac:dyDescent="0.25">
      <c r="A2282" t="str">
        <f>"102256"</f>
        <v>102256</v>
      </c>
      <c r="B2282" t="s">
        <v>2249</v>
      </c>
      <c r="D2282" s="15" t="s">
        <v>1294</v>
      </c>
    </row>
    <row r="2283" spans="1:4" x14ac:dyDescent="0.25">
      <c r="A2283" t="str">
        <f>"102257"</f>
        <v>102257</v>
      </c>
      <c r="B2283" t="s">
        <v>2250</v>
      </c>
      <c r="D2283" s="15" t="s">
        <v>544</v>
      </c>
    </row>
    <row r="2284" spans="1:4" x14ac:dyDescent="0.25">
      <c r="A2284" t="str">
        <f>"102258"</f>
        <v>102258</v>
      </c>
      <c r="B2284" t="s">
        <v>2251</v>
      </c>
      <c r="D2284" s="15" t="s">
        <v>1095</v>
      </c>
    </row>
    <row r="2285" spans="1:4" x14ac:dyDescent="0.25">
      <c r="A2285" t="str">
        <f>"102259"</f>
        <v>102259</v>
      </c>
      <c r="B2285" t="s">
        <v>2252</v>
      </c>
      <c r="D2285" s="15" t="s">
        <v>917</v>
      </c>
    </row>
    <row r="2286" spans="1:4" x14ac:dyDescent="0.25">
      <c r="A2286" t="str">
        <f>"102260"</f>
        <v>102260</v>
      </c>
      <c r="B2286" t="s">
        <v>2253</v>
      </c>
      <c r="D2286" s="15" t="s">
        <v>2121</v>
      </c>
    </row>
    <row r="2287" spans="1:4" x14ac:dyDescent="0.25">
      <c r="A2287" t="str">
        <f>"102261"</f>
        <v>102261</v>
      </c>
      <c r="B2287" t="s">
        <v>2254</v>
      </c>
      <c r="D2287" s="15" t="s">
        <v>904</v>
      </c>
    </row>
    <row r="2288" spans="1:4" x14ac:dyDescent="0.25">
      <c r="A2288" t="str">
        <f>"102262"</f>
        <v>102262</v>
      </c>
      <c r="B2288" t="s">
        <v>2255</v>
      </c>
      <c r="D2288" s="15" t="s">
        <v>1065</v>
      </c>
    </row>
    <row r="2289" spans="1:4" x14ac:dyDescent="0.25">
      <c r="A2289" t="str">
        <f>"102263"</f>
        <v>102263</v>
      </c>
      <c r="B2289" t="s">
        <v>2256</v>
      </c>
      <c r="D2289" s="15" t="s">
        <v>1026</v>
      </c>
    </row>
    <row r="2290" spans="1:4" x14ac:dyDescent="0.25">
      <c r="A2290" t="str">
        <f>"102264"</f>
        <v>102264</v>
      </c>
      <c r="B2290" t="s">
        <v>2257</v>
      </c>
      <c r="D2290" s="15" t="s">
        <v>2419</v>
      </c>
    </row>
    <row r="2291" spans="1:4" x14ac:dyDescent="0.25">
      <c r="A2291" t="str">
        <f>"102265"</f>
        <v>102265</v>
      </c>
      <c r="B2291" t="s">
        <v>2258</v>
      </c>
      <c r="D2291" s="15" t="s">
        <v>1711</v>
      </c>
    </row>
    <row r="2292" spans="1:4" x14ac:dyDescent="0.25">
      <c r="A2292" t="str">
        <f>"102266"</f>
        <v>102266</v>
      </c>
      <c r="B2292" t="s">
        <v>2259</v>
      </c>
      <c r="D2292" s="15" t="s">
        <v>1938</v>
      </c>
    </row>
    <row r="2293" spans="1:4" x14ac:dyDescent="0.25">
      <c r="A2293" t="str">
        <f>"102267"</f>
        <v>102267</v>
      </c>
      <c r="B2293" t="s">
        <v>2260</v>
      </c>
      <c r="D2293" s="15" t="s">
        <v>1479</v>
      </c>
    </row>
    <row r="2294" spans="1:4" x14ac:dyDescent="0.25">
      <c r="A2294" t="str">
        <f>"102268"</f>
        <v>102268</v>
      </c>
      <c r="B2294" t="s">
        <v>2261</v>
      </c>
      <c r="D2294" s="15" t="s">
        <v>872</v>
      </c>
    </row>
    <row r="2295" spans="1:4" x14ac:dyDescent="0.25">
      <c r="A2295" t="str">
        <f>"102269"</f>
        <v>102269</v>
      </c>
      <c r="B2295" t="s">
        <v>2262</v>
      </c>
      <c r="D2295" s="15" t="s">
        <v>2712</v>
      </c>
    </row>
    <row r="2296" spans="1:4" x14ac:dyDescent="0.25">
      <c r="A2296" t="str">
        <f>"102270"</f>
        <v>102270</v>
      </c>
      <c r="B2296" t="s">
        <v>2263</v>
      </c>
      <c r="D2296" s="15" t="s">
        <v>2498</v>
      </c>
    </row>
    <row r="2297" spans="1:4" x14ac:dyDescent="0.25">
      <c r="A2297" t="str">
        <f>"102271"</f>
        <v>102271</v>
      </c>
      <c r="B2297" t="s">
        <v>2264</v>
      </c>
      <c r="D2297" s="15" t="s">
        <v>2179</v>
      </c>
    </row>
    <row r="2298" spans="1:4" x14ac:dyDescent="0.25">
      <c r="A2298" t="str">
        <f>"102272"</f>
        <v>102272</v>
      </c>
      <c r="B2298" t="s">
        <v>2265</v>
      </c>
      <c r="D2298" s="15" t="s">
        <v>2539</v>
      </c>
    </row>
    <row r="2299" spans="1:4" x14ac:dyDescent="0.25">
      <c r="A2299" t="str">
        <f>"1022723"</f>
        <v>1022723</v>
      </c>
      <c r="B2299" t="s">
        <v>2266</v>
      </c>
      <c r="D2299" s="15" t="s">
        <v>869</v>
      </c>
    </row>
    <row r="2300" spans="1:4" x14ac:dyDescent="0.25">
      <c r="A2300" t="str">
        <f>"102273"</f>
        <v>102273</v>
      </c>
      <c r="B2300" t="s">
        <v>2267</v>
      </c>
      <c r="D2300" s="15" t="s">
        <v>2067</v>
      </c>
    </row>
    <row r="2301" spans="1:4" x14ac:dyDescent="0.25">
      <c r="A2301" t="str">
        <f>"102274"</f>
        <v>102274</v>
      </c>
      <c r="B2301" t="s">
        <v>2268</v>
      </c>
      <c r="D2301" s="15" t="s">
        <v>2533</v>
      </c>
    </row>
    <row r="2302" spans="1:4" x14ac:dyDescent="0.25">
      <c r="A2302" t="str">
        <f>"102275"</f>
        <v>102275</v>
      </c>
      <c r="B2302" t="s">
        <v>2269</v>
      </c>
      <c r="D2302" s="15" t="s">
        <v>2562</v>
      </c>
    </row>
    <row r="2303" spans="1:4" x14ac:dyDescent="0.25">
      <c r="A2303" t="str">
        <f>"102276"</f>
        <v>102276</v>
      </c>
      <c r="B2303" t="s">
        <v>2270</v>
      </c>
      <c r="D2303" s="15" t="s">
        <v>1190</v>
      </c>
    </row>
    <row r="2304" spans="1:4" x14ac:dyDescent="0.25">
      <c r="A2304" t="str">
        <f>"102277"</f>
        <v>102277</v>
      </c>
      <c r="B2304" t="s">
        <v>2271</v>
      </c>
      <c r="D2304" s="15" t="s">
        <v>680</v>
      </c>
    </row>
    <row r="2305" spans="1:4" x14ac:dyDescent="0.25">
      <c r="A2305" t="str">
        <f>"102278"</f>
        <v>102278</v>
      </c>
      <c r="B2305" t="s">
        <v>2272</v>
      </c>
      <c r="D2305" s="15" t="s">
        <v>1877</v>
      </c>
    </row>
    <row r="2306" spans="1:4" x14ac:dyDescent="0.25">
      <c r="A2306" t="str">
        <f>"102279"</f>
        <v>102279</v>
      </c>
      <c r="B2306" t="s">
        <v>2273</v>
      </c>
      <c r="D2306" s="15" t="s">
        <v>2235</v>
      </c>
    </row>
    <row r="2307" spans="1:4" x14ac:dyDescent="0.25">
      <c r="A2307" t="str">
        <f>"102280"</f>
        <v>102280</v>
      </c>
      <c r="B2307" t="s">
        <v>2274</v>
      </c>
      <c r="D2307" s="15" t="s">
        <v>1015</v>
      </c>
    </row>
    <row r="2308" spans="1:4" x14ac:dyDescent="0.25">
      <c r="A2308" t="str">
        <f>"102281"</f>
        <v>102281</v>
      </c>
      <c r="B2308" t="s">
        <v>2275</v>
      </c>
      <c r="D2308" s="15" t="s">
        <v>1346</v>
      </c>
    </row>
    <row r="2309" spans="1:4" x14ac:dyDescent="0.25">
      <c r="A2309" t="str">
        <f>"102282"</f>
        <v>102282</v>
      </c>
      <c r="B2309" t="s">
        <v>2276</v>
      </c>
      <c r="D2309" s="15" t="s">
        <v>1779</v>
      </c>
    </row>
    <row r="2310" spans="1:4" x14ac:dyDescent="0.25">
      <c r="A2310" t="str">
        <f>"102283"</f>
        <v>102283</v>
      </c>
      <c r="B2310" t="s">
        <v>2277</v>
      </c>
      <c r="D2310" s="15" t="s">
        <v>1596</v>
      </c>
    </row>
    <row r="2311" spans="1:4" x14ac:dyDescent="0.25">
      <c r="A2311" t="str">
        <f>"102284"</f>
        <v>102284</v>
      </c>
      <c r="B2311" t="s">
        <v>2278</v>
      </c>
      <c r="D2311" s="15" t="s">
        <v>1271</v>
      </c>
    </row>
    <row r="2312" spans="1:4" x14ac:dyDescent="0.25">
      <c r="A2312" t="str">
        <f>"102285"</f>
        <v>102285</v>
      </c>
      <c r="B2312" t="s">
        <v>2279</v>
      </c>
      <c r="D2312" s="15" t="s">
        <v>1579</v>
      </c>
    </row>
    <row r="2313" spans="1:4" x14ac:dyDescent="0.25">
      <c r="A2313" t="str">
        <f>"102286"</f>
        <v>102286</v>
      </c>
      <c r="B2313" t="s">
        <v>2280</v>
      </c>
      <c r="D2313" s="15" t="s">
        <v>1562</v>
      </c>
    </row>
    <row r="2314" spans="1:4" x14ac:dyDescent="0.25">
      <c r="A2314" t="str">
        <f>"102287"</f>
        <v>102287</v>
      </c>
      <c r="B2314" t="s">
        <v>2281</v>
      </c>
      <c r="D2314" s="15" t="s">
        <v>2272</v>
      </c>
    </row>
    <row r="2315" spans="1:4" x14ac:dyDescent="0.25">
      <c r="A2315" t="str">
        <f>"102288"</f>
        <v>102288</v>
      </c>
      <c r="B2315" t="s">
        <v>2282</v>
      </c>
      <c r="D2315" s="15" t="s">
        <v>1508</v>
      </c>
    </row>
    <row r="2316" spans="1:4" x14ac:dyDescent="0.25">
      <c r="A2316" t="str">
        <f>"102289"</f>
        <v>102289</v>
      </c>
      <c r="B2316" t="s">
        <v>2283</v>
      </c>
      <c r="D2316" s="15" t="s">
        <v>127</v>
      </c>
    </row>
    <row r="2317" spans="1:4" x14ac:dyDescent="0.25">
      <c r="A2317" t="str">
        <f>"102290"</f>
        <v>102290</v>
      </c>
      <c r="B2317" t="s">
        <v>2284</v>
      </c>
      <c r="D2317" s="15" t="s">
        <v>469</v>
      </c>
    </row>
    <row r="2318" spans="1:4" x14ac:dyDescent="0.25">
      <c r="A2318" t="str">
        <f>"102291"</f>
        <v>102291</v>
      </c>
      <c r="B2318" t="s">
        <v>2285</v>
      </c>
      <c r="D2318" s="15" t="s">
        <v>2559</v>
      </c>
    </row>
    <row r="2319" spans="1:4" x14ac:dyDescent="0.25">
      <c r="D2319" s="15" t="s">
        <v>1061</v>
      </c>
    </row>
    <row r="2320" spans="1:4" x14ac:dyDescent="0.25">
      <c r="A2320" t="str">
        <f>"102292"</f>
        <v>102292</v>
      </c>
      <c r="B2320" t="s">
        <v>2286</v>
      </c>
      <c r="D2320" s="15" t="s">
        <v>2596</v>
      </c>
    </row>
    <row r="2321" spans="1:4" x14ac:dyDescent="0.25">
      <c r="A2321" t="str">
        <f>"102293"</f>
        <v>102293</v>
      </c>
      <c r="B2321" t="s">
        <v>2287</v>
      </c>
      <c r="D2321" s="15" t="s">
        <v>2825</v>
      </c>
    </row>
    <row r="2322" spans="1:4" x14ac:dyDescent="0.25">
      <c r="A2322" t="str">
        <f>"102294"</f>
        <v>102294</v>
      </c>
      <c r="B2322" t="s">
        <v>2288</v>
      </c>
      <c r="D2322" s="15" t="s">
        <v>1162</v>
      </c>
    </row>
    <row r="2323" spans="1:4" x14ac:dyDescent="0.25">
      <c r="A2323" t="str">
        <f>"102295"</f>
        <v>102295</v>
      </c>
      <c r="B2323" t="s">
        <v>2289</v>
      </c>
      <c r="D2323" s="15" t="s">
        <v>2543</v>
      </c>
    </row>
    <row r="2324" spans="1:4" x14ac:dyDescent="0.25">
      <c r="A2324" t="str">
        <f>"102296"</f>
        <v>102296</v>
      </c>
      <c r="B2324" t="s">
        <v>2290</v>
      </c>
      <c r="D2324" s="15" t="s">
        <v>1515</v>
      </c>
    </row>
    <row r="2325" spans="1:4" x14ac:dyDescent="0.25">
      <c r="A2325" t="str">
        <f>"102297"</f>
        <v>102297</v>
      </c>
      <c r="B2325" t="s">
        <v>2291</v>
      </c>
      <c r="D2325" s="15" t="s">
        <v>1233</v>
      </c>
    </row>
    <row r="2326" spans="1:4" x14ac:dyDescent="0.25">
      <c r="A2326" t="str">
        <f>"102298"</f>
        <v>102298</v>
      </c>
      <c r="B2326" t="s">
        <v>2292</v>
      </c>
      <c r="D2326" s="15" t="s">
        <v>119</v>
      </c>
    </row>
    <row r="2327" spans="1:4" x14ac:dyDescent="0.25">
      <c r="A2327" t="str">
        <f>"102299"</f>
        <v>102299</v>
      </c>
      <c r="B2327" t="s">
        <v>2293</v>
      </c>
      <c r="D2327" s="15" t="s">
        <v>2031</v>
      </c>
    </row>
    <row r="2328" spans="1:4" x14ac:dyDescent="0.25">
      <c r="A2328" t="str">
        <f>"102300"</f>
        <v>102300</v>
      </c>
      <c r="B2328" t="s">
        <v>2294</v>
      </c>
      <c r="D2328" s="15" t="s">
        <v>202</v>
      </c>
    </row>
    <row r="2329" spans="1:4" x14ac:dyDescent="0.25">
      <c r="A2329" t="str">
        <f>"102301"</f>
        <v>102301</v>
      </c>
      <c r="B2329" t="s">
        <v>2295</v>
      </c>
      <c r="D2329" s="15" t="s">
        <v>861</v>
      </c>
    </row>
    <row r="2330" spans="1:4" x14ac:dyDescent="0.25">
      <c r="A2330" t="str">
        <f>"102302"</f>
        <v>102302</v>
      </c>
      <c r="B2330" t="s">
        <v>2296</v>
      </c>
      <c r="D2330" s="15" t="s">
        <v>1599</v>
      </c>
    </row>
    <row r="2331" spans="1:4" x14ac:dyDescent="0.25">
      <c r="A2331" t="str">
        <f>"102303"</f>
        <v>102303</v>
      </c>
      <c r="B2331" t="s">
        <v>2297</v>
      </c>
      <c r="D2331" s="15" t="s">
        <v>1242</v>
      </c>
    </row>
    <row r="2332" spans="1:4" x14ac:dyDescent="0.25">
      <c r="A2332" t="str">
        <f>"102304"</f>
        <v>102304</v>
      </c>
      <c r="B2332" t="s">
        <v>2298</v>
      </c>
      <c r="D2332" s="15" t="s">
        <v>582</v>
      </c>
    </row>
    <row r="2333" spans="1:4" x14ac:dyDescent="0.25">
      <c r="A2333" t="str">
        <f>"102305"</f>
        <v>102305</v>
      </c>
      <c r="B2333" t="s">
        <v>2299</v>
      </c>
      <c r="D2333" s="15" t="s">
        <v>1277</v>
      </c>
    </row>
    <row r="2334" spans="1:4" x14ac:dyDescent="0.25">
      <c r="A2334" t="str">
        <f>"102306"</f>
        <v>102306</v>
      </c>
      <c r="B2334" t="s">
        <v>2300</v>
      </c>
      <c r="D2334" s="15" t="s">
        <v>470</v>
      </c>
    </row>
    <row r="2335" spans="1:4" x14ac:dyDescent="0.25">
      <c r="A2335" t="str">
        <f>"102307"</f>
        <v>102307</v>
      </c>
      <c r="B2335" t="s">
        <v>2301</v>
      </c>
      <c r="D2335" s="15" t="s">
        <v>2682</v>
      </c>
    </row>
    <row r="2336" spans="1:4" x14ac:dyDescent="0.25">
      <c r="A2336" t="str">
        <f>"102308"</f>
        <v>102308</v>
      </c>
      <c r="B2336" t="s">
        <v>2302</v>
      </c>
      <c r="D2336" s="15" t="s">
        <v>1507</v>
      </c>
    </row>
    <row r="2337" spans="1:4" x14ac:dyDescent="0.25">
      <c r="A2337" t="str">
        <f>"102309"</f>
        <v>102309</v>
      </c>
      <c r="B2337" t="s">
        <v>2303</v>
      </c>
      <c r="D2337" s="15" t="s">
        <v>1538</v>
      </c>
    </row>
    <row r="2338" spans="1:4" x14ac:dyDescent="0.25">
      <c r="A2338" t="str">
        <f>"102310"</f>
        <v>102310</v>
      </c>
      <c r="B2338" t="s">
        <v>2304</v>
      </c>
      <c r="D2338" s="15" t="s">
        <v>586</v>
      </c>
    </row>
    <row r="2339" spans="1:4" x14ac:dyDescent="0.25">
      <c r="A2339" t="str">
        <f>"102311"</f>
        <v>102311</v>
      </c>
      <c r="B2339" t="s">
        <v>2305</v>
      </c>
      <c r="D2339" s="15" t="s">
        <v>2811</v>
      </c>
    </row>
    <row r="2340" spans="1:4" x14ac:dyDescent="0.25">
      <c r="A2340" t="str">
        <f>"102312"</f>
        <v>102312</v>
      </c>
      <c r="B2340" t="s">
        <v>2306</v>
      </c>
      <c r="D2340" s="15" t="s">
        <v>2388</v>
      </c>
    </row>
    <row r="2341" spans="1:4" x14ac:dyDescent="0.25">
      <c r="A2341" t="str">
        <f>"102313"</f>
        <v>102313</v>
      </c>
      <c r="B2341" t="s">
        <v>2307</v>
      </c>
      <c r="D2341" s="15" t="s">
        <v>1473</v>
      </c>
    </row>
    <row r="2342" spans="1:4" x14ac:dyDescent="0.25">
      <c r="A2342" t="str">
        <f>"102314"</f>
        <v>102314</v>
      </c>
      <c r="B2342" t="s">
        <v>2308</v>
      </c>
      <c r="D2342" s="15" t="s">
        <v>2132</v>
      </c>
    </row>
    <row r="2343" spans="1:4" x14ac:dyDescent="0.25">
      <c r="A2343" t="str">
        <f>"102315"</f>
        <v>102315</v>
      </c>
      <c r="B2343" t="s">
        <v>2309</v>
      </c>
      <c r="D2343" s="15" t="s">
        <v>96</v>
      </c>
    </row>
    <row r="2344" spans="1:4" x14ac:dyDescent="0.25">
      <c r="A2344" t="str">
        <f>"102316"</f>
        <v>102316</v>
      </c>
      <c r="B2344" t="s">
        <v>2310</v>
      </c>
      <c r="D2344" s="15" t="s">
        <v>2342</v>
      </c>
    </row>
    <row r="2345" spans="1:4" x14ac:dyDescent="0.25">
      <c r="A2345" t="str">
        <f>"102317"</f>
        <v>102317</v>
      </c>
      <c r="B2345" t="s">
        <v>2311</v>
      </c>
      <c r="D2345" s="15" t="s">
        <v>2209</v>
      </c>
    </row>
    <row r="2346" spans="1:4" x14ac:dyDescent="0.25">
      <c r="A2346" t="str">
        <f>"102318"</f>
        <v>102318</v>
      </c>
      <c r="B2346" t="s">
        <v>2312</v>
      </c>
      <c r="D2346" s="15" t="s">
        <v>2544</v>
      </c>
    </row>
    <row r="2347" spans="1:4" x14ac:dyDescent="0.25">
      <c r="A2347" t="str">
        <f>"102319"</f>
        <v>102319</v>
      </c>
      <c r="B2347" t="s">
        <v>2313</v>
      </c>
      <c r="D2347" s="15" t="s">
        <v>709</v>
      </c>
    </row>
    <row r="2348" spans="1:4" x14ac:dyDescent="0.25">
      <c r="A2348" t="str">
        <f>"102320"</f>
        <v>102320</v>
      </c>
      <c r="B2348" t="s">
        <v>2314</v>
      </c>
      <c r="D2348" s="15" t="s">
        <v>1857</v>
      </c>
    </row>
    <row r="2349" spans="1:4" x14ac:dyDescent="0.25">
      <c r="A2349" t="str">
        <f>"102321"</f>
        <v>102321</v>
      </c>
      <c r="B2349" t="s">
        <v>2315</v>
      </c>
      <c r="D2349" s="15" t="s">
        <v>1117</v>
      </c>
    </row>
    <row r="2350" spans="1:4" x14ac:dyDescent="0.25">
      <c r="A2350" t="str">
        <f>"102322"</f>
        <v>102322</v>
      </c>
      <c r="B2350" t="s">
        <v>2316</v>
      </c>
      <c r="D2350" s="15" t="s">
        <v>89</v>
      </c>
    </row>
    <row r="2351" spans="1:4" x14ac:dyDescent="0.25">
      <c r="A2351" t="str">
        <f>"102323"</f>
        <v>102323</v>
      </c>
      <c r="B2351" t="s">
        <v>2317</v>
      </c>
      <c r="D2351" s="15" t="s">
        <v>2695</v>
      </c>
    </row>
    <row r="2352" spans="1:4" x14ac:dyDescent="0.25">
      <c r="A2352" t="str">
        <f>"102324"</f>
        <v>102324</v>
      </c>
      <c r="B2352" t="s">
        <v>2318</v>
      </c>
      <c r="D2352" s="15" t="s">
        <v>2808</v>
      </c>
    </row>
    <row r="2353" spans="1:4" x14ac:dyDescent="0.25">
      <c r="A2353" t="str">
        <f>"102325"</f>
        <v>102325</v>
      </c>
      <c r="B2353" t="s">
        <v>2319</v>
      </c>
      <c r="D2353" s="15" t="s">
        <v>928</v>
      </c>
    </row>
    <row r="2354" spans="1:4" x14ac:dyDescent="0.25">
      <c r="A2354" t="str">
        <f>"102326"</f>
        <v>102326</v>
      </c>
      <c r="B2354" t="s">
        <v>2320</v>
      </c>
      <c r="D2354" s="15" t="s">
        <v>952</v>
      </c>
    </row>
    <row r="2355" spans="1:4" x14ac:dyDescent="0.25">
      <c r="A2355" t="str">
        <f>"102327"</f>
        <v>102327</v>
      </c>
      <c r="B2355" t="s">
        <v>2321</v>
      </c>
      <c r="D2355" s="15" t="s">
        <v>1309</v>
      </c>
    </row>
    <row r="2356" spans="1:4" x14ac:dyDescent="0.25">
      <c r="A2356" t="str">
        <f>"102328"</f>
        <v>102328</v>
      </c>
      <c r="B2356" t="s">
        <v>2322</v>
      </c>
      <c r="D2356" s="15" t="s">
        <v>1081</v>
      </c>
    </row>
    <row r="2357" spans="1:4" x14ac:dyDescent="0.25">
      <c r="A2357" t="str">
        <f>"102333"</f>
        <v>102333</v>
      </c>
      <c r="B2357" t="s">
        <v>2323</v>
      </c>
      <c r="D2357" s="15" t="s">
        <v>1163</v>
      </c>
    </row>
    <row r="2358" spans="1:4" x14ac:dyDescent="0.25">
      <c r="A2358" t="str">
        <f>"102334"</f>
        <v>102334</v>
      </c>
      <c r="B2358" t="s">
        <v>2324</v>
      </c>
      <c r="D2358" s="15" t="s">
        <v>1248</v>
      </c>
    </row>
    <row r="2359" spans="1:4" x14ac:dyDescent="0.25">
      <c r="A2359" t="str">
        <f>"102335"</f>
        <v>102335</v>
      </c>
      <c r="B2359" t="s">
        <v>2325</v>
      </c>
      <c r="D2359" s="15" t="s">
        <v>2666</v>
      </c>
    </row>
    <row r="2360" spans="1:4" x14ac:dyDescent="0.25">
      <c r="A2360" t="str">
        <f>"102336"</f>
        <v>102336</v>
      </c>
      <c r="B2360" t="s">
        <v>2326</v>
      </c>
      <c r="D2360" s="15" t="s">
        <v>1274</v>
      </c>
    </row>
    <row r="2361" spans="1:4" x14ac:dyDescent="0.25">
      <c r="A2361" t="str">
        <f>"102337"</f>
        <v>102337</v>
      </c>
      <c r="B2361" t="s">
        <v>2327</v>
      </c>
      <c r="D2361" s="15" t="s">
        <v>120</v>
      </c>
    </row>
    <row r="2362" spans="1:4" x14ac:dyDescent="0.25">
      <c r="A2362" t="str">
        <f>"102338"</f>
        <v>102338</v>
      </c>
      <c r="B2362" t="s">
        <v>2328</v>
      </c>
      <c r="D2362" s="15" t="s">
        <v>94</v>
      </c>
    </row>
    <row r="2363" spans="1:4" x14ac:dyDescent="0.25">
      <c r="A2363" t="str">
        <f>"102339"</f>
        <v>102339</v>
      </c>
      <c r="B2363" t="s">
        <v>2329</v>
      </c>
      <c r="D2363" s="15" t="s">
        <v>102</v>
      </c>
    </row>
    <row r="2364" spans="1:4" x14ac:dyDescent="0.25">
      <c r="A2364" t="str">
        <f>"102340"</f>
        <v>102340</v>
      </c>
      <c r="B2364" t="s">
        <v>2330</v>
      </c>
      <c r="D2364" s="15" t="s">
        <v>2007</v>
      </c>
    </row>
    <row r="2365" spans="1:4" x14ac:dyDescent="0.25">
      <c r="A2365" t="str">
        <f>"102341"</f>
        <v>102341</v>
      </c>
      <c r="B2365" t="s">
        <v>2331</v>
      </c>
      <c r="D2365" s="15" t="s">
        <v>1310</v>
      </c>
    </row>
    <row r="2366" spans="1:4" x14ac:dyDescent="0.25">
      <c r="A2366" t="str">
        <f>"10237"</f>
        <v>10237</v>
      </c>
      <c r="B2366" t="s">
        <v>2332</v>
      </c>
      <c r="D2366" s="15" t="s">
        <v>1563</v>
      </c>
    </row>
    <row r="2367" spans="1:4" x14ac:dyDescent="0.25">
      <c r="A2367" t="str">
        <f>"102444"</f>
        <v>102444</v>
      </c>
      <c r="B2367" t="s">
        <v>2333</v>
      </c>
      <c r="D2367" s="15" t="s">
        <v>1745</v>
      </c>
    </row>
    <row r="2368" spans="1:4" x14ac:dyDescent="0.25">
      <c r="A2368" t="str">
        <f>"102445"</f>
        <v>102445</v>
      </c>
      <c r="B2368" t="s">
        <v>2334</v>
      </c>
      <c r="D2368" s="15" t="s">
        <v>2328</v>
      </c>
    </row>
    <row r="2369" spans="1:4" x14ac:dyDescent="0.25">
      <c r="A2369" t="str">
        <f>"102446"</f>
        <v>102446</v>
      </c>
      <c r="B2369" t="s">
        <v>2335</v>
      </c>
      <c r="D2369" s="15" t="s">
        <v>1967</v>
      </c>
    </row>
    <row r="2370" spans="1:4" x14ac:dyDescent="0.25">
      <c r="A2370" t="str">
        <f>"102447"</f>
        <v>102447</v>
      </c>
      <c r="B2370" t="s">
        <v>2336</v>
      </c>
      <c r="D2370" s="15" t="s">
        <v>129</v>
      </c>
    </row>
    <row r="2371" spans="1:4" x14ac:dyDescent="0.25">
      <c r="A2371" t="str">
        <f>"102448"</f>
        <v>102448</v>
      </c>
      <c r="B2371" t="s">
        <v>2337</v>
      </c>
      <c r="D2371" s="15" t="s">
        <v>1977</v>
      </c>
    </row>
    <row r="2372" spans="1:4" x14ac:dyDescent="0.25">
      <c r="A2372" t="str">
        <f>"102449"</f>
        <v>102449</v>
      </c>
      <c r="B2372" t="s">
        <v>2338</v>
      </c>
      <c r="D2372" s="15" t="s">
        <v>1923</v>
      </c>
    </row>
    <row r="2373" spans="1:4" x14ac:dyDescent="0.25">
      <c r="A2373" t="str">
        <f>"102450"</f>
        <v>102450</v>
      </c>
      <c r="B2373" t="s">
        <v>2339</v>
      </c>
      <c r="D2373" s="15" t="s">
        <v>546</v>
      </c>
    </row>
    <row r="2374" spans="1:4" x14ac:dyDescent="0.25">
      <c r="A2374" t="str">
        <f>"102451"</f>
        <v>102451</v>
      </c>
      <c r="B2374" t="s">
        <v>2340</v>
      </c>
      <c r="D2374" s="15" t="s">
        <v>115</v>
      </c>
    </row>
    <row r="2375" spans="1:4" x14ac:dyDescent="0.25">
      <c r="A2375" t="str">
        <f>"102452"</f>
        <v>102452</v>
      </c>
      <c r="B2375" t="s">
        <v>2341</v>
      </c>
      <c r="D2375" s="15" t="s">
        <v>1376</v>
      </c>
    </row>
    <row r="2376" spans="1:4" x14ac:dyDescent="0.25">
      <c r="A2376" t="str">
        <f>"102453"</f>
        <v>102453</v>
      </c>
      <c r="B2376" t="s">
        <v>2342</v>
      </c>
      <c r="D2376" s="15" t="s">
        <v>925</v>
      </c>
    </row>
    <row r="2377" spans="1:4" x14ac:dyDescent="0.25">
      <c r="A2377" t="str">
        <f>"102454"</f>
        <v>102454</v>
      </c>
      <c r="B2377" t="s">
        <v>2343</v>
      </c>
      <c r="D2377" s="15" t="s">
        <v>833</v>
      </c>
    </row>
    <row r="2378" spans="1:4" x14ac:dyDescent="0.25">
      <c r="A2378" t="str">
        <f>"102455"</f>
        <v>102455</v>
      </c>
      <c r="B2378" t="s">
        <v>2344</v>
      </c>
      <c r="D2378" s="15" t="s">
        <v>1768</v>
      </c>
    </row>
    <row r="2379" spans="1:4" x14ac:dyDescent="0.25">
      <c r="A2379" t="str">
        <f>"102456"</f>
        <v>102456</v>
      </c>
      <c r="B2379" t="s">
        <v>2345</v>
      </c>
      <c r="D2379" s="15" t="s">
        <v>173</v>
      </c>
    </row>
    <row r="2380" spans="1:4" x14ac:dyDescent="0.25">
      <c r="A2380" t="str">
        <f>"102457"</f>
        <v>102457</v>
      </c>
      <c r="B2380" t="s">
        <v>2346</v>
      </c>
      <c r="D2380" s="15" t="s">
        <v>2351</v>
      </c>
    </row>
    <row r="2381" spans="1:4" x14ac:dyDescent="0.25">
      <c r="A2381" t="str">
        <f>"102458"</f>
        <v>102458</v>
      </c>
      <c r="B2381" t="s">
        <v>2347</v>
      </c>
      <c r="D2381" s="15" t="s">
        <v>635</v>
      </c>
    </row>
    <row r="2382" spans="1:4" x14ac:dyDescent="0.25">
      <c r="A2382" t="str">
        <f>"102459"</f>
        <v>102459</v>
      </c>
      <c r="B2382" t="s">
        <v>2348</v>
      </c>
      <c r="D2382" s="15" t="s">
        <v>406</v>
      </c>
    </row>
    <row r="2383" spans="1:4" x14ac:dyDescent="0.25">
      <c r="A2383" t="str">
        <f>"102460"</f>
        <v>102460</v>
      </c>
      <c r="B2383" t="s">
        <v>2349</v>
      </c>
      <c r="D2383" s="15" t="s">
        <v>2353</v>
      </c>
    </row>
    <row r="2384" spans="1:4" x14ac:dyDescent="0.25">
      <c r="A2384" t="str">
        <f>"102461"</f>
        <v>102461</v>
      </c>
      <c r="B2384" t="s">
        <v>2350</v>
      </c>
      <c r="D2384" s="15" t="s">
        <v>1091</v>
      </c>
    </row>
    <row r="2385" spans="1:4" x14ac:dyDescent="0.25">
      <c r="A2385" t="str">
        <f>"102462"</f>
        <v>102462</v>
      </c>
      <c r="B2385" t="s">
        <v>2351</v>
      </c>
      <c r="D2385" s="15" t="s">
        <v>1260</v>
      </c>
    </row>
    <row r="2386" spans="1:4" x14ac:dyDescent="0.25">
      <c r="A2386" t="str">
        <f>"102463"</f>
        <v>102463</v>
      </c>
      <c r="B2386" t="s">
        <v>2352</v>
      </c>
      <c r="D2386" s="15" t="s">
        <v>92</v>
      </c>
    </row>
    <row r="2387" spans="1:4" x14ac:dyDescent="0.25">
      <c r="A2387" t="str">
        <f>"102464"</f>
        <v>102464</v>
      </c>
      <c r="B2387" t="s">
        <v>2353</v>
      </c>
      <c r="D2387" s="15" t="s">
        <v>210</v>
      </c>
    </row>
    <row r="2388" spans="1:4" x14ac:dyDescent="0.25">
      <c r="A2388" t="str">
        <f>"102465"</f>
        <v>102465</v>
      </c>
      <c r="B2388" t="s">
        <v>2354</v>
      </c>
      <c r="D2388" s="15" t="s">
        <v>2329</v>
      </c>
    </row>
    <row r="2389" spans="1:4" x14ac:dyDescent="0.25">
      <c r="A2389" t="str">
        <f>"102466"</f>
        <v>102466</v>
      </c>
      <c r="B2389" t="s">
        <v>2355</v>
      </c>
      <c r="D2389" s="15" t="s">
        <v>163</v>
      </c>
    </row>
    <row r="2390" spans="1:4" x14ac:dyDescent="0.25">
      <c r="A2390" t="str">
        <f>"102467"</f>
        <v>102467</v>
      </c>
      <c r="B2390" t="s">
        <v>2356</v>
      </c>
      <c r="D2390" s="15" t="s">
        <v>211</v>
      </c>
    </row>
    <row r="2391" spans="1:4" x14ac:dyDescent="0.25">
      <c r="A2391" t="str">
        <f>"102468"</f>
        <v>102468</v>
      </c>
      <c r="B2391" t="s">
        <v>2357</v>
      </c>
      <c r="D2391" s="15" t="s">
        <v>471</v>
      </c>
    </row>
    <row r="2392" spans="1:4" x14ac:dyDescent="0.25">
      <c r="A2392" t="str">
        <f>"102469"</f>
        <v>102469</v>
      </c>
      <c r="B2392" t="s">
        <v>2358</v>
      </c>
      <c r="D2392" s="15" t="s">
        <v>125</v>
      </c>
    </row>
    <row r="2393" spans="1:4" x14ac:dyDescent="0.25">
      <c r="A2393" t="str">
        <f>"102470"</f>
        <v>102470</v>
      </c>
      <c r="B2393" t="s">
        <v>2359</v>
      </c>
      <c r="D2393" s="15" t="s">
        <v>2807</v>
      </c>
    </row>
    <row r="2394" spans="1:4" x14ac:dyDescent="0.25">
      <c r="A2394" t="str">
        <f>"102471"</f>
        <v>102471</v>
      </c>
      <c r="B2394" t="s">
        <v>2360</v>
      </c>
      <c r="D2394" s="15" t="s">
        <v>2293</v>
      </c>
    </row>
    <row r="2395" spans="1:4" x14ac:dyDescent="0.25">
      <c r="A2395" t="str">
        <f>"102472"</f>
        <v>102472</v>
      </c>
      <c r="B2395" t="s">
        <v>2361</v>
      </c>
      <c r="D2395" s="15" t="s">
        <v>212</v>
      </c>
    </row>
    <row r="2396" spans="1:4" x14ac:dyDescent="0.25">
      <c r="A2396" t="str">
        <f>"102473"</f>
        <v>102473</v>
      </c>
      <c r="B2396" t="s">
        <v>2362</v>
      </c>
      <c r="D2396" s="15" t="s">
        <v>529</v>
      </c>
    </row>
    <row r="2397" spans="1:4" x14ac:dyDescent="0.25">
      <c r="A2397" t="str">
        <f>"102474"</f>
        <v>102474</v>
      </c>
      <c r="B2397" t="s">
        <v>2363</v>
      </c>
      <c r="D2397" s="15" t="s">
        <v>108</v>
      </c>
    </row>
    <row r="2398" spans="1:4" x14ac:dyDescent="0.25">
      <c r="A2398" t="str">
        <f>"102475"</f>
        <v>102475</v>
      </c>
      <c r="B2398" t="s">
        <v>2364</v>
      </c>
      <c r="D2398" s="15" t="s">
        <v>164</v>
      </c>
    </row>
    <row r="2399" spans="1:4" x14ac:dyDescent="0.25">
      <c r="A2399" t="str">
        <f>"102476"</f>
        <v>102476</v>
      </c>
      <c r="B2399" t="s">
        <v>2365</v>
      </c>
      <c r="D2399" s="15" t="s">
        <v>93</v>
      </c>
    </row>
    <row r="2400" spans="1:4" x14ac:dyDescent="0.25">
      <c r="A2400" t="str">
        <f>"102477"</f>
        <v>102477</v>
      </c>
      <c r="B2400" t="s">
        <v>2366</v>
      </c>
      <c r="D2400" s="15" t="s">
        <v>534</v>
      </c>
    </row>
    <row r="2401" spans="1:4" x14ac:dyDescent="0.25">
      <c r="A2401" t="str">
        <f>"102478"</f>
        <v>102478</v>
      </c>
      <c r="B2401" t="s">
        <v>2367</v>
      </c>
      <c r="D2401" s="15" t="s">
        <v>1589</v>
      </c>
    </row>
    <row r="2402" spans="1:4" x14ac:dyDescent="0.25">
      <c r="A2402" t="str">
        <f>"102479"</f>
        <v>102479</v>
      </c>
      <c r="B2402" t="s">
        <v>2368</v>
      </c>
      <c r="D2402" s="15" t="s">
        <v>2573</v>
      </c>
    </row>
    <row r="2403" spans="1:4" x14ac:dyDescent="0.25">
      <c r="A2403" t="str">
        <f>"102480"</f>
        <v>102480</v>
      </c>
      <c r="B2403" t="s">
        <v>2369</v>
      </c>
      <c r="D2403" s="15" t="s">
        <v>1138</v>
      </c>
    </row>
    <row r="2404" spans="1:4" x14ac:dyDescent="0.25">
      <c r="A2404" t="str">
        <f>"102481"</f>
        <v>102481</v>
      </c>
      <c r="B2404" t="s">
        <v>2370</v>
      </c>
      <c r="D2404" s="15" t="s">
        <v>165</v>
      </c>
    </row>
    <row r="2405" spans="1:4" x14ac:dyDescent="0.25">
      <c r="A2405" t="str">
        <f>"102482"</f>
        <v>102482</v>
      </c>
      <c r="B2405" t="s">
        <v>2371</v>
      </c>
      <c r="D2405" s="15" t="s">
        <v>2089</v>
      </c>
    </row>
    <row r="2406" spans="1:4" x14ac:dyDescent="0.25">
      <c r="A2406" t="str">
        <f>"102483"</f>
        <v>102483</v>
      </c>
      <c r="B2406" t="s">
        <v>2372</v>
      </c>
      <c r="D2406" s="15" t="s">
        <v>1898</v>
      </c>
    </row>
    <row r="2407" spans="1:4" x14ac:dyDescent="0.25">
      <c r="A2407" t="str">
        <f>"102484"</f>
        <v>102484</v>
      </c>
      <c r="B2407" t="s">
        <v>2373</v>
      </c>
      <c r="D2407" s="15" t="s">
        <v>1341</v>
      </c>
    </row>
    <row r="2408" spans="1:4" x14ac:dyDescent="0.25">
      <c r="A2408" t="str">
        <f>"102485"</f>
        <v>102485</v>
      </c>
      <c r="B2408" t="s">
        <v>2374</v>
      </c>
      <c r="D2408" s="15" t="s">
        <v>1937</v>
      </c>
    </row>
    <row r="2409" spans="1:4" x14ac:dyDescent="0.25">
      <c r="A2409" t="str">
        <f>"102486"</f>
        <v>102486</v>
      </c>
      <c r="B2409" t="s">
        <v>2375</v>
      </c>
      <c r="D2409" s="15" t="s">
        <v>1197</v>
      </c>
    </row>
    <row r="2410" spans="1:4" x14ac:dyDescent="0.25">
      <c r="A2410" t="str">
        <f>"102487"</f>
        <v>102487</v>
      </c>
      <c r="B2410" t="s">
        <v>2376</v>
      </c>
      <c r="D2410" s="15" t="s">
        <v>2040</v>
      </c>
    </row>
    <row r="2411" spans="1:4" x14ac:dyDescent="0.25">
      <c r="A2411" t="str">
        <f>"102488"</f>
        <v>102488</v>
      </c>
      <c r="B2411" t="s">
        <v>2377</v>
      </c>
      <c r="D2411" s="15" t="s">
        <v>1972</v>
      </c>
    </row>
    <row r="2412" spans="1:4" x14ac:dyDescent="0.25">
      <c r="A2412" t="str">
        <f>"102489"</f>
        <v>102489</v>
      </c>
      <c r="B2412" t="s">
        <v>2378</v>
      </c>
      <c r="D2412" s="15" t="s">
        <v>213</v>
      </c>
    </row>
    <row r="2413" spans="1:4" x14ac:dyDescent="0.25">
      <c r="A2413" t="str">
        <f>"102490"</f>
        <v>102490</v>
      </c>
      <c r="B2413" t="s">
        <v>2379</v>
      </c>
      <c r="D2413" s="15" t="s">
        <v>104</v>
      </c>
    </row>
    <row r="2414" spans="1:4" x14ac:dyDescent="0.25">
      <c r="A2414" t="str">
        <f>"102491"</f>
        <v>102491</v>
      </c>
      <c r="B2414" t="s">
        <v>2380</v>
      </c>
      <c r="D2414" s="15" t="s">
        <v>548</v>
      </c>
    </row>
    <row r="2415" spans="1:4" x14ac:dyDescent="0.25">
      <c r="A2415" t="str">
        <f>"102492"</f>
        <v>102492</v>
      </c>
      <c r="B2415" t="s">
        <v>2381</v>
      </c>
      <c r="D2415" s="15" t="s">
        <v>2205</v>
      </c>
    </row>
    <row r="2416" spans="1:4" x14ac:dyDescent="0.25">
      <c r="A2416" t="str">
        <f>"102493"</f>
        <v>102493</v>
      </c>
      <c r="B2416" t="s">
        <v>2382</v>
      </c>
      <c r="D2416" s="15" t="s">
        <v>1610</v>
      </c>
    </row>
    <row r="2417" spans="1:4" x14ac:dyDescent="0.25">
      <c r="A2417" t="str">
        <f>"102494"</f>
        <v>102494</v>
      </c>
      <c r="B2417" t="s">
        <v>2383</v>
      </c>
      <c r="D2417" s="15" t="s">
        <v>95</v>
      </c>
    </row>
    <row r="2418" spans="1:4" x14ac:dyDescent="0.25">
      <c r="A2418" t="str">
        <f>"102495"</f>
        <v>102495</v>
      </c>
      <c r="B2418" t="s">
        <v>2384</v>
      </c>
      <c r="D2418" s="15" t="s">
        <v>2798</v>
      </c>
    </row>
    <row r="2419" spans="1:4" x14ac:dyDescent="0.25">
      <c r="A2419" t="str">
        <f>"102496"</f>
        <v>102496</v>
      </c>
      <c r="B2419" t="s">
        <v>2385</v>
      </c>
      <c r="D2419" s="15" t="s">
        <v>2554</v>
      </c>
    </row>
    <row r="2420" spans="1:4" x14ac:dyDescent="0.25">
      <c r="A2420" t="str">
        <f>"102497"</f>
        <v>102497</v>
      </c>
      <c r="B2420" t="s">
        <v>2386</v>
      </c>
      <c r="D2420" s="15" t="s">
        <v>166</v>
      </c>
    </row>
    <row r="2421" spans="1:4" x14ac:dyDescent="0.25">
      <c r="A2421" t="str">
        <f>"102498"</f>
        <v>102498</v>
      </c>
      <c r="B2421" t="s">
        <v>2387</v>
      </c>
      <c r="D2421" s="15" t="s">
        <v>1107</v>
      </c>
    </row>
    <row r="2422" spans="1:4" x14ac:dyDescent="0.25">
      <c r="A2422" t="str">
        <f>"102499"</f>
        <v>102499</v>
      </c>
      <c r="B2422" t="s">
        <v>2388</v>
      </c>
      <c r="D2422" s="15" t="s">
        <v>100</v>
      </c>
    </row>
    <row r="2423" spans="1:4" x14ac:dyDescent="0.25">
      <c r="A2423" t="str">
        <f>"102500"</f>
        <v>102500</v>
      </c>
      <c r="B2423" t="s">
        <v>2389</v>
      </c>
      <c r="D2423" s="15" t="s">
        <v>2172</v>
      </c>
    </row>
    <row r="2424" spans="1:4" x14ac:dyDescent="0.25">
      <c r="A2424" t="str">
        <f>"102501"</f>
        <v>102501</v>
      </c>
      <c r="B2424" t="s">
        <v>2390</v>
      </c>
      <c r="D2424" s="15" t="s">
        <v>2715</v>
      </c>
    </row>
    <row r="2425" spans="1:4" x14ac:dyDescent="0.25">
      <c r="A2425" t="str">
        <f>"102502"</f>
        <v>102502</v>
      </c>
      <c r="B2425" t="s">
        <v>2391</v>
      </c>
      <c r="D2425" s="15" t="s">
        <v>1504</v>
      </c>
    </row>
    <row r="2426" spans="1:4" x14ac:dyDescent="0.25">
      <c r="A2426" t="str">
        <f>"102503"</f>
        <v>102503</v>
      </c>
      <c r="B2426" t="s">
        <v>2392</v>
      </c>
      <c r="D2426" s="15" t="s">
        <v>1535</v>
      </c>
    </row>
    <row r="2427" spans="1:4" x14ac:dyDescent="0.25">
      <c r="A2427" t="str">
        <f>"102504"</f>
        <v>102504</v>
      </c>
      <c r="B2427" t="s">
        <v>2393</v>
      </c>
      <c r="D2427" s="15" t="s">
        <v>2424</v>
      </c>
    </row>
    <row r="2428" spans="1:4" x14ac:dyDescent="0.25">
      <c r="A2428" t="str">
        <f>"102505"</f>
        <v>102505</v>
      </c>
      <c r="B2428" t="s">
        <v>2394</v>
      </c>
      <c r="D2428" s="15" t="s">
        <v>1379</v>
      </c>
    </row>
    <row r="2429" spans="1:4" x14ac:dyDescent="0.25">
      <c r="A2429" t="str">
        <f>"102506"</f>
        <v>102506</v>
      </c>
      <c r="B2429" t="s">
        <v>2395</v>
      </c>
      <c r="D2429" s="15" t="s">
        <v>214</v>
      </c>
    </row>
    <row r="2430" spans="1:4" x14ac:dyDescent="0.25">
      <c r="A2430" t="str">
        <f>"102507"</f>
        <v>102507</v>
      </c>
      <c r="B2430" t="s">
        <v>2396</v>
      </c>
      <c r="D2430" s="15" t="s">
        <v>167</v>
      </c>
    </row>
    <row r="2431" spans="1:4" x14ac:dyDescent="0.25">
      <c r="A2431" t="str">
        <f>"102508"</f>
        <v>102508</v>
      </c>
      <c r="B2431" t="s">
        <v>2397</v>
      </c>
      <c r="D2431" s="15" t="s">
        <v>2280</v>
      </c>
    </row>
    <row r="2432" spans="1:4" x14ac:dyDescent="0.25">
      <c r="A2432" t="str">
        <f>"102509"</f>
        <v>102509</v>
      </c>
      <c r="B2432" t="s">
        <v>2398</v>
      </c>
      <c r="D2432" s="15" t="s">
        <v>1775</v>
      </c>
    </row>
    <row r="2433" spans="1:4" x14ac:dyDescent="0.25">
      <c r="A2433" t="str">
        <f>"102510"</f>
        <v>102510</v>
      </c>
      <c r="B2433" t="s">
        <v>2399</v>
      </c>
      <c r="D2433" s="15" t="s">
        <v>107</v>
      </c>
    </row>
    <row r="2434" spans="1:4" x14ac:dyDescent="0.25">
      <c r="A2434" t="str">
        <f>"102511"</f>
        <v>102511</v>
      </c>
      <c r="B2434" t="s">
        <v>2400</v>
      </c>
      <c r="D2434" s="15" t="s">
        <v>1860</v>
      </c>
    </row>
    <row r="2435" spans="1:4" x14ac:dyDescent="0.25">
      <c r="A2435" t="str">
        <f>"102512"</f>
        <v>102512</v>
      </c>
      <c r="B2435" t="s">
        <v>2401</v>
      </c>
      <c r="D2435" s="15" t="s">
        <v>1762</v>
      </c>
    </row>
    <row r="2436" spans="1:4" x14ac:dyDescent="0.25">
      <c r="A2436" t="str">
        <f>"102513"</f>
        <v>102513</v>
      </c>
      <c r="B2436" t="s">
        <v>2402</v>
      </c>
      <c r="D2436" s="15" t="s">
        <v>2095</v>
      </c>
    </row>
    <row r="2437" spans="1:4" x14ac:dyDescent="0.25">
      <c r="A2437" t="str">
        <f>"102514"</f>
        <v>102514</v>
      </c>
      <c r="B2437" t="s">
        <v>2403</v>
      </c>
      <c r="D2437" s="15" t="s">
        <v>441</v>
      </c>
    </row>
    <row r="2438" spans="1:4" x14ac:dyDescent="0.25">
      <c r="A2438" t="str">
        <f>"102515"</f>
        <v>102515</v>
      </c>
      <c r="B2438" t="s">
        <v>2404</v>
      </c>
      <c r="D2438" s="15" t="s">
        <v>1849</v>
      </c>
    </row>
    <row r="2439" spans="1:4" x14ac:dyDescent="0.25">
      <c r="A2439" t="str">
        <f>"102516"</f>
        <v>102516</v>
      </c>
      <c r="B2439" t="s">
        <v>2405</v>
      </c>
      <c r="D2439" s="15" t="s">
        <v>1040</v>
      </c>
    </row>
    <row r="2440" spans="1:4" x14ac:dyDescent="0.25">
      <c r="A2440" t="str">
        <f>"102517"</f>
        <v>102517</v>
      </c>
      <c r="B2440" t="s">
        <v>2406</v>
      </c>
      <c r="D2440" s="15" t="s">
        <v>617</v>
      </c>
    </row>
    <row r="2441" spans="1:4" x14ac:dyDescent="0.25">
      <c r="A2441" t="str">
        <f>"102518"</f>
        <v>102518</v>
      </c>
      <c r="B2441" t="s">
        <v>2407</v>
      </c>
      <c r="D2441" s="15" t="s">
        <v>168</v>
      </c>
    </row>
    <row r="2442" spans="1:4" x14ac:dyDescent="0.25">
      <c r="A2442" t="str">
        <f>"102519"</f>
        <v>102519</v>
      </c>
      <c r="B2442" t="s">
        <v>2408</v>
      </c>
      <c r="D2442" s="15" t="s">
        <v>563</v>
      </c>
    </row>
    <row r="2443" spans="1:4" x14ac:dyDescent="0.25">
      <c r="A2443" t="str">
        <f>"102520"</f>
        <v>102520</v>
      </c>
      <c r="B2443" t="s">
        <v>2409</v>
      </c>
      <c r="D2443" s="15" t="s">
        <v>1332</v>
      </c>
    </row>
    <row r="2444" spans="1:4" x14ac:dyDescent="0.25">
      <c r="A2444" t="str">
        <f>"102521"</f>
        <v>102521</v>
      </c>
      <c r="B2444" t="s">
        <v>2410</v>
      </c>
      <c r="D2444" s="15" t="s">
        <v>854</v>
      </c>
    </row>
    <row r="2445" spans="1:4" x14ac:dyDescent="0.25">
      <c r="A2445" t="str">
        <f>"102522"</f>
        <v>102522</v>
      </c>
      <c r="B2445" t="s">
        <v>2411</v>
      </c>
      <c r="D2445" s="15" t="s">
        <v>132</v>
      </c>
    </row>
    <row r="2446" spans="1:4" x14ac:dyDescent="0.25">
      <c r="A2446" t="str">
        <f>"102523"</f>
        <v>102523</v>
      </c>
      <c r="B2446" t="s">
        <v>2412</v>
      </c>
      <c r="D2446" s="15" t="s">
        <v>835</v>
      </c>
    </row>
    <row r="2447" spans="1:4" x14ac:dyDescent="0.25">
      <c r="A2447" t="str">
        <f>"102524"</f>
        <v>102524</v>
      </c>
      <c r="B2447" t="s">
        <v>2413</v>
      </c>
      <c r="D2447" s="15" t="s">
        <v>91</v>
      </c>
    </row>
    <row r="2448" spans="1:4" x14ac:dyDescent="0.25">
      <c r="A2448" t="str">
        <f>"102525"</f>
        <v>102525</v>
      </c>
      <c r="B2448" t="s">
        <v>2414</v>
      </c>
      <c r="D2448" s="15" t="s">
        <v>2075</v>
      </c>
    </row>
    <row r="2449" spans="1:4" x14ac:dyDescent="0.25">
      <c r="A2449" t="str">
        <f>"102526"</f>
        <v>102526</v>
      </c>
      <c r="B2449" t="s">
        <v>2415</v>
      </c>
      <c r="D2449" s="15" t="s">
        <v>1434</v>
      </c>
    </row>
    <row r="2450" spans="1:4" x14ac:dyDescent="0.25">
      <c r="A2450" t="str">
        <f>"102527"</f>
        <v>102527</v>
      </c>
      <c r="B2450" t="s">
        <v>2416</v>
      </c>
      <c r="D2450" s="15" t="s">
        <v>704</v>
      </c>
    </row>
    <row r="2451" spans="1:4" x14ac:dyDescent="0.25">
      <c r="A2451" t="str">
        <f>"102528"</f>
        <v>102528</v>
      </c>
      <c r="B2451" t="s">
        <v>2417</v>
      </c>
      <c r="D2451" s="15" t="s">
        <v>911</v>
      </c>
    </row>
    <row r="2452" spans="1:4" x14ac:dyDescent="0.25">
      <c r="A2452" t="str">
        <f>"102529"</f>
        <v>102529</v>
      </c>
      <c r="B2452" t="s">
        <v>2418</v>
      </c>
      <c r="D2452" s="15" t="s">
        <v>2757</v>
      </c>
    </row>
    <row r="2453" spans="1:4" x14ac:dyDescent="0.25">
      <c r="A2453" t="str">
        <f>"102530"</f>
        <v>102530</v>
      </c>
      <c r="B2453" t="s">
        <v>2419</v>
      </c>
      <c r="D2453" s="15" t="s">
        <v>2081</v>
      </c>
    </row>
    <row r="2454" spans="1:4" x14ac:dyDescent="0.25">
      <c r="A2454" t="str">
        <f>"102531"</f>
        <v>102531</v>
      </c>
      <c r="B2454" t="s">
        <v>2420</v>
      </c>
      <c r="D2454" s="15" t="s">
        <v>1175</v>
      </c>
    </row>
    <row r="2455" spans="1:4" x14ac:dyDescent="0.25">
      <c r="A2455" t="str">
        <f>"102532"</f>
        <v>102532</v>
      </c>
      <c r="B2455" t="s">
        <v>2421</v>
      </c>
      <c r="D2455" s="15" t="s">
        <v>2178</v>
      </c>
    </row>
    <row r="2456" spans="1:4" x14ac:dyDescent="0.25">
      <c r="A2456" t="str">
        <f>"102533"</f>
        <v>102533</v>
      </c>
      <c r="B2456" t="s">
        <v>2422</v>
      </c>
      <c r="D2456" s="15" t="s">
        <v>2522</v>
      </c>
    </row>
    <row r="2457" spans="1:4" x14ac:dyDescent="0.25">
      <c r="A2457" t="str">
        <f>"102534"</f>
        <v>102534</v>
      </c>
      <c r="B2457" t="s">
        <v>2423</v>
      </c>
      <c r="D2457" s="15" t="s">
        <v>2521</v>
      </c>
    </row>
    <row r="2458" spans="1:4" x14ac:dyDescent="0.25">
      <c r="A2458" t="str">
        <f>"102535"</f>
        <v>102535</v>
      </c>
      <c r="B2458" t="s">
        <v>2424</v>
      </c>
      <c r="D2458" s="15" t="s">
        <v>124</v>
      </c>
    </row>
    <row r="2459" spans="1:4" x14ac:dyDescent="0.25">
      <c r="A2459" t="str">
        <f>"102536"</f>
        <v>102536</v>
      </c>
      <c r="B2459" t="s">
        <v>2425</v>
      </c>
      <c r="D2459" s="15" t="s">
        <v>2254</v>
      </c>
    </row>
    <row r="2460" spans="1:4" x14ac:dyDescent="0.25">
      <c r="A2460" t="str">
        <f>"102537"</f>
        <v>102537</v>
      </c>
      <c r="B2460" t="s">
        <v>2426</v>
      </c>
      <c r="D2460" s="15" t="s">
        <v>2748</v>
      </c>
    </row>
    <row r="2461" spans="1:4" x14ac:dyDescent="0.25">
      <c r="A2461" t="str">
        <f>"102538"</f>
        <v>102538</v>
      </c>
      <c r="B2461" t="s">
        <v>2427</v>
      </c>
      <c r="D2461" s="15" t="s">
        <v>1868</v>
      </c>
    </row>
    <row r="2462" spans="1:4" x14ac:dyDescent="0.25">
      <c r="A2462" t="str">
        <f>"102539"</f>
        <v>102539</v>
      </c>
      <c r="B2462" t="s">
        <v>2428</v>
      </c>
      <c r="D2462" s="15" t="s">
        <v>130</v>
      </c>
    </row>
    <row r="2463" spans="1:4" x14ac:dyDescent="0.25">
      <c r="A2463" t="str">
        <f>"102540"</f>
        <v>102540</v>
      </c>
      <c r="B2463" t="s">
        <v>2429</v>
      </c>
      <c r="D2463" s="15" t="s">
        <v>2126</v>
      </c>
    </row>
    <row r="2464" spans="1:4" x14ac:dyDescent="0.25">
      <c r="A2464" t="str">
        <f>"102541"</f>
        <v>102541</v>
      </c>
      <c r="B2464" t="s">
        <v>2430</v>
      </c>
      <c r="D2464" s="15" t="s">
        <v>2207</v>
      </c>
    </row>
    <row r="2465" spans="1:4" x14ac:dyDescent="0.25">
      <c r="A2465" t="str">
        <f>"102542"</f>
        <v>102542</v>
      </c>
      <c r="B2465" t="s">
        <v>2431</v>
      </c>
      <c r="D2465" s="15" t="s">
        <v>2382</v>
      </c>
    </row>
    <row r="2466" spans="1:4" x14ac:dyDescent="0.25">
      <c r="A2466" t="str">
        <f>"102543"</f>
        <v>102543</v>
      </c>
      <c r="B2466" t="s">
        <v>2432</v>
      </c>
      <c r="D2466" s="15" t="s">
        <v>2633</v>
      </c>
    </row>
    <row r="2467" spans="1:4" x14ac:dyDescent="0.25">
      <c r="A2467" t="str">
        <f>"102544"</f>
        <v>102544</v>
      </c>
      <c r="B2467" t="s">
        <v>2433</v>
      </c>
      <c r="D2467" s="15" t="s">
        <v>2753</v>
      </c>
    </row>
    <row r="2468" spans="1:4" x14ac:dyDescent="0.25">
      <c r="A2468" t="str">
        <f>"102545"</f>
        <v>102545</v>
      </c>
      <c r="B2468" t="s">
        <v>2434</v>
      </c>
      <c r="D2468" s="15" t="s">
        <v>170</v>
      </c>
    </row>
    <row r="2469" spans="1:4" x14ac:dyDescent="0.25">
      <c r="A2469" t="str">
        <f>"102546"</f>
        <v>102546</v>
      </c>
      <c r="B2469" t="s">
        <v>2435</v>
      </c>
      <c r="D2469" s="15" t="s">
        <v>2635</v>
      </c>
    </row>
    <row r="2470" spans="1:4" x14ac:dyDescent="0.25">
      <c r="A2470" t="str">
        <f>"102547"</f>
        <v>102547</v>
      </c>
      <c r="B2470" t="s">
        <v>2436</v>
      </c>
      <c r="D2470" s="15" t="s">
        <v>98</v>
      </c>
    </row>
    <row r="2471" spans="1:4" x14ac:dyDescent="0.25">
      <c r="A2471" t="str">
        <f>"102548"</f>
        <v>102548</v>
      </c>
      <c r="B2471" t="s">
        <v>2437</v>
      </c>
      <c r="D2471" s="15" t="s">
        <v>111</v>
      </c>
    </row>
    <row r="2472" spans="1:4" x14ac:dyDescent="0.25">
      <c r="A2472" t="str">
        <f>"102549"</f>
        <v>102549</v>
      </c>
      <c r="B2472" t="s">
        <v>2438</v>
      </c>
      <c r="D2472" s="15" t="s">
        <v>1492</v>
      </c>
    </row>
    <row r="2473" spans="1:4" x14ac:dyDescent="0.25">
      <c r="A2473" t="str">
        <f>"102550"</f>
        <v>102550</v>
      </c>
      <c r="B2473" t="s">
        <v>2439</v>
      </c>
      <c r="D2473" s="15" t="s">
        <v>87</v>
      </c>
    </row>
    <row r="2474" spans="1:4" x14ac:dyDescent="0.25">
      <c r="A2474" t="str">
        <f>"102551"</f>
        <v>102551</v>
      </c>
      <c r="B2474" t="s">
        <v>2440</v>
      </c>
      <c r="D2474" s="15" t="s">
        <v>105</v>
      </c>
    </row>
    <row r="2475" spans="1:4" x14ac:dyDescent="0.25">
      <c r="A2475" t="str">
        <f>"102552"</f>
        <v>102552</v>
      </c>
      <c r="B2475" t="s">
        <v>2441</v>
      </c>
      <c r="D2475" s="15" t="s">
        <v>2091</v>
      </c>
    </row>
    <row r="2476" spans="1:4" x14ac:dyDescent="0.25">
      <c r="A2476" t="str">
        <f>"102553"</f>
        <v>102553</v>
      </c>
      <c r="B2476" t="s">
        <v>2442</v>
      </c>
      <c r="D2476" s="15" t="s">
        <v>215</v>
      </c>
    </row>
    <row r="2477" spans="1:4" x14ac:dyDescent="0.25">
      <c r="A2477" t="str">
        <f>"102554"</f>
        <v>102554</v>
      </c>
      <c r="B2477" t="s">
        <v>2443</v>
      </c>
      <c r="D2477" s="15" t="s">
        <v>2556</v>
      </c>
    </row>
    <row r="2478" spans="1:4" x14ac:dyDescent="0.25">
      <c r="A2478" t="str">
        <f>"102555"</f>
        <v>102555</v>
      </c>
      <c r="B2478" t="s">
        <v>2444</v>
      </c>
      <c r="D2478" s="15" t="s">
        <v>1238</v>
      </c>
    </row>
    <row r="2479" spans="1:4" x14ac:dyDescent="0.25">
      <c r="A2479" t="str">
        <f>"102556"</f>
        <v>102556</v>
      </c>
      <c r="B2479" t="s">
        <v>2445</v>
      </c>
      <c r="D2479" s="15" t="s">
        <v>88</v>
      </c>
    </row>
    <row r="2480" spans="1:4" x14ac:dyDescent="0.25">
      <c r="A2480" t="str">
        <f>"102592"</f>
        <v>102592</v>
      </c>
      <c r="B2480" t="s">
        <v>2446</v>
      </c>
      <c r="D2480" s="15" t="s">
        <v>1146</v>
      </c>
    </row>
    <row r="2481" spans="1:4" x14ac:dyDescent="0.25">
      <c r="A2481" t="str">
        <f>"102593"</f>
        <v>102593</v>
      </c>
      <c r="B2481" t="s">
        <v>2447</v>
      </c>
      <c r="D2481" s="15" t="s">
        <v>109</v>
      </c>
    </row>
    <row r="2482" spans="1:4" x14ac:dyDescent="0.25">
      <c r="A2482" t="str">
        <f>"102594"</f>
        <v>102594</v>
      </c>
      <c r="B2482" t="s">
        <v>2448</v>
      </c>
      <c r="D2482" s="15" t="s">
        <v>121</v>
      </c>
    </row>
    <row r="2483" spans="1:4" x14ac:dyDescent="0.25">
      <c r="A2483" t="str">
        <f>"102595"</f>
        <v>102595</v>
      </c>
      <c r="B2483" t="s">
        <v>2449</v>
      </c>
      <c r="D2483" s="15" t="s">
        <v>1756</v>
      </c>
    </row>
    <row r="2484" spans="1:4" x14ac:dyDescent="0.25">
      <c r="A2484" t="str">
        <f>"102596"</f>
        <v>102596</v>
      </c>
      <c r="B2484" t="s">
        <v>2450</v>
      </c>
      <c r="D2484" s="15" t="s">
        <v>706</v>
      </c>
    </row>
    <row r="2485" spans="1:4" x14ac:dyDescent="0.25">
      <c r="A2485" t="str">
        <f>"102597"</f>
        <v>102597</v>
      </c>
      <c r="B2485" t="s">
        <v>2451</v>
      </c>
      <c r="D2485" s="15" t="s">
        <v>1836</v>
      </c>
    </row>
    <row r="2486" spans="1:4" x14ac:dyDescent="0.25">
      <c r="A2486" t="str">
        <f>"102598"</f>
        <v>102598</v>
      </c>
      <c r="B2486" t="s">
        <v>2452</v>
      </c>
      <c r="D2486" s="15" t="s">
        <v>2744</v>
      </c>
    </row>
    <row r="2487" spans="1:4" x14ac:dyDescent="0.25">
      <c r="A2487" t="str">
        <f>"102599"</f>
        <v>102599</v>
      </c>
      <c r="B2487" t="s">
        <v>2453</v>
      </c>
      <c r="D2487" s="15" t="s">
        <v>2029</v>
      </c>
    </row>
    <row r="2488" spans="1:4" x14ac:dyDescent="0.25">
      <c r="A2488" t="str">
        <f>"102600"</f>
        <v>102600</v>
      </c>
      <c r="B2488" t="s">
        <v>2454</v>
      </c>
      <c r="D2488" s="15" t="s">
        <v>2448</v>
      </c>
    </row>
    <row r="2489" spans="1:4" x14ac:dyDescent="0.25">
      <c r="A2489" t="str">
        <f>"102601"</f>
        <v>102601</v>
      </c>
      <c r="B2489" t="s">
        <v>2455</v>
      </c>
      <c r="D2489" s="15" t="s">
        <v>126</v>
      </c>
    </row>
    <row r="2490" spans="1:4" x14ac:dyDescent="0.25">
      <c r="A2490" t="str">
        <f>"102602"</f>
        <v>102602</v>
      </c>
      <c r="B2490" t="s">
        <v>2456</v>
      </c>
      <c r="D2490" s="15" t="s">
        <v>1987</v>
      </c>
    </row>
    <row r="2491" spans="1:4" x14ac:dyDescent="0.25">
      <c r="A2491" t="str">
        <f>"102603"</f>
        <v>102603</v>
      </c>
      <c r="B2491" t="s">
        <v>2457</v>
      </c>
      <c r="D2491" s="15" t="s">
        <v>1632</v>
      </c>
    </row>
    <row r="2492" spans="1:4" x14ac:dyDescent="0.25">
      <c r="A2492" t="str">
        <f>"102604"</f>
        <v>102604</v>
      </c>
      <c r="B2492" t="s">
        <v>2458</v>
      </c>
      <c r="D2492" s="15" t="s">
        <v>86</v>
      </c>
    </row>
    <row r="2493" spans="1:4" x14ac:dyDescent="0.25">
      <c r="A2493" t="str">
        <f>"102605"</f>
        <v>102605</v>
      </c>
      <c r="B2493" t="s">
        <v>2459</v>
      </c>
      <c r="D2493" s="15" t="s">
        <v>2053</v>
      </c>
    </row>
    <row r="2494" spans="1:4" x14ac:dyDescent="0.25">
      <c r="A2494" t="str">
        <f>"102606"</f>
        <v>102606</v>
      </c>
      <c r="B2494" t="s">
        <v>2460</v>
      </c>
      <c r="D2494" s="15" t="s">
        <v>112</v>
      </c>
    </row>
    <row r="2495" spans="1:4" x14ac:dyDescent="0.25">
      <c r="A2495" t="str">
        <f>"102607"</f>
        <v>102607</v>
      </c>
      <c r="B2495" t="s">
        <v>2461</v>
      </c>
      <c r="D2495" s="15" t="s">
        <v>118</v>
      </c>
    </row>
    <row r="2496" spans="1:4" x14ac:dyDescent="0.25">
      <c r="A2496" t="str">
        <f>"102608"</f>
        <v>102608</v>
      </c>
      <c r="B2496" t="s">
        <v>2462</v>
      </c>
      <c r="D2496" s="15" t="s">
        <v>2009</v>
      </c>
    </row>
    <row r="2497" spans="1:4" x14ac:dyDescent="0.25">
      <c r="A2497" t="str">
        <f>"102609"</f>
        <v>102609</v>
      </c>
      <c r="B2497" t="s">
        <v>2463</v>
      </c>
      <c r="D2497" s="15" t="s">
        <v>2200</v>
      </c>
    </row>
    <row r="2498" spans="1:4" x14ac:dyDescent="0.25">
      <c r="A2498" t="str">
        <f>"102610"</f>
        <v>102610</v>
      </c>
      <c r="B2498" t="s">
        <v>2464</v>
      </c>
      <c r="D2498" s="15" t="s">
        <v>2589</v>
      </c>
    </row>
    <row r="2499" spans="1:4" x14ac:dyDescent="0.25">
      <c r="A2499" t="str">
        <f>"102611"</f>
        <v>102611</v>
      </c>
      <c r="B2499" t="s">
        <v>2465</v>
      </c>
      <c r="D2499" s="15" t="s">
        <v>2320</v>
      </c>
    </row>
    <row r="2500" spans="1:4" x14ac:dyDescent="0.25">
      <c r="A2500" t="str">
        <f>"102612"</f>
        <v>102612</v>
      </c>
      <c r="B2500" t="s">
        <v>2466</v>
      </c>
      <c r="D2500" s="15" t="s">
        <v>2683</v>
      </c>
    </row>
    <row r="2501" spans="1:4" x14ac:dyDescent="0.25">
      <c r="A2501" t="str">
        <f>"102613"</f>
        <v>102613</v>
      </c>
      <c r="B2501" t="s">
        <v>2467</v>
      </c>
      <c r="D2501" s="15" t="s">
        <v>1279</v>
      </c>
    </row>
    <row r="2502" spans="1:4" x14ac:dyDescent="0.25">
      <c r="A2502" t="str">
        <f>"102614"</f>
        <v>102614</v>
      </c>
      <c r="B2502" t="s">
        <v>2468</v>
      </c>
      <c r="D2502" s="15" t="s">
        <v>2788</v>
      </c>
    </row>
    <row r="2503" spans="1:4" x14ac:dyDescent="0.25">
      <c r="A2503" t="str">
        <f>"102615"</f>
        <v>102615</v>
      </c>
      <c r="B2503" t="s">
        <v>2469</v>
      </c>
      <c r="D2503" s="15" t="s">
        <v>2400</v>
      </c>
    </row>
    <row r="2504" spans="1:4" x14ac:dyDescent="0.25">
      <c r="A2504" t="str">
        <f>"102616"</f>
        <v>102616</v>
      </c>
      <c r="B2504" t="s">
        <v>2470</v>
      </c>
      <c r="D2504" s="15" t="s">
        <v>106</v>
      </c>
    </row>
    <row r="2505" spans="1:4" x14ac:dyDescent="0.25">
      <c r="A2505" t="str">
        <f>"102617"</f>
        <v>102617</v>
      </c>
      <c r="B2505" t="s">
        <v>2471</v>
      </c>
      <c r="D2505" s="15" t="s">
        <v>918</v>
      </c>
    </row>
    <row r="2506" spans="1:4" x14ac:dyDescent="0.25">
      <c r="A2506" t="str">
        <f>"102618"</f>
        <v>102618</v>
      </c>
      <c r="B2506" t="s">
        <v>2472</v>
      </c>
      <c r="D2506" s="15" t="s">
        <v>90</v>
      </c>
    </row>
    <row r="2507" spans="1:4" x14ac:dyDescent="0.25">
      <c r="A2507" t="str">
        <f>"102619"</f>
        <v>102619</v>
      </c>
      <c r="B2507" t="s">
        <v>2473</v>
      </c>
      <c r="D2507" s="15" t="s">
        <v>648</v>
      </c>
    </row>
    <row r="2508" spans="1:4" x14ac:dyDescent="0.25">
      <c r="A2508" t="str">
        <f>"102620"</f>
        <v>102620</v>
      </c>
      <c r="B2508" t="s">
        <v>2474</v>
      </c>
      <c r="D2508" s="15" t="s">
        <v>2087</v>
      </c>
    </row>
    <row r="2509" spans="1:4" x14ac:dyDescent="0.25">
      <c r="A2509" t="str">
        <f>"102621"</f>
        <v>102621</v>
      </c>
      <c r="B2509" t="s">
        <v>2475</v>
      </c>
      <c r="D2509" s="15" t="s">
        <v>2690</v>
      </c>
    </row>
    <row r="2510" spans="1:4" x14ac:dyDescent="0.25">
      <c r="A2510" t="str">
        <f>"102622"</f>
        <v>102622</v>
      </c>
      <c r="B2510" t="s">
        <v>2476</v>
      </c>
      <c r="D2510" s="15" t="s">
        <v>117</v>
      </c>
    </row>
    <row r="2511" spans="1:4" x14ac:dyDescent="0.25">
      <c r="A2511" t="str">
        <f>"102623"</f>
        <v>102623</v>
      </c>
      <c r="B2511" t="s">
        <v>2477</v>
      </c>
      <c r="D2511" s="15" t="s">
        <v>945</v>
      </c>
    </row>
    <row r="2512" spans="1:4" x14ac:dyDescent="0.25">
      <c r="A2512" t="str">
        <f>"102624"</f>
        <v>102624</v>
      </c>
      <c r="B2512" t="s">
        <v>2478</v>
      </c>
      <c r="D2512" s="15" t="s">
        <v>99</v>
      </c>
    </row>
    <row r="2513" spans="1:4" x14ac:dyDescent="0.25">
      <c r="A2513" t="str">
        <f>"102625"</f>
        <v>102625</v>
      </c>
      <c r="B2513" t="s">
        <v>2479</v>
      </c>
      <c r="D2513" s="15" t="s">
        <v>741</v>
      </c>
    </row>
    <row r="2514" spans="1:4" x14ac:dyDescent="0.25">
      <c r="A2514" t="str">
        <f>"102626"</f>
        <v>102626</v>
      </c>
      <c r="B2514" t="s">
        <v>2480</v>
      </c>
      <c r="D2514" s="15" t="s">
        <v>97</v>
      </c>
    </row>
    <row r="2515" spans="1:4" x14ac:dyDescent="0.25">
      <c r="A2515" t="str">
        <f>"102627"</f>
        <v>102627</v>
      </c>
      <c r="B2515" t="s">
        <v>2481</v>
      </c>
      <c r="D2515" s="15" t="s">
        <v>131</v>
      </c>
    </row>
    <row r="2516" spans="1:4" x14ac:dyDescent="0.25">
      <c r="A2516" t="str">
        <f>"102628"</f>
        <v>102628</v>
      </c>
      <c r="B2516" t="s">
        <v>2482</v>
      </c>
      <c r="D2516" s="15" t="s">
        <v>542</v>
      </c>
    </row>
    <row r="2517" spans="1:4" x14ac:dyDescent="0.25">
      <c r="A2517" t="str">
        <f>"102629"</f>
        <v>102629</v>
      </c>
      <c r="B2517" t="s">
        <v>2483</v>
      </c>
      <c r="D2517" s="15" t="s">
        <v>2490</v>
      </c>
    </row>
    <row r="2518" spans="1:4" x14ac:dyDescent="0.25">
      <c r="A2518" t="str">
        <f>"102630"</f>
        <v>102630</v>
      </c>
      <c r="B2518" t="s">
        <v>2484</v>
      </c>
      <c r="D2518" s="15" t="s">
        <v>101</v>
      </c>
    </row>
    <row r="2519" spans="1:4" x14ac:dyDescent="0.25">
      <c r="A2519" t="str">
        <f>"102631"</f>
        <v>102631</v>
      </c>
      <c r="B2519" t="s">
        <v>2485</v>
      </c>
      <c r="D2519" s="15" t="s">
        <v>880</v>
      </c>
    </row>
    <row r="2520" spans="1:4" x14ac:dyDescent="0.25">
      <c r="A2520" t="str">
        <f>"102632"</f>
        <v>102632</v>
      </c>
      <c r="B2520" t="s">
        <v>2486</v>
      </c>
      <c r="D2520" s="15" t="s">
        <v>1287</v>
      </c>
    </row>
    <row r="2521" spans="1:4" x14ac:dyDescent="0.25">
      <c r="A2521" t="str">
        <f>"102633"</f>
        <v>102633</v>
      </c>
      <c r="B2521" t="s">
        <v>2487</v>
      </c>
      <c r="D2521" s="15" t="s">
        <v>216</v>
      </c>
    </row>
    <row r="2522" spans="1:4" x14ac:dyDescent="0.25">
      <c r="A2522" t="str">
        <f>"102634"</f>
        <v>102634</v>
      </c>
      <c r="B2522" t="s">
        <v>2488</v>
      </c>
      <c r="D2522" s="15" t="s">
        <v>1024</v>
      </c>
    </row>
    <row r="2523" spans="1:4" x14ac:dyDescent="0.25">
      <c r="A2523" t="str">
        <f>"102635"</f>
        <v>102635</v>
      </c>
      <c r="B2523" t="s">
        <v>2489</v>
      </c>
      <c r="D2523" s="15" t="s">
        <v>2742</v>
      </c>
    </row>
    <row r="2524" spans="1:4" x14ac:dyDescent="0.25">
      <c r="A2524" t="str">
        <f>"102636"</f>
        <v>102636</v>
      </c>
      <c r="B2524" t="s">
        <v>2490</v>
      </c>
      <c r="D2524" s="15" t="s">
        <v>1300</v>
      </c>
    </row>
    <row r="2525" spans="1:4" x14ac:dyDescent="0.25">
      <c r="A2525" t="str">
        <f>"102637"</f>
        <v>102637</v>
      </c>
      <c r="B2525" t="s">
        <v>2491</v>
      </c>
      <c r="D2525" s="15" t="s">
        <v>1969</v>
      </c>
    </row>
    <row r="2526" spans="1:4" x14ac:dyDescent="0.25">
      <c r="A2526" t="str">
        <f>"102638"</f>
        <v>102638</v>
      </c>
      <c r="B2526" t="s">
        <v>2492</v>
      </c>
      <c r="D2526" s="15" t="s">
        <v>1982</v>
      </c>
    </row>
    <row r="2527" spans="1:4" x14ac:dyDescent="0.25">
      <c r="A2527" t="str">
        <f>"102639"</f>
        <v>102639</v>
      </c>
      <c r="B2527" t="s">
        <v>2493</v>
      </c>
      <c r="D2527" s="15" t="s">
        <v>473</v>
      </c>
    </row>
    <row r="2528" spans="1:4" x14ac:dyDescent="0.25">
      <c r="A2528" t="str">
        <f>"102640"</f>
        <v>102640</v>
      </c>
      <c r="B2528" t="s">
        <v>2494</v>
      </c>
      <c r="D2528" s="15" t="s">
        <v>2190</v>
      </c>
    </row>
    <row r="2529" spans="1:4" x14ac:dyDescent="0.25">
      <c r="A2529" t="str">
        <f>"102641"</f>
        <v>102641</v>
      </c>
      <c r="B2529" t="s">
        <v>2495</v>
      </c>
      <c r="D2529" s="15" t="s">
        <v>2464</v>
      </c>
    </row>
    <row r="2530" spans="1:4" x14ac:dyDescent="0.25">
      <c r="A2530" t="str">
        <f>"102642"</f>
        <v>102642</v>
      </c>
      <c r="B2530" t="s">
        <v>2496</v>
      </c>
      <c r="D2530" s="15" t="s">
        <v>1084</v>
      </c>
    </row>
    <row r="2531" spans="1:4" x14ac:dyDescent="0.25">
      <c r="A2531" t="str">
        <f>"102643"</f>
        <v>102643</v>
      </c>
      <c r="B2531" t="s">
        <v>2497</v>
      </c>
      <c r="D2531" s="15" t="s">
        <v>1583</v>
      </c>
    </row>
    <row r="2532" spans="1:4" x14ac:dyDescent="0.25">
      <c r="A2532" t="str">
        <f>"102644"</f>
        <v>102644</v>
      </c>
      <c r="B2532" t="s">
        <v>2498</v>
      </c>
      <c r="D2532" s="15" t="s">
        <v>1833</v>
      </c>
    </row>
    <row r="2533" spans="1:4" x14ac:dyDescent="0.25">
      <c r="A2533" t="str">
        <f>"102645"</f>
        <v>102645</v>
      </c>
      <c r="B2533" t="s">
        <v>2499</v>
      </c>
      <c r="D2533" s="15" t="s">
        <v>811</v>
      </c>
    </row>
    <row r="2534" spans="1:4" x14ac:dyDescent="0.25">
      <c r="A2534" t="str">
        <f>"102646"</f>
        <v>102646</v>
      </c>
      <c r="B2534" t="s">
        <v>2500</v>
      </c>
      <c r="D2534" s="15" t="s">
        <v>1120</v>
      </c>
    </row>
    <row r="2535" spans="1:4" x14ac:dyDescent="0.25">
      <c r="A2535" t="str">
        <f>"102647"</f>
        <v>102647</v>
      </c>
      <c r="B2535" t="s">
        <v>2501</v>
      </c>
      <c r="D2535" s="15" t="s">
        <v>114</v>
      </c>
    </row>
    <row r="2536" spans="1:4" x14ac:dyDescent="0.25">
      <c r="A2536" t="str">
        <f>"102648"</f>
        <v>102648</v>
      </c>
      <c r="B2536" t="s">
        <v>2502</v>
      </c>
      <c r="D2536" s="15" t="s">
        <v>2204</v>
      </c>
    </row>
    <row r="2537" spans="1:4" x14ac:dyDescent="0.25">
      <c r="A2537" t="str">
        <f>"102649"</f>
        <v>102649</v>
      </c>
      <c r="B2537" t="s">
        <v>2503</v>
      </c>
      <c r="D2537" s="15" t="s">
        <v>113</v>
      </c>
    </row>
    <row r="2538" spans="1:4" x14ac:dyDescent="0.25">
      <c r="A2538" t="str">
        <f>"102650"</f>
        <v>102650</v>
      </c>
      <c r="B2538" t="s">
        <v>2504</v>
      </c>
      <c r="D2538" s="15" t="s">
        <v>110</v>
      </c>
    </row>
    <row r="2539" spans="1:4" x14ac:dyDescent="0.25">
      <c r="A2539" t="str">
        <f>"102651"</f>
        <v>102651</v>
      </c>
      <c r="B2539" t="s">
        <v>2505</v>
      </c>
      <c r="D2539" s="15" t="s">
        <v>2161</v>
      </c>
    </row>
    <row r="2540" spans="1:4" x14ac:dyDescent="0.25">
      <c r="A2540" t="str">
        <f>"102652"</f>
        <v>102652</v>
      </c>
      <c r="B2540" t="s">
        <v>2506</v>
      </c>
      <c r="D2540" s="15" t="s">
        <v>103</v>
      </c>
    </row>
    <row r="2541" spans="1:4" x14ac:dyDescent="0.25">
      <c r="A2541" t="str">
        <f>"102653"</f>
        <v>102653</v>
      </c>
      <c r="B2541" t="s">
        <v>2507</v>
      </c>
      <c r="D2541" s="15" t="s">
        <v>2583</v>
      </c>
    </row>
    <row r="2542" spans="1:4" x14ac:dyDescent="0.25">
      <c r="A2542" t="str">
        <f>"102654"</f>
        <v>102654</v>
      </c>
      <c r="B2542" t="s">
        <v>2508</v>
      </c>
      <c r="D2542" s="15" t="s">
        <v>2696</v>
      </c>
    </row>
    <row r="2543" spans="1:4" x14ac:dyDescent="0.25">
      <c r="A2543" t="str">
        <f>"102655"</f>
        <v>102655</v>
      </c>
      <c r="B2543" t="s">
        <v>2509</v>
      </c>
      <c r="D2543" s="15" t="s">
        <v>1979</v>
      </c>
    </row>
    <row r="2544" spans="1:4" x14ac:dyDescent="0.25">
      <c r="A2544" t="str">
        <f>"102656"</f>
        <v>102656</v>
      </c>
      <c r="B2544" t="s">
        <v>2510</v>
      </c>
      <c r="D2544" s="15" t="s">
        <v>2201</v>
      </c>
    </row>
    <row r="2545" spans="1:4" x14ac:dyDescent="0.25">
      <c r="A2545" t="str">
        <f>"102657"</f>
        <v>102657</v>
      </c>
      <c r="B2545" t="s">
        <v>2511</v>
      </c>
      <c r="D2545" s="15" t="s">
        <v>2266</v>
      </c>
    </row>
    <row r="2546" spans="1:4" x14ac:dyDescent="0.25">
      <c r="A2546" t="str">
        <f>"102658"</f>
        <v>102658</v>
      </c>
      <c r="B2546" t="s">
        <v>2512</v>
      </c>
      <c r="D2546" s="15" t="s">
        <v>2278</v>
      </c>
    </row>
    <row r="2547" spans="1:4" x14ac:dyDescent="0.25">
      <c r="A2547" t="str">
        <f>"102659"</f>
        <v>102659</v>
      </c>
      <c r="B2547" t="s">
        <v>2513</v>
      </c>
      <c r="D2547" s="15" t="s">
        <v>2594</v>
      </c>
    </row>
    <row r="2548" spans="1:4" x14ac:dyDescent="0.25">
      <c r="A2548" t="str">
        <f>"102660"</f>
        <v>102660</v>
      </c>
      <c r="B2548" t="s">
        <v>2514</v>
      </c>
      <c r="D2548" s="15" t="s">
        <v>2681</v>
      </c>
    </row>
    <row r="2549" spans="1:4" x14ac:dyDescent="0.25">
      <c r="A2549" t="str">
        <f>"102661"</f>
        <v>102661</v>
      </c>
      <c r="B2549" t="s">
        <v>2515</v>
      </c>
      <c r="D2549" s="15" t="s">
        <v>2117</v>
      </c>
    </row>
    <row r="2550" spans="1:4" x14ac:dyDescent="0.25">
      <c r="A2550" t="str">
        <f>"102662"</f>
        <v>102662</v>
      </c>
      <c r="B2550" t="s">
        <v>2516</v>
      </c>
      <c r="D2550" s="15" t="s">
        <v>2216</v>
      </c>
    </row>
    <row r="2551" spans="1:4" x14ac:dyDescent="0.25">
      <c r="A2551" t="str">
        <f>"102663"</f>
        <v>102663</v>
      </c>
      <c r="B2551" t="s">
        <v>2517</v>
      </c>
      <c r="D2551" s="15" t="s">
        <v>2168</v>
      </c>
    </row>
    <row r="2552" spans="1:4" x14ac:dyDescent="0.25">
      <c r="A2552" t="str">
        <f>"102664"</f>
        <v>102664</v>
      </c>
      <c r="B2552" t="s">
        <v>2518</v>
      </c>
      <c r="D2552" s="15" t="s">
        <v>2100</v>
      </c>
    </row>
    <row r="2553" spans="1:4" x14ac:dyDescent="0.25">
      <c r="A2553" t="str">
        <f>"102665"</f>
        <v>102665</v>
      </c>
      <c r="B2553" t="s">
        <v>2519</v>
      </c>
      <c r="D2553" s="15" t="s">
        <v>2227</v>
      </c>
    </row>
    <row r="2554" spans="1:4" x14ac:dyDescent="0.25">
      <c r="A2554" t="str">
        <f>"102666"</f>
        <v>102666</v>
      </c>
      <c r="B2554" t="s">
        <v>2520</v>
      </c>
      <c r="D2554" s="15" t="s">
        <v>2776</v>
      </c>
    </row>
    <row r="2555" spans="1:4" x14ac:dyDescent="0.25">
      <c r="A2555" t="str">
        <f>"102667"</f>
        <v>102667</v>
      </c>
      <c r="B2555" t="s">
        <v>2521</v>
      </c>
      <c r="D2555" s="15" t="s">
        <v>2176</v>
      </c>
    </row>
    <row r="2556" spans="1:4" x14ac:dyDescent="0.25">
      <c r="A2556" t="str">
        <f>"102668"</f>
        <v>102668</v>
      </c>
      <c r="B2556" t="s">
        <v>2522</v>
      </c>
      <c r="D2556" s="15" t="s">
        <v>2545</v>
      </c>
    </row>
    <row r="2557" spans="1:4" x14ac:dyDescent="0.25">
      <c r="A2557" t="str">
        <f>"102669"</f>
        <v>102669</v>
      </c>
      <c r="B2557" t="s">
        <v>2523</v>
      </c>
      <c r="D2557" s="15" t="s">
        <v>2139</v>
      </c>
    </row>
    <row r="2558" spans="1:4" x14ac:dyDescent="0.25">
      <c r="A2558" t="str">
        <f>"102670"</f>
        <v>102670</v>
      </c>
      <c r="B2558" t="s">
        <v>2524</v>
      </c>
      <c r="D2558" s="15" t="s">
        <v>1322</v>
      </c>
    </row>
    <row r="2559" spans="1:4" x14ac:dyDescent="0.25">
      <c r="A2559" t="str">
        <f>"102671"</f>
        <v>102671</v>
      </c>
      <c r="B2559" t="s">
        <v>2525</v>
      </c>
      <c r="D2559" s="15" t="s">
        <v>1092</v>
      </c>
    </row>
    <row r="2560" spans="1:4" x14ac:dyDescent="0.25">
      <c r="A2560" t="str">
        <f>"102672"</f>
        <v>102672</v>
      </c>
      <c r="B2560" t="s">
        <v>2526</v>
      </c>
      <c r="D2560" s="15" t="s">
        <v>2828</v>
      </c>
    </row>
    <row r="2561" spans="1:4" x14ac:dyDescent="0.25">
      <c r="A2561" t="str">
        <f>"102673"</f>
        <v>102673</v>
      </c>
      <c r="B2561" t="s">
        <v>2527</v>
      </c>
      <c r="D2561" s="15" t="s">
        <v>2572</v>
      </c>
    </row>
    <row r="2562" spans="1:4" x14ac:dyDescent="0.25">
      <c r="A2562" t="str">
        <f>"102674"</f>
        <v>102674</v>
      </c>
      <c r="B2562" t="s">
        <v>2528</v>
      </c>
      <c r="D2562" s="15" t="s">
        <v>2268</v>
      </c>
    </row>
    <row r="2563" spans="1:4" x14ac:dyDescent="0.25">
      <c r="A2563" t="str">
        <f>"102675"</f>
        <v>102675</v>
      </c>
      <c r="B2563" t="s">
        <v>2529</v>
      </c>
      <c r="D2563" s="15" t="s">
        <v>2588</v>
      </c>
    </row>
    <row r="2564" spans="1:4" x14ac:dyDescent="0.25">
      <c r="A2564" t="str">
        <f>"102676"</f>
        <v>102676</v>
      </c>
      <c r="B2564" t="s">
        <v>2530</v>
      </c>
      <c r="D2564" s="15" t="s">
        <v>141</v>
      </c>
    </row>
    <row r="2565" spans="1:4" x14ac:dyDescent="0.25">
      <c r="A2565" t="str">
        <f>"102677"</f>
        <v>102677</v>
      </c>
      <c r="B2565" t="s">
        <v>2531</v>
      </c>
      <c r="D2565" s="15" t="s">
        <v>2365</v>
      </c>
    </row>
    <row r="2566" spans="1:4" x14ac:dyDescent="0.25">
      <c r="A2566" t="str">
        <f>"102678"</f>
        <v>102678</v>
      </c>
      <c r="B2566" t="s">
        <v>2532</v>
      </c>
      <c r="D2566" s="15" t="s">
        <v>2026</v>
      </c>
    </row>
    <row r="2567" spans="1:4" x14ac:dyDescent="0.25">
      <c r="A2567" t="str">
        <f>"102679"</f>
        <v>102679</v>
      </c>
      <c r="B2567" t="s">
        <v>2533</v>
      </c>
      <c r="D2567" s="15" t="s">
        <v>2445</v>
      </c>
    </row>
    <row r="2568" spans="1:4" x14ac:dyDescent="0.25">
      <c r="A2568" t="str">
        <f>"102680"</f>
        <v>102680</v>
      </c>
      <c r="B2568" t="s">
        <v>2534</v>
      </c>
      <c r="D2568" s="15" t="s">
        <v>2700</v>
      </c>
    </row>
    <row r="2569" spans="1:4" x14ac:dyDescent="0.25">
      <c r="A2569" t="str">
        <f>"102681"</f>
        <v>102681</v>
      </c>
      <c r="B2569" t="s">
        <v>2535</v>
      </c>
      <c r="D2569" s="15" t="s">
        <v>2485</v>
      </c>
    </row>
    <row r="2570" spans="1:4" x14ac:dyDescent="0.25">
      <c r="A2570" t="str">
        <f>"102682"</f>
        <v>102682</v>
      </c>
      <c r="B2570" t="s">
        <v>2536</v>
      </c>
      <c r="D2570" s="15" t="s">
        <v>2106</v>
      </c>
    </row>
    <row r="2571" spans="1:4" x14ac:dyDescent="0.25">
      <c r="A2571" t="str">
        <f>"102683"</f>
        <v>102683</v>
      </c>
      <c r="B2571" t="s">
        <v>2537</v>
      </c>
      <c r="D2571" s="15" t="s">
        <v>2549</v>
      </c>
    </row>
    <row r="2572" spans="1:4" x14ac:dyDescent="0.25">
      <c r="A2572" t="str">
        <f>"102684"</f>
        <v>102684</v>
      </c>
      <c r="B2572" t="s">
        <v>2538</v>
      </c>
      <c r="D2572" s="15" t="s">
        <v>2343</v>
      </c>
    </row>
    <row r="2573" spans="1:4" x14ac:dyDescent="0.25">
      <c r="A2573" t="str">
        <f>"102685"</f>
        <v>102685</v>
      </c>
      <c r="B2573" t="s">
        <v>2539</v>
      </c>
      <c r="D2573" s="15" t="s">
        <v>2402</v>
      </c>
    </row>
    <row r="2574" spans="1:4" x14ac:dyDescent="0.25">
      <c r="A2574" t="str">
        <f>"102686"</f>
        <v>102686</v>
      </c>
      <c r="B2574" t="s">
        <v>2540</v>
      </c>
      <c r="D2574" s="15" t="s">
        <v>2756</v>
      </c>
    </row>
    <row r="2575" spans="1:4" x14ac:dyDescent="0.25">
      <c r="A2575" t="str">
        <f>"102687"</f>
        <v>102687</v>
      </c>
      <c r="B2575" t="s">
        <v>2541</v>
      </c>
      <c r="D2575" s="15" t="s">
        <v>2264</v>
      </c>
    </row>
    <row r="2576" spans="1:4" x14ac:dyDescent="0.25">
      <c r="A2576" t="str">
        <f>"102688"</f>
        <v>102688</v>
      </c>
      <c r="B2576" t="s">
        <v>2542</v>
      </c>
      <c r="D2576" s="15" t="s">
        <v>2165</v>
      </c>
    </row>
    <row r="2577" spans="1:4" x14ac:dyDescent="0.25">
      <c r="A2577" t="str">
        <f>"102689"</f>
        <v>102689</v>
      </c>
      <c r="B2577" t="s">
        <v>2543</v>
      </c>
      <c r="D2577" s="15" t="s">
        <v>2638</v>
      </c>
    </row>
    <row r="2578" spans="1:4" x14ac:dyDescent="0.25">
      <c r="A2578" t="str">
        <f>"102690"</f>
        <v>102690</v>
      </c>
      <c r="B2578" t="s">
        <v>2544</v>
      </c>
      <c r="D2578" s="15" t="s">
        <v>2707</v>
      </c>
    </row>
    <row r="2579" spans="1:4" x14ac:dyDescent="0.25">
      <c r="A2579" t="str">
        <f>"102691"</f>
        <v>102691</v>
      </c>
      <c r="B2579" t="s">
        <v>2545</v>
      </c>
      <c r="D2579" s="15" t="s">
        <v>2279</v>
      </c>
    </row>
    <row r="2580" spans="1:4" x14ac:dyDescent="0.25">
      <c r="A2580" t="str">
        <f>"102692"</f>
        <v>102692</v>
      </c>
      <c r="B2580" t="s">
        <v>2546</v>
      </c>
      <c r="D2580" s="15" t="s">
        <v>2181</v>
      </c>
    </row>
    <row r="2581" spans="1:4" x14ac:dyDescent="0.25">
      <c r="A2581" t="str">
        <f>"102693"</f>
        <v>102693</v>
      </c>
      <c r="B2581" t="s">
        <v>2547</v>
      </c>
      <c r="D2581" s="15" t="s">
        <v>2455</v>
      </c>
    </row>
    <row r="2582" spans="1:4" x14ac:dyDescent="0.25">
      <c r="A2582" t="str">
        <f>"102694"</f>
        <v>102694</v>
      </c>
      <c r="B2582" t="s">
        <v>2548</v>
      </c>
      <c r="D2582" s="15" t="s">
        <v>2527</v>
      </c>
    </row>
    <row r="2583" spans="1:4" x14ac:dyDescent="0.25">
      <c r="A2583" t="str">
        <f>"102695"</f>
        <v>102695</v>
      </c>
      <c r="B2583" t="s">
        <v>2549</v>
      </c>
      <c r="D2583" s="15" t="s">
        <v>2312</v>
      </c>
    </row>
    <row r="2584" spans="1:4" x14ac:dyDescent="0.25">
      <c r="A2584" t="str">
        <f>"102696"</f>
        <v>102696</v>
      </c>
      <c r="B2584" t="s">
        <v>2550</v>
      </c>
      <c r="D2584" s="15" t="s">
        <v>2771</v>
      </c>
    </row>
    <row r="2585" spans="1:4" x14ac:dyDescent="0.25">
      <c r="A2585" t="str">
        <f>"102697"</f>
        <v>102697</v>
      </c>
      <c r="B2585" t="s">
        <v>2551</v>
      </c>
      <c r="D2585" s="15" t="s">
        <v>2480</v>
      </c>
    </row>
    <row r="2586" spans="1:4" x14ac:dyDescent="0.25">
      <c r="A2586" t="str">
        <f>"102698"</f>
        <v>102698</v>
      </c>
      <c r="B2586" t="s">
        <v>2552</v>
      </c>
      <c r="D2586" s="15" t="s">
        <v>2325</v>
      </c>
    </row>
    <row r="2587" spans="1:4" x14ac:dyDescent="0.25">
      <c r="A2587" t="str">
        <f>"102699"</f>
        <v>102699</v>
      </c>
      <c r="B2587" t="s">
        <v>2553</v>
      </c>
      <c r="D2587" s="15" t="s">
        <v>2199</v>
      </c>
    </row>
    <row r="2588" spans="1:4" x14ac:dyDescent="0.25">
      <c r="A2588" t="str">
        <f>"102700"</f>
        <v>102700</v>
      </c>
      <c r="B2588" t="s">
        <v>2554</v>
      </c>
      <c r="D2588" s="15" t="s">
        <v>2614</v>
      </c>
    </row>
    <row r="2589" spans="1:4" x14ac:dyDescent="0.25">
      <c r="A2589" t="str">
        <f>"102701"</f>
        <v>102701</v>
      </c>
      <c r="B2589" t="s">
        <v>2555</v>
      </c>
      <c r="D2589" s="15" t="s">
        <v>2138</v>
      </c>
    </row>
    <row r="2590" spans="1:4" x14ac:dyDescent="0.25">
      <c r="A2590" t="str">
        <f>"102702"</f>
        <v>102702</v>
      </c>
      <c r="B2590" t="s">
        <v>2556</v>
      </c>
      <c r="D2590" s="15" t="s">
        <v>2173</v>
      </c>
    </row>
    <row r="2591" spans="1:4" x14ac:dyDescent="0.25">
      <c r="A2591" t="str">
        <f>"102703"</f>
        <v>102703</v>
      </c>
      <c r="B2591" t="s">
        <v>2557</v>
      </c>
      <c r="D2591" s="15" t="s">
        <v>2717</v>
      </c>
    </row>
    <row r="2592" spans="1:4" x14ac:dyDescent="0.25">
      <c r="A2592" t="str">
        <f>"102704"</f>
        <v>102704</v>
      </c>
      <c r="B2592" t="s">
        <v>2558</v>
      </c>
      <c r="D2592" s="15" t="s">
        <v>2829</v>
      </c>
    </row>
    <row r="2593" spans="1:4" x14ac:dyDescent="0.25">
      <c r="A2593" t="str">
        <f>"102705"</f>
        <v>102705</v>
      </c>
      <c r="B2593" t="s">
        <v>2559</v>
      </c>
      <c r="D2593" s="15" t="s">
        <v>2768</v>
      </c>
    </row>
    <row r="2594" spans="1:4" x14ac:dyDescent="0.25">
      <c r="A2594" t="str">
        <f>"102710"</f>
        <v>102710</v>
      </c>
      <c r="B2594" t="s">
        <v>2560</v>
      </c>
      <c r="D2594" s="15" t="s">
        <v>2252</v>
      </c>
    </row>
    <row r="2595" spans="1:4" x14ac:dyDescent="0.25">
      <c r="A2595" t="str">
        <f>"102711"</f>
        <v>102711</v>
      </c>
      <c r="B2595" t="s">
        <v>2561</v>
      </c>
      <c r="D2595" s="15" t="s">
        <v>2128</v>
      </c>
    </row>
    <row r="2596" spans="1:4" x14ac:dyDescent="0.25">
      <c r="A2596" t="str">
        <f>"102712"</f>
        <v>102712</v>
      </c>
      <c r="B2596" t="s">
        <v>2562</v>
      </c>
      <c r="D2596" s="15" t="s">
        <v>2361</v>
      </c>
    </row>
    <row r="2597" spans="1:4" x14ac:dyDescent="0.25">
      <c r="A2597" t="str">
        <f>"102713"</f>
        <v>102713</v>
      </c>
      <c r="B2597" t="s">
        <v>2563</v>
      </c>
      <c r="D2597" s="15" t="s">
        <v>2680</v>
      </c>
    </row>
    <row r="2598" spans="1:4" x14ac:dyDescent="0.25">
      <c r="A2598" t="str">
        <f>"102714"</f>
        <v>102714</v>
      </c>
      <c r="B2598" t="s">
        <v>2564</v>
      </c>
      <c r="D2598" s="15" t="s">
        <v>2548</v>
      </c>
    </row>
    <row r="2599" spans="1:4" x14ac:dyDescent="0.25">
      <c r="A2599" t="str">
        <f>"102715"</f>
        <v>102715</v>
      </c>
      <c r="B2599" t="s">
        <v>2565</v>
      </c>
      <c r="D2599" s="15" t="s">
        <v>1699</v>
      </c>
    </row>
    <row r="2600" spans="1:4" x14ac:dyDescent="0.25">
      <c r="A2600" t="str">
        <f>"102716"</f>
        <v>102716</v>
      </c>
      <c r="B2600" t="s">
        <v>2566</v>
      </c>
      <c r="D2600" s="15" t="s">
        <v>2664</v>
      </c>
    </row>
    <row r="2601" spans="1:4" x14ac:dyDescent="0.25">
      <c r="A2601" t="str">
        <f>"102717"</f>
        <v>102717</v>
      </c>
      <c r="B2601" t="s">
        <v>2567</v>
      </c>
      <c r="D2601" s="15" t="s">
        <v>2055</v>
      </c>
    </row>
    <row r="2602" spans="1:4" x14ac:dyDescent="0.25">
      <c r="A2602" t="str">
        <f>"102718"</f>
        <v>102718</v>
      </c>
      <c r="B2602" t="s">
        <v>2568</v>
      </c>
      <c r="D2602" s="15" t="s">
        <v>2570</v>
      </c>
    </row>
    <row r="2603" spans="1:4" x14ac:dyDescent="0.25">
      <c r="A2603" t="str">
        <f>"102719"</f>
        <v>102719</v>
      </c>
      <c r="B2603" t="s">
        <v>2569</v>
      </c>
      <c r="D2603" s="15" t="s">
        <v>2492</v>
      </c>
    </row>
    <row r="2604" spans="1:4" x14ac:dyDescent="0.25">
      <c r="A2604" t="str">
        <f>"102720"</f>
        <v>102720</v>
      </c>
      <c r="B2604" t="s">
        <v>2570</v>
      </c>
      <c r="D2604" s="15" t="s">
        <v>2146</v>
      </c>
    </row>
    <row r="2605" spans="1:4" x14ac:dyDescent="0.25">
      <c r="A2605" t="str">
        <f>"102721"</f>
        <v>102721</v>
      </c>
      <c r="B2605" t="s">
        <v>2571</v>
      </c>
      <c r="D2605" s="15" t="s">
        <v>2184</v>
      </c>
    </row>
    <row r="2606" spans="1:4" x14ac:dyDescent="0.25">
      <c r="A2606" t="str">
        <f>"102722"</f>
        <v>102722</v>
      </c>
      <c r="B2606" t="s">
        <v>2572</v>
      </c>
      <c r="D2606" s="15" t="s">
        <v>1056</v>
      </c>
    </row>
    <row r="2607" spans="1:4" x14ac:dyDescent="0.25">
      <c r="A2607" t="str">
        <f>"102723"</f>
        <v>102723</v>
      </c>
      <c r="B2607" t="s">
        <v>2573</v>
      </c>
      <c r="D2607" s="15" t="s">
        <v>1186</v>
      </c>
    </row>
    <row r="2608" spans="1:4" x14ac:dyDescent="0.25">
      <c r="A2608" t="str">
        <f>"102724"</f>
        <v>102724</v>
      </c>
      <c r="B2608" t="s">
        <v>2574</v>
      </c>
      <c r="D2608" s="15" t="s">
        <v>1543</v>
      </c>
    </row>
    <row r="2609" spans="1:4" x14ac:dyDescent="0.25">
      <c r="A2609" t="str">
        <f>"102725"</f>
        <v>102725</v>
      </c>
      <c r="B2609" t="s">
        <v>2575</v>
      </c>
      <c r="D2609" s="15" t="s">
        <v>2130</v>
      </c>
    </row>
    <row r="2610" spans="1:4" x14ac:dyDescent="0.25">
      <c r="A2610" t="str">
        <f>"102726"</f>
        <v>102726</v>
      </c>
      <c r="B2610" t="s">
        <v>2576</v>
      </c>
      <c r="D2610" s="15" t="s">
        <v>474</v>
      </c>
    </row>
    <row r="2611" spans="1:4" x14ac:dyDescent="0.25">
      <c r="A2611" t="str">
        <f>"102727"</f>
        <v>102727</v>
      </c>
      <c r="B2611" t="s">
        <v>2577</v>
      </c>
      <c r="D2611" s="15" t="s">
        <v>1016</v>
      </c>
    </row>
    <row r="2612" spans="1:4" x14ac:dyDescent="0.25">
      <c r="A2612" t="str">
        <f>"102728"</f>
        <v>102728</v>
      </c>
      <c r="B2612" t="s">
        <v>2578</v>
      </c>
      <c r="D2612" s="15" t="s">
        <v>475</v>
      </c>
    </row>
    <row r="2613" spans="1:4" x14ac:dyDescent="0.25">
      <c r="A2613" t="str">
        <f>"102729"</f>
        <v>102729</v>
      </c>
      <c r="B2613" t="s">
        <v>2579</v>
      </c>
      <c r="D2613" s="15" t="s">
        <v>2802</v>
      </c>
    </row>
    <row r="2614" spans="1:4" x14ac:dyDescent="0.25">
      <c r="A2614" t="str">
        <f>"102730"</f>
        <v>102730</v>
      </c>
      <c r="B2614" t="s">
        <v>2580</v>
      </c>
      <c r="D2614" s="15" t="s">
        <v>727</v>
      </c>
    </row>
    <row r="2615" spans="1:4" x14ac:dyDescent="0.25">
      <c r="A2615" t="str">
        <f>"102731"</f>
        <v>102731</v>
      </c>
      <c r="B2615" t="s">
        <v>2581</v>
      </c>
      <c r="D2615" s="15" t="s">
        <v>2743</v>
      </c>
    </row>
    <row r="2616" spans="1:4" x14ac:dyDescent="0.25">
      <c r="A2616" t="str">
        <f>"102732"</f>
        <v>102732</v>
      </c>
      <c r="B2616" t="s">
        <v>2582</v>
      </c>
      <c r="D2616" s="15" t="s">
        <v>2174</v>
      </c>
    </row>
    <row r="2617" spans="1:4" x14ac:dyDescent="0.25">
      <c r="A2617" t="str">
        <f>"102733"</f>
        <v>102733</v>
      </c>
      <c r="B2617" t="s">
        <v>2583</v>
      </c>
      <c r="D2617" s="15" t="s">
        <v>1976</v>
      </c>
    </row>
    <row r="2618" spans="1:4" x14ac:dyDescent="0.25">
      <c r="A2618" t="str">
        <f>"102734"</f>
        <v>102734</v>
      </c>
      <c r="B2618" t="s">
        <v>2584</v>
      </c>
      <c r="D2618" s="15" t="s">
        <v>1926</v>
      </c>
    </row>
    <row r="2619" spans="1:4" x14ac:dyDescent="0.25">
      <c r="A2619" t="str">
        <f>"102735"</f>
        <v>102735</v>
      </c>
      <c r="B2619" t="s">
        <v>2585</v>
      </c>
      <c r="D2619" s="15" t="s">
        <v>2025</v>
      </c>
    </row>
    <row r="2620" spans="1:4" x14ac:dyDescent="0.25">
      <c r="A2620" t="str">
        <f>"102736"</f>
        <v>102736</v>
      </c>
      <c r="B2620" t="s">
        <v>2586</v>
      </c>
      <c r="D2620" s="15" t="s">
        <v>476</v>
      </c>
    </row>
    <row r="2621" spans="1:4" x14ac:dyDescent="0.25">
      <c r="A2621" t="str">
        <f>"102737"</f>
        <v>102737</v>
      </c>
      <c r="B2621" t="s">
        <v>2587</v>
      </c>
      <c r="D2621" s="15" t="s">
        <v>609</v>
      </c>
    </row>
    <row r="2622" spans="1:4" x14ac:dyDescent="0.25">
      <c r="A2622" t="str">
        <f>"102738"</f>
        <v>102738</v>
      </c>
      <c r="B2622" t="s">
        <v>2588</v>
      </c>
      <c r="D2622" s="15" t="s">
        <v>819</v>
      </c>
    </row>
    <row r="2623" spans="1:4" x14ac:dyDescent="0.25">
      <c r="A2623" t="str">
        <f>"102739"</f>
        <v>102739</v>
      </c>
      <c r="B2623" t="s">
        <v>2589</v>
      </c>
      <c r="D2623" s="15" t="s">
        <v>1670</v>
      </c>
    </row>
    <row r="2624" spans="1:4" x14ac:dyDescent="0.25">
      <c r="A2624" t="str">
        <f>"102740"</f>
        <v>102740</v>
      </c>
      <c r="B2624" t="s">
        <v>2590</v>
      </c>
      <c r="D2624" s="15" t="s">
        <v>1303</v>
      </c>
    </row>
    <row r="2625" spans="1:4" x14ac:dyDescent="0.25">
      <c r="A2625" t="str">
        <f>"102741"</f>
        <v>102741</v>
      </c>
      <c r="B2625" t="s">
        <v>2591</v>
      </c>
      <c r="D2625" s="15" t="s">
        <v>1301</v>
      </c>
    </row>
    <row r="2626" spans="1:4" x14ac:dyDescent="0.25">
      <c r="A2626" t="str">
        <f>"102742"</f>
        <v>102742</v>
      </c>
      <c r="B2626" t="s">
        <v>2592</v>
      </c>
      <c r="D2626" s="15" t="s">
        <v>2292</v>
      </c>
    </row>
    <row r="2627" spans="1:4" x14ac:dyDescent="0.25">
      <c r="A2627" t="str">
        <f>"102743"</f>
        <v>102743</v>
      </c>
      <c r="B2627" t="s">
        <v>2593</v>
      </c>
      <c r="D2627" s="15" t="s">
        <v>171</v>
      </c>
    </row>
    <row r="2628" spans="1:4" x14ac:dyDescent="0.25">
      <c r="A2628" t="str">
        <f>"102744"</f>
        <v>102744</v>
      </c>
      <c r="B2628" t="s">
        <v>2594</v>
      </c>
      <c r="D2628" s="15" t="s">
        <v>2313</v>
      </c>
    </row>
    <row r="2629" spans="1:4" x14ac:dyDescent="0.25">
      <c r="A2629" t="str">
        <f>"102745"</f>
        <v>102745</v>
      </c>
      <c r="B2629" t="s">
        <v>2595</v>
      </c>
      <c r="D2629" s="15" t="s">
        <v>1655</v>
      </c>
    </row>
    <row r="2630" spans="1:4" x14ac:dyDescent="0.25">
      <c r="A2630" t="str">
        <f>"102746"</f>
        <v>102746</v>
      </c>
      <c r="B2630" t="s">
        <v>2596</v>
      </c>
      <c r="D2630" s="15" t="s">
        <v>1062</v>
      </c>
    </row>
    <row r="2631" spans="1:4" x14ac:dyDescent="0.25">
      <c r="A2631" t="str">
        <f>"102747"</f>
        <v>102747</v>
      </c>
      <c r="B2631" t="s">
        <v>2597</v>
      </c>
      <c r="D2631" s="15" t="s">
        <v>1660</v>
      </c>
    </row>
    <row r="2632" spans="1:4" x14ac:dyDescent="0.25">
      <c r="A2632" t="str">
        <f>"102748"</f>
        <v>102748</v>
      </c>
      <c r="B2632" t="s">
        <v>2598</v>
      </c>
      <c r="D2632" s="15" t="s">
        <v>2814</v>
      </c>
    </row>
    <row r="2633" spans="1:4" x14ac:dyDescent="0.25">
      <c r="A2633" t="str">
        <f>"102749"</f>
        <v>102749</v>
      </c>
      <c r="B2633" t="s">
        <v>2599</v>
      </c>
      <c r="D2633" s="15" t="s">
        <v>875</v>
      </c>
    </row>
    <row r="2634" spans="1:4" x14ac:dyDescent="0.25">
      <c r="A2634" t="str">
        <f>"102750"</f>
        <v>102750</v>
      </c>
      <c r="B2634" t="s">
        <v>2600</v>
      </c>
      <c r="D2634" s="15" t="s">
        <v>134</v>
      </c>
    </row>
    <row r="2635" spans="1:4" x14ac:dyDescent="0.25">
      <c r="A2635" t="str">
        <f>"102751"</f>
        <v>102751</v>
      </c>
      <c r="B2635" t="s">
        <v>2601</v>
      </c>
      <c r="D2635" s="15" t="s">
        <v>2747</v>
      </c>
    </row>
    <row r="2636" spans="1:4" x14ac:dyDescent="0.25">
      <c r="A2636" t="str">
        <f>"102752"</f>
        <v>102752</v>
      </c>
      <c r="B2636" t="s">
        <v>2602</v>
      </c>
      <c r="D2636" s="15" t="s">
        <v>1856</v>
      </c>
    </row>
    <row r="2637" spans="1:4" x14ac:dyDescent="0.25">
      <c r="A2637" t="str">
        <f>"102753"</f>
        <v>102753</v>
      </c>
      <c r="B2637" t="s">
        <v>2603</v>
      </c>
      <c r="D2637" s="15" t="s">
        <v>801</v>
      </c>
    </row>
    <row r="2638" spans="1:4" x14ac:dyDescent="0.25">
      <c r="A2638" t="str">
        <f>"102754"</f>
        <v>102754</v>
      </c>
      <c r="B2638" t="s">
        <v>2604</v>
      </c>
      <c r="D2638" s="15" t="s">
        <v>2523</v>
      </c>
    </row>
    <row r="2639" spans="1:4" x14ac:dyDescent="0.25">
      <c r="A2639" t="str">
        <f>"102755"</f>
        <v>102755</v>
      </c>
      <c r="B2639" t="s">
        <v>2605</v>
      </c>
      <c r="D2639" s="15" t="s">
        <v>764</v>
      </c>
    </row>
    <row r="2640" spans="1:4" x14ac:dyDescent="0.25">
      <c r="A2640" t="str">
        <f>"102756"</f>
        <v>102756</v>
      </c>
      <c r="B2640" t="s">
        <v>2606</v>
      </c>
      <c r="D2640" s="15" t="s">
        <v>882</v>
      </c>
    </row>
    <row r="2641" spans="1:4" x14ac:dyDescent="0.25">
      <c r="A2641" t="str">
        <f>"102757"</f>
        <v>102757</v>
      </c>
      <c r="B2641" t="s">
        <v>2607</v>
      </c>
      <c r="D2641" s="15" t="s">
        <v>2069</v>
      </c>
    </row>
    <row r="2642" spans="1:4" x14ac:dyDescent="0.25">
      <c r="A2642" t="str">
        <f>"102758"</f>
        <v>102758</v>
      </c>
      <c r="B2642" t="s">
        <v>2608</v>
      </c>
      <c r="D2642" s="15" t="s">
        <v>1481</v>
      </c>
    </row>
    <row r="2643" spans="1:4" x14ac:dyDescent="0.25">
      <c r="A2643" t="str">
        <f>"102759"</f>
        <v>102759</v>
      </c>
      <c r="B2643" t="s">
        <v>2609</v>
      </c>
      <c r="D2643" s="15" t="s">
        <v>1593</v>
      </c>
    </row>
    <row r="2644" spans="1:4" x14ac:dyDescent="0.25">
      <c r="A2644" t="str">
        <f>"102760"</f>
        <v>102760</v>
      </c>
      <c r="B2644" t="s">
        <v>2610</v>
      </c>
      <c r="D2644" s="15" t="s">
        <v>174</v>
      </c>
    </row>
    <row r="2645" spans="1:4" x14ac:dyDescent="0.25">
      <c r="A2645" t="str">
        <f>"102761"</f>
        <v>102761</v>
      </c>
      <c r="B2645" t="s">
        <v>2611</v>
      </c>
      <c r="D2645" s="15" t="s">
        <v>175</v>
      </c>
    </row>
    <row r="2646" spans="1:4" x14ac:dyDescent="0.25">
      <c r="A2646" t="str">
        <f>"102762"</f>
        <v>102762</v>
      </c>
      <c r="B2646" t="s">
        <v>2612</v>
      </c>
      <c r="D2646" s="15" t="s">
        <v>2510</v>
      </c>
    </row>
    <row r="2647" spans="1:4" x14ac:dyDescent="0.25">
      <c r="A2647" t="str">
        <f>"102763"</f>
        <v>102763</v>
      </c>
      <c r="B2647" t="s">
        <v>2613</v>
      </c>
      <c r="D2647" s="15" t="s">
        <v>446</v>
      </c>
    </row>
    <row r="2648" spans="1:4" x14ac:dyDescent="0.25">
      <c r="A2648" t="str">
        <f>"102764"</f>
        <v>102764</v>
      </c>
      <c r="B2648" t="s">
        <v>2614</v>
      </c>
      <c r="D2648" s="15" t="s">
        <v>1398</v>
      </c>
    </row>
    <row r="2649" spans="1:4" x14ac:dyDescent="0.25">
      <c r="A2649" t="str">
        <f>"102765"</f>
        <v>102765</v>
      </c>
      <c r="B2649" t="s">
        <v>2615</v>
      </c>
      <c r="D2649" s="15" t="s">
        <v>217</v>
      </c>
    </row>
    <row r="2650" spans="1:4" x14ac:dyDescent="0.25">
      <c r="A2650" t="str">
        <f>"102766"</f>
        <v>102766</v>
      </c>
      <c r="B2650" t="s">
        <v>2616</v>
      </c>
      <c r="D2650" s="15" t="s">
        <v>1542</v>
      </c>
    </row>
    <row r="2651" spans="1:4" x14ac:dyDescent="0.25">
      <c r="A2651" t="str">
        <f>"102767"</f>
        <v>102767</v>
      </c>
      <c r="B2651" t="s">
        <v>2617</v>
      </c>
      <c r="D2651" s="15" t="s">
        <v>763</v>
      </c>
    </row>
    <row r="2652" spans="1:4" x14ac:dyDescent="0.25">
      <c r="A2652" t="str">
        <f>"102768"</f>
        <v>102768</v>
      </c>
      <c r="B2652" t="s">
        <v>2618</v>
      </c>
      <c r="D2652" s="15" t="s">
        <v>1005</v>
      </c>
    </row>
    <row r="2653" spans="1:4" x14ac:dyDescent="0.25">
      <c r="A2653" t="str">
        <f>"102769"</f>
        <v>102769</v>
      </c>
      <c r="B2653" t="s">
        <v>2619</v>
      </c>
      <c r="D2653" s="15" t="s">
        <v>1883</v>
      </c>
    </row>
    <row r="2654" spans="1:4" x14ac:dyDescent="0.25">
      <c r="A2654" t="str">
        <f>"102770"</f>
        <v>102770</v>
      </c>
      <c r="B2654" t="s">
        <v>2620</v>
      </c>
      <c r="D2654" s="15" t="s">
        <v>2024</v>
      </c>
    </row>
    <row r="2655" spans="1:4" x14ac:dyDescent="0.25">
      <c r="A2655" t="str">
        <f>"102771"</f>
        <v>102771</v>
      </c>
      <c r="B2655" t="s">
        <v>2621</v>
      </c>
      <c r="D2655" s="15" t="s">
        <v>2503</v>
      </c>
    </row>
    <row r="2656" spans="1:4" x14ac:dyDescent="0.25">
      <c r="A2656" t="str">
        <f>"102772"</f>
        <v>102772</v>
      </c>
      <c r="B2656" t="s">
        <v>2622</v>
      </c>
      <c r="D2656" s="15" t="s">
        <v>2641</v>
      </c>
    </row>
    <row r="2657" spans="1:4" x14ac:dyDescent="0.25">
      <c r="A2657" t="str">
        <f>"102773"</f>
        <v>102773</v>
      </c>
      <c r="B2657" t="s">
        <v>2623</v>
      </c>
      <c r="D2657" s="15" t="s">
        <v>1739</v>
      </c>
    </row>
    <row r="2658" spans="1:4" x14ac:dyDescent="0.25">
      <c r="A2658" t="str">
        <f>"102774"</f>
        <v>102774</v>
      </c>
      <c r="B2658" t="s">
        <v>2624</v>
      </c>
      <c r="D2658" s="15" t="s">
        <v>948</v>
      </c>
    </row>
    <row r="2659" spans="1:4" x14ac:dyDescent="0.25">
      <c r="A2659" t="str">
        <f>"102775"</f>
        <v>102775</v>
      </c>
      <c r="B2659" t="s">
        <v>2625</v>
      </c>
      <c r="D2659" s="15" t="s">
        <v>477</v>
      </c>
    </row>
    <row r="2660" spans="1:4" x14ac:dyDescent="0.25">
      <c r="A2660" t="str">
        <f>"102776"</f>
        <v>102776</v>
      </c>
      <c r="B2660" t="s">
        <v>2626</v>
      </c>
      <c r="D2660" s="15" t="s">
        <v>831</v>
      </c>
    </row>
    <row r="2661" spans="1:4" x14ac:dyDescent="0.25">
      <c r="A2661" t="str">
        <f>"102777"</f>
        <v>102777</v>
      </c>
      <c r="B2661" t="s">
        <v>2627</v>
      </c>
      <c r="D2661" s="15" t="s">
        <v>2728</v>
      </c>
    </row>
    <row r="2662" spans="1:4" x14ac:dyDescent="0.25">
      <c r="A2662" t="str">
        <f>"102778"</f>
        <v>102778</v>
      </c>
      <c r="B2662" t="s">
        <v>2628</v>
      </c>
      <c r="D2662" s="15" t="s">
        <v>139</v>
      </c>
    </row>
    <row r="2663" spans="1:4" x14ac:dyDescent="0.25">
      <c r="A2663" t="str">
        <f>"102779"</f>
        <v>102779</v>
      </c>
      <c r="B2663" t="s">
        <v>2629</v>
      </c>
      <c r="D2663" s="15" t="s">
        <v>1919</v>
      </c>
    </row>
    <row r="2664" spans="1:4" x14ac:dyDescent="0.25">
      <c r="A2664" t="str">
        <f>"102780"</f>
        <v>102780</v>
      </c>
      <c r="B2664" t="s">
        <v>2630</v>
      </c>
      <c r="D2664" s="15" t="s">
        <v>1993</v>
      </c>
    </row>
    <row r="2665" spans="1:4" x14ac:dyDescent="0.25">
      <c r="A2665" t="str">
        <f>"102781"</f>
        <v>102781</v>
      </c>
      <c r="B2665" t="s">
        <v>2631</v>
      </c>
      <c r="D2665" s="15" t="s">
        <v>1357</v>
      </c>
    </row>
    <row r="2666" spans="1:4" x14ac:dyDescent="0.25">
      <c r="A2666" t="str">
        <f>"102782"</f>
        <v>102782</v>
      </c>
      <c r="B2666" t="s">
        <v>2632</v>
      </c>
      <c r="D2666" s="15" t="s">
        <v>657</v>
      </c>
    </row>
    <row r="2667" spans="1:4" x14ac:dyDescent="0.25">
      <c r="A2667" t="str">
        <f>"102783"</f>
        <v>102783</v>
      </c>
      <c r="B2667" t="s">
        <v>2633</v>
      </c>
      <c r="D2667" s="15" t="s">
        <v>561</v>
      </c>
    </row>
    <row r="2668" spans="1:4" x14ac:dyDescent="0.25">
      <c r="A2668" t="str">
        <f>"102784"</f>
        <v>102784</v>
      </c>
      <c r="B2668" t="s">
        <v>2634</v>
      </c>
      <c r="D2668" s="15" t="s">
        <v>1292</v>
      </c>
    </row>
    <row r="2669" spans="1:4" x14ac:dyDescent="0.25">
      <c r="A2669" t="str">
        <f>"102785"</f>
        <v>102785</v>
      </c>
      <c r="B2669" t="s">
        <v>2635</v>
      </c>
      <c r="D2669" s="15" t="s">
        <v>1706</v>
      </c>
    </row>
    <row r="2670" spans="1:4" x14ac:dyDescent="0.25">
      <c r="A2670" t="str">
        <f>"102786"</f>
        <v>102786</v>
      </c>
      <c r="B2670" t="s">
        <v>2636</v>
      </c>
      <c r="D2670" s="15" t="s">
        <v>738</v>
      </c>
    </row>
    <row r="2671" spans="1:4" x14ac:dyDescent="0.25">
      <c r="A2671" t="str">
        <f>"102787"</f>
        <v>102787</v>
      </c>
      <c r="B2671" t="s">
        <v>2637</v>
      </c>
      <c r="D2671" s="15" t="s">
        <v>1367</v>
      </c>
    </row>
    <row r="2672" spans="1:4" x14ac:dyDescent="0.25">
      <c r="A2672" t="str">
        <f>"102788"</f>
        <v>102788</v>
      </c>
      <c r="B2672" t="s">
        <v>2638</v>
      </c>
      <c r="D2672" s="15" t="s">
        <v>2219</v>
      </c>
    </row>
    <row r="2673" spans="1:4" x14ac:dyDescent="0.25">
      <c r="A2673" t="str">
        <f>"102789"</f>
        <v>102789</v>
      </c>
      <c r="B2673" t="s">
        <v>2639</v>
      </c>
      <c r="D2673" s="15" t="s">
        <v>138</v>
      </c>
    </row>
    <row r="2674" spans="1:4" x14ac:dyDescent="0.25">
      <c r="A2674" t="str">
        <f>"102790"</f>
        <v>102790</v>
      </c>
      <c r="B2674" t="s">
        <v>2640</v>
      </c>
      <c r="D2674" s="15" t="s">
        <v>218</v>
      </c>
    </row>
    <row r="2675" spans="1:4" x14ac:dyDescent="0.25">
      <c r="A2675" t="str">
        <f>"102791"</f>
        <v>102791</v>
      </c>
      <c r="B2675" t="s">
        <v>2641</v>
      </c>
      <c r="D2675" s="15" t="s">
        <v>2551</v>
      </c>
    </row>
    <row r="2676" spans="1:4" x14ac:dyDescent="0.25">
      <c r="A2676" t="str">
        <f>"102792"</f>
        <v>102792</v>
      </c>
      <c r="B2676" t="s">
        <v>2642</v>
      </c>
      <c r="D2676" s="15" t="s">
        <v>2340</v>
      </c>
    </row>
    <row r="2677" spans="1:4" x14ac:dyDescent="0.25">
      <c r="A2677" t="str">
        <f>"102793"</f>
        <v>102793</v>
      </c>
      <c r="B2677" t="s">
        <v>2643</v>
      </c>
      <c r="D2677" s="15" t="s">
        <v>176</v>
      </c>
    </row>
    <row r="2678" spans="1:4" x14ac:dyDescent="0.25">
      <c r="A2678" t="str">
        <f>"102794"</f>
        <v>102794</v>
      </c>
      <c r="B2678" t="s">
        <v>2644</v>
      </c>
      <c r="D2678" s="15" t="s">
        <v>2127</v>
      </c>
    </row>
    <row r="2679" spans="1:4" x14ac:dyDescent="0.25">
      <c r="A2679" t="str">
        <f>"102795"</f>
        <v>102795</v>
      </c>
      <c r="B2679" t="s">
        <v>2645</v>
      </c>
      <c r="D2679" s="15" t="s">
        <v>219</v>
      </c>
    </row>
    <row r="2680" spans="1:4" x14ac:dyDescent="0.25">
      <c r="A2680" t="str">
        <f>"102796"</f>
        <v>102796</v>
      </c>
      <c r="B2680" t="s">
        <v>2646</v>
      </c>
      <c r="D2680" s="15" t="s">
        <v>2616</v>
      </c>
    </row>
    <row r="2681" spans="1:4" x14ac:dyDescent="0.25">
      <c r="A2681" t="str">
        <f>"102797"</f>
        <v>102797</v>
      </c>
      <c r="B2681" t="s">
        <v>2647</v>
      </c>
      <c r="D2681" s="15" t="s">
        <v>2406</v>
      </c>
    </row>
    <row r="2682" spans="1:4" x14ac:dyDescent="0.25">
      <c r="A2682" t="str">
        <f>"102798"</f>
        <v>102798</v>
      </c>
      <c r="B2682" t="s">
        <v>2648</v>
      </c>
      <c r="D2682" s="15" t="s">
        <v>2772</v>
      </c>
    </row>
    <row r="2683" spans="1:4" x14ac:dyDescent="0.25">
      <c r="A2683" t="str">
        <f>"102799"</f>
        <v>102799</v>
      </c>
      <c r="B2683" t="s">
        <v>2649</v>
      </c>
      <c r="D2683" s="15" t="s">
        <v>725</v>
      </c>
    </row>
    <row r="2684" spans="1:4" x14ac:dyDescent="0.25">
      <c r="A2684" t="str">
        <f>"102800"</f>
        <v>102800</v>
      </c>
      <c r="B2684" t="s">
        <v>2650</v>
      </c>
      <c r="D2684" s="15" t="s">
        <v>742</v>
      </c>
    </row>
    <row r="2685" spans="1:4" x14ac:dyDescent="0.25">
      <c r="A2685" t="str">
        <f>"102801"</f>
        <v>102801</v>
      </c>
      <c r="B2685" t="s">
        <v>2651</v>
      </c>
      <c r="D2685" s="15" t="s">
        <v>1708</v>
      </c>
    </row>
    <row r="2686" spans="1:4" x14ac:dyDescent="0.25">
      <c r="A2686" t="str">
        <f>"102802"</f>
        <v>102802</v>
      </c>
      <c r="B2686" t="s">
        <v>2652</v>
      </c>
      <c r="D2686" s="15" t="s">
        <v>220</v>
      </c>
    </row>
    <row r="2687" spans="1:4" x14ac:dyDescent="0.25">
      <c r="A2687" t="str">
        <f>"102803"</f>
        <v>102803</v>
      </c>
      <c r="B2687" t="s">
        <v>2653</v>
      </c>
      <c r="D2687" s="15" t="s">
        <v>2182</v>
      </c>
    </row>
    <row r="2688" spans="1:4" x14ac:dyDescent="0.25">
      <c r="A2688" t="str">
        <f>"102804"</f>
        <v>102804</v>
      </c>
      <c r="B2688" t="s">
        <v>2654</v>
      </c>
      <c r="D2688" s="15" t="s">
        <v>2790</v>
      </c>
    </row>
    <row r="2689" spans="1:4" x14ac:dyDescent="0.25">
      <c r="A2689" t="str">
        <f>"102805"</f>
        <v>102805</v>
      </c>
      <c r="B2689" t="s">
        <v>2655</v>
      </c>
      <c r="D2689" s="15" t="s">
        <v>133</v>
      </c>
    </row>
    <row r="2690" spans="1:4" x14ac:dyDescent="0.25">
      <c r="A2690" t="str">
        <f>"102806"</f>
        <v>102806</v>
      </c>
      <c r="B2690" t="s">
        <v>2656</v>
      </c>
      <c r="D2690" s="15" t="s">
        <v>2601</v>
      </c>
    </row>
    <row r="2691" spans="1:4" x14ac:dyDescent="0.25">
      <c r="A2691" t="str">
        <f>"102807"</f>
        <v>102807</v>
      </c>
      <c r="B2691" t="s">
        <v>2657</v>
      </c>
      <c r="D2691" s="15" t="s">
        <v>594</v>
      </c>
    </row>
    <row r="2692" spans="1:4" x14ac:dyDescent="0.25">
      <c r="A2692" t="str">
        <f>"102808"</f>
        <v>102808</v>
      </c>
      <c r="B2692" t="s">
        <v>2658</v>
      </c>
      <c r="D2692" s="15" t="s">
        <v>1443</v>
      </c>
    </row>
    <row r="2693" spans="1:4" x14ac:dyDescent="0.25">
      <c r="A2693" t="str">
        <f>"102809"</f>
        <v>102809</v>
      </c>
      <c r="B2693" t="s">
        <v>2659</v>
      </c>
      <c r="D2693" s="15" t="s">
        <v>1944</v>
      </c>
    </row>
    <row r="2694" spans="1:4" x14ac:dyDescent="0.25">
      <c r="A2694" t="str">
        <f>"102810"</f>
        <v>102810</v>
      </c>
      <c r="B2694" t="s">
        <v>2660</v>
      </c>
      <c r="D2694" s="15" t="s">
        <v>895</v>
      </c>
    </row>
    <row r="2695" spans="1:4" x14ac:dyDescent="0.25">
      <c r="A2695" t="str">
        <f>"102811"</f>
        <v>102811</v>
      </c>
      <c r="B2695" t="s">
        <v>2661</v>
      </c>
      <c r="D2695" s="15" t="s">
        <v>549</v>
      </c>
    </row>
    <row r="2696" spans="1:4" x14ac:dyDescent="0.25">
      <c r="A2696" t="str">
        <f>"102812"</f>
        <v>102812</v>
      </c>
      <c r="B2696" t="s">
        <v>2662</v>
      </c>
      <c r="D2696" s="15" t="s">
        <v>604</v>
      </c>
    </row>
    <row r="2697" spans="1:4" x14ac:dyDescent="0.25">
      <c r="A2697" t="str">
        <f>"102813"</f>
        <v>102813</v>
      </c>
      <c r="B2697" t="s">
        <v>2663</v>
      </c>
      <c r="D2697" s="15" t="s">
        <v>624</v>
      </c>
    </row>
    <row r="2698" spans="1:4" x14ac:dyDescent="0.25">
      <c r="A2698" t="str">
        <f>"102814"</f>
        <v>102814</v>
      </c>
      <c r="B2698" t="s">
        <v>2664</v>
      </c>
      <c r="D2698" s="15" t="s">
        <v>2668</v>
      </c>
    </row>
    <row r="2699" spans="1:4" x14ac:dyDescent="0.25">
      <c r="A2699" t="str">
        <f>"102815"</f>
        <v>102815</v>
      </c>
      <c r="B2699" t="s">
        <v>2665</v>
      </c>
      <c r="D2699" s="15" t="s">
        <v>2694</v>
      </c>
    </row>
    <row r="2700" spans="1:4" x14ac:dyDescent="0.25">
      <c r="A2700" t="str">
        <f>"102816"</f>
        <v>102816</v>
      </c>
      <c r="B2700" t="s">
        <v>2666</v>
      </c>
      <c r="D2700" s="15" t="s">
        <v>1145</v>
      </c>
    </row>
    <row r="2701" spans="1:4" x14ac:dyDescent="0.25">
      <c r="A2701" t="str">
        <f>"102817"</f>
        <v>102817</v>
      </c>
      <c r="B2701" t="s">
        <v>2667</v>
      </c>
      <c r="D2701" s="15" t="s">
        <v>1068</v>
      </c>
    </row>
    <row r="2702" spans="1:4" x14ac:dyDescent="0.25">
      <c r="A2702" t="str">
        <f>"102818"</f>
        <v>102818</v>
      </c>
      <c r="B2702" t="s">
        <v>2668</v>
      </c>
      <c r="D2702" s="15" t="s">
        <v>137</v>
      </c>
    </row>
    <row r="2703" spans="1:4" x14ac:dyDescent="0.25">
      <c r="A2703" t="str">
        <f>"102819"</f>
        <v>102819</v>
      </c>
      <c r="B2703" t="s">
        <v>2669</v>
      </c>
      <c r="D2703" s="15" t="s">
        <v>1867</v>
      </c>
    </row>
    <row r="2704" spans="1:4" x14ac:dyDescent="0.25">
      <c r="A2704" t="str">
        <f>"102820"</f>
        <v>102820</v>
      </c>
      <c r="B2704" t="s">
        <v>2670</v>
      </c>
      <c r="D2704" s="15" t="s">
        <v>1561</v>
      </c>
    </row>
    <row r="2705" spans="1:4" x14ac:dyDescent="0.25">
      <c r="A2705" t="str">
        <f>"102821"</f>
        <v>102821</v>
      </c>
      <c r="B2705" t="s">
        <v>2671</v>
      </c>
      <c r="D2705" s="15" t="s">
        <v>2729</v>
      </c>
    </row>
    <row r="2706" spans="1:4" x14ac:dyDescent="0.25">
      <c r="A2706" t="str">
        <f>"102822"</f>
        <v>102822</v>
      </c>
      <c r="B2706" t="s">
        <v>2672</v>
      </c>
      <c r="D2706" s="15" t="s">
        <v>848</v>
      </c>
    </row>
    <row r="2707" spans="1:4" x14ac:dyDescent="0.25">
      <c r="A2707" t="str">
        <f>"102823"</f>
        <v>102823</v>
      </c>
      <c r="B2707" t="s">
        <v>2673</v>
      </c>
      <c r="D2707" s="15" t="s">
        <v>2135</v>
      </c>
    </row>
    <row r="2708" spans="1:4" x14ac:dyDescent="0.25">
      <c r="A2708" t="str">
        <f>"102824"</f>
        <v>102824</v>
      </c>
      <c r="B2708" t="s">
        <v>2674</v>
      </c>
      <c r="D2708" s="15" t="s">
        <v>1838</v>
      </c>
    </row>
    <row r="2709" spans="1:4" x14ac:dyDescent="0.25">
      <c r="A2709" t="str">
        <f>"102825"</f>
        <v>102825</v>
      </c>
      <c r="B2709" t="s">
        <v>2675</v>
      </c>
      <c r="D2709" s="15" t="s">
        <v>1835</v>
      </c>
    </row>
    <row r="2710" spans="1:4" x14ac:dyDescent="0.25">
      <c r="A2710" t="str">
        <f>"102826"</f>
        <v>102826</v>
      </c>
      <c r="B2710" t="s">
        <v>2676</v>
      </c>
      <c r="D2710" s="15" t="s">
        <v>1557</v>
      </c>
    </row>
    <row r="2711" spans="1:4" x14ac:dyDescent="0.25">
      <c r="A2711" t="str">
        <f>"102827"</f>
        <v>102827</v>
      </c>
      <c r="B2711" t="s">
        <v>2677</v>
      </c>
      <c r="D2711" s="15" t="s">
        <v>2793</v>
      </c>
    </row>
    <row r="2712" spans="1:4" x14ac:dyDescent="0.25">
      <c r="A2712" t="str">
        <f>"102828"</f>
        <v>102828</v>
      </c>
      <c r="B2712" t="s">
        <v>2678</v>
      </c>
      <c r="D2712" s="15" t="s">
        <v>1899</v>
      </c>
    </row>
    <row r="2713" spans="1:4" x14ac:dyDescent="0.25">
      <c r="A2713" t="str">
        <f>"102829"</f>
        <v>102829</v>
      </c>
      <c r="B2713" t="s">
        <v>2679</v>
      </c>
      <c r="D2713" s="15" t="s">
        <v>2167</v>
      </c>
    </row>
    <row r="2714" spans="1:4" x14ac:dyDescent="0.25">
      <c r="A2714" t="str">
        <f>"102830"</f>
        <v>102830</v>
      </c>
      <c r="B2714" t="s">
        <v>2680</v>
      </c>
      <c r="D2714" s="15" t="s">
        <v>2012</v>
      </c>
    </row>
    <row r="2715" spans="1:4" x14ac:dyDescent="0.25">
      <c r="A2715" t="str">
        <f>"102831"</f>
        <v>102831</v>
      </c>
      <c r="B2715" t="s">
        <v>2681</v>
      </c>
      <c r="D2715" s="15" t="s">
        <v>478</v>
      </c>
    </row>
    <row r="2716" spans="1:4" x14ac:dyDescent="0.25">
      <c r="A2716" t="str">
        <f>"102832"</f>
        <v>102832</v>
      </c>
      <c r="B2716" t="s">
        <v>2682</v>
      </c>
      <c r="D2716" s="15" t="s">
        <v>732</v>
      </c>
    </row>
    <row r="2717" spans="1:4" x14ac:dyDescent="0.25">
      <c r="A2717" t="str">
        <f>"102833"</f>
        <v>102833</v>
      </c>
      <c r="B2717" t="s">
        <v>2683</v>
      </c>
      <c r="D2717" s="15" t="s">
        <v>140</v>
      </c>
    </row>
    <row r="2718" spans="1:4" x14ac:dyDescent="0.25">
      <c r="A2718" t="str">
        <f>"102834"</f>
        <v>102834</v>
      </c>
      <c r="B2718" t="s">
        <v>2684</v>
      </c>
      <c r="D2718" s="15" t="s">
        <v>2567</v>
      </c>
    </row>
    <row r="2719" spans="1:4" x14ac:dyDescent="0.25">
      <c r="A2719" t="str">
        <f>"102835"</f>
        <v>102835</v>
      </c>
      <c r="B2719" t="s">
        <v>2685</v>
      </c>
      <c r="D2719" s="15" t="s">
        <v>2552</v>
      </c>
    </row>
    <row r="2720" spans="1:4" x14ac:dyDescent="0.25">
      <c r="A2720" t="str">
        <f>"102836"</f>
        <v>102836</v>
      </c>
      <c r="B2720" t="s">
        <v>2531</v>
      </c>
      <c r="D2720" s="15" t="s">
        <v>479</v>
      </c>
    </row>
    <row r="2721" spans="1:4" x14ac:dyDescent="0.25">
      <c r="A2721" t="str">
        <f>"102837"</f>
        <v>102837</v>
      </c>
      <c r="B2721" t="s">
        <v>2686</v>
      </c>
      <c r="D2721" s="15" t="s">
        <v>1517</v>
      </c>
    </row>
    <row r="2722" spans="1:4" x14ac:dyDescent="0.25">
      <c r="A2722" t="str">
        <f>"102838"</f>
        <v>102838</v>
      </c>
      <c r="B2722" t="s">
        <v>2687</v>
      </c>
      <c r="D2722" s="15" t="s">
        <v>537</v>
      </c>
    </row>
    <row r="2723" spans="1:4" x14ac:dyDescent="0.25">
      <c r="A2723" t="str">
        <f>"102839"</f>
        <v>102839</v>
      </c>
      <c r="B2723" t="s">
        <v>2688</v>
      </c>
      <c r="D2723" s="15" t="s">
        <v>2425</v>
      </c>
    </row>
    <row r="2724" spans="1:4" x14ac:dyDescent="0.25">
      <c r="A2724" t="str">
        <f>"102840"</f>
        <v>102840</v>
      </c>
      <c r="B2724" t="s">
        <v>2689</v>
      </c>
      <c r="D2724" s="15" t="s">
        <v>2004</v>
      </c>
    </row>
    <row r="2725" spans="1:4" x14ac:dyDescent="0.25">
      <c r="A2725" t="str">
        <f>"102841"</f>
        <v>102841</v>
      </c>
      <c r="B2725" t="s">
        <v>2690</v>
      </c>
      <c r="D2725" s="15" t="s">
        <v>815</v>
      </c>
    </row>
    <row r="2726" spans="1:4" x14ac:dyDescent="0.25">
      <c r="A2726" t="str">
        <f>"102842"</f>
        <v>102842</v>
      </c>
      <c r="B2726" t="s">
        <v>2691</v>
      </c>
      <c r="D2726" s="15" t="s">
        <v>1089</v>
      </c>
    </row>
    <row r="2727" spans="1:4" x14ac:dyDescent="0.25">
      <c r="A2727" t="str">
        <f>"102843"</f>
        <v>102843</v>
      </c>
      <c r="B2727" t="s">
        <v>2692</v>
      </c>
      <c r="D2727" s="15" t="s">
        <v>2557</v>
      </c>
    </row>
    <row r="2728" spans="1:4" x14ac:dyDescent="0.25">
      <c r="A2728" t="str">
        <f>"102844"</f>
        <v>102844</v>
      </c>
      <c r="B2728" t="s">
        <v>2693</v>
      </c>
      <c r="D2728" s="15" t="s">
        <v>2762</v>
      </c>
    </row>
    <row r="2729" spans="1:4" x14ac:dyDescent="0.25">
      <c r="A2729" t="str">
        <f>"102845"</f>
        <v>102845</v>
      </c>
      <c r="B2729" t="s">
        <v>2694</v>
      </c>
      <c r="D2729" s="15" t="s">
        <v>1819</v>
      </c>
    </row>
    <row r="2730" spans="1:4" x14ac:dyDescent="0.25">
      <c r="A2730" t="str">
        <f>"102846"</f>
        <v>102846</v>
      </c>
      <c r="B2730" t="s">
        <v>2695</v>
      </c>
      <c r="D2730" s="15" t="s">
        <v>2688</v>
      </c>
    </row>
    <row r="2731" spans="1:4" x14ac:dyDescent="0.25">
      <c r="A2731" t="str">
        <f>"102847"</f>
        <v>102847</v>
      </c>
      <c r="B2731" t="s">
        <v>2696</v>
      </c>
      <c r="D2731" s="15" t="s">
        <v>2378</v>
      </c>
    </row>
    <row r="2732" spans="1:4" x14ac:dyDescent="0.25">
      <c r="A2732" t="str">
        <f>"102848"</f>
        <v>102848</v>
      </c>
      <c r="B2732" t="s">
        <v>2697</v>
      </c>
      <c r="D2732" s="15" t="s">
        <v>1141</v>
      </c>
    </row>
    <row r="2733" spans="1:4" x14ac:dyDescent="0.25">
      <c r="A2733" t="str">
        <f>"102849"</f>
        <v>102849</v>
      </c>
      <c r="B2733" t="s">
        <v>2698</v>
      </c>
      <c r="D2733" s="15" t="s">
        <v>2061</v>
      </c>
    </row>
    <row r="2734" spans="1:4" x14ac:dyDescent="0.25">
      <c r="A2734" t="str">
        <f>"102850"</f>
        <v>102850</v>
      </c>
      <c r="B2734" t="s">
        <v>2699</v>
      </c>
      <c r="D2734" s="15" t="s">
        <v>2443</v>
      </c>
    </row>
    <row r="2735" spans="1:4" x14ac:dyDescent="0.25">
      <c r="A2735" t="str">
        <f>"102851"</f>
        <v>102851</v>
      </c>
      <c r="B2735" t="s">
        <v>2700</v>
      </c>
      <c r="D2735" s="15" t="s">
        <v>1581</v>
      </c>
    </row>
    <row r="2736" spans="1:4" x14ac:dyDescent="0.25">
      <c r="A2736" t="str">
        <f>"102852"</f>
        <v>102852</v>
      </c>
      <c r="B2736" t="s">
        <v>2701</v>
      </c>
      <c r="D2736" s="15" t="s">
        <v>2777</v>
      </c>
    </row>
    <row r="2737" spans="1:4" x14ac:dyDescent="0.25">
      <c r="A2737" t="str">
        <f>"102853"</f>
        <v>102853</v>
      </c>
      <c r="B2737" t="s">
        <v>2702</v>
      </c>
      <c r="D2737" s="15" t="s">
        <v>135</v>
      </c>
    </row>
    <row r="2738" spans="1:4" x14ac:dyDescent="0.25">
      <c r="A2738" t="str">
        <f>"102854"</f>
        <v>102854</v>
      </c>
      <c r="B2738" t="s">
        <v>2703</v>
      </c>
      <c r="D2738" s="15" t="s">
        <v>545</v>
      </c>
    </row>
    <row r="2739" spans="1:4" x14ac:dyDescent="0.25">
      <c r="A2739" t="str">
        <f>"102855"</f>
        <v>102855</v>
      </c>
      <c r="B2739" t="s">
        <v>2704</v>
      </c>
      <c r="D2739" s="15" t="s">
        <v>197</v>
      </c>
    </row>
    <row r="2740" spans="1:4" x14ac:dyDescent="0.25">
      <c r="A2740" t="str">
        <f>"102856"</f>
        <v>102856</v>
      </c>
      <c r="B2740" t="s">
        <v>2705</v>
      </c>
      <c r="D2740" s="15" t="s">
        <v>2305</v>
      </c>
    </row>
    <row r="2741" spans="1:4" x14ac:dyDescent="0.25">
      <c r="A2741" t="str">
        <f>"102857"</f>
        <v>102857</v>
      </c>
      <c r="B2741" t="s">
        <v>2706</v>
      </c>
      <c r="D2741" s="15" t="s">
        <v>1518</v>
      </c>
    </row>
    <row r="2742" spans="1:4" x14ac:dyDescent="0.25">
      <c r="A2742" t="str">
        <f>"102858"</f>
        <v>102858</v>
      </c>
      <c r="B2742" t="s">
        <v>2707</v>
      </c>
      <c r="D2742" s="15" t="s">
        <v>480</v>
      </c>
    </row>
    <row r="2743" spans="1:4" x14ac:dyDescent="0.25">
      <c r="A2743" t="str">
        <f>"102859"</f>
        <v>102859</v>
      </c>
      <c r="B2743" t="s">
        <v>2708</v>
      </c>
      <c r="D2743" s="15" t="s">
        <v>1737</v>
      </c>
    </row>
    <row r="2744" spans="1:4" x14ac:dyDescent="0.25">
      <c r="A2744" t="str">
        <f>"102860"</f>
        <v>102860</v>
      </c>
      <c r="B2744" t="s">
        <v>2709</v>
      </c>
      <c r="D2744" s="15" t="s">
        <v>1420</v>
      </c>
    </row>
    <row r="2745" spans="1:4" x14ac:dyDescent="0.25">
      <c r="A2745" t="str">
        <f>"102861"</f>
        <v>102861</v>
      </c>
      <c r="B2745" t="s">
        <v>2710</v>
      </c>
      <c r="D2745" s="15" t="s">
        <v>2193</v>
      </c>
    </row>
    <row r="2746" spans="1:4" x14ac:dyDescent="0.25">
      <c r="A2746" t="str">
        <f>"102862"</f>
        <v>102862</v>
      </c>
      <c r="B2746" t="s">
        <v>2711</v>
      </c>
      <c r="D2746" s="15" t="s">
        <v>1139</v>
      </c>
    </row>
    <row r="2747" spans="1:4" x14ac:dyDescent="0.25">
      <c r="A2747" t="str">
        <f>"102863"</f>
        <v>102863</v>
      </c>
      <c r="B2747" t="s">
        <v>2712</v>
      </c>
      <c r="D2747" s="15" t="s">
        <v>2571</v>
      </c>
    </row>
    <row r="2748" spans="1:4" x14ac:dyDescent="0.25">
      <c r="A2748" t="str">
        <f>"102864"</f>
        <v>102864</v>
      </c>
      <c r="B2748" t="s">
        <v>2713</v>
      </c>
      <c r="D2748" s="15" t="s">
        <v>2290</v>
      </c>
    </row>
    <row r="2749" spans="1:4" x14ac:dyDescent="0.25">
      <c r="A2749" t="str">
        <f>"102865"</f>
        <v>102865</v>
      </c>
      <c r="B2749" t="s">
        <v>2714</v>
      </c>
      <c r="D2749" s="15" t="s">
        <v>1226</v>
      </c>
    </row>
    <row r="2750" spans="1:4" x14ac:dyDescent="0.25">
      <c r="A2750" t="str">
        <f>"102866"</f>
        <v>102866</v>
      </c>
      <c r="B2750" t="s">
        <v>2715</v>
      </c>
      <c r="D2750" s="15" t="s">
        <v>1080</v>
      </c>
    </row>
    <row r="2751" spans="1:4" x14ac:dyDescent="0.25">
      <c r="A2751" t="str">
        <f>"102867"</f>
        <v>102867</v>
      </c>
      <c r="B2751" t="s">
        <v>2716</v>
      </c>
      <c r="D2751" s="15" t="s">
        <v>2203</v>
      </c>
    </row>
    <row r="2752" spans="1:4" x14ac:dyDescent="0.25">
      <c r="A2752" t="str">
        <f>"102868"</f>
        <v>102868</v>
      </c>
      <c r="B2752" t="s">
        <v>2717</v>
      </c>
      <c r="D2752" s="15" t="s">
        <v>221</v>
      </c>
    </row>
    <row r="2753" spans="1:4" x14ac:dyDescent="0.25">
      <c r="A2753" t="str">
        <f>"102869"</f>
        <v>102869</v>
      </c>
      <c r="B2753" t="s">
        <v>2718</v>
      </c>
      <c r="D2753" s="15" t="s">
        <v>2603</v>
      </c>
    </row>
    <row r="2754" spans="1:4" x14ac:dyDescent="0.25">
      <c r="A2754" t="str">
        <f>"102870"</f>
        <v>102870</v>
      </c>
      <c r="B2754" t="s">
        <v>2719</v>
      </c>
      <c r="D2754" s="15" t="s">
        <v>2086</v>
      </c>
    </row>
    <row r="2755" spans="1:4" x14ac:dyDescent="0.25">
      <c r="A2755" t="str">
        <f>"102871"</f>
        <v>102871</v>
      </c>
      <c r="B2755" t="s">
        <v>2720</v>
      </c>
      <c r="D2755" s="15" t="s">
        <v>2308</v>
      </c>
    </row>
    <row r="2756" spans="1:4" x14ac:dyDescent="0.25">
      <c r="A2756" t="str">
        <f>"102872"</f>
        <v>102872</v>
      </c>
      <c r="B2756" t="s">
        <v>2721</v>
      </c>
      <c r="D2756" s="15" t="s">
        <v>2555</v>
      </c>
    </row>
    <row r="2757" spans="1:4" x14ac:dyDescent="0.25">
      <c r="A2757" t="str">
        <f>"102873"</f>
        <v>102873</v>
      </c>
      <c r="B2757" t="s">
        <v>2722</v>
      </c>
      <c r="D2757" s="15" t="s">
        <v>863</v>
      </c>
    </row>
    <row r="2758" spans="1:4" x14ac:dyDescent="0.25">
      <c r="A2758" t="str">
        <f>"102874"</f>
        <v>102874</v>
      </c>
      <c r="B2758" t="s">
        <v>2723</v>
      </c>
      <c r="D2758" s="15" t="s">
        <v>969</v>
      </c>
    </row>
    <row r="2759" spans="1:4" x14ac:dyDescent="0.25">
      <c r="A2759" t="str">
        <f>"102875"</f>
        <v>102875</v>
      </c>
      <c r="B2759" t="s">
        <v>2724</v>
      </c>
      <c r="D2759" s="15" t="s">
        <v>1365</v>
      </c>
    </row>
    <row r="2760" spans="1:4" x14ac:dyDescent="0.25">
      <c r="A2760" t="str">
        <f>"102876"</f>
        <v>102876</v>
      </c>
      <c r="B2760" t="s">
        <v>2725</v>
      </c>
      <c r="D2760" s="15" t="s">
        <v>1012</v>
      </c>
    </row>
    <row r="2761" spans="1:4" x14ac:dyDescent="0.25">
      <c r="A2761" t="str">
        <f>"102877"</f>
        <v>102877</v>
      </c>
      <c r="B2761" t="s">
        <v>2726</v>
      </c>
      <c r="D2761" s="15" t="s">
        <v>541</v>
      </c>
    </row>
    <row r="2762" spans="1:4" x14ac:dyDescent="0.25">
      <c r="A2762" t="str">
        <f>"102878"</f>
        <v>102878</v>
      </c>
      <c r="B2762" t="s">
        <v>2727</v>
      </c>
      <c r="D2762" s="15" t="s">
        <v>1618</v>
      </c>
    </row>
    <row r="2763" spans="1:4" x14ac:dyDescent="0.25">
      <c r="A2763" t="str">
        <f>"102879"</f>
        <v>102879</v>
      </c>
      <c r="B2763" t="s">
        <v>2728</v>
      </c>
      <c r="D2763" s="15" t="s">
        <v>1925</v>
      </c>
    </row>
    <row r="2764" spans="1:4" x14ac:dyDescent="0.25">
      <c r="A2764" t="str">
        <f>"102880"</f>
        <v>102880</v>
      </c>
      <c r="B2764" t="s">
        <v>2729</v>
      </c>
      <c r="D2764" s="15" t="s">
        <v>2262</v>
      </c>
    </row>
    <row r="2765" spans="1:4" x14ac:dyDescent="0.25">
      <c r="A2765" t="str">
        <f>"102881"</f>
        <v>102881</v>
      </c>
      <c r="B2765" t="s">
        <v>2730</v>
      </c>
      <c r="D2765" s="15" t="s">
        <v>2486</v>
      </c>
    </row>
    <row r="2766" spans="1:4" x14ac:dyDescent="0.25">
      <c r="A2766" t="str">
        <f>"102882"</f>
        <v>102882</v>
      </c>
      <c r="B2766" t="s">
        <v>2731</v>
      </c>
      <c r="D2766" s="15" t="s">
        <v>2499</v>
      </c>
    </row>
    <row r="2767" spans="1:4" x14ac:dyDescent="0.25">
      <c r="A2767" t="str">
        <f>"102883"</f>
        <v>102883</v>
      </c>
      <c r="B2767" t="s">
        <v>2732</v>
      </c>
      <c r="D2767" s="15" t="s">
        <v>2003</v>
      </c>
    </row>
    <row r="2768" spans="1:4" x14ac:dyDescent="0.25">
      <c r="A2768" t="str">
        <f>"102884"</f>
        <v>102884</v>
      </c>
      <c r="B2768" t="s">
        <v>2733</v>
      </c>
      <c r="D2768" s="15" t="s">
        <v>1879</v>
      </c>
    </row>
    <row r="2769" spans="1:4" x14ac:dyDescent="0.25">
      <c r="A2769" t="str">
        <f>"102885"</f>
        <v>102885</v>
      </c>
      <c r="B2769" t="s">
        <v>2734</v>
      </c>
      <c r="D2769" s="15" t="s">
        <v>690</v>
      </c>
    </row>
    <row r="2770" spans="1:4" x14ac:dyDescent="0.25">
      <c r="A2770" t="str">
        <f>"102886"</f>
        <v>102886</v>
      </c>
      <c r="B2770" t="s">
        <v>2735</v>
      </c>
      <c r="D2770" s="15" t="s">
        <v>559</v>
      </c>
    </row>
    <row r="2771" spans="1:4" x14ac:dyDescent="0.25">
      <c r="A2771" t="str">
        <f>"102887"</f>
        <v>102887</v>
      </c>
      <c r="B2771" t="s">
        <v>2736</v>
      </c>
      <c r="D2771" s="15" t="s">
        <v>2435</v>
      </c>
    </row>
    <row r="2772" spans="1:4" x14ac:dyDescent="0.25">
      <c r="A2772" t="str">
        <f>"102888"</f>
        <v>102888</v>
      </c>
      <c r="B2772" t="s">
        <v>2737</v>
      </c>
      <c r="D2772" s="15" t="s">
        <v>730</v>
      </c>
    </row>
    <row r="2773" spans="1:4" x14ac:dyDescent="0.25">
      <c r="A2773" t="str">
        <f>"102889"</f>
        <v>102889</v>
      </c>
      <c r="B2773" t="s">
        <v>2738</v>
      </c>
      <c r="D2773" s="15" t="s">
        <v>879</v>
      </c>
    </row>
    <row r="2774" spans="1:4" x14ac:dyDescent="0.25">
      <c r="A2774" t="str">
        <f>"102890"</f>
        <v>102890</v>
      </c>
      <c r="B2774" t="s">
        <v>2739</v>
      </c>
      <c r="D2774" s="15" t="s">
        <v>753</v>
      </c>
    </row>
    <row r="2775" spans="1:4" x14ac:dyDescent="0.25">
      <c r="A2775" t="str">
        <f>"102891"</f>
        <v>102891</v>
      </c>
      <c r="B2775" t="s">
        <v>2740</v>
      </c>
      <c r="D2775" s="15" t="s">
        <v>2785</v>
      </c>
    </row>
    <row r="2776" spans="1:4" x14ac:dyDescent="0.25">
      <c r="A2776" t="str">
        <f>"102892"</f>
        <v>102892</v>
      </c>
      <c r="B2776" t="s">
        <v>2741</v>
      </c>
      <c r="D2776" s="15" t="s">
        <v>666</v>
      </c>
    </row>
    <row r="2777" spans="1:4" x14ac:dyDescent="0.25">
      <c r="A2777" t="str">
        <f>"102893"</f>
        <v>102893</v>
      </c>
      <c r="B2777" t="s">
        <v>2742</v>
      </c>
      <c r="D2777" s="15" t="s">
        <v>1313</v>
      </c>
    </row>
    <row r="2778" spans="1:4" x14ac:dyDescent="0.25">
      <c r="A2778" t="str">
        <f>"102894"</f>
        <v>102894</v>
      </c>
      <c r="B2778" t="s">
        <v>2743</v>
      </c>
      <c r="D2778" s="15" t="s">
        <v>2796</v>
      </c>
    </row>
    <row r="2779" spans="1:4" x14ac:dyDescent="0.25">
      <c r="A2779" t="str">
        <f>"1028941"</f>
        <v>1028941</v>
      </c>
      <c r="B2779" t="s">
        <v>2744</v>
      </c>
      <c r="D2779" s="15" t="s">
        <v>2345</v>
      </c>
    </row>
    <row r="2780" spans="1:4" x14ac:dyDescent="0.25">
      <c r="A2780" t="str">
        <f>"102895"</f>
        <v>102895</v>
      </c>
      <c r="B2780" t="s">
        <v>2745</v>
      </c>
      <c r="D2780" s="15" t="s">
        <v>2759</v>
      </c>
    </row>
    <row r="2781" spans="1:4" x14ac:dyDescent="0.25">
      <c r="A2781" t="str">
        <f>"102896"</f>
        <v>102896</v>
      </c>
      <c r="B2781" t="s">
        <v>2746</v>
      </c>
      <c r="D2781" s="15" t="s">
        <v>222</v>
      </c>
    </row>
    <row r="2782" spans="1:4" x14ac:dyDescent="0.25">
      <c r="A2782" t="str">
        <f>"102897"</f>
        <v>102897</v>
      </c>
      <c r="B2782" t="s">
        <v>2747</v>
      </c>
      <c r="D2782" s="15" t="s">
        <v>777</v>
      </c>
    </row>
    <row r="2783" spans="1:4" x14ac:dyDescent="0.25">
      <c r="A2783" t="str">
        <f>"102898"</f>
        <v>102898</v>
      </c>
      <c r="B2783" t="s">
        <v>2748</v>
      </c>
      <c r="D2783" s="15" t="s">
        <v>1143</v>
      </c>
    </row>
    <row r="2784" spans="1:4" x14ac:dyDescent="0.25">
      <c r="A2784" t="str">
        <f>"102899"</f>
        <v>102899</v>
      </c>
      <c r="B2784" t="s">
        <v>2749</v>
      </c>
      <c r="D2784" s="15" t="s">
        <v>1702</v>
      </c>
    </row>
    <row r="2785" spans="1:4" x14ac:dyDescent="0.25">
      <c r="A2785" t="str">
        <f>"102900"</f>
        <v>102900</v>
      </c>
      <c r="B2785" t="s">
        <v>2750</v>
      </c>
      <c r="D2785" s="15" t="s">
        <v>1673</v>
      </c>
    </row>
    <row r="2786" spans="1:4" x14ac:dyDescent="0.25">
      <c r="A2786" t="str">
        <f>"102901"</f>
        <v>102901</v>
      </c>
      <c r="B2786" t="s">
        <v>2751</v>
      </c>
      <c r="D2786" s="15" t="s">
        <v>1328</v>
      </c>
    </row>
    <row r="2787" spans="1:4" x14ac:dyDescent="0.25">
      <c r="A2787" t="str">
        <f>"102902"</f>
        <v>102902</v>
      </c>
      <c r="B2787" t="s">
        <v>2752</v>
      </c>
      <c r="D2787" s="15" t="s">
        <v>1607</v>
      </c>
    </row>
    <row r="2788" spans="1:4" x14ac:dyDescent="0.25">
      <c r="A2788" t="str">
        <f>"102903"</f>
        <v>102903</v>
      </c>
      <c r="B2788" t="s">
        <v>2753</v>
      </c>
      <c r="D2788" s="15" t="s">
        <v>1449</v>
      </c>
    </row>
    <row r="2789" spans="1:4" x14ac:dyDescent="0.25">
      <c r="A2789" t="str">
        <f>"102904"</f>
        <v>102904</v>
      </c>
      <c r="B2789" t="s">
        <v>2754</v>
      </c>
      <c r="D2789" s="15" t="s">
        <v>671</v>
      </c>
    </row>
    <row r="2790" spans="1:4" x14ac:dyDescent="0.25">
      <c r="A2790" t="str">
        <f>"102905"</f>
        <v>102905</v>
      </c>
      <c r="B2790" t="s">
        <v>2755</v>
      </c>
      <c r="D2790" s="15" t="s">
        <v>2318</v>
      </c>
    </row>
    <row r="2791" spans="1:4" x14ac:dyDescent="0.25">
      <c r="A2791" t="str">
        <f>"102906"</f>
        <v>102906</v>
      </c>
      <c r="B2791" t="s">
        <v>2756</v>
      </c>
      <c r="D2791" s="15" t="s">
        <v>1821</v>
      </c>
    </row>
    <row r="2792" spans="1:4" x14ac:dyDescent="0.25">
      <c r="A2792" t="str">
        <f>"102907"</f>
        <v>102907</v>
      </c>
      <c r="B2792" t="s">
        <v>2757</v>
      </c>
      <c r="D2792" s="15" t="s">
        <v>481</v>
      </c>
    </row>
    <row r="2793" spans="1:4" x14ac:dyDescent="0.25">
      <c r="A2793" t="str">
        <f>"102908"</f>
        <v>102908</v>
      </c>
      <c r="B2793" t="s">
        <v>2758</v>
      </c>
      <c r="D2793" s="15" t="s">
        <v>1168</v>
      </c>
    </row>
    <row r="2794" spans="1:4" x14ac:dyDescent="0.25">
      <c r="A2794" t="str">
        <f>"102909"</f>
        <v>102909</v>
      </c>
      <c r="B2794" t="s">
        <v>2759</v>
      </c>
      <c r="D2794" s="15" t="s">
        <v>886</v>
      </c>
    </row>
    <row r="2795" spans="1:4" x14ac:dyDescent="0.25">
      <c r="A2795" t="str">
        <f>"102910"</f>
        <v>102910</v>
      </c>
      <c r="B2795" t="s">
        <v>2760</v>
      </c>
      <c r="D2795" s="15" t="s">
        <v>223</v>
      </c>
    </row>
    <row r="2796" spans="1:4" x14ac:dyDescent="0.25">
      <c r="A2796" t="str">
        <f>"102911"</f>
        <v>102911</v>
      </c>
      <c r="B2796" t="s">
        <v>2761</v>
      </c>
      <c r="D2796" s="15" t="s">
        <v>1456</v>
      </c>
    </row>
    <row r="2797" spans="1:4" x14ac:dyDescent="0.25">
      <c r="A2797" t="str">
        <f>"102912"</f>
        <v>102912</v>
      </c>
      <c r="B2797" t="s">
        <v>2762</v>
      </c>
      <c r="D2797" s="15" t="s">
        <v>1999</v>
      </c>
    </row>
    <row r="2798" spans="1:4" x14ac:dyDescent="0.25">
      <c r="A2798" t="str">
        <f>"102913"</f>
        <v>102913</v>
      </c>
      <c r="B2798" t="s">
        <v>2763</v>
      </c>
      <c r="D2798" s="15" t="s">
        <v>2720</v>
      </c>
    </row>
    <row r="2799" spans="1:4" x14ac:dyDescent="0.25">
      <c r="A2799" t="str">
        <f>"102914"</f>
        <v>102914</v>
      </c>
      <c r="B2799" t="s">
        <v>2764</v>
      </c>
      <c r="D2799" s="15" t="s">
        <v>2387</v>
      </c>
    </row>
    <row r="2800" spans="1:4" x14ac:dyDescent="0.25">
      <c r="A2800" t="str">
        <f>"102915"</f>
        <v>102915</v>
      </c>
      <c r="B2800" t="s">
        <v>2765</v>
      </c>
      <c r="D2800" s="15" t="s">
        <v>2183</v>
      </c>
    </row>
    <row r="2801" spans="1:4" x14ac:dyDescent="0.25">
      <c r="A2801" t="str">
        <f>"102916"</f>
        <v>102916</v>
      </c>
      <c r="B2801" t="s">
        <v>2766</v>
      </c>
      <c r="D2801" s="15" t="s">
        <v>2195</v>
      </c>
    </row>
    <row r="2802" spans="1:4" x14ac:dyDescent="0.25">
      <c r="A2802" t="str">
        <f>"102917"</f>
        <v>102917</v>
      </c>
      <c r="B2802" t="s">
        <v>2767</v>
      </c>
      <c r="D2802" s="15" t="s">
        <v>576</v>
      </c>
    </row>
    <row r="2803" spans="1:4" x14ac:dyDescent="0.25">
      <c r="A2803" t="str">
        <f>"102918"</f>
        <v>102918</v>
      </c>
      <c r="B2803" t="s">
        <v>2768</v>
      </c>
      <c r="D2803" s="15" t="s">
        <v>1780</v>
      </c>
    </row>
    <row r="2804" spans="1:4" x14ac:dyDescent="0.25">
      <c r="A2804" t="str">
        <f>"102919"</f>
        <v>102919</v>
      </c>
      <c r="B2804" t="s">
        <v>2769</v>
      </c>
      <c r="D2804" s="15" t="s">
        <v>1707</v>
      </c>
    </row>
    <row r="2805" spans="1:4" x14ac:dyDescent="0.25">
      <c r="A2805" t="str">
        <f>"102920"</f>
        <v>102920</v>
      </c>
      <c r="B2805" t="s">
        <v>2770</v>
      </c>
      <c r="D2805" s="15" t="s">
        <v>2751</v>
      </c>
    </row>
    <row r="2806" spans="1:4" x14ac:dyDescent="0.25">
      <c r="A2806" t="str">
        <f>"102921"</f>
        <v>102921</v>
      </c>
      <c r="B2806" t="s">
        <v>2771</v>
      </c>
      <c r="D2806" s="15" t="s">
        <v>2833</v>
      </c>
    </row>
    <row r="2807" spans="1:4" x14ac:dyDescent="0.25">
      <c r="A2807" t="str">
        <f>"102922"</f>
        <v>102922</v>
      </c>
      <c r="B2807" t="s">
        <v>2772</v>
      </c>
      <c r="D2807" s="15" t="s">
        <v>580</v>
      </c>
    </row>
    <row r="2808" spans="1:4" x14ac:dyDescent="0.25">
      <c r="A2808" t="str">
        <f>"102923"</f>
        <v>102923</v>
      </c>
      <c r="B2808" t="s">
        <v>2773</v>
      </c>
      <c r="D2808" s="15" t="s">
        <v>247</v>
      </c>
    </row>
    <row r="2809" spans="1:4" x14ac:dyDescent="0.25">
      <c r="A2809" t="str">
        <f>"102924"</f>
        <v>102924</v>
      </c>
      <c r="B2809" t="s">
        <v>2774</v>
      </c>
      <c r="D2809" s="15" t="s">
        <v>2374</v>
      </c>
    </row>
    <row r="2810" spans="1:4" x14ac:dyDescent="0.25">
      <c r="A2810" t="str">
        <f>"102925"</f>
        <v>102925</v>
      </c>
      <c r="B2810" t="s">
        <v>2775</v>
      </c>
      <c r="D2810" s="15" t="s">
        <v>834</v>
      </c>
    </row>
    <row r="2811" spans="1:4" x14ac:dyDescent="0.25">
      <c r="A2811" t="str">
        <f>"102926"</f>
        <v>102926</v>
      </c>
      <c r="B2811" t="s">
        <v>2776</v>
      </c>
      <c r="D2811" s="15" t="s">
        <v>1445</v>
      </c>
    </row>
    <row r="2812" spans="1:4" x14ac:dyDescent="0.25">
      <c r="A2812" t="str">
        <f>"102927"</f>
        <v>102927</v>
      </c>
      <c r="B2812" t="s">
        <v>2777</v>
      </c>
      <c r="D2812" s="15" t="s">
        <v>2651</v>
      </c>
    </row>
    <row r="2813" spans="1:4" x14ac:dyDescent="0.25">
      <c r="A2813" t="str">
        <f>"102928"</f>
        <v>102928</v>
      </c>
      <c r="B2813" t="s">
        <v>2778</v>
      </c>
      <c r="D2813" s="15" t="s">
        <v>1214</v>
      </c>
    </row>
    <row r="2814" spans="1:4" x14ac:dyDescent="0.25">
      <c r="A2814" t="str">
        <f>"102929"</f>
        <v>102929</v>
      </c>
      <c r="B2814" t="s">
        <v>2779</v>
      </c>
      <c r="D2814" s="15" t="s">
        <v>1036</v>
      </c>
    </row>
    <row r="2815" spans="1:4" x14ac:dyDescent="0.25">
      <c r="A2815" t="str">
        <f>"102930"</f>
        <v>102930</v>
      </c>
      <c r="B2815" t="s">
        <v>2780</v>
      </c>
      <c r="D2815" s="15" t="s">
        <v>179</v>
      </c>
    </row>
    <row r="2816" spans="1:4" x14ac:dyDescent="0.25">
      <c r="A2816" t="str">
        <f>"102931"</f>
        <v>102931</v>
      </c>
      <c r="B2816" t="s">
        <v>2781</v>
      </c>
      <c r="D2816" s="15" t="s">
        <v>483</v>
      </c>
    </row>
    <row r="2817" spans="1:4" x14ac:dyDescent="0.25">
      <c r="A2817" t="str">
        <f>"102932"</f>
        <v>102932</v>
      </c>
      <c r="B2817" t="s">
        <v>2782</v>
      </c>
      <c r="D2817" s="15" t="s">
        <v>905</v>
      </c>
    </row>
    <row r="2818" spans="1:4" x14ac:dyDescent="0.25">
      <c r="A2818" t="str">
        <f>"102933"</f>
        <v>102933</v>
      </c>
      <c r="B2818" t="s">
        <v>2783</v>
      </c>
      <c r="D2818" s="15" t="s">
        <v>600</v>
      </c>
    </row>
    <row r="2819" spans="1:4" x14ac:dyDescent="0.25">
      <c r="A2819" t="str">
        <f>"102934"</f>
        <v>102934</v>
      </c>
      <c r="B2819" t="s">
        <v>2784</v>
      </c>
      <c r="D2819" s="15" t="s">
        <v>2600</v>
      </c>
    </row>
    <row r="2820" spans="1:4" x14ac:dyDescent="0.25">
      <c r="A2820" t="str">
        <f>"102935"</f>
        <v>102935</v>
      </c>
      <c r="B2820" t="s">
        <v>2785</v>
      </c>
      <c r="D2820" s="15" t="s">
        <v>1064</v>
      </c>
    </row>
    <row r="2821" spans="1:4" x14ac:dyDescent="0.25">
      <c r="A2821" t="str">
        <f>"102936"</f>
        <v>102936</v>
      </c>
      <c r="B2821" t="s">
        <v>2786</v>
      </c>
      <c r="D2821" s="15" t="s">
        <v>2082</v>
      </c>
    </row>
    <row r="2822" spans="1:4" x14ac:dyDescent="0.25">
      <c r="A2822" t="str">
        <f>"102937"</f>
        <v>102937</v>
      </c>
      <c r="B2822" t="s">
        <v>2787</v>
      </c>
      <c r="D2822" s="15" t="s">
        <v>1985</v>
      </c>
    </row>
    <row r="2823" spans="1:4" x14ac:dyDescent="0.25">
      <c r="A2823" t="str">
        <f>"120313"</f>
        <v>120313</v>
      </c>
      <c r="B2823" t="s">
        <v>2788</v>
      </c>
      <c r="D2823" s="15" t="s">
        <v>1759</v>
      </c>
    </row>
    <row r="2824" spans="1:4" x14ac:dyDescent="0.25">
      <c r="A2824" t="str">
        <f>"120314"</f>
        <v>120314</v>
      </c>
      <c r="B2824" t="s">
        <v>2789</v>
      </c>
      <c r="D2824" s="15" t="s">
        <v>919</v>
      </c>
    </row>
    <row r="2825" spans="1:4" x14ac:dyDescent="0.25">
      <c r="A2825" t="str">
        <f>"120315"</f>
        <v>120315</v>
      </c>
      <c r="B2825" t="s">
        <v>2790</v>
      </c>
      <c r="D2825" s="15" t="s">
        <v>1639</v>
      </c>
    </row>
    <row r="2826" spans="1:4" x14ac:dyDescent="0.25">
      <c r="A2826" t="str">
        <f>"120316"</f>
        <v>120316</v>
      </c>
      <c r="B2826" t="s">
        <v>2791</v>
      </c>
      <c r="D2826" s="15" t="s">
        <v>1598</v>
      </c>
    </row>
    <row r="2827" spans="1:4" x14ac:dyDescent="0.25">
      <c r="A2827" t="str">
        <f>"120317"</f>
        <v>120317</v>
      </c>
      <c r="B2827" t="s">
        <v>2792</v>
      </c>
      <c r="D2827" s="15" t="s">
        <v>484</v>
      </c>
    </row>
    <row r="2828" spans="1:4" x14ac:dyDescent="0.25">
      <c r="A2828" t="str">
        <f>"120318"</f>
        <v>120318</v>
      </c>
      <c r="B2828" t="s">
        <v>2793</v>
      </c>
      <c r="D2828" s="15" t="s">
        <v>965</v>
      </c>
    </row>
    <row r="2829" spans="1:4" x14ac:dyDescent="0.25">
      <c r="A2829" t="str">
        <f>"120319"</f>
        <v>120319</v>
      </c>
      <c r="B2829" t="s">
        <v>2794</v>
      </c>
      <c r="D2829" s="15" t="s">
        <v>2505</v>
      </c>
    </row>
    <row r="2830" spans="1:4" x14ac:dyDescent="0.25">
      <c r="A2830" t="str">
        <f>"120320"</f>
        <v>120320</v>
      </c>
      <c r="B2830" t="s">
        <v>2795</v>
      </c>
      <c r="D2830" s="15" t="s">
        <v>1854</v>
      </c>
    </row>
    <row r="2831" spans="1:4" x14ac:dyDescent="0.25">
      <c r="A2831" t="str">
        <f>"120321"</f>
        <v>120321</v>
      </c>
      <c r="B2831" t="s">
        <v>2796</v>
      </c>
      <c r="D2831" s="15" t="s">
        <v>1874</v>
      </c>
    </row>
    <row r="2832" spans="1:4" x14ac:dyDescent="0.25">
      <c r="A2832" t="str">
        <f>"120322"</f>
        <v>120322</v>
      </c>
      <c r="B2832" t="s">
        <v>2797</v>
      </c>
      <c r="D2832" s="15" t="s">
        <v>2460</v>
      </c>
    </row>
    <row r="2833" spans="1:4" x14ac:dyDescent="0.25">
      <c r="A2833" t="str">
        <f>"120323"</f>
        <v>120323</v>
      </c>
      <c r="B2833" t="s">
        <v>2798</v>
      </c>
      <c r="D2833" s="15" t="s">
        <v>923</v>
      </c>
    </row>
    <row r="2834" spans="1:4" x14ac:dyDescent="0.25">
      <c r="A2834" t="str">
        <f>"120324"</f>
        <v>120324</v>
      </c>
      <c r="B2834" t="s">
        <v>2799</v>
      </c>
      <c r="D2834" s="15" t="s">
        <v>2507</v>
      </c>
    </row>
    <row r="2835" spans="1:4" x14ac:dyDescent="0.25">
      <c r="A2835" t="str">
        <f>"120325"</f>
        <v>120325</v>
      </c>
      <c r="B2835" t="s">
        <v>2800</v>
      </c>
      <c r="D2835" s="15" t="s">
        <v>2692</v>
      </c>
    </row>
    <row r="2836" spans="1:4" x14ac:dyDescent="0.25">
      <c r="A2836" t="str">
        <f>"120365"</f>
        <v>120365</v>
      </c>
      <c r="B2836" t="s">
        <v>2801</v>
      </c>
      <c r="D2836" s="15" t="s">
        <v>665</v>
      </c>
    </row>
    <row r="2837" spans="1:4" x14ac:dyDescent="0.25">
      <c r="A2837" t="str">
        <f>"120366"</f>
        <v>120366</v>
      </c>
      <c r="B2837" t="s">
        <v>2802</v>
      </c>
      <c r="D2837" s="15" t="s">
        <v>13095</v>
      </c>
    </row>
    <row r="2838" spans="1:4" x14ac:dyDescent="0.25">
      <c r="A2838" t="str">
        <f>"120367"</f>
        <v>120367</v>
      </c>
      <c r="B2838" t="s">
        <v>2803</v>
      </c>
      <c r="D2838" s="15" t="s">
        <v>13096</v>
      </c>
    </row>
    <row r="2839" spans="1:4" x14ac:dyDescent="0.25">
      <c r="A2839" t="str">
        <f>"120377"</f>
        <v>120377</v>
      </c>
      <c r="B2839" t="s">
        <v>2804</v>
      </c>
    </row>
    <row r="2840" spans="1:4" x14ac:dyDescent="0.25">
      <c r="A2840" t="str">
        <f>"120378"</f>
        <v>120378</v>
      </c>
      <c r="B2840" t="s">
        <v>2805</v>
      </c>
    </row>
    <row r="2841" spans="1:4" x14ac:dyDescent="0.25">
      <c r="A2841" t="str">
        <f>"120379"</f>
        <v>120379</v>
      </c>
      <c r="B2841" t="s">
        <v>2806</v>
      </c>
    </row>
    <row r="2842" spans="1:4" x14ac:dyDescent="0.25">
      <c r="A2842" t="str">
        <f>"120380"</f>
        <v>120380</v>
      </c>
      <c r="B2842" t="s">
        <v>2807</v>
      </c>
    </row>
    <row r="2843" spans="1:4" x14ac:dyDescent="0.25">
      <c r="A2843" t="str">
        <f>"120381"</f>
        <v>120381</v>
      </c>
      <c r="B2843" t="s">
        <v>2808</v>
      </c>
    </row>
    <row r="2844" spans="1:4" x14ac:dyDescent="0.25">
      <c r="A2844" t="str">
        <f>"120382"</f>
        <v>120382</v>
      </c>
      <c r="B2844" t="s">
        <v>2809</v>
      </c>
    </row>
    <row r="2845" spans="1:4" x14ac:dyDescent="0.25">
      <c r="A2845" t="str">
        <f>"120383"</f>
        <v>120383</v>
      </c>
      <c r="B2845" t="s">
        <v>2810</v>
      </c>
    </row>
    <row r="2846" spans="1:4" x14ac:dyDescent="0.25">
      <c r="A2846" t="str">
        <f>"120384"</f>
        <v>120384</v>
      </c>
      <c r="B2846" t="s">
        <v>2811</v>
      </c>
    </row>
    <row r="2847" spans="1:4" x14ac:dyDescent="0.25">
      <c r="A2847" t="str">
        <f>"120385"</f>
        <v>120385</v>
      </c>
      <c r="B2847" t="s">
        <v>2812</v>
      </c>
    </row>
    <row r="2848" spans="1:4" x14ac:dyDescent="0.25">
      <c r="A2848" t="str">
        <f>"120386"</f>
        <v>120386</v>
      </c>
      <c r="B2848" t="s">
        <v>2813</v>
      </c>
    </row>
    <row r="2849" spans="1:2" x14ac:dyDescent="0.25">
      <c r="A2849" t="str">
        <f>"120387"</f>
        <v>120387</v>
      </c>
      <c r="B2849" t="s">
        <v>2814</v>
      </c>
    </row>
    <row r="2850" spans="1:2" x14ac:dyDescent="0.25">
      <c r="A2850" t="str">
        <f>"120388"</f>
        <v>120388</v>
      </c>
      <c r="B2850" t="s">
        <v>2815</v>
      </c>
    </row>
    <row r="2851" spans="1:2" x14ac:dyDescent="0.25">
      <c r="A2851" t="str">
        <f>"120389"</f>
        <v>120389</v>
      </c>
      <c r="B2851" t="s">
        <v>2816</v>
      </c>
    </row>
    <row r="2852" spans="1:2" x14ac:dyDescent="0.25">
      <c r="A2852" t="str">
        <f>"120390"</f>
        <v>120390</v>
      </c>
      <c r="B2852" t="s">
        <v>2817</v>
      </c>
    </row>
    <row r="2853" spans="1:2" x14ac:dyDescent="0.25">
      <c r="A2853" t="str">
        <f>"120400"</f>
        <v>120400</v>
      </c>
      <c r="B2853" t="s">
        <v>2818</v>
      </c>
    </row>
    <row r="2854" spans="1:2" x14ac:dyDescent="0.25">
      <c r="A2854" t="str">
        <f>"120401"</f>
        <v>120401</v>
      </c>
      <c r="B2854" t="s">
        <v>2819</v>
      </c>
    </row>
    <row r="2855" spans="1:2" x14ac:dyDescent="0.25">
      <c r="A2855" t="str">
        <f>"120402"</f>
        <v>120402</v>
      </c>
      <c r="B2855" t="s">
        <v>2820</v>
      </c>
    </row>
    <row r="2856" spans="1:2" x14ac:dyDescent="0.25">
      <c r="A2856" t="str">
        <f>"120403"</f>
        <v>120403</v>
      </c>
      <c r="B2856" t="s">
        <v>2821</v>
      </c>
    </row>
    <row r="2857" spans="1:2" x14ac:dyDescent="0.25">
      <c r="A2857" t="str">
        <f>"120404"</f>
        <v>120404</v>
      </c>
      <c r="B2857" t="s">
        <v>2822</v>
      </c>
    </row>
    <row r="2858" spans="1:2" x14ac:dyDescent="0.25">
      <c r="A2858" t="str">
        <f>"120405"</f>
        <v>120405</v>
      </c>
      <c r="B2858" t="s">
        <v>2823</v>
      </c>
    </row>
    <row r="2859" spans="1:2" x14ac:dyDescent="0.25">
      <c r="A2859" t="str">
        <f>"120406"</f>
        <v>120406</v>
      </c>
      <c r="B2859" t="s">
        <v>2824</v>
      </c>
    </row>
    <row r="2860" spans="1:2" x14ac:dyDescent="0.25">
      <c r="A2860" t="str">
        <f>"120407"</f>
        <v>120407</v>
      </c>
      <c r="B2860" t="s">
        <v>2825</v>
      </c>
    </row>
    <row r="2861" spans="1:2" x14ac:dyDescent="0.25">
      <c r="A2861" t="str">
        <f>"120408"</f>
        <v>120408</v>
      </c>
      <c r="B2861" t="s">
        <v>2826</v>
      </c>
    </row>
    <row r="2862" spans="1:2" x14ac:dyDescent="0.25">
      <c r="A2862" t="str">
        <f>"12162"</f>
        <v>12162</v>
      </c>
      <c r="B2862" t="s">
        <v>2827</v>
      </c>
    </row>
    <row r="2863" spans="1:2" x14ac:dyDescent="0.25">
      <c r="A2863" t="str">
        <f>"12163"</f>
        <v>12163</v>
      </c>
      <c r="B2863" t="s">
        <v>2828</v>
      </c>
    </row>
    <row r="2864" spans="1:2" x14ac:dyDescent="0.25">
      <c r="A2864" t="str">
        <f>"12164"</f>
        <v>12164</v>
      </c>
      <c r="B2864" t="s">
        <v>2829</v>
      </c>
    </row>
    <row r="2865" spans="1:2" x14ac:dyDescent="0.25">
      <c r="A2865" t="str">
        <f>"12165"</f>
        <v>12165</v>
      </c>
      <c r="B2865" t="s">
        <v>2830</v>
      </c>
    </row>
    <row r="2866" spans="1:2" x14ac:dyDescent="0.25">
      <c r="A2866" t="str">
        <f>"12166"</f>
        <v>12166</v>
      </c>
      <c r="B2866" t="s">
        <v>2831</v>
      </c>
    </row>
    <row r="2867" spans="1:2" x14ac:dyDescent="0.25">
      <c r="A2867" t="str">
        <f>"12167"</f>
        <v>12167</v>
      </c>
      <c r="B2867" t="s">
        <v>2832</v>
      </c>
    </row>
    <row r="2868" spans="1:2" x14ac:dyDescent="0.25">
      <c r="A2868" t="str">
        <f>"300567"</f>
        <v>300567</v>
      </c>
      <c r="B2868" t="s">
        <v>2833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64C7C-3D64-4843-8EAF-846C55451624}">
  <dimension ref="A3:A521"/>
  <sheetViews>
    <sheetView workbookViewId="0">
      <selection activeCell="A3" sqref="A3"/>
    </sheetView>
  </sheetViews>
  <sheetFormatPr baseColWidth="10" defaultRowHeight="15" x14ac:dyDescent="0.25"/>
  <cols>
    <col min="1" max="1" width="53.140625" bestFit="1" customWidth="1"/>
  </cols>
  <sheetData>
    <row r="3" spans="1:1" x14ac:dyDescent="0.25">
      <c r="A3" s="14" t="s">
        <v>13094</v>
      </c>
    </row>
    <row r="4" spans="1:1" x14ac:dyDescent="0.25">
      <c r="A4" s="15" t="s">
        <v>3011</v>
      </c>
    </row>
    <row r="5" spans="1:1" x14ac:dyDescent="0.25">
      <c r="A5" s="15" t="s">
        <v>3037</v>
      </c>
    </row>
    <row r="6" spans="1:1" x14ac:dyDescent="0.25">
      <c r="A6" s="15" t="s">
        <v>3044</v>
      </c>
    </row>
    <row r="7" spans="1:1" x14ac:dyDescent="0.25">
      <c r="A7" s="15" t="s">
        <v>3296</v>
      </c>
    </row>
    <row r="8" spans="1:1" x14ac:dyDescent="0.25">
      <c r="A8" s="15" t="s">
        <v>3233</v>
      </c>
    </row>
    <row r="9" spans="1:1" x14ac:dyDescent="0.25">
      <c r="A9" s="15" t="s">
        <v>2924</v>
      </c>
    </row>
    <row r="10" spans="1:1" x14ac:dyDescent="0.25">
      <c r="A10" s="15" t="s">
        <v>3060</v>
      </c>
    </row>
    <row r="11" spans="1:1" x14ac:dyDescent="0.25">
      <c r="A11" s="15" t="s">
        <v>3163</v>
      </c>
    </row>
    <row r="12" spans="1:1" x14ac:dyDescent="0.25">
      <c r="A12" s="15" t="s">
        <v>3139</v>
      </c>
    </row>
    <row r="13" spans="1:1" x14ac:dyDescent="0.25">
      <c r="A13" s="15" t="s">
        <v>2948</v>
      </c>
    </row>
    <row r="14" spans="1:1" x14ac:dyDescent="0.25">
      <c r="A14" s="15" t="s">
        <v>3032</v>
      </c>
    </row>
    <row r="15" spans="1:1" x14ac:dyDescent="0.25">
      <c r="A15" s="15" t="s">
        <v>2835</v>
      </c>
    </row>
    <row r="16" spans="1:1" x14ac:dyDescent="0.25">
      <c r="A16" s="15" t="s">
        <v>2943</v>
      </c>
    </row>
    <row r="17" spans="1:1" x14ac:dyDescent="0.25">
      <c r="A17" s="15" t="s">
        <v>2915</v>
      </c>
    </row>
    <row r="18" spans="1:1" x14ac:dyDescent="0.25">
      <c r="A18" s="15" t="s">
        <v>3099</v>
      </c>
    </row>
    <row r="19" spans="1:1" x14ac:dyDescent="0.25">
      <c r="A19" s="15" t="s">
        <v>3102</v>
      </c>
    </row>
    <row r="20" spans="1:1" x14ac:dyDescent="0.25">
      <c r="A20" s="15" t="s">
        <v>2942</v>
      </c>
    </row>
    <row r="21" spans="1:1" x14ac:dyDescent="0.25">
      <c r="A21" s="15" t="s">
        <v>3130</v>
      </c>
    </row>
    <row r="22" spans="1:1" x14ac:dyDescent="0.25">
      <c r="A22" s="15" t="s">
        <v>3152</v>
      </c>
    </row>
    <row r="23" spans="1:1" x14ac:dyDescent="0.25">
      <c r="A23" s="15" t="s">
        <v>2969</v>
      </c>
    </row>
    <row r="24" spans="1:1" x14ac:dyDescent="0.25">
      <c r="A24" s="15" t="s">
        <v>2147</v>
      </c>
    </row>
    <row r="25" spans="1:1" x14ac:dyDescent="0.25">
      <c r="A25" s="15" t="s">
        <v>3323</v>
      </c>
    </row>
    <row r="26" spans="1:1" x14ac:dyDescent="0.25">
      <c r="A26" s="15" t="s">
        <v>2941</v>
      </c>
    </row>
    <row r="27" spans="1:1" x14ac:dyDescent="0.25">
      <c r="A27" s="15" t="s">
        <v>3106</v>
      </c>
    </row>
    <row r="28" spans="1:1" x14ac:dyDescent="0.25">
      <c r="A28" s="15" t="s">
        <v>2926</v>
      </c>
    </row>
    <row r="29" spans="1:1" x14ac:dyDescent="0.25">
      <c r="A29" s="15" t="s">
        <v>3156</v>
      </c>
    </row>
    <row r="30" spans="1:1" x14ac:dyDescent="0.25">
      <c r="A30" s="15" t="s">
        <v>2947</v>
      </c>
    </row>
    <row r="31" spans="1:1" x14ac:dyDescent="0.25">
      <c r="A31" s="15" t="s">
        <v>2871</v>
      </c>
    </row>
    <row r="32" spans="1:1" x14ac:dyDescent="0.25">
      <c r="A32" s="15" t="s">
        <v>3127</v>
      </c>
    </row>
    <row r="33" spans="1:1" x14ac:dyDescent="0.25">
      <c r="A33" s="15" t="s">
        <v>3098</v>
      </c>
    </row>
    <row r="34" spans="1:1" x14ac:dyDescent="0.25">
      <c r="A34" s="15" t="s">
        <v>3196</v>
      </c>
    </row>
    <row r="35" spans="1:1" x14ac:dyDescent="0.25">
      <c r="A35" s="15" t="s">
        <v>3176</v>
      </c>
    </row>
    <row r="36" spans="1:1" x14ac:dyDescent="0.25">
      <c r="A36" s="15" t="s">
        <v>2893</v>
      </c>
    </row>
    <row r="37" spans="1:1" x14ac:dyDescent="0.25">
      <c r="A37" s="15" t="s">
        <v>2860</v>
      </c>
    </row>
    <row r="38" spans="1:1" x14ac:dyDescent="0.25">
      <c r="A38" s="15" t="s">
        <v>3275</v>
      </c>
    </row>
    <row r="39" spans="1:1" x14ac:dyDescent="0.25">
      <c r="A39" s="15" t="s">
        <v>3292</v>
      </c>
    </row>
    <row r="40" spans="1:1" x14ac:dyDescent="0.25">
      <c r="A40" s="15" t="s">
        <v>3215</v>
      </c>
    </row>
    <row r="41" spans="1:1" x14ac:dyDescent="0.25">
      <c r="A41" s="15" t="s">
        <v>3142</v>
      </c>
    </row>
    <row r="42" spans="1:1" x14ac:dyDescent="0.25">
      <c r="A42" s="15" t="s">
        <v>2965</v>
      </c>
    </row>
    <row r="43" spans="1:1" x14ac:dyDescent="0.25">
      <c r="A43" s="15" t="s">
        <v>2988</v>
      </c>
    </row>
    <row r="44" spans="1:1" x14ac:dyDescent="0.25">
      <c r="A44" s="15" t="s">
        <v>2853</v>
      </c>
    </row>
    <row r="45" spans="1:1" x14ac:dyDescent="0.25">
      <c r="A45" s="15" t="s">
        <v>2938</v>
      </c>
    </row>
    <row r="46" spans="1:1" x14ac:dyDescent="0.25">
      <c r="A46" s="15" t="s">
        <v>2918</v>
      </c>
    </row>
    <row r="47" spans="1:1" x14ac:dyDescent="0.25">
      <c r="A47" s="15" t="s">
        <v>3082</v>
      </c>
    </row>
    <row r="48" spans="1:1" x14ac:dyDescent="0.25">
      <c r="A48" s="15" t="s">
        <v>3294</v>
      </c>
    </row>
    <row r="49" spans="1:1" x14ac:dyDescent="0.25">
      <c r="A49" s="15" t="s">
        <v>2987</v>
      </c>
    </row>
    <row r="50" spans="1:1" x14ac:dyDescent="0.25">
      <c r="A50" s="15" t="s">
        <v>3016</v>
      </c>
    </row>
    <row r="51" spans="1:1" x14ac:dyDescent="0.25">
      <c r="A51" s="15" t="s">
        <v>3225</v>
      </c>
    </row>
    <row r="52" spans="1:1" x14ac:dyDescent="0.25">
      <c r="A52" s="15" t="s">
        <v>3206</v>
      </c>
    </row>
    <row r="53" spans="1:1" x14ac:dyDescent="0.25">
      <c r="A53" s="15" t="s">
        <v>3119</v>
      </c>
    </row>
    <row r="54" spans="1:1" x14ac:dyDescent="0.25">
      <c r="A54" s="15" t="s">
        <v>3314</v>
      </c>
    </row>
    <row r="55" spans="1:1" x14ac:dyDescent="0.25">
      <c r="A55" s="15" t="s">
        <v>3249</v>
      </c>
    </row>
    <row r="56" spans="1:1" x14ac:dyDescent="0.25">
      <c r="A56" s="15" t="s">
        <v>3321</v>
      </c>
    </row>
    <row r="57" spans="1:1" x14ac:dyDescent="0.25">
      <c r="A57" s="15" t="s">
        <v>3286</v>
      </c>
    </row>
    <row r="58" spans="1:1" x14ac:dyDescent="0.25">
      <c r="A58" s="15" t="s">
        <v>3112</v>
      </c>
    </row>
    <row r="59" spans="1:1" x14ac:dyDescent="0.25">
      <c r="A59" s="15" t="s">
        <v>3039</v>
      </c>
    </row>
    <row r="60" spans="1:1" x14ac:dyDescent="0.25">
      <c r="A60" s="15" t="s">
        <v>3132</v>
      </c>
    </row>
    <row r="61" spans="1:1" x14ac:dyDescent="0.25">
      <c r="A61" s="15" t="s">
        <v>2836</v>
      </c>
    </row>
    <row r="62" spans="1:1" x14ac:dyDescent="0.25">
      <c r="A62" s="15" t="s">
        <v>1258</v>
      </c>
    </row>
    <row r="63" spans="1:1" x14ac:dyDescent="0.25">
      <c r="A63" s="15" t="s">
        <v>2931</v>
      </c>
    </row>
    <row r="64" spans="1:1" x14ac:dyDescent="0.25">
      <c r="A64" s="15" t="s">
        <v>3150</v>
      </c>
    </row>
    <row r="65" spans="1:1" x14ac:dyDescent="0.25">
      <c r="A65" s="15" t="s">
        <v>2986</v>
      </c>
    </row>
    <row r="66" spans="1:1" x14ac:dyDescent="0.25">
      <c r="A66" s="15" t="s">
        <v>2989</v>
      </c>
    </row>
    <row r="67" spans="1:1" x14ac:dyDescent="0.25">
      <c r="A67" s="15" t="s">
        <v>3096</v>
      </c>
    </row>
    <row r="68" spans="1:1" x14ac:dyDescent="0.25">
      <c r="A68" s="15" t="s">
        <v>3197</v>
      </c>
    </row>
    <row r="69" spans="1:1" x14ac:dyDescent="0.25">
      <c r="A69" s="15" t="s">
        <v>3154</v>
      </c>
    </row>
    <row r="70" spans="1:1" x14ac:dyDescent="0.25">
      <c r="A70" s="15" t="s">
        <v>3177</v>
      </c>
    </row>
    <row r="71" spans="1:1" x14ac:dyDescent="0.25">
      <c r="A71" s="15" t="s">
        <v>3049</v>
      </c>
    </row>
    <row r="72" spans="1:1" x14ac:dyDescent="0.25">
      <c r="A72" s="15" t="s">
        <v>3217</v>
      </c>
    </row>
    <row r="73" spans="1:1" x14ac:dyDescent="0.25">
      <c r="A73" s="15" t="s">
        <v>3054</v>
      </c>
    </row>
    <row r="74" spans="1:1" x14ac:dyDescent="0.25">
      <c r="A74" s="15" t="s">
        <v>2861</v>
      </c>
    </row>
    <row r="75" spans="1:1" x14ac:dyDescent="0.25">
      <c r="A75" s="15" t="s">
        <v>1991</v>
      </c>
    </row>
    <row r="76" spans="1:1" x14ac:dyDescent="0.25">
      <c r="A76" s="15" t="s">
        <v>3261</v>
      </c>
    </row>
    <row r="77" spans="1:1" x14ac:dyDescent="0.25">
      <c r="A77" s="15" t="s">
        <v>2862</v>
      </c>
    </row>
    <row r="78" spans="1:1" x14ac:dyDescent="0.25">
      <c r="A78" s="15" t="s">
        <v>3277</v>
      </c>
    </row>
    <row r="79" spans="1:1" x14ac:dyDescent="0.25">
      <c r="A79" s="15" t="s">
        <v>3322</v>
      </c>
    </row>
    <row r="80" spans="1:1" x14ac:dyDescent="0.25">
      <c r="A80" s="15" t="s">
        <v>3009</v>
      </c>
    </row>
    <row r="81" spans="1:1" x14ac:dyDescent="0.25">
      <c r="A81" s="15" t="s">
        <v>2954</v>
      </c>
    </row>
    <row r="82" spans="1:1" x14ac:dyDescent="0.25">
      <c r="A82" s="15" t="s">
        <v>3167</v>
      </c>
    </row>
    <row r="83" spans="1:1" x14ac:dyDescent="0.25">
      <c r="A83" s="15" t="s">
        <v>3184</v>
      </c>
    </row>
    <row r="84" spans="1:1" x14ac:dyDescent="0.25">
      <c r="A84" s="15" t="s">
        <v>2904</v>
      </c>
    </row>
    <row r="85" spans="1:1" x14ac:dyDescent="0.25">
      <c r="A85" s="15" t="s">
        <v>3149</v>
      </c>
    </row>
    <row r="86" spans="1:1" x14ac:dyDescent="0.25">
      <c r="A86" s="15" t="s">
        <v>2966</v>
      </c>
    </row>
    <row r="87" spans="1:1" x14ac:dyDescent="0.25">
      <c r="A87" s="15" t="s">
        <v>3290</v>
      </c>
    </row>
    <row r="88" spans="1:1" x14ac:dyDescent="0.25">
      <c r="A88" s="15" t="s">
        <v>3108</v>
      </c>
    </row>
    <row r="89" spans="1:1" x14ac:dyDescent="0.25">
      <c r="A89" s="15" t="s">
        <v>3031</v>
      </c>
    </row>
    <row r="90" spans="1:1" x14ac:dyDescent="0.25">
      <c r="A90" s="15" t="s">
        <v>3105</v>
      </c>
    </row>
    <row r="91" spans="1:1" x14ac:dyDescent="0.25">
      <c r="A91" s="15" t="s">
        <v>3211</v>
      </c>
    </row>
    <row r="92" spans="1:1" x14ac:dyDescent="0.25">
      <c r="A92" s="15" t="s">
        <v>3101</v>
      </c>
    </row>
    <row r="93" spans="1:1" x14ac:dyDescent="0.25">
      <c r="A93" s="15" t="s">
        <v>2974</v>
      </c>
    </row>
    <row r="94" spans="1:1" x14ac:dyDescent="0.25">
      <c r="A94" s="15" t="s">
        <v>3046</v>
      </c>
    </row>
    <row r="95" spans="1:1" x14ac:dyDescent="0.25">
      <c r="A95" s="15" t="s">
        <v>1630</v>
      </c>
    </row>
    <row r="96" spans="1:1" x14ac:dyDescent="0.25">
      <c r="A96" s="15" t="s">
        <v>2936</v>
      </c>
    </row>
    <row r="97" spans="1:1" x14ac:dyDescent="0.25">
      <c r="A97" s="15" t="s">
        <v>3161</v>
      </c>
    </row>
    <row r="98" spans="1:1" x14ac:dyDescent="0.25">
      <c r="A98" s="15" t="s">
        <v>3212</v>
      </c>
    </row>
    <row r="99" spans="1:1" x14ac:dyDescent="0.25">
      <c r="A99" s="15" t="s">
        <v>3022</v>
      </c>
    </row>
    <row r="100" spans="1:1" x14ac:dyDescent="0.25">
      <c r="A100" s="15" t="s">
        <v>3222</v>
      </c>
    </row>
    <row r="101" spans="1:1" x14ac:dyDescent="0.25">
      <c r="A101" s="15" t="s">
        <v>3319</v>
      </c>
    </row>
    <row r="102" spans="1:1" x14ac:dyDescent="0.25">
      <c r="A102" s="15" t="s">
        <v>3069</v>
      </c>
    </row>
    <row r="103" spans="1:1" x14ac:dyDescent="0.25">
      <c r="A103" s="15" t="s">
        <v>3128</v>
      </c>
    </row>
    <row r="104" spans="1:1" x14ac:dyDescent="0.25">
      <c r="A104" s="15" t="s">
        <v>2978</v>
      </c>
    </row>
    <row r="105" spans="1:1" x14ac:dyDescent="0.25">
      <c r="A105" s="15" t="s">
        <v>3288</v>
      </c>
    </row>
    <row r="106" spans="1:1" x14ac:dyDescent="0.25">
      <c r="A106" s="15" t="s">
        <v>2903</v>
      </c>
    </row>
    <row r="107" spans="1:1" x14ac:dyDescent="0.25">
      <c r="A107" s="15" t="s">
        <v>2930</v>
      </c>
    </row>
    <row r="108" spans="1:1" x14ac:dyDescent="0.25">
      <c r="A108" s="15" t="s">
        <v>2885</v>
      </c>
    </row>
    <row r="109" spans="1:1" x14ac:dyDescent="0.25">
      <c r="A109" s="15" t="s">
        <v>3280</v>
      </c>
    </row>
    <row r="110" spans="1:1" x14ac:dyDescent="0.25">
      <c r="A110" s="15" t="s">
        <v>2976</v>
      </c>
    </row>
    <row r="111" spans="1:1" x14ac:dyDescent="0.25">
      <c r="A111" s="15" t="s">
        <v>3272</v>
      </c>
    </row>
    <row r="112" spans="1:1" x14ac:dyDescent="0.25">
      <c r="A112" s="15" t="s">
        <v>3252</v>
      </c>
    </row>
    <row r="113" spans="1:1" x14ac:dyDescent="0.25">
      <c r="A113" s="15" t="s">
        <v>2983</v>
      </c>
    </row>
    <row r="114" spans="1:1" x14ac:dyDescent="0.25">
      <c r="A114" s="15" t="s">
        <v>3175</v>
      </c>
    </row>
    <row r="115" spans="1:1" x14ac:dyDescent="0.25">
      <c r="A115" s="15" t="s">
        <v>2962</v>
      </c>
    </row>
    <row r="116" spans="1:1" x14ac:dyDescent="0.25">
      <c r="A116" s="15" t="s">
        <v>3091</v>
      </c>
    </row>
    <row r="117" spans="1:1" x14ac:dyDescent="0.25">
      <c r="A117" s="15" t="s">
        <v>2843</v>
      </c>
    </row>
    <row r="118" spans="1:1" x14ac:dyDescent="0.25">
      <c r="A118" s="15" t="s">
        <v>3075</v>
      </c>
    </row>
    <row r="119" spans="1:1" x14ac:dyDescent="0.25">
      <c r="A119" s="15" t="s">
        <v>2996</v>
      </c>
    </row>
    <row r="120" spans="1:1" x14ac:dyDescent="0.25">
      <c r="A120" s="15" t="s">
        <v>3083</v>
      </c>
    </row>
    <row r="121" spans="1:1" x14ac:dyDescent="0.25">
      <c r="A121" s="15" t="s">
        <v>3248</v>
      </c>
    </row>
    <row r="122" spans="1:1" x14ac:dyDescent="0.25">
      <c r="A122" s="15" t="s">
        <v>2858</v>
      </c>
    </row>
    <row r="123" spans="1:1" x14ac:dyDescent="0.25">
      <c r="A123" s="15" t="s">
        <v>2879</v>
      </c>
    </row>
    <row r="124" spans="1:1" x14ac:dyDescent="0.25">
      <c r="A124" s="15" t="s">
        <v>3010</v>
      </c>
    </row>
    <row r="125" spans="1:1" x14ac:dyDescent="0.25">
      <c r="A125" s="15" t="s">
        <v>3051</v>
      </c>
    </row>
    <row r="126" spans="1:1" x14ac:dyDescent="0.25">
      <c r="A126" s="15" t="s">
        <v>2876</v>
      </c>
    </row>
    <row r="127" spans="1:1" x14ac:dyDescent="0.25">
      <c r="A127" s="15" t="s">
        <v>3141</v>
      </c>
    </row>
    <row r="128" spans="1:1" x14ac:dyDescent="0.25">
      <c r="A128" s="15" t="s">
        <v>3003</v>
      </c>
    </row>
    <row r="129" spans="1:1" x14ac:dyDescent="0.25">
      <c r="A129" s="15" t="s">
        <v>3298</v>
      </c>
    </row>
    <row r="130" spans="1:1" x14ac:dyDescent="0.25">
      <c r="A130" s="15" t="s">
        <v>264</v>
      </c>
    </row>
    <row r="131" spans="1:1" x14ac:dyDescent="0.25">
      <c r="A131" s="15" t="s">
        <v>2973</v>
      </c>
    </row>
    <row r="132" spans="1:1" x14ac:dyDescent="0.25">
      <c r="A132" s="15" t="s">
        <v>2939</v>
      </c>
    </row>
    <row r="133" spans="1:1" x14ac:dyDescent="0.25">
      <c r="A133" s="15" t="s">
        <v>3062</v>
      </c>
    </row>
    <row r="134" spans="1:1" x14ac:dyDescent="0.25">
      <c r="A134" s="15" t="s">
        <v>2932</v>
      </c>
    </row>
    <row r="135" spans="1:1" x14ac:dyDescent="0.25">
      <c r="A135" s="15" t="s">
        <v>2170</v>
      </c>
    </row>
    <row r="136" spans="1:1" x14ac:dyDescent="0.25">
      <c r="A136" s="15" t="s">
        <v>3118</v>
      </c>
    </row>
    <row r="137" spans="1:1" x14ac:dyDescent="0.25">
      <c r="A137" s="15" t="s">
        <v>2837</v>
      </c>
    </row>
    <row r="138" spans="1:1" x14ac:dyDescent="0.25">
      <c r="A138" s="15" t="s">
        <v>3014</v>
      </c>
    </row>
    <row r="139" spans="1:1" x14ac:dyDescent="0.25">
      <c r="A139" s="15" t="s">
        <v>3056</v>
      </c>
    </row>
    <row r="140" spans="1:1" x14ac:dyDescent="0.25">
      <c r="A140" s="15" t="s">
        <v>3239</v>
      </c>
    </row>
    <row r="141" spans="1:1" x14ac:dyDescent="0.25">
      <c r="A141" s="15" t="s">
        <v>3093</v>
      </c>
    </row>
    <row r="142" spans="1:1" x14ac:dyDescent="0.25">
      <c r="A142" s="15" t="s">
        <v>3210</v>
      </c>
    </row>
    <row r="143" spans="1:1" x14ac:dyDescent="0.25">
      <c r="A143" s="15" t="s">
        <v>2981</v>
      </c>
    </row>
    <row r="144" spans="1:1" x14ac:dyDescent="0.25">
      <c r="A144" s="15" t="s">
        <v>2842</v>
      </c>
    </row>
    <row r="145" spans="1:1" x14ac:dyDescent="0.25">
      <c r="A145" s="15" t="s">
        <v>967</v>
      </c>
    </row>
    <row r="146" spans="1:1" x14ac:dyDescent="0.25">
      <c r="A146" s="15" t="s">
        <v>3259</v>
      </c>
    </row>
    <row r="147" spans="1:1" x14ac:dyDescent="0.25">
      <c r="A147" s="15" t="s">
        <v>2956</v>
      </c>
    </row>
    <row r="148" spans="1:1" x14ac:dyDescent="0.25">
      <c r="A148" s="15" t="s">
        <v>3134</v>
      </c>
    </row>
    <row r="149" spans="1:1" x14ac:dyDescent="0.25">
      <c r="A149" s="15" t="s">
        <v>3282</v>
      </c>
    </row>
    <row r="150" spans="1:1" x14ac:dyDescent="0.25">
      <c r="A150" s="15" t="s">
        <v>3310</v>
      </c>
    </row>
    <row r="151" spans="1:1" x14ac:dyDescent="0.25">
      <c r="A151" s="15" t="s">
        <v>2662</v>
      </c>
    </row>
    <row r="152" spans="1:1" x14ac:dyDescent="0.25">
      <c r="A152" s="15" t="s">
        <v>2844</v>
      </c>
    </row>
    <row r="153" spans="1:1" x14ac:dyDescent="0.25">
      <c r="A153" s="15" t="s">
        <v>3209</v>
      </c>
    </row>
    <row r="154" spans="1:1" x14ac:dyDescent="0.25">
      <c r="A154" s="15" t="s">
        <v>2925</v>
      </c>
    </row>
    <row r="155" spans="1:1" x14ac:dyDescent="0.25">
      <c r="A155" s="15" t="s">
        <v>2990</v>
      </c>
    </row>
    <row r="156" spans="1:1" x14ac:dyDescent="0.25">
      <c r="A156" s="15" t="s">
        <v>2852</v>
      </c>
    </row>
    <row r="157" spans="1:1" x14ac:dyDescent="0.25">
      <c r="A157" s="15" t="s">
        <v>2984</v>
      </c>
    </row>
    <row r="158" spans="1:1" x14ac:dyDescent="0.25">
      <c r="A158" s="15" t="s">
        <v>2849</v>
      </c>
    </row>
    <row r="159" spans="1:1" x14ac:dyDescent="0.25">
      <c r="A159" s="15" t="s">
        <v>2959</v>
      </c>
    </row>
    <row r="160" spans="1:1" x14ac:dyDescent="0.25">
      <c r="A160" s="15" t="s">
        <v>2916</v>
      </c>
    </row>
    <row r="161" spans="1:1" x14ac:dyDescent="0.25">
      <c r="A161" s="15" t="s">
        <v>3274</v>
      </c>
    </row>
    <row r="162" spans="1:1" x14ac:dyDescent="0.25">
      <c r="A162" s="15" t="s">
        <v>3136</v>
      </c>
    </row>
    <row r="163" spans="1:1" x14ac:dyDescent="0.25">
      <c r="A163" s="15" t="s">
        <v>2888</v>
      </c>
    </row>
    <row r="164" spans="1:1" x14ac:dyDescent="0.25">
      <c r="A164" s="15" t="s">
        <v>2857</v>
      </c>
    </row>
    <row r="165" spans="1:1" x14ac:dyDescent="0.25">
      <c r="A165" s="15" t="s">
        <v>2850</v>
      </c>
    </row>
    <row r="166" spans="1:1" x14ac:dyDescent="0.25">
      <c r="A166" s="15" t="s">
        <v>2940</v>
      </c>
    </row>
    <row r="167" spans="1:1" x14ac:dyDescent="0.25">
      <c r="A167" s="15" t="s">
        <v>3159</v>
      </c>
    </row>
    <row r="168" spans="1:1" x14ac:dyDescent="0.25">
      <c r="A168" s="15" t="s">
        <v>3135</v>
      </c>
    </row>
    <row r="169" spans="1:1" x14ac:dyDescent="0.25">
      <c r="A169" s="15" t="s">
        <v>3045</v>
      </c>
    </row>
    <row r="170" spans="1:1" x14ac:dyDescent="0.25">
      <c r="A170" s="15" t="s">
        <v>2883</v>
      </c>
    </row>
    <row r="171" spans="1:1" x14ac:dyDescent="0.25">
      <c r="A171" s="15" t="s">
        <v>3042</v>
      </c>
    </row>
    <row r="172" spans="1:1" x14ac:dyDescent="0.25">
      <c r="A172" s="15" t="s">
        <v>3283</v>
      </c>
    </row>
    <row r="173" spans="1:1" x14ac:dyDescent="0.25">
      <c r="A173" s="15" t="s">
        <v>2901</v>
      </c>
    </row>
    <row r="174" spans="1:1" x14ac:dyDescent="0.25">
      <c r="A174" s="15" t="s">
        <v>3301</v>
      </c>
    </row>
    <row r="175" spans="1:1" x14ac:dyDescent="0.25">
      <c r="A175" s="15" t="s">
        <v>3129</v>
      </c>
    </row>
    <row r="176" spans="1:1" x14ac:dyDescent="0.25">
      <c r="A176" s="15" t="s">
        <v>3190</v>
      </c>
    </row>
    <row r="177" spans="1:1" x14ac:dyDescent="0.25">
      <c r="A177" s="15" t="s">
        <v>3012</v>
      </c>
    </row>
    <row r="178" spans="1:1" x14ac:dyDescent="0.25">
      <c r="A178" s="15" t="s">
        <v>3097</v>
      </c>
    </row>
    <row r="179" spans="1:1" x14ac:dyDescent="0.25">
      <c r="A179" s="15" t="s">
        <v>3242</v>
      </c>
    </row>
    <row r="180" spans="1:1" x14ac:dyDescent="0.25">
      <c r="A180" s="15" t="s">
        <v>2921</v>
      </c>
    </row>
    <row r="181" spans="1:1" x14ac:dyDescent="0.25">
      <c r="A181" s="15" t="s">
        <v>3088</v>
      </c>
    </row>
    <row r="182" spans="1:1" x14ac:dyDescent="0.25">
      <c r="A182" s="15" t="s">
        <v>3076</v>
      </c>
    </row>
    <row r="183" spans="1:1" x14ac:dyDescent="0.25">
      <c r="A183" s="15" t="s">
        <v>3024</v>
      </c>
    </row>
    <row r="184" spans="1:1" x14ac:dyDescent="0.25">
      <c r="A184" s="15" t="s">
        <v>3007</v>
      </c>
    </row>
    <row r="185" spans="1:1" x14ac:dyDescent="0.25">
      <c r="A185" s="15" t="s">
        <v>3092</v>
      </c>
    </row>
    <row r="186" spans="1:1" x14ac:dyDescent="0.25">
      <c r="A186" s="15" t="s">
        <v>3278</v>
      </c>
    </row>
    <row r="187" spans="1:1" x14ac:dyDescent="0.25">
      <c r="A187" s="15" t="s">
        <v>2964</v>
      </c>
    </row>
    <row r="188" spans="1:1" x14ac:dyDescent="0.25">
      <c r="A188" s="15" t="s">
        <v>3226</v>
      </c>
    </row>
    <row r="189" spans="1:1" x14ac:dyDescent="0.25">
      <c r="A189" s="15" t="s">
        <v>3255</v>
      </c>
    </row>
    <row r="190" spans="1:1" x14ac:dyDescent="0.25">
      <c r="A190" s="15" t="s">
        <v>2999</v>
      </c>
    </row>
    <row r="191" spans="1:1" x14ac:dyDescent="0.25">
      <c r="A191" s="15" t="s">
        <v>3017</v>
      </c>
    </row>
    <row r="192" spans="1:1" x14ac:dyDescent="0.25">
      <c r="A192" s="15" t="s">
        <v>2960</v>
      </c>
    </row>
    <row r="193" spans="1:1" x14ac:dyDescent="0.25">
      <c r="A193" s="15" t="s">
        <v>3213</v>
      </c>
    </row>
    <row r="194" spans="1:1" x14ac:dyDescent="0.25">
      <c r="A194" s="15" t="s">
        <v>3195</v>
      </c>
    </row>
    <row r="195" spans="1:1" x14ac:dyDescent="0.25">
      <c r="A195" s="15" t="s">
        <v>2884</v>
      </c>
    </row>
    <row r="196" spans="1:1" x14ac:dyDescent="0.25">
      <c r="A196" s="15" t="s">
        <v>2977</v>
      </c>
    </row>
    <row r="197" spans="1:1" x14ac:dyDescent="0.25">
      <c r="A197" s="15" t="s">
        <v>3053</v>
      </c>
    </row>
    <row r="198" spans="1:1" x14ac:dyDescent="0.25">
      <c r="A198" s="15" t="s">
        <v>3251</v>
      </c>
    </row>
    <row r="199" spans="1:1" x14ac:dyDescent="0.25">
      <c r="A199" s="15" t="s">
        <v>3138</v>
      </c>
    </row>
    <row r="200" spans="1:1" x14ac:dyDescent="0.25">
      <c r="A200" s="15" t="s">
        <v>2838</v>
      </c>
    </row>
    <row r="201" spans="1:1" x14ac:dyDescent="0.25">
      <c r="A201" s="15" t="s">
        <v>3172</v>
      </c>
    </row>
    <row r="202" spans="1:1" x14ac:dyDescent="0.25">
      <c r="A202" s="15" t="s">
        <v>3313</v>
      </c>
    </row>
    <row r="203" spans="1:1" x14ac:dyDescent="0.25">
      <c r="A203" s="15" t="s">
        <v>3015</v>
      </c>
    </row>
    <row r="204" spans="1:1" x14ac:dyDescent="0.25">
      <c r="A204" s="15" t="s">
        <v>2995</v>
      </c>
    </row>
    <row r="205" spans="1:1" x14ac:dyDescent="0.25">
      <c r="A205" s="15" t="s">
        <v>2975</v>
      </c>
    </row>
    <row r="206" spans="1:1" x14ac:dyDescent="0.25">
      <c r="A206" s="15" t="s">
        <v>3284</v>
      </c>
    </row>
    <row r="207" spans="1:1" x14ac:dyDescent="0.25">
      <c r="A207" s="15" t="s">
        <v>3224</v>
      </c>
    </row>
    <row r="208" spans="1:1" x14ac:dyDescent="0.25">
      <c r="A208" s="15" t="s">
        <v>3028</v>
      </c>
    </row>
    <row r="209" spans="1:1" x14ac:dyDescent="0.25">
      <c r="A209" s="15" t="s">
        <v>3276</v>
      </c>
    </row>
    <row r="210" spans="1:1" x14ac:dyDescent="0.25">
      <c r="A210" s="15" t="s">
        <v>154</v>
      </c>
    </row>
    <row r="211" spans="1:1" x14ac:dyDescent="0.25">
      <c r="A211" s="15" t="s">
        <v>3115</v>
      </c>
    </row>
    <row r="212" spans="1:1" x14ac:dyDescent="0.25">
      <c r="A212" s="15" t="s">
        <v>3208</v>
      </c>
    </row>
    <row r="213" spans="1:1" x14ac:dyDescent="0.25">
      <c r="A213" s="15" t="s">
        <v>2045</v>
      </c>
    </row>
    <row r="214" spans="1:1" x14ac:dyDescent="0.25">
      <c r="A214" s="15" t="s">
        <v>2706</v>
      </c>
    </row>
    <row r="215" spans="1:1" x14ac:dyDescent="0.25">
      <c r="A215" s="15" t="s">
        <v>2789</v>
      </c>
    </row>
    <row r="216" spans="1:1" x14ac:dyDescent="0.25">
      <c r="A216" s="15" t="s">
        <v>3247</v>
      </c>
    </row>
    <row r="217" spans="1:1" x14ac:dyDescent="0.25">
      <c r="A217" s="15" t="s">
        <v>3008</v>
      </c>
    </row>
    <row r="218" spans="1:1" x14ac:dyDescent="0.25">
      <c r="A218" s="15" t="s">
        <v>2928</v>
      </c>
    </row>
    <row r="219" spans="1:1" x14ac:dyDescent="0.25">
      <c r="A219" s="15" t="s">
        <v>2840</v>
      </c>
    </row>
    <row r="220" spans="1:1" x14ac:dyDescent="0.25">
      <c r="A220" s="15" t="s">
        <v>3113</v>
      </c>
    </row>
    <row r="221" spans="1:1" x14ac:dyDescent="0.25">
      <c r="A221" s="15" t="s">
        <v>2951</v>
      </c>
    </row>
    <row r="222" spans="1:1" x14ac:dyDescent="0.25">
      <c r="A222" s="15" t="s">
        <v>2970</v>
      </c>
    </row>
    <row r="223" spans="1:1" x14ac:dyDescent="0.25">
      <c r="A223" s="15" t="s">
        <v>3160</v>
      </c>
    </row>
    <row r="224" spans="1:1" x14ac:dyDescent="0.25">
      <c r="A224" s="15" t="s">
        <v>3200</v>
      </c>
    </row>
    <row r="225" spans="1:1" x14ac:dyDescent="0.25">
      <c r="A225" s="15" t="s">
        <v>2851</v>
      </c>
    </row>
    <row r="226" spans="1:1" x14ac:dyDescent="0.25">
      <c r="A226" s="15" t="s">
        <v>2634</v>
      </c>
    </row>
    <row r="227" spans="1:1" x14ac:dyDescent="0.25">
      <c r="A227" s="15" t="s">
        <v>3238</v>
      </c>
    </row>
    <row r="228" spans="1:1" x14ac:dyDescent="0.25">
      <c r="A228" s="15" t="s">
        <v>2920</v>
      </c>
    </row>
    <row r="229" spans="1:1" x14ac:dyDescent="0.25">
      <c r="A229" s="15" t="s">
        <v>2993</v>
      </c>
    </row>
    <row r="230" spans="1:1" x14ac:dyDescent="0.25">
      <c r="A230" s="15" t="s">
        <v>3308</v>
      </c>
    </row>
    <row r="231" spans="1:1" x14ac:dyDescent="0.25">
      <c r="A231" s="15" t="s">
        <v>3253</v>
      </c>
    </row>
    <row r="232" spans="1:1" x14ac:dyDescent="0.25">
      <c r="A232" s="15" t="s">
        <v>3125</v>
      </c>
    </row>
    <row r="233" spans="1:1" x14ac:dyDescent="0.25">
      <c r="A233" s="15" t="s">
        <v>3291</v>
      </c>
    </row>
    <row r="234" spans="1:1" x14ac:dyDescent="0.25">
      <c r="A234" s="15" t="s">
        <v>3162</v>
      </c>
    </row>
    <row r="235" spans="1:1" x14ac:dyDescent="0.25">
      <c r="A235" s="15" t="s">
        <v>3001</v>
      </c>
    </row>
    <row r="236" spans="1:1" x14ac:dyDescent="0.25">
      <c r="A236" s="15" t="s">
        <v>3170</v>
      </c>
    </row>
    <row r="237" spans="1:1" x14ac:dyDescent="0.25">
      <c r="A237" s="15" t="s">
        <v>2880</v>
      </c>
    </row>
    <row r="238" spans="1:1" x14ac:dyDescent="0.25">
      <c r="A238" s="15" t="s">
        <v>3204</v>
      </c>
    </row>
    <row r="239" spans="1:1" x14ac:dyDescent="0.25">
      <c r="A239" s="15" t="s">
        <v>3250</v>
      </c>
    </row>
    <row r="240" spans="1:1" x14ac:dyDescent="0.25">
      <c r="A240" s="15" t="s">
        <v>3256</v>
      </c>
    </row>
    <row r="241" spans="1:1" x14ac:dyDescent="0.25">
      <c r="A241" s="15" t="s">
        <v>2886</v>
      </c>
    </row>
    <row r="242" spans="1:1" x14ac:dyDescent="0.25">
      <c r="A242" s="15" t="s">
        <v>3320</v>
      </c>
    </row>
    <row r="243" spans="1:1" x14ac:dyDescent="0.25">
      <c r="A243" s="15" t="s">
        <v>2979</v>
      </c>
    </row>
    <row r="244" spans="1:1" x14ac:dyDescent="0.25">
      <c r="A244" s="15" t="s">
        <v>3199</v>
      </c>
    </row>
    <row r="245" spans="1:1" x14ac:dyDescent="0.25">
      <c r="A245" s="15" t="s">
        <v>3202</v>
      </c>
    </row>
    <row r="246" spans="1:1" x14ac:dyDescent="0.25">
      <c r="A246" s="15" t="s">
        <v>3030</v>
      </c>
    </row>
    <row r="247" spans="1:1" x14ac:dyDescent="0.25">
      <c r="A247" s="15" t="s">
        <v>3181</v>
      </c>
    </row>
    <row r="248" spans="1:1" x14ac:dyDescent="0.25">
      <c r="A248" s="15" t="s">
        <v>3086</v>
      </c>
    </row>
    <row r="249" spans="1:1" x14ac:dyDescent="0.25">
      <c r="A249" s="15" t="s">
        <v>3155</v>
      </c>
    </row>
    <row r="250" spans="1:1" x14ac:dyDescent="0.25">
      <c r="A250" s="15" t="s">
        <v>2902</v>
      </c>
    </row>
    <row r="251" spans="1:1" x14ac:dyDescent="0.25">
      <c r="A251" s="15" t="s">
        <v>2998</v>
      </c>
    </row>
    <row r="252" spans="1:1" x14ac:dyDescent="0.25">
      <c r="A252" s="15" t="s">
        <v>2961</v>
      </c>
    </row>
    <row r="253" spans="1:1" x14ac:dyDescent="0.25">
      <c r="A253" s="15" t="s">
        <v>2846</v>
      </c>
    </row>
    <row r="254" spans="1:1" x14ac:dyDescent="0.25">
      <c r="A254" s="15" t="s">
        <v>3180</v>
      </c>
    </row>
    <row r="255" spans="1:1" x14ac:dyDescent="0.25">
      <c r="A255" s="15" t="s">
        <v>3111</v>
      </c>
    </row>
    <row r="256" spans="1:1" x14ac:dyDescent="0.25">
      <c r="A256" s="15" t="s">
        <v>3120</v>
      </c>
    </row>
    <row r="257" spans="1:1" x14ac:dyDescent="0.25">
      <c r="A257" s="15" t="s">
        <v>3258</v>
      </c>
    </row>
    <row r="258" spans="1:1" x14ac:dyDescent="0.25">
      <c r="A258" s="15" t="s">
        <v>3317</v>
      </c>
    </row>
    <row r="259" spans="1:1" x14ac:dyDescent="0.25">
      <c r="A259" s="15" t="s">
        <v>2923</v>
      </c>
    </row>
    <row r="260" spans="1:1" x14ac:dyDescent="0.25">
      <c r="A260" s="15" t="s">
        <v>2937</v>
      </c>
    </row>
    <row r="261" spans="1:1" x14ac:dyDescent="0.25">
      <c r="A261" s="15" t="s">
        <v>2919</v>
      </c>
    </row>
    <row r="262" spans="1:1" x14ac:dyDescent="0.25">
      <c r="A262" s="15" t="s">
        <v>3240</v>
      </c>
    </row>
    <row r="263" spans="1:1" x14ac:dyDescent="0.25">
      <c r="A263" s="15" t="s">
        <v>2994</v>
      </c>
    </row>
    <row r="264" spans="1:1" x14ac:dyDescent="0.25">
      <c r="A264" s="15" t="s">
        <v>3198</v>
      </c>
    </row>
    <row r="265" spans="1:1" x14ac:dyDescent="0.25">
      <c r="A265" s="15" t="s">
        <v>2855</v>
      </c>
    </row>
    <row r="266" spans="1:1" x14ac:dyDescent="0.25">
      <c r="A266" s="15" t="s">
        <v>2863</v>
      </c>
    </row>
    <row r="267" spans="1:1" x14ac:dyDescent="0.25">
      <c r="A267" s="15" t="s">
        <v>2890</v>
      </c>
    </row>
    <row r="268" spans="1:1" x14ac:dyDescent="0.25">
      <c r="A268" s="15" t="s">
        <v>3121</v>
      </c>
    </row>
    <row r="269" spans="1:1" x14ac:dyDescent="0.25">
      <c r="A269" s="15" t="s">
        <v>3144</v>
      </c>
    </row>
    <row r="270" spans="1:1" x14ac:dyDescent="0.25">
      <c r="A270" s="15" t="s">
        <v>3124</v>
      </c>
    </row>
    <row r="271" spans="1:1" x14ac:dyDescent="0.25">
      <c r="A271" s="15" t="s">
        <v>3234</v>
      </c>
    </row>
    <row r="272" spans="1:1" x14ac:dyDescent="0.25">
      <c r="A272" s="15" t="s">
        <v>2476</v>
      </c>
    </row>
    <row r="273" spans="1:1" x14ac:dyDescent="0.25">
      <c r="A273" s="15" t="s">
        <v>3295</v>
      </c>
    </row>
    <row r="274" spans="1:1" x14ac:dyDescent="0.25">
      <c r="A274" s="15" t="s">
        <v>3145</v>
      </c>
    </row>
    <row r="275" spans="1:1" x14ac:dyDescent="0.25">
      <c r="A275" s="15" t="s">
        <v>3023</v>
      </c>
    </row>
    <row r="276" spans="1:1" x14ac:dyDescent="0.25">
      <c r="A276" s="15" t="s">
        <v>3079</v>
      </c>
    </row>
    <row r="277" spans="1:1" x14ac:dyDescent="0.25">
      <c r="A277" s="15" t="s">
        <v>3299</v>
      </c>
    </row>
    <row r="278" spans="1:1" x14ac:dyDescent="0.25">
      <c r="A278" s="15" t="s">
        <v>3223</v>
      </c>
    </row>
    <row r="279" spans="1:1" x14ac:dyDescent="0.25">
      <c r="A279" s="15" t="s">
        <v>2899</v>
      </c>
    </row>
    <row r="280" spans="1:1" x14ac:dyDescent="0.25">
      <c r="A280" s="15" t="s">
        <v>3289</v>
      </c>
    </row>
    <row r="281" spans="1:1" x14ac:dyDescent="0.25">
      <c r="A281" s="15" t="s">
        <v>2889</v>
      </c>
    </row>
    <row r="282" spans="1:1" x14ac:dyDescent="0.25">
      <c r="A282" s="15" t="s">
        <v>3033</v>
      </c>
    </row>
    <row r="283" spans="1:1" x14ac:dyDescent="0.25">
      <c r="A283" s="15" t="s">
        <v>3002</v>
      </c>
    </row>
    <row r="284" spans="1:1" x14ac:dyDescent="0.25">
      <c r="A284" s="15" t="s">
        <v>3237</v>
      </c>
    </row>
    <row r="285" spans="1:1" x14ac:dyDescent="0.25">
      <c r="A285" s="15" t="s">
        <v>3178</v>
      </c>
    </row>
    <row r="286" spans="1:1" x14ac:dyDescent="0.25">
      <c r="A286" s="15" t="s">
        <v>2870</v>
      </c>
    </row>
    <row r="287" spans="1:1" x14ac:dyDescent="0.25">
      <c r="A287" s="15" t="s">
        <v>2963</v>
      </c>
    </row>
    <row r="288" spans="1:1" x14ac:dyDescent="0.25">
      <c r="A288" s="15" t="s">
        <v>2859</v>
      </c>
    </row>
    <row r="289" spans="1:1" x14ac:dyDescent="0.25">
      <c r="A289" s="15" t="s">
        <v>2877</v>
      </c>
    </row>
    <row r="290" spans="1:1" x14ac:dyDescent="0.25">
      <c r="A290" s="15" t="s">
        <v>2907</v>
      </c>
    </row>
    <row r="291" spans="1:1" x14ac:dyDescent="0.25">
      <c r="A291" s="15" t="s">
        <v>3094</v>
      </c>
    </row>
    <row r="292" spans="1:1" x14ac:dyDescent="0.25">
      <c r="A292" s="15" t="s">
        <v>2958</v>
      </c>
    </row>
    <row r="293" spans="1:1" x14ac:dyDescent="0.25">
      <c r="A293" s="15" t="s">
        <v>2997</v>
      </c>
    </row>
    <row r="294" spans="1:1" x14ac:dyDescent="0.25">
      <c r="A294" s="15" t="s">
        <v>3173</v>
      </c>
    </row>
    <row r="295" spans="1:1" x14ac:dyDescent="0.25">
      <c r="A295" s="15" t="s">
        <v>2160</v>
      </c>
    </row>
    <row r="296" spans="1:1" x14ac:dyDescent="0.25">
      <c r="A296" s="15" t="s">
        <v>2934</v>
      </c>
    </row>
    <row r="297" spans="1:1" x14ac:dyDescent="0.25">
      <c r="A297" s="15" t="s">
        <v>3205</v>
      </c>
    </row>
    <row r="298" spans="1:1" x14ac:dyDescent="0.25">
      <c r="A298" s="15" t="s">
        <v>3035</v>
      </c>
    </row>
    <row r="299" spans="1:1" x14ac:dyDescent="0.25">
      <c r="A299" s="15" t="s">
        <v>2909</v>
      </c>
    </row>
    <row r="300" spans="1:1" x14ac:dyDescent="0.25">
      <c r="A300" s="15" t="s">
        <v>2856</v>
      </c>
    </row>
    <row r="301" spans="1:1" x14ac:dyDescent="0.25">
      <c r="A301" s="15" t="s">
        <v>2868</v>
      </c>
    </row>
    <row r="302" spans="1:1" x14ac:dyDescent="0.25">
      <c r="A302" s="15" t="s">
        <v>3123</v>
      </c>
    </row>
    <row r="303" spans="1:1" x14ac:dyDescent="0.25">
      <c r="A303" s="15" t="s">
        <v>3110</v>
      </c>
    </row>
    <row r="304" spans="1:1" x14ac:dyDescent="0.25">
      <c r="A304" s="15" t="s">
        <v>3005</v>
      </c>
    </row>
    <row r="305" spans="1:1" x14ac:dyDescent="0.25">
      <c r="A305" s="15" t="s">
        <v>3109</v>
      </c>
    </row>
    <row r="306" spans="1:1" x14ac:dyDescent="0.25">
      <c r="A306" s="15" t="s">
        <v>2952</v>
      </c>
    </row>
    <row r="307" spans="1:1" x14ac:dyDescent="0.25">
      <c r="A307" s="15" t="s">
        <v>3114</v>
      </c>
    </row>
    <row r="308" spans="1:1" x14ac:dyDescent="0.25">
      <c r="A308" s="15" t="s">
        <v>3047</v>
      </c>
    </row>
    <row r="309" spans="1:1" x14ac:dyDescent="0.25">
      <c r="A309" s="15" t="s">
        <v>2922</v>
      </c>
    </row>
    <row r="310" spans="1:1" x14ac:dyDescent="0.25">
      <c r="A310" s="15" t="s">
        <v>3107</v>
      </c>
    </row>
    <row r="311" spans="1:1" x14ac:dyDescent="0.25">
      <c r="A311" s="15" t="s">
        <v>3318</v>
      </c>
    </row>
    <row r="312" spans="1:1" x14ac:dyDescent="0.25">
      <c r="A312" s="15" t="s">
        <v>3004</v>
      </c>
    </row>
    <row r="313" spans="1:1" x14ac:dyDescent="0.25">
      <c r="A313" s="15" t="s">
        <v>3080</v>
      </c>
    </row>
    <row r="314" spans="1:1" x14ac:dyDescent="0.25">
      <c r="A314" s="15" t="s">
        <v>3050</v>
      </c>
    </row>
    <row r="315" spans="1:1" x14ac:dyDescent="0.25">
      <c r="A315" s="15" t="s">
        <v>3312</v>
      </c>
    </row>
    <row r="316" spans="1:1" x14ac:dyDescent="0.25">
      <c r="A316" s="15" t="s">
        <v>2953</v>
      </c>
    </row>
    <row r="317" spans="1:1" x14ac:dyDescent="0.25">
      <c r="A317" s="15" t="s">
        <v>3143</v>
      </c>
    </row>
    <row r="318" spans="1:1" x14ac:dyDescent="0.25">
      <c r="A318" s="15" t="s">
        <v>3304</v>
      </c>
    </row>
    <row r="319" spans="1:1" x14ac:dyDescent="0.25">
      <c r="A319" s="15" t="s">
        <v>2897</v>
      </c>
    </row>
    <row r="320" spans="1:1" x14ac:dyDescent="0.25">
      <c r="A320" s="15" t="s">
        <v>2847</v>
      </c>
    </row>
    <row r="321" spans="1:1" x14ac:dyDescent="0.25">
      <c r="A321" s="15" t="s">
        <v>3166</v>
      </c>
    </row>
    <row r="322" spans="1:1" x14ac:dyDescent="0.25">
      <c r="A322" s="15" t="s">
        <v>3052</v>
      </c>
    </row>
    <row r="323" spans="1:1" x14ac:dyDescent="0.25">
      <c r="A323" s="15" t="s">
        <v>3072</v>
      </c>
    </row>
    <row r="324" spans="1:1" x14ac:dyDescent="0.25">
      <c r="A324" s="15" t="s">
        <v>2927</v>
      </c>
    </row>
    <row r="325" spans="1:1" x14ac:dyDescent="0.25">
      <c r="A325" s="15" t="s">
        <v>3192</v>
      </c>
    </row>
    <row r="326" spans="1:1" x14ac:dyDescent="0.25">
      <c r="A326" s="15" t="s">
        <v>3311</v>
      </c>
    </row>
    <row r="327" spans="1:1" x14ac:dyDescent="0.25">
      <c r="A327" s="15" t="s">
        <v>3131</v>
      </c>
    </row>
    <row r="328" spans="1:1" x14ac:dyDescent="0.25">
      <c r="A328" s="15" t="s">
        <v>3269</v>
      </c>
    </row>
    <row r="329" spans="1:1" x14ac:dyDescent="0.25">
      <c r="A329" s="15" t="s">
        <v>3201</v>
      </c>
    </row>
    <row r="330" spans="1:1" x14ac:dyDescent="0.25">
      <c r="A330" s="15" t="s">
        <v>3055</v>
      </c>
    </row>
    <row r="331" spans="1:1" x14ac:dyDescent="0.25">
      <c r="A331" s="15" t="s">
        <v>3026</v>
      </c>
    </row>
    <row r="332" spans="1:1" x14ac:dyDescent="0.25">
      <c r="A332" s="15" t="s">
        <v>3068</v>
      </c>
    </row>
    <row r="333" spans="1:1" x14ac:dyDescent="0.25">
      <c r="A333" s="15" t="s">
        <v>3264</v>
      </c>
    </row>
    <row r="334" spans="1:1" x14ac:dyDescent="0.25">
      <c r="A334" s="15" t="s">
        <v>3116</v>
      </c>
    </row>
    <row r="335" spans="1:1" x14ac:dyDescent="0.25">
      <c r="A335" s="15" t="s">
        <v>3214</v>
      </c>
    </row>
    <row r="336" spans="1:1" x14ac:dyDescent="0.25">
      <c r="A336" s="15" t="s">
        <v>2898</v>
      </c>
    </row>
    <row r="337" spans="1:1" x14ac:dyDescent="0.25">
      <c r="A337" s="15" t="s">
        <v>3095</v>
      </c>
    </row>
    <row r="338" spans="1:1" x14ac:dyDescent="0.25">
      <c r="A338" s="15" t="s">
        <v>3183</v>
      </c>
    </row>
    <row r="339" spans="1:1" x14ac:dyDescent="0.25">
      <c r="A339" s="15" t="s">
        <v>3061</v>
      </c>
    </row>
    <row r="340" spans="1:1" x14ac:dyDescent="0.25">
      <c r="A340" s="15" t="s">
        <v>2955</v>
      </c>
    </row>
    <row r="341" spans="1:1" x14ac:dyDescent="0.25">
      <c r="A341" s="15" t="s">
        <v>2944</v>
      </c>
    </row>
    <row r="342" spans="1:1" x14ac:dyDescent="0.25">
      <c r="A342" s="15" t="s">
        <v>3027</v>
      </c>
    </row>
    <row r="343" spans="1:1" x14ac:dyDescent="0.25">
      <c r="A343" s="15" t="s">
        <v>2991</v>
      </c>
    </row>
    <row r="344" spans="1:1" x14ac:dyDescent="0.25">
      <c r="A344" s="15" t="s">
        <v>3103</v>
      </c>
    </row>
    <row r="345" spans="1:1" x14ac:dyDescent="0.25">
      <c r="A345" s="15" t="s">
        <v>2971</v>
      </c>
    </row>
    <row r="346" spans="1:1" x14ac:dyDescent="0.25">
      <c r="A346" s="15" t="s">
        <v>460</v>
      </c>
    </row>
    <row r="347" spans="1:1" x14ac:dyDescent="0.25">
      <c r="A347" s="15" t="s">
        <v>3140</v>
      </c>
    </row>
    <row r="348" spans="1:1" x14ac:dyDescent="0.25">
      <c r="A348" s="15" t="s">
        <v>3084</v>
      </c>
    </row>
    <row r="349" spans="1:1" x14ac:dyDescent="0.25">
      <c r="A349" s="15" t="s">
        <v>3203</v>
      </c>
    </row>
    <row r="350" spans="1:1" x14ac:dyDescent="0.25">
      <c r="A350" s="15" t="s">
        <v>3279</v>
      </c>
    </row>
    <row r="351" spans="1:1" x14ac:dyDescent="0.25">
      <c r="A351" s="15" t="s">
        <v>3078</v>
      </c>
    </row>
    <row r="352" spans="1:1" x14ac:dyDescent="0.25">
      <c r="A352" s="15" t="s">
        <v>2881</v>
      </c>
    </row>
    <row r="353" spans="1:1" x14ac:dyDescent="0.25">
      <c r="A353" s="15" t="s">
        <v>2900</v>
      </c>
    </row>
    <row r="354" spans="1:1" x14ac:dyDescent="0.25">
      <c r="A354" s="15" t="s">
        <v>3300</v>
      </c>
    </row>
    <row r="355" spans="1:1" x14ac:dyDescent="0.25">
      <c r="A355" s="15" t="s">
        <v>3230</v>
      </c>
    </row>
    <row r="356" spans="1:1" x14ac:dyDescent="0.25">
      <c r="A356" s="15" t="s">
        <v>2845</v>
      </c>
    </row>
    <row r="357" spans="1:1" x14ac:dyDescent="0.25">
      <c r="A357" s="15" t="s">
        <v>3137</v>
      </c>
    </row>
    <row r="358" spans="1:1" x14ac:dyDescent="0.25">
      <c r="A358" s="15" t="s">
        <v>3122</v>
      </c>
    </row>
    <row r="359" spans="1:1" x14ac:dyDescent="0.25">
      <c r="A359" s="15" t="s">
        <v>2911</v>
      </c>
    </row>
    <row r="360" spans="1:1" x14ac:dyDescent="0.25">
      <c r="A360" s="15" t="s">
        <v>2441</v>
      </c>
    </row>
    <row r="361" spans="1:1" x14ac:dyDescent="0.25">
      <c r="A361" s="15" t="s">
        <v>2912</v>
      </c>
    </row>
    <row r="362" spans="1:1" x14ac:dyDescent="0.25">
      <c r="A362" s="15" t="s">
        <v>2211</v>
      </c>
    </row>
    <row r="363" spans="1:1" x14ac:dyDescent="0.25">
      <c r="A363" s="15" t="s">
        <v>3266</v>
      </c>
    </row>
    <row r="364" spans="1:1" x14ac:dyDescent="0.25">
      <c r="A364" s="15" t="s">
        <v>3245</v>
      </c>
    </row>
    <row r="365" spans="1:1" x14ac:dyDescent="0.25">
      <c r="A365" s="15" t="s">
        <v>2945</v>
      </c>
    </row>
    <row r="366" spans="1:1" x14ac:dyDescent="0.25">
      <c r="A366" s="15" t="s">
        <v>2891</v>
      </c>
    </row>
    <row r="367" spans="1:1" x14ac:dyDescent="0.25">
      <c r="A367" s="15" t="s">
        <v>3236</v>
      </c>
    </row>
    <row r="368" spans="1:1" x14ac:dyDescent="0.25">
      <c r="A368" s="15" t="s">
        <v>3260</v>
      </c>
    </row>
    <row r="369" spans="1:1" x14ac:dyDescent="0.25">
      <c r="A369" s="15" t="s">
        <v>3059</v>
      </c>
    </row>
    <row r="370" spans="1:1" x14ac:dyDescent="0.25">
      <c r="A370" s="15" t="s">
        <v>1219</v>
      </c>
    </row>
    <row r="371" spans="1:1" x14ac:dyDescent="0.25">
      <c r="A371" s="15" t="s">
        <v>2882</v>
      </c>
    </row>
    <row r="372" spans="1:1" x14ac:dyDescent="0.25">
      <c r="A372" s="15" t="s">
        <v>3085</v>
      </c>
    </row>
    <row r="373" spans="1:1" x14ac:dyDescent="0.25">
      <c r="A373" s="15" t="s">
        <v>3048</v>
      </c>
    </row>
    <row r="374" spans="1:1" x14ac:dyDescent="0.25">
      <c r="A374" s="15" t="s">
        <v>3071</v>
      </c>
    </row>
    <row r="375" spans="1:1" x14ac:dyDescent="0.25">
      <c r="A375" s="15" t="s">
        <v>3219</v>
      </c>
    </row>
    <row r="376" spans="1:1" x14ac:dyDescent="0.25">
      <c r="A376" s="15" t="s">
        <v>3043</v>
      </c>
    </row>
    <row r="377" spans="1:1" x14ac:dyDescent="0.25">
      <c r="A377" s="15" t="s">
        <v>2864</v>
      </c>
    </row>
    <row r="378" spans="1:1" x14ac:dyDescent="0.25">
      <c r="A378" s="15" t="s">
        <v>3241</v>
      </c>
    </row>
    <row r="379" spans="1:1" x14ac:dyDescent="0.25">
      <c r="A379" s="15" t="s">
        <v>3165</v>
      </c>
    </row>
    <row r="380" spans="1:1" x14ac:dyDescent="0.25">
      <c r="A380" s="15" t="s">
        <v>3019</v>
      </c>
    </row>
    <row r="381" spans="1:1" x14ac:dyDescent="0.25">
      <c r="A381" s="15" t="s">
        <v>2839</v>
      </c>
    </row>
    <row r="382" spans="1:1" x14ac:dyDescent="0.25">
      <c r="A382" s="15" t="s">
        <v>3267</v>
      </c>
    </row>
    <row r="383" spans="1:1" x14ac:dyDescent="0.25">
      <c r="A383" s="15" t="s">
        <v>3218</v>
      </c>
    </row>
    <row r="384" spans="1:1" x14ac:dyDescent="0.25">
      <c r="A384" s="15" t="s">
        <v>3309</v>
      </c>
    </row>
    <row r="385" spans="1:1" x14ac:dyDescent="0.25">
      <c r="A385" s="15" t="s">
        <v>3303</v>
      </c>
    </row>
    <row r="386" spans="1:1" x14ac:dyDescent="0.25">
      <c r="A386" s="15" t="s">
        <v>3302</v>
      </c>
    </row>
    <row r="387" spans="1:1" x14ac:dyDescent="0.25">
      <c r="A387" s="15" t="s">
        <v>3182</v>
      </c>
    </row>
    <row r="388" spans="1:1" x14ac:dyDescent="0.25">
      <c r="A388" s="15" t="s">
        <v>3174</v>
      </c>
    </row>
    <row r="389" spans="1:1" x14ac:dyDescent="0.25">
      <c r="A389" s="15" t="s">
        <v>3229</v>
      </c>
    </row>
    <row r="390" spans="1:1" x14ac:dyDescent="0.25">
      <c r="A390" s="15" t="s">
        <v>3171</v>
      </c>
    </row>
    <row r="391" spans="1:1" x14ac:dyDescent="0.25">
      <c r="A391" s="15" t="s">
        <v>2982</v>
      </c>
    </row>
    <row r="392" spans="1:1" x14ac:dyDescent="0.25">
      <c r="A392" s="15" t="s">
        <v>3285</v>
      </c>
    </row>
    <row r="393" spans="1:1" x14ac:dyDescent="0.25">
      <c r="A393" s="15" t="s">
        <v>3316</v>
      </c>
    </row>
    <row r="394" spans="1:1" x14ac:dyDescent="0.25">
      <c r="A394" s="15" t="s">
        <v>2867</v>
      </c>
    </row>
    <row r="395" spans="1:1" x14ac:dyDescent="0.25">
      <c r="A395" s="15" t="s">
        <v>3263</v>
      </c>
    </row>
    <row r="396" spans="1:1" x14ac:dyDescent="0.25">
      <c r="A396" s="15" t="s">
        <v>3189</v>
      </c>
    </row>
    <row r="397" spans="1:1" x14ac:dyDescent="0.25">
      <c r="A397" s="15" t="s">
        <v>3073</v>
      </c>
    </row>
    <row r="398" spans="1:1" x14ac:dyDescent="0.25">
      <c r="A398" s="15" t="s">
        <v>2834</v>
      </c>
    </row>
    <row r="399" spans="1:1" x14ac:dyDescent="0.25">
      <c r="A399" s="15" t="s">
        <v>3169</v>
      </c>
    </row>
    <row r="400" spans="1:1" x14ac:dyDescent="0.25">
      <c r="A400" s="15" t="s">
        <v>3231</v>
      </c>
    </row>
    <row r="401" spans="1:1" x14ac:dyDescent="0.25">
      <c r="A401" s="15" t="s">
        <v>3081</v>
      </c>
    </row>
    <row r="402" spans="1:1" x14ac:dyDescent="0.25">
      <c r="A402" s="15" t="s">
        <v>3265</v>
      </c>
    </row>
    <row r="403" spans="1:1" x14ac:dyDescent="0.25">
      <c r="A403" s="15" t="s">
        <v>3220</v>
      </c>
    </row>
    <row r="404" spans="1:1" x14ac:dyDescent="0.25">
      <c r="A404" s="15" t="s">
        <v>2968</v>
      </c>
    </row>
    <row r="405" spans="1:1" x14ac:dyDescent="0.25">
      <c r="A405" s="15" t="s">
        <v>2872</v>
      </c>
    </row>
    <row r="406" spans="1:1" x14ac:dyDescent="0.25">
      <c r="A406" s="15" t="s">
        <v>2865</v>
      </c>
    </row>
    <row r="407" spans="1:1" x14ac:dyDescent="0.25">
      <c r="A407" s="15" t="s">
        <v>3179</v>
      </c>
    </row>
    <row r="408" spans="1:1" x14ac:dyDescent="0.25">
      <c r="A408" s="15" t="s">
        <v>3254</v>
      </c>
    </row>
    <row r="409" spans="1:1" x14ac:dyDescent="0.25">
      <c r="A409" s="15" t="s">
        <v>3021</v>
      </c>
    </row>
    <row r="410" spans="1:1" x14ac:dyDescent="0.25">
      <c r="A410" s="15" t="s">
        <v>3207</v>
      </c>
    </row>
    <row r="411" spans="1:1" x14ac:dyDescent="0.25">
      <c r="A411" s="15" t="s">
        <v>2841</v>
      </c>
    </row>
    <row r="412" spans="1:1" x14ac:dyDescent="0.25">
      <c r="A412" s="15" t="s">
        <v>3029</v>
      </c>
    </row>
    <row r="413" spans="1:1" x14ac:dyDescent="0.25">
      <c r="A413" s="15" t="s">
        <v>2887</v>
      </c>
    </row>
    <row r="414" spans="1:1" x14ac:dyDescent="0.25">
      <c r="A414" s="15" t="s">
        <v>3287</v>
      </c>
    </row>
    <row r="415" spans="1:1" x14ac:dyDescent="0.25">
      <c r="A415" s="15" t="s">
        <v>3018</v>
      </c>
    </row>
    <row r="416" spans="1:1" x14ac:dyDescent="0.25">
      <c r="A416" s="15" t="s">
        <v>3157</v>
      </c>
    </row>
    <row r="417" spans="1:1" x14ac:dyDescent="0.25">
      <c r="A417" s="15" t="s">
        <v>2933</v>
      </c>
    </row>
    <row r="418" spans="1:1" x14ac:dyDescent="0.25">
      <c r="A418" s="15" t="s">
        <v>3077</v>
      </c>
    </row>
    <row r="419" spans="1:1" x14ac:dyDescent="0.25">
      <c r="A419" s="15" t="s">
        <v>2910</v>
      </c>
    </row>
    <row r="420" spans="1:1" x14ac:dyDescent="0.25">
      <c r="A420" s="15" t="s">
        <v>2544</v>
      </c>
    </row>
    <row r="421" spans="1:1" x14ac:dyDescent="0.25">
      <c r="A421" s="15" t="s">
        <v>3104</v>
      </c>
    </row>
    <row r="422" spans="1:1" x14ac:dyDescent="0.25">
      <c r="A422" s="15" t="s">
        <v>3036</v>
      </c>
    </row>
    <row r="423" spans="1:1" x14ac:dyDescent="0.25">
      <c r="A423" s="15" t="s">
        <v>3025</v>
      </c>
    </row>
    <row r="424" spans="1:1" x14ac:dyDescent="0.25">
      <c r="A424" s="15" t="s">
        <v>3020</v>
      </c>
    </row>
    <row r="425" spans="1:1" x14ac:dyDescent="0.25">
      <c r="A425" s="15" t="s">
        <v>3117</v>
      </c>
    </row>
    <row r="426" spans="1:1" x14ac:dyDescent="0.25">
      <c r="A426" s="15" t="s">
        <v>3067</v>
      </c>
    </row>
    <row r="427" spans="1:1" x14ac:dyDescent="0.25">
      <c r="A427" s="15" t="s">
        <v>3297</v>
      </c>
    </row>
    <row r="428" spans="1:1" x14ac:dyDescent="0.25">
      <c r="A428" s="15" t="s">
        <v>2894</v>
      </c>
    </row>
    <row r="429" spans="1:1" x14ac:dyDescent="0.25">
      <c r="A429" s="15" t="s">
        <v>3063</v>
      </c>
    </row>
    <row r="430" spans="1:1" x14ac:dyDescent="0.25">
      <c r="A430" s="15" t="s">
        <v>3243</v>
      </c>
    </row>
    <row r="431" spans="1:1" x14ac:dyDescent="0.25">
      <c r="A431" s="15" t="s">
        <v>2873</v>
      </c>
    </row>
    <row r="432" spans="1:1" x14ac:dyDescent="0.25">
      <c r="A432" s="15" t="s">
        <v>529</v>
      </c>
    </row>
    <row r="433" spans="1:1" x14ac:dyDescent="0.25">
      <c r="A433" s="15" t="s">
        <v>3146</v>
      </c>
    </row>
    <row r="434" spans="1:1" x14ac:dyDescent="0.25">
      <c r="A434" s="15" t="s">
        <v>3293</v>
      </c>
    </row>
    <row r="435" spans="1:1" x14ac:dyDescent="0.25">
      <c r="A435" s="15" t="s">
        <v>2848</v>
      </c>
    </row>
    <row r="436" spans="1:1" x14ac:dyDescent="0.25">
      <c r="A436" s="15" t="s">
        <v>3227</v>
      </c>
    </row>
    <row r="437" spans="1:1" x14ac:dyDescent="0.25">
      <c r="A437" s="15" t="s">
        <v>3000</v>
      </c>
    </row>
    <row r="438" spans="1:1" x14ac:dyDescent="0.25">
      <c r="A438" s="15" t="s">
        <v>3133</v>
      </c>
    </row>
    <row r="439" spans="1:1" x14ac:dyDescent="0.25">
      <c r="A439" s="15" t="s">
        <v>2895</v>
      </c>
    </row>
    <row r="440" spans="1:1" x14ac:dyDescent="0.25">
      <c r="A440" s="15" t="s">
        <v>3006</v>
      </c>
    </row>
    <row r="441" spans="1:1" x14ac:dyDescent="0.25">
      <c r="A441" s="15" t="s">
        <v>3064</v>
      </c>
    </row>
    <row r="442" spans="1:1" x14ac:dyDescent="0.25">
      <c r="A442" s="15" t="s">
        <v>3090</v>
      </c>
    </row>
    <row r="443" spans="1:1" x14ac:dyDescent="0.25">
      <c r="A443" s="15" t="s">
        <v>3185</v>
      </c>
    </row>
    <row r="444" spans="1:1" x14ac:dyDescent="0.25">
      <c r="A444" s="15" t="s">
        <v>3074</v>
      </c>
    </row>
    <row r="445" spans="1:1" x14ac:dyDescent="0.25">
      <c r="A445" s="15" t="s">
        <v>2905</v>
      </c>
    </row>
    <row r="446" spans="1:1" x14ac:dyDescent="0.25">
      <c r="A446" s="15" t="s">
        <v>2906</v>
      </c>
    </row>
    <row r="447" spans="1:1" x14ac:dyDescent="0.25">
      <c r="A447" s="15" t="s">
        <v>3147</v>
      </c>
    </row>
    <row r="448" spans="1:1" x14ac:dyDescent="0.25">
      <c r="A448" s="15" t="s">
        <v>3070</v>
      </c>
    </row>
    <row r="449" spans="1:1" x14ac:dyDescent="0.25">
      <c r="A449" s="15" t="s">
        <v>3315</v>
      </c>
    </row>
    <row r="450" spans="1:1" x14ac:dyDescent="0.25">
      <c r="A450" s="15" t="s">
        <v>3187</v>
      </c>
    </row>
    <row r="451" spans="1:1" x14ac:dyDescent="0.25">
      <c r="A451" s="15" t="s">
        <v>2992</v>
      </c>
    </row>
    <row r="452" spans="1:1" x14ac:dyDescent="0.25">
      <c r="A452" s="15" t="s">
        <v>3058</v>
      </c>
    </row>
    <row r="453" spans="1:1" x14ac:dyDescent="0.25">
      <c r="A453" s="15" t="s">
        <v>86</v>
      </c>
    </row>
    <row r="454" spans="1:1" x14ac:dyDescent="0.25">
      <c r="A454" s="15" t="s">
        <v>2949</v>
      </c>
    </row>
    <row r="455" spans="1:1" x14ac:dyDescent="0.25">
      <c r="A455" s="15" t="s">
        <v>3038</v>
      </c>
    </row>
    <row r="456" spans="1:1" x14ac:dyDescent="0.25">
      <c r="A456" s="15" t="s">
        <v>2950</v>
      </c>
    </row>
    <row r="457" spans="1:1" x14ac:dyDescent="0.25">
      <c r="A457" s="15" t="s">
        <v>2690</v>
      </c>
    </row>
    <row r="458" spans="1:1" x14ac:dyDescent="0.25">
      <c r="A458" s="15" t="s">
        <v>2896</v>
      </c>
    </row>
    <row r="459" spans="1:1" x14ac:dyDescent="0.25">
      <c r="A459" s="15" t="s">
        <v>131</v>
      </c>
    </row>
    <row r="460" spans="1:1" x14ac:dyDescent="0.25">
      <c r="A460" s="15" t="s">
        <v>2917</v>
      </c>
    </row>
    <row r="461" spans="1:1" x14ac:dyDescent="0.25">
      <c r="A461" s="15" t="s">
        <v>2946</v>
      </c>
    </row>
    <row r="462" spans="1:1" x14ac:dyDescent="0.25">
      <c r="A462" s="15" t="s">
        <v>2875</v>
      </c>
    </row>
    <row r="463" spans="1:1" x14ac:dyDescent="0.25">
      <c r="A463" s="15" t="s">
        <v>3057</v>
      </c>
    </row>
    <row r="464" spans="1:1" x14ac:dyDescent="0.25">
      <c r="A464" s="15" t="s">
        <v>3158</v>
      </c>
    </row>
    <row r="465" spans="1:1" x14ac:dyDescent="0.25">
      <c r="A465" s="15" t="s">
        <v>3087</v>
      </c>
    </row>
    <row r="466" spans="1:1" x14ac:dyDescent="0.25">
      <c r="A466" s="15" t="s">
        <v>2914</v>
      </c>
    </row>
    <row r="467" spans="1:1" x14ac:dyDescent="0.25">
      <c r="A467" s="15" t="s">
        <v>2967</v>
      </c>
    </row>
    <row r="468" spans="1:1" x14ac:dyDescent="0.25">
      <c r="A468" s="15" t="s">
        <v>2878</v>
      </c>
    </row>
    <row r="469" spans="1:1" x14ac:dyDescent="0.25">
      <c r="A469" s="15" t="s">
        <v>3273</v>
      </c>
    </row>
    <row r="470" spans="1:1" x14ac:dyDescent="0.25">
      <c r="A470" s="15" t="s">
        <v>2935</v>
      </c>
    </row>
    <row r="471" spans="1:1" x14ac:dyDescent="0.25">
      <c r="A471" s="15" t="s">
        <v>2929</v>
      </c>
    </row>
    <row r="472" spans="1:1" x14ac:dyDescent="0.25">
      <c r="A472" s="15" t="s">
        <v>3270</v>
      </c>
    </row>
    <row r="473" spans="1:1" x14ac:dyDescent="0.25">
      <c r="A473" s="15" t="s">
        <v>3065</v>
      </c>
    </row>
    <row r="474" spans="1:1" x14ac:dyDescent="0.25">
      <c r="A474" s="15" t="s">
        <v>3305</v>
      </c>
    </row>
    <row r="475" spans="1:1" x14ac:dyDescent="0.25">
      <c r="A475" s="15" t="s">
        <v>2892</v>
      </c>
    </row>
    <row r="476" spans="1:1" x14ac:dyDescent="0.25">
      <c r="A476" s="15" t="s">
        <v>2980</v>
      </c>
    </row>
    <row r="477" spans="1:1" x14ac:dyDescent="0.25">
      <c r="A477" s="15" t="s">
        <v>3126</v>
      </c>
    </row>
    <row r="478" spans="1:1" x14ac:dyDescent="0.25">
      <c r="A478" s="15" t="s">
        <v>3306</v>
      </c>
    </row>
    <row r="479" spans="1:1" x14ac:dyDescent="0.25">
      <c r="A479" s="15" t="s">
        <v>3228</v>
      </c>
    </row>
    <row r="480" spans="1:1" x14ac:dyDescent="0.25">
      <c r="A480" s="15" t="s">
        <v>3041</v>
      </c>
    </row>
    <row r="481" spans="1:1" x14ac:dyDescent="0.25">
      <c r="A481" s="15" t="s">
        <v>3193</v>
      </c>
    </row>
    <row r="482" spans="1:1" x14ac:dyDescent="0.25">
      <c r="A482" s="15" t="s">
        <v>2854</v>
      </c>
    </row>
    <row r="483" spans="1:1" x14ac:dyDescent="0.25">
      <c r="A483" s="15" t="s">
        <v>3221</v>
      </c>
    </row>
    <row r="484" spans="1:1" x14ac:dyDescent="0.25">
      <c r="A484" s="15" t="s">
        <v>3262</v>
      </c>
    </row>
    <row r="485" spans="1:1" x14ac:dyDescent="0.25">
      <c r="A485" s="15" t="s">
        <v>3257</v>
      </c>
    </row>
    <row r="486" spans="1:1" x14ac:dyDescent="0.25">
      <c r="A486" s="15" t="s">
        <v>3168</v>
      </c>
    </row>
    <row r="487" spans="1:1" x14ac:dyDescent="0.25">
      <c r="A487" s="15" t="s">
        <v>3194</v>
      </c>
    </row>
    <row r="488" spans="1:1" x14ac:dyDescent="0.25">
      <c r="A488" s="15" t="s">
        <v>3066</v>
      </c>
    </row>
    <row r="489" spans="1:1" x14ac:dyDescent="0.25">
      <c r="A489" s="15" t="s">
        <v>2972</v>
      </c>
    </row>
    <row r="490" spans="1:1" x14ac:dyDescent="0.25">
      <c r="A490" s="15" t="s">
        <v>3271</v>
      </c>
    </row>
    <row r="491" spans="1:1" x14ac:dyDescent="0.25">
      <c r="A491" s="15" t="s">
        <v>3164</v>
      </c>
    </row>
    <row r="492" spans="1:1" x14ac:dyDescent="0.25">
      <c r="A492" s="15" t="s">
        <v>3153</v>
      </c>
    </row>
    <row r="493" spans="1:1" x14ac:dyDescent="0.25">
      <c r="A493" s="15" t="s">
        <v>2957</v>
      </c>
    </row>
    <row r="494" spans="1:1" x14ac:dyDescent="0.25">
      <c r="A494" s="15" t="s">
        <v>3148</v>
      </c>
    </row>
    <row r="495" spans="1:1" x14ac:dyDescent="0.25">
      <c r="A495" s="15" t="s">
        <v>2874</v>
      </c>
    </row>
    <row r="496" spans="1:1" x14ac:dyDescent="0.25">
      <c r="A496" s="15" t="s">
        <v>3188</v>
      </c>
    </row>
    <row r="497" spans="1:1" x14ac:dyDescent="0.25">
      <c r="A497" s="15" t="s">
        <v>3034</v>
      </c>
    </row>
    <row r="498" spans="1:1" x14ac:dyDescent="0.25">
      <c r="A498" s="15" t="s">
        <v>3268</v>
      </c>
    </row>
    <row r="499" spans="1:1" x14ac:dyDescent="0.25">
      <c r="A499" s="15" t="s">
        <v>3281</v>
      </c>
    </row>
    <row r="500" spans="1:1" x14ac:dyDescent="0.25">
      <c r="A500" s="15" t="s">
        <v>3151</v>
      </c>
    </row>
    <row r="501" spans="1:1" x14ac:dyDescent="0.25">
      <c r="A501" s="15" t="s">
        <v>3246</v>
      </c>
    </row>
    <row r="502" spans="1:1" x14ac:dyDescent="0.25">
      <c r="A502" s="15" t="s">
        <v>3307</v>
      </c>
    </row>
    <row r="503" spans="1:1" x14ac:dyDescent="0.25">
      <c r="A503" s="15" t="s">
        <v>3040</v>
      </c>
    </row>
    <row r="504" spans="1:1" x14ac:dyDescent="0.25">
      <c r="A504" s="15" t="s">
        <v>2869</v>
      </c>
    </row>
    <row r="505" spans="1:1" x14ac:dyDescent="0.25">
      <c r="A505" s="15" t="s">
        <v>3100</v>
      </c>
    </row>
    <row r="506" spans="1:1" x14ac:dyDescent="0.25">
      <c r="A506" s="15" t="s">
        <v>1313</v>
      </c>
    </row>
    <row r="507" spans="1:1" x14ac:dyDescent="0.25">
      <c r="A507" s="15" t="s">
        <v>3244</v>
      </c>
    </row>
    <row r="508" spans="1:1" x14ac:dyDescent="0.25">
      <c r="A508" s="15" t="s">
        <v>2866</v>
      </c>
    </row>
    <row r="509" spans="1:1" x14ac:dyDescent="0.25">
      <c r="A509" s="15" t="s">
        <v>2985</v>
      </c>
    </row>
    <row r="510" spans="1:1" x14ac:dyDescent="0.25">
      <c r="A510" s="15" t="s">
        <v>3186</v>
      </c>
    </row>
    <row r="511" spans="1:1" x14ac:dyDescent="0.25">
      <c r="A511" s="15" t="s">
        <v>2759</v>
      </c>
    </row>
    <row r="512" spans="1:1" x14ac:dyDescent="0.25">
      <c r="A512" s="15" t="s">
        <v>2913</v>
      </c>
    </row>
    <row r="513" spans="1:1" x14ac:dyDescent="0.25">
      <c r="A513" s="15" t="s">
        <v>3191</v>
      </c>
    </row>
    <row r="514" spans="1:1" x14ac:dyDescent="0.25">
      <c r="A514" s="15" t="s">
        <v>2908</v>
      </c>
    </row>
    <row r="515" spans="1:1" x14ac:dyDescent="0.25">
      <c r="A515" s="15" t="s">
        <v>3235</v>
      </c>
    </row>
    <row r="516" spans="1:1" x14ac:dyDescent="0.25">
      <c r="A516" s="15" t="s">
        <v>3089</v>
      </c>
    </row>
    <row r="517" spans="1:1" x14ac:dyDescent="0.25">
      <c r="A517" s="15" t="s">
        <v>3013</v>
      </c>
    </row>
    <row r="518" spans="1:1" x14ac:dyDescent="0.25">
      <c r="A518" s="15" t="s">
        <v>3232</v>
      </c>
    </row>
    <row r="519" spans="1:1" x14ac:dyDescent="0.25">
      <c r="A519" s="15" t="s">
        <v>3216</v>
      </c>
    </row>
    <row r="520" spans="1:1" x14ac:dyDescent="0.25">
      <c r="A520" s="15" t="s">
        <v>13095</v>
      </c>
    </row>
    <row r="521" spans="1:1" x14ac:dyDescent="0.25">
      <c r="A521" s="15" t="s">
        <v>13096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BBE4-CFA9-4723-8FB3-753D829F4B60}">
  <dimension ref="A1:B521"/>
  <sheetViews>
    <sheetView workbookViewId="0">
      <selection activeCell="B1" sqref="B1:B1048576"/>
    </sheetView>
  </sheetViews>
  <sheetFormatPr baseColWidth="10" defaultRowHeight="15" x14ac:dyDescent="0.25"/>
  <cols>
    <col min="1" max="1" width="8.28515625" bestFit="1" customWidth="1"/>
    <col min="2" max="2" width="5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tr">
        <f>"300001"</f>
        <v>300001</v>
      </c>
      <c r="B2" t="s">
        <v>2834</v>
      </c>
    </row>
    <row r="3" spans="1:2" x14ac:dyDescent="0.25">
      <c r="A3" t="str">
        <f>"300002"</f>
        <v>300002</v>
      </c>
      <c r="B3" t="s">
        <v>2835</v>
      </c>
    </row>
    <row r="4" spans="1:2" x14ac:dyDescent="0.25">
      <c r="A4" t="str">
        <f>"300003"</f>
        <v>300003</v>
      </c>
      <c r="B4" t="s">
        <v>2836</v>
      </c>
    </row>
    <row r="5" spans="1:2" x14ac:dyDescent="0.25">
      <c r="A5" t="str">
        <f>"300004"</f>
        <v>300004</v>
      </c>
      <c r="B5" t="s">
        <v>2837</v>
      </c>
    </row>
    <row r="6" spans="1:2" x14ac:dyDescent="0.25">
      <c r="A6" t="str">
        <f>"300005"</f>
        <v>300005</v>
      </c>
      <c r="B6" t="s">
        <v>2838</v>
      </c>
    </row>
    <row r="7" spans="1:2" x14ac:dyDescent="0.25">
      <c r="A7" t="str">
        <f>"300006"</f>
        <v>300006</v>
      </c>
      <c r="B7" t="s">
        <v>2839</v>
      </c>
    </row>
    <row r="8" spans="1:2" x14ac:dyDescent="0.25">
      <c r="A8" t="str">
        <f>"300007"</f>
        <v>300007</v>
      </c>
      <c r="B8" t="s">
        <v>2840</v>
      </c>
    </row>
    <row r="9" spans="1:2" x14ac:dyDescent="0.25">
      <c r="A9" t="str">
        <f>"300008"</f>
        <v>300008</v>
      </c>
      <c r="B9" t="s">
        <v>2841</v>
      </c>
    </row>
    <row r="10" spans="1:2" x14ac:dyDescent="0.25">
      <c r="A10" t="str">
        <f>"3000086"</f>
        <v>3000086</v>
      </c>
      <c r="B10" t="s">
        <v>2842</v>
      </c>
    </row>
    <row r="11" spans="1:2" x14ac:dyDescent="0.25">
      <c r="A11" t="str">
        <f>"3000087"</f>
        <v>3000087</v>
      </c>
      <c r="B11" t="s">
        <v>2843</v>
      </c>
    </row>
    <row r="12" spans="1:2" x14ac:dyDescent="0.25">
      <c r="A12" t="str">
        <f>"300009"</f>
        <v>300009</v>
      </c>
      <c r="B12" t="s">
        <v>2844</v>
      </c>
    </row>
    <row r="13" spans="1:2" x14ac:dyDescent="0.25">
      <c r="A13" t="str">
        <f>"300010"</f>
        <v>300010</v>
      </c>
      <c r="B13" t="s">
        <v>2845</v>
      </c>
    </row>
    <row r="14" spans="1:2" x14ac:dyDescent="0.25">
      <c r="A14" t="str">
        <f>"300011"</f>
        <v>300011</v>
      </c>
      <c r="B14" t="s">
        <v>1991</v>
      </c>
    </row>
    <row r="15" spans="1:2" x14ac:dyDescent="0.25">
      <c r="A15" t="str">
        <f>"300012"</f>
        <v>300012</v>
      </c>
      <c r="B15" t="s">
        <v>967</v>
      </c>
    </row>
    <row r="16" spans="1:2" x14ac:dyDescent="0.25">
      <c r="A16" t="str">
        <f>"300013"</f>
        <v>300013</v>
      </c>
      <c r="B16" t="s">
        <v>2846</v>
      </c>
    </row>
    <row r="17" spans="1:2" x14ac:dyDescent="0.25">
      <c r="A17" t="str">
        <f>"300014"</f>
        <v>300014</v>
      </c>
      <c r="B17" t="s">
        <v>2847</v>
      </c>
    </row>
    <row r="18" spans="1:2" x14ac:dyDescent="0.25">
      <c r="A18" t="str">
        <f>"300015"</f>
        <v>300015</v>
      </c>
      <c r="B18" t="s">
        <v>2848</v>
      </c>
    </row>
    <row r="19" spans="1:2" x14ac:dyDescent="0.25">
      <c r="A19" t="str">
        <f>"300016"</f>
        <v>300016</v>
      </c>
      <c r="B19" t="s">
        <v>2849</v>
      </c>
    </row>
    <row r="20" spans="1:2" x14ac:dyDescent="0.25">
      <c r="A20" t="str">
        <f>"300017"</f>
        <v>300017</v>
      </c>
      <c r="B20" t="s">
        <v>2850</v>
      </c>
    </row>
    <row r="21" spans="1:2" x14ac:dyDescent="0.25">
      <c r="A21" t="str">
        <f>"300018"</f>
        <v>300018</v>
      </c>
      <c r="B21" t="s">
        <v>2851</v>
      </c>
    </row>
    <row r="22" spans="1:2" x14ac:dyDescent="0.25">
      <c r="A22" t="str">
        <f>"300019"</f>
        <v>300019</v>
      </c>
      <c r="B22" t="s">
        <v>2852</v>
      </c>
    </row>
    <row r="23" spans="1:2" x14ac:dyDescent="0.25">
      <c r="A23" t="str">
        <f>"300020"</f>
        <v>300020</v>
      </c>
      <c r="B23" t="s">
        <v>2853</v>
      </c>
    </row>
    <row r="24" spans="1:2" x14ac:dyDescent="0.25">
      <c r="A24" t="str">
        <f>"300021"</f>
        <v>300021</v>
      </c>
      <c r="B24" t="s">
        <v>2854</v>
      </c>
    </row>
    <row r="25" spans="1:2" x14ac:dyDescent="0.25">
      <c r="A25" t="str">
        <f>"300022"</f>
        <v>300022</v>
      </c>
      <c r="B25" t="s">
        <v>2855</v>
      </c>
    </row>
    <row r="26" spans="1:2" x14ac:dyDescent="0.25">
      <c r="A26" t="str">
        <f>"300023"</f>
        <v>300023</v>
      </c>
      <c r="B26" t="s">
        <v>2856</v>
      </c>
    </row>
    <row r="27" spans="1:2" x14ac:dyDescent="0.25">
      <c r="A27" t="str">
        <f>"300024"</f>
        <v>300024</v>
      </c>
      <c r="B27" t="s">
        <v>2857</v>
      </c>
    </row>
    <row r="28" spans="1:2" x14ac:dyDescent="0.25">
      <c r="A28" t="str">
        <f>"300025"</f>
        <v>300025</v>
      </c>
      <c r="B28" t="s">
        <v>2858</v>
      </c>
    </row>
    <row r="29" spans="1:2" x14ac:dyDescent="0.25">
      <c r="A29" t="str">
        <f>"300026"</f>
        <v>300026</v>
      </c>
      <c r="B29" t="s">
        <v>2859</v>
      </c>
    </row>
    <row r="30" spans="1:2" x14ac:dyDescent="0.25">
      <c r="A30" t="str">
        <f>"300027"</f>
        <v>300027</v>
      </c>
      <c r="B30" t="s">
        <v>2860</v>
      </c>
    </row>
    <row r="31" spans="1:2" x14ac:dyDescent="0.25">
      <c r="A31" t="str">
        <f>"300028"</f>
        <v>300028</v>
      </c>
      <c r="B31" t="s">
        <v>2861</v>
      </c>
    </row>
    <row r="32" spans="1:2" x14ac:dyDescent="0.25">
      <c r="A32" t="str">
        <f>"300029"</f>
        <v>300029</v>
      </c>
      <c r="B32" t="s">
        <v>2862</v>
      </c>
    </row>
    <row r="33" spans="1:2" x14ac:dyDescent="0.25">
      <c r="A33" t="str">
        <f>"300030"</f>
        <v>300030</v>
      </c>
      <c r="B33" t="s">
        <v>2863</v>
      </c>
    </row>
    <row r="34" spans="1:2" x14ac:dyDescent="0.25">
      <c r="A34" t="str">
        <f>"300031"</f>
        <v>300031</v>
      </c>
      <c r="B34" t="s">
        <v>2864</v>
      </c>
    </row>
    <row r="35" spans="1:2" x14ac:dyDescent="0.25">
      <c r="A35" t="str">
        <f>"300032"</f>
        <v>300032</v>
      </c>
      <c r="B35" t="s">
        <v>2865</v>
      </c>
    </row>
    <row r="36" spans="1:2" x14ac:dyDescent="0.25">
      <c r="A36" t="str">
        <f>"300033"</f>
        <v>300033</v>
      </c>
      <c r="B36" t="s">
        <v>2866</v>
      </c>
    </row>
    <row r="37" spans="1:2" x14ac:dyDescent="0.25">
      <c r="A37" t="str">
        <f>"300034"</f>
        <v>300034</v>
      </c>
      <c r="B37" t="s">
        <v>2867</v>
      </c>
    </row>
    <row r="38" spans="1:2" x14ac:dyDescent="0.25">
      <c r="A38" t="str">
        <f>"300035"</f>
        <v>300035</v>
      </c>
      <c r="B38" t="s">
        <v>2868</v>
      </c>
    </row>
    <row r="39" spans="1:2" x14ac:dyDescent="0.25">
      <c r="A39" t="str">
        <f>"300036"</f>
        <v>300036</v>
      </c>
      <c r="B39" t="s">
        <v>2869</v>
      </c>
    </row>
    <row r="40" spans="1:2" x14ac:dyDescent="0.25">
      <c r="A40" t="str">
        <f>"300037"</f>
        <v>300037</v>
      </c>
      <c r="B40" t="s">
        <v>2870</v>
      </c>
    </row>
    <row r="41" spans="1:2" x14ac:dyDescent="0.25">
      <c r="A41" t="str">
        <f>"300038"</f>
        <v>300038</v>
      </c>
      <c r="B41" t="s">
        <v>2871</v>
      </c>
    </row>
    <row r="42" spans="1:2" x14ac:dyDescent="0.25">
      <c r="A42" t="str">
        <f>"300039"</f>
        <v>300039</v>
      </c>
      <c r="B42" t="s">
        <v>2872</v>
      </c>
    </row>
    <row r="43" spans="1:2" x14ac:dyDescent="0.25">
      <c r="A43" t="str">
        <f>"300040"</f>
        <v>300040</v>
      </c>
      <c r="B43" t="s">
        <v>2873</v>
      </c>
    </row>
    <row r="44" spans="1:2" x14ac:dyDescent="0.25">
      <c r="A44" t="str">
        <f>"300041"</f>
        <v>300041</v>
      </c>
      <c r="B44" t="s">
        <v>2874</v>
      </c>
    </row>
    <row r="45" spans="1:2" x14ac:dyDescent="0.25">
      <c r="A45" t="str">
        <f>"300042"</f>
        <v>300042</v>
      </c>
      <c r="B45" t="s">
        <v>2875</v>
      </c>
    </row>
    <row r="46" spans="1:2" x14ac:dyDescent="0.25">
      <c r="A46" t="str">
        <f>"300043"</f>
        <v>300043</v>
      </c>
      <c r="B46" t="s">
        <v>2876</v>
      </c>
    </row>
    <row r="47" spans="1:2" x14ac:dyDescent="0.25">
      <c r="A47" t="str">
        <f>"300044"</f>
        <v>300044</v>
      </c>
      <c r="B47" t="s">
        <v>2877</v>
      </c>
    </row>
    <row r="48" spans="1:2" x14ac:dyDescent="0.25">
      <c r="A48" t="str">
        <f>"300045"</f>
        <v>300045</v>
      </c>
      <c r="B48" t="s">
        <v>2878</v>
      </c>
    </row>
    <row r="49" spans="1:2" x14ac:dyDescent="0.25">
      <c r="A49" t="str">
        <f>"300046"</f>
        <v>300046</v>
      </c>
      <c r="B49" t="s">
        <v>2879</v>
      </c>
    </row>
    <row r="50" spans="1:2" x14ac:dyDescent="0.25">
      <c r="A50" t="str">
        <f>"300047"</f>
        <v>300047</v>
      </c>
      <c r="B50" t="s">
        <v>2880</v>
      </c>
    </row>
    <row r="51" spans="1:2" x14ac:dyDescent="0.25">
      <c r="A51" t="str">
        <f>"300048"</f>
        <v>300048</v>
      </c>
      <c r="B51" t="s">
        <v>2881</v>
      </c>
    </row>
    <row r="52" spans="1:2" x14ac:dyDescent="0.25">
      <c r="A52" t="str">
        <f>"300049"</f>
        <v>300049</v>
      </c>
      <c r="B52" t="s">
        <v>2882</v>
      </c>
    </row>
    <row r="53" spans="1:2" x14ac:dyDescent="0.25">
      <c r="A53" t="str">
        <f>"300050"</f>
        <v>300050</v>
      </c>
      <c r="B53" t="s">
        <v>2883</v>
      </c>
    </row>
    <row r="54" spans="1:2" x14ac:dyDescent="0.25">
      <c r="A54" t="str">
        <f>"300051"</f>
        <v>300051</v>
      </c>
      <c r="B54" t="s">
        <v>2884</v>
      </c>
    </row>
    <row r="55" spans="1:2" x14ac:dyDescent="0.25">
      <c r="A55" t="str">
        <f>"300052"</f>
        <v>300052</v>
      </c>
      <c r="B55" t="s">
        <v>2885</v>
      </c>
    </row>
    <row r="56" spans="1:2" x14ac:dyDescent="0.25">
      <c r="A56" t="str">
        <f>"300053"</f>
        <v>300053</v>
      </c>
      <c r="B56" t="s">
        <v>2886</v>
      </c>
    </row>
    <row r="57" spans="1:2" x14ac:dyDescent="0.25">
      <c r="A57" t="str">
        <f>"300054"</f>
        <v>300054</v>
      </c>
      <c r="B57" t="s">
        <v>2887</v>
      </c>
    </row>
    <row r="58" spans="1:2" x14ac:dyDescent="0.25">
      <c r="A58" t="str">
        <f>"300055"</f>
        <v>300055</v>
      </c>
      <c r="B58" t="s">
        <v>2888</v>
      </c>
    </row>
    <row r="59" spans="1:2" x14ac:dyDescent="0.25">
      <c r="A59" t="str">
        <f>"300056"</f>
        <v>300056</v>
      </c>
      <c r="B59" t="s">
        <v>2889</v>
      </c>
    </row>
    <row r="60" spans="1:2" x14ac:dyDescent="0.25">
      <c r="A60" t="str">
        <f>"300057"</f>
        <v>300057</v>
      </c>
      <c r="B60" t="s">
        <v>2890</v>
      </c>
    </row>
    <row r="61" spans="1:2" x14ac:dyDescent="0.25">
      <c r="A61" t="str">
        <f>"300058"</f>
        <v>300058</v>
      </c>
      <c r="B61" t="s">
        <v>2891</v>
      </c>
    </row>
    <row r="62" spans="1:2" x14ac:dyDescent="0.25">
      <c r="A62" t="str">
        <f>"300059"</f>
        <v>300059</v>
      </c>
      <c r="B62" t="s">
        <v>1630</v>
      </c>
    </row>
    <row r="63" spans="1:2" x14ac:dyDescent="0.25">
      <c r="A63" t="str">
        <f>"300060"</f>
        <v>300060</v>
      </c>
      <c r="B63" t="s">
        <v>2892</v>
      </c>
    </row>
    <row r="64" spans="1:2" x14ac:dyDescent="0.25">
      <c r="A64" t="str">
        <f>"300061"</f>
        <v>300061</v>
      </c>
      <c r="B64" t="s">
        <v>2893</v>
      </c>
    </row>
    <row r="65" spans="1:2" x14ac:dyDescent="0.25">
      <c r="A65" t="str">
        <f>"300062"</f>
        <v>300062</v>
      </c>
      <c r="B65" t="s">
        <v>2894</v>
      </c>
    </row>
    <row r="66" spans="1:2" x14ac:dyDescent="0.25">
      <c r="A66" t="str">
        <f>"300063"</f>
        <v>300063</v>
      </c>
      <c r="B66" t="s">
        <v>2895</v>
      </c>
    </row>
    <row r="67" spans="1:2" x14ac:dyDescent="0.25">
      <c r="A67" t="str">
        <f>"300064"</f>
        <v>300064</v>
      </c>
      <c r="B67" t="s">
        <v>2896</v>
      </c>
    </row>
    <row r="68" spans="1:2" x14ac:dyDescent="0.25">
      <c r="A68" t="str">
        <f>"300065"</f>
        <v>300065</v>
      </c>
      <c r="B68" t="s">
        <v>2897</v>
      </c>
    </row>
    <row r="69" spans="1:2" x14ac:dyDescent="0.25">
      <c r="A69" t="str">
        <f>"300066"</f>
        <v>300066</v>
      </c>
      <c r="B69" t="s">
        <v>2898</v>
      </c>
    </row>
    <row r="70" spans="1:2" x14ac:dyDescent="0.25">
      <c r="A70" t="str">
        <f>"300067"</f>
        <v>300067</v>
      </c>
      <c r="B70" t="s">
        <v>2899</v>
      </c>
    </row>
    <row r="71" spans="1:2" x14ac:dyDescent="0.25">
      <c r="A71" t="str">
        <f>"300068"</f>
        <v>300068</v>
      </c>
      <c r="B71" t="s">
        <v>1219</v>
      </c>
    </row>
    <row r="72" spans="1:2" x14ac:dyDescent="0.25">
      <c r="A72" t="str">
        <f>"300069"</f>
        <v>300069</v>
      </c>
      <c r="B72" t="s">
        <v>1258</v>
      </c>
    </row>
    <row r="73" spans="1:2" x14ac:dyDescent="0.25">
      <c r="A73" t="str">
        <f>"300070"</f>
        <v>300070</v>
      </c>
      <c r="B73" t="s">
        <v>2900</v>
      </c>
    </row>
    <row r="74" spans="1:2" x14ac:dyDescent="0.25">
      <c r="A74" t="str">
        <f>"300071"</f>
        <v>300071</v>
      </c>
      <c r="B74" t="s">
        <v>460</v>
      </c>
    </row>
    <row r="75" spans="1:2" x14ac:dyDescent="0.25">
      <c r="A75" t="str">
        <f>"300072"</f>
        <v>300072</v>
      </c>
      <c r="B75" t="s">
        <v>2901</v>
      </c>
    </row>
    <row r="76" spans="1:2" x14ac:dyDescent="0.25">
      <c r="A76" t="str">
        <f>"300073"</f>
        <v>300073</v>
      </c>
      <c r="B76" t="s">
        <v>2902</v>
      </c>
    </row>
    <row r="77" spans="1:2" x14ac:dyDescent="0.25">
      <c r="A77" t="str">
        <f>"300074"</f>
        <v>300074</v>
      </c>
      <c r="B77" t="s">
        <v>2903</v>
      </c>
    </row>
    <row r="78" spans="1:2" x14ac:dyDescent="0.25">
      <c r="A78" t="str">
        <f>"300075"</f>
        <v>300075</v>
      </c>
      <c r="B78" t="s">
        <v>2904</v>
      </c>
    </row>
    <row r="79" spans="1:2" x14ac:dyDescent="0.25">
      <c r="A79" t="str">
        <f>"300076"</f>
        <v>300076</v>
      </c>
      <c r="B79" t="s">
        <v>2905</v>
      </c>
    </row>
    <row r="80" spans="1:2" x14ac:dyDescent="0.25">
      <c r="A80" t="str">
        <f>"300077"</f>
        <v>300077</v>
      </c>
      <c r="B80" t="s">
        <v>154</v>
      </c>
    </row>
    <row r="81" spans="1:2" x14ac:dyDescent="0.25">
      <c r="A81" t="str">
        <f>"300078"</f>
        <v>300078</v>
      </c>
      <c r="B81" t="s">
        <v>2662</v>
      </c>
    </row>
    <row r="82" spans="1:2" x14ac:dyDescent="0.25">
      <c r="A82" t="str">
        <f>"300079"</f>
        <v>300079</v>
      </c>
      <c r="B82" t="s">
        <v>2906</v>
      </c>
    </row>
    <row r="83" spans="1:2" x14ac:dyDescent="0.25">
      <c r="A83" t="str">
        <f>"300080"</f>
        <v>300080</v>
      </c>
      <c r="B83" t="s">
        <v>2907</v>
      </c>
    </row>
    <row r="84" spans="1:2" x14ac:dyDescent="0.25">
      <c r="A84" t="str">
        <f>"300081"</f>
        <v>300081</v>
      </c>
      <c r="B84" t="s">
        <v>2045</v>
      </c>
    </row>
    <row r="85" spans="1:2" x14ac:dyDescent="0.25">
      <c r="A85" t="str">
        <f>"300082"</f>
        <v>300082</v>
      </c>
      <c r="B85" t="s">
        <v>2908</v>
      </c>
    </row>
    <row r="86" spans="1:2" x14ac:dyDescent="0.25">
      <c r="A86" t="str">
        <f>"300083"</f>
        <v>300083</v>
      </c>
      <c r="B86" t="s">
        <v>2909</v>
      </c>
    </row>
    <row r="87" spans="1:2" x14ac:dyDescent="0.25">
      <c r="A87" t="str">
        <f>"300084"</f>
        <v>300084</v>
      </c>
      <c r="B87" t="s">
        <v>2910</v>
      </c>
    </row>
    <row r="88" spans="1:2" x14ac:dyDescent="0.25">
      <c r="A88" t="str">
        <f>"300085"</f>
        <v>300085</v>
      </c>
      <c r="B88" t="s">
        <v>2911</v>
      </c>
    </row>
    <row r="89" spans="1:2" x14ac:dyDescent="0.25">
      <c r="A89" t="str">
        <f>"300086"</f>
        <v>300086</v>
      </c>
      <c r="B89" t="s">
        <v>2912</v>
      </c>
    </row>
    <row r="90" spans="1:2" x14ac:dyDescent="0.25">
      <c r="A90" t="str">
        <f>"300087"</f>
        <v>300087</v>
      </c>
      <c r="B90" t="s">
        <v>2913</v>
      </c>
    </row>
    <row r="91" spans="1:2" x14ac:dyDescent="0.25">
      <c r="A91" t="str">
        <f>"300088"</f>
        <v>300088</v>
      </c>
      <c r="B91" t="s">
        <v>2914</v>
      </c>
    </row>
    <row r="92" spans="1:2" x14ac:dyDescent="0.25">
      <c r="A92" t="str">
        <f>"300089"</f>
        <v>300089</v>
      </c>
      <c r="B92" t="s">
        <v>2915</v>
      </c>
    </row>
    <row r="93" spans="1:2" x14ac:dyDescent="0.25">
      <c r="A93" t="str">
        <f>"300090"</f>
        <v>300090</v>
      </c>
      <c r="B93" t="s">
        <v>2916</v>
      </c>
    </row>
    <row r="94" spans="1:2" x14ac:dyDescent="0.25">
      <c r="A94" t="str">
        <f>"300091"</f>
        <v>300091</v>
      </c>
      <c r="B94" t="s">
        <v>2917</v>
      </c>
    </row>
    <row r="95" spans="1:2" x14ac:dyDescent="0.25">
      <c r="A95" t="str">
        <f>"300092"</f>
        <v>300092</v>
      </c>
      <c r="B95" t="s">
        <v>2160</v>
      </c>
    </row>
    <row r="96" spans="1:2" x14ac:dyDescent="0.25">
      <c r="A96" t="str">
        <f>"300093"</f>
        <v>300093</v>
      </c>
      <c r="B96" t="s">
        <v>2918</v>
      </c>
    </row>
    <row r="97" spans="1:2" x14ac:dyDescent="0.25">
      <c r="A97" t="str">
        <f>"300094"</f>
        <v>300094</v>
      </c>
      <c r="B97" t="s">
        <v>2919</v>
      </c>
    </row>
    <row r="98" spans="1:2" x14ac:dyDescent="0.25">
      <c r="A98" t="str">
        <f>"300095"</f>
        <v>300095</v>
      </c>
      <c r="B98" t="s">
        <v>2920</v>
      </c>
    </row>
    <row r="99" spans="1:2" x14ac:dyDescent="0.25">
      <c r="A99" t="str">
        <f>"300096"</f>
        <v>300096</v>
      </c>
      <c r="B99" t="s">
        <v>2921</v>
      </c>
    </row>
    <row r="100" spans="1:2" x14ac:dyDescent="0.25">
      <c r="A100" t="str">
        <f>"300097"</f>
        <v>300097</v>
      </c>
      <c r="B100" t="s">
        <v>2922</v>
      </c>
    </row>
    <row r="101" spans="1:2" x14ac:dyDescent="0.25">
      <c r="A101" t="str">
        <f>"300098"</f>
        <v>300098</v>
      </c>
      <c r="B101" t="s">
        <v>2923</v>
      </c>
    </row>
    <row r="102" spans="1:2" x14ac:dyDescent="0.25">
      <c r="A102" t="str">
        <f>"300099"</f>
        <v>300099</v>
      </c>
      <c r="B102" t="s">
        <v>2924</v>
      </c>
    </row>
    <row r="103" spans="1:2" x14ac:dyDescent="0.25">
      <c r="A103" t="str">
        <f>"300100"</f>
        <v>300100</v>
      </c>
      <c r="B103" t="s">
        <v>2925</v>
      </c>
    </row>
    <row r="104" spans="1:2" x14ac:dyDescent="0.25">
      <c r="A104" t="str">
        <f>"300101"</f>
        <v>300101</v>
      </c>
      <c r="B104" t="s">
        <v>2926</v>
      </c>
    </row>
    <row r="105" spans="1:2" x14ac:dyDescent="0.25">
      <c r="A105" t="str">
        <f>"300102"</f>
        <v>300102</v>
      </c>
      <c r="B105" t="s">
        <v>2927</v>
      </c>
    </row>
    <row r="106" spans="1:2" x14ac:dyDescent="0.25">
      <c r="A106" t="str">
        <f>"300103"</f>
        <v>300103</v>
      </c>
      <c r="B106" t="s">
        <v>2928</v>
      </c>
    </row>
    <row r="107" spans="1:2" x14ac:dyDescent="0.25">
      <c r="A107" t="str">
        <f>"300104"</f>
        <v>300104</v>
      </c>
      <c r="B107" t="s">
        <v>2929</v>
      </c>
    </row>
    <row r="108" spans="1:2" x14ac:dyDescent="0.25">
      <c r="A108" t="str">
        <f>"300105"</f>
        <v>300105</v>
      </c>
      <c r="B108" t="s">
        <v>2930</v>
      </c>
    </row>
    <row r="109" spans="1:2" x14ac:dyDescent="0.25">
      <c r="A109" t="str">
        <f>"300106"</f>
        <v>300106</v>
      </c>
      <c r="B109" t="s">
        <v>2931</v>
      </c>
    </row>
    <row r="110" spans="1:2" x14ac:dyDescent="0.25">
      <c r="A110" t="str">
        <f>"300107"</f>
        <v>300107</v>
      </c>
      <c r="B110" t="s">
        <v>2932</v>
      </c>
    </row>
    <row r="111" spans="1:2" x14ac:dyDescent="0.25">
      <c r="A111" t="str">
        <f>"300108"</f>
        <v>300108</v>
      </c>
      <c r="B111" t="s">
        <v>2933</v>
      </c>
    </row>
    <row r="112" spans="1:2" x14ac:dyDescent="0.25">
      <c r="A112" t="str">
        <f>"300109"</f>
        <v>300109</v>
      </c>
      <c r="B112" t="s">
        <v>2934</v>
      </c>
    </row>
    <row r="113" spans="1:2" x14ac:dyDescent="0.25">
      <c r="A113" t="str">
        <f>"300110"</f>
        <v>300110</v>
      </c>
      <c r="B113" t="s">
        <v>2935</v>
      </c>
    </row>
    <row r="114" spans="1:2" x14ac:dyDescent="0.25">
      <c r="A114" t="str">
        <f>"300111"</f>
        <v>300111</v>
      </c>
      <c r="B114" t="s">
        <v>2936</v>
      </c>
    </row>
    <row r="115" spans="1:2" x14ac:dyDescent="0.25">
      <c r="A115" t="str">
        <f>"300112"</f>
        <v>300112</v>
      </c>
      <c r="B115" t="s">
        <v>131</v>
      </c>
    </row>
    <row r="116" spans="1:2" x14ac:dyDescent="0.25">
      <c r="A116" t="str">
        <f>"300113"</f>
        <v>300113</v>
      </c>
      <c r="B116" t="s">
        <v>2937</v>
      </c>
    </row>
    <row r="117" spans="1:2" x14ac:dyDescent="0.25">
      <c r="A117" t="str">
        <f>"300114"</f>
        <v>300114</v>
      </c>
      <c r="B117" t="s">
        <v>2634</v>
      </c>
    </row>
    <row r="118" spans="1:2" x14ac:dyDescent="0.25">
      <c r="A118" t="str">
        <f>"300115"</f>
        <v>300115</v>
      </c>
      <c r="B118" t="s">
        <v>2938</v>
      </c>
    </row>
    <row r="119" spans="1:2" x14ac:dyDescent="0.25">
      <c r="A119" t="str">
        <f>"300116"</f>
        <v>300116</v>
      </c>
      <c r="B119" t="s">
        <v>2939</v>
      </c>
    </row>
    <row r="120" spans="1:2" x14ac:dyDescent="0.25">
      <c r="A120" t="str">
        <f>"300117"</f>
        <v>300117</v>
      </c>
      <c r="B120" t="s">
        <v>2940</v>
      </c>
    </row>
    <row r="121" spans="1:2" x14ac:dyDescent="0.25">
      <c r="A121" t="str">
        <f>"300118"</f>
        <v>300118</v>
      </c>
      <c r="B121" t="s">
        <v>2941</v>
      </c>
    </row>
    <row r="122" spans="1:2" x14ac:dyDescent="0.25">
      <c r="A122" t="str">
        <f>"300119"</f>
        <v>300119</v>
      </c>
      <c r="B122" t="s">
        <v>2942</v>
      </c>
    </row>
    <row r="123" spans="1:2" x14ac:dyDescent="0.25">
      <c r="A123" t="str">
        <f>"300120"</f>
        <v>300120</v>
      </c>
      <c r="B123" t="s">
        <v>2943</v>
      </c>
    </row>
    <row r="124" spans="1:2" x14ac:dyDescent="0.25">
      <c r="A124" t="str">
        <f>"300121"</f>
        <v>300121</v>
      </c>
      <c r="B124" t="s">
        <v>2944</v>
      </c>
    </row>
    <row r="125" spans="1:2" x14ac:dyDescent="0.25">
      <c r="A125" t="str">
        <f>"300122"</f>
        <v>300122</v>
      </c>
      <c r="B125" t="s">
        <v>2945</v>
      </c>
    </row>
    <row r="126" spans="1:2" x14ac:dyDescent="0.25">
      <c r="A126" t="str">
        <f>"300123"</f>
        <v>300123</v>
      </c>
      <c r="B126" t="s">
        <v>2946</v>
      </c>
    </row>
    <row r="127" spans="1:2" x14ac:dyDescent="0.25">
      <c r="A127" t="str">
        <f>"300124"</f>
        <v>300124</v>
      </c>
      <c r="B127" t="s">
        <v>2947</v>
      </c>
    </row>
    <row r="128" spans="1:2" x14ac:dyDescent="0.25">
      <c r="A128" t="str">
        <f>"300125"</f>
        <v>300125</v>
      </c>
      <c r="B128" t="s">
        <v>2948</v>
      </c>
    </row>
    <row r="129" spans="1:2" x14ac:dyDescent="0.25">
      <c r="A129" t="str">
        <f>"300126"</f>
        <v>300126</v>
      </c>
      <c r="B129" t="s">
        <v>2949</v>
      </c>
    </row>
    <row r="130" spans="1:2" x14ac:dyDescent="0.25">
      <c r="A130" t="str">
        <f>"300127"</f>
        <v>300127</v>
      </c>
      <c r="B130" t="s">
        <v>2950</v>
      </c>
    </row>
    <row r="131" spans="1:2" x14ac:dyDescent="0.25">
      <c r="A131" t="str">
        <f>"300128"</f>
        <v>300128</v>
      </c>
      <c r="B131" t="s">
        <v>2951</v>
      </c>
    </row>
    <row r="132" spans="1:2" x14ac:dyDescent="0.25">
      <c r="A132" t="str">
        <f>"300129"</f>
        <v>300129</v>
      </c>
      <c r="B132" t="s">
        <v>86</v>
      </c>
    </row>
    <row r="133" spans="1:2" x14ac:dyDescent="0.25">
      <c r="A133" t="str">
        <f>"300130"</f>
        <v>300130</v>
      </c>
      <c r="B133" t="s">
        <v>2952</v>
      </c>
    </row>
    <row r="134" spans="1:2" x14ac:dyDescent="0.25">
      <c r="A134" t="str">
        <f>"300131"</f>
        <v>300131</v>
      </c>
      <c r="B134" t="s">
        <v>2953</v>
      </c>
    </row>
    <row r="135" spans="1:2" x14ac:dyDescent="0.25">
      <c r="A135" t="str">
        <f>"300132"</f>
        <v>300132</v>
      </c>
      <c r="B135" t="s">
        <v>2954</v>
      </c>
    </row>
    <row r="136" spans="1:2" x14ac:dyDescent="0.25">
      <c r="A136" t="str">
        <f>"300133"</f>
        <v>300133</v>
      </c>
      <c r="B136" t="s">
        <v>2955</v>
      </c>
    </row>
    <row r="137" spans="1:2" x14ac:dyDescent="0.25">
      <c r="A137" t="str">
        <f>"300134"</f>
        <v>300134</v>
      </c>
      <c r="B137" t="s">
        <v>2956</v>
      </c>
    </row>
    <row r="138" spans="1:2" x14ac:dyDescent="0.25">
      <c r="A138" t="str">
        <f>"300135"</f>
        <v>300135</v>
      </c>
      <c r="B138" t="s">
        <v>2957</v>
      </c>
    </row>
    <row r="139" spans="1:2" x14ac:dyDescent="0.25">
      <c r="A139" t="str">
        <f>"300136"</f>
        <v>300136</v>
      </c>
      <c r="B139" t="s">
        <v>2958</v>
      </c>
    </row>
    <row r="140" spans="1:2" x14ac:dyDescent="0.25">
      <c r="A140" t="str">
        <f>"300137"</f>
        <v>300137</v>
      </c>
      <c r="B140" t="s">
        <v>2959</v>
      </c>
    </row>
    <row r="141" spans="1:2" x14ac:dyDescent="0.25">
      <c r="A141" t="str">
        <f>"300138"</f>
        <v>300138</v>
      </c>
      <c r="B141" t="s">
        <v>2960</v>
      </c>
    </row>
    <row r="142" spans="1:2" x14ac:dyDescent="0.25">
      <c r="A142" t="str">
        <f>"300139"</f>
        <v>300139</v>
      </c>
      <c r="B142" t="s">
        <v>2961</v>
      </c>
    </row>
    <row r="143" spans="1:2" x14ac:dyDescent="0.25">
      <c r="A143" t="str">
        <f>"300140"</f>
        <v>300140</v>
      </c>
      <c r="B143" t="s">
        <v>2962</v>
      </c>
    </row>
    <row r="144" spans="1:2" x14ac:dyDescent="0.25">
      <c r="A144" t="str">
        <f>"300141"</f>
        <v>300141</v>
      </c>
      <c r="B144" t="s">
        <v>2963</v>
      </c>
    </row>
    <row r="145" spans="1:2" x14ac:dyDescent="0.25">
      <c r="A145" t="str">
        <f>"300142"</f>
        <v>300142</v>
      </c>
      <c r="B145" t="s">
        <v>2964</v>
      </c>
    </row>
    <row r="146" spans="1:2" x14ac:dyDescent="0.25">
      <c r="A146" t="str">
        <f>"300143"</f>
        <v>300143</v>
      </c>
      <c r="B146" t="s">
        <v>2965</v>
      </c>
    </row>
    <row r="147" spans="1:2" x14ac:dyDescent="0.25">
      <c r="A147" t="str">
        <f>"300144"</f>
        <v>300144</v>
      </c>
      <c r="B147" t="s">
        <v>2966</v>
      </c>
    </row>
    <row r="148" spans="1:2" x14ac:dyDescent="0.25">
      <c r="A148" t="str">
        <f>"300145"</f>
        <v>300145</v>
      </c>
      <c r="B148" t="s">
        <v>2967</v>
      </c>
    </row>
    <row r="149" spans="1:2" x14ac:dyDescent="0.25">
      <c r="A149" t="str">
        <f>"300146"</f>
        <v>300146</v>
      </c>
      <c r="B149" t="s">
        <v>2968</v>
      </c>
    </row>
    <row r="150" spans="1:2" x14ac:dyDescent="0.25">
      <c r="A150" t="str">
        <f>"300147"</f>
        <v>300147</v>
      </c>
      <c r="B150" t="s">
        <v>2969</v>
      </c>
    </row>
    <row r="151" spans="1:2" x14ac:dyDescent="0.25">
      <c r="A151" t="str">
        <f>"300148"</f>
        <v>300148</v>
      </c>
      <c r="B151" t="s">
        <v>2970</v>
      </c>
    </row>
    <row r="152" spans="1:2" x14ac:dyDescent="0.25">
      <c r="A152" t="str">
        <f>"300149"</f>
        <v>300149</v>
      </c>
      <c r="B152" t="s">
        <v>2971</v>
      </c>
    </row>
    <row r="153" spans="1:2" x14ac:dyDescent="0.25">
      <c r="A153" t="str">
        <f>"300150"</f>
        <v>300150</v>
      </c>
      <c r="B153" t="s">
        <v>2972</v>
      </c>
    </row>
    <row r="154" spans="1:2" x14ac:dyDescent="0.25">
      <c r="A154" t="str">
        <f>"300151"</f>
        <v>300151</v>
      </c>
      <c r="B154" t="s">
        <v>2973</v>
      </c>
    </row>
    <row r="155" spans="1:2" x14ac:dyDescent="0.25">
      <c r="A155" t="str">
        <f>"300152"</f>
        <v>300152</v>
      </c>
      <c r="B155" t="s">
        <v>2974</v>
      </c>
    </row>
    <row r="156" spans="1:2" x14ac:dyDescent="0.25">
      <c r="A156" t="str">
        <f>"300153"</f>
        <v>300153</v>
      </c>
      <c r="B156" t="s">
        <v>2211</v>
      </c>
    </row>
    <row r="157" spans="1:2" x14ac:dyDescent="0.25">
      <c r="A157" t="str">
        <f>"300154"</f>
        <v>300154</v>
      </c>
      <c r="B157" t="s">
        <v>1313</v>
      </c>
    </row>
    <row r="158" spans="1:2" x14ac:dyDescent="0.25">
      <c r="A158" t="str">
        <f>"300155"</f>
        <v>300155</v>
      </c>
      <c r="B158" t="s">
        <v>2975</v>
      </c>
    </row>
    <row r="159" spans="1:2" x14ac:dyDescent="0.25">
      <c r="A159" t="str">
        <f>"300156"</f>
        <v>300156</v>
      </c>
      <c r="B159" t="s">
        <v>2976</v>
      </c>
    </row>
    <row r="160" spans="1:2" x14ac:dyDescent="0.25">
      <c r="A160" t="str">
        <f>"300157"</f>
        <v>300157</v>
      </c>
      <c r="B160" t="s">
        <v>2977</v>
      </c>
    </row>
    <row r="161" spans="1:2" x14ac:dyDescent="0.25">
      <c r="A161" t="str">
        <f>"300158"</f>
        <v>300158</v>
      </c>
      <c r="B161" t="s">
        <v>2978</v>
      </c>
    </row>
    <row r="162" spans="1:2" x14ac:dyDescent="0.25">
      <c r="A162" t="str">
        <f>"300159"</f>
        <v>300159</v>
      </c>
      <c r="B162" t="s">
        <v>2979</v>
      </c>
    </row>
    <row r="163" spans="1:2" x14ac:dyDescent="0.25">
      <c r="A163" t="str">
        <f>"300160"</f>
        <v>300160</v>
      </c>
      <c r="B163" t="s">
        <v>2980</v>
      </c>
    </row>
    <row r="164" spans="1:2" x14ac:dyDescent="0.25">
      <c r="A164" t="str">
        <f>"300161"</f>
        <v>300161</v>
      </c>
      <c r="B164" t="s">
        <v>2981</v>
      </c>
    </row>
    <row r="165" spans="1:2" x14ac:dyDescent="0.25">
      <c r="A165" t="str">
        <f>"300162"</f>
        <v>300162</v>
      </c>
      <c r="B165" t="s">
        <v>2982</v>
      </c>
    </row>
    <row r="166" spans="1:2" x14ac:dyDescent="0.25">
      <c r="A166" t="str">
        <f>"300163"</f>
        <v>300163</v>
      </c>
      <c r="B166" t="s">
        <v>2983</v>
      </c>
    </row>
    <row r="167" spans="1:2" x14ac:dyDescent="0.25">
      <c r="A167" t="str">
        <f>"300164"</f>
        <v>300164</v>
      </c>
      <c r="B167" t="s">
        <v>2984</v>
      </c>
    </row>
    <row r="168" spans="1:2" x14ac:dyDescent="0.25">
      <c r="A168" t="str">
        <f>"300165"</f>
        <v>300165</v>
      </c>
      <c r="B168" t="s">
        <v>2985</v>
      </c>
    </row>
    <row r="169" spans="1:2" x14ac:dyDescent="0.25">
      <c r="A169" t="str">
        <f>"300166"</f>
        <v>300166</v>
      </c>
      <c r="B169" t="s">
        <v>2986</v>
      </c>
    </row>
    <row r="170" spans="1:2" x14ac:dyDescent="0.25">
      <c r="A170" t="str">
        <f>"300167"</f>
        <v>300167</v>
      </c>
      <c r="B170" t="s">
        <v>2987</v>
      </c>
    </row>
    <row r="171" spans="1:2" x14ac:dyDescent="0.25">
      <c r="A171" t="str">
        <f>"300168"</f>
        <v>300168</v>
      </c>
      <c r="B171" t="s">
        <v>2988</v>
      </c>
    </row>
    <row r="172" spans="1:2" x14ac:dyDescent="0.25">
      <c r="A172" t="str">
        <f>"300169"</f>
        <v>300169</v>
      </c>
      <c r="B172" t="s">
        <v>2989</v>
      </c>
    </row>
    <row r="173" spans="1:2" x14ac:dyDescent="0.25">
      <c r="A173" t="str">
        <f>"300170"</f>
        <v>300170</v>
      </c>
      <c r="B173" t="s">
        <v>2962</v>
      </c>
    </row>
    <row r="174" spans="1:2" x14ac:dyDescent="0.25">
      <c r="A174" t="str">
        <f>"300171"</f>
        <v>300171</v>
      </c>
      <c r="B174" t="s">
        <v>2990</v>
      </c>
    </row>
    <row r="175" spans="1:2" x14ac:dyDescent="0.25">
      <c r="A175" t="str">
        <f>"300172"</f>
        <v>300172</v>
      </c>
      <c r="B175" t="s">
        <v>2991</v>
      </c>
    </row>
    <row r="176" spans="1:2" x14ac:dyDescent="0.25">
      <c r="A176" t="str">
        <f>"300173"</f>
        <v>300173</v>
      </c>
      <c r="B176" t="s">
        <v>2992</v>
      </c>
    </row>
    <row r="177" spans="1:2" x14ac:dyDescent="0.25">
      <c r="A177" t="str">
        <f>"300174"</f>
        <v>300174</v>
      </c>
      <c r="B177" t="s">
        <v>2993</v>
      </c>
    </row>
    <row r="178" spans="1:2" x14ac:dyDescent="0.25">
      <c r="A178" t="str">
        <f>"300175"</f>
        <v>300175</v>
      </c>
      <c r="B178" t="s">
        <v>2994</v>
      </c>
    </row>
    <row r="179" spans="1:2" x14ac:dyDescent="0.25">
      <c r="A179" t="str">
        <f>"300176"</f>
        <v>300176</v>
      </c>
      <c r="B179" t="s">
        <v>2995</v>
      </c>
    </row>
    <row r="180" spans="1:2" x14ac:dyDescent="0.25">
      <c r="A180" t="str">
        <f>"300177"</f>
        <v>300177</v>
      </c>
      <c r="B180" t="s">
        <v>2996</v>
      </c>
    </row>
    <row r="181" spans="1:2" x14ac:dyDescent="0.25">
      <c r="A181" t="str">
        <f>"300178"</f>
        <v>300178</v>
      </c>
      <c r="B181" t="s">
        <v>2997</v>
      </c>
    </row>
    <row r="182" spans="1:2" x14ac:dyDescent="0.25">
      <c r="A182" t="str">
        <f>"300179"</f>
        <v>300179</v>
      </c>
      <c r="B182" t="s">
        <v>2998</v>
      </c>
    </row>
    <row r="183" spans="1:2" x14ac:dyDescent="0.25">
      <c r="A183" t="str">
        <f>"300180"</f>
        <v>300180</v>
      </c>
      <c r="B183" t="s">
        <v>2999</v>
      </c>
    </row>
    <row r="184" spans="1:2" x14ac:dyDescent="0.25">
      <c r="A184" t="str">
        <f>"300181"</f>
        <v>300181</v>
      </c>
      <c r="B184" t="s">
        <v>3000</v>
      </c>
    </row>
    <row r="185" spans="1:2" x14ac:dyDescent="0.25">
      <c r="A185" t="str">
        <f>"300182"</f>
        <v>300182</v>
      </c>
      <c r="B185" t="s">
        <v>3001</v>
      </c>
    </row>
    <row r="186" spans="1:2" x14ac:dyDescent="0.25">
      <c r="A186" t="str">
        <f>"300183"</f>
        <v>300183</v>
      </c>
      <c r="B186" t="s">
        <v>3002</v>
      </c>
    </row>
    <row r="187" spans="1:2" x14ac:dyDescent="0.25">
      <c r="A187" t="str">
        <f>"300184"</f>
        <v>300184</v>
      </c>
      <c r="B187" t="s">
        <v>3003</v>
      </c>
    </row>
    <row r="188" spans="1:2" x14ac:dyDescent="0.25">
      <c r="A188" t="str">
        <f>"300185"</f>
        <v>300185</v>
      </c>
      <c r="B188" t="s">
        <v>3004</v>
      </c>
    </row>
    <row r="189" spans="1:2" x14ac:dyDescent="0.25">
      <c r="A189" t="str">
        <f>"300187"</f>
        <v>300187</v>
      </c>
      <c r="B189" t="s">
        <v>3005</v>
      </c>
    </row>
    <row r="190" spans="1:2" x14ac:dyDescent="0.25">
      <c r="A190" t="str">
        <f>"300189"</f>
        <v>300189</v>
      </c>
      <c r="B190" t="s">
        <v>3006</v>
      </c>
    </row>
    <row r="191" spans="1:2" x14ac:dyDescent="0.25">
      <c r="A191" t="str">
        <f>"300190"</f>
        <v>300190</v>
      </c>
      <c r="B191" t="s">
        <v>3007</v>
      </c>
    </row>
    <row r="192" spans="1:2" x14ac:dyDescent="0.25">
      <c r="A192" t="str">
        <f>"300191"</f>
        <v>300191</v>
      </c>
      <c r="B192" t="s">
        <v>3008</v>
      </c>
    </row>
    <row r="193" spans="1:2" x14ac:dyDescent="0.25">
      <c r="A193" t="str">
        <f>"300192"</f>
        <v>300192</v>
      </c>
      <c r="B193" t="s">
        <v>3009</v>
      </c>
    </row>
    <row r="194" spans="1:2" x14ac:dyDescent="0.25">
      <c r="A194" t="str">
        <f>"300195"</f>
        <v>300195</v>
      </c>
      <c r="B194" t="s">
        <v>3010</v>
      </c>
    </row>
    <row r="195" spans="1:2" x14ac:dyDescent="0.25">
      <c r="A195" t="str">
        <f>"300196"</f>
        <v>300196</v>
      </c>
      <c r="B195" t="s">
        <v>3011</v>
      </c>
    </row>
    <row r="196" spans="1:2" x14ac:dyDescent="0.25">
      <c r="A196" t="str">
        <f>"300197"</f>
        <v>300197</v>
      </c>
      <c r="B196" t="s">
        <v>3012</v>
      </c>
    </row>
    <row r="197" spans="1:2" x14ac:dyDescent="0.25">
      <c r="A197" t="str">
        <f>"300198"</f>
        <v>300198</v>
      </c>
      <c r="B197" t="s">
        <v>3013</v>
      </c>
    </row>
    <row r="198" spans="1:2" x14ac:dyDescent="0.25">
      <c r="A198" t="str">
        <f>"300200"</f>
        <v>300200</v>
      </c>
      <c r="B198" t="s">
        <v>3014</v>
      </c>
    </row>
    <row r="199" spans="1:2" x14ac:dyDescent="0.25">
      <c r="A199" t="str">
        <f>"300201"</f>
        <v>300201</v>
      </c>
      <c r="B199" t="s">
        <v>3015</v>
      </c>
    </row>
    <row r="200" spans="1:2" x14ac:dyDescent="0.25">
      <c r="A200" t="str">
        <f>"300202"</f>
        <v>300202</v>
      </c>
      <c r="B200" t="s">
        <v>3016</v>
      </c>
    </row>
    <row r="201" spans="1:2" x14ac:dyDescent="0.25">
      <c r="A201" t="str">
        <f>"300203"</f>
        <v>300203</v>
      </c>
      <c r="B201" t="s">
        <v>3017</v>
      </c>
    </row>
    <row r="202" spans="1:2" x14ac:dyDescent="0.25">
      <c r="A202" t="str">
        <f>"300204"</f>
        <v>300204</v>
      </c>
      <c r="B202" t="s">
        <v>3018</v>
      </c>
    </row>
    <row r="203" spans="1:2" x14ac:dyDescent="0.25">
      <c r="A203" t="str">
        <f>"300205"</f>
        <v>300205</v>
      </c>
      <c r="B203" t="s">
        <v>3019</v>
      </c>
    </row>
    <row r="204" spans="1:2" x14ac:dyDescent="0.25">
      <c r="A204" t="str">
        <f>"300220"</f>
        <v>300220</v>
      </c>
      <c r="B204" t="s">
        <v>2170</v>
      </c>
    </row>
    <row r="205" spans="1:2" x14ac:dyDescent="0.25">
      <c r="A205" t="str">
        <f>"300221"</f>
        <v>300221</v>
      </c>
      <c r="B205" t="s">
        <v>3020</v>
      </c>
    </row>
    <row r="206" spans="1:2" x14ac:dyDescent="0.25">
      <c r="A206" t="str">
        <f>"300222"</f>
        <v>300222</v>
      </c>
      <c r="B206" t="s">
        <v>3021</v>
      </c>
    </row>
    <row r="207" spans="1:2" x14ac:dyDescent="0.25">
      <c r="A207" t="str">
        <f>"300223"</f>
        <v>300223</v>
      </c>
      <c r="B207" t="s">
        <v>3022</v>
      </c>
    </row>
    <row r="208" spans="1:2" x14ac:dyDescent="0.25">
      <c r="A208" t="str">
        <f>"300224"</f>
        <v>300224</v>
      </c>
      <c r="B208" t="s">
        <v>3023</v>
      </c>
    </row>
    <row r="209" spans="1:2" x14ac:dyDescent="0.25">
      <c r="A209" t="str">
        <f>"300225"</f>
        <v>300225</v>
      </c>
      <c r="B209" t="s">
        <v>3024</v>
      </c>
    </row>
    <row r="210" spans="1:2" x14ac:dyDescent="0.25">
      <c r="A210" t="str">
        <f>"300226"</f>
        <v>300226</v>
      </c>
      <c r="B210" t="s">
        <v>3025</v>
      </c>
    </row>
    <row r="211" spans="1:2" x14ac:dyDescent="0.25">
      <c r="A211" t="str">
        <f>"300227"</f>
        <v>300227</v>
      </c>
      <c r="B211" t="s">
        <v>3026</v>
      </c>
    </row>
    <row r="213" spans="1:2" x14ac:dyDescent="0.25">
      <c r="A213" t="str">
        <f>"300228"</f>
        <v>300228</v>
      </c>
      <c r="B213" t="s">
        <v>3027</v>
      </c>
    </row>
    <row r="214" spans="1:2" x14ac:dyDescent="0.25">
      <c r="A214" t="str">
        <f>"300229"</f>
        <v>300229</v>
      </c>
      <c r="B214" t="s">
        <v>3028</v>
      </c>
    </row>
    <row r="215" spans="1:2" x14ac:dyDescent="0.25">
      <c r="A215" t="str">
        <f>"300230"</f>
        <v>300230</v>
      </c>
      <c r="B215" t="s">
        <v>3029</v>
      </c>
    </row>
    <row r="216" spans="1:2" x14ac:dyDescent="0.25">
      <c r="A216" t="str">
        <f>"300231"</f>
        <v>300231</v>
      </c>
      <c r="B216" t="s">
        <v>3030</v>
      </c>
    </row>
    <row r="217" spans="1:2" x14ac:dyDescent="0.25">
      <c r="A217" t="str">
        <f>"300232"</f>
        <v>300232</v>
      </c>
      <c r="B217" t="s">
        <v>3031</v>
      </c>
    </row>
    <row r="218" spans="1:2" x14ac:dyDescent="0.25">
      <c r="A218" t="str">
        <f>"300233"</f>
        <v>300233</v>
      </c>
      <c r="B218" t="s">
        <v>3032</v>
      </c>
    </row>
    <row r="219" spans="1:2" x14ac:dyDescent="0.25">
      <c r="A219" t="str">
        <f>"300234"</f>
        <v>300234</v>
      </c>
      <c r="B219" t="s">
        <v>3033</v>
      </c>
    </row>
    <row r="220" spans="1:2" x14ac:dyDescent="0.25">
      <c r="A220" t="str">
        <f>"300235"</f>
        <v>300235</v>
      </c>
      <c r="B220" t="s">
        <v>3034</v>
      </c>
    </row>
    <row r="221" spans="1:2" x14ac:dyDescent="0.25">
      <c r="A221" t="str">
        <f>"300236"</f>
        <v>300236</v>
      </c>
      <c r="B221" t="s">
        <v>3035</v>
      </c>
    </row>
    <row r="222" spans="1:2" x14ac:dyDescent="0.25">
      <c r="A222" t="str">
        <f>"300237"</f>
        <v>300237</v>
      </c>
      <c r="B222" t="s">
        <v>3036</v>
      </c>
    </row>
    <row r="223" spans="1:2" x14ac:dyDescent="0.25">
      <c r="A223" t="str">
        <f>"300238"</f>
        <v>300238</v>
      </c>
      <c r="B223" t="s">
        <v>3037</v>
      </c>
    </row>
    <row r="224" spans="1:2" x14ac:dyDescent="0.25">
      <c r="A224" t="str">
        <f>"300239"</f>
        <v>300239</v>
      </c>
      <c r="B224" t="s">
        <v>3038</v>
      </c>
    </row>
    <row r="225" spans="1:2" x14ac:dyDescent="0.25">
      <c r="A225" t="str">
        <f>"300240"</f>
        <v>300240</v>
      </c>
      <c r="B225" t="s">
        <v>3039</v>
      </c>
    </row>
    <row r="226" spans="1:2" x14ac:dyDescent="0.25">
      <c r="A226" t="str">
        <f>"300241"</f>
        <v>300241</v>
      </c>
      <c r="B226" t="s">
        <v>3040</v>
      </c>
    </row>
    <row r="227" spans="1:2" x14ac:dyDescent="0.25">
      <c r="A227" t="str">
        <f>"300242"</f>
        <v>300242</v>
      </c>
      <c r="B227" t="s">
        <v>3041</v>
      </c>
    </row>
    <row r="228" spans="1:2" x14ac:dyDescent="0.25">
      <c r="A228" t="str">
        <f>"300300"</f>
        <v>300300</v>
      </c>
      <c r="B228" t="s">
        <v>3042</v>
      </c>
    </row>
    <row r="229" spans="1:2" x14ac:dyDescent="0.25">
      <c r="A229" t="str">
        <f>"300301"</f>
        <v>300301</v>
      </c>
      <c r="B229" t="s">
        <v>3043</v>
      </c>
    </row>
    <row r="230" spans="1:2" x14ac:dyDescent="0.25">
      <c r="A230" t="str">
        <f>"300302"</f>
        <v>300302</v>
      </c>
      <c r="B230" t="s">
        <v>2690</v>
      </c>
    </row>
    <row r="231" spans="1:2" x14ac:dyDescent="0.25">
      <c r="A231" t="str">
        <f>"300303"</f>
        <v>300303</v>
      </c>
      <c r="B231" t="s">
        <v>3044</v>
      </c>
    </row>
    <row r="232" spans="1:2" x14ac:dyDescent="0.25">
      <c r="A232" t="str">
        <f>"300304"</f>
        <v>300304</v>
      </c>
      <c r="B232" t="s">
        <v>3045</v>
      </c>
    </row>
    <row r="233" spans="1:2" x14ac:dyDescent="0.25">
      <c r="A233" t="str">
        <f>"300305"</f>
        <v>300305</v>
      </c>
      <c r="B233" t="s">
        <v>3046</v>
      </c>
    </row>
    <row r="234" spans="1:2" x14ac:dyDescent="0.25">
      <c r="A234" t="str">
        <f>"300306"</f>
        <v>300306</v>
      </c>
      <c r="B234" t="s">
        <v>3047</v>
      </c>
    </row>
    <row r="235" spans="1:2" x14ac:dyDescent="0.25">
      <c r="A235" t="str">
        <f>"300307"</f>
        <v>300307</v>
      </c>
      <c r="B235" t="s">
        <v>3048</v>
      </c>
    </row>
    <row r="236" spans="1:2" x14ac:dyDescent="0.25">
      <c r="A236" t="str">
        <f>"300308"</f>
        <v>300308</v>
      </c>
      <c r="B236" t="s">
        <v>3049</v>
      </c>
    </row>
    <row r="237" spans="1:2" x14ac:dyDescent="0.25">
      <c r="A237" t="str">
        <f>"300309"</f>
        <v>300309</v>
      </c>
      <c r="B237" t="s">
        <v>3050</v>
      </c>
    </row>
    <row r="238" spans="1:2" x14ac:dyDescent="0.25">
      <c r="A238" t="str">
        <f>"300310"</f>
        <v>300310</v>
      </c>
      <c r="B238" t="s">
        <v>3051</v>
      </c>
    </row>
    <row r="239" spans="1:2" x14ac:dyDescent="0.25">
      <c r="A239" t="str">
        <f>"300311"</f>
        <v>300311</v>
      </c>
      <c r="B239" t="s">
        <v>3052</v>
      </c>
    </row>
    <row r="240" spans="1:2" x14ac:dyDescent="0.25">
      <c r="A240" t="str">
        <f>"300312"</f>
        <v>300312</v>
      </c>
      <c r="B240" t="s">
        <v>3053</v>
      </c>
    </row>
    <row r="241" spans="1:2" x14ac:dyDescent="0.25">
      <c r="A241" t="str">
        <f>"300313"</f>
        <v>300313</v>
      </c>
      <c r="B241" t="s">
        <v>3054</v>
      </c>
    </row>
    <row r="242" spans="1:2" x14ac:dyDescent="0.25">
      <c r="A242" t="str">
        <f>"300314"</f>
        <v>300314</v>
      </c>
      <c r="B242" t="s">
        <v>3055</v>
      </c>
    </row>
    <row r="243" spans="1:2" x14ac:dyDescent="0.25">
      <c r="A243" t="str">
        <f>"300315"</f>
        <v>300315</v>
      </c>
      <c r="B243" t="s">
        <v>3056</v>
      </c>
    </row>
    <row r="244" spans="1:2" x14ac:dyDescent="0.25">
      <c r="A244" t="str">
        <f>"300316"</f>
        <v>300316</v>
      </c>
      <c r="B244" t="s">
        <v>3057</v>
      </c>
    </row>
    <row r="245" spans="1:2" x14ac:dyDescent="0.25">
      <c r="A245" t="str">
        <f>"300317"</f>
        <v>300317</v>
      </c>
      <c r="B245" t="s">
        <v>3058</v>
      </c>
    </row>
    <row r="246" spans="1:2" x14ac:dyDescent="0.25">
      <c r="A246" t="str">
        <f>"300318"</f>
        <v>300318</v>
      </c>
      <c r="B246" t="s">
        <v>3059</v>
      </c>
    </row>
    <row r="247" spans="1:2" x14ac:dyDescent="0.25">
      <c r="A247" t="str">
        <f>"300319"</f>
        <v>300319</v>
      </c>
      <c r="B247" t="s">
        <v>3060</v>
      </c>
    </row>
    <row r="248" spans="1:2" x14ac:dyDescent="0.25">
      <c r="A248" t="str">
        <f>"300320"</f>
        <v>300320</v>
      </c>
      <c r="B248" t="s">
        <v>3061</v>
      </c>
    </row>
    <row r="249" spans="1:2" x14ac:dyDescent="0.25">
      <c r="A249" t="str">
        <f>"300321"</f>
        <v>300321</v>
      </c>
      <c r="B249" t="s">
        <v>2706</v>
      </c>
    </row>
    <row r="250" spans="1:2" x14ac:dyDescent="0.25">
      <c r="A250" t="str">
        <f>"300322"</f>
        <v>300322</v>
      </c>
      <c r="B250" t="s">
        <v>3062</v>
      </c>
    </row>
    <row r="251" spans="1:2" x14ac:dyDescent="0.25">
      <c r="A251" t="str">
        <f>"300323"</f>
        <v>300323</v>
      </c>
      <c r="B251" t="s">
        <v>3063</v>
      </c>
    </row>
    <row r="252" spans="1:2" x14ac:dyDescent="0.25">
      <c r="A252" t="str">
        <f>"300324"</f>
        <v>300324</v>
      </c>
      <c r="B252" t="s">
        <v>3064</v>
      </c>
    </row>
    <row r="253" spans="1:2" x14ac:dyDescent="0.25">
      <c r="A253" t="str">
        <f>"300325"</f>
        <v>300325</v>
      </c>
      <c r="B253" t="s">
        <v>3065</v>
      </c>
    </row>
    <row r="254" spans="1:2" x14ac:dyDescent="0.25">
      <c r="A254" t="str">
        <f>"300326"</f>
        <v>300326</v>
      </c>
      <c r="B254" t="s">
        <v>3066</v>
      </c>
    </row>
    <row r="255" spans="1:2" x14ac:dyDescent="0.25">
      <c r="A255" t="str">
        <f>"300327"</f>
        <v>300327</v>
      </c>
      <c r="B255" t="s">
        <v>3067</v>
      </c>
    </row>
    <row r="256" spans="1:2" x14ac:dyDescent="0.25">
      <c r="A256" t="str">
        <f>"300328"</f>
        <v>300328</v>
      </c>
      <c r="B256" t="s">
        <v>3068</v>
      </c>
    </row>
    <row r="257" spans="1:2" x14ac:dyDescent="0.25">
      <c r="A257" t="str">
        <f>"300329"</f>
        <v>300329</v>
      </c>
      <c r="B257" t="s">
        <v>3069</v>
      </c>
    </row>
    <row r="258" spans="1:2" x14ac:dyDescent="0.25">
      <c r="A258" t="str">
        <f>"300330"</f>
        <v>300330</v>
      </c>
      <c r="B258" t="s">
        <v>3070</v>
      </c>
    </row>
    <row r="259" spans="1:2" x14ac:dyDescent="0.25">
      <c r="A259" t="str">
        <f>"300331"</f>
        <v>300331</v>
      </c>
      <c r="B259" t="s">
        <v>3071</v>
      </c>
    </row>
    <row r="260" spans="1:2" x14ac:dyDescent="0.25">
      <c r="A260" t="str">
        <f>"300332"</f>
        <v>300332</v>
      </c>
      <c r="B260" t="s">
        <v>3072</v>
      </c>
    </row>
    <row r="261" spans="1:2" x14ac:dyDescent="0.25">
      <c r="A261" t="str">
        <f>"300333"</f>
        <v>300333</v>
      </c>
      <c r="B261" t="s">
        <v>3073</v>
      </c>
    </row>
    <row r="262" spans="1:2" x14ac:dyDescent="0.25">
      <c r="A262" t="str">
        <f>"300334"</f>
        <v>300334</v>
      </c>
      <c r="B262" t="s">
        <v>3074</v>
      </c>
    </row>
    <row r="263" spans="1:2" x14ac:dyDescent="0.25">
      <c r="A263" t="str">
        <f>"300335"</f>
        <v>300335</v>
      </c>
      <c r="B263" t="s">
        <v>3075</v>
      </c>
    </row>
    <row r="264" spans="1:2" x14ac:dyDescent="0.25">
      <c r="A264" t="str">
        <f>"300336"</f>
        <v>300336</v>
      </c>
      <c r="B264" t="s">
        <v>3076</v>
      </c>
    </row>
    <row r="265" spans="1:2" x14ac:dyDescent="0.25">
      <c r="A265" t="str">
        <f>"300337"</f>
        <v>300337</v>
      </c>
      <c r="B265" t="s">
        <v>3077</v>
      </c>
    </row>
    <row r="266" spans="1:2" x14ac:dyDescent="0.25">
      <c r="A266" t="str">
        <f>"300338"</f>
        <v>300338</v>
      </c>
      <c r="B266" t="s">
        <v>3078</v>
      </c>
    </row>
    <row r="267" spans="1:2" x14ac:dyDescent="0.25">
      <c r="A267" t="str">
        <f>"300339"</f>
        <v>300339</v>
      </c>
      <c r="B267" t="s">
        <v>3079</v>
      </c>
    </row>
    <row r="268" spans="1:2" x14ac:dyDescent="0.25">
      <c r="A268" t="str">
        <f>"300340"</f>
        <v>300340</v>
      </c>
      <c r="B268" t="s">
        <v>3080</v>
      </c>
    </row>
    <row r="269" spans="1:2" x14ac:dyDescent="0.25">
      <c r="A269" t="str">
        <f>"300341"</f>
        <v>300341</v>
      </c>
      <c r="B269" t="s">
        <v>3081</v>
      </c>
    </row>
    <row r="270" spans="1:2" x14ac:dyDescent="0.25">
      <c r="A270" t="str">
        <f>"300342"</f>
        <v>300342</v>
      </c>
      <c r="B270" t="s">
        <v>3082</v>
      </c>
    </row>
    <row r="271" spans="1:2" x14ac:dyDescent="0.25">
      <c r="A271" t="str">
        <f>"300343"</f>
        <v>300343</v>
      </c>
      <c r="B271" t="s">
        <v>3083</v>
      </c>
    </row>
    <row r="272" spans="1:2" x14ac:dyDescent="0.25">
      <c r="A272" t="str">
        <f>"300344"</f>
        <v>300344</v>
      </c>
      <c r="B272" t="s">
        <v>3084</v>
      </c>
    </row>
    <row r="273" spans="1:2" x14ac:dyDescent="0.25">
      <c r="A273" t="str">
        <f>"300345"</f>
        <v>300345</v>
      </c>
      <c r="B273" t="s">
        <v>3085</v>
      </c>
    </row>
    <row r="274" spans="1:2" x14ac:dyDescent="0.25">
      <c r="A274" t="str">
        <f>"300346"</f>
        <v>300346</v>
      </c>
      <c r="B274" t="s">
        <v>3086</v>
      </c>
    </row>
    <row r="275" spans="1:2" x14ac:dyDescent="0.25">
      <c r="A275" t="str">
        <f>"300347"</f>
        <v>300347</v>
      </c>
      <c r="B275" t="s">
        <v>3054</v>
      </c>
    </row>
    <row r="276" spans="1:2" x14ac:dyDescent="0.25">
      <c r="A276" t="str">
        <f>"300348"</f>
        <v>300348</v>
      </c>
      <c r="B276" t="s">
        <v>3087</v>
      </c>
    </row>
    <row r="277" spans="1:2" x14ac:dyDescent="0.25">
      <c r="A277" t="str">
        <f>"300349"</f>
        <v>300349</v>
      </c>
      <c r="B277" t="s">
        <v>2789</v>
      </c>
    </row>
    <row r="278" spans="1:2" x14ac:dyDescent="0.25">
      <c r="A278" t="str">
        <f>"300350"</f>
        <v>300350</v>
      </c>
      <c r="B278" t="s">
        <v>3088</v>
      </c>
    </row>
    <row r="279" spans="1:2" x14ac:dyDescent="0.25">
      <c r="A279" t="str">
        <f>"300351"</f>
        <v>300351</v>
      </c>
      <c r="B279" t="s">
        <v>3089</v>
      </c>
    </row>
    <row r="280" spans="1:2" x14ac:dyDescent="0.25">
      <c r="A280" t="str">
        <f>"300352"</f>
        <v>300352</v>
      </c>
      <c r="B280" t="s">
        <v>3090</v>
      </c>
    </row>
    <row r="281" spans="1:2" x14ac:dyDescent="0.25">
      <c r="A281" t="str">
        <f>"300353"</f>
        <v>300353</v>
      </c>
      <c r="B281" t="s">
        <v>3091</v>
      </c>
    </row>
    <row r="282" spans="1:2" x14ac:dyDescent="0.25">
      <c r="A282" t="str">
        <f>"300354"</f>
        <v>300354</v>
      </c>
      <c r="B282" t="s">
        <v>3092</v>
      </c>
    </row>
    <row r="283" spans="1:2" x14ac:dyDescent="0.25">
      <c r="A283" t="str">
        <f>"300355"</f>
        <v>300355</v>
      </c>
      <c r="B283" t="s">
        <v>3093</v>
      </c>
    </row>
    <row r="284" spans="1:2" x14ac:dyDescent="0.25">
      <c r="A284" t="str">
        <f>"300356"</f>
        <v>300356</v>
      </c>
      <c r="B284" t="s">
        <v>3094</v>
      </c>
    </row>
    <row r="285" spans="1:2" x14ac:dyDescent="0.25">
      <c r="A285" t="str">
        <f>"300357"</f>
        <v>300357</v>
      </c>
      <c r="B285" t="s">
        <v>3095</v>
      </c>
    </row>
    <row r="286" spans="1:2" x14ac:dyDescent="0.25">
      <c r="A286" t="str">
        <f>"300358"</f>
        <v>300358</v>
      </c>
      <c r="B286" t="s">
        <v>3096</v>
      </c>
    </row>
    <row r="287" spans="1:2" x14ac:dyDescent="0.25">
      <c r="A287" t="str">
        <f>"300359"</f>
        <v>300359</v>
      </c>
      <c r="B287" t="s">
        <v>3097</v>
      </c>
    </row>
    <row r="288" spans="1:2" x14ac:dyDescent="0.25">
      <c r="A288" t="str">
        <f>"300360"</f>
        <v>300360</v>
      </c>
      <c r="B288" t="s">
        <v>3098</v>
      </c>
    </row>
    <row r="289" spans="1:2" x14ac:dyDescent="0.25">
      <c r="A289" t="str">
        <f>"300362"</f>
        <v>300362</v>
      </c>
      <c r="B289" t="s">
        <v>3099</v>
      </c>
    </row>
    <row r="290" spans="1:2" x14ac:dyDescent="0.25">
      <c r="A290" t="str">
        <f>"300363"</f>
        <v>300363</v>
      </c>
      <c r="B290" t="s">
        <v>3100</v>
      </c>
    </row>
    <row r="291" spans="1:2" x14ac:dyDescent="0.25">
      <c r="A291" t="str">
        <f>"300364"</f>
        <v>300364</v>
      </c>
      <c r="B291" t="s">
        <v>3101</v>
      </c>
    </row>
    <row r="292" spans="1:2" x14ac:dyDescent="0.25">
      <c r="A292" t="str">
        <f>"300365"</f>
        <v>300365</v>
      </c>
      <c r="B292" t="s">
        <v>3102</v>
      </c>
    </row>
    <row r="293" spans="1:2" x14ac:dyDescent="0.25">
      <c r="A293" t="str">
        <f>"300366"</f>
        <v>300366</v>
      </c>
      <c r="B293" t="s">
        <v>3103</v>
      </c>
    </row>
    <row r="294" spans="1:2" x14ac:dyDescent="0.25">
      <c r="A294" t="str">
        <f>"300367"</f>
        <v>300367</v>
      </c>
      <c r="B294" t="s">
        <v>3104</v>
      </c>
    </row>
    <row r="295" spans="1:2" x14ac:dyDescent="0.25">
      <c r="A295" t="str">
        <f>"300368"</f>
        <v>300368</v>
      </c>
      <c r="B295" t="s">
        <v>3105</v>
      </c>
    </row>
    <row r="296" spans="1:2" x14ac:dyDescent="0.25">
      <c r="A296" t="str">
        <f>"300369"</f>
        <v>300369</v>
      </c>
      <c r="B296" t="s">
        <v>3106</v>
      </c>
    </row>
    <row r="297" spans="1:2" x14ac:dyDescent="0.25">
      <c r="A297" t="str">
        <f>"300370"</f>
        <v>300370</v>
      </c>
      <c r="B297" t="s">
        <v>3107</v>
      </c>
    </row>
    <row r="298" spans="1:2" x14ac:dyDescent="0.25">
      <c r="A298" t="str">
        <f>"300371"</f>
        <v>300371</v>
      </c>
      <c r="B298" t="s">
        <v>3108</v>
      </c>
    </row>
    <row r="299" spans="1:2" x14ac:dyDescent="0.25">
      <c r="A299" t="str">
        <f>"300372"</f>
        <v>300372</v>
      </c>
      <c r="B299" t="s">
        <v>3109</v>
      </c>
    </row>
    <row r="300" spans="1:2" x14ac:dyDescent="0.25">
      <c r="A300" t="str">
        <f>"300373"</f>
        <v>300373</v>
      </c>
      <c r="B300" t="s">
        <v>3110</v>
      </c>
    </row>
    <row r="301" spans="1:2" x14ac:dyDescent="0.25">
      <c r="A301" t="str">
        <f>"300374"</f>
        <v>300374</v>
      </c>
      <c r="B301" t="s">
        <v>3111</v>
      </c>
    </row>
    <row r="302" spans="1:2" x14ac:dyDescent="0.25">
      <c r="A302" t="str">
        <f>"300375"</f>
        <v>300375</v>
      </c>
      <c r="B302" t="s">
        <v>3112</v>
      </c>
    </row>
    <row r="303" spans="1:2" x14ac:dyDescent="0.25">
      <c r="A303" t="str">
        <f>"300376"</f>
        <v>300376</v>
      </c>
      <c r="B303" t="s">
        <v>3113</v>
      </c>
    </row>
    <row r="304" spans="1:2" x14ac:dyDescent="0.25">
      <c r="A304" t="str">
        <f>"300377"</f>
        <v>300377</v>
      </c>
      <c r="B304" t="s">
        <v>3114</v>
      </c>
    </row>
    <row r="305" spans="1:2" x14ac:dyDescent="0.25">
      <c r="A305" t="str">
        <f>"300378"</f>
        <v>300378</v>
      </c>
      <c r="B305" t="s">
        <v>3115</v>
      </c>
    </row>
    <row r="306" spans="1:2" x14ac:dyDescent="0.25">
      <c r="A306" t="str">
        <f>"300379"</f>
        <v>300379</v>
      </c>
      <c r="B306" t="s">
        <v>3116</v>
      </c>
    </row>
    <row r="307" spans="1:2" x14ac:dyDescent="0.25">
      <c r="A307" t="str">
        <f>"300380"</f>
        <v>300380</v>
      </c>
      <c r="B307" t="s">
        <v>3117</v>
      </c>
    </row>
    <row r="308" spans="1:2" x14ac:dyDescent="0.25">
      <c r="A308" t="str">
        <f>"300381"</f>
        <v>300381</v>
      </c>
      <c r="B308" t="s">
        <v>3118</v>
      </c>
    </row>
    <row r="309" spans="1:2" x14ac:dyDescent="0.25">
      <c r="A309" t="str">
        <f>"300382"</f>
        <v>300382</v>
      </c>
      <c r="B309" t="s">
        <v>3119</v>
      </c>
    </row>
    <row r="310" spans="1:2" x14ac:dyDescent="0.25">
      <c r="A310" t="str">
        <f>"300383"</f>
        <v>300383</v>
      </c>
      <c r="B310" t="s">
        <v>3120</v>
      </c>
    </row>
    <row r="311" spans="1:2" x14ac:dyDescent="0.25">
      <c r="A311" t="str">
        <f>"300384"</f>
        <v>300384</v>
      </c>
      <c r="B311" t="s">
        <v>3121</v>
      </c>
    </row>
    <row r="312" spans="1:2" x14ac:dyDescent="0.25">
      <c r="A312" t="str">
        <f>"300385"</f>
        <v>300385</v>
      </c>
      <c r="B312" t="s">
        <v>3122</v>
      </c>
    </row>
    <row r="313" spans="1:2" x14ac:dyDescent="0.25">
      <c r="A313" t="str">
        <f>"300386"</f>
        <v>300386</v>
      </c>
      <c r="B313" t="s">
        <v>3123</v>
      </c>
    </row>
    <row r="314" spans="1:2" x14ac:dyDescent="0.25">
      <c r="A314" t="str">
        <f>"300387"</f>
        <v>300387</v>
      </c>
      <c r="B314" t="s">
        <v>3124</v>
      </c>
    </row>
    <row r="315" spans="1:2" x14ac:dyDescent="0.25">
      <c r="A315" t="str">
        <f>"300388"</f>
        <v>300388</v>
      </c>
      <c r="B315" t="s">
        <v>3125</v>
      </c>
    </row>
    <row r="316" spans="1:2" x14ac:dyDescent="0.25">
      <c r="A316" t="str">
        <f>"300389"</f>
        <v>300389</v>
      </c>
      <c r="B316" t="s">
        <v>3126</v>
      </c>
    </row>
    <row r="317" spans="1:2" x14ac:dyDescent="0.25">
      <c r="A317" t="str">
        <f>"300390"</f>
        <v>300390</v>
      </c>
      <c r="B317" t="s">
        <v>3127</v>
      </c>
    </row>
    <row r="318" spans="1:2" x14ac:dyDescent="0.25">
      <c r="A318" t="str">
        <f>"300391"</f>
        <v>300391</v>
      </c>
      <c r="B318" t="s">
        <v>3128</v>
      </c>
    </row>
    <row r="319" spans="1:2" x14ac:dyDescent="0.25">
      <c r="A319" t="str">
        <f>"300392"</f>
        <v>300392</v>
      </c>
      <c r="B319" t="s">
        <v>3129</v>
      </c>
    </row>
    <row r="320" spans="1:2" x14ac:dyDescent="0.25">
      <c r="A320" t="str">
        <f>"300393"</f>
        <v>300393</v>
      </c>
      <c r="B320" t="s">
        <v>3130</v>
      </c>
    </row>
    <row r="321" spans="1:2" x14ac:dyDescent="0.25">
      <c r="A321" t="str">
        <f>"300394"</f>
        <v>300394</v>
      </c>
      <c r="B321" t="s">
        <v>3131</v>
      </c>
    </row>
    <row r="322" spans="1:2" x14ac:dyDescent="0.25">
      <c r="A322" t="str">
        <f>"300395"</f>
        <v>300395</v>
      </c>
      <c r="B322" t="s">
        <v>2851</v>
      </c>
    </row>
    <row r="323" spans="1:2" x14ac:dyDescent="0.25">
      <c r="A323" t="str">
        <f>"300396"</f>
        <v>300396</v>
      </c>
      <c r="B323" t="s">
        <v>3132</v>
      </c>
    </row>
    <row r="324" spans="1:2" x14ac:dyDescent="0.25">
      <c r="A324" t="str">
        <f>"300397"</f>
        <v>300397</v>
      </c>
      <c r="B324" t="s">
        <v>3133</v>
      </c>
    </row>
    <row r="325" spans="1:2" x14ac:dyDescent="0.25">
      <c r="A325" t="str">
        <f>"300398"</f>
        <v>300398</v>
      </c>
      <c r="B325" t="s">
        <v>3134</v>
      </c>
    </row>
    <row r="326" spans="1:2" x14ac:dyDescent="0.25">
      <c r="A326" t="str">
        <f>"300399"</f>
        <v>300399</v>
      </c>
      <c r="B326" t="s">
        <v>3135</v>
      </c>
    </row>
    <row r="327" spans="1:2" x14ac:dyDescent="0.25">
      <c r="A327" t="str">
        <f>"300400"</f>
        <v>300400</v>
      </c>
      <c r="B327" t="s">
        <v>3136</v>
      </c>
    </row>
    <row r="328" spans="1:2" x14ac:dyDescent="0.25">
      <c r="A328" t="str">
        <f>"300401"</f>
        <v>300401</v>
      </c>
      <c r="B328" t="s">
        <v>3137</v>
      </c>
    </row>
    <row r="329" spans="1:2" x14ac:dyDescent="0.25">
      <c r="A329" t="str">
        <f>"300402"</f>
        <v>300402</v>
      </c>
      <c r="B329" t="s">
        <v>3138</v>
      </c>
    </row>
    <row r="330" spans="1:2" x14ac:dyDescent="0.25">
      <c r="A330" t="str">
        <f>"300403"</f>
        <v>300403</v>
      </c>
      <c r="B330" t="s">
        <v>3139</v>
      </c>
    </row>
    <row r="331" spans="1:2" x14ac:dyDescent="0.25">
      <c r="A331" t="str">
        <f>"300404"</f>
        <v>300404</v>
      </c>
      <c r="B331" t="s">
        <v>2476</v>
      </c>
    </row>
    <row r="332" spans="1:2" x14ac:dyDescent="0.25">
      <c r="A332" t="str">
        <f>"300405"</f>
        <v>300405</v>
      </c>
      <c r="B332" t="s">
        <v>3140</v>
      </c>
    </row>
    <row r="333" spans="1:2" x14ac:dyDescent="0.25">
      <c r="A333" t="str">
        <f>"300406"</f>
        <v>300406</v>
      </c>
      <c r="B333" t="s">
        <v>3141</v>
      </c>
    </row>
    <row r="334" spans="1:2" x14ac:dyDescent="0.25">
      <c r="A334" t="str">
        <f>"300407"</f>
        <v>300407</v>
      </c>
      <c r="B334" t="s">
        <v>3142</v>
      </c>
    </row>
    <row r="335" spans="1:2" x14ac:dyDescent="0.25">
      <c r="A335" t="str">
        <f>"300408"</f>
        <v>300408</v>
      </c>
      <c r="B335" t="s">
        <v>3143</v>
      </c>
    </row>
    <row r="336" spans="1:2" x14ac:dyDescent="0.25">
      <c r="A336" t="str">
        <f>"300409"</f>
        <v>300409</v>
      </c>
      <c r="B336" t="s">
        <v>3144</v>
      </c>
    </row>
    <row r="337" spans="1:2" x14ac:dyDescent="0.25">
      <c r="A337" t="str">
        <f>"300410"</f>
        <v>300410</v>
      </c>
      <c r="B337" t="s">
        <v>3145</v>
      </c>
    </row>
    <row r="338" spans="1:2" x14ac:dyDescent="0.25">
      <c r="A338" t="str">
        <f>"300411"</f>
        <v>300411</v>
      </c>
      <c r="B338" t="s">
        <v>3146</v>
      </c>
    </row>
    <row r="339" spans="1:2" x14ac:dyDescent="0.25">
      <c r="A339" t="str">
        <f>"300412"</f>
        <v>300412</v>
      </c>
      <c r="B339" t="s">
        <v>2441</v>
      </c>
    </row>
    <row r="340" spans="1:2" x14ac:dyDescent="0.25">
      <c r="A340" t="str">
        <f>"300413"</f>
        <v>300413</v>
      </c>
      <c r="B340" t="s">
        <v>3147</v>
      </c>
    </row>
    <row r="341" spans="1:2" x14ac:dyDescent="0.25">
      <c r="A341" t="str">
        <f>"300414"</f>
        <v>300414</v>
      </c>
      <c r="B341" t="s">
        <v>3148</v>
      </c>
    </row>
    <row r="342" spans="1:2" x14ac:dyDescent="0.25">
      <c r="A342" t="str">
        <f>"300415"</f>
        <v>300415</v>
      </c>
      <c r="B342" t="s">
        <v>3149</v>
      </c>
    </row>
    <row r="343" spans="1:2" x14ac:dyDescent="0.25">
      <c r="A343" t="str">
        <f>"300416"</f>
        <v>300416</v>
      </c>
      <c r="B343" t="s">
        <v>3150</v>
      </c>
    </row>
    <row r="344" spans="1:2" x14ac:dyDescent="0.25">
      <c r="A344" t="str">
        <f>"300417"</f>
        <v>300417</v>
      </c>
      <c r="B344" t="s">
        <v>2759</v>
      </c>
    </row>
    <row r="345" spans="1:2" x14ac:dyDescent="0.25">
      <c r="A345" t="str">
        <f>"300418"</f>
        <v>300418</v>
      </c>
      <c r="B345" t="s">
        <v>3151</v>
      </c>
    </row>
    <row r="346" spans="1:2" x14ac:dyDescent="0.25">
      <c r="A346" t="str">
        <f>"300419"</f>
        <v>300419</v>
      </c>
      <c r="B346" t="s">
        <v>3152</v>
      </c>
    </row>
    <row r="347" spans="1:2" x14ac:dyDescent="0.25">
      <c r="A347" t="str">
        <f>"300420"</f>
        <v>300420</v>
      </c>
      <c r="B347" t="s">
        <v>3153</v>
      </c>
    </row>
    <row r="348" spans="1:2" x14ac:dyDescent="0.25">
      <c r="A348" t="str">
        <f>"300421"</f>
        <v>300421</v>
      </c>
      <c r="B348" t="s">
        <v>3154</v>
      </c>
    </row>
    <row r="349" spans="1:2" x14ac:dyDescent="0.25">
      <c r="A349" t="str">
        <f>"300422"</f>
        <v>300422</v>
      </c>
      <c r="B349" t="s">
        <v>3155</v>
      </c>
    </row>
    <row r="350" spans="1:2" x14ac:dyDescent="0.25">
      <c r="A350" t="str">
        <f>"300423"</f>
        <v>300423</v>
      </c>
      <c r="B350" t="s">
        <v>3156</v>
      </c>
    </row>
    <row r="351" spans="1:2" x14ac:dyDescent="0.25">
      <c r="A351" t="str">
        <f>"300424"</f>
        <v>300424</v>
      </c>
      <c r="B351" t="s">
        <v>3157</v>
      </c>
    </row>
    <row r="352" spans="1:2" x14ac:dyDescent="0.25">
      <c r="A352" t="str">
        <f>"300425"</f>
        <v>300425</v>
      </c>
      <c r="B352" t="s">
        <v>3158</v>
      </c>
    </row>
    <row r="353" spans="1:2" x14ac:dyDescent="0.25">
      <c r="A353" t="str">
        <f>"300426"</f>
        <v>300426</v>
      </c>
      <c r="B353" t="s">
        <v>3159</v>
      </c>
    </row>
    <row r="354" spans="1:2" x14ac:dyDescent="0.25">
      <c r="A354" t="str">
        <f>"300427"</f>
        <v>300427</v>
      </c>
      <c r="B354" t="s">
        <v>3160</v>
      </c>
    </row>
    <row r="355" spans="1:2" x14ac:dyDescent="0.25">
      <c r="A355" t="str">
        <f>"300428"</f>
        <v>300428</v>
      </c>
      <c r="B355" t="s">
        <v>3161</v>
      </c>
    </row>
    <row r="356" spans="1:2" x14ac:dyDescent="0.25">
      <c r="A356" t="str">
        <f>"300429"</f>
        <v>300429</v>
      </c>
      <c r="B356" t="s">
        <v>3162</v>
      </c>
    </row>
    <row r="357" spans="1:2" x14ac:dyDescent="0.25">
      <c r="A357" t="str">
        <f>"300430"</f>
        <v>300430</v>
      </c>
      <c r="B357" t="s">
        <v>3163</v>
      </c>
    </row>
    <row r="358" spans="1:2" x14ac:dyDescent="0.25">
      <c r="A358" t="str">
        <f>"300431"</f>
        <v>300431</v>
      </c>
      <c r="B358" t="s">
        <v>3164</v>
      </c>
    </row>
    <row r="359" spans="1:2" x14ac:dyDescent="0.25">
      <c r="A359" t="str">
        <f>"300432"</f>
        <v>300432</v>
      </c>
      <c r="B359" t="s">
        <v>3165</v>
      </c>
    </row>
    <row r="360" spans="1:2" x14ac:dyDescent="0.25">
      <c r="A360" t="str">
        <f>"300433"</f>
        <v>300433</v>
      </c>
      <c r="B360" t="s">
        <v>3166</v>
      </c>
    </row>
    <row r="361" spans="1:2" x14ac:dyDescent="0.25">
      <c r="A361" t="str">
        <f>"300434"</f>
        <v>300434</v>
      </c>
      <c r="B361" t="s">
        <v>3167</v>
      </c>
    </row>
    <row r="362" spans="1:2" x14ac:dyDescent="0.25">
      <c r="A362" t="str">
        <f>"300435"</f>
        <v>300435</v>
      </c>
      <c r="B362" t="s">
        <v>3168</v>
      </c>
    </row>
    <row r="363" spans="1:2" x14ac:dyDescent="0.25">
      <c r="A363" t="str">
        <f>"300436"</f>
        <v>300436</v>
      </c>
      <c r="B363" t="s">
        <v>3169</v>
      </c>
    </row>
    <row r="364" spans="1:2" x14ac:dyDescent="0.25">
      <c r="A364" t="str">
        <f>"300437"</f>
        <v>300437</v>
      </c>
      <c r="B364" t="s">
        <v>3170</v>
      </c>
    </row>
    <row r="365" spans="1:2" x14ac:dyDescent="0.25">
      <c r="A365" t="str">
        <f>"300438"</f>
        <v>300438</v>
      </c>
      <c r="B365" t="s">
        <v>3171</v>
      </c>
    </row>
    <row r="366" spans="1:2" x14ac:dyDescent="0.25">
      <c r="A366" t="str">
        <f>"300439"</f>
        <v>300439</v>
      </c>
      <c r="B366" t="s">
        <v>3172</v>
      </c>
    </row>
    <row r="367" spans="1:2" x14ac:dyDescent="0.25">
      <c r="A367" t="str">
        <f>"300440"</f>
        <v>300440</v>
      </c>
      <c r="B367" t="s">
        <v>3173</v>
      </c>
    </row>
    <row r="368" spans="1:2" x14ac:dyDescent="0.25">
      <c r="A368" t="str">
        <f>"300441"</f>
        <v>300441</v>
      </c>
      <c r="B368" t="s">
        <v>3174</v>
      </c>
    </row>
    <row r="369" spans="1:2" x14ac:dyDescent="0.25">
      <c r="A369" t="str">
        <f>"300442"</f>
        <v>300442</v>
      </c>
      <c r="B369" t="s">
        <v>3175</v>
      </c>
    </row>
    <row r="370" spans="1:2" x14ac:dyDescent="0.25">
      <c r="A370" t="str">
        <f>"300443"</f>
        <v>300443</v>
      </c>
      <c r="B370" t="s">
        <v>3176</v>
      </c>
    </row>
    <row r="371" spans="1:2" x14ac:dyDescent="0.25">
      <c r="A371" t="str">
        <f>"300444"</f>
        <v>300444</v>
      </c>
      <c r="B371" t="s">
        <v>3177</v>
      </c>
    </row>
    <row r="372" spans="1:2" x14ac:dyDescent="0.25">
      <c r="A372" t="str">
        <f>"300445"</f>
        <v>300445</v>
      </c>
      <c r="B372" t="s">
        <v>3178</v>
      </c>
    </row>
    <row r="373" spans="1:2" x14ac:dyDescent="0.25">
      <c r="A373" t="str">
        <f>"300446"</f>
        <v>300446</v>
      </c>
      <c r="B373" t="s">
        <v>3179</v>
      </c>
    </row>
    <row r="374" spans="1:2" x14ac:dyDescent="0.25">
      <c r="A374" t="str">
        <f>"300447"</f>
        <v>300447</v>
      </c>
      <c r="B374" t="s">
        <v>3180</v>
      </c>
    </row>
    <row r="375" spans="1:2" x14ac:dyDescent="0.25">
      <c r="A375" t="str">
        <f>"300448"</f>
        <v>300448</v>
      </c>
      <c r="B375" t="s">
        <v>3181</v>
      </c>
    </row>
    <row r="376" spans="1:2" x14ac:dyDescent="0.25">
      <c r="A376" t="str">
        <f>"300449"</f>
        <v>300449</v>
      </c>
      <c r="B376" t="s">
        <v>3182</v>
      </c>
    </row>
    <row r="377" spans="1:2" x14ac:dyDescent="0.25">
      <c r="A377" t="str">
        <f>"300450"</f>
        <v>300450</v>
      </c>
      <c r="B377" t="s">
        <v>3183</v>
      </c>
    </row>
    <row r="378" spans="1:2" x14ac:dyDescent="0.25">
      <c r="A378" t="str">
        <f>"300451"</f>
        <v>300451</v>
      </c>
      <c r="B378" t="s">
        <v>3184</v>
      </c>
    </row>
    <row r="379" spans="1:2" x14ac:dyDescent="0.25">
      <c r="A379" t="str">
        <f>"300452"</f>
        <v>300452</v>
      </c>
      <c r="B379" t="s">
        <v>3185</v>
      </c>
    </row>
    <row r="380" spans="1:2" x14ac:dyDescent="0.25">
      <c r="A380" t="str">
        <f>"300453"</f>
        <v>300453</v>
      </c>
      <c r="B380" t="s">
        <v>3186</v>
      </c>
    </row>
    <row r="381" spans="1:2" x14ac:dyDescent="0.25">
      <c r="A381" t="str">
        <f>"300454"</f>
        <v>300454</v>
      </c>
      <c r="B381" t="s">
        <v>3187</v>
      </c>
    </row>
    <row r="382" spans="1:2" x14ac:dyDescent="0.25">
      <c r="A382" t="str">
        <f>"300455"</f>
        <v>300455</v>
      </c>
      <c r="B382" t="s">
        <v>3188</v>
      </c>
    </row>
    <row r="383" spans="1:2" x14ac:dyDescent="0.25">
      <c r="A383" t="str">
        <f>"300456"</f>
        <v>300456</v>
      </c>
      <c r="B383" t="s">
        <v>3189</v>
      </c>
    </row>
    <row r="384" spans="1:2" x14ac:dyDescent="0.25">
      <c r="A384" t="str">
        <f>"300457"</f>
        <v>300457</v>
      </c>
      <c r="B384" t="s">
        <v>3190</v>
      </c>
    </row>
    <row r="385" spans="1:2" x14ac:dyDescent="0.25">
      <c r="A385" t="str">
        <f>"300458"</f>
        <v>300458</v>
      </c>
      <c r="B385" t="s">
        <v>3191</v>
      </c>
    </row>
    <row r="386" spans="1:2" x14ac:dyDescent="0.25">
      <c r="A386" t="str">
        <f>"300459"</f>
        <v>300459</v>
      </c>
      <c r="B386" t="s">
        <v>3192</v>
      </c>
    </row>
    <row r="387" spans="1:2" x14ac:dyDescent="0.25">
      <c r="A387" t="str">
        <f>"300460"</f>
        <v>300460</v>
      </c>
      <c r="B387" t="s">
        <v>3193</v>
      </c>
    </row>
    <row r="388" spans="1:2" x14ac:dyDescent="0.25">
      <c r="A388" t="str">
        <f>"300461"</f>
        <v>300461</v>
      </c>
      <c r="B388" t="s">
        <v>3194</v>
      </c>
    </row>
    <row r="389" spans="1:2" x14ac:dyDescent="0.25">
      <c r="A389" t="str">
        <f>"300462"</f>
        <v>300462</v>
      </c>
      <c r="B389" t="s">
        <v>3195</v>
      </c>
    </row>
    <row r="390" spans="1:2" x14ac:dyDescent="0.25">
      <c r="A390" t="str">
        <f>"300463"</f>
        <v>300463</v>
      </c>
      <c r="B390" t="s">
        <v>3196</v>
      </c>
    </row>
    <row r="391" spans="1:2" x14ac:dyDescent="0.25">
      <c r="A391" t="str">
        <f>"300464"</f>
        <v>300464</v>
      </c>
      <c r="B391" t="s">
        <v>3197</v>
      </c>
    </row>
    <row r="392" spans="1:2" x14ac:dyDescent="0.25">
      <c r="A392" t="str">
        <f>"300465"</f>
        <v>300465</v>
      </c>
      <c r="B392" t="s">
        <v>3198</v>
      </c>
    </row>
    <row r="393" spans="1:2" x14ac:dyDescent="0.25">
      <c r="A393" t="str">
        <f>"300466"</f>
        <v>300466</v>
      </c>
      <c r="B393" t="s">
        <v>3199</v>
      </c>
    </row>
    <row r="394" spans="1:2" x14ac:dyDescent="0.25">
      <c r="A394" t="str">
        <f>"300467"</f>
        <v>300467</v>
      </c>
      <c r="B394" t="s">
        <v>3200</v>
      </c>
    </row>
    <row r="395" spans="1:2" x14ac:dyDescent="0.25">
      <c r="A395" t="str">
        <f>"300468"</f>
        <v>300468</v>
      </c>
      <c r="B395" t="s">
        <v>3201</v>
      </c>
    </row>
    <row r="396" spans="1:2" x14ac:dyDescent="0.25">
      <c r="A396" t="str">
        <f>"300469"</f>
        <v>300469</v>
      </c>
      <c r="B396" t="s">
        <v>3202</v>
      </c>
    </row>
    <row r="397" spans="1:2" x14ac:dyDescent="0.25">
      <c r="A397" t="str">
        <f>"300470"</f>
        <v>300470</v>
      </c>
      <c r="B397" t="s">
        <v>3203</v>
      </c>
    </row>
    <row r="398" spans="1:2" x14ac:dyDescent="0.25">
      <c r="A398" t="str">
        <f>"300471"</f>
        <v>300471</v>
      </c>
      <c r="B398" t="s">
        <v>3204</v>
      </c>
    </row>
    <row r="399" spans="1:2" x14ac:dyDescent="0.25">
      <c r="A399" t="str">
        <f>"300472"</f>
        <v>300472</v>
      </c>
      <c r="B399" t="s">
        <v>3205</v>
      </c>
    </row>
    <row r="400" spans="1:2" x14ac:dyDescent="0.25">
      <c r="A400" t="str">
        <f>"300473"</f>
        <v>300473</v>
      </c>
      <c r="B400" t="s">
        <v>3206</v>
      </c>
    </row>
    <row r="401" spans="1:2" x14ac:dyDescent="0.25">
      <c r="A401" t="str">
        <f>"300474"</f>
        <v>300474</v>
      </c>
      <c r="B401" t="s">
        <v>3207</v>
      </c>
    </row>
    <row r="402" spans="1:2" x14ac:dyDescent="0.25">
      <c r="A402" t="str">
        <f>"300475"</f>
        <v>300475</v>
      </c>
      <c r="B402" t="s">
        <v>3208</v>
      </c>
    </row>
    <row r="403" spans="1:2" x14ac:dyDescent="0.25">
      <c r="A403" t="str">
        <f>"300476"</f>
        <v>300476</v>
      </c>
      <c r="B403" t="s">
        <v>3209</v>
      </c>
    </row>
    <row r="404" spans="1:2" x14ac:dyDescent="0.25">
      <c r="A404" t="str">
        <f>"300477"</f>
        <v>300477</v>
      </c>
      <c r="B404" t="s">
        <v>3210</v>
      </c>
    </row>
    <row r="405" spans="1:2" x14ac:dyDescent="0.25">
      <c r="A405" t="str">
        <f>"300478"</f>
        <v>300478</v>
      </c>
      <c r="B405" t="s">
        <v>3211</v>
      </c>
    </row>
    <row r="406" spans="1:2" x14ac:dyDescent="0.25">
      <c r="A406" t="str">
        <f>"300479"</f>
        <v>300479</v>
      </c>
      <c r="B406" t="s">
        <v>3212</v>
      </c>
    </row>
    <row r="407" spans="1:2" x14ac:dyDescent="0.25">
      <c r="A407" t="str">
        <f>"300480"</f>
        <v>300480</v>
      </c>
      <c r="B407" t="s">
        <v>3213</v>
      </c>
    </row>
    <row r="408" spans="1:2" x14ac:dyDescent="0.25">
      <c r="A408" t="str">
        <f>"300481"</f>
        <v>300481</v>
      </c>
      <c r="B408" t="s">
        <v>3214</v>
      </c>
    </row>
    <row r="409" spans="1:2" x14ac:dyDescent="0.25">
      <c r="A409" t="str">
        <f>"300482"</f>
        <v>300482</v>
      </c>
      <c r="B409" t="s">
        <v>3215</v>
      </c>
    </row>
    <row r="410" spans="1:2" x14ac:dyDescent="0.25">
      <c r="A410" t="str">
        <f>"300483"</f>
        <v>300483</v>
      </c>
      <c r="B410" t="s">
        <v>3216</v>
      </c>
    </row>
    <row r="411" spans="1:2" x14ac:dyDescent="0.25">
      <c r="A411" t="str">
        <f>"300484"</f>
        <v>300484</v>
      </c>
      <c r="B411" t="s">
        <v>3217</v>
      </c>
    </row>
    <row r="412" spans="1:2" x14ac:dyDescent="0.25">
      <c r="A412" t="str">
        <f>"300485"</f>
        <v>300485</v>
      </c>
      <c r="B412" t="s">
        <v>3218</v>
      </c>
    </row>
    <row r="413" spans="1:2" x14ac:dyDescent="0.25">
      <c r="A413" t="str">
        <f>"300486"</f>
        <v>300486</v>
      </c>
      <c r="B413" t="s">
        <v>3219</v>
      </c>
    </row>
    <row r="414" spans="1:2" x14ac:dyDescent="0.25">
      <c r="A414" t="str">
        <f>"300487"</f>
        <v>300487</v>
      </c>
      <c r="B414" t="s">
        <v>3220</v>
      </c>
    </row>
    <row r="415" spans="1:2" x14ac:dyDescent="0.25">
      <c r="A415" t="str">
        <f>"300488"</f>
        <v>300488</v>
      </c>
      <c r="B415" t="s">
        <v>3221</v>
      </c>
    </row>
    <row r="416" spans="1:2" x14ac:dyDescent="0.25">
      <c r="A416" t="str">
        <f>"300489"</f>
        <v>300489</v>
      </c>
      <c r="B416" t="s">
        <v>3222</v>
      </c>
    </row>
    <row r="417" spans="1:2" x14ac:dyDescent="0.25">
      <c r="A417" t="str">
        <f>"300490"</f>
        <v>300490</v>
      </c>
      <c r="B417" t="s">
        <v>3223</v>
      </c>
    </row>
    <row r="418" spans="1:2" x14ac:dyDescent="0.25">
      <c r="A418" t="str">
        <f>"300491"</f>
        <v>300491</v>
      </c>
      <c r="B418" t="s">
        <v>3224</v>
      </c>
    </row>
    <row r="419" spans="1:2" x14ac:dyDescent="0.25">
      <c r="A419" t="str">
        <f>"300492"</f>
        <v>300492</v>
      </c>
      <c r="B419" t="s">
        <v>3225</v>
      </c>
    </row>
    <row r="420" spans="1:2" x14ac:dyDescent="0.25">
      <c r="A420" t="str">
        <f>"300493"</f>
        <v>300493</v>
      </c>
      <c r="B420" t="s">
        <v>3226</v>
      </c>
    </row>
    <row r="421" spans="1:2" x14ac:dyDescent="0.25">
      <c r="A421" t="str">
        <f>"300494"</f>
        <v>300494</v>
      </c>
      <c r="B421" t="s">
        <v>3227</v>
      </c>
    </row>
    <row r="422" spans="1:2" x14ac:dyDescent="0.25">
      <c r="A422" t="str">
        <f>"300495"</f>
        <v>300495</v>
      </c>
      <c r="B422" t="s">
        <v>3228</v>
      </c>
    </row>
    <row r="423" spans="1:2" x14ac:dyDescent="0.25">
      <c r="A423" t="str">
        <f>"300496"</f>
        <v>300496</v>
      </c>
      <c r="B423" t="s">
        <v>3229</v>
      </c>
    </row>
    <row r="424" spans="1:2" x14ac:dyDescent="0.25">
      <c r="A424" t="str">
        <f>"300497"</f>
        <v>300497</v>
      </c>
      <c r="B424" t="s">
        <v>3230</v>
      </c>
    </row>
    <row r="425" spans="1:2" x14ac:dyDescent="0.25">
      <c r="A425" t="str">
        <f>"300498"</f>
        <v>300498</v>
      </c>
      <c r="B425" t="s">
        <v>3231</v>
      </c>
    </row>
    <row r="426" spans="1:2" x14ac:dyDescent="0.25">
      <c r="A426" t="str">
        <f>"300499"</f>
        <v>300499</v>
      </c>
      <c r="B426" t="s">
        <v>3232</v>
      </c>
    </row>
    <row r="427" spans="1:2" x14ac:dyDescent="0.25">
      <c r="A427" t="str">
        <f>"300500"</f>
        <v>300500</v>
      </c>
      <c r="B427" t="s">
        <v>3233</v>
      </c>
    </row>
    <row r="428" spans="1:2" x14ac:dyDescent="0.25">
      <c r="A428" t="str">
        <f>"300501"</f>
        <v>300501</v>
      </c>
      <c r="B428" t="s">
        <v>3234</v>
      </c>
    </row>
    <row r="429" spans="1:2" x14ac:dyDescent="0.25">
      <c r="A429" t="str">
        <f>"300502"</f>
        <v>300502</v>
      </c>
      <c r="B429" t="s">
        <v>3235</v>
      </c>
    </row>
    <row r="430" spans="1:2" x14ac:dyDescent="0.25">
      <c r="A430" t="str">
        <f>"300503"</f>
        <v>300503</v>
      </c>
      <c r="B430" t="s">
        <v>3236</v>
      </c>
    </row>
    <row r="431" spans="1:2" x14ac:dyDescent="0.25">
      <c r="A431" t="str">
        <f>"300504"</f>
        <v>300504</v>
      </c>
      <c r="B431" t="s">
        <v>3237</v>
      </c>
    </row>
    <row r="432" spans="1:2" x14ac:dyDescent="0.25">
      <c r="A432" t="str">
        <f>"300505"</f>
        <v>300505</v>
      </c>
      <c r="B432" t="s">
        <v>3238</v>
      </c>
    </row>
    <row r="433" spans="1:2" x14ac:dyDescent="0.25">
      <c r="A433" t="str">
        <f>"300506"</f>
        <v>300506</v>
      </c>
      <c r="B433" t="s">
        <v>3239</v>
      </c>
    </row>
    <row r="434" spans="1:2" x14ac:dyDescent="0.25">
      <c r="A434" t="str">
        <f>"300507"</f>
        <v>300507</v>
      </c>
      <c r="B434" t="s">
        <v>3240</v>
      </c>
    </row>
    <row r="435" spans="1:2" x14ac:dyDescent="0.25">
      <c r="A435" t="str">
        <f>"300508"</f>
        <v>300508</v>
      </c>
      <c r="B435" t="s">
        <v>3241</v>
      </c>
    </row>
    <row r="436" spans="1:2" x14ac:dyDescent="0.25">
      <c r="A436" t="str">
        <f>"300509"</f>
        <v>300509</v>
      </c>
      <c r="B436" t="s">
        <v>3242</v>
      </c>
    </row>
    <row r="437" spans="1:2" x14ac:dyDescent="0.25">
      <c r="A437" t="str">
        <f>"300510"</f>
        <v>300510</v>
      </c>
      <c r="B437" t="s">
        <v>3243</v>
      </c>
    </row>
    <row r="438" spans="1:2" x14ac:dyDescent="0.25">
      <c r="A438" t="str">
        <f>"300511"</f>
        <v>300511</v>
      </c>
      <c r="B438" t="s">
        <v>3244</v>
      </c>
    </row>
    <row r="439" spans="1:2" x14ac:dyDescent="0.25">
      <c r="A439" t="str">
        <f>"300512"</f>
        <v>300512</v>
      </c>
      <c r="B439" t="s">
        <v>3245</v>
      </c>
    </row>
    <row r="440" spans="1:2" x14ac:dyDescent="0.25">
      <c r="A440" t="str">
        <f>"300513"</f>
        <v>300513</v>
      </c>
      <c r="B440" t="s">
        <v>3246</v>
      </c>
    </row>
    <row r="441" spans="1:2" x14ac:dyDescent="0.25">
      <c r="A441" t="str">
        <f>"300514"</f>
        <v>300514</v>
      </c>
      <c r="B441" t="s">
        <v>3247</v>
      </c>
    </row>
    <row r="442" spans="1:2" x14ac:dyDescent="0.25">
      <c r="A442" t="str">
        <f>"300515"</f>
        <v>300515</v>
      </c>
      <c r="B442" t="s">
        <v>3248</v>
      </c>
    </row>
    <row r="443" spans="1:2" x14ac:dyDescent="0.25">
      <c r="A443" t="str">
        <f>"300516"</f>
        <v>300516</v>
      </c>
      <c r="B443" t="s">
        <v>3249</v>
      </c>
    </row>
    <row r="444" spans="1:2" x14ac:dyDescent="0.25">
      <c r="A444" t="str">
        <f>"300517"</f>
        <v>300517</v>
      </c>
      <c r="B444" t="s">
        <v>2147</v>
      </c>
    </row>
    <row r="445" spans="1:2" x14ac:dyDescent="0.25">
      <c r="A445" t="str">
        <f>"300518"</f>
        <v>300518</v>
      </c>
      <c r="B445" t="s">
        <v>3250</v>
      </c>
    </row>
    <row r="446" spans="1:2" x14ac:dyDescent="0.25">
      <c r="A446" t="str">
        <f>"300519"</f>
        <v>300519</v>
      </c>
      <c r="B446" t="s">
        <v>3251</v>
      </c>
    </row>
    <row r="447" spans="1:2" x14ac:dyDescent="0.25">
      <c r="A447" t="str">
        <f>"300520"</f>
        <v>300520</v>
      </c>
      <c r="B447" t="s">
        <v>3252</v>
      </c>
    </row>
    <row r="448" spans="1:2" x14ac:dyDescent="0.25">
      <c r="A448" t="str">
        <f>"300521"</f>
        <v>300521</v>
      </c>
      <c r="B448" t="s">
        <v>3253</v>
      </c>
    </row>
    <row r="449" spans="1:2" x14ac:dyDescent="0.25">
      <c r="A449" t="str">
        <f>"300522"</f>
        <v>300522</v>
      </c>
      <c r="B449" t="s">
        <v>3254</v>
      </c>
    </row>
    <row r="450" spans="1:2" x14ac:dyDescent="0.25">
      <c r="A450" t="str">
        <f>"300523"</f>
        <v>300523</v>
      </c>
      <c r="B450" t="s">
        <v>3255</v>
      </c>
    </row>
    <row r="451" spans="1:2" x14ac:dyDescent="0.25">
      <c r="A451" t="str">
        <f>"300524"</f>
        <v>300524</v>
      </c>
      <c r="B451" t="s">
        <v>3256</v>
      </c>
    </row>
    <row r="452" spans="1:2" x14ac:dyDescent="0.25">
      <c r="A452" t="str">
        <f>"300525"</f>
        <v>300525</v>
      </c>
      <c r="B452" t="s">
        <v>3257</v>
      </c>
    </row>
    <row r="453" spans="1:2" x14ac:dyDescent="0.25">
      <c r="A453" t="str">
        <f>"300526"</f>
        <v>300526</v>
      </c>
      <c r="B453" t="s">
        <v>3258</v>
      </c>
    </row>
    <row r="454" spans="1:2" x14ac:dyDescent="0.25">
      <c r="A454" t="str">
        <f>"300527"</f>
        <v>300527</v>
      </c>
      <c r="B454" t="s">
        <v>3259</v>
      </c>
    </row>
    <row r="455" spans="1:2" x14ac:dyDescent="0.25">
      <c r="A455" t="str">
        <f>"300528"</f>
        <v>300528</v>
      </c>
      <c r="B455" t="s">
        <v>3260</v>
      </c>
    </row>
    <row r="456" spans="1:2" x14ac:dyDescent="0.25">
      <c r="A456" t="str">
        <f>"300529"</f>
        <v>300529</v>
      </c>
      <c r="B456" t="s">
        <v>3261</v>
      </c>
    </row>
    <row r="457" spans="1:2" x14ac:dyDescent="0.25">
      <c r="A457" t="str">
        <f>"300530"</f>
        <v>300530</v>
      </c>
      <c r="B457" t="s">
        <v>3262</v>
      </c>
    </row>
    <row r="458" spans="1:2" x14ac:dyDescent="0.25">
      <c r="A458" t="str">
        <f>"300531"</f>
        <v>300531</v>
      </c>
      <c r="B458" t="s">
        <v>3263</v>
      </c>
    </row>
    <row r="459" spans="1:2" x14ac:dyDescent="0.25">
      <c r="A459" t="str">
        <f>"300532"</f>
        <v>300532</v>
      </c>
      <c r="B459" t="s">
        <v>3264</v>
      </c>
    </row>
    <row r="460" spans="1:2" x14ac:dyDescent="0.25">
      <c r="A460" t="str">
        <f>"300533"</f>
        <v>300533</v>
      </c>
      <c r="B460" t="s">
        <v>3265</v>
      </c>
    </row>
    <row r="461" spans="1:2" x14ac:dyDescent="0.25">
      <c r="A461" t="str">
        <f>"300534"</f>
        <v>300534</v>
      </c>
      <c r="B461" t="s">
        <v>3266</v>
      </c>
    </row>
    <row r="462" spans="1:2" x14ac:dyDescent="0.25">
      <c r="A462" t="str">
        <f>"300535"</f>
        <v>300535</v>
      </c>
      <c r="B462" t="s">
        <v>3267</v>
      </c>
    </row>
    <row r="463" spans="1:2" x14ac:dyDescent="0.25">
      <c r="A463" t="str">
        <f>"300536"</f>
        <v>300536</v>
      </c>
      <c r="B463" t="s">
        <v>2544</v>
      </c>
    </row>
    <row r="464" spans="1:2" x14ac:dyDescent="0.25">
      <c r="A464" t="str">
        <f>"300537"</f>
        <v>300537</v>
      </c>
      <c r="B464" t="s">
        <v>3268</v>
      </c>
    </row>
    <row r="465" spans="1:2" x14ac:dyDescent="0.25">
      <c r="A465" t="str">
        <f>"300538"</f>
        <v>300538</v>
      </c>
      <c r="B465" t="s">
        <v>3269</v>
      </c>
    </row>
    <row r="466" spans="1:2" x14ac:dyDescent="0.25">
      <c r="A466" t="str">
        <f>"300539"</f>
        <v>300539</v>
      </c>
      <c r="B466" t="s">
        <v>3270</v>
      </c>
    </row>
    <row r="467" spans="1:2" x14ac:dyDescent="0.25">
      <c r="A467" t="str">
        <f>"300540"</f>
        <v>300540</v>
      </c>
      <c r="B467" t="s">
        <v>3271</v>
      </c>
    </row>
    <row r="468" spans="1:2" x14ac:dyDescent="0.25">
      <c r="A468" t="str">
        <f>"300541"</f>
        <v>300541</v>
      </c>
      <c r="B468" t="s">
        <v>3272</v>
      </c>
    </row>
    <row r="469" spans="1:2" x14ac:dyDescent="0.25">
      <c r="A469" t="str">
        <f>"300542"</f>
        <v>300542</v>
      </c>
      <c r="B469" t="s">
        <v>3273</v>
      </c>
    </row>
    <row r="470" spans="1:2" x14ac:dyDescent="0.25">
      <c r="A470" t="str">
        <f>"300543"</f>
        <v>300543</v>
      </c>
      <c r="B470" t="s">
        <v>3274</v>
      </c>
    </row>
    <row r="471" spans="1:2" x14ac:dyDescent="0.25">
      <c r="A471" t="str">
        <f>"300544"</f>
        <v>300544</v>
      </c>
      <c r="B471" t="s">
        <v>3275</v>
      </c>
    </row>
    <row r="472" spans="1:2" x14ac:dyDescent="0.25">
      <c r="A472" t="str">
        <f>"300545"</f>
        <v>300545</v>
      </c>
      <c r="B472" t="s">
        <v>3276</v>
      </c>
    </row>
    <row r="473" spans="1:2" x14ac:dyDescent="0.25">
      <c r="A473" t="str">
        <f>"300546"</f>
        <v>300546</v>
      </c>
      <c r="B473" t="s">
        <v>3277</v>
      </c>
    </row>
    <row r="474" spans="1:2" x14ac:dyDescent="0.25">
      <c r="A474" t="str">
        <f>"300547"</f>
        <v>300547</v>
      </c>
      <c r="B474" t="s">
        <v>3278</v>
      </c>
    </row>
    <row r="475" spans="1:2" x14ac:dyDescent="0.25">
      <c r="A475" t="str">
        <f>"300548"</f>
        <v>300548</v>
      </c>
      <c r="B475" t="s">
        <v>3279</v>
      </c>
    </row>
    <row r="476" spans="1:2" x14ac:dyDescent="0.25">
      <c r="A476" t="str">
        <f>"300549"</f>
        <v>300549</v>
      </c>
      <c r="B476" t="s">
        <v>3280</v>
      </c>
    </row>
    <row r="477" spans="1:2" x14ac:dyDescent="0.25">
      <c r="A477" t="str">
        <f>"300550"</f>
        <v>300550</v>
      </c>
      <c r="B477" t="s">
        <v>3281</v>
      </c>
    </row>
    <row r="478" spans="1:2" x14ac:dyDescent="0.25">
      <c r="A478" t="str">
        <f>"300551"</f>
        <v>300551</v>
      </c>
      <c r="B478" t="s">
        <v>3282</v>
      </c>
    </row>
    <row r="479" spans="1:2" x14ac:dyDescent="0.25">
      <c r="A479" t="str">
        <f>"300552"</f>
        <v>300552</v>
      </c>
      <c r="B479" t="s">
        <v>3283</v>
      </c>
    </row>
    <row r="480" spans="1:2" x14ac:dyDescent="0.25">
      <c r="A480" t="str">
        <f>"300553"</f>
        <v>300553</v>
      </c>
      <c r="B480" t="s">
        <v>3284</v>
      </c>
    </row>
    <row r="481" spans="1:2" x14ac:dyDescent="0.25">
      <c r="A481" t="str">
        <f>"300554"</f>
        <v>300554</v>
      </c>
      <c r="B481" t="s">
        <v>3285</v>
      </c>
    </row>
    <row r="482" spans="1:2" x14ac:dyDescent="0.25">
      <c r="A482" t="str">
        <f>"300555"</f>
        <v>300555</v>
      </c>
      <c r="B482" t="s">
        <v>3286</v>
      </c>
    </row>
    <row r="483" spans="1:2" x14ac:dyDescent="0.25">
      <c r="A483" t="str">
        <f>"300556"</f>
        <v>300556</v>
      </c>
      <c r="B483" t="s">
        <v>3287</v>
      </c>
    </row>
    <row r="484" spans="1:2" x14ac:dyDescent="0.25">
      <c r="A484" t="str">
        <f>"300557"</f>
        <v>300557</v>
      </c>
      <c r="B484" t="s">
        <v>264</v>
      </c>
    </row>
    <row r="485" spans="1:2" x14ac:dyDescent="0.25">
      <c r="A485" t="str">
        <f>"300558"</f>
        <v>300558</v>
      </c>
      <c r="B485" t="s">
        <v>3288</v>
      </c>
    </row>
    <row r="486" spans="1:2" x14ac:dyDescent="0.25">
      <c r="A486" t="str">
        <f>"300559"</f>
        <v>300559</v>
      </c>
      <c r="B486" t="s">
        <v>3289</v>
      </c>
    </row>
    <row r="487" spans="1:2" x14ac:dyDescent="0.25">
      <c r="A487" t="str">
        <f>"300560"</f>
        <v>300560</v>
      </c>
      <c r="B487" t="s">
        <v>3290</v>
      </c>
    </row>
    <row r="488" spans="1:2" x14ac:dyDescent="0.25">
      <c r="A488" t="str">
        <f>"300561"</f>
        <v>300561</v>
      </c>
      <c r="B488" t="s">
        <v>3291</v>
      </c>
    </row>
    <row r="489" spans="1:2" x14ac:dyDescent="0.25">
      <c r="A489" t="str">
        <f>"300562"</f>
        <v>300562</v>
      </c>
      <c r="B489" t="s">
        <v>3292</v>
      </c>
    </row>
    <row r="490" spans="1:2" x14ac:dyDescent="0.25">
      <c r="A490" t="str">
        <f>"300563"</f>
        <v>300563</v>
      </c>
      <c r="B490" t="s">
        <v>3293</v>
      </c>
    </row>
    <row r="491" spans="1:2" x14ac:dyDescent="0.25">
      <c r="A491" t="str">
        <f>"300564"</f>
        <v>300564</v>
      </c>
      <c r="B491" t="s">
        <v>3294</v>
      </c>
    </row>
    <row r="492" spans="1:2" x14ac:dyDescent="0.25">
      <c r="A492" t="str">
        <f>"300565"</f>
        <v>300565</v>
      </c>
      <c r="B492" t="s">
        <v>3295</v>
      </c>
    </row>
    <row r="493" spans="1:2" x14ac:dyDescent="0.25">
      <c r="A493" t="str">
        <f>"300566"</f>
        <v>300566</v>
      </c>
      <c r="B493" t="s">
        <v>3296</v>
      </c>
    </row>
    <row r="494" spans="1:2" x14ac:dyDescent="0.25">
      <c r="A494" t="str">
        <f>"300568"</f>
        <v>300568</v>
      </c>
      <c r="B494" t="s">
        <v>3297</v>
      </c>
    </row>
    <row r="495" spans="1:2" x14ac:dyDescent="0.25">
      <c r="A495" t="str">
        <f>"300569"</f>
        <v>300569</v>
      </c>
      <c r="B495" t="s">
        <v>3298</v>
      </c>
    </row>
    <row r="496" spans="1:2" x14ac:dyDescent="0.25">
      <c r="A496" t="str">
        <f>"300570"</f>
        <v>300570</v>
      </c>
      <c r="B496" t="s">
        <v>3299</v>
      </c>
    </row>
    <row r="497" spans="1:2" x14ac:dyDescent="0.25">
      <c r="A497" t="str">
        <f>"300571"</f>
        <v>300571</v>
      </c>
      <c r="B497" t="s">
        <v>3300</v>
      </c>
    </row>
    <row r="498" spans="1:2" x14ac:dyDescent="0.25">
      <c r="A498" t="str">
        <f>"300572"</f>
        <v>300572</v>
      </c>
      <c r="B498" t="s">
        <v>3301</v>
      </c>
    </row>
    <row r="499" spans="1:2" x14ac:dyDescent="0.25">
      <c r="A499" t="str">
        <f>"300573"</f>
        <v>300573</v>
      </c>
      <c r="B499" t="s">
        <v>3302</v>
      </c>
    </row>
    <row r="500" spans="1:2" x14ac:dyDescent="0.25">
      <c r="A500" t="str">
        <f>"300574"</f>
        <v>300574</v>
      </c>
      <c r="B500" t="s">
        <v>3303</v>
      </c>
    </row>
    <row r="501" spans="1:2" x14ac:dyDescent="0.25">
      <c r="A501" t="str">
        <f>"300575"</f>
        <v>300575</v>
      </c>
      <c r="B501" t="s">
        <v>3304</v>
      </c>
    </row>
    <row r="502" spans="1:2" x14ac:dyDescent="0.25">
      <c r="A502" t="str">
        <f>"300576"</f>
        <v>300576</v>
      </c>
      <c r="B502" t="s">
        <v>3305</v>
      </c>
    </row>
    <row r="503" spans="1:2" x14ac:dyDescent="0.25">
      <c r="A503" t="str">
        <f>"300577"</f>
        <v>300577</v>
      </c>
      <c r="B503" t="s">
        <v>3306</v>
      </c>
    </row>
    <row r="504" spans="1:2" x14ac:dyDescent="0.25">
      <c r="A504" t="str">
        <f>"300578"</f>
        <v>300578</v>
      </c>
      <c r="B504" t="s">
        <v>3307</v>
      </c>
    </row>
    <row r="505" spans="1:2" x14ac:dyDescent="0.25">
      <c r="A505" t="str">
        <f>"300579"</f>
        <v>300579</v>
      </c>
      <c r="B505" t="s">
        <v>3308</v>
      </c>
    </row>
    <row r="506" spans="1:2" x14ac:dyDescent="0.25">
      <c r="A506" t="str">
        <f>"300580"</f>
        <v>300580</v>
      </c>
      <c r="B506" t="s">
        <v>3309</v>
      </c>
    </row>
    <row r="507" spans="1:2" x14ac:dyDescent="0.25">
      <c r="A507" t="str">
        <f>"300581"</f>
        <v>300581</v>
      </c>
      <c r="B507" t="s">
        <v>3310</v>
      </c>
    </row>
    <row r="508" spans="1:2" x14ac:dyDescent="0.25">
      <c r="A508" t="str">
        <f>"300582"</f>
        <v>300582</v>
      </c>
      <c r="B508" t="s">
        <v>3311</v>
      </c>
    </row>
    <row r="509" spans="1:2" x14ac:dyDescent="0.25">
      <c r="A509" t="str">
        <f>"300583"</f>
        <v>300583</v>
      </c>
      <c r="B509" t="s">
        <v>3312</v>
      </c>
    </row>
    <row r="510" spans="1:2" x14ac:dyDescent="0.25">
      <c r="A510" t="str">
        <f>"300584"</f>
        <v>300584</v>
      </c>
      <c r="B510" t="s">
        <v>3313</v>
      </c>
    </row>
    <row r="511" spans="1:2" x14ac:dyDescent="0.25">
      <c r="A511" t="str">
        <f>"300585"</f>
        <v>300585</v>
      </c>
      <c r="B511" t="s">
        <v>3314</v>
      </c>
    </row>
    <row r="512" spans="1:2" x14ac:dyDescent="0.25">
      <c r="A512" t="str">
        <f>"300586"</f>
        <v>300586</v>
      </c>
      <c r="B512" t="s">
        <v>3315</v>
      </c>
    </row>
    <row r="513" spans="1:2" x14ac:dyDescent="0.25">
      <c r="A513" t="str">
        <f>"300587"</f>
        <v>300587</v>
      </c>
      <c r="B513" t="s">
        <v>3316</v>
      </c>
    </row>
    <row r="514" spans="1:2" x14ac:dyDescent="0.25">
      <c r="A514" t="str">
        <f>"300588"</f>
        <v>300588</v>
      </c>
      <c r="B514" t="s">
        <v>529</v>
      </c>
    </row>
    <row r="515" spans="1:2" x14ac:dyDescent="0.25">
      <c r="A515" t="str">
        <f>"300589"</f>
        <v>300589</v>
      </c>
      <c r="B515" t="s">
        <v>3317</v>
      </c>
    </row>
    <row r="516" spans="1:2" x14ac:dyDescent="0.25">
      <c r="A516" t="str">
        <f>"300590"</f>
        <v>300590</v>
      </c>
      <c r="B516" t="s">
        <v>3318</v>
      </c>
    </row>
    <row r="517" spans="1:2" x14ac:dyDescent="0.25">
      <c r="A517" t="str">
        <f>"300591"</f>
        <v>300591</v>
      </c>
      <c r="B517" t="s">
        <v>3319</v>
      </c>
    </row>
    <row r="518" spans="1:2" x14ac:dyDescent="0.25">
      <c r="A518" t="str">
        <f>"300592"</f>
        <v>300592</v>
      </c>
      <c r="B518" t="s">
        <v>3320</v>
      </c>
    </row>
    <row r="519" spans="1:2" x14ac:dyDescent="0.25">
      <c r="A519" t="str">
        <f>"300593"</f>
        <v>300593</v>
      </c>
      <c r="B519" t="s">
        <v>3321</v>
      </c>
    </row>
    <row r="520" spans="1:2" x14ac:dyDescent="0.25">
      <c r="A520" t="str">
        <f>"300594"</f>
        <v>300594</v>
      </c>
      <c r="B520" t="s">
        <v>3322</v>
      </c>
    </row>
    <row r="521" spans="1:2" x14ac:dyDescent="0.25">
      <c r="A521" t="str">
        <f>"300595"</f>
        <v>300595</v>
      </c>
      <c r="B521" t="s">
        <v>3323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43C2E-CBFE-4318-BF6F-16D731E11E28}">
  <dimension ref="A3:C20"/>
  <sheetViews>
    <sheetView workbookViewId="0">
      <selection activeCell="A3" sqref="A3"/>
    </sheetView>
  </sheetViews>
  <sheetFormatPr baseColWidth="10" defaultRowHeight="15" x14ac:dyDescent="0.25"/>
  <cols>
    <col min="1" max="1" width="71.7109375" bestFit="1" customWidth="1"/>
  </cols>
  <sheetData>
    <row r="3" spans="1:3" x14ac:dyDescent="0.25">
      <c r="A3" s="5"/>
      <c r="B3" s="6"/>
      <c r="C3" s="7"/>
    </row>
    <row r="4" spans="1:3" x14ac:dyDescent="0.25">
      <c r="A4" s="8"/>
      <c r="B4" s="9"/>
      <c r="C4" s="10"/>
    </row>
    <row r="5" spans="1:3" x14ac:dyDescent="0.25">
      <c r="A5" s="8"/>
      <c r="B5" s="9"/>
      <c r="C5" s="10"/>
    </row>
    <row r="6" spans="1:3" x14ac:dyDescent="0.25">
      <c r="A6" s="8"/>
      <c r="B6" s="9"/>
      <c r="C6" s="10"/>
    </row>
    <row r="7" spans="1:3" x14ac:dyDescent="0.25">
      <c r="A7" s="8"/>
      <c r="B7" s="9"/>
      <c r="C7" s="10"/>
    </row>
    <row r="8" spans="1:3" x14ac:dyDescent="0.25">
      <c r="A8" s="8"/>
      <c r="B8" s="9"/>
      <c r="C8" s="10"/>
    </row>
    <row r="9" spans="1:3" x14ac:dyDescent="0.25">
      <c r="A9" s="8"/>
      <c r="B9" s="9"/>
      <c r="C9" s="10"/>
    </row>
    <row r="10" spans="1:3" x14ac:dyDescent="0.25">
      <c r="A10" s="8"/>
      <c r="B10" s="9"/>
      <c r="C10" s="10"/>
    </row>
    <row r="11" spans="1:3" x14ac:dyDescent="0.25">
      <c r="A11" s="8"/>
      <c r="B11" s="9"/>
      <c r="C11" s="10"/>
    </row>
    <row r="12" spans="1:3" x14ac:dyDescent="0.25">
      <c r="A12" s="8"/>
      <c r="B12" s="9"/>
      <c r="C12" s="10"/>
    </row>
    <row r="13" spans="1:3" x14ac:dyDescent="0.25">
      <c r="A13" s="8"/>
      <c r="B13" s="9"/>
      <c r="C13" s="10"/>
    </row>
    <row r="14" spans="1:3" x14ac:dyDescent="0.25">
      <c r="A14" s="8"/>
      <c r="B14" s="9"/>
      <c r="C14" s="10"/>
    </row>
    <row r="15" spans="1:3" x14ac:dyDescent="0.25">
      <c r="A15" s="8"/>
      <c r="B15" s="9"/>
      <c r="C15" s="10"/>
    </row>
    <row r="16" spans="1:3" x14ac:dyDescent="0.25">
      <c r="A16" s="8"/>
      <c r="B16" s="9"/>
      <c r="C16" s="10"/>
    </row>
    <row r="17" spans="1:3" x14ac:dyDescent="0.25">
      <c r="A17" s="8"/>
      <c r="B17" s="9"/>
      <c r="C17" s="10"/>
    </row>
    <row r="18" spans="1:3" x14ac:dyDescent="0.25">
      <c r="A18" s="8"/>
      <c r="B18" s="9"/>
      <c r="C18" s="10"/>
    </row>
    <row r="19" spans="1:3" x14ac:dyDescent="0.25">
      <c r="A19" s="8"/>
      <c r="B19" s="9"/>
      <c r="C19" s="10"/>
    </row>
    <row r="20" spans="1:3" x14ac:dyDescent="0.25">
      <c r="A20" s="11"/>
      <c r="B20" s="12"/>
      <c r="C20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39EC1-30CF-480B-8726-AA1E0EA2F8F1}">
  <dimension ref="A1:E2305"/>
  <sheetViews>
    <sheetView workbookViewId="0">
      <selection sqref="A1:E2305"/>
    </sheetView>
  </sheetViews>
  <sheetFormatPr baseColWidth="10" defaultRowHeight="15" x14ac:dyDescent="0.25"/>
  <cols>
    <col min="1" max="1" width="8.85546875" bestFit="1" customWidth="1"/>
    <col min="2" max="2" width="17.140625" bestFit="1" customWidth="1"/>
    <col min="3" max="3" width="71.7109375" bestFit="1" customWidth="1"/>
    <col min="4" max="4" width="13.7109375" bestFit="1" customWidth="1"/>
    <col min="5" max="5" width="7.5703125" bestFit="1" customWidth="1"/>
  </cols>
  <sheetData>
    <row r="1" spans="1:5" x14ac:dyDescent="0.25">
      <c r="A1" t="s">
        <v>3324</v>
      </c>
      <c r="B1" t="s">
        <v>3325</v>
      </c>
      <c r="C1" t="s">
        <v>3326</v>
      </c>
      <c r="D1" t="s">
        <v>3327</v>
      </c>
      <c r="E1" t="s">
        <v>3328</v>
      </c>
    </row>
    <row r="2" spans="1:5" x14ac:dyDescent="0.25">
      <c r="A2" t="s">
        <v>3329</v>
      </c>
      <c r="B2" t="s">
        <v>3330</v>
      </c>
      <c r="C2" t="s">
        <v>3331</v>
      </c>
      <c r="D2" t="s">
        <v>3332</v>
      </c>
      <c r="E2" t="s">
        <v>3333</v>
      </c>
    </row>
    <row r="3" spans="1:5" x14ac:dyDescent="0.25">
      <c r="A3" t="s">
        <v>3329</v>
      </c>
      <c r="B3" t="s">
        <v>3334</v>
      </c>
      <c r="C3" t="s">
        <v>3335</v>
      </c>
      <c r="D3" t="s">
        <v>3332</v>
      </c>
      <c r="E3" t="s">
        <v>3336</v>
      </c>
    </row>
    <row r="4" spans="1:5" x14ac:dyDescent="0.25">
      <c r="A4" t="s">
        <v>3329</v>
      </c>
      <c r="B4" t="s">
        <v>3337</v>
      </c>
      <c r="C4" t="s">
        <v>3338</v>
      </c>
      <c r="D4" t="s">
        <v>3332</v>
      </c>
      <c r="E4" t="s">
        <v>3339</v>
      </c>
    </row>
    <row r="5" spans="1:5" x14ac:dyDescent="0.25">
      <c r="A5" t="s">
        <v>3329</v>
      </c>
      <c r="B5" t="s">
        <v>3340</v>
      </c>
      <c r="C5" t="s">
        <v>3341</v>
      </c>
      <c r="D5" t="s">
        <v>3332</v>
      </c>
      <c r="E5" t="s">
        <v>3339</v>
      </c>
    </row>
    <row r="6" spans="1:5" x14ac:dyDescent="0.25">
      <c r="A6" t="s">
        <v>3329</v>
      </c>
      <c r="B6" t="s">
        <v>3342</v>
      </c>
      <c r="C6" t="s">
        <v>3343</v>
      </c>
      <c r="D6" t="s">
        <v>3332</v>
      </c>
      <c r="E6" t="s">
        <v>3344</v>
      </c>
    </row>
    <row r="7" spans="1:5" x14ac:dyDescent="0.25">
      <c r="A7" t="s">
        <v>3329</v>
      </c>
      <c r="B7" t="s">
        <v>3345</v>
      </c>
      <c r="C7" t="s">
        <v>3346</v>
      </c>
      <c r="D7" t="s">
        <v>3332</v>
      </c>
      <c r="E7" t="s">
        <v>3344</v>
      </c>
    </row>
    <row r="8" spans="1:5" x14ac:dyDescent="0.25">
      <c r="A8" t="s">
        <v>3329</v>
      </c>
      <c r="B8" t="s">
        <v>3347</v>
      </c>
      <c r="C8" t="s">
        <v>3348</v>
      </c>
      <c r="D8" t="s">
        <v>3332</v>
      </c>
      <c r="E8" t="s">
        <v>3344</v>
      </c>
    </row>
    <row r="9" spans="1:5" x14ac:dyDescent="0.25">
      <c r="A9" t="s">
        <v>3329</v>
      </c>
      <c r="B9" t="s">
        <v>3349</v>
      </c>
      <c r="C9" t="s">
        <v>3350</v>
      </c>
      <c r="D9" t="s">
        <v>3332</v>
      </c>
      <c r="E9" t="s">
        <v>3344</v>
      </c>
    </row>
    <row r="10" spans="1:5" x14ac:dyDescent="0.25">
      <c r="A10" t="s">
        <v>3329</v>
      </c>
      <c r="B10" t="s">
        <v>3351</v>
      </c>
      <c r="C10" t="s">
        <v>3352</v>
      </c>
      <c r="D10" t="s">
        <v>3332</v>
      </c>
      <c r="E10" t="s">
        <v>3344</v>
      </c>
    </row>
    <row r="11" spans="1:5" x14ac:dyDescent="0.25">
      <c r="A11" t="s">
        <v>3329</v>
      </c>
      <c r="B11" t="s">
        <v>3353</v>
      </c>
      <c r="C11" t="s">
        <v>3354</v>
      </c>
      <c r="D11" t="s">
        <v>3332</v>
      </c>
      <c r="E11" t="s">
        <v>3339</v>
      </c>
    </row>
    <row r="12" spans="1:5" x14ac:dyDescent="0.25">
      <c r="A12" t="s">
        <v>3329</v>
      </c>
      <c r="B12" t="s">
        <v>3355</v>
      </c>
      <c r="C12" t="s">
        <v>3356</v>
      </c>
      <c r="D12" t="s">
        <v>3332</v>
      </c>
      <c r="E12" t="s">
        <v>3339</v>
      </c>
    </row>
    <row r="13" spans="1:5" x14ac:dyDescent="0.25">
      <c r="A13" t="s">
        <v>3329</v>
      </c>
      <c r="B13" t="s">
        <v>3357</v>
      </c>
      <c r="C13" t="s">
        <v>3358</v>
      </c>
      <c r="D13" t="s">
        <v>3332</v>
      </c>
      <c r="E13" t="s">
        <v>3339</v>
      </c>
    </row>
    <row r="14" spans="1:5" x14ac:dyDescent="0.25">
      <c r="A14" t="s">
        <v>3329</v>
      </c>
      <c r="B14" t="s">
        <v>3359</v>
      </c>
      <c r="C14" t="s">
        <v>3360</v>
      </c>
      <c r="D14" t="s">
        <v>3332</v>
      </c>
      <c r="E14" t="s">
        <v>3339</v>
      </c>
    </row>
    <row r="15" spans="1:5" x14ac:dyDescent="0.25">
      <c r="A15" t="s">
        <v>3329</v>
      </c>
      <c r="B15" t="s">
        <v>3361</v>
      </c>
      <c r="C15" t="s">
        <v>3362</v>
      </c>
      <c r="D15" t="s">
        <v>3332</v>
      </c>
      <c r="E15" t="s">
        <v>3339</v>
      </c>
    </row>
    <row r="16" spans="1:5" x14ac:dyDescent="0.25">
      <c r="A16" t="s">
        <v>3329</v>
      </c>
      <c r="B16" t="s">
        <v>3363</v>
      </c>
      <c r="C16" t="s">
        <v>3364</v>
      </c>
      <c r="D16" t="s">
        <v>3332</v>
      </c>
      <c r="E16" t="s">
        <v>3339</v>
      </c>
    </row>
    <row r="17" spans="1:5" x14ac:dyDescent="0.25">
      <c r="A17" t="s">
        <v>3329</v>
      </c>
      <c r="B17" t="s">
        <v>3365</v>
      </c>
      <c r="C17" t="s">
        <v>3366</v>
      </c>
      <c r="D17" t="s">
        <v>3332</v>
      </c>
      <c r="E17" t="s">
        <v>3339</v>
      </c>
    </row>
    <row r="18" spans="1:5" x14ac:dyDescent="0.25">
      <c r="A18" t="s">
        <v>3329</v>
      </c>
      <c r="B18" t="s">
        <v>3367</v>
      </c>
      <c r="C18" t="s">
        <v>3368</v>
      </c>
      <c r="D18" t="s">
        <v>3332</v>
      </c>
      <c r="E18" t="s">
        <v>3344</v>
      </c>
    </row>
    <row r="19" spans="1:5" x14ac:dyDescent="0.25">
      <c r="A19" t="s">
        <v>3329</v>
      </c>
      <c r="B19" t="s">
        <v>3369</v>
      </c>
      <c r="C19" t="s">
        <v>3370</v>
      </c>
      <c r="D19" t="s">
        <v>3332</v>
      </c>
      <c r="E19" t="s">
        <v>3344</v>
      </c>
    </row>
    <row r="20" spans="1:5" x14ac:dyDescent="0.25">
      <c r="A20" t="s">
        <v>3329</v>
      </c>
      <c r="B20" t="s">
        <v>3371</v>
      </c>
      <c r="C20" t="s">
        <v>3372</v>
      </c>
      <c r="D20" t="s">
        <v>3332</v>
      </c>
      <c r="E20" t="s">
        <v>3344</v>
      </c>
    </row>
    <row r="21" spans="1:5" x14ac:dyDescent="0.25">
      <c r="A21" t="s">
        <v>3329</v>
      </c>
      <c r="B21" t="s">
        <v>3373</v>
      </c>
      <c r="C21" t="s">
        <v>3374</v>
      </c>
      <c r="D21" t="s">
        <v>3332</v>
      </c>
      <c r="E21" t="s">
        <v>3344</v>
      </c>
    </row>
    <row r="22" spans="1:5" x14ac:dyDescent="0.25">
      <c r="A22" t="s">
        <v>3329</v>
      </c>
      <c r="B22" t="s">
        <v>3375</v>
      </c>
      <c r="C22" t="s">
        <v>3376</v>
      </c>
      <c r="D22" t="s">
        <v>3332</v>
      </c>
      <c r="E22" t="s">
        <v>3344</v>
      </c>
    </row>
    <row r="23" spans="1:5" x14ac:dyDescent="0.25">
      <c r="A23" t="s">
        <v>3329</v>
      </c>
      <c r="B23" t="s">
        <v>3377</v>
      </c>
      <c r="C23" t="s">
        <v>3378</v>
      </c>
      <c r="D23" t="s">
        <v>3332</v>
      </c>
      <c r="E23" t="s">
        <v>3344</v>
      </c>
    </row>
    <row r="24" spans="1:5" x14ac:dyDescent="0.25">
      <c r="A24" t="s">
        <v>3329</v>
      </c>
      <c r="B24" t="s">
        <v>3379</v>
      </c>
      <c r="C24" t="s">
        <v>3380</v>
      </c>
      <c r="D24" t="s">
        <v>3332</v>
      </c>
      <c r="E24" t="s">
        <v>3344</v>
      </c>
    </row>
    <row r="25" spans="1:5" x14ac:dyDescent="0.25">
      <c r="A25" t="s">
        <v>3329</v>
      </c>
      <c r="B25" t="s">
        <v>3381</v>
      </c>
      <c r="C25" t="s">
        <v>3382</v>
      </c>
      <c r="D25" t="s">
        <v>3332</v>
      </c>
      <c r="E25" t="s">
        <v>3339</v>
      </c>
    </row>
    <row r="26" spans="1:5" x14ac:dyDescent="0.25">
      <c r="A26" t="s">
        <v>3329</v>
      </c>
      <c r="B26" t="s">
        <v>3383</v>
      </c>
      <c r="C26" t="s">
        <v>3384</v>
      </c>
      <c r="D26" t="s">
        <v>3332</v>
      </c>
      <c r="E26" t="s">
        <v>3339</v>
      </c>
    </row>
    <row r="27" spans="1:5" x14ac:dyDescent="0.25">
      <c r="A27" t="s">
        <v>3329</v>
      </c>
      <c r="B27" t="s">
        <v>3385</v>
      </c>
      <c r="C27" t="s">
        <v>3386</v>
      </c>
      <c r="D27" t="s">
        <v>3332</v>
      </c>
      <c r="E27" t="s">
        <v>3339</v>
      </c>
    </row>
    <row r="28" spans="1:5" x14ac:dyDescent="0.25">
      <c r="A28" t="s">
        <v>3329</v>
      </c>
      <c r="B28" t="s">
        <v>3387</v>
      </c>
      <c r="C28" t="s">
        <v>3388</v>
      </c>
      <c r="D28" t="s">
        <v>3332</v>
      </c>
      <c r="E28" t="s">
        <v>3339</v>
      </c>
    </row>
    <row r="29" spans="1:5" x14ac:dyDescent="0.25">
      <c r="A29" t="s">
        <v>3329</v>
      </c>
      <c r="B29" t="s">
        <v>3389</v>
      </c>
      <c r="C29" t="s">
        <v>3390</v>
      </c>
      <c r="D29" t="s">
        <v>3332</v>
      </c>
      <c r="E29" t="s">
        <v>3339</v>
      </c>
    </row>
    <row r="30" spans="1:5" x14ac:dyDescent="0.25">
      <c r="A30" t="s">
        <v>3329</v>
      </c>
      <c r="B30" t="s">
        <v>3391</v>
      </c>
      <c r="C30" t="s">
        <v>3392</v>
      </c>
      <c r="D30" t="s">
        <v>3332</v>
      </c>
      <c r="E30" t="s">
        <v>3339</v>
      </c>
    </row>
    <row r="31" spans="1:5" x14ac:dyDescent="0.25">
      <c r="A31" t="s">
        <v>3329</v>
      </c>
      <c r="B31" t="s">
        <v>3393</v>
      </c>
      <c r="C31" t="s">
        <v>3394</v>
      </c>
      <c r="D31" t="s">
        <v>3332</v>
      </c>
      <c r="E31" t="s">
        <v>3339</v>
      </c>
    </row>
    <row r="32" spans="1:5" x14ac:dyDescent="0.25">
      <c r="A32" t="s">
        <v>3329</v>
      </c>
      <c r="B32" t="s">
        <v>3395</v>
      </c>
      <c r="C32" t="s">
        <v>3396</v>
      </c>
      <c r="D32" t="s">
        <v>3332</v>
      </c>
      <c r="E32" t="s">
        <v>3339</v>
      </c>
    </row>
    <row r="33" spans="1:5" x14ac:dyDescent="0.25">
      <c r="A33" t="s">
        <v>3329</v>
      </c>
      <c r="B33" t="s">
        <v>3397</v>
      </c>
      <c r="C33" t="s">
        <v>3398</v>
      </c>
      <c r="D33" t="s">
        <v>3332</v>
      </c>
      <c r="E33" t="s">
        <v>3339</v>
      </c>
    </row>
    <row r="34" spans="1:5" x14ac:dyDescent="0.25">
      <c r="A34" t="s">
        <v>3329</v>
      </c>
      <c r="B34" t="s">
        <v>3399</v>
      </c>
      <c r="C34" t="s">
        <v>3400</v>
      </c>
      <c r="D34" t="s">
        <v>3332</v>
      </c>
      <c r="E34" t="s">
        <v>3344</v>
      </c>
    </row>
    <row r="35" spans="1:5" x14ac:dyDescent="0.25">
      <c r="A35" t="s">
        <v>3329</v>
      </c>
      <c r="B35" t="s">
        <v>3401</v>
      </c>
      <c r="C35" t="s">
        <v>3402</v>
      </c>
      <c r="D35" t="s">
        <v>3332</v>
      </c>
      <c r="E35" t="s">
        <v>3344</v>
      </c>
    </row>
    <row r="36" spans="1:5" x14ac:dyDescent="0.25">
      <c r="A36" t="s">
        <v>3329</v>
      </c>
      <c r="B36" t="s">
        <v>3403</v>
      </c>
      <c r="C36" t="s">
        <v>3404</v>
      </c>
      <c r="D36" t="s">
        <v>3332</v>
      </c>
      <c r="E36" t="s">
        <v>3339</v>
      </c>
    </row>
    <row r="37" spans="1:5" x14ac:dyDescent="0.25">
      <c r="A37" t="s">
        <v>3329</v>
      </c>
      <c r="B37" t="s">
        <v>3405</v>
      </c>
      <c r="C37" t="s">
        <v>3406</v>
      </c>
      <c r="D37" t="s">
        <v>3332</v>
      </c>
      <c r="E37" t="s">
        <v>3344</v>
      </c>
    </row>
    <row r="38" spans="1:5" x14ac:dyDescent="0.25">
      <c r="A38" t="s">
        <v>3329</v>
      </c>
      <c r="B38" t="s">
        <v>3407</v>
      </c>
      <c r="C38" t="s">
        <v>3408</v>
      </c>
      <c r="D38" t="s">
        <v>3332</v>
      </c>
      <c r="E38" t="s">
        <v>3344</v>
      </c>
    </row>
    <row r="39" spans="1:5" x14ac:dyDescent="0.25">
      <c r="A39" t="s">
        <v>3329</v>
      </c>
      <c r="B39" t="s">
        <v>3409</v>
      </c>
      <c r="C39" t="s">
        <v>3410</v>
      </c>
      <c r="D39" t="s">
        <v>3332</v>
      </c>
      <c r="E39" t="s">
        <v>3344</v>
      </c>
    </row>
    <row r="40" spans="1:5" x14ac:dyDescent="0.25">
      <c r="A40" t="s">
        <v>3329</v>
      </c>
      <c r="B40" t="s">
        <v>3411</v>
      </c>
      <c r="C40" t="s">
        <v>3412</v>
      </c>
      <c r="D40" t="s">
        <v>3332</v>
      </c>
      <c r="E40" t="s">
        <v>3344</v>
      </c>
    </row>
    <row r="41" spans="1:5" x14ac:dyDescent="0.25">
      <c r="A41" t="s">
        <v>3329</v>
      </c>
      <c r="B41" t="s">
        <v>3413</v>
      </c>
      <c r="C41" t="s">
        <v>3414</v>
      </c>
      <c r="D41" t="s">
        <v>3332</v>
      </c>
      <c r="E41" t="s">
        <v>3339</v>
      </c>
    </row>
    <row r="42" spans="1:5" x14ac:dyDescent="0.25">
      <c r="A42" t="s">
        <v>3329</v>
      </c>
      <c r="B42" t="s">
        <v>3415</v>
      </c>
      <c r="C42" t="s">
        <v>3416</v>
      </c>
      <c r="D42" t="s">
        <v>3332</v>
      </c>
      <c r="E42" t="s">
        <v>3339</v>
      </c>
    </row>
    <row r="43" spans="1:5" x14ac:dyDescent="0.25">
      <c r="A43" t="s">
        <v>3329</v>
      </c>
      <c r="B43" t="s">
        <v>3417</v>
      </c>
      <c r="C43" t="s">
        <v>3418</v>
      </c>
      <c r="D43" t="s">
        <v>3332</v>
      </c>
      <c r="E43" t="s">
        <v>3339</v>
      </c>
    </row>
    <row r="44" spans="1:5" x14ac:dyDescent="0.25">
      <c r="A44" t="s">
        <v>3329</v>
      </c>
      <c r="B44" t="s">
        <v>3419</v>
      </c>
      <c r="C44" t="s">
        <v>3420</v>
      </c>
      <c r="D44" t="s">
        <v>3332</v>
      </c>
      <c r="E44" t="s">
        <v>3339</v>
      </c>
    </row>
    <row r="45" spans="1:5" x14ac:dyDescent="0.25">
      <c r="A45" t="s">
        <v>3329</v>
      </c>
      <c r="B45" t="s">
        <v>3421</v>
      </c>
      <c r="C45" t="s">
        <v>3422</v>
      </c>
      <c r="D45" t="s">
        <v>3332</v>
      </c>
      <c r="E45" t="s">
        <v>3339</v>
      </c>
    </row>
    <row r="46" spans="1:5" x14ac:dyDescent="0.25">
      <c r="A46" t="s">
        <v>3329</v>
      </c>
      <c r="B46" t="s">
        <v>3423</v>
      </c>
      <c r="C46" t="s">
        <v>3424</v>
      </c>
      <c r="D46" t="s">
        <v>3332</v>
      </c>
      <c r="E46" t="s">
        <v>3339</v>
      </c>
    </row>
    <row r="47" spans="1:5" x14ac:dyDescent="0.25">
      <c r="A47" t="s">
        <v>3329</v>
      </c>
      <c r="B47" t="s">
        <v>3425</v>
      </c>
      <c r="C47" t="s">
        <v>3426</v>
      </c>
      <c r="D47" t="s">
        <v>3332</v>
      </c>
      <c r="E47" t="s">
        <v>3339</v>
      </c>
    </row>
    <row r="48" spans="1:5" x14ac:dyDescent="0.25">
      <c r="A48" t="s">
        <v>3329</v>
      </c>
      <c r="B48" t="s">
        <v>3427</v>
      </c>
      <c r="C48" t="s">
        <v>3428</v>
      </c>
      <c r="D48" t="s">
        <v>3332</v>
      </c>
      <c r="E48" t="s">
        <v>3339</v>
      </c>
    </row>
    <row r="49" spans="1:5" x14ac:dyDescent="0.25">
      <c r="A49" t="s">
        <v>3329</v>
      </c>
      <c r="B49" t="s">
        <v>3429</v>
      </c>
      <c r="C49" t="s">
        <v>3430</v>
      </c>
      <c r="D49" t="s">
        <v>3332</v>
      </c>
      <c r="E49" t="s">
        <v>3339</v>
      </c>
    </row>
    <row r="50" spans="1:5" x14ac:dyDescent="0.25">
      <c r="A50" t="s">
        <v>3329</v>
      </c>
      <c r="B50" t="s">
        <v>3431</v>
      </c>
      <c r="C50" t="s">
        <v>3432</v>
      </c>
      <c r="D50" t="s">
        <v>3332</v>
      </c>
      <c r="E50" t="s">
        <v>3339</v>
      </c>
    </row>
    <row r="51" spans="1:5" x14ac:dyDescent="0.25">
      <c r="A51" t="s">
        <v>3329</v>
      </c>
      <c r="B51" t="s">
        <v>3433</v>
      </c>
      <c r="C51" t="s">
        <v>3434</v>
      </c>
      <c r="D51" t="s">
        <v>3332</v>
      </c>
      <c r="E51" t="s">
        <v>3339</v>
      </c>
    </row>
    <row r="52" spans="1:5" x14ac:dyDescent="0.25">
      <c r="A52" t="s">
        <v>3329</v>
      </c>
      <c r="B52" t="s">
        <v>3435</v>
      </c>
      <c r="C52" t="s">
        <v>3436</v>
      </c>
      <c r="D52" t="s">
        <v>3332</v>
      </c>
      <c r="E52" t="s">
        <v>3339</v>
      </c>
    </row>
    <row r="53" spans="1:5" x14ac:dyDescent="0.25">
      <c r="A53" t="s">
        <v>3329</v>
      </c>
      <c r="B53" t="s">
        <v>3437</v>
      </c>
      <c r="C53" t="s">
        <v>3438</v>
      </c>
      <c r="D53" t="s">
        <v>3332</v>
      </c>
      <c r="E53" t="s">
        <v>3339</v>
      </c>
    </row>
    <row r="54" spans="1:5" x14ac:dyDescent="0.25">
      <c r="A54" t="s">
        <v>3329</v>
      </c>
      <c r="B54" t="s">
        <v>3439</v>
      </c>
      <c r="C54" t="s">
        <v>3440</v>
      </c>
      <c r="D54" t="s">
        <v>3332</v>
      </c>
      <c r="E54" t="s">
        <v>3339</v>
      </c>
    </row>
    <row r="55" spans="1:5" x14ac:dyDescent="0.25">
      <c r="A55" t="s">
        <v>3329</v>
      </c>
      <c r="B55" t="s">
        <v>3441</v>
      </c>
      <c r="C55" t="s">
        <v>3442</v>
      </c>
      <c r="D55" t="s">
        <v>3332</v>
      </c>
      <c r="E55" t="s">
        <v>3339</v>
      </c>
    </row>
    <row r="56" spans="1:5" x14ac:dyDescent="0.25">
      <c r="A56" t="s">
        <v>3329</v>
      </c>
      <c r="B56" t="s">
        <v>3443</v>
      </c>
      <c r="C56" t="s">
        <v>3444</v>
      </c>
      <c r="D56" t="s">
        <v>3332</v>
      </c>
      <c r="E56" t="s">
        <v>3344</v>
      </c>
    </row>
    <row r="57" spans="1:5" x14ac:dyDescent="0.25">
      <c r="A57" t="s">
        <v>3329</v>
      </c>
      <c r="B57" t="s">
        <v>3445</v>
      </c>
      <c r="C57" t="s">
        <v>3446</v>
      </c>
      <c r="D57" t="s">
        <v>3332</v>
      </c>
      <c r="E57" t="s">
        <v>3339</v>
      </c>
    </row>
    <row r="58" spans="1:5" x14ac:dyDescent="0.25">
      <c r="A58" t="s">
        <v>3329</v>
      </c>
      <c r="B58" t="s">
        <v>3447</v>
      </c>
      <c r="C58" t="s">
        <v>3448</v>
      </c>
      <c r="D58" t="s">
        <v>3332</v>
      </c>
      <c r="E58" t="s">
        <v>3339</v>
      </c>
    </row>
    <row r="59" spans="1:5" x14ac:dyDescent="0.25">
      <c r="A59" t="s">
        <v>3329</v>
      </c>
      <c r="B59" t="s">
        <v>3449</v>
      </c>
      <c r="C59" t="s">
        <v>3450</v>
      </c>
      <c r="D59" t="s">
        <v>3332</v>
      </c>
      <c r="E59" t="s">
        <v>3339</v>
      </c>
    </row>
    <row r="60" spans="1:5" x14ac:dyDescent="0.25">
      <c r="A60" t="s">
        <v>3329</v>
      </c>
      <c r="B60" t="s">
        <v>3451</v>
      </c>
      <c r="C60" t="s">
        <v>3452</v>
      </c>
      <c r="D60" t="s">
        <v>3332</v>
      </c>
      <c r="E60" t="s">
        <v>3339</v>
      </c>
    </row>
    <row r="61" spans="1:5" x14ac:dyDescent="0.25">
      <c r="A61" t="s">
        <v>3329</v>
      </c>
      <c r="B61" t="s">
        <v>3453</v>
      </c>
      <c r="C61" t="s">
        <v>3454</v>
      </c>
      <c r="D61" t="s">
        <v>3332</v>
      </c>
      <c r="E61" t="s">
        <v>3339</v>
      </c>
    </row>
    <row r="62" spans="1:5" x14ac:dyDescent="0.25">
      <c r="A62" t="s">
        <v>3329</v>
      </c>
      <c r="B62" t="s">
        <v>3455</v>
      </c>
      <c r="C62" t="s">
        <v>3456</v>
      </c>
      <c r="D62" t="s">
        <v>3332</v>
      </c>
      <c r="E62" t="s">
        <v>3339</v>
      </c>
    </row>
    <row r="63" spans="1:5" x14ac:dyDescent="0.25">
      <c r="A63" t="s">
        <v>3329</v>
      </c>
      <c r="B63" t="s">
        <v>3457</v>
      </c>
      <c r="C63" t="s">
        <v>3458</v>
      </c>
      <c r="D63" t="s">
        <v>3332</v>
      </c>
      <c r="E63" t="s">
        <v>3339</v>
      </c>
    </row>
    <row r="64" spans="1:5" x14ac:dyDescent="0.25">
      <c r="A64" t="s">
        <v>3329</v>
      </c>
      <c r="B64" t="s">
        <v>3459</v>
      </c>
      <c r="C64" t="s">
        <v>3460</v>
      </c>
      <c r="D64" t="s">
        <v>3332</v>
      </c>
      <c r="E64" t="s">
        <v>3344</v>
      </c>
    </row>
    <row r="65" spans="1:5" x14ac:dyDescent="0.25">
      <c r="A65" t="s">
        <v>3329</v>
      </c>
      <c r="B65" t="s">
        <v>3461</v>
      </c>
      <c r="C65" t="s">
        <v>3462</v>
      </c>
      <c r="D65" t="s">
        <v>3332</v>
      </c>
      <c r="E65" t="s">
        <v>3339</v>
      </c>
    </row>
    <row r="66" spans="1:5" x14ac:dyDescent="0.25">
      <c r="A66" t="s">
        <v>3329</v>
      </c>
      <c r="B66" t="s">
        <v>3463</v>
      </c>
      <c r="C66" t="s">
        <v>3464</v>
      </c>
      <c r="D66" t="s">
        <v>3332</v>
      </c>
      <c r="E66" t="s">
        <v>3339</v>
      </c>
    </row>
    <row r="67" spans="1:5" x14ac:dyDescent="0.25">
      <c r="A67" t="s">
        <v>3329</v>
      </c>
      <c r="B67" t="s">
        <v>3465</v>
      </c>
      <c r="C67" t="s">
        <v>3466</v>
      </c>
      <c r="D67" t="s">
        <v>3332</v>
      </c>
      <c r="E67" t="s">
        <v>3333</v>
      </c>
    </row>
    <row r="68" spans="1:5" x14ac:dyDescent="0.25">
      <c r="A68" t="s">
        <v>3329</v>
      </c>
      <c r="B68" t="s">
        <v>3467</v>
      </c>
      <c r="C68" t="s">
        <v>3468</v>
      </c>
      <c r="D68" t="s">
        <v>3332</v>
      </c>
      <c r="E68" t="s">
        <v>3339</v>
      </c>
    </row>
    <row r="69" spans="1:5" x14ac:dyDescent="0.25">
      <c r="A69" t="s">
        <v>3329</v>
      </c>
      <c r="B69" t="s">
        <v>3469</v>
      </c>
      <c r="C69" t="s">
        <v>3470</v>
      </c>
      <c r="D69" t="s">
        <v>3332</v>
      </c>
      <c r="E69" t="s">
        <v>3339</v>
      </c>
    </row>
    <row r="70" spans="1:5" x14ac:dyDescent="0.25">
      <c r="A70" t="s">
        <v>3329</v>
      </c>
      <c r="B70" t="s">
        <v>3471</v>
      </c>
      <c r="C70" t="s">
        <v>3472</v>
      </c>
      <c r="D70" t="s">
        <v>3332</v>
      </c>
      <c r="E70" t="s">
        <v>3336</v>
      </c>
    </row>
    <row r="71" spans="1:5" x14ac:dyDescent="0.25">
      <c r="A71" t="s">
        <v>3329</v>
      </c>
      <c r="B71" t="s">
        <v>3473</v>
      </c>
      <c r="C71" t="s">
        <v>3474</v>
      </c>
      <c r="D71" t="s">
        <v>3332</v>
      </c>
      <c r="E71" t="s">
        <v>3336</v>
      </c>
    </row>
    <row r="72" spans="1:5" x14ac:dyDescent="0.25">
      <c r="A72" t="s">
        <v>3329</v>
      </c>
      <c r="B72" t="s">
        <v>3475</v>
      </c>
      <c r="C72" t="s">
        <v>3476</v>
      </c>
      <c r="D72" t="s">
        <v>3332</v>
      </c>
      <c r="E72" t="s">
        <v>3339</v>
      </c>
    </row>
    <row r="73" spans="1:5" x14ac:dyDescent="0.25">
      <c r="A73" t="s">
        <v>3329</v>
      </c>
      <c r="B73" t="s">
        <v>3477</v>
      </c>
      <c r="C73" t="s">
        <v>3478</v>
      </c>
      <c r="D73" t="s">
        <v>3332</v>
      </c>
      <c r="E73" t="s">
        <v>3333</v>
      </c>
    </row>
    <row r="74" spans="1:5" x14ac:dyDescent="0.25">
      <c r="A74" t="s">
        <v>3329</v>
      </c>
      <c r="B74" t="s">
        <v>3479</v>
      </c>
      <c r="C74" t="s">
        <v>3480</v>
      </c>
      <c r="D74" t="s">
        <v>3332</v>
      </c>
      <c r="E74" t="s">
        <v>3339</v>
      </c>
    </row>
    <row r="75" spans="1:5" x14ac:dyDescent="0.25">
      <c r="A75" t="s">
        <v>3329</v>
      </c>
      <c r="B75" t="s">
        <v>3481</v>
      </c>
      <c r="C75" t="s">
        <v>3482</v>
      </c>
      <c r="D75" t="s">
        <v>3332</v>
      </c>
      <c r="E75" t="s">
        <v>3339</v>
      </c>
    </row>
    <row r="76" spans="1:5" x14ac:dyDescent="0.25">
      <c r="A76" t="s">
        <v>3329</v>
      </c>
      <c r="B76" t="s">
        <v>3483</v>
      </c>
      <c r="C76" t="s">
        <v>3484</v>
      </c>
      <c r="D76" t="s">
        <v>3332</v>
      </c>
      <c r="E76" t="s">
        <v>3344</v>
      </c>
    </row>
    <row r="77" spans="1:5" x14ac:dyDescent="0.25">
      <c r="A77" t="s">
        <v>3329</v>
      </c>
      <c r="B77" t="s">
        <v>3485</v>
      </c>
      <c r="C77" t="s">
        <v>3486</v>
      </c>
      <c r="D77" t="s">
        <v>3332</v>
      </c>
      <c r="E77" t="s">
        <v>3344</v>
      </c>
    </row>
    <row r="78" spans="1:5" x14ac:dyDescent="0.25">
      <c r="A78" t="s">
        <v>3329</v>
      </c>
      <c r="B78" t="s">
        <v>3487</v>
      </c>
      <c r="C78" t="s">
        <v>3488</v>
      </c>
      <c r="D78" t="s">
        <v>3332</v>
      </c>
      <c r="E78" t="s">
        <v>3339</v>
      </c>
    </row>
    <row r="79" spans="1:5" x14ac:dyDescent="0.25">
      <c r="A79" t="s">
        <v>3329</v>
      </c>
      <c r="B79" t="s">
        <v>3489</v>
      </c>
      <c r="C79" t="s">
        <v>3490</v>
      </c>
      <c r="D79" t="s">
        <v>3332</v>
      </c>
      <c r="E79" t="s">
        <v>3339</v>
      </c>
    </row>
    <row r="80" spans="1:5" x14ac:dyDescent="0.25">
      <c r="A80" t="s">
        <v>3329</v>
      </c>
      <c r="B80" t="s">
        <v>3491</v>
      </c>
      <c r="C80" t="s">
        <v>3492</v>
      </c>
      <c r="D80" t="s">
        <v>3332</v>
      </c>
      <c r="E80" t="s">
        <v>3339</v>
      </c>
    </row>
    <row r="81" spans="1:5" x14ac:dyDescent="0.25">
      <c r="A81" t="s">
        <v>3329</v>
      </c>
      <c r="B81" t="s">
        <v>3493</v>
      </c>
      <c r="C81" t="s">
        <v>3494</v>
      </c>
      <c r="D81" t="s">
        <v>3332</v>
      </c>
      <c r="E81" t="s">
        <v>3339</v>
      </c>
    </row>
    <row r="82" spans="1:5" x14ac:dyDescent="0.25">
      <c r="A82" t="s">
        <v>3329</v>
      </c>
      <c r="B82" t="s">
        <v>3495</v>
      </c>
      <c r="C82" t="s">
        <v>3496</v>
      </c>
      <c r="D82" t="s">
        <v>3332</v>
      </c>
      <c r="E82" t="s">
        <v>3339</v>
      </c>
    </row>
    <row r="83" spans="1:5" x14ac:dyDescent="0.25">
      <c r="A83" t="s">
        <v>3329</v>
      </c>
      <c r="B83" t="s">
        <v>3497</v>
      </c>
      <c r="C83" t="s">
        <v>3498</v>
      </c>
      <c r="D83" t="s">
        <v>3332</v>
      </c>
      <c r="E83" t="s">
        <v>3339</v>
      </c>
    </row>
    <row r="84" spans="1:5" x14ac:dyDescent="0.25">
      <c r="A84" t="s">
        <v>3329</v>
      </c>
      <c r="B84" t="s">
        <v>3499</v>
      </c>
      <c r="C84" t="s">
        <v>3500</v>
      </c>
      <c r="D84" t="s">
        <v>3332</v>
      </c>
      <c r="E84" t="s">
        <v>3344</v>
      </c>
    </row>
    <row r="85" spans="1:5" x14ac:dyDescent="0.25">
      <c r="A85" t="s">
        <v>3329</v>
      </c>
      <c r="B85" t="s">
        <v>3501</v>
      </c>
      <c r="C85" t="s">
        <v>3502</v>
      </c>
      <c r="D85" t="s">
        <v>3332</v>
      </c>
      <c r="E85" t="s">
        <v>3344</v>
      </c>
    </row>
    <row r="86" spans="1:5" x14ac:dyDescent="0.25">
      <c r="A86" t="s">
        <v>3329</v>
      </c>
      <c r="B86" t="s">
        <v>3503</v>
      </c>
      <c r="C86" t="s">
        <v>3504</v>
      </c>
      <c r="D86" t="s">
        <v>3332</v>
      </c>
      <c r="E86" t="s">
        <v>3344</v>
      </c>
    </row>
    <row r="87" spans="1:5" x14ac:dyDescent="0.25">
      <c r="A87" t="s">
        <v>3329</v>
      </c>
      <c r="B87" t="s">
        <v>3505</v>
      </c>
      <c r="C87" t="s">
        <v>3506</v>
      </c>
      <c r="D87" t="s">
        <v>3332</v>
      </c>
      <c r="E87" t="s">
        <v>3339</v>
      </c>
    </row>
    <row r="88" spans="1:5" x14ac:dyDescent="0.25">
      <c r="A88" t="s">
        <v>3329</v>
      </c>
      <c r="B88" t="s">
        <v>3507</v>
      </c>
      <c r="C88" t="s">
        <v>3508</v>
      </c>
      <c r="D88" t="s">
        <v>3332</v>
      </c>
      <c r="E88" t="s">
        <v>3344</v>
      </c>
    </row>
    <row r="89" spans="1:5" x14ac:dyDescent="0.25">
      <c r="A89" t="s">
        <v>3329</v>
      </c>
      <c r="B89" t="s">
        <v>3509</v>
      </c>
      <c r="C89" t="s">
        <v>3510</v>
      </c>
      <c r="D89" t="s">
        <v>3332</v>
      </c>
      <c r="E89" t="s">
        <v>3333</v>
      </c>
    </row>
    <row r="90" spans="1:5" x14ac:dyDescent="0.25">
      <c r="A90" t="s">
        <v>3329</v>
      </c>
      <c r="B90" t="s">
        <v>3511</v>
      </c>
      <c r="C90" t="s">
        <v>3512</v>
      </c>
      <c r="D90" t="s">
        <v>3332</v>
      </c>
      <c r="E90" t="s">
        <v>3344</v>
      </c>
    </row>
    <row r="91" spans="1:5" x14ac:dyDescent="0.25">
      <c r="A91" t="s">
        <v>3329</v>
      </c>
      <c r="B91" t="s">
        <v>3513</v>
      </c>
      <c r="C91" t="s">
        <v>3514</v>
      </c>
      <c r="D91" t="s">
        <v>3332</v>
      </c>
      <c r="E91" t="s">
        <v>3339</v>
      </c>
    </row>
    <row r="92" spans="1:5" x14ac:dyDescent="0.25">
      <c r="A92" t="s">
        <v>3329</v>
      </c>
      <c r="B92" t="s">
        <v>3515</v>
      </c>
      <c r="C92" t="s">
        <v>3516</v>
      </c>
      <c r="D92" t="s">
        <v>3332</v>
      </c>
      <c r="E92" t="s">
        <v>3339</v>
      </c>
    </row>
    <row r="93" spans="1:5" x14ac:dyDescent="0.25">
      <c r="A93" t="s">
        <v>3329</v>
      </c>
      <c r="B93" t="s">
        <v>3517</v>
      </c>
      <c r="C93" t="s">
        <v>3518</v>
      </c>
      <c r="D93" t="s">
        <v>3332</v>
      </c>
      <c r="E93" t="s">
        <v>3339</v>
      </c>
    </row>
    <row r="94" spans="1:5" x14ac:dyDescent="0.25">
      <c r="A94" t="s">
        <v>3329</v>
      </c>
      <c r="B94" t="s">
        <v>3519</v>
      </c>
      <c r="C94" t="s">
        <v>3520</v>
      </c>
      <c r="D94" t="s">
        <v>3332</v>
      </c>
      <c r="E94" t="s">
        <v>3344</v>
      </c>
    </row>
    <row r="95" spans="1:5" x14ac:dyDescent="0.25">
      <c r="A95" t="s">
        <v>3329</v>
      </c>
      <c r="B95" t="s">
        <v>3521</v>
      </c>
      <c r="C95" t="s">
        <v>3522</v>
      </c>
      <c r="D95" t="s">
        <v>3332</v>
      </c>
      <c r="E95" t="s">
        <v>3344</v>
      </c>
    </row>
    <row r="96" spans="1:5" x14ac:dyDescent="0.25">
      <c r="A96" t="s">
        <v>3329</v>
      </c>
      <c r="B96" t="s">
        <v>3523</v>
      </c>
      <c r="C96" t="s">
        <v>3524</v>
      </c>
      <c r="D96" t="s">
        <v>3332</v>
      </c>
      <c r="E96" t="s">
        <v>3344</v>
      </c>
    </row>
    <row r="97" spans="1:5" x14ac:dyDescent="0.25">
      <c r="A97" t="s">
        <v>3329</v>
      </c>
      <c r="B97" t="s">
        <v>3525</v>
      </c>
      <c r="C97" t="s">
        <v>3526</v>
      </c>
      <c r="D97" t="s">
        <v>3332</v>
      </c>
      <c r="E97" t="s">
        <v>3344</v>
      </c>
    </row>
    <row r="98" spans="1:5" x14ac:dyDescent="0.25">
      <c r="A98" t="s">
        <v>3329</v>
      </c>
      <c r="B98" t="s">
        <v>3527</v>
      </c>
      <c r="C98" t="s">
        <v>3528</v>
      </c>
      <c r="D98" t="s">
        <v>3332</v>
      </c>
      <c r="E98" t="s">
        <v>3333</v>
      </c>
    </row>
    <row r="99" spans="1:5" x14ac:dyDescent="0.25">
      <c r="A99" t="s">
        <v>3329</v>
      </c>
      <c r="B99" t="s">
        <v>3529</v>
      </c>
      <c r="C99" t="s">
        <v>3530</v>
      </c>
      <c r="D99" t="s">
        <v>3332</v>
      </c>
      <c r="E99" t="s">
        <v>3339</v>
      </c>
    </row>
    <row r="100" spans="1:5" x14ac:dyDescent="0.25">
      <c r="A100" t="s">
        <v>3329</v>
      </c>
      <c r="B100" t="s">
        <v>3531</v>
      </c>
      <c r="C100" t="s">
        <v>3532</v>
      </c>
      <c r="D100" t="s">
        <v>3332</v>
      </c>
      <c r="E100" t="s">
        <v>3339</v>
      </c>
    </row>
    <row r="101" spans="1:5" x14ac:dyDescent="0.25">
      <c r="A101" t="s">
        <v>3329</v>
      </c>
      <c r="B101" t="s">
        <v>3533</v>
      </c>
      <c r="C101" t="s">
        <v>3534</v>
      </c>
      <c r="D101" t="s">
        <v>3332</v>
      </c>
      <c r="E101" t="s">
        <v>3339</v>
      </c>
    </row>
    <row r="102" spans="1:5" x14ac:dyDescent="0.25">
      <c r="A102" t="s">
        <v>3329</v>
      </c>
      <c r="B102" t="s">
        <v>3535</v>
      </c>
      <c r="C102" t="s">
        <v>3536</v>
      </c>
      <c r="D102" t="s">
        <v>3332</v>
      </c>
      <c r="E102" t="s">
        <v>3339</v>
      </c>
    </row>
    <row r="103" spans="1:5" x14ac:dyDescent="0.25">
      <c r="A103" t="s">
        <v>3329</v>
      </c>
      <c r="B103" t="s">
        <v>3537</v>
      </c>
      <c r="C103" t="s">
        <v>3538</v>
      </c>
      <c r="D103" t="s">
        <v>3332</v>
      </c>
      <c r="E103" t="s">
        <v>3339</v>
      </c>
    </row>
    <row r="104" spans="1:5" x14ac:dyDescent="0.25">
      <c r="A104" t="s">
        <v>3329</v>
      </c>
      <c r="B104" t="s">
        <v>3539</v>
      </c>
      <c r="C104" t="s">
        <v>3540</v>
      </c>
      <c r="D104" t="s">
        <v>3332</v>
      </c>
      <c r="E104" t="s">
        <v>3339</v>
      </c>
    </row>
    <row r="105" spans="1:5" x14ac:dyDescent="0.25">
      <c r="A105" t="s">
        <v>3329</v>
      </c>
      <c r="B105" t="s">
        <v>3541</v>
      </c>
      <c r="C105" t="s">
        <v>3542</v>
      </c>
      <c r="D105" t="s">
        <v>3332</v>
      </c>
      <c r="E105" t="s">
        <v>3339</v>
      </c>
    </row>
    <row r="106" spans="1:5" x14ac:dyDescent="0.25">
      <c r="A106" t="s">
        <v>3329</v>
      </c>
      <c r="B106" t="s">
        <v>3543</v>
      </c>
      <c r="C106" t="s">
        <v>3544</v>
      </c>
      <c r="D106" t="s">
        <v>3332</v>
      </c>
      <c r="E106" t="s">
        <v>3339</v>
      </c>
    </row>
    <row r="107" spans="1:5" x14ac:dyDescent="0.25">
      <c r="A107" t="s">
        <v>3329</v>
      </c>
      <c r="B107" t="s">
        <v>3545</v>
      </c>
      <c r="C107" t="s">
        <v>3546</v>
      </c>
      <c r="D107" t="s">
        <v>3332</v>
      </c>
      <c r="E107" t="s">
        <v>3339</v>
      </c>
    </row>
    <row r="108" spans="1:5" x14ac:dyDescent="0.25">
      <c r="A108" t="s">
        <v>3329</v>
      </c>
      <c r="B108" t="s">
        <v>3547</v>
      </c>
      <c r="C108" t="s">
        <v>3548</v>
      </c>
      <c r="D108" t="s">
        <v>3332</v>
      </c>
      <c r="E108" t="s">
        <v>3339</v>
      </c>
    </row>
    <row r="109" spans="1:5" x14ac:dyDescent="0.25">
      <c r="A109" t="s">
        <v>3329</v>
      </c>
      <c r="B109" t="s">
        <v>3549</v>
      </c>
      <c r="C109" t="s">
        <v>3550</v>
      </c>
      <c r="D109" t="s">
        <v>3332</v>
      </c>
      <c r="E109" t="s">
        <v>3339</v>
      </c>
    </row>
    <row r="110" spans="1:5" x14ac:dyDescent="0.25">
      <c r="A110" t="s">
        <v>3329</v>
      </c>
      <c r="B110" t="s">
        <v>3551</v>
      </c>
      <c r="C110" t="s">
        <v>3552</v>
      </c>
      <c r="D110" t="s">
        <v>3332</v>
      </c>
      <c r="E110" t="s">
        <v>3339</v>
      </c>
    </row>
    <row r="111" spans="1:5" x14ac:dyDescent="0.25">
      <c r="A111" t="s">
        <v>3329</v>
      </c>
      <c r="B111" t="s">
        <v>3553</v>
      </c>
      <c r="C111" t="s">
        <v>3554</v>
      </c>
      <c r="D111" t="s">
        <v>3332</v>
      </c>
      <c r="E111" t="s">
        <v>3344</v>
      </c>
    </row>
    <row r="112" spans="1:5" x14ac:dyDescent="0.25">
      <c r="A112" t="s">
        <v>3329</v>
      </c>
      <c r="B112" t="s">
        <v>3555</v>
      </c>
      <c r="C112" t="s">
        <v>3556</v>
      </c>
      <c r="D112" t="s">
        <v>3332</v>
      </c>
      <c r="E112" t="s">
        <v>3344</v>
      </c>
    </row>
    <row r="113" spans="1:5" x14ac:dyDescent="0.25">
      <c r="A113" t="s">
        <v>3329</v>
      </c>
      <c r="B113" t="s">
        <v>3557</v>
      </c>
      <c r="C113" t="s">
        <v>3558</v>
      </c>
      <c r="D113" t="s">
        <v>3332</v>
      </c>
      <c r="E113" t="s">
        <v>3339</v>
      </c>
    </row>
    <row r="114" spans="1:5" x14ac:dyDescent="0.25">
      <c r="A114" t="s">
        <v>3329</v>
      </c>
      <c r="B114" t="s">
        <v>3559</v>
      </c>
      <c r="C114" t="s">
        <v>3560</v>
      </c>
      <c r="D114" t="s">
        <v>3332</v>
      </c>
      <c r="E114" t="s">
        <v>3339</v>
      </c>
    </row>
    <row r="115" spans="1:5" x14ac:dyDescent="0.25">
      <c r="A115" t="s">
        <v>3329</v>
      </c>
      <c r="B115" t="s">
        <v>3561</v>
      </c>
      <c r="C115" t="s">
        <v>3562</v>
      </c>
      <c r="D115" t="s">
        <v>3332</v>
      </c>
      <c r="E115" t="s">
        <v>3344</v>
      </c>
    </row>
    <row r="116" spans="1:5" x14ac:dyDescent="0.25">
      <c r="A116" t="s">
        <v>3329</v>
      </c>
      <c r="B116" t="s">
        <v>3563</v>
      </c>
      <c r="C116" t="s">
        <v>3564</v>
      </c>
      <c r="D116" t="s">
        <v>3332</v>
      </c>
      <c r="E116" t="s">
        <v>3339</v>
      </c>
    </row>
    <row r="117" spans="1:5" x14ac:dyDescent="0.25">
      <c r="A117" t="s">
        <v>3329</v>
      </c>
      <c r="B117" t="s">
        <v>3565</v>
      </c>
      <c r="C117" t="s">
        <v>3566</v>
      </c>
      <c r="D117" t="s">
        <v>3332</v>
      </c>
      <c r="E117" t="s">
        <v>3339</v>
      </c>
    </row>
    <row r="118" spans="1:5" x14ac:dyDescent="0.25">
      <c r="A118" t="s">
        <v>3329</v>
      </c>
      <c r="B118" t="s">
        <v>3567</v>
      </c>
      <c r="C118" t="s">
        <v>3568</v>
      </c>
      <c r="D118" t="s">
        <v>3332</v>
      </c>
      <c r="E118" t="s">
        <v>3333</v>
      </c>
    </row>
    <row r="119" spans="1:5" x14ac:dyDescent="0.25">
      <c r="A119" t="s">
        <v>3329</v>
      </c>
      <c r="B119" t="s">
        <v>3569</v>
      </c>
      <c r="C119" t="s">
        <v>3570</v>
      </c>
      <c r="D119" t="s">
        <v>3332</v>
      </c>
      <c r="E119" t="s">
        <v>3333</v>
      </c>
    </row>
    <row r="120" spans="1:5" x14ac:dyDescent="0.25">
      <c r="A120" t="s">
        <v>3329</v>
      </c>
      <c r="B120" t="s">
        <v>3571</v>
      </c>
      <c r="C120" t="s">
        <v>3572</v>
      </c>
      <c r="D120" t="s">
        <v>3332</v>
      </c>
      <c r="E120" t="s">
        <v>3333</v>
      </c>
    </row>
    <row r="121" spans="1:5" x14ac:dyDescent="0.25">
      <c r="A121" t="s">
        <v>3329</v>
      </c>
      <c r="B121" t="s">
        <v>3573</v>
      </c>
      <c r="C121" t="s">
        <v>3574</v>
      </c>
      <c r="D121" t="s">
        <v>3332</v>
      </c>
      <c r="E121" t="s">
        <v>3333</v>
      </c>
    </row>
    <row r="122" spans="1:5" x14ac:dyDescent="0.25">
      <c r="A122" t="s">
        <v>3329</v>
      </c>
      <c r="B122" t="s">
        <v>3575</v>
      </c>
      <c r="C122" t="s">
        <v>3576</v>
      </c>
      <c r="D122" t="s">
        <v>3332</v>
      </c>
      <c r="E122" t="s">
        <v>3333</v>
      </c>
    </row>
    <row r="123" spans="1:5" x14ac:dyDescent="0.25">
      <c r="A123" t="s">
        <v>3329</v>
      </c>
      <c r="B123" t="s">
        <v>3577</v>
      </c>
      <c r="C123" t="s">
        <v>3578</v>
      </c>
      <c r="D123" t="s">
        <v>3332</v>
      </c>
      <c r="E123" t="s">
        <v>3579</v>
      </c>
    </row>
    <row r="124" spans="1:5" x14ac:dyDescent="0.25">
      <c r="A124" t="s">
        <v>3329</v>
      </c>
      <c r="B124" t="s">
        <v>3580</v>
      </c>
      <c r="C124" t="s">
        <v>3581</v>
      </c>
      <c r="D124" t="s">
        <v>3332</v>
      </c>
      <c r="E124" t="s">
        <v>3582</v>
      </c>
    </row>
    <row r="125" spans="1:5" x14ac:dyDescent="0.25">
      <c r="A125" t="s">
        <v>3329</v>
      </c>
      <c r="B125" t="s">
        <v>3583</v>
      </c>
      <c r="C125" t="s">
        <v>3584</v>
      </c>
      <c r="D125" t="s">
        <v>3332</v>
      </c>
      <c r="E125" t="s">
        <v>3582</v>
      </c>
    </row>
    <row r="126" spans="1:5" x14ac:dyDescent="0.25">
      <c r="A126" t="s">
        <v>3329</v>
      </c>
      <c r="B126" t="s">
        <v>3585</v>
      </c>
      <c r="C126" t="s">
        <v>3586</v>
      </c>
      <c r="D126" t="s">
        <v>3332</v>
      </c>
      <c r="E126" t="s">
        <v>3582</v>
      </c>
    </row>
    <row r="127" spans="1:5" x14ac:dyDescent="0.25">
      <c r="A127" t="s">
        <v>3329</v>
      </c>
      <c r="B127" t="s">
        <v>3587</v>
      </c>
      <c r="C127" t="s">
        <v>3588</v>
      </c>
      <c r="D127" t="s">
        <v>3332</v>
      </c>
      <c r="E127" t="s">
        <v>3582</v>
      </c>
    </row>
    <row r="128" spans="1:5" x14ac:dyDescent="0.25">
      <c r="A128" t="s">
        <v>3329</v>
      </c>
      <c r="B128" t="s">
        <v>3589</v>
      </c>
      <c r="C128" t="s">
        <v>3590</v>
      </c>
      <c r="D128" t="s">
        <v>3332</v>
      </c>
      <c r="E128" t="s">
        <v>3336</v>
      </c>
    </row>
    <row r="129" spans="1:5" x14ac:dyDescent="0.25">
      <c r="A129" t="s">
        <v>3329</v>
      </c>
      <c r="B129" t="s">
        <v>3591</v>
      </c>
      <c r="C129" t="s">
        <v>3592</v>
      </c>
      <c r="D129" t="s">
        <v>3332</v>
      </c>
      <c r="E129" t="s">
        <v>3336</v>
      </c>
    </row>
    <row r="130" spans="1:5" x14ac:dyDescent="0.25">
      <c r="A130" t="s">
        <v>3329</v>
      </c>
      <c r="B130" t="s">
        <v>3593</v>
      </c>
      <c r="C130" t="s">
        <v>3594</v>
      </c>
      <c r="D130" t="s">
        <v>3332</v>
      </c>
      <c r="E130" t="s">
        <v>3336</v>
      </c>
    </row>
    <row r="131" spans="1:5" x14ac:dyDescent="0.25">
      <c r="A131" t="s">
        <v>3329</v>
      </c>
      <c r="B131" t="s">
        <v>3595</v>
      </c>
      <c r="C131" t="s">
        <v>3596</v>
      </c>
      <c r="D131" t="s">
        <v>3332</v>
      </c>
      <c r="E131" t="s">
        <v>3336</v>
      </c>
    </row>
    <row r="132" spans="1:5" x14ac:dyDescent="0.25">
      <c r="A132" t="s">
        <v>3329</v>
      </c>
      <c r="B132" t="s">
        <v>3597</v>
      </c>
      <c r="C132" t="s">
        <v>3598</v>
      </c>
      <c r="D132" t="s">
        <v>3332</v>
      </c>
      <c r="E132" t="s">
        <v>3336</v>
      </c>
    </row>
    <row r="133" spans="1:5" x14ac:dyDescent="0.25">
      <c r="A133" t="s">
        <v>3329</v>
      </c>
      <c r="B133" t="s">
        <v>3599</v>
      </c>
      <c r="C133" t="s">
        <v>3600</v>
      </c>
      <c r="D133" t="s">
        <v>3332</v>
      </c>
      <c r="E133" t="s">
        <v>3336</v>
      </c>
    </row>
    <row r="134" spans="1:5" x14ac:dyDescent="0.25">
      <c r="A134" t="s">
        <v>3329</v>
      </c>
      <c r="B134" t="s">
        <v>3601</v>
      </c>
      <c r="C134" t="s">
        <v>3602</v>
      </c>
      <c r="D134" t="s">
        <v>3332</v>
      </c>
      <c r="E134" t="s">
        <v>3582</v>
      </c>
    </row>
    <row r="135" spans="1:5" x14ac:dyDescent="0.25">
      <c r="A135" t="s">
        <v>3329</v>
      </c>
      <c r="B135" t="s">
        <v>3603</v>
      </c>
      <c r="C135" t="s">
        <v>3604</v>
      </c>
      <c r="D135" t="s">
        <v>3332</v>
      </c>
      <c r="E135" t="s">
        <v>3582</v>
      </c>
    </row>
    <row r="136" spans="1:5" x14ac:dyDescent="0.25">
      <c r="A136" t="s">
        <v>3329</v>
      </c>
      <c r="B136" t="s">
        <v>3605</v>
      </c>
      <c r="C136" t="s">
        <v>3606</v>
      </c>
      <c r="D136" t="s">
        <v>3332</v>
      </c>
      <c r="E136" t="s">
        <v>3582</v>
      </c>
    </row>
    <row r="137" spans="1:5" x14ac:dyDescent="0.25">
      <c r="A137" t="s">
        <v>3329</v>
      </c>
      <c r="B137" t="s">
        <v>3607</v>
      </c>
      <c r="C137" t="s">
        <v>3608</v>
      </c>
      <c r="D137" t="s">
        <v>3332</v>
      </c>
      <c r="E137" t="s">
        <v>3582</v>
      </c>
    </row>
    <row r="138" spans="1:5" x14ac:dyDescent="0.25">
      <c r="A138" t="s">
        <v>3329</v>
      </c>
      <c r="B138" t="s">
        <v>3609</v>
      </c>
      <c r="C138" t="s">
        <v>3610</v>
      </c>
      <c r="D138" t="s">
        <v>3332</v>
      </c>
      <c r="E138" t="s">
        <v>3336</v>
      </c>
    </row>
    <row r="139" spans="1:5" x14ac:dyDescent="0.25">
      <c r="A139" t="s">
        <v>3329</v>
      </c>
      <c r="B139" t="s">
        <v>3611</v>
      </c>
      <c r="C139" t="s">
        <v>3612</v>
      </c>
      <c r="D139" t="s">
        <v>3332</v>
      </c>
      <c r="E139" t="s">
        <v>3336</v>
      </c>
    </row>
    <row r="140" spans="1:5" x14ac:dyDescent="0.25">
      <c r="A140" t="s">
        <v>3329</v>
      </c>
      <c r="B140" t="s">
        <v>3613</v>
      </c>
      <c r="C140" t="s">
        <v>3614</v>
      </c>
      <c r="D140" t="s">
        <v>3332</v>
      </c>
      <c r="E140" t="s">
        <v>3336</v>
      </c>
    </row>
    <row r="141" spans="1:5" x14ac:dyDescent="0.25">
      <c r="A141" t="s">
        <v>3329</v>
      </c>
      <c r="B141" t="s">
        <v>3615</v>
      </c>
      <c r="C141" t="s">
        <v>3616</v>
      </c>
      <c r="D141" t="s">
        <v>3332</v>
      </c>
      <c r="E141" t="s">
        <v>3336</v>
      </c>
    </row>
    <row r="142" spans="1:5" x14ac:dyDescent="0.25">
      <c r="A142" t="s">
        <v>3329</v>
      </c>
      <c r="B142" t="s">
        <v>3617</v>
      </c>
      <c r="C142" t="s">
        <v>3618</v>
      </c>
      <c r="D142" t="s">
        <v>3332</v>
      </c>
      <c r="E142" t="s">
        <v>3336</v>
      </c>
    </row>
    <row r="143" spans="1:5" x14ac:dyDescent="0.25">
      <c r="A143" t="s">
        <v>3329</v>
      </c>
      <c r="B143" t="s">
        <v>3619</v>
      </c>
      <c r="C143" t="s">
        <v>3620</v>
      </c>
      <c r="D143" t="s">
        <v>3332</v>
      </c>
      <c r="E143" t="s">
        <v>3336</v>
      </c>
    </row>
    <row r="144" spans="1:5" x14ac:dyDescent="0.25">
      <c r="A144" t="s">
        <v>3329</v>
      </c>
      <c r="B144" t="s">
        <v>3621</v>
      </c>
      <c r="C144" t="s">
        <v>3622</v>
      </c>
      <c r="D144" t="s">
        <v>3332</v>
      </c>
      <c r="E144" t="s">
        <v>3336</v>
      </c>
    </row>
    <row r="145" spans="1:5" x14ac:dyDescent="0.25">
      <c r="A145" t="s">
        <v>3329</v>
      </c>
      <c r="B145" t="s">
        <v>3623</v>
      </c>
      <c r="C145" t="s">
        <v>3624</v>
      </c>
      <c r="D145" t="s">
        <v>3332</v>
      </c>
      <c r="E145" t="s">
        <v>3336</v>
      </c>
    </row>
    <row r="146" spans="1:5" x14ac:dyDescent="0.25">
      <c r="A146" t="s">
        <v>3329</v>
      </c>
      <c r="B146" t="s">
        <v>3625</v>
      </c>
      <c r="C146" t="s">
        <v>3626</v>
      </c>
      <c r="D146" t="s">
        <v>3332</v>
      </c>
      <c r="E146" t="s">
        <v>3336</v>
      </c>
    </row>
    <row r="147" spans="1:5" x14ac:dyDescent="0.25">
      <c r="A147" t="s">
        <v>3329</v>
      </c>
      <c r="B147" t="s">
        <v>3627</v>
      </c>
      <c r="C147" t="s">
        <v>3628</v>
      </c>
      <c r="D147" t="s">
        <v>3332</v>
      </c>
      <c r="E147" t="s">
        <v>3336</v>
      </c>
    </row>
    <row r="148" spans="1:5" x14ac:dyDescent="0.25">
      <c r="A148" t="s">
        <v>3329</v>
      </c>
      <c r="B148" t="s">
        <v>3629</v>
      </c>
      <c r="C148" t="s">
        <v>3630</v>
      </c>
      <c r="D148" t="s">
        <v>3332</v>
      </c>
      <c r="E148" t="s">
        <v>3336</v>
      </c>
    </row>
    <row r="149" spans="1:5" x14ac:dyDescent="0.25">
      <c r="A149" t="s">
        <v>3329</v>
      </c>
      <c r="B149" t="s">
        <v>3631</v>
      </c>
      <c r="C149" t="s">
        <v>3632</v>
      </c>
      <c r="D149" t="s">
        <v>3332</v>
      </c>
      <c r="E149" t="s">
        <v>3336</v>
      </c>
    </row>
    <row r="150" spans="1:5" x14ac:dyDescent="0.25">
      <c r="A150" t="s">
        <v>3329</v>
      </c>
      <c r="B150" t="s">
        <v>3633</v>
      </c>
      <c r="C150" t="s">
        <v>3634</v>
      </c>
      <c r="D150" t="s">
        <v>3332</v>
      </c>
      <c r="E150" t="s">
        <v>3336</v>
      </c>
    </row>
    <row r="151" spans="1:5" x14ac:dyDescent="0.25">
      <c r="A151" t="s">
        <v>3329</v>
      </c>
      <c r="B151" t="s">
        <v>3635</v>
      </c>
      <c r="C151" t="s">
        <v>3636</v>
      </c>
      <c r="D151" t="s">
        <v>3332</v>
      </c>
      <c r="E151" t="s">
        <v>3336</v>
      </c>
    </row>
    <row r="152" spans="1:5" x14ac:dyDescent="0.25">
      <c r="A152" t="s">
        <v>3329</v>
      </c>
      <c r="B152" t="s">
        <v>3637</v>
      </c>
      <c r="C152" t="s">
        <v>3638</v>
      </c>
      <c r="D152" t="s">
        <v>3332</v>
      </c>
      <c r="E152" t="s">
        <v>3336</v>
      </c>
    </row>
    <row r="153" spans="1:5" x14ac:dyDescent="0.25">
      <c r="A153" t="s">
        <v>3329</v>
      </c>
      <c r="B153" t="s">
        <v>3639</v>
      </c>
      <c r="C153" t="s">
        <v>3640</v>
      </c>
      <c r="D153" t="s">
        <v>3332</v>
      </c>
      <c r="E153" t="s">
        <v>3336</v>
      </c>
    </row>
    <row r="154" spans="1:5" x14ac:dyDescent="0.25">
      <c r="A154" t="s">
        <v>3329</v>
      </c>
      <c r="B154" t="s">
        <v>3641</v>
      </c>
      <c r="C154" t="s">
        <v>3642</v>
      </c>
      <c r="D154" t="s">
        <v>3332</v>
      </c>
      <c r="E154" t="s">
        <v>3336</v>
      </c>
    </row>
    <row r="155" spans="1:5" x14ac:dyDescent="0.25">
      <c r="A155" t="s">
        <v>3329</v>
      </c>
      <c r="B155" t="s">
        <v>3643</v>
      </c>
      <c r="C155" t="s">
        <v>3644</v>
      </c>
      <c r="D155" t="s">
        <v>3332</v>
      </c>
      <c r="E155" t="s">
        <v>3336</v>
      </c>
    </row>
    <row r="156" spans="1:5" x14ac:dyDescent="0.25">
      <c r="A156" t="s">
        <v>3329</v>
      </c>
      <c r="B156" t="s">
        <v>3645</v>
      </c>
      <c r="C156" t="s">
        <v>3646</v>
      </c>
      <c r="D156" t="s">
        <v>3332</v>
      </c>
      <c r="E156" t="s">
        <v>3336</v>
      </c>
    </row>
    <row r="157" spans="1:5" x14ac:dyDescent="0.25">
      <c r="A157" t="s">
        <v>3329</v>
      </c>
      <c r="B157" t="s">
        <v>3647</v>
      </c>
      <c r="C157" t="s">
        <v>3648</v>
      </c>
      <c r="D157" t="s">
        <v>3332</v>
      </c>
      <c r="E157" t="s">
        <v>3336</v>
      </c>
    </row>
    <row r="158" spans="1:5" x14ac:dyDescent="0.25">
      <c r="A158" t="s">
        <v>3329</v>
      </c>
      <c r="B158" t="s">
        <v>3649</v>
      </c>
      <c r="C158" t="s">
        <v>3650</v>
      </c>
      <c r="D158" t="s">
        <v>3332</v>
      </c>
      <c r="E158" t="s">
        <v>3582</v>
      </c>
    </row>
    <row r="159" spans="1:5" x14ac:dyDescent="0.25">
      <c r="A159" t="s">
        <v>3329</v>
      </c>
      <c r="B159" t="s">
        <v>3651</v>
      </c>
      <c r="C159" t="s">
        <v>3652</v>
      </c>
      <c r="D159" t="s">
        <v>3332</v>
      </c>
      <c r="E159" t="s">
        <v>3582</v>
      </c>
    </row>
    <row r="160" spans="1:5" x14ac:dyDescent="0.25">
      <c r="A160" t="s">
        <v>3329</v>
      </c>
      <c r="B160" t="s">
        <v>3653</v>
      </c>
      <c r="C160" t="s">
        <v>3654</v>
      </c>
      <c r="D160" t="s">
        <v>3332</v>
      </c>
      <c r="E160" t="s">
        <v>3582</v>
      </c>
    </row>
    <row r="161" spans="1:5" x14ac:dyDescent="0.25">
      <c r="A161" t="s">
        <v>3329</v>
      </c>
      <c r="B161" t="s">
        <v>3655</v>
      </c>
      <c r="C161" t="s">
        <v>3656</v>
      </c>
      <c r="D161" t="s">
        <v>3332</v>
      </c>
      <c r="E161" t="s">
        <v>3582</v>
      </c>
    </row>
    <row r="162" spans="1:5" x14ac:dyDescent="0.25">
      <c r="A162" t="s">
        <v>3329</v>
      </c>
      <c r="B162" t="s">
        <v>3657</v>
      </c>
      <c r="C162" t="s">
        <v>3658</v>
      </c>
      <c r="D162" t="s">
        <v>3332</v>
      </c>
      <c r="E162" t="s">
        <v>3582</v>
      </c>
    </row>
    <row r="163" spans="1:5" x14ac:dyDescent="0.25">
      <c r="A163" t="s">
        <v>3329</v>
      </c>
      <c r="B163" t="s">
        <v>3659</v>
      </c>
      <c r="C163" t="s">
        <v>3660</v>
      </c>
      <c r="D163" t="s">
        <v>3332</v>
      </c>
      <c r="E163" t="s">
        <v>3336</v>
      </c>
    </row>
    <row r="164" spans="1:5" x14ac:dyDescent="0.25">
      <c r="A164" t="s">
        <v>3329</v>
      </c>
      <c r="B164" t="s">
        <v>3661</v>
      </c>
      <c r="C164" t="s">
        <v>3662</v>
      </c>
      <c r="D164" t="s">
        <v>3332</v>
      </c>
      <c r="E164" t="s">
        <v>3336</v>
      </c>
    </row>
    <row r="165" spans="1:5" x14ac:dyDescent="0.25">
      <c r="A165" t="s">
        <v>3329</v>
      </c>
      <c r="B165" t="s">
        <v>3663</v>
      </c>
      <c r="C165" t="s">
        <v>3664</v>
      </c>
      <c r="D165" t="s">
        <v>3332</v>
      </c>
      <c r="E165" t="s">
        <v>3336</v>
      </c>
    </row>
    <row r="166" spans="1:5" x14ac:dyDescent="0.25">
      <c r="A166" t="s">
        <v>3329</v>
      </c>
      <c r="B166" t="s">
        <v>3665</v>
      </c>
      <c r="C166" t="s">
        <v>3666</v>
      </c>
      <c r="D166" t="s">
        <v>3332</v>
      </c>
      <c r="E166" t="s">
        <v>3336</v>
      </c>
    </row>
    <row r="167" spans="1:5" x14ac:dyDescent="0.25">
      <c r="A167" t="s">
        <v>3329</v>
      </c>
      <c r="B167" t="s">
        <v>3667</v>
      </c>
      <c r="C167" t="s">
        <v>3668</v>
      </c>
      <c r="D167" t="s">
        <v>3332</v>
      </c>
      <c r="E167" t="s">
        <v>3336</v>
      </c>
    </row>
    <row r="168" spans="1:5" x14ac:dyDescent="0.25">
      <c r="A168" t="s">
        <v>3329</v>
      </c>
      <c r="B168" t="s">
        <v>3669</v>
      </c>
      <c r="C168" t="s">
        <v>3670</v>
      </c>
      <c r="D168" t="s">
        <v>3332</v>
      </c>
      <c r="E168" t="s">
        <v>3336</v>
      </c>
    </row>
    <row r="169" spans="1:5" x14ac:dyDescent="0.25">
      <c r="A169" t="s">
        <v>3329</v>
      </c>
      <c r="B169" t="s">
        <v>3671</v>
      </c>
      <c r="C169" t="s">
        <v>3672</v>
      </c>
      <c r="D169" t="s">
        <v>3332</v>
      </c>
      <c r="E169" t="s">
        <v>3336</v>
      </c>
    </row>
    <row r="170" spans="1:5" x14ac:dyDescent="0.25">
      <c r="A170" t="s">
        <v>3329</v>
      </c>
      <c r="B170" t="s">
        <v>3673</v>
      </c>
      <c r="C170" t="s">
        <v>3674</v>
      </c>
      <c r="D170" t="s">
        <v>3332</v>
      </c>
      <c r="E170" t="s">
        <v>3336</v>
      </c>
    </row>
    <row r="171" spans="1:5" x14ac:dyDescent="0.25">
      <c r="A171" t="s">
        <v>3329</v>
      </c>
      <c r="B171" t="s">
        <v>3675</v>
      </c>
      <c r="C171" t="s">
        <v>3676</v>
      </c>
      <c r="D171" t="s">
        <v>3332</v>
      </c>
      <c r="E171" t="s">
        <v>3336</v>
      </c>
    </row>
    <row r="172" spans="1:5" x14ac:dyDescent="0.25">
      <c r="A172" t="s">
        <v>3329</v>
      </c>
      <c r="B172" t="s">
        <v>3677</v>
      </c>
      <c r="C172" t="s">
        <v>3678</v>
      </c>
      <c r="D172" t="s">
        <v>3332</v>
      </c>
      <c r="E172" t="s">
        <v>3336</v>
      </c>
    </row>
    <row r="173" spans="1:5" x14ac:dyDescent="0.25">
      <c r="A173" t="s">
        <v>3329</v>
      </c>
      <c r="B173" t="s">
        <v>3679</v>
      </c>
      <c r="C173" t="s">
        <v>3680</v>
      </c>
      <c r="D173" t="s">
        <v>3332</v>
      </c>
      <c r="E173" t="s">
        <v>3336</v>
      </c>
    </row>
    <row r="174" spans="1:5" x14ac:dyDescent="0.25">
      <c r="A174" t="s">
        <v>3329</v>
      </c>
      <c r="B174" t="s">
        <v>3681</v>
      </c>
      <c r="C174" t="s">
        <v>3682</v>
      </c>
      <c r="D174" t="s">
        <v>3332</v>
      </c>
      <c r="E174" t="s">
        <v>3336</v>
      </c>
    </row>
    <row r="175" spans="1:5" x14ac:dyDescent="0.25">
      <c r="A175" t="s">
        <v>3329</v>
      </c>
      <c r="B175" t="s">
        <v>3683</v>
      </c>
      <c r="C175" t="s">
        <v>3684</v>
      </c>
      <c r="D175" t="s">
        <v>3332</v>
      </c>
      <c r="E175" t="s">
        <v>3336</v>
      </c>
    </row>
    <row r="176" spans="1:5" x14ac:dyDescent="0.25">
      <c r="A176" t="s">
        <v>3329</v>
      </c>
      <c r="B176" t="s">
        <v>3685</v>
      </c>
      <c r="C176" t="s">
        <v>3686</v>
      </c>
      <c r="D176" t="s">
        <v>3332</v>
      </c>
      <c r="E176" t="s">
        <v>3336</v>
      </c>
    </row>
    <row r="177" spans="1:5" x14ac:dyDescent="0.25">
      <c r="A177" t="s">
        <v>3329</v>
      </c>
      <c r="B177" t="s">
        <v>3687</v>
      </c>
      <c r="C177" t="s">
        <v>3688</v>
      </c>
      <c r="D177" t="s">
        <v>3332</v>
      </c>
      <c r="E177" t="s">
        <v>3336</v>
      </c>
    </row>
    <row r="178" spans="1:5" x14ac:dyDescent="0.25">
      <c r="A178" t="s">
        <v>3329</v>
      </c>
      <c r="B178" t="s">
        <v>3689</v>
      </c>
      <c r="C178" t="s">
        <v>3690</v>
      </c>
      <c r="D178" t="s">
        <v>3332</v>
      </c>
      <c r="E178" t="s">
        <v>3333</v>
      </c>
    </row>
    <row r="179" spans="1:5" x14ac:dyDescent="0.25">
      <c r="A179" t="s">
        <v>3329</v>
      </c>
      <c r="B179" t="s">
        <v>3691</v>
      </c>
      <c r="C179" t="s">
        <v>3692</v>
      </c>
      <c r="D179" t="s">
        <v>3332</v>
      </c>
      <c r="E179" t="s">
        <v>3333</v>
      </c>
    </row>
    <row r="180" spans="1:5" x14ac:dyDescent="0.25">
      <c r="A180" t="s">
        <v>3329</v>
      </c>
      <c r="B180" t="s">
        <v>3693</v>
      </c>
      <c r="C180" t="s">
        <v>3694</v>
      </c>
      <c r="D180" t="s">
        <v>3332</v>
      </c>
      <c r="E180" t="s">
        <v>3333</v>
      </c>
    </row>
    <row r="181" spans="1:5" x14ac:dyDescent="0.25">
      <c r="A181" t="s">
        <v>3329</v>
      </c>
      <c r="B181" t="s">
        <v>3695</v>
      </c>
      <c r="C181" t="s">
        <v>3696</v>
      </c>
      <c r="D181" t="s">
        <v>3332</v>
      </c>
      <c r="E181" t="s">
        <v>3333</v>
      </c>
    </row>
    <row r="182" spans="1:5" x14ac:dyDescent="0.25">
      <c r="A182" t="s">
        <v>3329</v>
      </c>
      <c r="B182" t="s">
        <v>3697</v>
      </c>
      <c r="C182" t="s">
        <v>3698</v>
      </c>
      <c r="D182" t="s">
        <v>3332</v>
      </c>
      <c r="E182" t="s">
        <v>3582</v>
      </c>
    </row>
    <row r="183" spans="1:5" x14ac:dyDescent="0.25">
      <c r="A183" t="s">
        <v>3329</v>
      </c>
      <c r="B183" t="s">
        <v>3699</v>
      </c>
      <c r="C183" t="s">
        <v>3700</v>
      </c>
      <c r="D183" t="s">
        <v>3332</v>
      </c>
      <c r="E183" t="s">
        <v>3582</v>
      </c>
    </row>
    <row r="184" spans="1:5" x14ac:dyDescent="0.25">
      <c r="A184" t="s">
        <v>3329</v>
      </c>
      <c r="B184" t="s">
        <v>3701</v>
      </c>
      <c r="C184" t="s">
        <v>3702</v>
      </c>
      <c r="D184" t="s">
        <v>3332</v>
      </c>
      <c r="E184" t="s">
        <v>3582</v>
      </c>
    </row>
    <row r="185" spans="1:5" x14ac:dyDescent="0.25">
      <c r="A185" t="s">
        <v>3329</v>
      </c>
      <c r="B185" t="s">
        <v>3703</v>
      </c>
      <c r="C185" t="s">
        <v>3704</v>
      </c>
      <c r="D185" t="s">
        <v>3332</v>
      </c>
      <c r="E185" t="s">
        <v>3582</v>
      </c>
    </row>
    <row r="186" spans="1:5" x14ac:dyDescent="0.25">
      <c r="A186" t="s">
        <v>3329</v>
      </c>
      <c r="B186" t="s">
        <v>3705</v>
      </c>
      <c r="C186" t="s">
        <v>3706</v>
      </c>
      <c r="D186" t="s">
        <v>3332</v>
      </c>
      <c r="E186" t="s">
        <v>3582</v>
      </c>
    </row>
    <row r="187" spans="1:5" x14ac:dyDescent="0.25">
      <c r="A187" t="s">
        <v>3329</v>
      </c>
      <c r="B187" t="s">
        <v>3707</v>
      </c>
      <c r="C187" t="s">
        <v>3708</v>
      </c>
      <c r="D187" t="s">
        <v>3332</v>
      </c>
      <c r="E187" t="s">
        <v>3582</v>
      </c>
    </row>
    <row r="188" spans="1:5" x14ac:dyDescent="0.25">
      <c r="A188" t="s">
        <v>3329</v>
      </c>
      <c r="B188" t="s">
        <v>3709</v>
      </c>
      <c r="C188" t="s">
        <v>3710</v>
      </c>
      <c r="D188" t="s">
        <v>3332</v>
      </c>
      <c r="E188" t="s">
        <v>3333</v>
      </c>
    </row>
    <row r="189" spans="1:5" x14ac:dyDescent="0.25">
      <c r="A189" t="s">
        <v>3329</v>
      </c>
      <c r="B189" t="s">
        <v>3711</v>
      </c>
      <c r="C189" t="s">
        <v>3712</v>
      </c>
      <c r="D189" t="s">
        <v>3332</v>
      </c>
      <c r="E189" t="s">
        <v>3333</v>
      </c>
    </row>
    <row r="190" spans="1:5" x14ac:dyDescent="0.25">
      <c r="A190" t="s">
        <v>3329</v>
      </c>
      <c r="B190" t="s">
        <v>3713</v>
      </c>
      <c r="C190" t="s">
        <v>3714</v>
      </c>
      <c r="D190" t="s">
        <v>3332</v>
      </c>
      <c r="E190" t="s">
        <v>3333</v>
      </c>
    </row>
    <row r="191" spans="1:5" x14ac:dyDescent="0.25">
      <c r="A191" t="s">
        <v>3329</v>
      </c>
      <c r="B191" t="s">
        <v>3715</v>
      </c>
      <c r="C191" t="s">
        <v>3716</v>
      </c>
      <c r="D191" t="s">
        <v>3332</v>
      </c>
      <c r="E191" t="s">
        <v>3333</v>
      </c>
    </row>
    <row r="192" spans="1:5" x14ac:dyDescent="0.25">
      <c r="A192" t="s">
        <v>3329</v>
      </c>
      <c r="B192" t="s">
        <v>3717</v>
      </c>
      <c r="C192" t="s">
        <v>3718</v>
      </c>
      <c r="D192" t="s">
        <v>3332</v>
      </c>
      <c r="E192" t="s">
        <v>3333</v>
      </c>
    </row>
    <row r="193" spans="1:5" x14ac:dyDescent="0.25">
      <c r="A193" t="s">
        <v>3329</v>
      </c>
      <c r="B193" t="s">
        <v>3719</v>
      </c>
      <c r="C193" t="s">
        <v>3720</v>
      </c>
      <c r="D193" t="s">
        <v>3332</v>
      </c>
      <c r="E193" t="s">
        <v>3333</v>
      </c>
    </row>
    <row r="194" spans="1:5" x14ac:dyDescent="0.25">
      <c r="A194" t="s">
        <v>3329</v>
      </c>
      <c r="B194" t="s">
        <v>3721</v>
      </c>
      <c r="C194" t="s">
        <v>3722</v>
      </c>
      <c r="D194" t="s">
        <v>3332</v>
      </c>
      <c r="E194" t="s">
        <v>3336</v>
      </c>
    </row>
    <row r="195" spans="1:5" x14ac:dyDescent="0.25">
      <c r="A195" t="s">
        <v>3329</v>
      </c>
      <c r="B195" t="s">
        <v>3723</v>
      </c>
      <c r="C195" t="s">
        <v>3724</v>
      </c>
      <c r="D195" t="s">
        <v>3332</v>
      </c>
      <c r="E195" t="s">
        <v>3336</v>
      </c>
    </row>
    <row r="196" spans="1:5" x14ac:dyDescent="0.25">
      <c r="A196" t="s">
        <v>3329</v>
      </c>
      <c r="B196" t="s">
        <v>3725</v>
      </c>
      <c r="C196" t="s">
        <v>3726</v>
      </c>
      <c r="D196" t="s">
        <v>3332</v>
      </c>
      <c r="E196" t="s">
        <v>3336</v>
      </c>
    </row>
    <row r="197" spans="1:5" x14ac:dyDescent="0.25">
      <c r="A197" t="s">
        <v>3329</v>
      </c>
      <c r="B197" t="s">
        <v>3727</v>
      </c>
      <c r="C197" t="s">
        <v>3728</v>
      </c>
      <c r="D197" t="s">
        <v>3332</v>
      </c>
      <c r="E197" t="s">
        <v>3336</v>
      </c>
    </row>
    <row r="198" spans="1:5" x14ac:dyDescent="0.25">
      <c r="A198" t="s">
        <v>3329</v>
      </c>
      <c r="B198" t="s">
        <v>3729</v>
      </c>
      <c r="C198" t="s">
        <v>3730</v>
      </c>
      <c r="D198" t="s">
        <v>3332</v>
      </c>
      <c r="E198" t="s">
        <v>3336</v>
      </c>
    </row>
    <row r="199" spans="1:5" x14ac:dyDescent="0.25">
      <c r="A199" t="s">
        <v>3329</v>
      </c>
      <c r="B199" t="s">
        <v>3731</v>
      </c>
      <c r="C199" t="s">
        <v>3732</v>
      </c>
      <c r="D199" t="s">
        <v>3332</v>
      </c>
      <c r="E199" t="s">
        <v>3336</v>
      </c>
    </row>
    <row r="200" spans="1:5" x14ac:dyDescent="0.25">
      <c r="A200" t="s">
        <v>3329</v>
      </c>
      <c r="B200" t="s">
        <v>3733</v>
      </c>
      <c r="C200" t="s">
        <v>3734</v>
      </c>
      <c r="D200" t="s">
        <v>3332</v>
      </c>
      <c r="E200" t="s">
        <v>3336</v>
      </c>
    </row>
    <row r="201" spans="1:5" x14ac:dyDescent="0.25">
      <c r="A201" t="s">
        <v>3329</v>
      </c>
      <c r="B201" t="s">
        <v>3735</v>
      </c>
      <c r="C201" t="s">
        <v>3736</v>
      </c>
      <c r="D201" t="s">
        <v>3332</v>
      </c>
      <c r="E201" t="s">
        <v>3336</v>
      </c>
    </row>
    <row r="202" spans="1:5" x14ac:dyDescent="0.25">
      <c r="A202" t="s">
        <v>3329</v>
      </c>
      <c r="B202" t="s">
        <v>3737</v>
      </c>
      <c r="C202" t="s">
        <v>3738</v>
      </c>
      <c r="D202" t="s">
        <v>3332</v>
      </c>
      <c r="E202" t="s">
        <v>3336</v>
      </c>
    </row>
    <row r="203" spans="1:5" x14ac:dyDescent="0.25">
      <c r="A203" t="s">
        <v>3329</v>
      </c>
      <c r="B203" t="s">
        <v>3739</v>
      </c>
      <c r="C203" t="s">
        <v>3740</v>
      </c>
      <c r="D203" t="s">
        <v>3332</v>
      </c>
      <c r="E203" t="s">
        <v>3336</v>
      </c>
    </row>
    <row r="204" spans="1:5" x14ac:dyDescent="0.25">
      <c r="A204" t="s">
        <v>3329</v>
      </c>
      <c r="B204" t="s">
        <v>3741</v>
      </c>
      <c r="C204" t="s">
        <v>3742</v>
      </c>
      <c r="D204" t="s">
        <v>3332</v>
      </c>
      <c r="E204" t="s">
        <v>3336</v>
      </c>
    </row>
    <row r="205" spans="1:5" x14ac:dyDescent="0.25">
      <c r="A205" t="s">
        <v>3329</v>
      </c>
      <c r="B205" t="s">
        <v>3743</v>
      </c>
      <c r="C205" t="s">
        <v>3744</v>
      </c>
      <c r="D205" t="s">
        <v>3332</v>
      </c>
      <c r="E205" t="s">
        <v>3336</v>
      </c>
    </row>
    <row r="206" spans="1:5" x14ac:dyDescent="0.25">
      <c r="A206" t="s">
        <v>3329</v>
      </c>
      <c r="B206" t="s">
        <v>3745</v>
      </c>
      <c r="C206" t="s">
        <v>3746</v>
      </c>
      <c r="D206" t="s">
        <v>3332</v>
      </c>
      <c r="E206" t="s">
        <v>3336</v>
      </c>
    </row>
    <row r="207" spans="1:5" x14ac:dyDescent="0.25">
      <c r="A207" t="s">
        <v>3329</v>
      </c>
      <c r="B207" t="s">
        <v>3747</v>
      </c>
      <c r="C207" t="s">
        <v>3748</v>
      </c>
      <c r="D207" t="s">
        <v>3332</v>
      </c>
      <c r="E207" t="s">
        <v>3582</v>
      </c>
    </row>
    <row r="208" spans="1:5" x14ac:dyDescent="0.25">
      <c r="A208" t="s">
        <v>3329</v>
      </c>
      <c r="B208" t="s">
        <v>3749</v>
      </c>
      <c r="C208" t="s">
        <v>3750</v>
      </c>
      <c r="D208" t="s">
        <v>3332</v>
      </c>
      <c r="E208" t="s">
        <v>3582</v>
      </c>
    </row>
    <row r="209" spans="1:5" x14ac:dyDescent="0.25">
      <c r="A209" t="s">
        <v>3329</v>
      </c>
      <c r="B209" t="s">
        <v>3751</v>
      </c>
      <c r="C209" t="s">
        <v>3752</v>
      </c>
      <c r="D209" t="s">
        <v>3332</v>
      </c>
      <c r="E209" t="s">
        <v>3582</v>
      </c>
    </row>
    <row r="210" spans="1:5" x14ac:dyDescent="0.25">
      <c r="A210" t="s">
        <v>3329</v>
      </c>
      <c r="B210" t="s">
        <v>3753</v>
      </c>
      <c r="C210" t="s">
        <v>3754</v>
      </c>
      <c r="D210" t="s">
        <v>3332</v>
      </c>
      <c r="E210" t="s">
        <v>3582</v>
      </c>
    </row>
    <row r="211" spans="1:5" x14ac:dyDescent="0.25">
      <c r="A211" t="s">
        <v>3329</v>
      </c>
      <c r="B211" t="s">
        <v>3755</v>
      </c>
      <c r="C211" t="s">
        <v>3756</v>
      </c>
      <c r="D211" t="s">
        <v>3332</v>
      </c>
      <c r="E211" t="s">
        <v>3582</v>
      </c>
    </row>
    <row r="212" spans="1:5" x14ac:dyDescent="0.25">
      <c r="A212" t="s">
        <v>3329</v>
      </c>
      <c r="B212" t="s">
        <v>3757</v>
      </c>
      <c r="C212" t="s">
        <v>3758</v>
      </c>
      <c r="D212" t="s">
        <v>3332</v>
      </c>
      <c r="E212" t="s">
        <v>3582</v>
      </c>
    </row>
    <row r="213" spans="1:5" x14ac:dyDescent="0.25">
      <c r="A213" t="s">
        <v>3329</v>
      </c>
      <c r="B213" t="s">
        <v>3759</v>
      </c>
      <c r="C213" t="s">
        <v>3760</v>
      </c>
      <c r="D213" t="s">
        <v>3332</v>
      </c>
      <c r="E213" t="s">
        <v>3582</v>
      </c>
    </row>
    <row r="214" spans="1:5" x14ac:dyDescent="0.25">
      <c r="A214" t="s">
        <v>3329</v>
      </c>
      <c r="B214" t="s">
        <v>3761</v>
      </c>
      <c r="C214" t="s">
        <v>3762</v>
      </c>
      <c r="D214" t="s">
        <v>3332</v>
      </c>
      <c r="E214" t="s">
        <v>3582</v>
      </c>
    </row>
    <row r="215" spans="1:5" x14ac:dyDescent="0.25">
      <c r="A215" t="s">
        <v>3329</v>
      </c>
      <c r="B215" t="s">
        <v>3763</v>
      </c>
      <c r="C215" t="s">
        <v>3764</v>
      </c>
      <c r="D215" t="s">
        <v>3332</v>
      </c>
      <c r="E215" t="s">
        <v>3582</v>
      </c>
    </row>
    <row r="216" spans="1:5" x14ac:dyDescent="0.25">
      <c r="A216" t="s">
        <v>3329</v>
      </c>
      <c r="B216" t="s">
        <v>3765</v>
      </c>
      <c r="C216" t="s">
        <v>3766</v>
      </c>
      <c r="D216" t="s">
        <v>3332</v>
      </c>
      <c r="E216" t="s">
        <v>3582</v>
      </c>
    </row>
    <row r="217" spans="1:5" x14ac:dyDescent="0.25">
      <c r="A217" t="s">
        <v>3329</v>
      </c>
      <c r="B217" t="s">
        <v>3767</v>
      </c>
      <c r="C217" t="s">
        <v>3768</v>
      </c>
      <c r="D217" t="s">
        <v>3332</v>
      </c>
      <c r="E217" t="s">
        <v>3582</v>
      </c>
    </row>
    <row r="218" spans="1:5" x14ac:dyDescent="0.25">
      <c r="A218" t="s">
        <v>3329</v>
      </c>
      <c r="B218" t="s">
        <v>3769</v>
      </c>
      <c r="C218" t="s">
        <v>3770</v>
      </c>
      <c r="D218" t="s">
        <v>3332</v>
      </c>
      <c r="E218" t="s">
        <v>3582</v>
      </c>
    </row>
    <row r="219" spans="1:5" x14ac:dyDescent="0.25">
      <c r="A219" t="s">
        <v>3329</v>
      </c>
      <c r="B219" t="s">
        <v>3771</v>
      </c>
      <c r="C219" t="s">
        <v>3772</v>
      </c>
      <c r="D219" t="s">
        <v>3332</v>
      </c>
      <c r="E219" t="s">
        <v>3582</v>
      </c>
    </row>
    <row r="220" spans="1:5" x14ac:dyDescent="0.25">
      <c r="A220" t="s">
        <v>3329</v>
      </c>
      <c r="B220" t="s">
        <v>3773</v>
      </c>
      <c r="C220" t="s">
        <v>3774</v>
      </c>
      <c r="D220" t="s">
        <v>3332</v>
      </c>
      <c r="E220" t="s">
        <v>3582</v>
      </c>
    </row>
    <row r="221" spans="1:5" x14ac:dyDescent="0.25">
      <c r="A221" t="s">
        <v>3329</v>
      </c>
      <c r="B221" t="s">
        <v>3775</v>
      </c>
      <c r="C221" t="s">
        <v>3776</v>
      </c>
      <c r="D221" t="s">
        <v>3332</v>
      </c>
      <c r="E221" t="s">
        <v>3582</v>
      </c>
    </row>
    <row r="222" spans="1:5" x14ac:dyDescent="0.25">
      <c r="A222" t="s">
        <v>3329</v>
      </c>
      <c r="B222" t="s">
        <v>3777</v>
      </c>
      <c r="C222" t="s">
        <v>3778</v>
      </c>
      <c r="D222" t="s">
        <v>3332</v>
      </c>
      <c r="E222" t="s">
        <v>3336</v>
      </c>
    </row>
    <row r="223" spans="1:5" x14ac:dyDescent="0.25">
      <c r="A223" t="s">
        <v>3329</v>
      </c>
      <c r="B223" t="s">
        <v>3779</v>
      </c>
      <c r="C223" t="s">
        <v>3780</v>
      </c>
      <c r="D223" t="s">
        <v>3332</v>
      </c>
      <c r="E223" t="s">
        <v>3336</v>
      </c>
    </row>
    <row r="224" spans="1:5" x14ac:dyDescent="0.25">
      <c r="A224" t="s">
        <v>3329</v>
      </c>
      <c r="B224" t="s">
        <v>3781</v>
      </c>
      <c r="C224" t="s">
        <v>3782</v>
      </c>
      <c r="D224" t="s">
        <v>3332</v>
      </c>
      <c r="E224" t="s">
        <v>3336</v>
      </c>
    </row>
    <row r="225" spans="1:5" x14ac:dyDescent="0.25">
      <c r="A225" t="s">
        <v>3329</v>
      </c>
      <c r="B225" t="s">
        <v>3783</v>
      </c>
      <c r="C225" t="s">
        <v>3784</v>
      </c>
      <c r="D225" t="s">
        <v>3332</v>
      </c>
      <c r="E225" t="s">
        <v>3336</v>
      </c>
    </row>
    <row r="226" spans="1:5" x14ac:dyDescent="0.25">
      <c r="A226" t="s">
        <v>3329</v>
      </c>
      <c r="B226" t="s">
        <v>3785</v>
      </c>
      <c r="C226" t="s">
        <v>3786</v>
      </c>
      <c r="D226" t="s">
        <v>3332</v>
      </c>
      <c r="E226" t="s">
        <v>3336</v>
      </c>
    </row>
    <row r="227" spans="1:5" x14ac:dyDescent="0.25">
      <c r="A227" t="s">
        <v>3329</v>
      </c>
      <c r="B227" t="s">
        <v>3787</v>
      </c>
      <c r="C227" t="s">
        <v>3788</v>
      </c>
      <c r="D227" t="s">
        <v>3332</v>
      </c>
      <c r="E227" t="s">
        <v>3336</v>
      </c>
    </row>
    <row r="228" spans="1:5" x14ac:dyDescent="0.25">
      <c r="A228" t="s">
        <v>3329</v>
      </c>
      <c r="B228" t="s">
        <v>3789</v>
      </c>
      <c r="C228" t="s">
        <v>3790</v>
      </c>
      <c r="D228" t="s">
        <v>3332</v>
      </c>
      <c r="E228" t="s">
        <v>3339</v>
      </c>
    </row>
    <row r="229" spans="1:5" x14ac:dyDescent="0.25">
      <c r="A229" t="s">
        <v>3329</v>
      </c>
      <c r="B229" t="s">
        <v>3791</v>
      </c>
      <c r="C229" t="s">
        <v>3792</v>
      </c>
      <c r="D229" t="s">
        <v>3332</v>
      </c>
      <c r="E229" t="s">
        <v>3336</v>
      </c>
    </row>
    <row r="230" spans="1:5" x14ac:dyDescent="0.25">
      <c r="A230" t="s">
        <v>3329</v>
      </c>
      <c r="B230" t="s">
        <v>3793</v>
      </c>
      <c r="C230" t="s">
        <v>3794</v>
      </c>
      <c r="D230" t="s">
        <v>3332</v>
      </c>
      <c r="E230" t="s">
        <v>3336</v>
      </c>
    </row>
    <row r="231" spans="1:5" x14ac:dyDescent="0.25">
      <c r="A231" t="s">
        <v>3329</v>
      </c>
      <c r="B231" t="s">
        <v>3795</v>
      </c>
      <c r="C231" t="s">
        <v>3796</v>
      </c>
      <c r="D231" t="s">
        <v>3332</v>
      </c>
      <c r="E231" t="s">
        <v>3336</v>
      </c>
    </row>
    <row r="232" spans="1:5" x14ac:dyDescent="0.25">
      <c r="A232" t="s">
        <v>3329</v>
      </c>
      <c r="B232" t="s">
        <v>3797</v>
      </c>
      <c r="C232" t="s">
        <v>3798</v>
      </c>
      <c r="D232" t="s">
        <v>3332</v>
      </c>
      <c r="E232" t="s">
        <v>3336</v>
      </c>
    </row>
    <row r="233" spans="1:5" x14ac:dyDescent="0.25">
      <c r="A233" t="s">
        <v>3329</v>
      </c>
      <c r="B233" t="s">
        <v>3799</v>
      </c>
      <c r="C233" t="s">
        <v>3800</v>
      </c>
      <c r="D233" t="s">
        <v>3332</v>
      </c>
      <c r="E233" t="s">
        <v>3336</v>
      </c>
    </row>
    <row r="234" spans="1:5" x14ac:dyDescent="0.25">
      <c r="A234" t="s">
        <v>3329</v>
      </c>
      <c r="B234" t="s">
        <v>3801</v>
      </c>
      <c r="C234" t="s">
        <v>3802</v>
      </c>
      <c r="D234" t="s">
        <v>3332</v>
      </c>
      <c r="E234" t="s">
        <v>3336</v>
      </c>
    </row>
    <row r="235" spans="1:5" x14ac:dyDescent="0.25">
      <c r="A235" t="s">
        <v>3329</v>
      </c>
      <c r="B235" t="s">
        <v>3803</v>
      </c>
      <c r="C235" t="s">
        <v>3804</v>
      </c>
      <c r="D235" t="s">
        <v>3332</v>
      </c>
      <c r="E235" t="s">
        <v>3336</v>
      </c>
    </row>
    <row r="236" spans="1:5" x14ac:dyDescent="0.25">
      <c r="A236" t="s">
        <v>3329</v>
      </c>
      <c r="B236" t="s">
        <v>3805</v>
      </c>
      <c r="C236" t="s">
        <v>3806</v>
      </c>
      <c r="D236" t="s">
        <v>3332</v>
      </c>
      <c r="E236" t="s">
        <v>3336</v>
      </c>
    </row>
    <row r="237" spans="1:5" x14ac:dyDescent="0.25">
      <c r="A237" t="s">
        <v>3329</v>
      </c>
      <c r="B237" t="s">
        <v>3807</v>
      </c>
      <c r="C237" t="s">
        <v>3808</v>
      </c>
      <c r="D237" t="s">
        <v>3332</v>
      </c>
      <c r="E237" t="s">
        <v>3336</v>
      </c>
    </row>
    <row r="238" spans="1:5" x14ac:dyDescent="0.25">
      <c r="A238" t="s">
        <v>3329</v>
      </c>
      <c r="B238" t="s">
        <v>3809</v>
      </c>
      <c r="C238" t="s">
        <v>3810</v>
      </c>
      <c r="D238" t="s">
        <v>3332</v>
      </c>
      <c r="E238" t="s">
        <v>3336</v>
      </c>
    </row>
    <row r="239" spans="1:5" x14ac:dyDescent="0.25">
      <c r="A239" t="s">
        <v>3329</v>
      </c>
      <c r="B239" t="s">
        <v>3811</v>
      </c>
      <c r="C239" t="s">
        <v>3812</v>
      </c>
      <c r="D239" t="s">
        <v>3332</v>
      </c>
      <c r="E239" t="s">
        <v>3336</v>
      </c>
    </row>
    <row r="240" spans="1:5" x14ac:dyDescent="0.25">
      <c r="A240" t="s">
        <v>3329</v>
      </c>
      <c r="B240" t="s">
        <v>3813</v>
      </c>
      <c r="C240" t="s">
        <v>3814</v>
      </c>
      <c r="D240" t="s">
        <v>3332</v>
      </c>
      <c r="E240" t="s">
        <v>3336</v>
      </c>
    </row>
    <row r="241" spans="1:5" x14ac:dyDescent="0.25">
      <c r="A241" t="s">
        <v>3329</v>
      </c>
      <c r="B241" t="s">
        <v>3815</v>
      </c>
      <c r="C241" t="s">
        <v>3816</v>
      </c>
      <c r="D241" t="s">
        <v>3332</v>
      </c>
      <c r="E241" t="s">
        <v>3336</v>
      </c>
    </row>
    <row r="242" spans="1:5" x14ac:dyDescent="0.25">
      <c r="A242" t="s">
        <v>3329</v>
      </c>
      <c r="B242" t="s">
        <v>3817</v>
      </c>
      <c r="C242" t="s">
        <v>3818</v>
      </c>
      <c r="D242" t="s">
        <v>3332</v>
      </c>
      <c r="E242" t="s">
        <v>3333</v>
      </c>
    </row>
    <row r="243" spans="1:5" x14ac:dyDescent="0.25">
      <c r="A243" t="s">
        <v>3329</v>
      </c>
      <c r="B243" t="s">
        <v>3819</v>
      </c>
      <c r="C243" t="s">
        <v>3820</v>
      </c>
      <c r="D243" t="s">
        <v>3332</v>
      </c>
      <c r="E243" t="s">
        <v>3333</v>
      </c>
    </row>
    <row r="244" spans="1:5" x14ac:dyDescent="0.25">
      <c r="A244" t="s">
        <v>3329</v>
      </c>
      <c r="B244" t="s">
        <v>3821</v>
      </c>
      <c r="C244" t="s">
        <v>3822</v>
      </c>
      <c r="D244" t="s">
        <v>3332</v>
      </c>
      <c r="E244" t="s">
        <v>3333</v>
      </c>
    </row>
    <row r="245" spans="1:5" x14ac:dyDescent="0.25">
      <c r="A245" t="s">
        <v>3329</v>
      </c>
      <c r="B245" t="s">
        <v>3823</v>
      </c>
      <c r="C245" t="s">
        <v>3824</v>
      </c>
      <c r="D245" t="s">
        <v>3332</v>
      </c>
      <c r="E245" t="s">
        <v>3333</v>
      </c>
    </row>
    <row r="246" spans="1:5" x14ac:dyDescent="0.25">
      <c r="A246" t="s">
        <v>3329</v>
      </c>
      <c r="B246" t="s">
        <v>3825</v>
      </c>
      <c r="C246" t="s">
        <v>3826</v>
      </c>
      <c r="D246" t="s">
        <v>3332</v>
      </c>
      <c r="E246" t="s">
        <v>3582</v>
      </c>
    </row>
    <row r="247" spans="1:5" x14ac:dyDescent="0.25">
      <c r="A247" t="s">
        <v>3329</v>
      </c>
      <c r="B247" t="s">
        <v>3827</v>
      </c>
      <c r="C247" t="s">
        <v>3828</v>
      </c>
      <c r="D247" t="s">
        <v>3332</v>
      </c>
      <c r="E247" t="s">
        <v>3582</v>
      </c>
    </row>
    <row r="248" spans="1:5" x14ac:dyDescent="0.25">
      <c r="A248" t="s">
        <v>3329</v>
      </c>
      <c r="B248" t="s">
        <v>3829</v>
      </c>
      <c r="C248" t="s">
        <v>3830</v>
      </c>
      <c r="D248" t="s">
        <v>3332</v>
      </c>
      <c r="E248" t="s">
        <v>3582</v>
      </c>
    </row>
    <row r="249" spans="1:5" x14ac:dyDescent="0.25">
      <c r="A249" t="s">
        <v>3329</v>
      </c>
      <c r="B249" t="s">
        <v>3831</v>
      </c>
      <c r="C249" t="s">
        <v>3832</v>
      </c>
      <c r="D249" t="s">
        <v>3332</v>
      </c>
      <c r="E249" t="s">
        <v>3582</v>
      </c>
    </row>
    <row r="250" spans="1:5" x14ac:dyDescent="0.25">
      <c r="A250" t="s">
        <v>3329</v>
      </c>
      <c r="B250" t="s">
        <v>3833</v>
      </c>
      <c r="C250" t="s">
        <v>3834</v>
      </c>
      <c r="D250" t="s">
        <v>3332</v>
      </c>
      <c r="E250" t="s">
        <v>3336</v>
      </c>
    </row>
    <row r="251" spans="1:5" x14ac:dyDescent="0.25">
      <c r="A251" t="s">
        <v>3329</v>
      </c>
      <c r="B251" t="s">
        <v>3835</v>
      </c>
      <c r="C251" t="s">
        <v>3836</v>
      </c>
      <c r="D251" t="s">
        <v>3332</v>
      </c>
      <c r="E251" t="s">
        <v>3336</v>
      </c>
    </row>
    <row r="252" spans="1:5" x14ac:dyDescent="0.25">
      <c r="A252" t="s">
        <v>3329</v>
      </c>
      <c r="B252" t="s">
        <v>3837</v>
      </c>
      <c r="C252" t="s">
        <v>3838</v>
      </c>
      <c r="D252" t="s">
        <v>3332</v>
      </c>
      <c r="E252" t="s">
        <v>3336</v>
      </c>
    </row>
    <row r="253" spans="1:5" x14ac:dyDescent="0.25">
      <c r="A253" t="s">
        <v>3329</v>
      </c>
      <c r="B253" t="s">
        <v>3839</v>
      </c>
      <c r="C253" t="s">
        <v>3840</v>
      </c>
      <c r="D253" t="s">
        <v>3332</v>
      </c>
      <c r="E253" t="s">
        <v>3336</v>
      </c>
    </row>
    <row r="254" spans="1:5" x14ac:dyDescent="0.25">
      <c r="A254" t="s">
        <v>3329</v>
      </c>
      <c r="B254" t="s">
        <v>3841</v>
      </c>
      <c r="C254" t="s">
        <v>3842</v>
      </c>
      <c r="D254" t="s">
        <v>3332</v>
      </c>
      <c r="E254" t="s">
        <v>3336</v>
      </c>
    </row>
    <row r="255" spans="1:5" x14ac:dyDescent="0.25">
      <c r="A255" t="s">
        <v>3329</v>
      </c>
      <c r="B255" t="s">
        <v>3843</v>
      </c>
      <c r="C255" t="s">
        <v>3844</v>
      </c>
      <c r="D255" t="s">
        <v>3332</v>
      </c>
      <c r="E255" t="s">
        <v>3336</v>
      </c>
    </row>
    <row r="256" spans="1:5" x14ac:dyDescent="0.25">
      <c r="A256" t="s">
        <v>3329</v>
      </c>
      <c r="B256" t="s">
        <v>3845</v>
      </c>
      <c r="C256" t="s">
        <v>3840</v>
      </c>
      <c r="D256" t="s">
        <v>3332</v>
      </c>
      <c r="E256" t="s">
        <v>3336</v>
      </c>
    </row>
    <row r="257" spans="1:5" x14ac:dyDescent="0.25">
      <c r="A257" t="s">
        <v>3329</v>
      </c>
      <c r="B257" t="s">
        <v>3846</v>
      </c>
      <c r="C257" t="s">
        <v>3842</v>
      </c>
      <c r="D257" t="s">
        <v>3332</v>
      </c>
      <c r="E257" t="s">
        <v>3336</v>
      </c>
    </row>
    <row r="258" spans="1:5" x14ac:dyDescent="0.25">
      <c r="A258" t="s">
        <v>3329</v>
      </c>
      <c r="B258" t="s">
        <v>3847</v>
      </c>
      <c r="C258" t="s">
        <v>3848</v>
      </c>
      <c r="D258" t="s">
        <v>3332</v>
      </c>
      <c r="E258" t="s">
        <v>3336</v>
      </c>
    </row>
    <row r="259" spans="1:5" x14ac:dyDescent="0.25">
      <c r="A259" t="s">
        <v>3329</v>
      </c>
      <c r="B259" t="s">
        <v>3849</v>
      </c>
      <c r="C259" t="s">
        <v>3850</v>
      </c>
      <c r="D259" t="s">
        <v>3332</v>
      </c>
      <c r="E259" t="s">
        <v>3336</v>
      </c>
    </row>
    <row r="260" spans="1:5" x14ac:dyDescent="0.25">
      <c r="A260" t="s">
        <v>3329</v>
      </c>
      <c r="B260" t="s">
        <v>3851</v>
      </c>
      <c r="C260" t="s">
        <v>3852</v>
      </c>
      <c r="D260" t="s">
        <v>3332</v>
      </c>
      <c r="E260" t="s">
        <v>3336</v>
      </c>
    </row>
    <row r="261" spans="1:5" x14ac:dyDescent="0.25">
      <c r="A261" t="s">
        <v>3329</v>
      </c>
      <c r="B261" t="s">
        <v>3853</v>
      </c>
      <c r="C261" t="s">
        <v>3854</v>
      </c>
      <c r="D261" t="s">
        <v>3332</v>
      </c>
      <c r="E261" t="s">
        <v>3336</v>
      </c>
    </row>
    <row r="262" spans="1:5" x14ac:dyDescent="0.25">
      <c r="A262" t="s">
        <v>3329</v>
      </c>
      <c r="B262" t="s">
        <v>3855</v>
      </c>
      <c r="C262" t="s">
        <v>3856</v>
      </c>
      <c r="D262" t="s">
        <v>3332</v>
      </c>
      <c r="E262" t="s">
        <v>3336</v>
      </c>
    </row>
    <row r="263" spans="1:5" x14ac:dyDescent="0.25">
      <c r="A263" t="s">
        <v>3329</v>
      </c>
      <c r="B263" t="s">
        <v>3857</v>
      </c>
      <c r="C263" t="s">
        <v>3858</v>
      </c>
      <c r="D263" t="s">
        <v>3332</v>
      </c>
      <c r="E263" t="s">
        <v>3336</v>
      </c>
    </row>
    <row r="264" spans="1:5" x14ac:dyDescent="0.25">
      <c r="A264" t="s">
        <v>3329</v>
      </c>
      <c r="B264" t="s">
        <v>3859</v>
      </c>
      <c r="C264" t="s">
        <v>3860</v>
      </c>
      <c r="D264" t="s">
        <v>3332</v>
      </c>
      <c r="E264" t="s">
        <v>3336</v>
      </c>
    </row>
    <row r="265" spans="1:5" x14ac:dyDescent="0.25">
      <c r="A265" t="s">
        <v>3329</v>
      </c>
      <c r="B265" t="s">
        <v>3861</v>
      </c>
      <c r="C265" t="s">
        <v>3862</v>
      </c>
      <c r="D265" t="s">
        <v>3332</v>
      </c>
      <c r="E265" t="s">
        <v>3336</v>
      </c>
    </row>
    <row r="266" spans="1:5" x14ac:dyDescent="0.25">
      <c r="A266" t="s">
        <v>3329</v>
      </c>
      <c r="B266" t="s">
        <v>3863</v>
      </c>
      <c r="C266" t="s">
        <v>3864</v>
      </c>
      <c r="D266" t="s">
        <v>3332</v>
      </c>
      <c r="E266" t="s">
        <v>3336</v>
      </c>
    </row>
    <row r="267" spans="1:5" x14ac:dyDescent="0.25">
      <c r="A267" t="s">
        <v>3329</v>
      </c>
      <c r="B267" t="s">
        <v>3865</v>
      </c>
      <c r="C267" t="s">
        <v>3866</v>
      </c>
      <c r="D267" t="s">
        <v>3332</v>
      </c>
      <c r="E267" t="s">
        <v>3336</v>
      </c>
    </row>
    <row r="268" spans="1:5" x14ac:dyDescent="0.25">
      <c r="A268" t="s">
        <v>3329</v>
      </c>
      <c r="B268" t="s">
        <v>3867</v>
      </c>
      <c r="C268" t="s">
        <v>3868</v>
      </c>
      <c r="D268" t="s">
        <v>3332</v>
      </c>
      <c r="E268" t="s">
        <v>3333</v>
      </c>
    </row>
    <row r="269" spans="1:5" x14ac:dyDescent="0.25">
      <c r="A269" t="s">
        <v>3329</v>
      </c>
      <c r="B269" t="s">
        <v>3869</v>
      </c>
      <c r="C269" t="s">
        <v>3870</v>
      </c>
      <c r="D269" t="s">
        <v>3332</v>
      </c>
      <c r="E269" t="s">
        <v>3333</v>
      </c>
    </row>
    <row r="270" spans="1:5" x14ac:dyDescent="0.25">
      <c r="A270" t="s">
        <v>3329</v>
      </c>
      <c r="B270" t="s">
        <v>3871</v>
      </c>
      <c r="C270" t="s">
        <v>3872</v>
      </c>
      <c r="D270" t="s">
        <v>3332</v>
      </c>
      <c r="E270" t="s">
        <v>3344</v>
      </c>
    </row>
    <row r="271" spans="1:5" x14ac:dyDescent="0.25">
      <c r="A271" t="s">
        <v>3329</v>
      </c>
      <c r="B271" t="s">
        <v>3873</v>
      </c>
      <c r="C271" t="s">
        <v>3874</v>
      </c>
      <c r="D271" t="s">
        <v>3332</v>
      </c>
      <c r="E271" t="s">
        <v>3582</v>
      </c>
    </row>
    <row r="272" spans="1:5" x14ac:dyDescent="0.25">
      <c r="A272" t="s">
        <v>3329</v>
      </c>
      <c r="B272" t="s">
        <v>3875</v>
      </c>
      <c r="C272" t="s">
        <v>3876</v>
      </c>
      <c r="D272" t="s">
        <v>3332</v>
      </c>
      <c r="E272" t="s">
        <v>3582</v>
      </c>
    </row>
    <row r="273" spans="1:5" x14ac:dyDescent="0.25">
      <c r="A273" t="s">
        <v>3329</v>
      </c>
      <c r="B273" t="s">
        <v>3877</v>
      </c>
      <c r="C273" t="s">
        <v>3878</v>
      </c>
      <c r="D273" t="s">
        <v>3332</v>
      </c>
      <c r="E273" t="s">
        <v>3582</v>
      </c>
    </row>
    <row r="274" spans="1:5" x14ac:dyDescent="0.25">
      <c r="A274" t="s">
        <v>3329</v>
      </c>
      <c r="B274" t="s">
        <v>3879</v>
      </c>
      <c r="C274" t="s">
        <v>3880</v>
      </c>
      <c r="D274" t="s">
        <v>3332</v>
      </c>
      <c r="E274" t="s">
        <v>3582</v>
      </c>
    </row>
    <row r="275" spans="1:5" x14ac:dyDescent="0.25">
      <c r="A275" t="s">
        <v>3329</v>
      </c>
      <c r="B275" t="s">
        <v>3881</v>
      </c>
      <c r="C275" t="s">
        <v>3882</v>
      </c>
      <c r="D275" t="s">
        <v>3332</v>
      </c>
      <c r="E275" t="s">
        <v>3582</v>
      </c>
    </row>
    <row r="276" spans="1:5" x14ac:dyDescent="0.25">
      <c r="A276" t="s">
        <v>3329</v>
      </c>
      <c r="B276" t="s">
        <v>3883</v>
      </c>
      <c r="C276" t="s">
        <v>3884</v>
      </c>
      <c r="D276" t="s">
        <v>3332</v>
      </c>
      <c r="E276" t="s">
        <v>3582</v>
      </c>
    </row>
    <row r="277" spans="1:5" x14ac:dyDescent="0.25">
      <c r="A277" t="s">
        <v>3329</v>
      </c>
      <c r="B277" t="s">
        <v>3885</v>
      </c>
      <c r="C277" t="s">
        <v>3886</v>
      </c>
      <c r="D277" t="s">
        <v>3332</v>
      </c>
      <c r="E277" t="s">
        <v>3582</v>
      </c>
    </row>
    <row r="278" spans="1:5" x14ac:dyDescent="0.25">
      <c r="A278" t="s">
        <v>3329</v>
      </c>
      <c r="B278" t="s">
        <v>3887</v>
      </c>
      <c r="C278" t="s">
        <v>3888</v>
      </c>
      <c r="D278" t="s">
        <v>3332</v>
      </c>
      <c r="E278" t="s">
        <v>3582</v>
      </c>
    </row>
    <row r="279" spans="1:5" x14ac:dyDescent="0.25">
      <c r="A279" t="s">
        <v>3329</v>
      </c>
      <c r="B279" t="s">
        <v>3889</v>
      </c>
      <c r="C279" t="s">
        <v>3890</v>
      </c>
      <c r="D279" t="s">
        <v>3332</v>
      </c>
      <c r="E279" t="s">
        <v>3582</v>
      </c>
    </row>
    <row r="280" spans="1:5" x14ac:dyDescent="0.25">
      <c r="A280" t="s">
        <v>3329</v>
      </c>
      <c r="B280" t="s">
        <v>3891</v>
      </c>
      <c r="C280" t="s">
        <v>3892</v>
      </c>
      <c r="D280" t="s">
        <v>3332</v>
      </c>
      <c r="E280" t="s">
        <v>3582</v>
      </c>
    </row>
    <row r="281" spans="1:5" x14ac:dyDescent="0.25">
      <c r="A281" t="s">
        <v>3329</v>
      </c>
      <c r="B281" t="s">
        <v>3893</v>
      </c>
      <c r="C281" t="s">
        <v>3894</v>
      </c>
      <c r="D281" t="s">
        <v>3332</v>
      </c>
      <c r="E281" t="s">
        <v>3582</v>
      </c>
    </row>
    <row r="282" spans="1:5" x14ac:dyDescent="0.25">
      <c r="A282" t="s">
        <v>3329</v>
      </c>
      <c r="B282" t="s">
        <v>3895</v>
      </c>
      <c r="C282" t="s">
        <v>3896</v>
      </c>
      <c r="D282" t="s">
        <v>3332</v>
      </c>
      <c r="E282" t="s">
        <v>3582</v>
      </c>
    </row>
    <row r="283" spans="1:5" x14ac:dyDescent="0.25">
      <c r="A283" t="s">
        <v>3329</v>
      </c>
      <c r="B283" t="s">
        <v>3897</v>
      </c>
      <c r="C283" t="s">
        <v>3898</v>
      </c>
      <c r="D283" t="s">
        <v>3332</v>
      </c>
      <c r="E283" t="s">
        <v>3582</v>
      </c>
    </row>
    <row r="284" spans="1:5" x14ac:dyDescent="0.25">
      <c r="A284" t="s">
        <v>3329</v>
      </c>
      <c r="B284" t="s">
        <v>3899</v>
      </c>
      <c r="C284" t="s">
        <v>3900</v>
      </c>
      <c r="D284" t="s">
        <v>3332</v>
      </c>
      <c r="E284" t="s">
        <v>3582</v>
      </c>
    </row>
    <row r="285" spans="1:5" x14ac:dyDescent="0.25">
      <c r="A285" t="s">
        <v>3329</v>
      </c>
      <c r="B285" t="s">
        <v>3901</v>
      </c>
      <c r="C285" t="s">
        <v>3902</v>
      </c>
      <c r="D285" t="s">
        <v>3332</v>
      </c>
      <c r="E285" t="s">
        <v>3582</v>
      </c>
    </row>
    <row r="286" spans="1:5" x14ac:dyDescent="0.25">
      <c r="A286" t="s">
        <v>3329</v>
      </c>
      <c r="B286" t="s">
        <v>3903</v>
      </c>
      <c r="C286" t="s">
        <v>3904</v>
      </c>
      <c r="D286" t="s">
        <v>3332</v>
      </c>
      <c r="E286" t="s">
        <v>3582</v>
      </c>
    </row>
    <row r="287" spans="1:5" x14ac:dyDescent="0.25">
      <c r="A287" t="s">
        <v>3329</v>
      </c>
      <c r="B287" t="s">
        <v>3905</v>
      </c>
      <c r="C287" t="s">
        <v>3906</v>
      </c>
      <c r="D287" t="s">
        <v>3332</v>
      </c>
      <c r="E287" t="s">
        <v>3582</v>
      </c>
    </row>
    <row r="288" spans="1:5" x14ac:dyDescent="0.25">
      <c r="A288" t="s">
        <v>3329</v>
      </c>
      <c r="B288" t="s">
        <v>3907</v>
      </c>
      <c r="C288" t="s">
        <v>3908</v>
      </c>
      <c r="D288" t="s">
        <v>3332</v>
      </c>
      <c r="E288" t="s">
        <v>3582</v>
      </c>
    </row>
    <row r="289" spans="1:5" x14ac:dyDescent="0.25">
      <c r="A289" t="s">
        <v>3329</v>
      </c>
      <c r="B289" t="s">
        <v>3909</v>
      </c>
      <c r="C289" t="s">
        <v>3910</v>
      </c>
      <c r="D289" t="s">
        <v>3332</v>
      </c>
      <c r="E289" t="s">
        <v>3582</v>
      </c>
    </row>
    <row r="290" spans="1:5" x14ac:dyDescent="0.25">
      <c r="A290" t="s">
        <v>3329</v>
      </c>
      <c r="B290" t="s">
        <v>3911</v>
      </c>
      <c r="C290" t="s">
        <v>3912</v>
      </c>
      <c r="D290" t="s">
        <v>3332</v>
      </c>
      <c r="E290" t="s">
        <v>3582</v>
      </c>
    </row>
    <row r="291" spans="1:5" x14ac:dyDescent="0.25">
      <c r="A291" t="s">
        <v>3329</v>
      </c>
      <c r="B291" t="s">
        <v>3913</v>
      </c>
      <c r="C291" t="s">
        <v>3914</v>
      </c>
      <c r="D291" t="s">
        <v>3332</v>
      </c>
      <c r="E291" t="s">
        <v>3582</v>
      </c>
    </row>
    <row r="292" spans="1:5" x14ac:dyDescent="0.25">
      <c r="A292" t="s">
        <v>3329</v>
      </c>
      <c r="B292" t="s">
        <v>3915</v>
      </c>
      <c r="C292" t="s">
        <v>3916</v>
      </c>
      <c r="D292" t="s">
        <v>3332</v>
      </c>
      <c r="E292" t="s">
        <v>3582</v>
      </c>
    </row>
    <row r="293" spans="1:5" x14ac:dyDescent="0.25">
      <c r="A293" t="s">
        <v>3329</v>
      </c>
      <c r="B293" t="s">
        <v>3917</v>
      </c>
      <c r="C293" t="s">
        <v>3918</v>
      </c>
      <c r="D293" t="s">
        <v>3332</v>
      </c>
      <c r="E293" t="s">
        <v>3582</v>
      </c>
    </row>
    <row r="294" spans="1:5" x14ac:dyDescent="0.25">
      <c r="A294" t="s">
        <v>3329</v>
      </c>
      <c r="B294" t="s">
        <v>3919</v>
      </c>
      <c r="C294" t="s">
        <v>3920</v>
      </c>
      <c r="D294" t="s">
        <v>3332</v>
      </c>
      <c r="E294" t="s">
        <v>3582</v>
      </c>
    </row>
    <row r="295" spans="1:5" x14ac:dyDescent="0.25">
      <c r="A295" t="s">
        <v>3329</v>
      </c>
      <c r="B295" t="s">
        <v>3921</v>
      </c>
      <c r="C295" t="s">
        <v>3922</v>
      </c>
      <c r="D295" t="s">
        <v>3332</v>
      </c>
      <c r="E295" t="s">
        <v>3582</v>
      </c>
    </row>
    <row r="296" spans="1:5" x14ac:dyDescent="0.25">
      <c r="A296" t="s">
        <v>3329</v>
      </c>
      <c r="B296" t="s">
        <v>3923</v>
      </c>
      <c r="C296" t="s">
        <v>3924</v>
      </c>
      <c r="D296" t="s">
        <v>3332</v>
      </c>
      <c r="E296" t="s">
        <v>3582</v>
      </c>
    </row>
    <row r="297" spans="1:5" x14ac:dyDescent="0.25">
      <c r="A297" t="s">
        <v>3329</v>
      </c>
      <c r="B297" t="s">
        <v>3925</v>
      </c>
      <c r="C297" t="s">
        <v>3926</v>
      </c>
      <c r="D297" t="s">
        <v>3332</v>
      </c>
      <c r="E297" t="s">
        <v>3582</v>
      </c>
    </row>
    <row r="298" spans="1:5" x14ac:dyDescent="0.25">
      <c r="A298" t="s">
        <v>3329</v>
      </c>
      <c r="B298" t="s">
        <v>3927</v>
      </c>
      <c r="C298" t="s">
        <v>3928</v>
      </c>
      <c r="D298" t="s">
        <v>3332</v>
      </c>
      <c r="E298" t="s">
        <v>3582</v>
      </c>
    </row>
    <row r="299" spans="1:5" x14ac:dyDescent="0.25">
      <c r="A299" t="s">
        <v>3329</v>
      </c>
      <c r="B299" t="s">
        <v>3929</v>
      </c>
      <c r="C299" t="s">
        <v>3930</v>
      </c>
      <c r="D299" t="s">
        <v>3332</v>
      </c>
      <c r="E299" t="s">
        <v>3582</v>
      </c>
    </row>
    <row r="300" spans="1:5" x14ac:dyDescent="0.25">
      <c r="A300" t="s">
        <v>3329</v>
      </c>
      <c r="B300" t="s">
        <v>3931</v>
      </c>
      <c r="C300" t="s">
        <v>3932</v>
      </c>
      <c r="D300" t="s">
        <v>3332</v>
      </c>
      <c r="E300" t="s">
        <v>3582</v>
      </c>
    </row>
    <row r="301" spans="1:5" x14ac:dyDescent="0.25">
      <c r="A301" t="s">
        <v>3329</v>
      </c>
      <c r="B301" t="s">
        <v>3933</v>
      </c>
      <c r="C301" t="s">
        <v>3934</v>
      </c>
      <c r="D301" t="s">
        <v>3332</v>
      </c>
      <c r="E301" t="s">
        <v>3582</v>
      </c>
    </row>
    <row r="302" spans="1:5" x14ac:dyDescent="0.25">
      <c r="A302" t="s">
        <v>3329</v>
      </c>
      <c r="B302" t="s">
        <v>3935</v>
      </c>
      <c r="C302" t="s">
        <v>3936</v>
      </c>
      <c r="D302" t="s">
        <v>3332</v>
      </c>
      <c r="E302" t="s">
        <v>3582</v>
      </c>
    </row>
    <row r="303" spans="1:5" x14ac:dyDescent="0.25">
      <c r="A303" t="s">
        <v>3329</v>
      </c>
      <c r="B303" t="s">
        <v>3937</v>
      </c>
      <c r="C303" t="s">
        <v>3938</v>
      </c>
      <c r="D303" t="s">
        <v>3332</v>
      </c>
      <c r="E303" t="s">
        <v>3582</v>
      </c>
    </row>
    <row r="304" spans="1:5" x14ac:dyDescent="0.25">
      <c r="A304" t="s">
        <v>3329</v>
      </c>
      <c r="B304" t="s">
        <v>3939</v>
      </c>
      <c r="C304" t="s">
        <v>3940</v>
      </c>
      <c r="D304" t="s">
        <v>3332</v>
      </c>
      <c r="E304" t="s">
        <v>3582</v>
      </c>
    </row>
    <row r="305" spans="1:5" x14ac:dyDescent="0.25">
      <c r="A305" t="s">
        <v>3329</v>
      </c>
      <c r="B305" t="s">
        <v>3941</v>
      </c>
      <c r="C305" t="s">
        <v>3942</v>
      </c>
      <c r="D305" t="s">
        <v>3332</v>
      </c>
      <c r="E305" t="s">
        <v>3582</v>
      </c>
    </row>
    <row r="306" spans="1:5" x14ac:dyDescent="0.25">
      <c r="A306" t="s">
        <v>3329</v>
      </c>
      <c r="B306" t="s">
        <v>3943</v>
      </c>
      <c r="C306" t="s">
        <v>3944</v>
      </c>
      <c r="D306" t="s">
        <v>3332</v>
      </c>
      <c r="E306" t="s">
        <v>3336</v>
      </c>
    </row>
    <row r="307" spans="1:5" x14ac:dyDescent="0.25">
      <c r="A307" t="s">
        <v>3329</v>
      </c>
      <c r="B307" t="s">
        <v>3945</v>
      </c>
      <c r="C307" t="s">
        <v>3946</v>
      </c>
      <c r="D307" t="s">
        <v>3332</v>
      </c>
      <c r="E307" t="s">
        <v>3336</v>
      </c>
    </row>
    <row r="308" spans="1:5" x14ac:dyDescent="0.25">
      <c r="A308" t="s">
        <v>3329</v>
      </c>
      <c r="B308" t="s">
        <v>3947</v>
      </c>
      <c r="C308" t="s">
        <v>3948</v>
      </c>
      <c r="D308" t="s">
        <v>3332</v>
      </c>
      <c r="E308" t="s">
        <v>3336</v>
      </c>
    </row>
    <row r="309" spans="1:5" x14ac:dyDescent="0.25">
      <c r="A309" t="s">
        <v>3329</v>
      </c>
      <c r="B309" t="s">
        <v>3949</v>
      </c>
      <c r="C309" t="s">
        <v>3950</v>
      </c>
      <c r="D309" t="s">
        <v>3332</v>
      </c>
      <c r="E309" t="s">
        <v>3336</v>
      </c>
    </row>
    <row r="310" spans="1:5" x14ac:dyDescent="0.25">
      <c r="A310" t="s">
        <v>3329</v>
      </c>
      <c r="B310" t="s">
        <v>3951</v>
      </c>
      <c r="C310" t="s">
        <v>3952</v>
      </c>
      <c r="D310" t="s">
        <v>3332</v>
      </c>
      <c r="E310" t="s">
        <v>3344</v>
      </c>
    </row>
    <row r="311" spans="1:5" x14ac:dyDescent="0.25">
      <c r="A311" t="s">
        <v>3329</v>
      </c>
      <c r="B311" t="s">
        <v>3953</v>
      </c>
      <c r="C311" t="s">
        <v>3954</v>
      </c>
      <c r="D311" t="s">
        <v>3332</v>
      </c>
      <c r="E311" t="s">
        <v>3333</v>
      </c>
    </row>
    <row r="312" spans="1:5" x14ac:dyDescent="0.25">
      <c r="A312" t="s">
        <v>3329</v>
      </c>
      <c r="B312" t="s">
        <v>3955</v>
      </c>
      <c r="C312" t="s">
        <v>3956</v>
      </c>
      <c r="D312" t="s">
        <v>3332</v>
      </c>
      <c r="E312" t="s">
        <v>3333</v>
      </c>
    </row>
    <row r="313" spans="1:5" x14ac:dyDescent="0.25">
      <c r="A313" t="s">
        <v>3329</v>
      </c>
      <c r="B313" t="s">
        <v>3957</v>
      </c>
      <c r="C313" t="s">
        <v>3958</v>
      </c>
      <c r="D313" t="s">
        <v>3332</v>
      </c>
      <c r="E313" t="s">
        <v>3333</v>
      </c>
    </row>
    <row r="314" spans="1:5" x14ac:dyDescent="0.25">
      <c r="A314" t="s">
        <v>3329</v>
      </c>
      <c r="B314" t="s">
        <v>3959</v>
      </c>
      <c r="C314" t="s">
        <v>3960</v>
      </c>
      <c r="D314" t="s">
        <v>3332</v>
      </c>
      <c r="E314" t="s">
        <v>3339</v>
      </c>
    </row>
    <row r="315" spans="1:5" x14ac:dyDescent="0.25">
      <c r="A315" t="s">
        <v>3329</v>
      </c>
      <c r="B315" t="s">
        <v>3961</v>
      </c>
      <c r="C315" t="s">
        <v>3962</v>
      </c>
      <c r="D315" t="s">
        <v>3332</v>
      </c>
      <c r="E315" t="s">
        <v>3339</v>
      </c>
    </row>
    <row r="316" spans="1:5" x14ac:dyDescent="0.25">
      <c r="A316" t="s">
        <v>3329</v>
      </c>
      <c r="B316" t="s">
        <v>3963</v>
      </c>
      <c r="C316" t="s">
        <v>3964</v>
      </c>
      <c r="D316" t="s">
        <v>3332</v>
      </c>
      <c r="E316" t="s">
        <v>3339</v>
      </c>
    </row>
    <row r="317" spans="1:5" x14ac:dyDescent="0.25">
      <c r="A317" t="s">
        <v>3329</v>
      </c>
      <c r="B317" t="s">
        <v>3965</v>
      </c>
      <c r="C317" t="s">
        <v>3966</v>
      </c>
      <c r="D317" t="s">
        <v>3332</v>
      </c>
      <c r="E317" t="s">
        <v>3336</v>
      </c>
    </row>
    <row r="318" spans="1:5" x14ac:dyDescent="0.25">
      <c r="A318" t="s">
        <v>3329</v>
      </c>
      <c r="B318" t="s">
        <v>3967</v>
      </c>
      <c r="C318" t="s">
        <v>3968</v>
      </c>
      <c r="D318" t="s">
        <v>3332</v>
      </c>
      <c r="E318" t="s">
        <v>3336</v>
      </c>
    </row>
    <row r="319" spans="1:5" x14ac:dyDescent="0.25">
      <c r="A319" t="s">
        <v>3329</v>
      </c>
      <c r="B319" t="s">
        <v>3969</v>
      </c>
      <c r="C319" t="s">
        <v>3970</v>
      </c>
      <c r="D319" t="s">
        <v>3332</v>
      </c>
      <c r="E319" t="s">
        <v>3336</v>
      </c>
    </row>
    <row r="320" spans="1:5" x14ac:dyDescent="0.25">
      <c r="A320" t="s">
        <v>3329</v>
      </c>
      <c r="B320" t="s">
        <v>3971</v>
      </c>
      <c r="C320" t="s">
        <v>3972</v>
      </c>
      <c r="D320" t="s">
        <v>3332</v>
      </c>
      <c r="E320" t="s">
        <v>3336</v>
      </c>
    </row>
    <row r="321" spans="1:5" x14ac:dyDescent="0.25">
      <c r="A321" t="s">
        <v>3329</v>
      </c>
      <c r="B321" t="s">
        <v>3973</v>
      </c>
      <c r="C321" t="s">
        <v>3974</v>
      </c>
      <c r="D321" t="s">
        <v>3332</v>
      </c>
      <c r="E321" t="s">
        <v>3336</v>
      </c>
    </row>
    <row r="322" spans="1:5" x14ac:dyDescent="0.25">
      <c r="A322" t="s">
        <v>3329</v>
      </c>
      <c r="B322" t="s">
        <v>3975</v>
      </c>
      <c r="C322" t="s">
        <v>3976</v>
      </c>
      <c r="D322" t="s">
        <v>3332</v>
      </c>
      <c r="E322" t="s">
        <v>3336</v>
      </c>
    </row>
    <row r="323" spans="1:5" x14ac:dyDescent="0.25">
      <c r="A323" t="s">
        <v>3329</v>
      </c>
      <c r="B323" t="s">
        <v>3977</v>
      </c>
      <c r="C323" t="s">
        <v>3978</v>
      </c>
      <c r="D323" t="s">
        <v>3332</v>
      </c>
      <c r="E323" t="s">
        <v>3336</v>
      </c>
    </row>
    <row r="324" spans="1:5" x14ac:dyDescent="0.25">
      <c r="A324" t="s">
        <v>3329</v>
      </c>
      <c r="B324" t="s">
        <v>3979</v>
      </c>
      <c r="C324" t="s">
        <v>3980</v>
      </c>
      <c r="D324" t="s">
        <v>3332</v>
      </c>
      <c r="E324" t="s">
        <v>3336</v>
      </c>
    </row>
    <row r="325" spans="1:5" x14ac:dyDescent="0.25">
      <c r="A325" t="s">
        <v>3329</v>
      </c>
      <c r="B325" t="s">
        <v>3981</v>
      </c>
      <c r="C325" t="s">
        <v>3982</v>
      </c>
      <c r="D325" t="s">
        <v>3332</v>
      </c>
      <c r="E325" t="s">
        <v>3336</v>
      </c>
    </row>
    <row r="326" spans="1:5" x14ac:dyDescent="0.25">
      <c r="A326" t="s">
        <v>3329</v>
      </c>
      <c r="B326" t="s">
        <v>3983</v>
      </c>
      <c r="C326" t="s">
        <v>3984</v>
      </c>
      <c r="D326" t="s">
        <v>3332</v>
      </c>
      <c r="E326" t="s">
        <v>3336</v>
      </c>
    </row>
    <row r="327" spans="1:5" x14ac:dyDescent="0.25">
      <c r="A327" t="s">
        <v>3329</v>
      </c>
      <c r="B327" t="s">
        <v>3985</v>
      </c>
      <c r="C327" t="s">
        <v>3986</v>
      </c>
      <c r="D327" t="s">
        <v>3332</v>
      </c>
      <c r="E327" t="s">
        <v>3336</v>
      </c>
    </row>
    <row r="328" spans="1:5" x14ac:dyDescent="0.25">
      <c r="A328" t="s">
        <v>3329</v>
      </c>
      <c r="B328" t="s">
        <v>3987</v>
      </c>
      <c r="C328" t="s">
        <v>3988</v>
      </c>
      <c r="D328" t="s">
        <v>3332</v>
      </c>
      <c r="E328" t="s">
        <v>3344</v>
      </c>
    </row>
    <row r="329" spans="1:5" x14ac:dyDescent="0.25">
      <c r="A329" t="s">
        <v>3329</v>
      </c>
      <c r="B329" t="s">
        <v>3989</v>
      </c>
      <c r="C329" t="s">
        <v>3990</v>
      </c>
      <c r="D329" t="s">
        <v>3332</v>
      </c>
      <c r="E329" t="s">
        <v>3344</v>
      </c>
    </row>
    <row r="330" spans="1:5" x14ac:dyDescent="0.25">
      <c r="A330" t="s">
        <v>3329</v>
      </c>
      <c r="B330" t="s">
        <v>3991</v>
      </c>
      <c r="C330" t="s">
        <v>3992</v>
      </c>
      <c r="D330" t="s">
        <v>3332</v>
      </c>
      <c r="E330" t="s">
        <v>3344</v>
      </c>
    </row>
    <row r="331" spans="1:5" x14ac:dyDescent="0.25">
      <c r="A331" t="s">
        <v>3329</v>
      </c>
      <c r="B331" t="s">
        <v>3993</v>
      </c>
      <c r="C331" t="s">
        <v>3994</v>
      </c>
      <c r="D331" t="s">
        <v>3332</v>
      </c>
      <c r="E331" t="s">
        <v>3333</v>
      </c>
    </row>
    <row r="332" spans="1:5" x14ac:dyDescent="0.25">
      <c r="A332" t="s">
        <v>3329</v>
      </c>
      <c r="B332" t="s">
        <v>3995</v>
      </c>
      <c r="C332" t="s">
        <v>3996</v>
      </c>
      <c r="D332" t="s">
        <v>3332</v>
      </c>
      <c r="E332" t="s">
        <v>3336</v>
      </c>
    </row>
    <row r="333" spans="1:5" x14ac:dyDescent="0.25">
      <c r="A333" t="s">
        <v>3329</v>
      </c>
      <c r="B333" t="s">
        <v>3997</v>
      </c>
      <c r="C333" t="s">
        <v>3998</v>
      </c>
      <c r="D333" t="s">
        <v>3332</v>
      </c>
      <c r="E333" t="s">
        <v>3336</v>
      </c>
    </row>
    <row r="334" spans="1:5" x14ac:dyDescent="0.25">
      <c r="A334" t="s">
        <v>3329</v>
      </c>
      <c r="B334" t="s">
        <v>3999</v>
      </c>
      <c r="C334" t="s">
        <v>4000</v>
      </c>
      <c r="D334" t="s">
        <v>3332</v>
      </c>
      <c r="E334" t="s">
        <v>3336</v>
      </c>
    </row>
    <row r="335" spans="1:5" x14ac:dyDescent="0.25">
      <c r="A335" t="s">
        <v>3329</v>
      </c>
      <c r="B335" t="s">
        <v>4001</v>
      </c>
      <c r="C335" t="s">
        <v>4002</v>
      </c>
      <c r="D335" t="s">
        <v>3332</v>
      </c>
      <c r="E335" t="s">
        <v>3336</v>
      </c>
    </row>
    <row r="336" spans="1:5" x14ac:dyDescent="0.25">
      <c r="A336" t="s">
        <v>3329</v>
      </c>
      <c r="B336" t="s">
        <v>4003</v>
      </c>
      <c r="C336" t="s">
        <v>4004</v>
      </c>
      <c r="D336" t="s">
        <v>3332</v>
      </c>
      <c r="E336" t="s">
        <v>3336</v>
      </c>
    </row>
    <row r="337" spans="1:5" x14ac:dyDescent="0.25">
      <c r="A337" t="s">
        <v>3329</v>
      </c>
      <c r="B337" t="s">
        <v>4005</v>
      </c>
      <c r="C337" t="s">
        <v>4006</v>
      </c>
      <c r="D337" t="s">
        <v>3332</v>
      </c>
      <c r="E337" t="s">
        <v>3336</v>
      </c>
    </row>
    <row r="338" spans="1:5" x14ac:dyDescent="0.25">
      <c r="A338" t="s">
        <v>3329</v>
      </c>
      <c r="B338" t="s">
        <v>4007</v>
      </c>
      <c r="C338" t="s">
        <v>4008</v>
      </c>
      <c r="D338" t="s">
        <v>3332</v>
      </c>
      <c r="E338" t="s">
        <v>3336</v>
      </c>
    </row>
    <row r="339" spans="1:5" x14ac:dyDescent="0.25">
      <c r="A339" t="s">
        <v>3329</v>
      </c>
      <c r="B339" t="s">
        <v>4009</v>
      </c>
      <c r="C339" t="s">
        <v>4010</v>
      </c>
      <c r="D339" t="s">
        <v>3332</v>
      </c>
      <c r="E339" t="s">
        <v>3336</v>
      </c>
    </row>
    <row r="340" spans="1:5" x14ac:dyDescent="0.25">
      <c r="A340" t="s">
        <v>3329</v>
      </c>
      <c r="B340" t="s">
        <v>4011</v>
      </c>
      <c r="C340" t="s">
        <v>4012</v>
      </c>
      <c r="D340" t="s">
        <v>3332</v>
      </c>
      <c r="E340" t="s">
        <v>3336</v>
      </c>
    </row>
    <row r="341" spans="1:5" x14ac:dyDescent="0.25">
      <c r="A341" t="s">
        <v>3329</v>
      </c>
      <c r="B341" t="s">
        <v>4013</v>
      </c>
      <c r="C341" t="s">
        <v>4014</v>
      </c>
      <c r="D341" t="s">
        <v>3332</v>
      </c>
      <c r="E341" t="s">
        <v>3336</v>
      </c>
    </row>
    <row r="342" spans="1:5" x14ac:dyDescent="0.25">
      <c r="A342" t="s">
        <v>3329</v>
      </c>
      <c r="B342" t="s">
        <v>4015</v>
      </c>
      <c r="C342" t="s">
        <v>4016</v>
      </c>
      <c r="D342" t="s">
        <v>3332</v>
      </c>
      <c r="E342" t="s">
        <v>3336</v>
      </c>
    </row>
    <row r="343" spans="1:5" x14ac:dyDescent="0.25">
      <c r="A343" t="s">
        <v>3329</v>
      </c>
      <c r="B343" t="s">
        <v>4017</v>
      </c>
      <c r="C343" t="s">
        <v>4018</v>
      </c>
      <c r="D343" t="s">
        <v>3332</v>
      </c>
      <c r="E343" t="s">
        <v>3336</v>
      </c>
    </row>
    <row r="344" spans="1:5" x14ac:dyDescent="0.25">
      <c r="A344" t="s">
        <v>3329</v>
      </c>
      <c r="B344" t="s">
        <v>4019</v>
      </c>
      <c r="C344" t="s">
        <v>4020</v>
      </c>
      <c r="D344" t="s">
        <v>3332</v>
      </c>
      <c r="E344" t="s">
        <v>3336</v>
      </c>
    </row>
    <row r="345" spans="1:5" x14ac:dyDescent="0.25">
      <c r="A345" t="s">
        <v>3329</v>
      </c>
      <c r="B345" t="s">
        <v>4021</v>
      </c>
      <c r="C345" t="s">
        <v>4022</v>
      </c>
      <c r="D345" t="s">
        <v>3332</v>
      </c>
      <c r="E345" t="s">
        <v>3336</v>
      </c>
    </row>
    <row r="346" spans="1:5" x14ac:dyDescent="0.25">
      <c r="A346" t="s">
        <v>3329</v>
      </c>
      <c r="B346" t="s">
        <v>4023</v>
      </c>
      <c r="C346" t="s">
        <v>4024</v>
      </c>
      <c r="D346" t="s">
        <v>3332</v>
      </c>
      <c r="E346" t="s">
        <v>3336</v>
      </c>
    </row>
    <row r="347" spans="1:5" x14ac:dyDescent="0.25">
      <c r="A347" t="s">
        <v>3329</v>
      </c>
      <c r="B347" t="s">
        <v>4025</v>
      </c>
      <c r="C347" t="s">
        <v>4026</v>
      </c>
      <c r="D347" t="s">
        <v>3332</v>
      </c>
      <c r="E347" t="s">
        <v>3333</v>
      </c>
    </row>
    <row r="348" spans="1:5" x14ac:dyDescent="0.25">
      <c r="A348" t="s">
        <v>3329</v>
      </c>
      <c r="B348" t="s">
        <v>4027</v>
      </c>
      <c r="C348" t="s">
        <v>4028</v>
      </c>
      <c r="D348" t="s">
        <v>3332</v>
      </c>
      <c r="E348" t="s">
        <v>3339</v>
      </c>
    </row>
    <row r="349" spans="1:5" x14ac:dyDescent="0.25">
      <c r="A349" t="s">
        <v>3329</v>
      </c>
      <c r="B349" t="s">
        <v>4029</v>
      </c>
      <c r="C349" t="s">
        <v>4030</v>
      </c>
      <c r="D349" t="s">
        <v>3332</v>
      </c>
      <c r="E349" t="s">
        <v>3579</v>
      </c>
    </row>
    <row r="350" spans="1:5" x14ac:dyDescent="0.25">
      <c r="A350" t="s">
        <v>3329</v>
      </c>
      <c r="B350" t="s">
        <v>4031</v>
      </c>
      <c r="C350" t="s">
        <v>4032</v>
      </c>
      <c r="D350" t="s">
        <v>3332</v>
      </c>
      <c r="E350" t="s">
        <v>3336</v>
      </c>
    </row>
    <row r="351" spans="1:5" x14ac:dyDescent="0.25">
      <c r="A351" t="s">
        <v>3329</v>
      </c>
      <c r="B351" t="s">
        <v>4033</v>
      </c>
      <c r="C351" t="s">
        <v>4034</v>
      </c>
      <c r="D351" t="s">
        <v>3332</v>
      </c>
      <c r="E351" t="s">
        <v>3336</v>
      </c>
    </row>
    <row r="352" spans="1:5" x14ac:dyDescent="0.25">
      <c r="A352" t="s">
        <v>3329</v>
      </c>
      <c r="B352" t="s">
        <v>4035</v>
      </c>
      <c r="C352" t="s">
        <v>4036</v>
      </c>
      <c r="D352" t="s">
        <v>3332</v>
      </c>
      <c r="E352" t="s">
        <v>3336</v>
      </c>
    </row>
    <row r="353" spans="1:5" x14ac:dyDescent="0.25">
      <c r="A353" t="s">
        <v>3329</v>
      </c>
      <c r="B353" t="s">
        <v>4037</v>
      </c>
      <c r="C353" t="s">
        <v>4038</v>
      </c>
      <c r="D353" t="s">
        <v>3332</v>
      </c>
      <c r="E353" t="s">
        <v>3336</v>
      </c>
    </row>
    <row r="354" spans="1:5" x14ac:dyDescent="0.25">
      <c r="A354" t="s">
        <v>3329</v>
      </c>
      <c r="B354" t="s">
        <v>4039</v>
      </c>
      <c r="C354" t="s">
        <v>4040</v>
      </c>
      <c r="D354" t="s">
        <v>3332</v>
      </c>
      <c r="E354" t="s">
        <v>3336</v>
      </c>
    </row>
    <row r="355" spans="1:5" x14ac:dyDescent="0.25">
      <c r="A355" t="s">
        <v>3329</v>
      </c>
      <c r="B355" t="s">
        <v>4041</v>
      </c>
      <c r="C355" t="s">
        <v>4042</v>
      </c>
      <c r="D355" t="s">
        <v>3332</v>
      </c>
      <c r="E355" t="s">
        <v>3336</v>
      </c>
    </row>
    <row r="356" spans="1:5" x14ac:dyDescent="0.25">
      <c r="A356" t="s">
        <v>3329</v>
      </c>
      <c r="B356" t="s">
        <v>4043</v>
      </c>
      <c r="C356" t="s">
        <v>4044</v>
      </c>
      <c r="D356" t="s">
        <v>3332</v>
      </c>
      <c r="E356" t="s">
        <v>3336</v>
      </c>
    </row>
    <row r="357" spans="1:5" x14ac:dyDescent="0.25">
      <c r="A357" t="s">
        <v>3329</v>
      </c>
      <c r="B357" t="s">
        <v>4045</v>
      </c>
      <c r="C357" t="s">
        <v>4046</v>
      </c>
      <c r="D357" t="s">
        <v>3332</v>
      </c>
      <c r="E357" t="s">
        <v>3336</v>
      </c>
    </row>
    <row r="358" spans="1:5" x14ac:dyDescent="0.25">
      <c r="A358" t="s">
        <v>3329</v>
      </c>
      <c r="B358" t="s">
        <v>4047</v>
      </c>
      <c r="C358" t="s">
        <v>4048</v>
      </c>
      <c r="D358" t="s">
        <v>3332</v>
      </c>
      <c r="E358" t="s">
        <v>3336</v>
      </c>
    </row>
    <row r="359" spans="1:5" x14ac:dyDescent="0.25">
      <c r="A359" t="s">
        <v>3329</v>
      </c>
      <c r="B359" t="s">
        <v>4049</v>
      </c>
      <c r="C359" t="s">
        <v>4050</v>
      </c>
      <c r="D359" t="s">
        <v>3332</v>
      </c>
      <c r="E359" t="s">
        <v>3336</v>
      </c>
    </row>
    <row r="360" spans="1:5" x14ac:dyDescent="0.25">
      <c r="A360" t="s">
        <v>3329</v>
      </c>
      <c r="B360" t="s">
        <v>4051</v>
      </c>
      <c r="C360" t="s">
        <v>4052</v>
      </c>
      <c r="D360" t="s">
        <v>3332</v>
      </c>
      <c r="E360" t="s">
        <v>3582</v>
      </c>
    </row>
    <row r="361" spans="1:5" x14ac:dyDescent="0.25">
      <c r="A361" t="s">
        <v>3329</v>
      </c>
      <c r="B361" t="s">
        <v>4053</v>
      </c>
      <c r="C361" t="s">
        <v>4054</v>
      </c>
      <c r="D361" t="s">
        <v>3332</v>
      </c>
      <c r="E361" t="s">
        <v>3582</v>
      </c>
    </row>
    <row r="362" spans="1:5" x14ac:dyDescent="0.25">
      <c r="A362" t="s">
        <v>3329</v>
      </c>
      <c r="B362" t="s">
        <v>4055</v>
      </c>
      <c r="C362" t="s">
        <v>4056</v>
      </c>
      <c r="D362" t="s">
        <v>3332</v>
      </c>
      <c r="E362" t="s">
        <v>3582</v>
      </c>
    </row>
    <row r="363" spans="1:5" x14ac:dyDescent="0.25">
      <c r="A363" t="s">
        <v>3329</v>
      </c>
      <c r="B363" t="s">
        <v>4057</v>
      </c>
      <c r="C363" t="s">
        <v>4058</v>
      </c>
      <c r="D363" t="s">
        <v>3332</v>
      </c>
      <c r="E363" t="s">
        <v>3582</v>
      </c>
    </row>
    <row r="364" spans="1:5" x14ac:dyDescent="0.25">
      <c r="A364" t="s">
        <v>3329</v>
      </c>
      <c r="B364" t="s">
        <v>4059</v>
      </c>
      <c r="C364" t="s">
        <v>4060</v>
      </c>
      <c r="D364" t="s">
        <v>3332</v>
      </c>
      <c r="E364" t="s">
        <v>3582</v>
      </c>
    </row>
    <row r="365" spans="1:5" x14ac:dyDescent="0.25">
      <c r="A365" t="s">
        <v>3329</v>
      </c>
      <c r="B365" t="s">
        <v>4061</v>
      </c>
      <c r="C365" t="s">
        <v>4062</v>
      </c>
      <c r="D365" t="s">
        <v>3332</v>
      </c>
      <c r="E365" t="s">
        <v>3582</v>
      </c>
    </row>
    <row r="366" spans="1:5" x14ac:dyDescent="0.25">
      <c r="A366" t="s">
        <v>3329</v>
      </c>
      <c r="B366" t="s">
        <v>4063</v>
      </c>
      <c r="C366" t="s">
        <v>4064</v>
      </c>
      <c r="D366" t="s">
        <v>3332</v>
      </c>
      <c r="E366" t="s">
        <v>3582</v>
      </c>
    </row>
    <row r="367" spans="1:5" x14ac:dyDescent="0.25">
      <c r="A367" t="s">
        <v>3329</v>
      </c>
      <c r="B367" t="s">
        <v>4065</v>
      </c>
      <c r="C367" t="s">
        <v>4066</v>
      </c>
      <c r="D367" t="s">
        <v>3332</v>
      </c>
      <c r="E367" t="s">
        <v>3582</v>
      </c>
    </row>
    <row r="368" spans="1:5" x14ac:dyDescent="0.25">
      <c r="A368" t="s">
        <v>3329</v>
      </c>
      <c r="B368" t="s">
        <v>4067</v>
      </c>
      <c r="C368" t="s">
        <v>4068</v>
      </c>
      <c r="D368" t="s">
        <v>3332</v>
      </c>
      <c r="E368" t="s">
        <v>3582</v>
      </c>
    </row>
    <row r="369" spans="1:5" x14ac:dyDescent="0.25">
      <c r="A369" t="s">
        <v>3329</v>
      </c>
      <c r="B369" t="s">
        <v>4069</v>
      </c>
      <c r="C369" t="s">
        <v>4070</v>
      </c>
      <c r="D369" t="s">
        <v>3332</v>
      </c>
      <c r="E369" t="s">
        <v>3582</v>
      </c>
    </row>
    <row r="370" spans="1:5" x14ac:dyDescent="0.25">
      <c r="A370" t="s">
        <v>3329</v>
      </c>
      <c r="B370" t="s">
        <v>4071</v>
      </c>
      <c r="C370" t="s">
        <v>4072</v>
      </c>
      <c r="D370" t="s">
        <v>3332</v>
      </c>
      <c r="E370" t="s">
        <v>3582</v>
      </c>
    </row>
    <row r="371" spans="1:5" x14ac:dyDescent="0.25">
      <c r="A371" t="s">
        <v>3329</v>
      </c>
      <c r="B371" t="s">
        <v>4073</v>
      </c>
      <c r="C371" t="s">
        <v>4074</v>
      </c>
      <c r="D371" t="s">
        <v>3332</v>
      </c>
      <c r="E371" t="s">
        <v>3582</v>
      </c>
    </row>
    <row r="372" spans="1:5" x14ac:dyDescent="0.25">
      <c r="A372" t="s">
        <v>3329</v>
      </c>
      <c r="B372" t="s">
        <v>4075</v>
      </c>
      <c r="C372" t="s">
        <v>4076</v>
      </c>
      <c r="D372" t="s">
        <v>3332</v>
      </c>
      <c r="E372" t="s">
        <v>3582</v>
      </c>
    </row>
    <row r="373" spans="1:5" x14ac:dyDescent="0.25">
      <c r="A373" t="s">
        <v>3329</v>
      </c>
      <c r="B373" t="s">
        <v>4077</v>
      </c>
      <c r="C373" t="s">
        <v>4078</v>
      </c>
      <c r="D373" t="s">
        <v>3332</v>
      </c>
      <c r="E373" t="s">
        <v>3582</v>
      </c>
    </row>
    <row r="374" spans="1:5" x14ac:dyDescent="0.25">
      <c r="A374" t="s">
        <v>3329</v>
      </c>
      <c r="B374" t="s">
        <v>4079</v>
      </c>
      <c r="C374" t="s">
        <v>4080</v>
      </c>
      <c r="D374" t="s">
        <v>3332</v>
      </c>
      <c r="E374" t="s">
        <v>3582</v>
      </c>
    </row>
    <row r="375" spans="1:5" x14ac:dyDescent="0.25">
      <c r="A375" t="s">
        <v>3329</v>
      </c>
      <c r="B375" t="s">
        <v>4081</v>
      </c>
      <c r="C375" t="s">
        <v>4082</v>
      </c>
      <c r="D375" t="s">
        <v>3332</v>
      </c>
      <c r="E375" t="s">
        <v>3582</v>
      </c>
    </row>
    <row r="376" spans="1:5" x14ac:dyDescent="0.25">
      <c r="A376" t="s">
        <v>3329</v>
      </c>
      <c r="B376" t="s">
        <v>4083</v>
      </c>
      <c r="C376" t="s">
        <v>4084</v>
      </c>
      <c r="D376" t="s">
        <v>3332</v>
      </c>
      <c r="E376" t="s">
        <v>3582</v>
      </c>
    </row>
    <row r="377" spans="1:5" x14ac:dyDescent="0.25">
      <c r="A377" t="s">
        <v>3329</v>
      </c>
      <c r="B377" t="s">
        <v>4085</v>
      </c>
      <c r="C377" t="s">
        <v>4086</v>
      </c>
      <c r="D377" t="s">
        <v>3332</v>
      </c>
      <c r="E377" t="s">
        <v>3582</v>
      </c>
    </row>
    <row r="378" spans="1:5" x14ac:dyDescent="0.25">
      <c r="A378" t="s">
        <v>3329</v>
      </c>
      <c r="B378" t="s">
        <v>4087</v>
      </c>
      <c r="C378" t="s">
        <v>4088</v>
      </c>
      <c r="D378" t="s">
        <v>3332</v>
      </c>
      <c r="E378" t="s">
        <v>3582</v>
      </c>
    </row>
    <row r="379" spans="1:5" x14ac:dyDescent="0.25">
      <c r="A379" t="s">
        <v>3329</v>
      </c>
      <c r="B379" t="s">
        <v>4089</v>
      </c>
      <c r="C379" t="s">
        <v>4090</v>
      </c>
      <c r="D379" t="s">
        <v>3332</v>
      </c>
      <c r="E379" t="s">
        <v>3582</v>
      </c>
    </row>
    <row r="380" spans="1:5" x14ac:dyDescent="0.25">
      <c r="A380" t="s">
        <v>3329</v>
      </c>
      <c r="B380" t="s">
        <v>4091</v>
      </c>
      <c r="C380" t="s">
        <v>4092</v>
      </c>
      <c r="D380" t="s">
        <v>3332</v>
      </c>
      <c r="E380" t="s">
        <v>3582</v>
      </c>
    </row>
    <row r="381" spans="1:5" x14ac:dyDescent="0.25">
      <c r="A381" t="s">
        <v>3329</v>
      </c>
      <c r="B381" t="s">
        <v>4093</v>
      </c>
      <c r="C381" t="s">
        <v>4094</v>
      </c>
      <c r="D381" t="s">
        <v>3332</v>
      </c>
      <c r="E381" t="s">
        <v>3582</v>
      </c>
    </row>
    <row r="382" spans="1:5" x14ac:dyDescent="0.25">
      <c r="A382" t="s">
        <v>3329</v>
      </c>
      <c r="B382" t="s">
        <v>4095</v>
      </c>
      <c r="C382" t="s">
        <v>4096</v>
      </c>
      <c r="D382" t="s">
        <v>3332</v>
      </c>
      <c r="E382" t="s">
        <v>3582</v>
      </c>
    </row>
    <row r="383" spans="1:5" x14ac:dyDescent="0.25">
      <c r="A383" t="s">
        <v>3329</v>
      </c>
      <c r="B383" t="s">
        <v>4097</v>
      </c>
      <c r="C383" t="s">
        <v>4098</v>
      </c>
      <c r="D383" t="s">
        <v>3332</v>
      </c>
      <c r="E383" t="s">
        <v>3339</v>
      </c>
    </row>
    <row r="384" spans="1:5" x14ac:dyDescent="0.25">
      <c r="A384" t="s">
        <v>3329</v>
      </c>
      <c r="B384" t="s">
        <v>4099</v>
      </c>
      <c r="C384" t="s">
        <v>4100</v>
      </c>
      <c r="D384" t="s">
        <v>3332</v>
      </c>
      <c r="E384" t="s">
        <v>3333</v>
      </c>
    </row>
    <row r="385" spans="1:5" x14ac:dyDescent="0.25">
      <c r="A385" t="s">
        <v>3329</v>
      </c>
      <c r="B385" t="s">
        <v>4101</v>
      </c>
      <c r="C385" t="s">
        <v>4102</v>
      </c>
      <c r="D385" t="s">
        <v>3332</v>
      </c>
      <c r="E385" t="s">
        <v>3333</v>
      </c>
    </row>
    <row r="386" spans="1:5" x14ac:dyDescent="0.25">
      <c r="A386" t="s">
        <v>3329</v>
      </c>
      <c r="B386" t="s">
        <v>4103</v>
      </c>
      <c r="C386" t="s">
        <v>4104</v>
      </c>
      <c r="D386" t="s">
        <v>3332</v>
      </c>
      <c r="E386" t="s">
        <v>3333</v>
      </c>
    </row>
    <row r="387" spans="1:5" x14ac:dyDescent="0.25">
      <c r="A387" t="s">
        <v>3329</v>
      </c>
      <c r="B387" t="s">
        <v>4105</v>
      </c>
      <c r="C387" t="s">
        <v>4106</v>
      </c>
      <c r="D387" t="s">
        <v>3332</v>
      </c>
      <c r="E387" t="s">
        <v>3333</v>
      </c>
    </row>
    <row r="388" spans="1:5" x14ac:dyDescent="0.25">
      <c r="A388" t="s">
        <v>3329</v>
      </c>
      <c r="B388" t="s">
        <v>4107</v>
      </c>
      <c r="C388" t="s">
        <v>4108</v>
      </c>
      <c r="D388" t="s">
        <v>3332</v>
      </c>
      <c r="E388" t="s">
        <v>3333</v>
      </c>
    </row>
    <row r="389" spans="1:5" x14ac:dyDescent="0.25">
      <c r="A389" t="s">
        <v>3329</v>
      </c>
      <c r="B389" t="s">
        <v>4109</v>
      </c>
      <c r="C389" t="s">
        <v>4110</v>
      </c>
      <c r="D389" t="s">
        <v>3332</v>
      </c>
      <c r="E389" t="s">
        <v>3333</v>
      </c>
    </row>
    <row r="390" spans="1:5" x14ac:dyDescent="0.25">
      <c r="A390" t="s">
        <v>3329</v>
      </c>
      <c r="B390" t="s">
        <v>4111</v>
      </c>
      <c r="C390" t="s">
        <v>4112</v>
      </c>
      <c r="D390" t="s">
        <v>3332</v>
      </c>
      <c r="E390" t="s">
        <v>3339</v>
      </c>
    </row>
    <row r="391" spans="1:5" x14ac:dyDescent="0.25">
      <c r="A391" t="s">
        <v>3329</v>
      </c>
      <c r="B391" t="s">
        <v>4113</v>
      </c>
      <c r="C391" t="s">
        <v>4114</v>
      </c>
      <c r="D391" t="s">
        <v>3332</v>
      </c>
      <c r="E391" t="s">
        <v>3339</v>
      </c>
    </row>
    <row r="392" spans="1:5" x14ac:dyDescent="0.25">
      <c r="A392" t="s">
        <v>3329</v>
      </c>
      <c r="B392" t="s">
        <v>4115</v>
      </c>
      <c r="C392" t="s">
        <v>4116</v>
      </c>
      <c r="D392" t="s">
        <v>3332</v>
      </c>
      <c r="E392" t="s">
        <v>3579</v>
      </c>
    </row>
    <row r="393" spans="1:5" x14ac:dyDescent="0.25">
      <c r="A393" t="s">
        <v>3329</v>
      </c>
      <c r="B393" t="s">
        <v>4117</v>
      </c>
      <c r="C393" t="s">
        <v>4118</v>
      </c>
      <c r="D393" t="s">
        <v>3332</v>
      </c>
      <c r="E393" t="s">
        <v>3336</v>
      </c>
    </row>
    <row r="394" spans="1:5" x14ac:dyDescent="0.25">
      <c r="A394" t="s">
        <v>3329</v>
      </c>
      <c r="B394" t="s">
        <v>4119</v>
      </c>
      <c r="C394" t="s">
        <v>4120</v>
      </c>
      <c r="D394" t="s">
        <v>3332</v>
      </c>
      <c r="E394" t="s">
        <v>3336</v>
      </c>
    </row>
    <row r="395" spans="1:5" x14ac:dyDescent="0.25">
      <c r="A395" t="s">
        <v>3329</v>
      </c>
      <c r="B395" t="s">
        <v>4121</v>
      </c>
      <c r="C395" t="s">
        <v>4122</v>
      </c>
      <c r="D395" t="s">
        <v>3332</v>
      </c>
      <c r="E395" t="s">
        <v>3336</v>
      </c>
    </row>
    <row r="396" spans="1:5" x14ac:dyDescent="0.25">
      <c r="A396" t="s">
        <v>3329</v>
      </c>
      <c r="B396" t="s">
        <v>4123</v>
      </c>
      <c r="C396" t="s">
        <v>4124</v>
      </c>
      <c r="D396" t="s">
        <v>3332</v>
      </c>
      <c r="E396" t="s">
        <v>3336</v>
      </c>
    </row>
    <row r="397" spans="1:5" x14ac:dyDescent="0.25">
      <c r="A397" t="s">
        <v>3329</v>
      </c>
      <c r="B397" t="s">
        <v>4125</v>
      </c>
      <c r="C397" t="s">
        <v>4126</v>
      </c>
      <c r="D397" t="s">
        <v>3332</v>
      </c>
      <c r="E397" t="s">
        <v>3336</v>
      </c>
    </row>
    <row r="398" spans="1:5" x14ac:dyDescent="0.25">
      <c r="A398" t="s">
        <v>3329</v>
      </c>
      <c r="B398" t="s">
        <v>4127</v>
      </c>
      <c r="C398" t="s">
        <v>4128</v>
      </c>
      <c r="D398" t="s">
        <v>3332</v>
      </c>
      <c r="E398" t="s">
        <v>3336</v>
      </c>
    </row>
    <row r="399" spans="1:5" x14ac:dyDescent="0.25">
      <c r="A399" t="s">
        <v>3329</v>
      </c>
      <c r="B399" t="s">
        <v>4129</v>
      </c>
      <c r="C399" t="s">
        <v>4130</v>
      </c>
      <c r="D399" t="s">
        <v>3332</v>
      </c>
      <c r="E399" t="s">
        <v>3336</v>
      </c>
    </row>
    <row r="400" spans="1:5" x14ac:dyDescent="0.25">
      <c r="A400" t="s">
        <v>3329</v>
      </c>
      <c r="B400" t="s">
        <v>4131</v>
      </c>
      <c r="C400" t="s">
        <v>4132</v>
      </c>
      <c r="D400" t="s">
        <v>3332</v>
      </c>
      <c r="E400" t="s">
        <v>3336</v>
      </c>
    </row>
    <row r="401" spans="1:5" x14ac:dyDescent="0.25">
      <c r="A401" t="s">
        <v>3329</v>
      </c>
      <c r="B401" t="s">
        <v>4133</v>
      </c>
      <c r="C401" t="s">
        <v>4134</v>
      </c>
      <c r="D401" t="s">
        <v>3332</v>
      </c>
      <c r="E401" t="s">
        <v>3336</v>
      </c>
    </row>
    <row r="402" spans="1:5" x14ac:dyDescent="0.25">
      <c r="A402" t="s">
        <v>3329</v>
      </c>
      <c r="B402" t="s">
        <v>4135</v>
      </c>
      <c r="C402" t="s">
        <v>4136</v>
      </c>
      <c r="D402" t="s">
        <v>3332</v>
      </c>
      <c r="E402" t="s">
        <v>3336</v>
      </c>
    </row>
    <row r="403" spans="1:5" x14ac:dyDescent="0.25">
      <c r="A403" t="s">
        <v>3329</v>
      </c>
      <c r="B403" t="s">
        <v>4137</v>
      </c>
      <c r="C403" t="s">
        <v>4138</v>
      </c>
      <c r="D403" t="s">
        <v>3332</v>
      </c>
      <c r="E403" t="s">
        <v>3336</v>
      </c>
    </row>
    <row r="404" spans="1:5" x14ac:dyDescent="0.25">
      <c r="A404" t="s">
        <v>3329</v>
      </c>
      <c r="B404" t="s">
        <v>4139</v>
      </c>
      <c r="C404" t="s">
        <v>4140</v>
      </c>
      <c r="D404" t="s">
        <v>3332</v>
      </c>
      <c r="E404" t="s">
        <v>3336</v>
      </c>
    </row>
    <row r="405" spans="1:5" x14ac:dyDescent="0.25">
      <c r="A405" t="s">
        <v>3329</v>
      </c>
      <c r="B405" t="s">
        <v>4141</v>
      </c>
      <c r="C405" t="s">
        <v>4142</v>
      </c>
      <c r="D405" t="s">
        <v>3332</v>
      </c>
      <c r="E405" t="s">
        <v>3336</v>
      </c>
    </row>
    <row r="406" spans="1:5" x14ac:dyDescent="0.25">
      <c r="A406" t="s">
        <v>3329</v>
      </c>
      <c r="B406" t="s">
        <v>4143</v>
      </c>
      <c r="C406" t="s">
        <v>4144</v>
      </c>
      <c r="D406" t="s">
        <v>3332</v>
      </c>
      <c r="E406" t="s">
        <v>3336</v>
      </c>
    </row>
    <row r="407" spans="1:5" x14ac:dyDescent="0.25">
      <c r="A407" t="s">
        <v>3329</v>
      </c>
      <c r="B407" t="s">
        <v>4145</v>
      </c>
      <c r="C407" t="s">
        <v>4146</v>
      </c>
      <c r="D407" t="s">
        <v>3332</v>
      </c>
      <c r="E407" t="s">
        <v>3336</v>
      </c>
    </row>
    <row r="408" spans="1:5" x14ac:dyDescent="0.25">
      <c r="A408" t="s">
        <v>3329</v>
      </c>
      <c r="B408" t="s">
        <v>4147</v>
      </c>
      <c r="C408" t="s">
        <v>4148</v>
      </c>
      <c r="D408" t="s">
        <v>3332</v>
      </c>
      <c r="E408" t="s">
        <v>3336</v>
      </c>
    </row>
    <row r="409" spans="1:5" x14ac:dyDescent="0.25">
      <c r="A409" t="s">
        <v>3329</v>
      </c>
      <c r="B409" t="s">
        <v>4149</v>
      </c>
      <c r="C409" t="s">
        <v>4150</v>
      </c>
      <c r="D409" t="s">
        <v>3332</v>
      </c>
      <c r="E409" t="s">
        <v>3336</v>
      </c>
    </row>
    <row r="410" spans="1:5" x14ac:dyDescent="0.25">
      <c r="A410" t="s">
        <v>3329</v>
      </c>
      <c r="B410" t="s">
        <v>4151</v>
      </c>
      <c r="C410" t="s">
        <v>4152</v>
      </c>
      <c r="D410" t="s">
        <v>3332</v>
      </c>
      <c r="E410" t="s">
        <v>3336</v>
      </c>
    </row>
    <row r="411" spans="1:5" x14ac:dyDescent="0.25">
      <c r="A411" t="s">
        <v>3329</v>
      </c>
      <c r="B411" t="s">
        <v>4153</v>
      </c>
      <c r="C411" t="s">
        <v>4154</v>
      </c>
      <c r="D411" t="s">
        <v>3332</v>
      </c>
      <c r="E411" t="s">
        <v>3336</v>
      </c>
    </row>
    <row r="412" spans="1:5" x14ac:dyDescent="0.25">
      <c r="A412" t="s">
        <v>3329</v>
      </c>
      <c r="B412" t="s">
        <v>4155</v>
      </c>
      <c r="C412" t="s">
        <v>4156</v>
      </c>
      <c r="D412" t="s">
        <v>3332</v>
      </c>
      <c r="E412" t="s">
        <v>3336</v>
      </c>
    </row>
    <row r="413" spans="1:5" x14ac:dyDescent="0.25">
      <c r="A413" t="s">
        <v>3329</v>
      </c>
      <c r="B413" t="s">
        <v>4157</v>
      </c>
      <c r="C413" t="s">
        <v>4158</v>
      </c>
      <c r="D413" t="s">
        <v>3332</v>
      </c>
      <c r="E413" t="s">
        <v>3336</v>
      </c>
    </row>
    <row r="414" spans="1:5" x14ac:dyDescent="0.25">
      <c r="A414" t="s">
        <v>3329</v>
      </c>
      <c r="B414" t="s">
        <v>4159</v>
      </c>
      <c r="C414" t="s">
        <v>4160</v>
      </c>
      <c r="D414" t="s">
        <v>3332</v>
      </c>
      <c r="E414" t="s">
        <v>3336</v>
      </c>
    </row>
    <row r="415" spans="1:5" x14ac:dyDescent="0.25">
      <c r="A415" t="s">
        <v>3329</v>
      </c>
      <c r="B415" t="s">
        <v>4161</v>
      </c>
      <c r="C415" t="s">
        <v>4162</v>
      </c>
      <c r="D415" t="s">
        <v>3332</v>
      </c>
      <c r="E415" t="s">
        <v>3336</v>
      </c>
    </row>
    <row r="416" spans="1:5" x14ac:dyDescent="0.25">
      <c r="A416" t="s">
        <v>3329</v>
      </c>
      <c r="B416" t="s">
        <v>4163</v>
      </c>
      <c r="C416" t="s">
        <v>4164</v>
      </c>
      <c r="D416" t="s">
        <v>3332</v>
      </c>
      <c r="E416" t="s">
        <v>3336</v>
      </c>
    </row>
    <row r="417" spans="1:5" x14ac:dyDescent="0.25">
      <c r="A417" t="s">
        <v>3329</v>
      </c>
      <c r="B417" t="s">
        <v>4165</v>
      </c>
      <c r="C417" t="s">
        <v>4166</v>
      </c>
      <c r="D417" t="s">
        <v>3332</v>
      </c>
      <c r="E417" t="s">
        <v>3336</v>
      </c>
    </row>
    <row r="418" spans="1:5" x14ac:dyDescent="0.25">
      <c r="A418" t="s">
        <v>3329</v>
      </c>
      <c r="B418" t="s">
        <v>4167</v>
      </c>
      <c r="C418" t="s">
        <v>4168</v>
      </c>
      <c r="D418" t="s">
        <v>3332</v>
      </c>
      <c r="E418" t="s">
        <v>3336</v>
      </c>
    </row>
    <row r="419" spans="1:5" x14ac:dyDescent="0.25">
      <c r="A419" t="s">
        <v>3329</v>
      </c>
      <c r="B419" t="s">
        <v>4169</v>
      </c>
      <c r="C419" t="s">
        <v>4170</v>
      </c>
      <c r="D419" t="s">
        <v>3332</v>
      </c>
      <c r="E419" t="s">
        <v>3336</v>
      </c>
    </row>
    <row r="420" spans="1:5" x14ac:dyDescent="0.25">
      <c r="A420" t="s">
        <v>3329</v>
      </c>
      <c r="B420" t="s">
        <v>4171</v>
      </c>
      <c r="C420" t="s">
        <v>4172</v>
      </c>
      <c r="D420" t="s">
        <v>3332</v>
      </c>
      <c r="E420" t="s">
        <v>3336</v>
      </c>
    </row>
    <row r="421" spans="1:5" x14ac:dyDescent="0.25">
      <c r="A421" t="s">
        <v>3329</v>
      </c>
      <c r="B421" t="s">
        <v>4173</v>
      </c>
      <c r="C421" t="s">
        <v>4174</v>
      </c>
      <c r="D421" t="s">
        <v>3332</v>
      </c>
      <c r="E421" t="s">
        <v>3336</v>
      </c>
    </row>
    <row r="422" spans="1:5" x14ac:dyDescent="0.25">
      <c r="A422" t="s">
        <v>3329</v>
      </c>
      <c r="B422" t="s">
        <v>4175</v>
      </c>
      <c r="C422" t="s">
        <v>4176</v>
      </c>
      <c r="D422" t="s">
        <v>3332</v>
      </c>
      <c r="E422" t="s">
        <v>3336</v>
      </c>
    </row>
    <row r="423" spans="1:5" x14ac:dyDescent="0.25">
      <c r="A423" t="s">
        <v>3329</v>
      </c>
      <c r="B423" t="s">
        <v>4177</v>
      </c>
      <c r="C423" t="s">
        <v>4178</v>
      </c>
      <c r="D423" t="s">
        <v>3332</v>
      </c>
      <c r="E423" t="s">
        <v>3336</v>
      </c>
    </row>
    <row r="424" spans="1:5" x14ac:dyDescent="0.25">
      <c r="A424" t="s">
        <v>3329</v>
      </c>
      <c r="B424" t="s">
        <v>4179</v>
      </c>
      <c r="C424" t="s">
        <v>4180</v>
      </c>
      <c r="D424" t="s">
        <v>3332</v>
      </c>
      <c r="E424" t="s">
        <v>3336</v>
      </c>
    </row>
    <row r="425" spans="1:5" x14ac:dyDescent="0.25">
      <c r="A425" t="s">
        <v>3329</v>
      </c>
      <c r="B425" t="s">
        <v>4181</v>
      </c>
      <c r="C425" t="s">
        <v>4182</v>
      </c>
      <c r="D425" t="s">
        <v>3332</v>
      </c>
      <c r="E425" t="s">
        <v>3336</v>
      </c>
    </row>
    <row r="426" spans="1:5" x14ac:dyDescent="0.25">
      <c r="A426" t="s">
        <v>3329</v>
      </c>
      <c r="B426" t="s">
        <v>4183</v>
      </c>
      <c r="C426" t="s">
        <v>4184</v>
      </c>
      <c r="D426" t="s">
        <v>3332</v>
      </c>
      <c r="E426" t="s">
        <v>3336</v>
      </c>
    </row>
    <row r="427" spans="1:5" x14ac:dyDescent="0.25">
      <c r="A427" t="s">
        <v>3329</v>
      </c>
      <c r="B427" t="s">
        <v>4185</v>
      </c>
      <c r="C427" t="s">
        <v>4186</v>
      </c>
      <c r="D427" t="s">
        <v>3332</v>
      </c>
      <c r="E427" t="s">
        <v>3336</v>
      </c>
    </row>
    <row r="428" spans="1:5" x14ac:dyDescent="0.25">
      <c r="A428" t="s">
        <v>3329</v>
      </c>
      <c r="B428" t="s">
        <v>4187</v>
      </c>
      <c r="C428" t="s">
        <v>4188</v>
      </c>
      <c r="D428" t="s">
        <v>3332</v>
      </c>
      <c r="E428" t="s">
        <v>3336</v>
      </c>
    </row>
    <row r="429" spans="1:5" x14ac:dyDescent="0.25">
      <c r="A429" t="s">
        <v>3329</v>
      </c>
      <c r="B429" t="s">
        <v>4189</v>
      </c>
      <c r="C429" t="s">
        <v>4190</v>
      </c>
      <c r="D429" t="s">
        <v>3332</v>
      </c>
      <c r="E429" t="s">
        <v>3336</v>
      </c>
    </row>
    <row r="430" spans="1:5" x14ac:dyDescent="0.25">
      <c r="A430" t="s">
        <v>3329</v>
      </c>
      <c r="B430" t="s">
        <v>4191</v>
      </c>
      <c r="C430" t="s">
        <v>4192</v>
      </c>
      <c r="D430" t="s">
        <v>3332</v>
      </c>
      <c r="E430" t="s">
        <v>3336</v>
      </c>
    </row>
    <row r="431" spans="1:5" x14ac:dyDescent="0.25">
      <c r="A431" t="s">
        <v>3329</v>
      </c>
      <c r="B431" t="s">
        <v>4193</v>
      </c>
      <c r="C431" t="s">
        <v>4194</v>
      </c>
      <c r="D431" t="s">
        <v>3332</v>
      </c>
      <c r="E431" t="s">
        <v>3336</v>
      </c>
    </row>
    <row r="432" spans="1:5" x14ac:dyDescent="0.25">
      <c r="A432" t="s">
        <v>3329</v>
      </c>
      <c r="B432" t="s">
        <v>4195</v>
      </c>
      <c r="C432" t="s">
        <v>4196</v>
      </c>
      <c r="D432" t="s">
        <v>3332</v>
      </c>
      <c r="E432" t="s">
        <v>3336</v>
      </c>
    </row>
    <row r="433" spans="1:5" x14ac:dyDescent="0.25">
      <c r="A433" t="s">
        <v>3329</v>
      </c>
      <c r="B433" t="s">
        <v>4197</v>
      </c>
      <c r="C433" t="s">
        <v>4198</v>
      </c>
      <c r="D433" t="s">
        <v>3332</v>
      </c>
      <c r="E433" t="s">
        <v>3336</v>
      </c>
    </row>
    <row r="434" spans="1:5" x14ac:dyDescent="0.25">
      <c r="A434" t="s">
        <v>3329</v>
      </c>
      <c r="B434" t="s">
        <v>4199</v>
      </c>
      <c r="C434" t="s">
        <v>4200</v>
      </c>
      <c r="D434" t="s">
        <v>3332</v>
      </c>
      <c r="E434" t="s">
        <v>3336</v>
      </c>
    </row>
    <row r="435" spans="1:5" x14ac:dyDescent="0.25">
      <c r="A435" t="s">
        <v>3329</v>
      </c>
      <c r="B435" t="s">
        <v>4201</v>
      </c>
      <c r="C435" t="s">
        <v>4202</v>
      </c>
      <c r="D435" t="s">
        <v>3332</v>
      </c>
      <c r="E435" t="s">
        <v>3336</v>
      </c>
    </row>
    <row r="436" spans="1:5" x14ac:dyDescent="0.25">
      <c r="A436" t="s">
        <v>3329</v>
      </c>
      <c r="B436" t="s">
        <v>4203</v>
      </c>
      <c r="C436" t="s">
        <v>4204</v>
      </c>
      <c r="D436" t="s">
        <v>3332</v>
      </c>
      <c r="E436" t="s">
        <v>3336</v>
      </c>
    </row>
    <row r="437" spans="1:5" x14ac:dyDescent="0.25">
      <c r="A437" t="s">
        <v>3329</v>
      </c>
      <c r="B437" t="s">
        <v>4205</v>
      </c>
      <c r="C437" t="s">
        <v>4206</v>
      </c>
      <c r="D437" t="s">
        <v>3332</v>
      </c>
      <c r="E437" t="s">
        <v>3336</v>
      </c>
    </row>
    <row r="438" spans="1:5" x14ac:dyDescent="0.25">
      <c r="A438" t="s">
        <v>3329</v>
      </c>
      <c r="B438" t="s">
        <v>4207</v>
      </c>
      <c r="C438" t="s">
        <v>4208</v>
      </c>
      <c r="D438" t="s">
        <v>3332</v>
      </c>
      <c r="E438" t="s">
        <v>3336</v>
      </c>
    </row>
    <row r="439" spans="1:5" x14ac:dyDescent="0.25">
      <c r="A439" t="s">
        <v>3329</v>
      </c>
      <c r="B439" t="s">
        <v>4209</v>
      </c>
      <c r="C439" t="s">
        <v>4210</v>
      </c>
      <c r="D439" t="s">
        <v>3332</v>
      </c>
      <c r="E439" t="s">
        <v>3336</v>
      </c>
    </row>
    <row r="440" spans="1:5" x14ac:dyDescent="0.25">
      <c r="A440" t="s">
        <v>3329</v>
      </c>
      <c r="B440" t="s">
        <v>4211</v>
      </c>
      <c r="C440" t="s">
        <v>4212</v>
      </c>
      <c r="D440" t="s">
        <v>3332</v>
      </c>
      <c r="E440" t="s">
        <v>3336</v>
      </c>
    </row>
    <row r="441" spans="1:5" x14ac:dyDescent="0.25">
      <c r="A441" t="s">
        <v>3329</v>
      </c>
      <c r="B441" t="s">
        <v>4213</v>
      </c>
      <c r="C441" t="s">
        <v>4214</v>
      </c>
      <c r="D441" t="s">
        <v>3332</v>
      </c>
      <c r="E441" t="s">
        <v>3336</v>
      </c>
    </row>
    <row r="442" spans="1:5" x14ac:dyDescent="0.25">
      <c r="A442" t="s">
        <v>3329</v>
      </c>
      <c r="B442" t="s">
        <v>4215</v>
      </c>
      <c r="C442" t="s">
        <v>4216</v>
      </c>
      <c r="D442" t="s">
        <v>3332</v>
      </c>
      <c r="E442" t="s">
        <v>3336</v>
      </c>
    </row>
    <row r="443" spans="1:5" x14ac:dyDescent="0.25">
      <c r="A443" t="s">
        <v>3329</v>
      </c>
      <c r="B443" t="s">
        <v>4217</v>
      </c>
      <c r="C443" t="s">
        <v>4218</v>
      </c>
      <c r="D443" t="s">
        <v>3332</v>
      </c>
      <c r="E443" t="s">
        <v>3336</v>
      </c>
    </row>
    <row r="444" spans="1:5" x14ac:dyDescent="0.25">
      <c r="A444" t="s">
        <v>3329</v>
      </c>
      <c r="B444" t="s">
        <v>4219</v>
      </c>
      <c r="C444" t="s">
        <v>4220</v>
      </c>
      <c r="D444" t="s">
        <v>3332</v>
      </c>
      <c r="E444" t="s">
        <v>3336</v>
      </c>
    </row>
    <row r="445" spans="1:5" x14ac:dyDescent="0.25">
      <c r="A445" t="s">
        <v>3329</v>
      </c>
      <c r="B445" t="s">
        <v>4221</v>
      </c>
      <c r="C445" t="s">
        <v>4222</v>
      </c>
      <c r="D445" t="s">
        <v>3332</v>
      </c>
      <c r="E445" t="s">
        <v>3336</v>
      </c>
    </row>
    <row r="446" spans="1:5" x14ac:dyDescent="0.25">
      <c r="A446" t="s">
        <v>3329</v>
      </c>
      <c r="B446" t="s">
        <v>4223</v>
      </c>
      <c r="C446" t="s">
        <v>4224</v>
      </c>
      <c r="D446" t="s">
        <v>3332</v>
      </c>
      <c r="E446" t="s">
        <v>3336</v>
      </c>
    </row>
    <row r="447" spans="1:5" x14ac:dyDescent="0.25">
      <c r="A447" t="s">
        <v>3329</v>
      </c>
      <c r="B447" t="s">
        <v>4225</v>
      </c>
      <c r="C447" t="s">
        <v>4226</v>
      </c>
      <c r="D447" t="s">
        <v>3332</v>
      </c>
      <c r="E447" t="s">
        <v>3336</v>
      </c>
    </row>
    <row r="448" spans="1:5" x14ac:dyDescent="0.25">
      <c r="A448" t="s">
        <v>3329</v>
      </c>
      <c r="B448" t="s">
        <v>4227</v>
      </c>
      <c r="C448" t="s">
        <v>4228</v>
      </c>
      <c r="D448" t="s">
        <v>3332</v>
      </c>
      <c r="E448" t="s">
        <v>3344</v>
      </c>
    </row>
    <row r="449" spans="1:5" x14ac:dyDescent="0.25">
      <c r="A449" t="s">
        <v>3329</v>
      </c>
      <c r="B449" t="s">
        <v>4229</v>
      </c>
      <c r="C449" t="s">
        <v>4230</v>
      </c>
      <c r="D449" t="s">
        <v>3332</v>
      </c>
      <c r="E449" t="s">
        <v>3344</v>
      </c>
    </row>
    <row r="450" spans="1:5" x14ac:dyDescent="0.25">
      <c r="A450" t="s">
        <v>3329</v>
      </c>
      <c r="B450" t="s">
        <v>4231</v>
      </c>
      <c r="C450" t="s">
        <v>4232</v>
      </c>
      <c r="D450" t="s">
        <v>3332</v>
      </c>
      <c r="E450" t="s">
        <v>3344</v>
      </c>
    </row>
    <row r="451" spans="1:5" x14ac:dyDescent="0.25">
      <c r="A451" t="s">
        <v>3329</v>
      </c>
      <c r="B451" t="s">
        <v>4233</v>
      </c>
      <c r="C451" t="s">
        <v>4234</v>
      </c>
      <c r="D451" t="s">
        <v>3332</v>
      </c>
      <c r="E451" t="s">
        <v>3582</v>
      </c>
    </row>
    <row r="452" spans="1:5" x14ac:dyDescent="0.25">
      <c r="A452" t="s">
        <v>3329</v>
      </c>
      <c r="B452" t="s">
        <v>4235</v>
      </c>
      <c r="C452" t="s">
        <v>4236</v>
      </c>
      <c r="D452" t="s">
        <v>3332</v>
      </c>
      <c r="E452" t="s">
        <v>3582</v>
      </c>
    </row>
    <row r="453" spans="1:5" x14ac:dyDescent="0.25">
      <c r="A453" t="s">
        <v>3329</v>
      </c>
      <c r="B453" t="s">
        <v>4237</v>
      </c>
      <c r="C453" t="s">
        <v>4238</v>
      </c>
      <c r="D453" t="s">
        <v>3332</v>
      </c>
      <c r="E453" t="s">
        <v>3582</v>
      </c>
    </row>
    <row r="454" spans="1:5" x14ac:dyDescent="0.25">
      <c r="A454" t="s">
        <v>3329</v>
      </c>
      <c r="B454" t="s">
        <v>4239</v>
      </c>
      <c r="C454" t="s">
        <v>4240</v>
      </c>
      <c r="D454" t="s">
        <v>3332</v>
      </c>
      <c r="E454" t="s">
        <v>3582</v>
      </c>
    </row>
    <row r="455" spans="1:5" x14ac:dyDescent="0.25">
      <c r="A455" t="s">
        <v>3329</v>
      </c>
      <c r="B455" t="s">
        <v>4241</v>
      </c>
      <c r="C455" t="s">
        <v>4242</v>
      </c>
      <c r="D455" t="s">
        <v>3332</v>
      </c>
      <c r="E455" t="s">
        <v>3582</v>
      </c>
    </row>
    <row r="456" spans="1:5" x14ac:dyDescent="0.25">
      <c r="A456" t="s">
        <v>3329</v>
      </c>
      <c r="B456" t="s">
        <v>4243</v>
      </c>
      <c r="C456" t="s">
        <v>4244</v>
      </c>
      <c r="D456" t="s">
        <v>3332</v>
      </c>
      <c r="E456" t="s">
        <v>3582</v>
      </c>
    </row>
    <row r="457" spans="1:5" x14ac:dyDescent="0.25">
      <c r="A457" t="s">
        <v>3329</v>
      </c>
      <c r="B457" t="s">
        <v>4245</v>
      </c>
      <c r="C457" t="s">
        <v>4246</v>
      </c>
      <c r="D457" t="s">
        <v>3332</v>
      </c>
      <c r="E457" t="s">
        <v>3582</v>
      </c>
    </row>
    <row r="458" spans="1:5" x14ac:dyDescent="0.25">
      <c r="A458" t="s">
        <v>3329</v>
      </c>
      <c r="B458" t="s">
        <v>4247</v>
      </c>
      <c r="C458" t="s">
        <v>4248</v>
      </c>
      <c r="D458" t="s">
        <v>3332</v>
      </c>
      <c r="E458" t="s">
        <v>3582</v>
      </c>
    </row>
    <row r="459" spans="1:5" x14ac:dyDescent="0.25">
      <c r="A459" t="s">
        <v>3329</v>
      </c>
      <c r="B459" t="s">
        <v>4249</v>
      </c>
      <c r="C459" t="s">
        <v>4250</v>
      </c>
      <c r="D459" t="s">
        <v>3332</v>
      </c>
      <c r="E459" t="s">
        <v>3582</v>
      </c>
    </row>
    <row r="460" spans="1:5" x14ac:dyDescent="0.25">
      <c r="A460" t="s">
        <v>3329</v>
      </c>
      <c r="B460" t="s">
        <v>4251</v>
      </c>
      <c r="C460" t="s">
        <v>4252</v>
      </c>
      <c r="D460" t="s">
        <v>3332</v>
      </c>
      <c r="E460" t="s">
        <v>3582</v>
      </c>
    </row>
    <row r="461" spans="1:5" x14ac:dyDescent="0.25">
      <c r="A461" t="s">
        <v>3329</v>
      </c>
      <c r="B461" t="s">
        <v>4253</v>
      </c>
      <c r="C461" t="s">
        <v>4254</v>
      </c>
      <c r="D461" t="s">
        <v>3332</v>
      </c>
      <c r="E461" t="s">
        <v>3582</v>
      </c>
    </row>
    <row r="462" spans="1:5" x14ac:dyDescent="0.25">
      <c r="A462" t="s">
        <v>3329</v>
      </c>
      <c r="B462" t="s">
        <v>4255</v>
      </c>
      <c r="C462" t="s">
        <v>4256</v>
      </c>
      <c r="D462" t="s">
        <v>3332</v>
      </c>
      <c r="E462" t="s">
        <v>3582</v>
      </c>
    </row>
    <row r="463" spans="1:5" x14ac:dyDescent="0.25">
      <c r="A463" t="s">
        <v>3329</v>
      </c>
      <c r="B463" t="s">
        <v>4257</v>
      </c>
      <c r="C463" t="s">
        <v>4258</v>
      </c>
      <c r="D463" t="s">
        <v>3332</v>
      </c>
      <c r="E463" t="s">
        <v>3582</v>
      </c>
    </row>
    <row r="464" spans="1:5" x14ac:dyDescent="0.25">
      <c r="A464" t="s">
        <v>3329</v>
      </c>
      <c r="B464" t="s">
        <v>4259</v>
      </c>
      <c r="C464" t="s">
        <v>4260</v>
      </c>
      <c r="D464" t="s">
        <v>3332</v>
      </c>
      <c r="E464" t="s">
        <v>3582</v>
      </c>
    </row>
    <row r="465" spans="1:5" x14ac:dyDescent="0.25">
      <c r="A465" t="s">
        <v>3329</v>
      </c>
      <c r="B465" t="s">
        <v>4261</v>
      </c>
      <c r="C465" t="s">
        <v>4262</v>
      </c>
      <c r="D465" t="s">
        <v>3332</v>
      </c>
      <c r="E465" t="s">
        <v>3582</v>
      </c>
    </row>
    <row r="466" spans="1:5" x14ac:dyDescent="0.25">
      <c r="A466" t="s">
        <v>3329</v>
      </c>
      <c r="B466" t="s">
        <v>4263</v>
      </c>
      <c r="C466" t="s">
        <v>4264</v>
      </c>
      <c r="D466" t="s">
        <v>3332</v>
      </c>
      <c r="E466" t="s">
        <v>3582</v>
      </c>
    </row>
    <row r="467" spans="1:5" x14ac:dyDescent="0.25">
      <c r="A467" t="s">
        <v>3329</v>
      </c>
      <c r="B467" t="s">
        <v>4265</v>
      </c>
      <c r="C467" t="s">
        <v>4266</v>
      </c>
      <c r="D467" t="s">
        <v>3332</v>
      </c>
      <c r="E467" t="s">
        <v>3582</v>
      </c>
    </row>
    <row r="468" spans="1:5" x14ac:dyDescent="0.25">
      <c r="A468" t="s">
        <v>3329</v>
      </c>
      <c r="B468" t="s">
        <v>4267</v>
      </c>
      <c r="C468" t="s">
        <v>4268</v>
      </c>
      <c r="D468" t="s">
        <v>3332</v>
      </c>
      <c r="E468" t="s">
        <v>3582</v>
      </c>
    </row>
    <row r="469" spans="1:5" x14ac:dyDescent="0.25">
      <c r="A469" t="s">
        <v>3329</v>
      </c>
      <c r="B469" t="s">
        <v>4269</v>
      </c>
      <c r="C469" t="s">
        <v>4270</v>
      </c>
      <c r="D469" t="s">
        <v>3332</v>
      </c>
      <c r="E469" t="s">
        <v>3582</v>
      </c>
    </row>
    <row r="470" spans="1:5" x14ac:dyDescent="0.25">
      <c r="A470" t="s">
        <v>3329</v>
      </c>
      <c r="B470" t="s">
        <v>4271</v>
      </c>
      <c r="C470" t="s">
        <v>4272</v>
      </c>
      <c r="D470" t="s">
        <v>3332</v>
      </c>
      <c r="E470" t="s">
        <v>3582</v>
      </c>
    </row>
    <row r="471" spans="1:5" x14ac:dyDescent="0.25">
      <c r="A471" t="s">
        <v>3329</v>
      </c>
      <c r="B471" t="s">
        <v>4273</v>
      </c>
      <c r="C471" t="s">
        <v>4274</v>
      </c>
      <c r="D471" t="s">
        <v>3332</v>
      </c>
      <c r="E471" t="s">
        <v>3582</v>
      </c>
    </row>
    <row r="472" spans="1:5" x14ac:dyDescent="0.25">
      <c r="A472" t="s">
        <v>3329</v>
      </c>
      <c r="B472" t="s">
        <v>4275</v>
      </c>
      <c r="C472" t="s">
        <v>4276</v>
      </c>
      <c r="D472" t="s">
        <v>3332</v>
      </c>
      <c r="E472" t="s">
        <v>3333</v>
      </c>
    </row>
    <row r="473" spans="1:5" x14ac:dyDescent="0.25">
      <c r="A473" t="s">
        <v>3329</v>
      </c>
      <c r="B473" t="s">
        <v>4277</v>
      </c>
      <c r="C473" t="s">
        <v>4278</v>
      </c>
      <c r="D473" t="s">
        <v>3332</v>
      </c>
      <c r="E473" t="s">
        <v>3333</v>
      </c>
    </row>
    <row r="474" spans="1:5" x14ac:dyDescent="0.25">
      <c r="A474" t="s">
        <v>3329</v>
      </c>
      <c r="B474" t="s">
        <v>4279</v>
      </c>
      <c r="C474" t="s">
        <v>4280</v>
      </c>
      <c r="D474" t="s">
        <v>3332</v>
      </c>
      <c r="E474" t="s">
        <v>3336</v>
      </c>
    </row>
    <row r="475" spans="1:5" x14ac:dyDescent="0.25">
      <c r="A475" t="s">
        <v>3329</v>
      </c>
      <c r="B475" t="s">
        <v>4281</v>
      </c>
      <c r="C475" t="s">
        <v>4282</v>
      </c>
      <c r="D475" t="s">
        <v>3332</v>
      </c>
      <c r="E475" t="s">
        <v>3344</v>
      </c>
    </row>
    <row r="476" spans="1:5" x14ac:dyDescent="0.25">
      <c r="A476" t="s">
        <v>3329</v>
      </c>
      <c r="B476" t="s">
        <v>4283</v>
      </c>
      <c r="C476" t="s">
        <v>4284</v>
      </c>
      <c r="D476" t="s">
        <v>3332</v>
      </c>
      <c r="E476" t="s">
        <v>3344</v>
      </c>
    </row>
    <row r="477" spans="1:5" x14ac:dyDescent="0.25">
      <c r="A477" t="s">
        <v>3329</v>
      </c>
      <c r="B477" t="s">
        <v>4285</v>
      </c>
      <c r="C477" t="s">
        <v>4286</v>
      </c>
      <c r="D477" t="s">
        <v>3332</v>
      </c>
      <c r="E477" t="s">
        <v>3344</v>
      </c>
    </row>
    <row r="478" spans="1:5" x14ac:dyDescent="0.25">
      <c r="A478" t="s">
        <v>3329</v>
      </c>
      <c r="B478" t="s">
        <v>4287</v>
      </c>
      <c r="C478" t="s">
        <v>4288</v>
      </c>
      <c r="D478" t="s">
        <v>3332</v>
      </c>
      <c r="E478" t="s">
        <v>3339</v>
      </c>
    </row>
    <row r="479" spans="1:5" x14ac:dyDescent="0.25">
      <c r="A479" t="s">
        <v>3329</v>
      </c>
      <c r="B479" t="s">
        <v>4289</v>
      </c>
      <c r="C479" t="s">
        <v>4290</v>
      </c>
      <c r="D479" t="s">
        <v>3332</v>
      </c>
      <c r="E479" t="s">
        <v>3333</v>
      </c>
    </row>
    <row r="480" spans="1:5" x14ac:dyDescent="0.25">
      <c r="A480" t="s">
        <v>3329</v>
      </c>
      <c r="B480" t="s">
        <v>4291</v>
      </c>
      <c r="C480" t="s">
        <v>4292</v>
      </c>
      <c r="D480" t="s">
        <v>3332</v>
      </c>
      <c r="E480" t="s">
        <v>3333</v>
      </c>
    </row>
    <row r="481" spans="1:5" x14ac:dyDescent="0.25">
      <c r="A481" t="s">
        <v>3329</v>
      </c>
      <c r="B481" t="s">
        <v>4293</v>
      </c>
      <c r="C481" t="s">
        <v>4294</v>
      </c>
      <c r="D481" t="s">
        <v>3332</v>
      </c>
      <c r="E481" t="s">
        <v>3333</v>
      </c>
    </row>
    <row r="482" spans="1:5" x14ac:dyDescent="0.25">
      <c r="A482" t="s">
        <v>3329</v>
      </c>
      <c r="B482" t="s">
        <v>4295</v>
      </c>
      <c r="C482" t="s">
        <v>4296</v>
      </c>
      <c r="D482" t="s">
        <v>3332</v>
      </c>
      <c r="E482" t="s">
        <v>3344</v>
      </c>
    </row>
    <row r="483" spans="1:5" x14ac:dyDescent="0.25">
      <c r="A483" t="s">
        <v>3329</v>
      </c>
      <c r="B483" t="s">
        <v>4297</v>
      </c>
      <c r="C483" t="s">
        <v>4298</v>
      </c>
      <c r="D483" t="s">
        <v>3332</v>
      </c>
      <c r="E483" t="s">
        <v>3582</v>
      </c>
    </row>
    <row r="484" spans="1:5" x14ac:dyDescent="0.25">
      <c r="A484" t="s">
        <v>3329</v>
      </c>
      <c r="B484" t="s">
        <v>4299</v>
      </c>
      <c r="C484" t="s">
        <v>4300</v>
      </c>
      <c r="D484" t="s">
        <v>3332</v>
      </c>
      <c r="E484" t="s">
        <v>3582</v>
      </c>
    </row>
    <row r="485" spans="1:5" x14ac:dyDescent="0.25">
      <c r="A485" t="s">
        <v>3329</v>
      </c>
      <c r="B485" t="s">
        <v>4301</v>
      </c>
      <c r="C485" t="s">
        <v>4302</v>
      </c>
      <c r="D485" t="s">
        <v>3332</v>
      </c>
      <c r="E485" t="s">
        <v>3582</v>
      </c>
    </row>
    <row r="486" spans="1:5" x14ac:dyDescent="0.25">
      <c r="A486" t="s">
        <v>3329</v>
      </c>
      <c r="B486" t="s">
        <v>4303</v>
      </c>
      <c r="C486" t="s">
        <v>4304</v>
      </c>
      <c r="D486" t="s">
        <v>3332</v>
      </c>
      <c r="E486" t="s">
        <v>3582</v>
      </c>
    </row>
    <row r="487" spans="1:5" x14ac:dyDescent="0.25">
      <c r="A487" t="s">
        <v>3329</v>
      </c>
      <c r="B487" t="s">
        <v>4305</v>
      </c>
      <c r="C487" t="s">
        <v>4306</v>
      </c>
      <c r="D487" t="s">
        <v>3332</v>
      </c>
      <c r="E487" t="s">
        <v>3582</v>
      </c>
    </row>
    <row r="488" spans="1:5" x14ac:dyDescent="0.25">
      <c r="A488" t="s">
        <v>3329</v>
      </c>
      <c r="B488" t="s">
        <v>4307</v>
      </c>
      <c r="C488" t="s">
        <v>4308</v>
      </c>
      <c r="D488" t="s">
        <v>3332</v>
      </c>
      <c r="E488" t="s">
        <v>3582</v>
      </c>
    </row>
    <row r="489" spans="1:5" x14ac:dyDescent="0.25">
      <c r="A489" t="s">
        <v>3329</v>
      </c>
      <c r="B489" t="s">
        <v>4309</v>
      </c>
      <c r="C489" t="s">
        <v>4310</v>
      </c>
      <c r="D489" t="s">
        <v>3332</v>
      </c>
      <c r="E489" t="s">
        <v>3582</v>
      </c>
    </row>
    <row r="490" spans="1:5" x14ac:dyDescent="0.25">
      <c r="A490" t="s">
        <v>3329</v>
      </c>
      <c r="B490" t="s">
        <v>4311</v>
      </c>
      <c r="C490" t="s">
        <v>4312</v>
      </c>
      <c r="D490" t="s">
        <v>3332</v>
      </c>
      <c r="E490" t="s">
        <v>3582</v>
      </c>
    </row>
    <row r="491" spans="1:5" x14ac:dyDescent="0.25">
      <c r="A491" t="s">
        <v>3329</v>
      </c>
      <c r="B491" t="s">
        <v>4313</v>
      </c>
      <c r="C491" t="s">
        <v>4314</v>
      </c>
      <c r="D491" t="s">
        <v>3332</v>
      </c>
      <c r="E491" t="s">
        <v>3582</v>
      </c>
    </row>
    <row r="492" spans="1:5" x14ac:dyDescent="0.25">
      <c r="A492" t="s">
        <v>3329</v>
      </c>
      <c r="B492" t="s">
        <v>4315</v>
      </c>
      <c r="C492" t="s">
        <v>4316</v>
      </c>
      <c r="D492" t="s">
        <v>3332</v>
      </c>
      <c r="E492" t="s">
        <v>3582</v>
      </c>
    </row>
    <row r="493" spans="1:5" x14ac:dyDescent="0.25">
      <c r="A493" t="s">
        <v>3329</v>
      </c>
      <c r="B493" t="s">
        <v>4317</v>
      </c>
      <c r="C493" t="s">
        <v>4318</v>
      </c>
      <c r="D493" t="s">
        <v>3332</v>
      </c>
      <c r="E493" t="s">
        <v>3582</v>
      </c>
    </row>
    <row r="494" spans="1:5" x14ac:dyDescent="0.25">
      <c r="A494" t="s">
        <v>3329</v>
      </c>
      <c r="B494" t="s">
        <v>4319</v>
      </c>
      <c r="C494" t="s">
        <v>4320</v>
      </c>
      <c r="D494" t="s">
        <v>3332</v>
      </c>
      <c r="E494" t="s">
        <v>3582</v>
      </c>
    </row>
    <row r="495" spans="1:5" x14ac:dyDescent="0.25">
      <c r="A495" t="s">
        <v>3329</v>
      </c>
      <c r="B495" t="s">
        <v>4321</v>
      </c>
      <c r="C495" t="s">
        <v>4322</v>
      </c>
      <c r="D495" t="s">
        <v>3332</v>
      </c>
      <c r="E495" t="s">
        <v>3582</v>
      </c>
    </row>
    <row r="496" spans="1:5" x14ac:dyDescent="0.25">
      <c r="A496" t="s">
        <v>3329</v>
      </c>
      <c r="B496" t="s">
        <v>4323</v>
      </c>
      <c r="C496" t="s">
        <v>4324</v>
      </c>
      <c r="D496" t="s">
        <v>3332</v>
      </c>
      <c r="E496" t="s">
        <v>3339</v>
      </c>
    </row>
    <row r="497" spans="1:5" x14ac:dyDescent="0.25">
      <c r="A497" t="s">
        <v>3329</v>
      </c>
      <c r="B497" t="s">
        <v>4325</v>
      </c>
      <c r="C497" t="s">
        <v>4326</v>
      </c>
      <c r="D497" t="s">
        <v>3332</v>
      </c>
      <c r="E497" t="s">
        <v>3339</v>
      </c>
    </row>
    <row r="498" spans="1:5" x14ac:dyDescent="0.25">
      <c r="A498" t="s">
        <v>3329</v>
      </c>
      <c r="B498" t="s">
        <v>4327</v>
      </c>
      <c r="C498" t="s">
        <v>4328</v>
      </c>
      <c r="D498" t="s">
        <v>3332</v>
      </c>
      <c r="E498" t="s">
        <v>3582</v>
      </c>
    </row>
    <row r="499" spans="1:5" x14ac:dyDescent="0.25">
      <c r="A499" t="s">
        <v>3329</v>
      </c>
      <c r="B499" t="s">
        <v>4329</v>
      </c>
      <c r="C499" t="s">
        <v>4330</v>
      </c>
      <c r="D499" t="s">
        <v>3332</v>
      </c>
      <c r="E499" t="s">
        <v>3582</v>
      </c>
    </row>
    <row r="500" spans="1:5" x14ac:dyDescent="0.25">
      <c r="A500" t="s">
        <v>3329</v>
      </c>
      <c r="B500" t="s">
        <v>4331</v>
      </c>
      <c r="C500" t="s">
        <v>4332</v>
      </c>
      <c r="D500" t="s">
        <v>3332</v>
      </c>
      <c r="E500" t="s">
        <v>3582</v>
      </c>
    </row>
    <row r="501" spans="1:5" x14ac:dyDescent="0.25">
      <c r="A501" t="s">
        <v>3329</v>
      </c>
      <c r="B501" t="s">
        <v>4333</v>
      </c>
      <c r="C501" t="s">
        <v>4334</v>
      </c>
      <c r="D501" t="s">
        <v>3332</v>
      </c>
      <c r="E501" t="s">
        <v>3582</v>
      </c>
    </row>
    <row r="502" spans="1:5" x14ac:dyDescent="0.25">
      <c r="A502" t="s">
        <v>3329</v>
      </c>
      <c r="B502" t="s">
        <v>4335</v>
      </c>
      <c r="C502" t="s">
        <v>4336</v>
      </c>
      <c r="D502" t="s">
        <v>3332</v>
      </c>
      <c r="E502" t="s">
        <v>3333</v>
      </c>
    </row>
    <row r="503" spans="1:5" x14ac:dyDescent="0.25">
      <c r="A503" t="s">
        <v>3329</v>
      </c>
      <c r="B503" t="s">
        <v>4337</v>
      </c>
      <c r="C503" t="s">
        <v>4338</v>
      </c>
      <c r="D503" t="s">
        <v>3332</v>
      </c>
      <c r="E503" t="s">
        <v>3339</v>
      </c>
    </row>
    <row r="504" spans="1:5" x14ac:dyDescent="0.25">
      <c r="A504" t="s">
        <v>3329</v>
      </c>
      <c r="B504" t="s">
        <v>4339</v>
      </c>
      <c r="C504" t="s">
        <v>4340</v>
      </c>
      <c r="D504" t="s">
        <v>3332</v>
      </c>
      <c r="E504" t="s">
        <v>3336</v>
      </c>
    </row>
    <row r="505" spans="1:5" x14ac:dyDescent="0.25">
      <c r="A505" t="s">
        <v>3329</v>
      </c>
      <c r="B505" t="s">
        <v>4341</v>
      </c>
      <c r="C505" t="s">
        <v>4342</v>
      </c>
      <c r="D505" t="s">
        <v>3332</v>
      </c>
      <c r="E505" t="s">
        <v>3336</v>
      </c>
    </row>
    <row r="506" spans="1:5" x14ac:dyDescent="0.25">
      <c r="A506" t="s">
        <v>3329</v>
      </c>
      <c r="B506" t="s">
        <v>4343</v>
      </c>
      <c r="C506" t="s">
        <v>4344</v>
      </c>
      <c r="D506" t="s">
        <v>3332</v>
      </c>
      <c r="E506" t="s">
        <v>3336</v>
      </c>
    </row>
    <row r="507" spans="1:5" x14ac:dyDescent="0.25">
      <c r="A507" t="s">
        <v>3329</v>
      </c>
      <c r="B507" t="s">
        <v>4345</v>
      </c>
      <c r="C507" t="s">
        <v>4346</v>
      </c>
      <c r="D507" t="s">
        <v>3332</v>
      </c>
      <c r="E507" t="s">
        <v>3333</v>
      </c>
    </row>
    <row r="508" spans="1:5" x14ac:dyDescent="0.25">
      <c r="A508" t="s">
        <v>3329</v>
      </c>
      <c r="B508" t="s">
        <v>4347</v>
      </c>
      <c r="C508" t="s">
        <v>4348</v>
      </c>
      <c r="D508" t="s">
        <v>3332</v>
      </c>
      <c r="E508" t="s">
        <v>3333</v>
      </c>
    </row>
    <row r="509" spans="1:5" x14ac:dyDescent="0.25">
      <c r="A509" t="s">
        <v>3329</v>
      </c>
      <c r="B509" t="s">
        <v>4349</v>
      </c>
      <c r="C509" t="s">
        <v>4350</v>
      </c>
      <c r="D509" t="s">
        <v>3332</v>
      </c>
      <c r="E509" t="s">
        <v>3333</v>
      </c>
    </row>
    <row r="510" spans="1:5" x14ac:dyDescent="0.25">
      <c r="A510" t="s">
        <v>3329</v>
      </c>
      <c r="B510" t="s">
        <v>4351</v>
      </c>
      <c r="C510" t="s">
        <v>4352</v>
      </c>
      <c r="D510" t="s">
        <v>3332</v>
      </c>
      <c r="E510" t="s">
        <v>3333</v>
      </c>
    </row>
    <row r="511" spans="1:5" x14ac:dyDescent="0.25">
      <c r="A511" t="s">
        <v>3329</v>
      </c>
      <c r="B511" t="s">
        <v>4353</v>
      </c>
      <c r="C511" t="s">
        <v>4354</v>
      </c>
      <c r="D511" t="s">
        <v>3332</v>
      </c>
      <c r="E511" t="s">
        <v>3333</v>
      </c>
    </row>
    <row r="512" spans="1:5" x14ac:dyDescent="0.25">
      <c r="A512" t="s">
        <v>3329</v>
      </c>
      <c r="B512" t="s">
        <v>4355</v>
      </c>
      <c r="C512" t="s">
        <v>4356</v>
      </c>
      <c r="D512" t="s">
        <v>3332</v>
      </c>
      <c r="E512" t="s">
        <v>3582</v>
      </c>
    </row>
    <row r="513" spans="1:5" x14ac:dyDescent="0.25">
      <c r="A513" t="s">
        <v>3329</v>
      </c>
      <c r="B513" t="s">
        <v>4357</v>
      </c>
      <c r="C513" t="s">
        <v>4358</v>
      </c>
      <c r="D513" t="s">
        <v>3332</v>
      </c>
      <c r="E513" t="s">
        <v>3582</v>
      </c>
    </row>
    <row r="514" spans="1:5" x14ac:dyDescent="0.25">
      <c r="A514" t="s">
        <v>3329</v>
      </c>
      <c r="B514" t="s">
        <v>4359</v>
      </c>
      <c r="C514" t="s">
        <v>4360</v>
      </c>
      <c r="D514" t="s">
        <v>3332</v>
      </c>
      <c r="E514" t="s">
        <v>3582</v>
      </c>
    </row>
    <row r="515" spans="1:5" x14ac:dyDescent="0.25">
      <c r="A515" t="s">
        <v>3329</v>
      </c>
      <c r="B515" t="s">
        <v>4361</v>
      </c>
      <c r="C515" t="s">
        <v>4362</v>
      </c>
      <c r="D515" t="s">
        <v>3332</v>
      </c>
      <c r="E515" t="s">
        <v>3582</v>
      </c>
    </row>
    <row r="516" spans="1:5" x14ac:dyDescent="0.25">
      <c r="A516" t="s">
        <v>3329</v>
      </c>
      <c r="B516" t="s">
        <v>4363</v>
      </c>
      <c r="C516" t="s">
        <v>4364</v>
      </c>
      <c r="D516" t="s">
        <v>3332</v>
      </c>
      <c r="E516" t="s">
        <v>3336</v>
      </c>
    </row>
    <row r="517" spans="1:5" x14ac:dyDescent="0.25">
      <c r="A517" t="s">
        <v>3329</v>
      </c>
      <c r="B517" t="s">
        <v>4365</v>
      </c>
      <c r="C517" t="s">
        <v>4366</v>
      </c>
      <c r="D517" t="s">
        <v>3332</v>
      </c>
      <c r="E517" t="s">
        <v>3336</v>
      </c>
    </row>
    <row r="518" spans="1:5" x14ac:dyDescent="0.25">
      <c r="A518" t="s">
        <v>3329</v>
      </c>
      <c r="B518" t="s">
        <v>4367</v>
      </c>
      <c r="C518" t="s">
        <v>4368</v>
      </c>
      <c r="D518" t="s">
        <v>3332</v>
      </c>
      <c r="E518" t="s">
        <v>3336</v>
      </c>
    </row>
    <row r="519" spans="1:5" x14ac:dyDescent="0.25">
      <c r="A519" t="s">
        <v>3329</v>
      </c>
      <c r="B519" t="s">
        <v>4369</v>
      </c>
      <c r="C519" t="s">
        <v>4370</v>
      </c>
      <c r="D519" t="s">
        <v>3332</v>
      </c>
      <c r="E519" t="s">
        <v>3333</v>
      </c>
    </row>
    <row r="520" spans="1:5" x14ac:dyDescent="0.25">
      <c r="A520" t="s">
        <v>3329</v>
      </c>
      <c r="B520" t="s">
        <v>4371</v>
      </c>
      <c r="C520" t="s">
        <v>4372</v>
      </c>
      <c r="D520" t="s">
        <v>3332</v>
      </c>
      <c r="E520" t="s">
        <v>3336</v>
      </c>
    </row>
    <row r="521" spans="1:5" x14ac:dyDescent="0.25">
      <c r="A521" t="s">
        <v>3329</v>
      </c>
      <c r="B521" t="s">
        <v>4373</v>
      </c>
      <c r="C521" t="s">
        <v>4374</v>
      </c>
      <c r="D521" t="s">
        <v>3332</v>
      </c>
      <c r="E521" t="s">
        <v>3336</v>
      </c>
    </row>
    <row r="522" spans="1:5" x14ac:dyDescent="0.25">
      <c r="A522" t="s">
        <v>3329</v>
      </c>
      <c r="B522" t="s">
        <v>4375</v>
      </c>
      <c r="C522" t="s">
        <v>4376</v>
      </c>
      <c r="D522" t="s">
        <v>3332</v>
      </c>
      <c r="E522" t="s">
        <v>3336</v>
      </c>
    </row>
    <row r="523" spans="1:5" x14ac:dyDescent="0.25">
      <c r="A523" t="s">
        <v>3329</v>
      </c>
      <c r="B523" t="s">
        <v>4377</v>
      </c>
      <c r="C523" t="s">
        <v>4378</v>
      </c>
      <c r="D523" t="s">
        <v>3332</v>
      </c>
      <c r="E523" t="s">
        <v>3333</v>
      </c>
    </row>
    <row r="524" spans="1:5" x14ac:dyDescent="0.25">
      <c r="A524" t="s">
        <v>3329</v>
      </c>
      <c r="B524" t="s">
        <v>4379</v>
      </c>
      <c r="C524" t="s">
        <v>4380</v>
      </c>
      <c r="D524" t="s">
        <v>3332</v>
      </c>
      <c r="E524" t="s">
        <v>3339</v>
      </c>
    </row>
    <row r="525" spans="1:5" x14ac:dyDescent="0.25">
      <c r="A525" t="s">
        <v>3329</v>
      </c>
      <c r="B525" t="s">
        <v>4381</v>
      </c>
      <c r="C525" t="s">
        <v>4382</v>
      </c>
      <c r="D525" t="s">
        <v>3332</v>
      </c>
      <c r="E525" t="s">
        <v>3336</v>
      </c>
    </row>
    <row r="526" spans="1:5" x14ac:dyDescent="0.25">
      <c r="A526" t="s">
        <v>3329</v>
      </c>
      <c r="B526" t="s">
        <v>4383</v>
      </c>
      <c r="C526" t="s">
        <v>4384</v>
      </c>
      <c r="D526" t="s">
        <v>3332</v>
      </c>
      <c r="E526" t="s">
        <v>3336</v>
      </c>
    </row>
    <row r="527" spans="1:5" x14ac:dyDescent="0.25">
      <c r="A527" t="s">
        <v>3329</v>
      </c>
      <c r="B527" t="s">
        <v>4385</v>
      </c>
      <c r="C527" t="s">
        <v>4386</v>
      </c>
      <c r="D527" t="s">
        <v>3332</v>
      </c>
      <c r="E527" t="s">
        <v>3336</v>
      </c>
    </row>
    <row r="528" spans="1:5" x14ac:dyDescent="0.25">
      <c r="A528" t="s">
        <v>3329</v>
      </c>
      <c r="B528" t="s">
        <v>4387</v>
      </c>
      <c r="C528" t="s">
        <v>4388</v>
      </c>
      <c r="D528" t="s">
        <v>3332</v>
      </c>
      <c r="E528" t="s">
        <v>3579</v>
      </c>
    </row>
    <row r="529" spans="1:5" x14ac:dyDescent="0.25">
      <c r="A529" t="s">
        <v>3329</v>
      </c>
      <c r="B529" t="s">
        <v>4389</v>
      </c>
      <c r="C529" t="s">
        <v>4390</v>
      </c>
      <c r="D529" t="s">
        <v>3332</v>
      </c>
      <c r="E529" t="s">
        <v>3333</v>
      </c>
    </row>
    <row r="530" spans="1:5" x14ac:dyDescent="0.25">
      <c r="A530" t="s">
        <v>3329</v>
      </c>
      <c r="B530" t="s">
        <v>4391</v>
      </c>
      <c r="C530" t="s">
        <v>4392</v>
      </c>
      <c r="D530" t="s">
        <v>3332</v>
      </c>
      <c r="E530" t="s">
        <v>3336</v>
      </c>
    </row>
    <row r="531" spans="1:5" x14ac:dyDescent="0.25">
      <c r="A531" t="s">
        <v>3329</v>
      </c>
      <c r="B531" t="s">
        <v>4393</v>
      </c>
      <c r="C531" t="s">
        <v>4394</v>
      </c>
      <c r="D531" t="s">
        <v>3332</v>
      </c>
      <c r="E531" t="s">
        <v>3336</v>
      </c>
    </row>
    <row r="532" spans="1:5" x14ac:dyDescent="0.25">
      <c r="A532" t="s">
        <v>3329</v>
      </c>
      <c r="B532" t="s">
        <v>4395</v>
      </c>
      <c r="C532" t="s">
        <v>4396</v>
      </c>
      <c r="D532" t="s">
        <v>3332</v>
      </c>
      <c r="E532" t="s">
        <v>3336</v>
      </c>
    </row>
    <row r="533" spans="1:5" x14ac:dyDescent="0.25">
      <c r="A533" t="s">
        <v>3329</v>
      </c>
      <c r="B533" t="s">
        <v>4397</v>
      </c>
      <c r="C533" t="s">
        <v>4398</v>
      </c>
      <c r="D533" t="s">
        <v>3332</v>
      </c>
      <c r="E533" t="s">
        <v>3333</v>
      </c>
    </row>
    <row r="534" spans="1:5" x14ac:dyDescent="0.25">
      <c r="A534" t="s">
        <v>3329</v>
      </c>
      <c r="B534" t="s">
        <v>4399</v>
      </c>
      <c r="C534" t="s">
        <v>4400</v>
      </c>
      <c r="D534" t="s">
        <v>3332</v>
      </c>
      <c r="E534" t="s">
        <v>3333</v>
      </c>
    </row>
    <row r="535" spans="1:5" x14ac:dyDescent="0.25">
      <c r="A535" t="s">
        <v>3329</v>
      </c>
      <c r="B535" t="s">
        <v>4401</v>
      </c>
      <c r="C535" t="s">
        <v>4402</v>
      </c>
      <c r="D535" t="s">
        <v>3332</v>
      </c>
      <c r="E535" t="s">
        <v>3333</v>
      </c>
    </row>
    <row r="536" spans="1:5" x14ac:dyDescent="0.25">
      <c r="A536" t="s">
        <v>3329</v>
      </c>
      <c r="B536" t="s">
        <v>4403</v>
      </c>
      <c r="C536" t="s">
        <v>4404</v>
      </c>
      <c r="D536" t="s">
        <v>3332</v>
      </c>
      <c r="E536" t="s">
        <v>3333</v>
      </c>
    </row>
    <row r="537" spans="1:5" x14ac:dyDescent="0.25">
      <c r="A537" t="s">
        <v>3329</v>
      </c>
      <c r="B537" t="s">
        <v>4405</v>
      </c>
      <c r="C537" t="s">
        <v>4406</v>
      </c>
      <c r="D537" t="s">
        <v>3332</v>
      </c>
      <c r="E537" t="s">
        <v>3336</v>
      </c>
    </row>
    <row r="538" spans="1:5" x14ac:dyDescent="0.25">
      <c r="A538" t="s">
        <v>3329</v>
      </c>
      <c r="B538" t="s">
        <v>4407</v>
      </c>
      <c r="C538" t="s">
        <v>4408</v>
      </c>
      <c r="D538" t="s">
        <v>3332</v>
      </c>
      <c r="E538" t="s">
        <v>3336</v>
      </c>
    </row>
    <row r="539" spans="1:5" x14ac:dyDescent="0.25">
      <c r="A539" t="s">
        <v>3329</v>
      </c>
      <c r="B539" t="s">
        <v>4409</v>
      </c>
      <c r="C539" t="s">
        <v>4410</v>
      </c>
      <c r="D539" t="s">
        <v>3332</v>
      </c>
      <c r="E539" t="s">
        <v>3336</v>
      </c>
    </row>
    <row r="540" spans="1:5" x14ac:dyDescent="0.25">
      <c r="A540" t="s">
        <v>3329</v>
      </c>
      <c r="B540" t="s">
        <v>4411</v>
      </c>
      <c r="C540" t="s">
        <v>4412</v>
      </c>
      <c r="D540" t="s">
        <v>3332</v>
      </c>
      <c r="E540" t="s">
        <v>3333</v>
      </c>
    </row>
    <row r="541" spans="1:5" x14ac:dyDescent="0.25">
      <c r="A541" t="s">
        <v>3329</v>
      </c>
      <c r="B541" t="s">
        <v>4413</v>
      </c>
      <c r="C541" t="s">
        <v>4414</v>
      </c>
      <c r="D541" t="s">
        <v>3332</v>
      </c>
      <c r="E541" t="s">
        <v>3333</v>
      </c>
    </row>
    <row r="542" spans="1:5" x14ac:dyDescent="0.25">
      <c r="A542" t="s">
        <v>3329</v>
      </c>
      <c r="B542" t="s">
        <v>4415</v>
      </c>
      <c r="C542" t="s">
        <v>4416</v>
      </c>
      <c r="D542" t="s">
        <v>3332</v>
      </c>
      <c r="E542" t="s">
        <v>3344</v>
      </c>
    </row>
    <row r="543" spans="1:5" x14ac:dyDescent="0.25">
      <c r="A543" t="s">
        <v>3329</v>
      </c>
      <c r="B543" t="s">
        <v>4417</v>
      </c>
      <c r="C543" t="s">
        <v>4418</v>
      </c>
      <c r="D543" t="s">
        <v>3332</v>
      </c>
      <c r="E543" t="s">
        <v>3336</v>
      </c>
    </row>
    <row r="544" spans="1:5" x14ac:dyDescent="0.25">
      <c r="A544" t="s">
        <v>3329</v>
      </c>
      <c r="B544" t="s">
        <v>4419</v>
      </c>
      <c r="C544" t="s">
        <v>4420</v>
      </c>
      <c r="D544" t="s">
        <v>3332</v>
      </c>
      <c r="E544" t="s">
        <v>3336</v>
      </c>
    </row>
    <row r="545" spans="1:5" x14ac:dyDescent="0.25">
      <c r="A545" t="s">
        <v>3329</v>
      </c>
      <c r="B545" t="s">
        <v>4421</v>
      </c>
      <c r="C545" t="s">
        <v>4422</v>
      </c>
      <c r="D545" t="s">
        <v>3332</v>
      </c>
      <c r="E545" t="s">
        <v>3336</v>
      </c>
    </row>
    <row r="546" spans="1:5" x14ac:dyDescent="0.25">
      <c r="A546" t="s">
        <v>3329</v>
      </c>
      <c r="B546" t="s">
        <v>4423</v>
      </c>
      <c r="C546" t="s">
        <v>4424</v>
      </c>
      <c r="D546" t="s">
        <v>3332</v>
      </c>
      <c r="E546" t="s">
        <v>3333</v>
      </c>
    </row>
    <row r="547" spans="1:5" x14ac:dyDescent="0.25">
      <c r="A547" t="s">
        <v>3329</v>
      </c>
      <c r="B547" t="s">
        <v>4425</v>
      </c>
      <c r="C547" t="s">
        <v>4426</v>
      </c>
      <c r="D547" t="s">
        <v>3332</v>
      </c>
      <c r="E547" t="s">
        <v>3333</v>
      </c>
    </row>
    <row r="548" spans="1:5" x14ac:dyDescent="0.25">
      <c r="A548" t="s">
        <v>3329</v>
      </c>
      <c r="B548" t="s">
        <v>4427</v>
      </c>
      <c r="C548" t="s">
        <v>4428</v>
      </c>
      <c r="D548" t="s">
        <v>3332</v>
      </c>
      <c r="E548" t="s">
        <v>3344</v>
      </c>
    </row>
    <row r="549" spans="1:5" x14ac:dyDescent="0.25">
      <c r="A549" t="s">
        <v>3329</v>
      </c>
      <c r="B549" t="s">
        <v>4429</v>
      </c>
      <c r="C549" t="s">
        <v>4430</v>
      </c>
      <c r="D549" t="s">
        <v>3332</v>
      </c>
      <c r="E549" t="s">
        <v>3333</v>
      </c>
    </row>
    <row r="550" spans="1:5" x14ac:dyDescent="0.25">
      <c r="A550" t="s">
        <v>3329</v>
      </c>
      <c r="B550" t="s">
        <v>4431</v>
      </c>
      <c r="C550" t="s">
        <v>4432</v>
      </c>
      <c r="D550" t="s">
        <v>3332</v>
      </c>
      <c r="E550" t="s">
        <v>3333</v>
      </c>
    </row>
    <row r="551" spans="1:5" x14ac:dyDescent="0.25">
      <c r="A551" t="s">
        <v>3329</v>
      </c>
      <c r="B551" t="s">
        <v>4433</v>
      </c>
      <c r="C551" t="s">
        <v>4434</v>
      </c>
      <c r="D551" t="s">
        <v>3332</v>
      </c>
      <c r="E551" t="s">
        <v>3333</v>
      </c>
    </row>
    <row r="552" spans="1:5" x14ac:dyDescent="0.25">
      <c r="A552" t="s">
        <v>3329</v>
      </c>
      <c r="B552" t="s">
        <v>4435</v>
      </c>
      <c r="C552" t="s">
        <v>4436</v>
      </c>
      <c r="D552" t="s">
        <v>3332</v>
      </c>
      <c r="E552" t="s">
        <v>3333</v>
      </c>
    </row>
    <row r="553" spans="1:5" x14ac:dyDescent="0.25">
      <c r="A553" t="s">
        <v>3329</v>
      </c>
      <c r="B553" t="s">
        <v>4437</v>
      </c>
      <c r="C553" t="s">
        <v>4438</v>
      </c>
      <c r="D553" t="s">
        <v>3332</v>
      </c>
      <c r="E553" t="s">
        <v>3333</v>
      </c>
    </row>
    <row r="554" spans="1:5" x14ac:dyDescent="0.25">
      <c r="A554" t="s">
        <v>3329</v>
      </c>
      <c r="B554" t="s">
        <v>4439</v>
      </c>
      <c r="C554" t="s">
        <v>4440</v>
      </c>
      <c r="D554" t="s">
        <v>3332</v>
      </c>
      <c r="E554" t="s">
        <v>3333</v>
      </c>
    </row>
    <row r="555" spans="1:5" x14ac:dyDescent="0.25">
      <c r="A555" t="s">
        <v>3329</v>
      </c>
      <c r="B555" t="s">
        <v>4441</v>
      </c>
      <c r="C555" t="s">
        <v>4442</v>
      </c>
      <c r="D555" t="s">
        <v>3332</v>
      </c>
      <c r="E555" t="s">
        <v>3339</v>
      </c>
    </row>
    <row r="556" spans="1:5" x14ac:dyDescent="0.25">
      <c r="A556" t="s">
        <v>3329</v>
      </c>
      <c r="B556" t="s">
        <v>4443</v>
      </c>
      <c r="C556" t="s">
        <v>4444</v>
      </c>
      <c r="D556" t="s">
        <v>3332</v>
      </c>
      <c r="E556" t="s">
        <v>3333</v>
      </c>
    </row>
    <row r="557" spans="1:5" x14ac:dyDescent="0.25">
      <c r="A557" t="s">
        <v>3329</v>
      </c>
      <c r="B557" t="s">
        <v>4445</v>
      </c>
      <c r="C557" t="s">
        <v>4446</v>
      </c>
      <c r="D557" t="s">
        <v>3332</v>
      </c>
      <c r="E557" t="s">
        <v>3579</v>
      </c>
    </row>
    <row r="558" spans="1:5" x14ac:dyDescent="0.25">
      <c r="A558" t="s">
        <v>3329</v>
      </c>
      <c r="B558" t="s">
        <v>4447</v>
      </c>
      <c r="C558" t="s">
        <v>4448</v>
      </c>
      <c r="D558" t="s">
        <v>3332</v>
      </c>
      <c r="E558" t="s">
        <v>3333</v>
      </c>
    </row>
    <row r="559" spans="1:5" x14ac:dyDescent="0.25">
      <c r="A559" t="s">
        <v>3329</v>
      </c>
      <c r="B559" t="s">
        <v>4449</v>
      </c>
      <c r="C559" t="s">
        <v>4450</v>
      </c>
      <c r="D559" t="s">
        <v>3332</v>
      </c>
      <c r="E559" t="s">
        <v>3333</v>
      </c>
    </row>
    <row r="560" spans="1:5" x14ac:dyDescent="0.25">
      <c r="A560" t="s">
        <v>3329</v>
      </c>
      <c r="B560" t="s">
        <v>4451</v>
      </c>
      <c r="C560" t="s">
        <v>4452</v>
      </c>
      <c r="D560" t="s">
        <v>3332</v>
      </c>
      <c r="E560" t="s">
        <v>3333</v>
      </c>
    </row>
    <row r="561" spans="1:5" x14ac:dyDescent="0.25">
      <c r="A561" t="s">
        <v>3329</v>
      </c>
      <c r="B561" t="s">
        <v>4453</v>
      </c>
      <c r="C561" t="s">
        <v>4454</v>
      </c>
      <c r="D561" t="s">
        <v>3332</v>
      </c>
      <c r="E561" t="s">
        <v>3333</v>
      </c>
    </row>
    <row r="562" spans="1:5" x14ac:dyDescent="0.25">
      <c r="A562" t="s">
        <v>3329</v>
      </c>
      <c r="B562" t="s">
        <v>4455</v>
      </c>
      <c r="C562" t="s">
        <v>4456</v>
      </c>
      <c r="D562" t="s">
        <v>3332</v>
      </c>
      <c r="E562" t="s">
        <v>3333</v>
      </c>
    </row>
    <row r="563" spans="1:5" x14ac:dyDescent="0.25">
      <c r="A563" t="s">
        <v>3329</v>
      </c>
      <c r="B563" t="s">
        <v>4457</v>
      </c>
      <c r="C563" t="s">
        <v>4458</v>
      </c>
      <c r="D563" t="s">
        <v>3332</v>
      </c>
      <c r="E563" t="s">
        <v>3333</v>
      </c>
    </row>
    <row r="564" spans="1:5" x14ac:dyDescent="0.25">
      <c r="A564" t="s">
        <v>3329</v>
      </c>
      <c r="B564" t="s">
        <v>4459</v>
      </c>
      <c r="C564" t="s">
        <v>4460</v>
      </c>
      <c r="D564" t="s">
        <v>3332</v>
      </c>
      <c r="E564" t="s">
        <v>3333</v>
      </c>
    </row>
    <row r="565" spans="1:5" x14ac:dyDescent="0.25">
      <c r="A565" t="s">
        <v>3329</v>
      </c>
      <c r="B565" t="s">
        <v>4461</v>
      </c>
      <c r="C565" t="s">
        <v>4462</v>
      </c>
      <c r="D565" t="s">
        <v>3332</v>
      </c>
      <c r="E565" t="s">
        <v>3333</v>
      </c>
    </row>
    <row r="566" spans="1:5" x14ac:dyDescent="0.25">
      <c r="A566" t="s">
        <v>3329</v>
      </c>
      <c r="B566" t="s">
        <v>4463</v>
      </c>
      <c r="C566" t="s">
        <v>4464</v>
      </c>
      <c r="D566" t="s">
        <v>3332</v>
      </c>
      <c r="E566" t="s">
        <v>3582</v>
      </c>
    </row>
    <row r="567" spans="1:5" x14ac:dyDescent="0.25">
      <c r="A567" t="s">
        <v>3329</v>
      </c>
      <c r="B567" t="s">
        <v>4465</v>
      </c>
      <c r="C567" t="s">
        <v>4466</v>
      </c>
      <c r="D567" t="s">
        <v>3332</v>
      </c>
      <c r="E567" t="s">
        <v>3582</v>
      </c>
    </row>
    <row r="568" spans="1:5" x14ac:dyDescent="0.25">
      <c r="A568" t="s">
        <v>3329</v>
      </c>
      <c r="B568" t="s">
        <v>4467</v>
      </c>
      <c r="C568" t="s">
        <v>4468</v>
      </c>
      <c r="D568" t="s">
        <v>3332</v>
      </c>
      <c r="E568" t="s">
        <v>3582</v>
      </c>
    </row>
    <row r="569" spans="1:5" x14ac:dyDescent="0.25">
      <c r="A569" t="s">
        <v>3329</v>
      </c>
      <c r="B569" t="s">
        <v>4469</v>
      </c>
      <c r="C569" t="s">
        <v>4470</v>
      </c>
      <c r="D569" t="s">
        <v>3332</v>
      </c>
      <c r="E569" t="s">
        <v>3582</v>
      </c>
    </row>
    <row r="570" spans="1:5" x14ac:dyDescent="0.25">
      <c r="A570" t="s">
        <v>3329</v>
      </c>
      <c r="B570" t="s">
        <v>4471</v>
      </c>
      <c r="C570" t="s">
        <v>4472</v>
      </c>
      <c r="D570" t="s">
        <v>3332</v>
      </c>
      <c r="E570" t="s">
        <v>3582</v>
      </c>
    </row>
    <row r="571" spans="1:5" x14ac:dyDescent="0.25">
      <c r="A571" t="s">
        <v>3329</v>
      </c>
      <c r="B571" t="s">
        <v>4473</v>
      </c>
      <c r="C571" t="s">
        <v>4474</v>
      </c>
      <c r="D571" t="s">
        <v>3332</v>
      </c>
      <c r="E571" t="s">
        <v>3582</v>
      </c>
    </row>
    <row r="572" spans="1:5" x14ac:dyDescent="0.25">
      <c r="A572" t="s">
        <v>3329</v>
      </c>
      <c r="B572" t="s">
        <v>4475</v>
      </c>
      <c r="C572" t="s">
        <v>4476</v>
      </c>
      <c r="D572" t="s">
        <v>3332</v>
      </c>
      <c r="E572" t="s">
        <v>3582</v>
      </c>
    </row>
    <row r="573" spans="1:5" x14ac:dyDescent="0.25">
      <c r="A573" t="s">
        <v>3329</v>
      </c>
      <c r="B573" t="s">
        <v>4477</v>
      </c>
      <c r="C573" t="s">
        <v>4478</v>
      </c>
      <c r="D573" t="s">
        <v>3332</v>
      </c>
      <c r="E573" t="s">
        <v>3582</v>
      </c>
    </row>
    <row r="574" spans="1:5" x14ac:dyDescent="0.25">
      <c r="A574" t="s">
        <v>3329</v>
      </c>
      <c r="B574" t="s">
        <v>4479</v>
      </c>
      <c r="C574" t="s">
        <v>4480</v>
      </c>
      <c r="D574" t="s">
        <v>3332</v>
      </c>
      <c r="E574" t="s">
        <v>3582</v>
      </c>
    </row>
    <row r="575" spans="1:5" x14ac:dyDescent="0.25">
      <c r="A575" t="s">
        <v>3329</v>
      </c>
      <c r="B575" t="s">
        <v>4481</v>
      </c>
      <c r="C575" t="s">
        <v>4482</v>
      </c>
      <c r="D575" t="s">
        <v>3332</v>
      </c>
      <c r="E575" t="s">
        <v>3582</v>
      </c>
    </row>
    <row r="576" spans="1:5" x14ac:dyDescent="0.25">
      <c r="A576" t="s">
        <v>3329</v>
      </c>
      <c r="B576" t="s">
        <v>4483</v>
      </c>
      <c r="C576" t="s">
        <v>4484</v>
      </c>
      <c r="D576" t="s">
        <v>3332</v>
      </c>
      <c r="E576" t="s">
        <v>3582</v>
      </c>
    </row>
    <row r="577" spans="1:5" x14ac:dyDescent="0.25">
      <c r="A577" t="s">
        <v>3329</v>
      </c>
      <c r="B577" t="s">
        <v>4485</v>
      </c>
      <c r="C577" t="s">
        <v>4486</v>
      </c>
      <c r="D577" t="s">
        <v>3332</v>
      </c>
      <c r="E577" t="s">
        <v>3582</v>
      </c>
    </row>
    <row r="578" spans="1:5" x14ac:dyDescent="0.25">
      <c r="A578" t="s">
        <v>3329</v>
      </c>
      <c r="B578" t="s">
        <v>4487</v>
      </c>
      <c r="C578" t="s">
        <v>4488</v>
      </c>
      <c r="D578" t="s">
        <v>3332</v>
      </c>
      <c r="E578" t="s">
        <v>3582</v>
      </c>
    </row>
    <row r="579" spans="1:5" x14ac:dyDescent="0.25">
      <c r="A579" t="s">
        <v>3329</v>
      </c>
      <c r="B579" t="s">
        <v>4489</v>
      </c>
      <c r="C579" t="s">
        <v>4490</v>
      </c>
      <c r="D579" t="s">
        <v>3332</v>
      </c>
      <c r="E579" t="s">
        <v>3582</v>
      </c>
    </row>
    <row r="580" spans="1:5" x14ac:dyDescent="0.25">
      <c r="A580" t="s">
        <v>3329</v>
      </c>
      <c r="B580" t="s">
        <v>4491</v>
      </c>
      <c r="C580" t="s">
        <v>4492</v>
      </c>
      <c r="D580" t="s">
        <v>3332</v>
      </c>
      <c r="E580" t="s">
        <v>3582</v>
      </c>
    </row>
    <row r="581" spans="1:5" x14ac:dyDescent="0.25">
      <c r="A581" t="s">
        <v>3329</v>
      </c>
      <c r="B581" t="s">
        <v>4493</v>
      </c>
      <c r="C581" t="s">
        <v>4494</v>
      </c>
      <c r="D581" t="s">
        <v>3332</v>
      </c>
      <c r="E581" t="s">
        <v>3582</v>
      </c>
    </row>
    <row r="582" spans="1:5" x14ac:dyDescent="0.25">
      <c r="A582" t="s">
        <v>3329</v>
      </c>
      <c r="B582" t="s">
        <v>4495</v>
      </c>
      <c r="C582" t="s">
        <v>4496</v>
      </c>
      <c r="D582" t="s">
        <v>3332</v>
      </c>
      <c r="E582" t="s">
        <v>3582</v>
      </c>
    </row>
    <row r="583" spans="1:5" x14ac:dyDescent="0.25">
      <c r="A583" t="s">
        <v>3329</v>
      </c>
      <c r="B583" t="s">
        <v>4497</v>
      </c>
      <c r="C583" t="s">
        <v>4498</v>
      </c>
      <c r="D583" t="s">
        <v>3332</v>
      </c>
      <c r="E583" t="s">
        <v>3582</v>
      </c>
    </row>
    <row r="584" spans="1:5" x14ac:dyDescent="0.25">
      <c r="A584" t="s">
        <v>3329</v>
      </c>
      <c r="B584" t="s">
        <v>4499</v>
      </c>
      <c r="C584" t="s">
        <v>4500</v>
      </c>
      <c r="D584" t="s">
        <v>3332</v>
      </c>
      <c r="E584" t="s">
        <v>3582</v>
      </c>
    </row>
    <row r="585" spans="1:5" x14ac:dyDescent="0.25">
      <c r="A585" t="s">
        <v>3329</v>
      </c>
      <c r="B585" t="s">
        <v>4501</v>
      </c>
      <c r="C585" t="s">
        <v>4502</v>
      </c>
      <c r="D585" t="s">
        <v>3332</v>
      </c>
      <c r="E585" t="s">
        <v>3582</v>
      </c>
    </row>
    <row r="586" spans="1:5" x14ac:dyDescent="0.25">
      <c r="A586" t="s">
        <v>3329</v>
      </c>
      <c r="B586" t="s">
        <v>4503</v>
      </c>
      <c r="C586" t="s">
        <v>4504</v>
      </c>
      <c r="D586" t="s">
        <v>3332</v>
      </c>
      <c r="E586" t="s">
        <v>3582</v>
      </c>
    </row>
    <row r="587" spans="1:5" x14ac:dyDescent="0.25">
      <c r="A587" t="s">
        <v>3329</v>
      </c>
      <c r="B587" t="s">
        <v>4505</v>
      </c>
      <c r="C587" t="s">
        <v>4506</v>
      </c>
      <c r="D587" t="s">
        <v>3332</v>
      </c>
      <c r="E587" t="s">
        <v>3582</v>
      </c>
    </row>
    <row r="588" spans="1:5" x14ac:dyDescent="0.25">
      <c r="A588" t="s">
        <v>3329</v>
      </c>
      <c r="B588" t="s">
        <v>4507</v>
      </c>
      <c r="C588" t="s">
        <v>4508</v>
      </c>
      <c r="D588" t="s">
        <v>3332</v>
      </c>
      <c r="E588" t="s">
        <v>3582</v>
      </c>
    </row>
    <row r="589" spans="1:5" x14ac:dyDescent="0.25">
      <c r="A589" t="s">
        <v>3329</v>
      </c>
      <c r="B589" t="s">
        <v>4509</v>
      </c>
      <c r="C589" t="s">
        <v>4510</v>
      </c>
      <c r="D589" t="s">
        <v>3332</v>
      </c>
      <c r="E589" t="s">
        <v>3582</v>
      </c>
    </row>
    <row r="590" spans="1:5" x14ac:dyDescent="0.25">
      <c r="A590" t="s">
        <v>3329</v>
      </c>
      <c r="B590" t="s">
        <v>4511</v>
      </c>
      <c r="C590" t="s">
        <v>4512</v>
      </c>
      <c r="D590" t="s">
        <v>3332</v>
      </c>
      <c r="E590" t="s">
        <v>3582</v>
      </c>
    </row>
    <row r="591" spans="1:5" x14ac:dyDescent="0.25">
      <c r="A591" t="s">
        <v>3329</v>
      </c>
      <c r="B591" t="s">
        <v>4513</v>
      </c>
      <c r="C591" t="s">
        <v>4514</v>
      </c>
      <c r="D591" t="s">
        <v>3332</v>
      </c>
      <c r="E591" t="s">
        <v>3582</v>
      </c>
    </row>
    <row r="592" spans="1:5" x14ac:dyDescent="0.25">
      <c r="A592" t="s">
        <v>3329</v>
      </c>
      <c r="B592" t="s">
        <v>4515</v>
      </c>
      <c r="C592" t="s">
        <v>4516</v>
      </c>
      <c r="D592" t="s">
        <v>3332</v>
      </c>
      <c r="E592" t="s">
        <v>3582</v>
      </c>
    </row>
    <row r="593" spans="1:5" x14ac:dyDescent="0.25">
      <c r="A593" t="s">
        <v>3329</v>
      </c>
      <c r="B593" t="s">
        <v>4517</v>
      </c>
      <c r="C593" t="s">
        <v>4518</v>
      </c>
      <c r="D593" t="s">
        <v>3332</v>
      </c>
      <c r="E593" t="s">
        <v>3582</v>
      </c>
    </row>
    <row r="594" spans="1:5" x14ac:dyDescent="0.25">
      <c r="A594" t="s">
        <v>3329</v>
      </c>
      <c r="B594" t="s">
        <v>4519</v>
      </c>
      <c r="C594" t="s">
        <v>4520</v>
      </c>
      <c r="D594" t="s">
        <v>3332</v>
      </c>
      <c r="E594" t="s">
        <v>3582</v>
      </c>
    </row>
    <row r="595" spans="1:5" x14ac:dyDescent="0.25">
      <c r="A595" t="s">
        <v>3329</v>
      </c>
      <c r="B595" t="s">
        <v>4521</v>
      </c>
      <c r="C595" t="s">
        <v>4522</v>
      </c>
      <c r="D595" t="s">
        <v>3332</v>
      </c>
      <c r="E595" t="s">
        <v>3582</v>
      </c>
    </row>
    <row r="596" spans="1:5" x14ac:dyDescent="0.25">
      <c r="A596" t="s">
        <v>3329</v>
      </c>
      <c r="B596" t="s">
        <v>4523</v>
      </c>
      <c r="C596" t="s">
        <v>4524</v>
      </c>
      <c r="D596" t="s">
        <v>3332</v>
      </c>
      <c r="E596" t="s">
        <v>3582</v>
      </c>
    </row>
    <row r="597" spans="1:5" x14ac:dyDescent="0.25">
      <c r="A597" t="s">
        <v>3329</v>
      </c>
      <c r="B597" t="s">
        <v>4525</v>
      </c>
      <c r="C597" t="s">
        <v>4526</v>
      </c>
      <c r="D597" t="s">
        <v>3332</v>
      </c>
      <c r="E597" t="s">
        <v>3582</v>
      </c>
    </row>
    <row r="598" spans="1:5" x14ac:dyDescent="0.25">
      <c r="A598" t="s">
        <v>3329</v>
      </c>
      <c r="B598" t="s">
        <v>4527</v>
      </c>
      <c r="C598" t="s">
        <v>4528</v>
      </c>
      <c r="D598" t="s">
        <v>3332</v>
      </c>
      <c r="E598" t="s">
        <v>3582</v>
      </c>
    </row>
    <row r="599" spans="1:5" x14ac:dyDescent="0.25">
      <c r="A599" t="s">
        <v>3329</v>
      </c>
      <c r="B599" t="s">
        <v>4529</v>
      </c>
      <c r="C599" t="s">
        <v>4530</v>
      </c>
      <c r="D599" t="s">
        <v>3332</v>
      </c>
      <c r="E599" t="s">
        <v>3582</v>
      </c>
    </row>
    <row r="600" spans="1:5" x14ac:dyDescent="0.25">
      <c r="A600" t="s">
        <v>3329</v>
      </c>
      <c r="B600" t="s">
        <v>4531</v>
      </c>
      <c r="C600" t="s">
        <v>4532</v>
      </c>
      <c r="D600" t="s">
        <v>3332</v>
      </c>
      <c r="E600" t="s">
        <v>3582</v>
      </c>
    </row>
    <row r="601" spans="1:5" x14ac:dyDescent="0.25">
      <c r="A601" t="s">
        <v>3329</v>
      </c>
      <c r="B601" t="s">
        <v>4533</v>
      </c>
      <c r="C601" t="s">
        <v>4534</v>
      </c>
      <c r="D601" t="s">
        <v>3332</v>
      </c>
      <c r="E601" t="s">
        <v>3582</v>
      </c>
    </row>
    <row r="602" spans="1:5" x14ac:dyDescent="0.25">
      <c r="A602" t="s">
        <v>3329</v>
      </c>
      <c r="B602" t="s">
        <v>4535</v>
      </c>
      <c r="C602" t="s">
        <v>4536</v>
      </c>
      <c r="D602" t="s">
        <v>3332</v>
      </c>
      <c r="E602" t="s">
        <v>3582</v>
      </c>
    </row>
    <row r="603" spans="1:5" x14ac:dyDescent="0.25">
      <c r="A603" t="s">
        <v>3329</v>
      </c>
      <c r="B603" t="s">
        <v>4537</v>
      </c>
      <c r="C603" t="s">
        <v>4538</v>
      </c>
      <c r="D603" t="s">
        <v>3332</v>
      </c>
      <c r="E603" t="s">
        <v>3582</v>
      </c>
    </row>
    <row r="604" spans="1:5" x14ac:dyDescent="0.25">
      <c r="A604" t="s">
        <v>3329</v>
      </c>
      <c r="B604" t="s">
        <v>4539</v>
      </c>
      <c r="C604" t="s">
        <v>4540</v>
      </c>
      <c r="D604" t="s">
        <v>3332</v>
      </c>
      <c r="E604" t="s">
        <v>3582</v>
      </c>
    </row>
    <row r="605" spans="1:5" x14ac:dyDescent="0.25">
      <c r="A605" t="s">
        <v>3329</v>
      </c>
      <c r="B605" t="s">
        <v>4541</v>
      </c>
      <c r="C605" t="s">
        <v>4542</v>
      </c>
      <c r="D605" t="s">
        <v>3332</v>
      </c>
      <c r="E605" t="s">
        <v>3582</v>
      </c>
    </row>
    <row r="606" spans="1:5" x14ac:dyDescent="0.25">
      <c r="A606" t="s">
        <v>3329</v>
      </c>
      <c r="B606" t="s">
        <v>4543</v>
      </c>
      <c r="C606" t="s">
        <v>4544</v>
      </c>
      <c r="D606" t="s">
        <v>3332</v>
      </c>
      <c r="E606" t="s">
        <v>3582</v>
      </c>
    </row>
    <row r="607" spans="1:5" x14ac:dyDescent="0.25">
      <c r="A607" t="s">
        <v>3329</v>
      </c>
      <c r="B607" t="s">
        <v>4545</v>
      </c>
      <c r="C607" t="s">
        <v>4546</v>
      </c>
      <c r="D607" t="s">
        <v>3332</v>
      </c>
      <c r="E607" t="s">
        <v>3339</v>
      </c>
    </row>
    <row r="608" spans="1:5" x14ac:dyDescent="0.25">
      <c r="A608" t="s">
        <v>3329</v>
      </c>
      <c r="B608" t="s">
        <v>4547</v>
      </c>
      <c r="C608" t="s">
        <v>4548</v>
      </c>
      <c r="D608" t="s">
        <v>3332</v>
      </c>
      <c r="E608" t="s">
        <v>3339</v>
      </c>
    </row>
    <row r="609" spans="1:5" x14ac:dyDescent="0.25">
      <c r="A609" t="s">
        <v>3329</v>
      </c>
      <c r="B609" t="s">
        <v>4549</v>
      </c>
      <c r="C609" t="s">
        <v>4550</v>
      </c>
      <c r="D609" t="s">
        <v>3332</v>
      </c>
      <c r="E609" t="s">
        <v>3339</v>
      </c>
    </row>
    <row r="610" spans="1:5" x14ac:dyDescent="0.25">
      <c r="A610" t="s">
        <v>3329</v>
      </c>
      <c r="B610" t="s">
        <v>4551</v>
      </c>
      <c r="C610" t="s">
        <v>4552</v>
      </c>
      <c r="D610" t="s">
        <v>3332</v>
      </c>
      <c r="E610" t="s">
        <v>3339</v>
      </c>
    </row>
    <row r="611" spans="1:5" x14ac:dyDescent="0.25">
      <c r="A611" t="s">
        <v>3329</v>
      </c>
      <c r="B611" t="s">
        <v>4553</v>
      </c>
      <c r="C611" t="s">
        <v>4554</v>
      </c>
      <c r="D611" t="s">
        <v>3332</v>
      </c>
      <c r="E611" t="s">
        <v>3344</v>
      </c>
    </row>
    <row r="612" spans="1:5" x14ac:dyDescent="0.25">
      <c r="A612" t="s">
        <v>3329</v>
      </c>
      <c r="B612" t="s">
        <v>4555</v>
      </c>
      <c r="C612" t="s">
        <v>4556</v>
      </c>
      <c r="D612" t="s">
        <v>3332</v>
      </c>
      <c r="E612" t="s">
        <v>3344</v>
      </c>
    </row>
    <row r="613" spans="1:5" x14ac:dyDescent="0.25">
      <c r="A613" t="s">
        <v>3329</v>
      </c>
      <c r="B613" t="s">
        <v>4557</v>
      </c>
      <c r="C613" t="s">
        <v>4558</v>
      </c>
      <c r="D613" t="s">
        <v>3332</v>
      </c>
      <c r="E613" t="s">
        <v>3344</v>
      </c>
    </row>
    <row r="614" spans="1:5" x14ac:dyDescent="0.25">
      <c r="A614" t="s">
        <v>3329</v>
      </c>
      <c r="B614" t="s">
        <v>4559</v>
      </c>
      <c r="C614" t="s">
        <v>4560</v>
      </c>
      <c r="D614" t="s">
        <v>3332</v>
      </c>
      <c r="E614" t="s">
        <v>3344</v>
      </c>
    </row>
    <row r="615" spans="1:5" x14ac:dyDescent="0.25">
      <c r="A615" t="s">
        <v>3329</v>
      </c>
      <c r="B615" t="s">
        <v>4561</v>
      </c>
      <c r="C615" t="s">
        <v>4562</v>
      </c>
      <c r="D615" t="s">
        <v>3332</v>
      </c>
      <c r="E615" t="s">
        <v>3344</v>
      </c>
    </row>
    <row r="616" spans="1:5" x14ac:dyDescent="0.25">
      <c r="A616" t="s">
        <v>3329</v>
      </c>
      <c r="B616" t="str">
        <f>"9997628744106"</f>
        <v>9997628744106</v>
      </c>
      <c r="C616" t="s">
        <v>4563</v>
      </c>
      <c r="D616" t="s">
        <v>3332</v>
      </c>
      <c r="E616" t="s">
        <v>3336</v>
      </c>
    </row>
    <row r="617" spans="1:5" x14ac:dyDescent="0.25">
      <c r="A617" t="s">
        <v>3329</v>
      </c>
      <c r="B617" t="str">
        <f>"9997628744090"</f>
        <v>9997628744090</v>
      </c>
      <c r="C617" t="s">
        <v>4564</v>
      </c>
      <c r="D617" t="s">
        <v>3332</v>
      </c>
      <c r="E617" t="s">
        <v>3336</v>
      </c>
    </row>
    <row r="618" spans="1:5" x14ac:dyDescent="0.25">
      <c r="A618" t="s">
        <v>3329</v>
      </c>
      <c r="B618" t="str">
        <f>"9997628744083"</f>
        <v>9997628744083</v>
      </c>
      <c r="C618" t="s">
        <v>4565</v>
      </c>
      <c r="D618" t="s">
        <v>3332</v>
      </c>
      <c r="E618" t="s">
        <v>3336</v>
      </c>
    </row>
    <row r="619" spans="1:5" x14ac:dyDescent="0.25">
      <c r="A619" t="s">
        <v>3329</v>
      </c>
      <c r="B619" t="str">
        <f>"9997628744076"</f>
        <v>9997628744076</v>
      </c>
      <c r="C619" t="s">
        <v>4566</v>
      </c>
      <c r="D619" t="s">
        <v>3332</v>
      </c>
      <c r="E619" t="s">
        <v>3336</v>
      </c>
    </row>
    <row r="620" spans="1:5" x14ac:dyDescent="0.25">
      <c r="A620" t="s">
        <v>3329</v>
      </c>
      <c r="B620" t="str">
        <f>"9997628744069"</f>
        <v>9997628744069</v>
      </c>
      <c r="C620" t="s">
        <v>4567</v>
      </c>
      <c r="D620" t="s">
        <v>3332</v>
      </c>
      <c r="E620" t="s">
        <v>3336</v>
      </c>
    </row>
    <row r="621" spans="1:5" x14ac:dyDescent="0.25">
      <c r="A621" t="s">
        <v>3329</v>
      </c>
      <c r="B621" t="str">
        <f>"9996481544083"</f>
        <v>9996481544083</v>
      </c>
      <c r="C621" t="s">
        <v>4568</v>
      </c>
      <c r="D621" t="s">
        <v>3332</v>
      </c>
      <c r="E621" t="s">
        <v>3336</v>
      </c>
    </row>
    <row r="622" spans="1:5" x14ac:dyDescent="0.25">
      <c r="A622" t="s">
        <v>3329</v>
      </c>
      <c r="B622" t="str">
        <f>"9996481544076"</f>
        <v>9996481544076</v>
      </c>
      <c r="C622" t="s">
        <v>4569</v>
      </c>
      <c r="D622" t="s">
        <v>3332</v>
      </c>
      <c r="E622" t="s">
        <v>3336</v>
      </c>
    </row>
    <row r="623" spans="1:5" x14ac:dyDescent="0.25">
      <c r="A623" t="s">
        <v>3329</v>
      </c>
      <c r="B623" t="s">
        <v>4570</v>
      </c>
      <c r="C623" t="s">
        <v>4571</v>
      </c>
      <c r="D623" t="s">
        <v>3332</v>
      </c>
      <c r="E623" t="s">
        <v>3336</v>
      </c>
    </row>
    <row r="624" spans="1:5" x14ac:dyDescent="0.25">
      <c r="A624" t="s">
        <v>3329</v>
      </c>
      <c r="B624" t="s">
        <v>4572</v>
      </c>
      <c r="C624" t="s">
        <v>4573</v>
      </c>
      <c r="D624" t="s">
        <v>3332</v>
      </c>
      <c r="E624" t="s">
        <v>3336</v>
      </c>
    </row>
    <row r="625" spans="1:5" x14ac:dyDescent="0.25">
      <c r="A625" t="s">
        <v>3329</v>
      </c>
      <c r="B625" t="s">
        <v>4574</v>
      </c>
      <c r="C625" t="s">
        <v>4575</v>
      </c>
      <c r="D625" t="s">
        <v>3332</v>
      </c>
      <c r="E625" t="s">
        <v>3336</v>
      </c>
    </row>
    <row r="626" spans="1:5" x14ac:dyDescent="0.25">
      <c r="A626" t="s">
        <v>3329</v>
      </c>
      <c r="B626" t="s">
        <v>4576</v>
      </c>
      <c r="C626" t="s">
        <v>4577</v>
      </c>
      <c r="D626" t="s">
        <v>3332</v>
      </c>
      <c r="E626" t="s">
        <v>3336</v>
      </c>
    </row>
    <row r="627" spans="1:5" x14ac:dyDescent="0.25">
      <c r="A627" t="s">
        <v>3329</v>
      </c>
      <c r="B627" t="s">
        <v>4578</v>
      </c>
      <c r="C627" t="s">
        <v>4579</v>
      </c>
      <c r="D627" t="s">
        <v>3332</v>
      </c>
      <c r="E627" t="s">
        <v>3336</v>
      </c>
    </row>
    <row r="628" spans="1:5" x14ac:dyDescent="0.25">
      <c r="A628" t="s">
        <v>3329</v>
      </c>
      <c r="B628" t="s">
        <v>4580</v>
      </c>
      <c r="C628" t="s">
        <v>4575</v>
      </c>
      <c r="D628" t="s">
        <v>3332</v>
      </c>
      <c r="E628" t="s">
        <v>3336</v>
      </c>
    </row>
    <row r="629" spans="1:5" x14ac:dyDescent="0.25">
      <c r="A629" t="s">
        <v>3329</v>
      </c>
      <c r="B629" t="s">
        <v>4581</v>
      </c>
      <c r="C629" t="s">
        <v>4577</v>
      </c>
      <c r="D629" t="s">
        <v>3332</v>
      </c>
      <c r="E629" t="s">
        <v>3336</v>
      </c>
    </row>
    <row r="630" spans="1:5" x14ac:dyDescent="0.25">
      <c r="A630" t="s">
        <v>3329</v>
      </c>
      <c r="B630" t="s">
        <v>4582</v>
      </c>
      <c r="C630" t="s">
        <v>4579</v>
      </c>
      <c r="D630" t="s">
        <v>3332</v>
      </c>
      <c r="E630" t="s">
        <v>3336</v>
      </c>
    </row>
    <row r="631" spans="1:5" x14ac:dyDescent="0.25">
      <c r="A631" t="s">
        <v>3329</v>
      </c>
      <c r="B631" t="s">
        <v>4583</v>
      </c>
      <c r="C631" t="s">
        <v>4584</v>
      </c>
      <c r="D631" t="s">
        <v>3332</v>
      </c>
      <c r="E631" t="s">
        <v>3336</v>
      </c>
    </row>
    <row r="632" spans="1:5" x14ac:dyDescent="0.25">
      <c r="A632" t="s">
        <v>3329</v>
      </c>
      <c r="B632" t="s">
        <v>4585</v>
      </c>
      <c r="C632" t="s">
        <v>4586</v>
      </c>
      <c r="D632" t="s">
        <v>3332</v>
      </c>
      <c r="E632" t="s">
        <v>3336</v>
      </c>
    </row>
    <row r="633" spans="1:5" x14ac:dyDescent="0.25">
      <c r="A633" t="s">
        <v>3329</v>
      </c>
      <c r="B633" t="s">
        <v>4587</v>
      </c>
      <c r="C633" t="s">
        <v>4588</v>
      </c>
      <c r="D633" t="s">
        <v>3332</v>
      </c>
      <c r="E633" t="s">
        <v>3336</v>
      </c>
    </row>
    <row r="634" spans="1:5" x14ac:dyDescent="0.25">
      <c r="A634" t="s">
        <v>3329</v>
      </c>
      <c r="B634" t="s">
        <v>4589</v>
      </c>
      <c r="C634" t="s">
        <v>4584</v>
      </c>
      <c r="D634" t="s">
        <v>3332</v>
      </c>
      <c r="E634" t="s">
        <v>3336</v>
      </c>
    </row>
    <row r="635" spans="1:5" x14ac:dyDescent="0.25">
      <c r="A635" t="s">
        <v>3329</v>
      </c>
      <c r="B635" t="str">
        <f>"97512910040"</f>
        <v>97512910040</v>
      </c>
      <c r="C635" t="s">
        <v>4590</v>
      </c>
      <c r="D635" t="s">
        <v>3332</v>
      </c>
      <c r="E635" t="s">
        <v>3582</v>
      </c>
    </row>
    <row r="636" spans="1:5" x14ac:dyDescent="0.25">
      <c r="A636" t="s">
        <v>3329</v>
      </c>
      <c r="B636" t="str">
        <f>"97512910026"</f>
        <v>97512910026</v>
      </c>
      <c r="C636" t="s">
        <v>4591</v>
      </c>
      <c r="D636" t="s">
        <v>3332</v>
      </c>
      <c r="E636" t="s">
        <v>3582</v>
      </c>
    </row>
    <row r="637" spans="1:5" x14ac:dyDescent="0.25">
      <c r="A637" t="s">
        <v>3329</v>
      </c>
      <c r="B637" t="str">
        <f>"97512909976"</f>
        <v>97512909976</v>
      </c>
      <c r="C637" t="s">
        <v>4592</v>
      </c>
      <c r="D637" t="s">
        <v>3332</v>
      </c>
      <c r="E637" t="s">
        <v>3582</v>
      </c>
    </row>
    <row r="638" spans="1:5" x14ac:dyDescent="0.25">
      <c r="A638" t="s">
        <v>3329</v>
      </c>
      <c r="B638" t="str">
        <f>"97512909969"</f>
        <v>97512909969</v>
      </c>
      <c r="C638" t="s">
        <v>4593</v>
      </c>
      <c r="D638" t="s">
        <v>3332</v>
      </c>
      <c r="E638" t="s">
        <v>3582</v>
      </c>
    </row>
    <row r="639" spans="1:5" x14ac:dyDescent="0.25">
      <c r="A639" t="s">
        <v>3329</v>
      </c>
      <c r="B639" t="str">
        <f>"97512909952"</f>
        <v>97512909952</v>
      </c>
      <c r="C639" t="s">
        <v>4594</v>
      </c>
      <c r="D639" t="s">
        <v>3332</v>
      </c>
      <c r="E639" t="s">
        <v>3582</v>
      </c>
    </row>
    <row r="640" spans="1:5" x14ac:dyDescent="0.25">
      <c r="A640" t="s">
        <v>3329</v>
      </c>
      <c r="B640" t="str">
        <f>"97512909938"</f>
        <v>97512909938</v>
      </c>
      <c r="C640" t="s">
        <v>4595</v>
      </c>
      <c r="D640" t="s">
        <v>3332</v>
      </c>
      <c r="E640" t="s">
        <v>3582</v>
      </c>
    </row>
    <row r="641" spans="1:5" x14ac:dyDescent="0.25">
      <c r="A641" t="s">
        <v>3329</v>
      </c>
      <c r="B641" t="str">
        <f>"97512909921"</f>
        <v>97512909921</v>
      </c>
      <c r="C641" t="s">
        <v>4596</v>
      </c>
      <c r="D641" t="s">
        <v>3332</v>
      </c>
      <c r="E641" t="s">
        <v>3582</v>
      </c>
    </row>
    <row r="642" spans="1:5" x14ac:dyDescent="0.25">
      <c r="A642" t="s">
        <v>3329</v>
      </c>
      <c r="B642" t="str">
        <f>"97512753203"</f>
        <v>97512753203</v>
      </c>
      <c r="C642" t="s">
        <v>4597</v>
      </c>
      <c r="D642" t="s">
        <v>3332</v>
      </c>
      <c r="E642" t="s">
        <v>3582</v>
      </c>
    </row>
    <row r="643" spans="1:5" x14ac:dyDescent="0.25">
      <c r="A643" t="s">
        <v>3329</v>
      </c>
      <c r="B643" t="str">
        <f>"97512753135"</f>
        <v>97512753135</v>
      </c>
      <c r="C643" t="s">
        <v>4598</v>
      </c>
      <c r="D643" t="s">
        <v>3332</v>
      </c>
      <c r="E643" t="s">
        <v>3582</v>
      </c>
    </row>
    <row r="644" spans="1:5" x14ac:dyDescent="0.25">
      <c r="A644" t="s">
        <v>3329</v>
      </c>
      <c r="B644" t="str">
        <f>"97512753036"</f>
        <v>97512753036</v>
      </c>
      <c r="C644" t="s">
        <v>4599</v>
      </c>
      <c r="D644" t="s">
        <v>3332</v>
      </c>
      <c r="E644" t="s">
        <v>3582</v>
      </c>
    </row>
    <row r="645" spans="1:5" x14ac:dyDescent="0.25">
      <c r="A645" t="s">
        <v>3329</v>
      </c>
      <c r="B645" t="str">
        <f>"97512753029"</f>
        <v>97512753029</v>
      </c>
      <c r="C645" t="s">
        <v>4600</v>
      </c>
      <c r="D645" t="s">
        <v>3332</v>
      </c>
      <c r="E645" t="s">
        <v>3582</v>
      </c>
    </row>
    <row r="646" spans="1:5" x14ac:dyDescent="0.25">
      <c r="A646" t="s">
        <v>3329</v>
      </c>
      <c r="B646" t="str">
        <f>"97512752992"</f>
        <v>97512752992</v>
      </c>
      <c r="C646" t="s">
        <v>4601</v>
      </c>
      <c r="D646" t="s">
        <v>3332</v>
      </c>
      <c r="E646" t="s">
        <v>3582</v>
      </c>
    </row>
    <row r="647" spans="1:5" x14ac:dyDescent="0.25">
      <c r="A647" t="s">
        <v>3329</v>
      </c>
      <c r="B647" t="str">
        <f>"97512752961"</f>
        <v>97512752961</v>
      </c>
      <c r="C647" t="s">
        <v>4602</v>
      </c>
      <c r="D647" t="s">
        <v>3332</v>
      </c>
      <c r="E647" t="s">
        <v>3582</v>
      </c>
    </row>
    <row r="648" spans="1:5" x14ac:dyDescent="0.25">
      <c r="A648" t="s">
        <v>3329</v>
      </c>
      <c r="B648" t="str">
        <f>"97512719025"</f>
        <v>97512719025</v>
      </c>
      <c r="C648" t="s">
        <v>4603</v>
      </c>
      <c r="D648" t="s">
        <v>3332</v>
      </c>
      <c r="E648" t="s">
        <v>3339</v>
      </c>
    </row>
    <row r="649" spans="1:5" x14ac:dyDescent="0.25">
      <c r="A649" t="s">
        <v>3329</v>
      </c>
      <c r="B649" t="str">
        <f>"97512676175"</f>
        <v>97512676175</v>
      </c>
      <c r="C649" t="s">
        <v>4604</v>
      </c>
      <c r="D649" t="s">
        <v>3332</v>
      </c>
      <c r="E649" t="s">
        <v>3582</v>
      </c>
    </row>
    <row r="650" spans="1:5" x14ac:dyDescent="0.25">
      <c r="A650" t="s">
        <v>3329</v>
      </c>
      <c r="B650" t="str">
        <f>"97512676168"</f>
        <v>97512676168</v>
      </c>
      <c r="C650" t="s">
        <v>4605</v>
      </c>
      <c r="D650" t="s">
        <v>3332</v>
      </c>
      <c r="E650" t="s">
        <v>3582</v>
      </c>
    </row>
    <row r="651" spans="1:5" x14ac:dyDescent="0.25">
      <c r="A651" t="s">
        <v>3329</v>
      </c>
      <c r="B651" t="str">
        <f>"97512676137"</f>
        <v>97512676137</v>
      </c>
      <c r="C651" t="s">
        <v>4606</v>
      </c>
      <c r="D651" t="s">
        <v>3332</v>
      </c>
      <c r="E651" t="s">
        <v>3582</v>
      </c>
    </row>
    <row r="652" spans="1:5" x14ac:dyDescent="0.25">
      <c r="A652" t="s">
        <v>3329</v>
      </c>
      <c r="B652" t="str">
        <f>"97512676120"</f>
        <v>97512676120</v>
      </c>
      <c r="C652" t="s">
        <v>4607</v>
      </c>
      <c r="D652" t="s">
        <v>3332</v>
      </c>
      <c r="E652" t="s">
        <v>3582</v>
      </c>
    </row>
    <row r="653" spans="1:5" x14ac:dyDescent="0.25">
      <c r="A653" t="s">
        <v>3329</v>
      </c>
      <c r="B653" t="str">
        <f>"97512675406"</f>
        <v>97512675406</v>
      </c>
      <c r="C653" t="s">
        <v>4608</v>
      </c>
      <c r="D653" t="s">
        <v>3332</v>
      </c>
      <c r="E653" t="s">
        <v>3582</v>
      </c>
    </row>
    <row r="654" spans="1:5" x14ac:dyDescent="0.25">
      <c r="A654" t="s">
        <v>3329</v>
      </c>
      <c r="B654" t="str">
        <f>"97512675383"</f>
        <v>97512675383</v>
      </c>
      <c r="C654" t="s">
        <v>4609</v>
      </c>
      <c r="D654" t="s">
        <v>3332</v>
      </c>
      <c r="E654" t="s">
        <v>3582</v>
      </c>
    </row>
    <row r="655" spans="1:5" x14ac:dyDescent="0.25">
      <c r="A655" t="s">
        <v>3329</v>
      </c>
      <c r="B655" t="str">
        <f>"97512675376"</f>
        <v>97512675376</v>
      </c>
      <c r="C655" t="s">
        <v>4610</v>
      </c>
      <c r="D655" t="s">
        <v>3332</v>
      </c>
      <c r="E655" t="s">
        <v>3582</v>
      </c>
    </row>
    <row r="656" spans="1:5" x14ac:dyDescent="0.25">
      <c r="A656" t="s">
        <v>3329</v>
      </c>
      <c r="B656" t="str">
        <f>"97512619288"</f>
        <v>97512619288</v>
      </c>
      <c r="C656" t="s">
        <v>4611</v>
      </c>
      <c r="D656" t="s">
        <v>3332</v>
      </c>
      <c r="E656" t="s">
        <v>3339</v>
      </c>
    </row>
    <row r="657" spans="1:5" x14ac:dyDescent="0.25">
      <c r="A657" t="s">
        <v>3329</v>
      </c>
      <c r="B657" t="str">
        <f>"9506999000"</f>
        <v>9506999000</v>
      </c>
      <c r="C657" t="s">
        <v>4612</v>
      </c>
      <c r="D657" t="s">
        <v>3332</v>
      </c>
      <c r="E657" t="s">
        <v>3333</v>
      </c>
    </row>
    <row r="658" spans="1:5" x14ac:dyDescent="0.25">
      <c r="A658" t="s">
        <v>3329</v>
      </c>
      <c r="B658" t="str">
        <f>"887768225346"</f>
        <v>887768225346</v>
      </c>
      <c r="C658" t="s">
        <v>4613</v>
      </c>
      <c r="D658" t="s">
        <v>3332</v>
      </c>
      <c r="E658" t="s">
        <v>3333</v>
      </c>
    </row>
    <row r="659" spans="1:5" x14ac:dyDescent="0.25">
      <c r="A659" t="s">
        <v>3329</v>
      </c>
      <c r="B659" t="str">
        <f>"8718837148810"</f>
        <v>8718837148810</v>
      </c>
      <c r="C659" t="s">
        <v>4614</v>
      </c>
      <c r="D659" t="s">
        <v>3332</v>
      </c>
      <c r="E659" t="s">
        <v>3333</v>
      </c>
    </row>
    <row r="660" spans="1:5" x14ac:dyDescent="0.25">
      <c r="A660" t="s">
        <v>3329</v>
      </c>
      <c r="B660" t="str">
        <f>"8718837148803"</f>
        <v>8718837148803</v>
      </c>
      <c r="C660" t="s">
        <v>4615</v>
      </c>
      <c r="D660" t="s">
        <v>3332</v>
      </c>
      <c r="E660" t="s">
        <v>3333</v>
      </c>
    </row>
    <row r="661" spans="1:5" x14ac:dyDescent="0.25">
      <c r="A661" t="s">
        <v>3329</v>
      </c>
      <c r="B661" t="s">
        <v>4616</v>
      </c>
      <c r="C661" t="s">
        <v>4617</v>
      </c>
      <c r="D661" t="s">
        <v>3332</v>
      </c>
      <c r="E661" t="s">
        <v>3333</v>
      </c>
    </row>
    <row r="662" spans="1:5" x14ac:dyDescent="0.25">
      <c r="A662" t="s">
        <v>3329</v>
      </c>
      <c r="B662" t="str">
        <f>"8718837148391"</f>
        <v>8718837148391</v>
      </c>
      <c r="C662" t="s">
        <v>4618</v>
      </c>
      <c r="D662" t="s">
        <v>3332</v>
      </c>
      <c r="E662" t="s">
        <v>3333</v>
      </c>
    </row>
    <row r="663" spans="1:5" x14ac:dyDescent="0.25">
      <c r="A663" t="s">
        <v>3329</v>
      </c>
      <c r="B663" t="s">
        <v>4619</v>
      </c>
      <c r="C663" t="s">
        <v>4620</v>
      </c>
      <c r="D663" t="s">
        <v>3332</v>
      </c>
      <c r="E663" t="s">
        <v>3336</v>
      </c>
    </row>
    <row r="664" spans="1:5" x14ac:dyDescent="0.25">
      <c r="A664" t="s">
        <v>3329</v>
      </c>
      <c r="B664" t="s">
        <v>4621</v>
      </c>
      <c r="C664" t="s">
        <v>4622</v>
      </c>
      <c r="D664" t="s">
        <v>3332</v>
      </c>
      <c r="E664" t="s">
        <v>3336</v>
      </c>
    </row>
    <row r="665" spans="1:5" x14ac:dyDescent="0.25">
      <c r="A665" t="s">
        <v>3329</v>
      </c>
      <c r="B665" t="s">
        <v>4623</v>
      </c>
      <c r="C665" t="s">
        <v>4620</v>
      </c>
      <c r="D665" t="s">
        <v>3332</v>
      </c>
      <c r="E665" t="s">
        <v>3336</v>
      </c>
    </row>
    <row r="666" spans="1:5" x14ac:dyDescent="0.25">
      <c r="A666" t="s">
        <v>3329</v>
      </c>
      <c r="B666" t="s">
        <v>4624</v>
      </c>
      <c r="C666" t="s">
        <v>4622</v>
      </c>
      <c r="D666" t="s">
        <v>3332</v>
      </c>
      <c r="E666" t="s">
        <v>3336</v>
      </c>
    </row>
    <row r="667" spans="1:5" x14ac:dyDescent="0.25">
      <c r="A667" t="s">
        <v>3329</v>
      </c>
      <c r="B667" t="s">
        <v>4625</v>
      </c>
      <c r="C667" t="s">
        <v>4626</v>
      </c>
      <c r="D667" t="s">
        <v>3332</v>
      </c>
      <c r="E667" t="s">
        <v>3336</v>
      </c>
    </row>
    <row r="668" spans="1:5" x14ac:dyDescent="0.25">
      <c r="A668" t="s">
        <v>3329</v>
      </c>
      <c r="B668" t="s">
        <v>4627</v>
      </c>
      <c r="C668" t="s">
        <v>4628</v>
      </c>
      <c r="D668" t="s">
        <v>3332</v>
      </c>
      <c r="E668" t="s">
        <v>3336</v>
      </c>
    </row>
    <row r="669" spans="1:5" x14ac:dyDescent="0.25">
      <c r="A669" t="s">
        <v>3329</v>
      </c>
      <c r="B669" t="s">
        <v>4629</v>
      </c>
      <c r="C669" t="s">
        <v>4630</v>
      </c>
      <c r="D669" t="s">
        <v>3332</v>
      </c>
      <c r="E669" t="s">
        <v>3336</v>
      </c>
    </row>
    <row r="670" spans="1:5" x14ac:dyDescent="0.25">
      <c r="A670" t="s">
        <v>3329</v>
      </c>
      <c r="B670" t="s">
        <v>4631</v>
      </c>
      <c r="C670" t="s">
        <v>4632</v>
      </c>
      <c r="D670" t="s">
        <v>3332</v>
      </c>
      <c r="E670" t="s">
        <v>3582</v>
      </c>
    </row>
    <row r="671" spans="1:5" x14ac:dyDescent="0.25">
      <c r="A671" t="s">
        <v>3329</v>
      </c>
      <c r="B671" t="s">
        <v>4633</v>
      </c>
      <c r="C671" t="s">
        <v>4634</v>
      </c>
      <c r="D671" t="s">
        <v>3332</v>
      </c>
      <c r="E671" t="s">
        <v>3582</v>
      </c>
    </row>
    <row r="672" spans="1:5" x14ac:dyDescent="0.25">
      <c r="A672" t="s">
        <v>3329</v>
      </c>
      <c r="B672" t="str">
        <f>"8445757123152"</f>
        <v>8445757123152</v>
      </c>
      <c r="C672" t="s">
        <v>4635</v>
      </c>
      <c r="D672" t="s">
        <v>3332</v>
      </c>
      <c r="E672" t="s">
        <v>3582</v>
      </c>
    </row>
    <row r="673" spans="1:5" x14ac:dyDescent="0.25">
      <c r="A673" t="s">
        <v>3329</v>
      </c>
      <c r="B673" t="str">
        <f>"8445648616251"</f>
        <v>8445648616251</v>
      </c>
      <c r="C673" t="s">
        <v>4636</v>
      </c>
      <c r="D673" t="s">
        <v>3332</v>
      </c>
      <c r="E673" t="s">
        <v>3582</v>
      </c>
    </row>
    <row r="674" spans="1:5" x14ac:dyDescent="0.25">
      <c r="A674" t="s">
        <v>3329</v>
      </c>
      <c r="B674" t="str">
        <f>"8445648616244"</f>
        <v>8445648616244</v>
      </c>
      <c r="C674" t="s">
        <v>4637</v>
      </c>
      <c r="D674" t="s">
        <v>3332</v>
      </c>
      <c r="E674" t="s">
        <v>3582</v>
      </c>
    </row>
    <row r="675" spans="1:5" x14ac:dyDescent="0.25">
      <c r="A675" t="s">
        <v>3329</v>
      </c>
      <c r="B675" t="str">
        <f>"8445648616237"</f>
        <v>8445648616237</v>
      </c>
      <c r="C675" t="s">
        <v>4638</v>
      </c>
      <c r="D675" t="s">
        <v>3332</v>
      </c>
      <c r="E675" t="s">
        <v>3582</v>
      </c>
    </row>
    <row r="676" spans="1:5" x14ac:dyDescent="0.25">
      <c r="A676" t="s">
        <v>3329</v>
      </c>
      <c r="B676" t="str">
        <f>"8445648616220"</f>
        <v>8445648616220</v>
      </c>
      <c r="C676" t="s">
        <v>4639</v>
      </c>
      <c r="D676" t="s">
        <v>3332</v>
      </c>
      <c r="E676" t="s">
        <v>3582</v>
      </c>
    </row>
    <row r="677" spans="1:5" x14ac:dyDescent="0.25">
      <c r="A677" t="s">
        <v>3329</v>
      </c>
      <c r="B677" t="str">
        <f>"8445648616213"</f>
        <v>8445648616213</v>
      </c>
      <c r="C677" t="s">
        <v>4640</v>
      </c>
      <c r="D677" t="s">
        <v>3332</v>
      </c>
      <c r="E677" t="s">
        <v>3582</v>
      </c>
    </row>
    <row r="678" spans="1:5" x14ac:dyDescent="0.25">
      <c r="A678" t="s">
        <v>3329</v>
      </c>
      <c r="B678" t="str">
        <f>"8445648616206"</f>
        <v>8445648616206</v>
      </c>
      <c r="C678" t="s">
        <v>4641</v>
      </c>
      <c r="D678" t="s">
        <v>3332</v>
      </c>
      <c r="E678" t="s">
        <v>3582</v>
      </c>
    </row>
    <row r="679" spans="1:5" x14ac:dyDescent="0.25">
      <c r="A679" t="s">
        <v>3329</v>
      </c>
      <c r="B679" t="str">
        <f>"8445648528271"</f>
        <v>8445648528271</v>
      </c>
      <c r="C679" t="s">
        <v>4642</v>
      </c>
      <c r="D679" t="s">
        <v>3332</v>
      </c>
      <c r="E679" t="s">
        <v>3582</v>
      </c>
    </row>
    <row r="680" spans="1:5" x14ac:dyDescent="0.25">
      <c r="A680" t="s">
        <v>3329</v>
      </c>
      <c r="B680" t="str">
        <f>"8445648528264"</f>
        <v>8445648528264</v>
      </c>
      <c r="C680" t="s">
        <v>4643</v>
      </c>
      <c r="D680" t="s">
        <v>3332</v>
      </c>
      <c r="E680" t="s">
        <v>3582</v>
      </c>
    </row>
    <row r="681" spans="1:5" x14ac:dyDescent="0.25">
      <c r="A681" t="s">
        <v>3329</v>
      </c>
      <c r="B681" t="str">
        <f>"8445648528257"</f>
        <v>8445648528257</v>
      </c>
      <c r="C681" t="s">
        <v>4644</v>
      </c>
      <c r="D681" t="s">
        <v>3332</v>
      </c>
      <c r="E681" t="s">
        <v>3582</v>
      </c>
    </row>
    <row r="682" spans="1:5" x14ac:dyDescent="0.25">
      <c r="A682" t="s">
        <v>3329</v>
      </c>
      <c r="B682" t="str">
        <f>"8445648528240"</f>
        <v>8445648528240</v>
      </c>
      <c r="C682" t="s">
        <v>4645</v>
      </c>
      <c r="D682" t="s">
        <v>3332</v>
      </c>
      <c r="E682" t="s">
        <v>3582</v>
      </c>
    </row>
    <row r="683" spans="1:5" x14ac:dyDescent="0.25">
      <c r="A683" t="s">
        <v>3329</v>
      </c>
      <c r="B683" t="str">
        <f>"8445648418145"</f>
        <v>8445648418145</v>
      </c>
      <c r="C683" t="s">
        <v>4646</v>
      </c>
      <c r="D683" t="s">
        <v>3332</v>
      </c>
      <c r="E683" t="s">
        <v>3582</v>
      </c>
    </row>
    <row r="684" spans="1:5" x14ac:dyDescent="0.25">
      <c r="A684" t="s">
        <v>3329</v>
      </c>
      <c r="B684" t="str">
        <f>"8445648418138"</f>
        <v>8445648418138</v>
      </c>
      <c r="C684" t="s">
        <v>4647</v>
      </c>
      <c r="D684" t="s">
        <v>3332</v>
      </c>
      <c r="E684" t="s">
        <v>3582</v>
      </c>
    </row>
    <row r="685" spans="1:5" x14ac:dyDescent="0.25">
      <c r="A685" t="s">
        <v>3329</v>
      </c>
      <c r="B685" t="str">
        <f>"8445648418121"</f>
        <v>8445648418121</v>
      </c>
      <c r="C685" t="s">
        <v>4648</v>
      </c>
      <c r="D685" t="s">
        <v>3332</v>
      </c>
      <c r="E685" t="s">
        <v>3582</v>
      </c>
    </row>
    <row r="686" spans="1:5" x14ac:dyDescent="0.25">
      <c r="A686" t="s">
        <v>3329</v>
      </c>
      <c r="B686" t="str">
        <f>"8445648418114"</f>
        <v>8445648418114</v>
      </c>
      <c r="C686" t="s">
        <v>4649</v>
      </c>
      <c r="D686" t="s">
        <v>3332</v>
      </c>
      <c r="E686" t="s">
        <v>3582</v>
      </c>
    </row>
    <row r="687" spans="1:5" x14ac:dyDescent="0.25">
      <c r="A687" t="s">
        <v>3329</v>
      </c>
      <c r="B687" t="str">
        <f>"8445648418107"</f>
        <v>8445648418107</v>
      </c>
      <c r="C687" t="s">
        <v>4650</v>
      </c>
      <c r="D687" t="s">
        <v>3332</v>
      </c>
      <c r="E687" t="s">
        <v>3582</v>
      </c>
    </row>
    <row r="688" spans="1:5" x14ac:dyDescent="0.25">
      <c r="A688" t="s">
        <v>3329</v>
      </c>
      <c r="B688" t="str">
        <f>"8445648418091"</f>
        <v>8445648418091</v>
      </c>
      <c r="C688" t="s">
        <v>4651</v>
      </c>
      <c r="D688" t="s">
        <v>3332</v>
      </c>
      <c r="E688" t="s">
        <v>3582</v>
      </c>
    </row>
    <row r="689" spans="1:5" x14ac:dyDescent="0.25">
      <c r="A689" t="s">
        <v>3329</v>
      </c>
      <c r="B689" t="s">
        <v>4652</v>
      </c>
      <c r="C689" t="s">
        <v>4653</v>
      </c>
      <c r="D689" t="s">
        <v>3332</v>
      </c>
      <c r="E689" t="s">
        <v>3582</v>
      </c>
    </row>
    <row r="690" spans="1:5" x14ac:dyDescent="0.25">
      <c r="A690" t="s">
        <v>3329</v>
      </c>
      <c r="B690" t="s">
        <v>4654</v>
      </c>
      <c r="C690" t="s">
        <v>4655</v>
      </c>
      <c r="D690" t="s">
        <v>3332</v>
      </c>
      <c r="E690" t="s">
        <v>3582</v>
      </c>
    </row>
    <row r="691" spans="1:5" x14ac:dyDescent="0.25">
      <c r="A691" t="s">
        <v>3329</v>
      </c>
      <c r="B691" t="s">
        <v>4656</v>
      </c>
      <c r="C691" t="s">
        <v>4657</v>
      </c>
      <c r="D691" t="s">
        <v>3332</v>
      </c>
      <c r="E691" t="s">
        <v>3582</v>
      </c>
    </row>
    <row r="692" spans="1:5" x14ac:dyDescent="0.25">
      <c r="A692" t="s">
        <v>3329</v>
      </c>
      <c r="B692" t="s">
        <v>4658</v>
      </c>
      <c r="C692" t="s">
        <v>4659</v>
      </c>
      <c r="D692" t="s">
        <v>3332</v>
      </c>
      <c r="E692" t="s">
        <v>3582</v>
      </c>
    </row>
    <row r="693" spans="1:5" x14ac:dyDescent="0.25">
      <c r="A693" t="s">
        <v>3329</v>
      </c>
      <c r="B693" t="s">
        <v>4660</v>
      </c>
      <c r="C693" t="s">
        <v>4661</v>
      </c>
      <c r="D693" t="s">
        <v>3332</v>
      </c>
      <c r="E693" t="s">
        <v>3582</v>
      </c>
    </row>
    <row r="694" spans="1:5" x14ac:dyDescent="0.25">
      <c r="A694" t="s">
        <v>3329</v>
      </c>
      <c r="B694" t="s">
        <v>4662</v>
      </c>
      <c r="C694" t="s">
        <v>4663</v>
      </c>
      <c r="D694" t="s">
        <v>3332</v>
      </c>
      <c r="E694" t="s">
        <v>3582</v>
      </c>
    </row>
    <row r="695" spans="1:5" x14ac:dyDescent="0.25">
      <c r="A695" t="s">
        <v>3329</v>
      </c>
      <c r="B695" t="s">
        <v>4664</v>
      </c>
      <c r="C695" t="s">
        <v>4665</v>
      </c>
      <c r="D695" t="s">
        <v>3332</v>
      </c>
      <c r="E695" t="s">
        <v>3582</v>
      </c>
    </row>
    <row r="696" spans="1:5" x14ac:dyDescent="0.25">
      <c r="A696" t="s">
        <v>3329</v>
      </c>
      <c r="B696" t="str">
        <f>"8445648118878"</f>
        <v>8445648118878</v>
      </c>
      <c r="C696" t="s">
        <v>4666</v>
      </c>
      <c r="D696" t="s">
        <v>3332</v>
      </c>
      <c r="E696" t="s">
        <v>3582</v>
      </c>
    </row>
    <row r="697" spans="1:5" x14ac:dyDescent="0.25">
      <c r="A697" t="s">
        <v>3329</v>
      </c>
      <c r="B697" t="str">
        <f>"8445648118861"</f>
        <v>8445648118861</v>
      </c>
      <c r="C697" t="s">
        <v>4667</v>
      </c>
      <c r="D697" t="s">
        <v>3332</v>
      </c>
      <c r="E697" t="s">
        <v>3582</v>
      </c>
    </row>
    <row r="698" spans="1:5" x14ac:dyDescent="0.25">
      <c r="A698" t="s">
        <v>3329</v>
      </c>
      <c r="B698" t="str">
        <f>"8445648118854"</f>
        <v>8445648118854</v>
      </c>
      <c r="C698" t="s">
        <v>4668</v>
      </c>
      <c r="D698" t="s">
        <v>3332</v>
      </c>
      <c r="E698" t="s">
        <v>3582</v>
      </c>
    </row>
    <row r="699" spans="1:5" x14ac:dyDescent="0.25">
      <c r="A699" t="s">
        <v>3329</v>
      </c>
      <c r="B699" t="str">
        <f>"8445648118847"</f>
        <v>8445648118847</v>
      </c>
      <c r="C699" t="s">
        <v>4669</v>
      </c>
      <c r="D699" t="s">
        <v>3332</v>
      </c>
      <c r="E699" t="s">
        <v>3582</v>
      </c>
    </row>
    <row r="700" spans="1:5" x14ac:dyDescent="0.25">
      <c r="A700" t="s">
        <v>3329</v>
      </c>
      <c r="B700" t="str">
        <f>"8445456975915"</f>
        <v>8445456975915</v>
      </c>
      <c r="C700" t="s">
        <v>4670</v>
      </c>
      <c r="D700" t="s">
        <v>3332</v>
      </c>
      <c r="E700" t="s">
        <v>3582</v>
      </c>
    </row>
    <row r="701" spans="1:5" x14ac:dyDescent="0.25">
      <c r="A701" t="s">
        <v>3329</v>
      </c>
      <c r="B701" t="str">
        <f>"8445456975908"</f>
        <v>8445456975908</v>
      </c>
      <c r="C701" t="s">
        <v>4671</v>
      </c>
      <c r="D701" t="s">
        <v>3332</v>
      </c>
      <c r="E701" t="s">
        <v>3582</v>
      </c>
    </row>
    <row r="702" spans="1:5" x14ac:dyDescent="0.25">
      <c r="A702" t="s">
        <v>3329</v>
      </c>
      <c r="B702" t="str">
        <f>"8445456975892"</f>
        <v>8445456975892</v>
      </c>
      <c r="C702" t="s">
        <v>4672</v>
      </c>
      <c r="D702" t="s">
        <v>3332</v>
      </c>
      <c r="E702" t="s">
        <v>3582</v>
      </c>
    </row>
    <row r="703" spans="1:5" x14ac:dyDescent="0.25">
      <c r="A703" t="s">
        <v>3329</v>
      </c>
      <c r="B703" t="str">
        <f>"8445456975885"</f>
        <v>8445456975885</v>
      </c>
      <c r="C703" t="s">
        <v>4673</v>
      </c>
      <c r="D703" t="s">
        <v>3332</v>
      </c>
      <c r="E703" t="s">
        <v>3582</v>
      </c>
    </row>
    <row r="704" spans="1:5" x14ac:dyDescent="0.25">
      <c r="A704" t="s">
        <v>3329</v>
      </c>
      <c r="B704" t="str">
        <f>"8445456975878"</f>
        <v>8445456975878</v>
      </c>
      <c r="C704" t="s">
        <v>4674</v>
      </c>
      <c r="D704" t="s">
        <v>3332</v>
      </c>
      <c r="E704" t="s">
        <v>3582</v>
      </c>
    </row>
    <row r="705" spans="1:5" x14ac:dyDescent="0.25">
      <c r="A705" t="s">
        <v>3329</v>
      </c>
      <c r="B705" t="str">
        <f>"8445456975861"</f>
        <v>8445456975861</v>
      </c>
      <c r="C705" t="s">
        <v>4675</v>
      </c>
      <c r="D705" t="s">
        <v>3332</v>
      </c>
      <c r="E705" t="s">
        <v>3582</v>
      </c>
    </row>
    <row r="706" spans="1:5" x14ac:dyDescent="0.25">
      <c r="A706" t="s">
        <v>3329</v>
      </c>
      <c r="B706" t="str">
        <f>"8445456975854"</f>
        <v>8445456975854</v>
      </c>
      <c r="C706" t="s">
        <v>4676</v>
      </c>
      <c r="D706" t="s">
        <v>3332</v>
      </c>
      <c r="E706" t="s">
        <v>3582</v>
      </c>
    </row>
    <row r="707" spans="1:5" x14ac:dyDescent="0.25">
      <c r="A707" t="s">
        <v>3329</v>
      </c>
      <c r="B707" t="str">
        <f>"8445456975847"</f>
        <v>8445456975847</v>
      </c>
      <c r="C707" t="s">
        <v>4677</v>
      </c>
      <c r="D707" t="s">
        <v>3332</v>
      </c>
      <c r="E707" t="s">
        <v>3582</v>
      </c>
    </row>
    <row r="708" spans="1:5" x14ac:dyDescent="0.25">
      <c r="A708" t="s">
        <v>3329</v>
      </c>
      <c r="B708" t="str">
        <f>"8445456975571"</f>
        <v>8445456975571</v>
      </c>
      <c r="C708" t="s">
        <v>4678</v>
      </c>
      <c r="D708" t="s">
        <v>3332</v>
      </c>
      <c r="E708" t="s">
        <v>3582</v>
      </c>
    </row>
    <row r="709" spans="1:5" x14ac:dyDescent="0.25">
      <c r="A709" t="s">
        <v>3329</v>
      </c>
      <c r="B709" t="str">
        <f>"8445456975557"</f>
        <v>8445456975557</v>
      </c>
      <c r="C709" t="s">
        <v>4679</v>
      </c>
      <c r="D709" t="s">
        <v>3332</v>
      </c>
      <c r="E709" t="s">
        <v>3582</v>
      </c>
    </row>
    <row r="710" spans="1:5" x14ac:dyDescent="0.25">
      <c r="A710" t="s">
        <v>3329</v>
      </c>
      <c r="B710" t="str">
        <f>"8445456975533"</f>
        <v>8445456975533</v>
      </c>
      <c r="C710" t="s">
        <v>4680</v>
      </c>
      <c r="D710" t="s">
        <v>3332</v>
      </c>
      <c r="E710" t="s">
        <v>3582</v>
      </c>
    </row>
    <row r="711" spans="1:5" x14ac:dyDescent="0.25">
      <c r="A711" t="s">
        <v>3329</v>
      </c>
      <c r="B711" t="str">
        <f>"8445456975519"</f>
        <v>8445456975519</v>
      </c>
      <c r="C711" t="s">
        <v>4681</v>
      </c>
      <c r="D711" t="s">
        <v>3332</v>
      </c>
      <c r="E711" t="s">
        <v>3582</v>
      </c>
    </row>
    <row r="712" spans="1:5" x14ac:dyDescent="0.25">
      <c r="A712" t="s">
        <v>3329</v>
      </c>
      <c r="B712" t="s">
        <v>4682</v>
      </c>
      <c r="C712" t="s">
        <v>4683</v>
      </c>
      <c r="D712" t="s">
        <v>3332</v>
      </c>
      <c r="E712" t="s">
        <v>3582</v>
      </c>
    </row>
    <row r="713" spans="1:5" x14ac:dyDescent="0.25">
      <c r="A713" t="s">
        <v>3329</v>
      </c>
      <c r="B713" t="s">
        <v>4684</v>
      </c>
      <c r="C713" t="s">
        <v>4685</v>
      </c>
      <c r="D713" t="s">
        <v>3332</v>
      </c>
      <c r="E713" t="s">
        <v>3582</v>
      </c>
    </row>
    <row r="714" spans="1:5" x14ac:dyDescent="0.25">
      <c r="A714" t="s">
        <v>3329</v>
      </c>
      <c r="B714" t="s">
        <v>4686</v>
      </c>
      <c r="C714" t="s">
        <v>4687</v>
      </c>
      <c r="D714" t="s">
        <v>3332</v>
      </c>
      <c r="E714" t="s">
        <v>3582</v>
      </c>
    </row>
    <row r="715" spans="1:5" x14ac:dyDescent="0.25">
      <c r="A715" t="s">
        <v>3329</v>
      </c>
      <c r="B715" t="s">
        <v>4688</v>
      </c>
      <c r="C715" t="s">
        <v>4689</v>
      </c>
      <c r="D715" t="s">
        <v>3332</v>
      </c>
      <c r="E715" t="s">
        <v>3582</v>
      </c>
    </row>
    <row r="716" spans="1:5" x14ac:dyDescent="0.25">
      <c r="A716" t="s">
        <v>3329</v>
      </c>
      <c r="B716" t="s">
        <v>4690</v>
      </c>
      <c r="C716" t="s">
        <v>4691</v>
      </c>
      <c r="D716" t="s">
        <v>3332</v>
      </c>
      <c r="E716" t="s">
        <v>3582</v>
      </c>
    </row>
    <row r="717" spans="1:5" x14ac:dyDescent="0.25">
      <c r="A717" t="s">
        <v>3329</v>
      </c>
      <c r="B717" t="str">
        <f>"8445456973980"</f>
        <v>8445456973980</v>
      </c>
      <c r="C717" t="s">
        <v>4692</v>
      </c>
      <c r="D717" t="s">
        <v>3332</v>
      </c>
      <c r="E717" t="s">
        <v>3582</v>
      </c>
    </row>
    <row r="718" spans="1:5" x14ac:dyDescent="0.25">
      <c r="A718" t="s">
        <v>3329</v>
      </c>
      <c r="B718" t="s">
        <v>4693</v>
      </c>
      <c r="C718" t="s">
        <v>4694</v>
      </c>
      <c r="D718" t="s">
        <v>3332</v>
      </c>
      <c r="E718" t="s">
        <v>3582</v>
      </c>
    </row>
    <row r="719" spans="1:5" x14ac:dyDescent="0.25">
      <c r="A719" t="s">
        <v>3329</v>
      </c>
      <c r="B719" t="str">
        <f>"8445456973966"</f>
        <v>8445456973966</v>
      </c>
      <c r="C719" t="s">
        <v>4695</v>
      </c>
      <c r="D719" t="s">
        <v>3332</v>
      </c>
      <c r="E719" t="s">
        <v>3582</v>
      </c>
    </row>
    <row r="720" spans="1:5" x14ac:dyDescent="0.25">
      <c r="A720" t="s">
        <v>3329</v>
      </c>
      <c r="B720" t="s">
        <v>4696</v>
      </c>
      <c r="C720" t="s">
        <v>4697</v>
      </c>
      <c r="D720" t="s">
        <v>3332</v>
      </c>
      <c r="E720" t="s">
        <v>3582</v>
      </c>
    </row>
    <row r="721" spans="1:5" x14ac:dyDescent="0.25">
      <c r="A721" t="s">
        <v>3329</v>
      </c>
      <c r="B721" t="str">
        <f>"8445456973942"</f>
        <v>8445456973942</v>
      </c>
      <c r="C721" t="s">
        <v>4698</v>
      </c>
      <c r="D721" t="s">
        <v>3332</v>
      </c>
      <c r="E721" t="s">
        <v>3582</v>
      </c>
    </row>
    <row r="722" spans="1:5" x14ac:dyDescent="0.25">
      <c r="A722" t="s">
        <v>3329</v>
      </c>
      <c r="B722" t="s">
        <v>4699</v>
      </c>
      <c r="C722" t="s">
        <v>4700</v>
      </c>
      <c r="D722" t="s">
        <v>3332</v>
      </c>
      <c r="E722" t="s">
        <v>3582</v>
      </c>
    </row>
    <row r="723" spans="1:5" x14ac:dyDescent="0.25">
      <c r="A723" t="s">
        <v>3329</v>
      </c>
      <c r="B723" t="str">
        <f>"8445456973928"</f>
        <v>8445456973928</v>
      </c>
      <c r="C723" t="s">
        <v>4701</v>
      </c>
      <c r="D723" t="s">
        <v>3332</v>
      </c>
      <c r="E723" t="s">
        <v>3582</v>
      </c>
    </row>
    <row r="724" spans="1:5" x14ac:dyDescent="0.25">
      <c r="A724" t="s">
        <v>3329</v>
      </c>
      <c r="B724" t="str">
        <f>"8445456973911"</f>
        <v>8445456973911</v>
      </c>
      <c r="C724" t="s">
        <v>4702</v>
      </c>
      <c r="D724" t="s">
        <v>3332</v>
      </c>
      <c r="E724" t="s">
        <v>3582</v>
      </c>
    </row>
    <row r="725" spans="1:5" x14ac:dyDescent="0.25">
      <c r="A725" t="s">
        <v>3329</v>
      </c>
      <c r="B725" t="str">
        <f>"8445456690757"</f>
        <v>8445456690757</v>
      </c>
      <c r="C725" t="s">
        <v>4703</v>
      </c>
      <c r="D725" t="s">
        <v>3332</v>
      </c>
      <c r="E725" t="s">
        <v>3582</v>
      </c>
    </row>
    <row r="726" spans="1:5" x14ac:dyDescent="0.25">
      <c r="A726" t="s">
        <v>3329</v>
      </c>
      <c r="B726" t="str">
        <f>"8445090124816"</f>
        <v>8445090124816</v>
      </c>
      <c r="C726" t="s">
        <v>4704</v>
      </c>
      <c r="D726" t="s">
        <v>3332</v>
      </c>
      <c r="E726" t="s">
        <v>3333</v>
      </c>
    </row>
    <row r="727" spans="1:5" x14ac:dyDescent="0.25">
      <c r="A727" t="s">
        <v>3329</v>
      </c>
      <c r="B727" t="str">
        <f>"8445090124793"</f>
        <v>8445090124793</v>
      </c>
      <c r="C727" t="s">
        <v>4705</v>
      </c>
      <c r="D727" t="s">
        <v>3332</v>
      </c>
      <c r="E727" t="s">
        <v>3333</v>
      </c>
    </row>
    <row r="728" spans="1:5" x14ac:dyDescent="0.25">
      <c r="A728" t="s">
        <v>3329</v>
      </c>
      <c r="B728" t="str">
        <f>"8445090124779"</f>
        <v>8445090124779</v>
      </c>
      <c r="C728" t="s">
        <v>4706</v>
      </c>
      <c r="D728" t="s">
        <v>3332</v>
      </c>
      <c r="E728" t="s">
        <v>3333</v>
      </c>
    </row>
    <row r="729" spans="1:5" x14ac:dyDescent="0.25">
      <c r="A729" t="s">
        <v>3329</v>
      </c>
      <c r="B729" t="str">
        <f>"8445090124762"</f>
        <v>8445090124762</v>
      </c>
      <c r="C729" t="s">
        <v>4707</v>
      </c>
      <c r="D729" t="s">
        <v>3332</v>
      </c>
      <c r="E729" t="s">
        <v>3333</v>
      </c>
    </row>
    <row r="730" spans="1:5" x14ac:dyDescent="0.25">
      <c r="A730" t="s">
        <v>3329</v>
      </c>
      <c r="B730" t="str">
        <f>"8445090124755"</f>
        <v>8445090124755</v>
      </c>
      <c r="C730" t="s">
        <v>4708</v>
      </c>
      <c r="D730" t="s">
        <v>3332</v>
      </c>
      <c r="E730" t="s">
        <v>3333</v>
      </c>
    </row>
    <row r="731" spans="1:5" x14ac:dyDescent="0.25">
      <c r="A731" t="s">
        <v>3329</v>
      </c>
      <c r="B731" t="str">
        <f>"8445090120252"</f>
        <v>8445090120252</v>
      </c>
      <c r="C731" t="s">
        <v>4709</v>
      </c>
      <c r="D731" t="s">
        <v>3332</v>
      </c>
      <c r="E731" t="s">
        <v>3344</v>
      </c>
    </row>
    <row r="732" spans="1:5" x14ac:dyDescent="0.25">
      <c r="A732" t="s">
        <v>3329</v>
      </c>
      <c r="B732" t="str">
        <f>"8445090112707"</f>
        <v>8445090112707</v>
      </c>
      <c r="C732" t="s">
        <v>4710</v>
      </c>
      <c r="D732" t="s">
        <v>3332</v>
      </c>
      <c r="E732" t="s">
        <v>3339</v>
      </c>
    </row>
    <row r="733" spans="1:5" x14ac:dyDescent="0.25">
      <c r="A733" t="s">
        <v>3329</v>
      </c>
      <c r="B733" t="str">
        <f>"8445090112677"</f>
        <v>8445090112677</v>
      </c>
      <c r="C733" t="s">
        <v>4711</v>
      </c>
      <c r="D733" t="s">
        <v>3332</v>
      </c>
      <c r="E733" t="s">
        <v>3339</v>
      </c>
    </row>
    <row r="734" spans="1:5" x14ac:dyDescent="0.25">
      <c r="A734" t="s">
        <v>3329</v>
      </c>
      <c r="B734" t="str">
        <f>"8445090111311"</f>
        <v>8445090111311</v>
      </c>
      <c r="C734" t="s">
        <v>4712</v>
      </c>
      <c r="D734" t="s">
        <v>3332</v>
      </c>
      <c r="E734" t="s">
        <v>3333</v>
      </c>
    </row>
    <row r="735" spans="1:5" x14ac:dyDescent="0.25">
      <c r="A735" t="s">
        <v>3329</v>
      </c>
      <c r="B735" t="str">
        <f>"8445090111052"</f>
        <v>8445090111052</v>
      </c>
      <c r="C735" t="s">
        <v>4713</v>
      </c>
      <c r="D735" t="s">
        <v>3332</v>
      </c>
      <c r="E735" t="s">
        <v>3344</v>
      </c>
    </row>
    <row r="736" spans="1:5" x14ac:dyDescent="0.25">
      <c r="A736" t="s">
        <v>3329</v>
      </c>
      <c r="B736" t="str">
        <f>"8445090110208"</f>
        <v>8445090110208</v>
      </c>
      <c r="C736" t="s">
        <v>4714</v>
      </c>
      <c r="D736" t="s">
        <v>3332</v>
      </c>
      <c r="E736" t="s">
        <v>3333</v>
      </c>
    </row>
    <row r="737" spans="1:5" x14ac:dyDescent="0.25">
      <c r="A737" t="s">
        <v>3329</v>
      </c>
      <c r="B737" t="str">
        <f>"8445090051730"</f>
        <v>8445090051730</v>
      </c>
      <c r="C737" t="s">
        <v>4715</v>
      </c>
      <c r="D737" t="s">
        <v>3332</v>
      </c>
      <c r="E737" t="s">
        <v>3333</v>
      </c>
    </row>
    <row r="738" spans="1:5" x14ac:dyDescent="0.25">
      <c r="A738" t="s">
        <v>3329</v>
      </c>
      <c r="B738" t="s">
        <v>4716</v>
      </c>
      <c r="C738" t="s">
        <v>4717</v>
      </c>
      <c r="D738" t="s">
        <v>3332</v>
      </c>
      <c r="E738" t="s">
        <v>3333</v>
      </c>
    </row>
    <row r="739" spans="1:5" x14ac:dyDescent="0.25">
      <c r="A739" t="s">
        <v>3329</v>
      </c>
      <c r="B739" t="str">
        <f>"8445090046903"</f>
        <v>8445090046903</v>
      </c>
      <c r="C739" t="s">
        <v>4718</v>
      </c>
      <c r="D739" t="s">
        <v>3332</v>
      </c>
      <c r="E739" t="s">
        <v>3333</v>
      </c>
    </row>
    <row r="740" spans="1:5" x14ac:dyDescent="0.25">
      <c r="A740" t="s">
        <v>3329</v>
      </c>
      <c r="B740" t="str">
        <f>"8445090046866"</f>
        <v>8445090046866</v>
      </c>
      <c r="C740" t="s">
        <v>4719</v>
      </c>
      <c r="D740" t="s">
        <v>3332</v>
      </c>
      <c r="E740" t="s">
        <v>3333</v>
      </c>
    </row>
    <row r="741" spans="1:5" x14ac:dyDescent="0.25">
      <c r="A741" t="s">
        <v>3329</v>
      </c>
      <c r="B741" t="s">
        <v>4720</v>
      </c>
      <c r="C741" t="s">
        <v>4721</v>
      </c>
      <c r="D741" t="s">
        <v>3332</v>
      </c>
      <c r="E741" t="s">
        <v>3333</v>
      </c>
    </row>
    <row r="742" spans="1:5" x14ac:dyDescent="0.25">
      <c r="A742" t="s">
        <v>3329</v>
      </c>
      <c r="B742" t="str">
        <f>"8445090019051"</f>
        <v>8445090019051</v>
      </c>
      <c r="C742" t="s">
        <v>4722</v>
      </c>
      <c r="D742" t="s">
        <v>3332</v>
      </c>
      <c r="E742" t="s">
        <v>3344</v>
      </c>
    </row>
    <row r="743" spans="1:5" x14ac:dyDescent="0.25">
      <c r="A743" t="s">
        <v>3329</v>
      </c>
      <c r="B743" t="str">
        <f>"844090124809"</f>
        <v>844090124809</v>
      </c>
      <c r="C743" t="s">
        <v>4723</v>
      </c>
      <c r="D743" t="s">
        <v>3332</v>
      </c>
      <c r="E743" t="s">
        <v>3333</v>
      </c>
    </row>
    <row r="744" spans="1:5" x14ac:dyDescent="0.25">
      <c r="A744" t="s">
        <v>3329</v>
      </c>
      <c r="B744" t="str">
        <f>"8437024363989"</f>
        <v>8437024363989</v>
      </c>
      <c r="C744" t="s">
        <v>4724</v>
      </c>
      <c r="D744" t="s">
        <v>3332</v>
      </c>
      <c r="E744" t="s">
        <v>3339</v>
      </c>
    </row>
    <row r="745" spans="1:5" x14ac:dyDescent="0.25">
      <c r="A745" t="s">
        <v>3329</v>
      </c>
      <c r="B745" t="s">
        <v>4725</v>
      </c>
      <c r="C745" t="s">
        <v>4726</v>
      </c>
      <c r="D745" t="s">
        <v>3332</v>
      </c>
      <c r="E745" t="s">
        <v>3344</v>
      </c>
    </row>
    <row r="746" spans="1:5" x14ac:dyDescent="0.25">
      <c r="A746" t="s">
        <v>3329</v>
      </c>
      <c r="B746" t="s">
        <v>4727</v>
      </c>
      <c r="C746" t="s">
        <v>4728</v>
      </c>
      <c r="D746" t="s">
        <v>3332</v>
      </c>
      <c r="E746" t="s">
        <v>3333</v>
      </c>
    </row>
    <row r="747" spans="1:5" x14ac:dyDescent="0.25">
      <c r="A747" t="s">
        <v>3329</v>
      </c>
      <c r="B747" t="s">
        <v>4729</v>
      </c>
      <c r="C747" t="s">
        <v>4730</v>
      </c>
      <c r="D747" t="s">
        <v>3332</v>
      </c>
      <c r="E747" t="s">
        <v>3339</v>
      </c>
    </row>
    <row r="748" spans="1:5" x14ac:dyDescent="0.25">
      <c r="A748" t="s">
        <v>3329</v>
      </c>
      <c r="B748" t="str">
        <f>"8436625201157"</f>
        <v>8436625201157</v>
      </c>
      <c r="C748" t="s">
        <v>4731</v>
      </c>
      <c r="D748" t="s">
        <v>3332</v>
      </c>
      <c r="E748" t="s">
        <v>3344</v>
      </c>
    </row>
    <row r="749" spans="1:5" x14ac:dyDescent="0.25">
      <c r="A749" t="s">
        <v>3329</v>
      </c>
      <c r="B749" t="str">
        <f>"8436625200570"</f>
        <v>8436625200570</v>
      </c>
      <c r="C749" t="s">
        <v>4732</v>
      </c>
      <c r="D749" t="s">
        <v>3332</v>
      </c>
      <c r="E749" t="s">
        <v>3339</v>
      </c>
    </row>
    <row r="750" spans="1:5" x14ac:dyDescent="0.25">
      <c r="A750" t="s">
        <v>3329</v>
      </c>
      <c r="B750" t="str">
        <f>"8436625200563"</f>
        <v>8436625200563</v>
      </c>
      <c r="C750" t="s">
        <v>4733</v>
      </c>
      <c r="D750" t="s">
        <v>3332</v>
      </c>
      <c r="E750" t="s">
        <v>3339</v>
      </c>
    </row>
    <row r="751" spans="1:5" x14ac:dyDescent="0.25">
      <c r="A751" t="s">
        <v>3329</v>
      </c>
      <c r="B751" t="str">
        <f>"8436625200525"</f>
        <v>8436625200525</v>
      </c>
      <c r="C751" t="s">
        <v>4734</v>
      </c>
      <c r="D751" t="s">
        <v>3332</v>
      </c>
      <c r="E751" t="s">
        <v>3339</v>
      </c>
    </row>
    <row r="752" spans="1:5" x14ac:dyDescent="0.25">
      <c r="A752" t="s">
        <v>3329</v>
      </c>
      <c r="B752" t="str">
        <f>"8436625200518"</f>
        <v>8436625200518</v>
      </c>
      <c r="C752" t="s">
        <v>4735</v>
      </c>
      <c r="D752" t="s">
        <v>3332</v>
      </c>
      <c r="E752" t="s">
        <v>3339</v>
      </c>
    </row>
    <row r="753" spans="1:5" x14ac:dyDescent="0.25">
      <c r="A753" t="s">
        <v>3329</v>
      </c>
      <c r="B753" t="str">
        <f>"8436625200426"</f>
        <v>8436625200426</v>
      </c>
      <c r="C753" t="s">
        <v>4736</v>
      </c>
      <c r="D753" t="s">
        <v>3332</v>
      </c>
      <c r="E753" t="s">
        <v>3339</v>
      </c>
    </row>
    <row r="754" spans="1:5" x14ac:dyDescent="0.25">
      <c r="A754" t="s">
        <v>3329</v>
      </c>
      <c r="B754" t="str">
        <f>"8436612941066"</f>
        <v>8436612941066</v>
      </c>
      <c r="C754" t="s">
        <v>4737</v>
      </c>
      <c r="D754" t="s">
        <v>3332</v>
      </c>
      <c r="E754" t="s">
        <v>3339</v>
      </c>
    </row>
    <row r="755" spans="1:5" x14ac:dyDescent="0.25">
      <c r="A755" t="s">
        <v>3329</v>
      </c>
      <c r="B755" t="str">
        <f>"8436612941059"</f>
        <v>8436612941059</v>
      </c>
      <c r="C755" t="s">
        <v>4738</v>
      </c>
      <c r="D755" t="s">
        <v>3332</v>
      </c>
      <c r="E755" t="s">
        <v>3339</v>
      </c>
    </row>
    <row r="756" spans="1:5" x14ac:dyDescent="0.25">
      <c r="A756" t="s">
        <v>3329</v>
      </c>
      <c r="B756" t="str">
        <f>"8436612941042"</f>
        <v>8436612941042</v>
      </c>
      <c r="C756" t="s">
        <v>4739</v>
      </c>
      <c r="D756" t="s">
        <v>3332</v>
      </c>
      <c r="E756" t="s">
        <v>3339</v>
      </c>
    </row>
    <row r="757" spans="1:5" x14ac:dyDescent="0.25">
      <c r="A757" t="s">
        <v>3329</v>
      </c>
      <c r="B757" t="str">
        <f>"8436612940694"</f>
        <v>8436612940694</v>
      </c>
      <c r="C757" t="s">
        <v>4740</v>
      </c>
      <c r="D757" t="s">
        <v>3332</v>
      </c>
      <c r="E757" t="s">
        <v>3339</v>
      </c>
    </row>
    <row r="758" spans="1:5" x14ac:dyDescent="0.25">
      <c r="A758" t="s">
        <v>3329</v>
      </c>
      <c r="B758" t="str">
        <f>"8436612940663"</f>
        <v>8436612940663</v>
      </c>
      <c r="C758" t="s">
        <v>4741</v>
      </c>
      <c r="D758" t="s">
        <v>3332</v>
      </c>
      <c r="E758" t="s">
        <v>3339</v>
      </c>
    </row>
    <row r="759" spans="1:5" x14ac:dyDescent="0.25">
      <c r="A759" t="s">
        <v>3329</v>
      </c>
      <c r="B759" t="str">
        <f>"8436612940625"</f>
        <v>8436612940625</v>
      </c>
      <c r="C759" t="s">
        <v>4742</v>
      </c>
      <c r="D759" t="s">
        <v>3332</v>
      </c>
      <c r="E759" t="s">
        <v>3339</v>
      </c>
    </row>
    <row r="760" spans="1:5" x14ac:dyDescent="0.25">
      <c r="A760" t="s">
        <v>3329</v>
      </c>
      <c r="B760" t="str">
        <f>"8436612940595"</f>
        <v>8436612940595</v>
      </c>
      <c r="C760" t="s">
        <v>4743</v>
      </c>
      <c r="D760" t="s">
        <v>3332</v>
      </c>
      <c r="E760" t="s">
        <v>3339</v>
      </c>
    </row>
    <row r="761" spans="1:5" x14ac:dyDescent="0.25">
      <c r="A761" t="s">
        <v>3329</v>
      </c>
      <c r="B761" t="str">
        <f>"8436612940588"</f>
        <v>8436612940588</v>
      </c>
      <c r="C761" t="s">
        <v>4744</v>
      </c>
      <c r="D761" t="s">
        <v>3332</v>
      </c>
      <c r="E761" t="s">
        <v>3339</v>
      </c>
    </row>
    <row r="762" spans="1:5" x14ac:dyDescent="0.25">
      <c r="A762" t="s">
        <v>3329</v>
      </c>
      <c r="B762" t="str">
        <f>"8436612940564"</f>
        <v>8436612940564</v>
      </c>
      <c r="C762" t="s">
        <v>4745</v>
      </c>
      <c r="D762" t="s">
        <v>3332</v>
      </c>
      <c r="E762" t="s">
        <v>3339</v>
      </c>
    </row>
    <row r="763" spans="1:5" x14ac:dyDescent="0.25">
      <c r="A763" t="s">
        <v>3329</v>
      </c>
      <c r="B763" t="str">
        <f>"8436612940342"</f>
        <v>8436612940342</v>
      </c>
      <c r="C763" t="s">
        <v>4746</v>
      </c>
      <c r="D763" t="s">
        <v>3332</v>
      </c>
      <c r="E763" t="s">
        <v>3344</v>
      </c>
    </row>
    <row r="764" spans="1:5" x14ac:dyDescent="0.25">
      <c r="A764" t="s">
        <v>3329</v>
      </c>
      <c r="B764" t="str">
        <f>"8436612940328"</f>
        <v>8436612940328</v>
      </c>
      <c r="C764" t="s">
        <v>4747</v>
      </c>
      <c r="D764" t="s">
        <v>3332</v>
      </c>
      <c r="E764" t="s">
        <v>3339</v>
      </c>
    </row>
    <row r="765" spans="1:5" x14ac:dyDescent="0.25">
      <c r="A765" t="s">
        <v>3329</v>
      </c>
      <c r="B765" t="str">
        <f>"8436612940298"</f>
        <v>8436612940298</v>
      </c>
      <c r="C765" t="s">
        <v>4748</v>
      </c>
      <c r="D765" t="s">
        <v>3332</v>
      </c>
      <c r="E765" t="s">
        <v>3344</v>
      </c>
    </row>
    <row r="766" spans="1:5" x14ac:dyDescent="0.25">
      <c r="A766" t="s">
        <v>3329</v>
      </c>
      <c r="B766" t="str">
        <f>"8436612940083"</f>
        <v>8436612940083</v>
      </c>
      <c r="C766" t="s">
        <v>4749</v>
      </c>
      <c r="D766" t="s">
        <v>3332</v>
      </c>
      <c r="E766" t="s">
        <v>3339</v>
      </c>
    </row>
    <row r="767" spans="1:5" x14ac:dyDescent="0.25">
      <c r="A767" t="s">
        <v>3329</v>
      </c>
      <c r="B767" t="str">
        <f>"8436612940069"</f>
        <v>8436612940069</v>
      </c>
      <c r="C767" t="s">
        <v>4750</v>
      </c>
      <c r="D767" t="s">
        <v>3332</v>
      </c>
      <c r="E767" t="s">
        <v>3339</v>
      </c>
    </row>
    <row r="768" spans="1:5" x14ac:dyDescent="0.25">
      <c r="A768" t="s">
        <v>3329</v>
      </c>
      <c r="B768" t="str">
        <f>"8436612940021"</f>
        <v>8436612940021</v>
      </c>
      <c r="C768" t="s">
        <v>4751</v>
      </c>
      <c r="D768" t="s">
        <v>3332</v>
      </c>
      <c r="E768" t="s">
        <v>3339</v>
      </c>
    </row>
    <row r="769" spans="1:5" x14ac:dyDescent="0.25">
      <c r="A769" t="s">
        <v>3329</v>
      </c>
      <c r="B769" t="str">
        <f>"8436612940007"</f>
        <v>8436612940007</v>
      </c>
      <c r="C769" t="s">
        <v>4752</v>
      </c>
      <c r="D769" t="s">
        <v>3332</v>
      </c>
      <c r="E769" t="s">
        <v>3339</v>
      </c>
    </row>
    <row r="770" spans="1:5" x14ac:dyDescent="0.25">
      <c r="A770" t="s">
        <v>3329</v>
      </c>
      <c r="B770" t="str">
        <f>"8436603199995"</f>
        <v>8436603199995</v>
      </c>
      <c r="C770" t="s">
        <v>4753</v>
      </c>
      <c r="D770" t="s">
        <v>3332</v>
      </c>
      <c r="E770" t="s">
        <v>3339</v>
      </c>
    </row>
    <row r="771" spans="1:5" x14ac:dyDescent="0.25">
      <c r="A771" t="s">
        <v>3329</v>
      </c>
      <c r="B771" t="str">
        <f>"8436603199988"</f>
        <v>8436603199988</v>
      </c>
      <c r="C771" t="s">
        <v>4754</v>
      </c>
      <c r="D771" t="s">
        <v>3332</v>
      </c>
      <c r="E771" t="s">
        <v>3339</v>
      </c>
    </row>
    <row r="772" spans="1:5" x14ac:dyDescent="0.25">
      <c r="A772" t="s">
        <v>3329</v>
      </c>
      <c r="B772" t="str">
        <f>"8436603199964"</f>
        <v>8436603199964</v>
      </c>
      <c r="C772" t="s">
        <v>4755</v>
      </c>
      <c r="D772" t="s">
        <v>3332</v>
      </c>
      <c r="E772" t="s">
        <v>3339</v>
      </c>
    </row>
    <row r="773" spans="1:5" x14ac:dyDescent="0.25">
      <c r="A773" t="s">
        <v>3329</v>
      </c>
      <c r="B773" t="str">
        <f>"8436603199957"</f>
        <v>8436603199957</v>
      </c>
      <c r="C773" t="s">
        <v>4756</v>
      </c>
      <c r="D773" t="s">
        <v>3332</v>
      </c>
      <c r="E773" t="s">
        <v>3339</v>
      </c>
    </row>
    <row r="774" spans="1:5" x14ac:dyDescent="0.25">
      <c r="A774" t="s">
        <v>3329</v>
      </c>
      <c r="B774" t="str">
        <f>"8436603199940"</f>
        <v>8436603199940</v>
      </c>
      <c r="C774" t="s">
        <v>4757</v>
      </c>
      <c r="D774" t="s">
        <v>3332</v>
      </c>
      <c r="E774" t="s">
        <v>3339</v>
      </c>
    </row>
    <row r="775" spans="1:5" x14ac:dyDescent="0.25">
      <c r="A775" t="s">
        <v>3329</v>
      </c>
      <c r="B775" t="str">
        <f>"8436603199933"</f>
        <v>8436603199933</v>
      </c>
      <c r="C775" t="s">
        <v>4758</v>
      </c>
      <c r="D775" t="s">
        <v>3332</v>
      </c>
      <c r="E775" t="s">
        <v>3339</v>
      </c>
    </row>
    <row r="776" spans="1:5" x14ac:dyDescent="0.25">
      <c r="A776" t="s">
        <v>3329</v>
      </c>
      <c r="B776" t="str">
        <f>"8436603199926"</f>
        <v>8436603199926</v>
      </c>
      <c r="C776" t="s">
        <v>4759</v>
      </c>
      <c r="D776" t="s">
        <v>3332</v>
      </c>
      <c r="E776" t="s">
        <v>3339</v>
      </c>
    </row>
    <row r="777" spans="1:5" x14ac:dyDescent="0.25">
      <c r="A777" t="s">
        <v>3329</v>
      </c>
      <c r="B777" t="str">
        <f>"8436603199919"</f>
        <v>8436603199919</v>
      </c>
      <c r="C777" t="s">
        <v>4760</v>
      </c>
      <c r="D777" t="s">
        <v>3332</v>
      </c>
      <c r="E777" t="s">
        <v>3339</v>
      </c>
    </row>
    <row r="778" spans="1:5" x14ac:dyDescent="0.25">
      <c r="A778" t="s">
        <v>3329</v>
      </c>
      <c r="B778" t="str">
        <f>"8436603199902"</f>
        <v>8436603199902</v>
      </c>
      <c r="C778" t="s">
        <v>4761</v>
      </c>
      <c r="D778" t="s">
        <v>3332</v>
      </c>
      <c r="E778" t="s">
        <v>3339</v>
      </c>
    </row>
    <row r="779" spans="1:5" x14ac:dyDescent="0.25">
      <c r="A779" t="s">
        <v>3329</v>
      </c>
      <c r="B779" t="str">
        <f>"8436603199483"</f>
        <v>8436603199483</v>
      </c>
      <c r="C779" t="s">
        <v>4762</v>
      </c>
      <c r="D779" t="s">
        <v>3332</v>
      </c>
      <c r="E779" t="s">
        <v>3336</v>
      </c>
    </row>
    <row r="780" spans="1:5" x14ac:dyDescent="0.25">
      <c r="A780" t="s">
        <v>3329</v>
      </c>
      <c r="B780" t="str">
        <f>"8436603199476"</f>
        <v>8436603199476</v>
      </c>
      <c r="C780" t="s">
        <v>4763</v>
      </c>
      <c r="D780" t="s">
        <v>3332</v>
      </c>
      <c r="E780" t="s">
        <v>3336</v>
      </c>
    </row>
    <row r="781" spans="1:5" x14ac:dyDescent="0.25">
      <c r="A781" t="s">
        <v>3329</v>
      </c>
      <c r="B781" t="str">
        <f>"8436603199469"</f>
        <v>8436603199469</v>
      </c>
      <c r="C781" t="s">
        <v>4764</v>
      </c>
      <c r="D781" t="s">
        <v>3332</v>
      </c>
      <c r="E781" t="s">
        <v>3336</v>
      </c>
    </row>
    <row r="782" spans="1:5" x14ac:dyDescent="0.25">
      <c r="A782" t="s">
        <v>3329</v>
      </c>
      <c r="B782" t="str">
        <f>"8436603199452"</f>
        <v>8436603199452</v>
      </c>
      <c r="C782" t="s">
        <v>4765</v>
      </c>
      <c r="D782" t="s">
        <v>3332</v>
      </c>
      <c r="E782" t="s">
        <v>3336</v>
      </c>
    </row>
    <row r="783" spans="1:5" x14ac:dyDescent="0.25">
      <c r="A783" t="s">
        <v>3329</v>
      </c>
      <c r="B783" t="str">
        <f>"8436603199360"</f>
        <v>8436603199360</v>
      </c>
      <c r="C783" t="s">
        <v>4766</v>
      </c>
      <c r="D783" t="s">
        <v>3332</v>
      </c>
      <c r="E783" t="s">
        <v>3336</v>
      </c>
    </row>
    <row r="784" spans="1:5" x14ac:dyDescent="0.25">
      <c r="A784" t="s">
        <v>3329</v>
      </c>
      <c r="B784" t="str">
        <f>"8436603199353"</f>
        <v>8436603199353</v>
      </c>
      <c r="C784" t="s">
        <v>4767</v>
      </c>
      <c r="D784" t="s">
        <v>3332</v>
      </c>
      <c r="E784" t="s">
        <v>3336</v>
      </c>
    </row>
    <row r="785" spans="1:5" x14ac:dyDescent="0.25">
      <c r="A785" t="s">
        <v>3329</v>
      </c>
      <c r="B785" t="str">
        <f>"8436603199346"</f>
        <v>8436603199346</v>
      </c>
      <c r="C785" t="s">
        <v>4768</v>
      </c>
      <c r="D785" t="s">
        <v>3332</v>
      </c>
      <c r="E785" t="s">
        <v>3336</v>
      </c>
    </row>
    <row r="786" spans="1:5" x14ac:dyDescent="0.25">
      <c r="A786" t="s">
        <v>3329</v>
      </c>
      <c r="B786" t="str">
        <f>"8436603199339"</f>
        <v>8436603199339</v>
      </c>
      <c r="C786" t="s">
        <v>4769</v>
      </c>
      <c r="D786" t="s">
        <v>3332</v>
      </c>
      <c r="E786" t="s">
        <v>3336</v>
      </c>
    </row>
    <row r="787" spans="1:5" x14ac:dyDescent="0.25">
      <c r="A787" t="s">
        <v>3329</v>
      </c>
      <c r="B787" t="str">
        <f>"8436603199315"</f>
        <v>8436603199315</v>
      </c>
      <c r="C787" t="s">
        <v>4770</v>
      </c>
      <c r="D787" t="s">
        <v>3332</v>
      </c>
      <c r="E787" t="s">
        <v>3336</v>
      </c>
    </row>
    <row r="788" spans="1:5" x14ac:dyDescent="0.25">
      <c r="A788" t="s">
        <v>3329</v>
      </c>
      <c r="B788" t="str">
        <f>"8436603199308"</f>
        <v>8436603199308</v>
      </c>
      <c r="C788" t="s">
        <v>4771</v>
      </c>
      <c r="D788" t="s">
        <v>3332</v>
      </c>
      <c r="E788" t="s">
        <v>3336</v>
      </c>
    </row>
    <row r="789" spans="1:5" x14ac:dyDescent="0.25">
      <c r="A789" t="s">
        <v>3329</v>
      </c>
      <c r="B789" t="str">
        <f>"8436603199292"</f>
        <v>8436603199292</v>
      </c>
      <c r="C789" t="s">
        <v>4772</v>
      </c>
      <c r="D789" t="s">
        <v>3332</v>
      </c>
      <c r="E789" t="s">
        <v>3336</v>
      </c>
    </row>
    <row r="790" spans="1:5" x14ac:dyDescent="0.25">
      <c r="A790" t="s">
        <v>3329</v>
      </c>
      <c r="B790" t="str">
        <f>"8436603199285"</f>
        <v>8436603199285</v>
      </c>
      <c r="C790" t="s">
        <v>4773</v>
      </c>
      <c r="D790" t="s">
        <v>3332</v>
      </c>
      <c r="E790" t="s">
        <v>3336</v>
      </c>
    </row>
    <row r="791" spans="1:5" x14ac:dyDescent="0.25">
      <c r="A791" t="s">
        <v>3329</v>
      </c>
      <c r="B791" t="str">
        <f>"8436603199209"</f>
        <v>8436603199209</v>
      </c>
      <c r="C791" t="s">
        <v>4774</v>
      </c>
      <c r="D791" t="s">
        <v>3332</v>
      </c>
      <c r="E791" t="s">
        <v>3582</v>
      </c>
    </row>
    <row r="792" spans="1:5" x14ac:dyDescent="0.25">
      <c r="A792" t="s">
        <v>3329</v>
      </c>
      <c r="B792" t="str">
        <f>"8436603199193"</f>
        <v>8436603199193</v>
      </c>
      <c r="C792" t="s">
        <v>4775</v>
      </c>
      <c r="D792" t="s">
        <v>3332</v>
      </c>
      <c r="E792" t="s">
        <v>3582</v>
      </c>
    </row>
    <row r="793" spans="1:5" x14ac:dyDescent="0.25">
      <c r="A793" t="s">
        <v>3329</v>
      </c>
      <c r="B793" t="str">
        <f>"8436603199186"</f>
        <v>8436603199186</v>
      </c>
      <c r="C793" t="s">
        <v>4776</v>
      </c>
      <c r="D793" t="s">
        <v>3332</v>
      </c>
      <c r="E793" t="s">
        <v>3582</v>
      </c>
    </row>
    <row r="794" spans="1:5" x14ac:dyDescent="0.25">
      <c r="A794" t="s">
        <v>3329</v>
      </c>
      <c r="B794" t="str">
        <f>"8436603199179"</f>
        <v>8436603199179</v>
      </c>
      <c r="C794" t="s">
        <v>4777</v>
      </c>
      <c r="D794" t="s">
        <v>3332</v>
      </c>
      <c r="E794" t="s">
        <v>3582</v>
      </c>
    </row>
    <row r="795" spans="1:5" x14ac:dyDescent="0.25">
      <c r="A795" t="s">
        <v>3329</v>
      </c>
      <c r="B795" t="str">
        <f>"8436603199131"</f>
        <v>8436603199131</v>
      </c>
      <c r="C795" t="s">
        <v>4778</v>
      </c>
      <c r="D795" t="s">
        <v>3332</v>
      </c>
      <c r="E795" t="s">
        <v>3582</v>
      </c>
    </row>
    <row r="796" spans="1:5" x14ac:dyDescent="0.25">
      <c r="A796" t="s">
        <v>3329</v>
      </c>
      <c r="B796" t="str">
        <f>"8436603199124"</f>
        <v>8436603199124</v>
      </c>
      <c r="C796" t="s">
        <v>4779</v>
      </c>
      <c r="D796" t="s">
        <v>3332</v>
      </c>
      <c r="E796" t="s">
        <v>3582</v>
      </c>
    </row>
    <row r="797" spans="1:5" x14ac:dyDescent="0.25">
      <c r="A797" t="s">
        <v>3329</v>
      </c>
      <c r="B797" t="str">
        <f>"8436603199117"</f>
        <v>8436603199117</v>
      </c>
      <c r="C797" t="s">
        <v>4780</v>
      </c>
      <c r="D797" t="s">
        <v>3332</v>
      </c>
      <c r="E797" t="s">
        <v>3582</v>
      </c>
    </row>
    <row r="798" spans="1:5" x14ac:dyDescent="0.25">
      <c r="A798" t="s">
        <v>3329</v>
      </c>
      <c r="B798" t="str">
        <f>"8436603199100"</f>
        <v>8436603199100</v>
      </c>
      <c r="C798" t="s">
        <v>4781</v>
      </c>
      <c r="D798" t="s">
        <v>3332</v>
      </c>
      <c r="E798" t="s">
        <v>3582</v>
      </c>
    </row>
    <row r="799" spans="1:5" x14ac:dyDescent="0.25">
      <c r="A799" t="s">
        <v>3329</v>
      </c>
      <c r="B799" t="str">
        <f>"8436603199094"</f>
        <v>8436603199094</v>
      </c>
      <c r="C799" t="s">
        <v>4782</v>
      </c>
      <c r="D799" t="s">
        <v>3332</v>
      </c>
      <c r="E799" t="s">
        <v>3582</v>
      </c>
    </row>
    <row r="800" spans="1:5" x14ac:dyDescent="0.25">
      <c r="A800" t="s">
        <v>3329</v>
      </c>
      <c r="B800" t="str">
        <f>"8436603199087"</f>
        <v>8436603199087</v>
      </c>
      <c r="C800" t="s">
        <v>4783</v>
      </c>
      <c r="D800" t="s">
        <v>3332</v>
      </c>
      <c r="E800" t="s">
        <v>3582</v>
      </c>
    </row>
    <row r="801" spans="1:5" x14ac:dyDescent="0.25">
      <c r="A801" t="s">
        <v>3329</v>
      </c>
      <c r="B801" t="str">
        <f>"8436603199032"</f>
        <v>8436603199032</v>
      </c>
      <c r="C801" t="s">
        <v>4784</v>
      </c>
      <c r="D801" t="s">
        <v>3332</v>
      </c>
      <c r="E801" t="s">
        <v>3582</v>
      </c>
    </row>
    <row r="802" spans="1:5" x14ac:dyDescent="0.25">
      <c r="A802" t="s">
        <v>3329</v>
      </c>
      <c r="B802" t="str">
        <f>"8436603199025"</f>
        <v>8436603199025</v>
      </c>
      <c r="C802" t="s">
        <v>4785</v>
      </c>
      <c r="D802" t="s">
        <v>3332</v>
      </c>
      <c r="E802" t="s">
        <v>3582</v>
      </c>
    </row>
    <row r="803" spans="1:5" x14ac:dyDescent="0.25">
      <c r="A803" t="s">
        <v>3329</v>
      </c>
      <c r="B803" t="str">
        <f>"8436603199018"</f>
        <v>8436603199018</v>
      </c>
      <c r="C803" t="s">
        <v>4786</v>
      </c>
      <c r="D803" t="s">
        <v>3332</v>
      </c>
      <c r="E803" t="s">
        <v>3582</v>
      </c>
    </row>
    <row r="804" spans="1:5" x14ac:dyDescent="0.25">
      <c r="A804" t="s">
        <v>3329</v>
      </c>
      <c r="B804" t="str">
        <f>"8436603198950"</f>
        <v>8436603198950</v>
      </c>
      <c r="C804" t="s">
        <v>4787</v>
      </c>
      <c r="D804" t="s">
        <v>3332</v>
      </c>
      <c r="E804" t="s">
        <v>3582</v>
      </c>
    </row>
    <row r="805" spans="1:5" x14ac:dyDescent="0.25">
      <c r="A805" t="s">
        <v>3329</v>
      </c>
      <c r="B805" t="str">
        <f>"8436603198912"</f>
        <v>8436603198912</v>
      </c>
      <c r="C805" t="s">
        <v>4788</v>
      </c>
      <c r="D805" t="s">
        <v>3332</v>
      </c>
      <c r="E805" t="s">
        <v>3582</v>
      </c>
    </row>
    <row r="806" spans="1:5" x14ac:dyDescent="0.25">
      <c r="A806" t="s">
        <v>3329</v>
      </c>
      <c r="B806" t="str">
        <f>"8436603198820"</f>
        <v>8436603198820</v>
      </c>
      <c r="C806" t="s">
        <v>4789</v>
      </c>
      <c r="D806" t="s">
        <v>3332</v>
      </c>
      <c r="E806" t="s">
        <v>3582</v>
      </c>
    </row>
    <row r="807" spans="1:5" x14ac:dyDescent="0.25">
      <c r="A807" t="s">
        <v>3329</v>
      </c>
      <c r="B807" t="str">
        <f>"8436603198813"</f>
        <v>8436603198813</v>
      </c>
      <c r="C807" t="s">
        <v>4790</v>
      </c>
      <c r="D807" t="s">
        <v>3332</v>
      </c>
      <c r="E807" t="s">
        <v>3582</v>
      </c>
    </row>
    <row r="808" spans="1:5" x14ac:dyDescent="0.25">
      <c r="A808" t="s">
        <v>3329</v>
      </c>
      <c r="B808" t="str">
        <f>"8436603198806"</f>
        <v>8436603198806</v>
      </c>
      <c r="C808" t="s">
        <v>4791</v>
      </c>
      <c r="D808" t="s">
        <v>3332</v>
      </c>
      <c r="E808" t="s">
        <v>3582</v>
      </c>
    </row>
    <row r="809" spans="1:5" x14ac:dyDescent="0.25">
      <c r="A809" t="s">
        <v>3329</v>
      </c>
      <c r="B809" t="str">
        <f>"8436603198790"</f>
        <v>8436603198790</v>
      </c>
      <c r="C809" t="s">
        <v>4792</v>
      </c>
      <c r="D809" t="s">
        <v>3332</v>
      </c>
      <c r="E809" t="s">
        <v>3582</v>
      </c>
    </row>
    <row r="810" spans="1:5" x14ac:dyDescent="0.25">
      <c r="A810" t="s">
        <v>3329</v>
      </c>
      <c r="B810" t="str">
        <f>"8436603198783"</f>
        <v>8436603198783</v>
      </c>
      <c r="C810" t="s">
        <v>4793</v>
      </c>
      <c r="D810" t="s">
        <v>3332</v>
      </c>
      <c r="E810" t="s">
        <v>3582</v>
      </c>
    </row>
    <row r="811" spans="1:5" x14ac:dyDescent="0.25">
      <c r="A811" t="s">
        <v>3329</v>
      </c>
      <c r="B811" t="str">
        <f>"8436603198547"</f>
        <v>8436603198547</v>
      </c>
      <c r="C811" t="s">
        <v>4794</v>
      </c>
      <c r="D811" t="s">
        <v>3332</v>
      </c>
      <c r="E811" t="s">
        <v>3582</v>
      </c>
    </row>
    <row r="812" spans="1:5" x14ac:dyDescent="0.25">
      <c r="A812" t="s">
        <v>3329</v>
      </c>
      <c r="B812" t="str">
        <f>"8436603198530"</f>
        <v>8436603198530</v>
      </c>
      <c r="C812" t="s">
        <v>4795</v>
      </c>
      <c r="D812" t="s">
        <v>3332</v>
      </c>
      <c r="E812" t="s">
        <v>3582</v>
      </c>
    </row>
    <row r="813" spans="1:5" x14ac:dyDescent="0.25">
      <c r="A813" t="s">
        <v>3329</v>
      </c>
      <c r="B813" t="str">
        <f>"8436603198523"</f>
        <v>8436603198523</v>
      </c>
      <c r="C813" t="s">
        <v>4796</v>
      </c>
      <c r="D813" t="s">
        <v>3332</v>
      </c>
      <c r="E813" t="s">
        <v>3582</v>
      </c>
    </row>
    <row r="814" spans="1:5" x14ac:dyDescent="0.25">
      <c r="A814" t="s">
        <v>3329</v>
      </c>
      <c r="B814" t="str">
        <f>"8436603198516"</f>
        <v>8436603198516</v>
      </c>
      <c r="C814" t="s">
        <v>4797</v>
      </c>
      <c r="D814" t="s">
        <v>3332</v>
      </c>
      <c r="E814" t="s">
        <v>3582</v>
      </c>
    </row>
    <row r="815" spans="1:5" x14ac:dyDescent="0.25">
      <c r="A815" t="s">
        <v>3329</v>
      </c>
      <c r="B815" t="str">
        <f>"8436603198509"</f>
        <v>8436603198509</v>
      </c>
      <c r="C815" t="s">
        <v>4798</v>
      </c>
      <c r="D815" t="s">
        <v>3332</v>
      </c>
      <c r="E815" t="s">
        <v>3582</v>
      </c>
    </row>
    <row r="816" spans="1:5" x14ac:dyDescent="0.25">
      <c r="A816" t="s">
        <v>3329</v>
      </c>
      <c r="B816" t="str">
        <f>"8436603198493"</f>
        <v>8436603198493</v>
      </c>
      <c r="C816" t="s">
        <v>4799</v>
      </c>
      <c r="D816" t="s">
        <v>3332</v>
      </c>
      <c r="E816" t="s">
        <v>3582</v>
      </c>
    </row>
    <row r="817" spans="1:5" x14ac:dyDescent="0.25">
      <c r="A817" t="s">
        <v>3329</v>
      </c>
      <c r="B817" t="str">
        <f>"8436603198196"</f>
        <v>8436603198196</v>
      </c>
      <c r="C817" t="s">
        <v>4800</v>
      </c>
      <c r="D817" t="s">
        <v>3332</v>
      </c>
      <c r="E817" t="s">
        <v>3344</v>
      </c>
    </row>
    <row r="818" spans="1:5" x14ac:dyDescent="0.25">
      <c r="A818" t="s">
        <v>3329</v>
      </c>
      <c r="B818" t="str">
        <f>"8436603198172"</f>
        <v>8436603198172</v>
      </c>
      <c r="C818" t="s">
        <v>4801</v>
      </c>
      <c r="D818" t="s">
        <v>3332</v>
      </c>
      <c r="E818" t="s">
        <v>3344</v>
      </c>
    </row>
    <row r="819" spans="1:5" x14ac:dyDescent="0.25">
      <c r="A819" t="s">
        <v>3329</v>
      </c>
      <c r="B819" t="str">
        <f>"8436603198134"</f>
        <v>8436603198134</v>
      </c>
      <c r="C819" t="s">
        <v>4802</v>
      </c>
      <c r="D819" t="s">
        <v>3332</v>
      </c>
      <c r="E819" t="s">
        <v>3344</v>
      </c>
    </row>
    <row r="820" spans="1:5" x14ac:dyDescent="0.25">
      <c r="A820" t="s">
        <v>3329</v>
      </c>
      <c r="B820" t="str">
        <f>"8436603198073"</f>
        <v>8436603198073</v>
      </c>
      <c r="C820" t="s">
        <v>4803</v>
      </c>
      <c r="D820" t="s">
        <v>3332</v>
      </c>
      <c r="E820" t="s">
        <v>3333</v>
      </c>
    </row>
    <row r="821" spans="1:5" x14ac:dyDescent="0.25">
      <c r="A821" t="s">
        <v>3329</v>
      </c>
      <c r="B821" t="str">
        <f>"8436603198066"</f>
        <v>8436603198066</v>
      </c>
      <c r="C821" t="s">
        <v>4804</v>
      </c>
      <c r="D821" t="s">
        <v>3332</v>
      </c>
      <c r="E821" t="s">
        <v>3344</v>
      </c>
    </row>
    <row r="822" spans="1:5" x14ac:dyDescent="0.25">
      <c r="A822" t="s">
        <v>3329</v>
      </c>
      <c r="B822" t="str">
        <f>"8436603198042"</f>
        <v>8436603198042</v>
      </c>
      <c r="C822" t="s">
        <v>4805</v>
      </c>
      <c r="D822" t="s">
        <v>3332</v>
      </c>
      <c r="E822" t="s">
        <v>3344</v>
      </c>
    </row>
    <row r="823" spans="1:5" x14ac:dyDescent="0.25">
      <c r="A823" t="s">
        <v>3329</v>
      </c>
      <c r="B823" t="str">
        <f>"8436603198035"</f>
        <v>8436603198035</v>
      </c>
      <c r="C823" t="s">
        <v>4806</v>
      </c>
      <c r="D823" t="s">
        <v>3332</v>
      </c>
      <c r="E823" t="s">
        <v>3344</v>
      </c>
    </row>
    <row r="824" spans="1:5" x14ac:dyDescent="0.25">
      <c r="A824" t="s">
        <v>3329</v>
      </c>
      <c r="B824" t="str">
        <f>"8436603198028"</f>
        <v>8436603198028</v>
      </c>
      <c r="C824" t="s">
        <v>4807</v>
      </c>
      <c r="D824" t="s">
        <v>3332</v>
      </c>
      <c r="E824" t="s">
        <v>3344</v>
      </c>
    </row>
    <row r="825" spans="1:5" x14ac:dyDescent="0.25">
      <c r="A825" t="s">
        <v>3329</v>
      </c>
      <c r="B825" t="str">
        <f>"8436603198011"</f>
        <v>8436603198011</v>
      </c>
      <c r="C825" t="s">
        <v>4808</v>
      </c>
      <c r="D825" t="s">
        <v>3332</v>
      </c>
      <c r="E825" t="s">
        <v>3344</v>
      </c>
    </row>
    <row r="826" spans="1:5" x14ac:dyDescent="0.25">
      <c r="A826" t="s">
        <v>3329</v>
      </c>
      <c r="B826" t="str">
        <f>"8436603197816"</f>
        <v>8436603197816</v>
      </c>
      <c r="C826" t="s">
        <v>4809</v>
      </c>
      <c r="D826" t="s">
        <v>3332</v>
      </c>
      <c r="E826" t="s">
        <v>3336</v>
      </c>
    </row>
    <row r="827" spans="1:5" x14ac:dyDescent="0.25">
      <c r="A827" t="s">
        <v>3329</v>
      </c>
      <c r="B827" t="str">
        <f>"8436603197809"</f>
        <v>8436603197809</v>
      </c>
      <c r="C827" t="s">
        <v>4810</v>
      </c>
      <c r="D827" t="s">
        <v>3332</v>
      </c>
      <c r="E827" t="s">
        <v>3336</v>
      </c>
    </row>
    <row r="828" spans="1:5" x14ac:dyDescent="0.25">
      <c r="A828" t="s">
        <v>3329</v>
      </c>
      <c r="B828" t="str">
        <f>"8436603197793"</f>
        <v>8436603197793</v>
      </c>
      <c r="C828" t="s">
        <v>4811</v>
      </c>
      <c r="D828" t="s">
        <v>3332</v>
      </c>
      <c r="E828" t="s">
        <v>3336</v>
      </c>
    </row>
    <row r="829" spans="1:5" x14ac:dyDescent="0.25">
      <c r="A829" t="s">
        <v>3329</v>
      </c>
      <c r="B829" t="str">
        <f>"8436603197397"</f>
        <v>8436603197397</v>
      </c>
      <c r="C829" t="s">
        <v>4812</v>
      </c>
      <c r="D829" t="s">
        <v>3332</v>
      </c>
      <c r="E829" t="s">
        <v>3336</v>
      </c>
    </row>
    <row r="830" spans="1:5" x14ac:dyDescent="0.25">
      <c r="A830" t="s">
        <v>3329</v>
      </c>
      <c r="B830" t="str">
        <f>"8436603197380"</f>
        <v>8436603197380</v>
      </c>
      <c r="C830" t="s">
        <v>4813</v>
      </c>
      <c r="D830" t="s">
        <v>3332</v>
      </c>
      <c r="E830" t="s">
        <v>3336</v>
      </c>
    </row>
    <row r="831" spans="1:5" x14ac:dyDescent="0.25">
      <c r="A831" t="s">
        <v>3329</v>
      </c>
      <c r="B831" t="str">
        <f>"8436603197342"</f>
        <v>8436603197342</v>
      </c>
      <c r="C831" t="s">
        <v>4814</v>
      </c>
      <c r="D831" t="s">
        <v>3332</v>
      </c>
      <c r="E831" t="s">
        <v>3336</v>
      </c>
    </row>
    <row r="832" spans="1:5" x14ac:dyDescent="0.25">
      <c r="A832" t="s">
        <v>3329</v>
      </c>
      <c r="B832" t="str">
        <f>"8436603195874"</f>
        <v>8436603195874</v>
      </c>
      <c r="C832" t="s">
        <v>4815</v>
      </c>
      <c r="D832" t="s">
        <v>3332</v>
      </c>
      <c r="E832" t="s">
        <v>3339</v>
      </c>
    </row>
    <row r="833" spans="1:5" x14ac:dyDescent="0.25">
      <c r="A833" t="s">
        <v>3329</v>
      </c>
      <c r="B833" t="str">
        <f>"8436603195867"</f>
        <v>8436603195867</v>
      </c>
      <c r="C833" t="s">
        <v>4816</v>
      </c>
      <c r="D833" t="s">
        <v>3332</v>
      </c>
      <c r="E833" t="s">
        <v>3339</v>
      </c>
    </row>
    <row r="834" spans="1:5" x14ac:dyDescent="0.25">
      <c r="A834" t="s">
        <v>3329</v>
      </c>
      <c r="B834" t="str">
        <f>"8436603195850"</f>
        <v>8436603195850</v>
      </c>
      <c r="C834" t="s">
        <v>4817</v>
      </c>
      <c r="D834" t="s">
        <v>3332</v>
      </c>
      <c r="E834" t="s">
        <v>3339</v>
      </c>
    </row>
    <row r="835" spans="1:5" x14ac:dyDescent="0.25">
      <c r="A835" t="s">
        <v>3329</v>
      </c>
      <c r="B835" t="str">
        <f>"8436603195843"</f>
        <v>8436603195843</v>
      </c>
      <c r="C835" t="s">
        <v>4818</v>
      </c>
      <c r="D835" t="s">
        <v>3332</v>
      </c>
      <c r="E835" t="s">
        <v>3339</v>
      </c>
    </row>
    <row r="836" spans="1:5" x14ac:dyDescent="0.25">
      <c r="A836" t="s">
        <v>3329</v>
      </c>
      <c r="B836" t="str">
        <f>"8436603195836"</f>
        <v>8436603195836</v>
      </c>
      <c r="C836" t="s">
        <v>4819</v>
      </c>
      <c r="D836" t="s">
        <v>3332</v>
      </c>
      <c r="E836" t="s">
        <v>3339</v>
      </c>
    </row>
    <row r="837" spans="1:5" x14ac:dyDescent="0.25">
      <c r="A837" t="s">
        <v>3329</v>
      </c>
      <c r="B837" t="str">
        <f>"8436603195829"</f>
        <v>8436603195829</v>
      </c>
      <c r="C837" t="s">
        <v>4820</v>
      </c>
      <c r="D837" t="s">
        <v>3332</v>
      </c>
      <c r="E837" t="s">
        <v>3339</v>
      </c>
    </row>
    <row r="838" spans="1:5" x14ac:dyDescent="0.25">
      <c r="A838" t="s">
        <v>3329</v>
      </c>
      <c r="B838" t="str">
        <f>"8436603195805"</f>
        <v>8436603195805</v>
      </c>
      <c r="C838" t="s">
        <v>4821</v>
      </c>
      <c r="D838" t="s">
        <v>3332</v>
      </c>
      <c r="E838" t="s">
        <v>3339</v>
      </c>
    </row>
    <row r="839" spans="1:5" x14ac:dyDescent="0.25">
      <c r="A839" t="s">
        <v>3329</v>
      </c>
      <c r="B839" t="str">
        <f>"8436603195744"</f>
        <v>8436603195744</v>
      </c>
      <c r="C839" t="s">
        <v>4822</v>
      </c>
      <c r="D839" t="s">
        <v>3332</v>
      </c>
      <c r="E839" t="s">
        <v>3344</v>
      </c>
    </row>
    <row r="840" spans="1:5" x14ac:dyDescent="0.25">
      <c r="A840" t="s">
        <v>3329</v>
      </c>
      <c r="B840" t="str">
        <f>"8436603195737"</f>
        <v>8436603195737</v>
      </c>
      <c r="C840" t="s">
        <v>4823</v>
      </c>
      <c r="D840" t="s">
        <v>3332</v>
      </c>
      <c r="E840" t="s">
        <v>3344</v>
      </c>
    </row>
    <row r="841" spans="1:5" x14ac:dyDescent="0.25">
      <c r="A841" t="s">
        <v>3329</v>
      </c>
      <c r="B841" t="str">
        <f>"8436603195720"</f>
        <v>8436603195720</v>
      </c>
      <c r="C841" t="s">
        <v>4824</v>
      </c>
      <c r="D841" t="s">
        <v>3332</v>
      </c>
      <c r="E841" t="s">
        <v>3344</v>
      </c>
    </row>
    <row r="842" spans="1:5" x14ac:dyDescent="0.25">
      <c r="A842" t="s">
        <v>3329</v>
      </c>
      <c r="B842" t="str">
        <f>"8436603195713"</f>
        <v>8436603195713</v>
      </c>
      <c r="C842" t="s">
        <v>4825</v>
      </c>
      <c r="D842" t="s">
        <v>3332</v>
      </c>
      <c r="E842" t="s">
        <v>3344</v>
      </c>
    </row>
    <row r="843" spans="1:5" x14ac:dyDescent="0.25">
      <c r="A843" t="s">
        <v>3329</v>
      </c>
      <c r="B843" t="str">
        <f>"8436603195706"</f>
        <v>8436603195706</v>
      </c>
      <c r="C843" t="s">
        <v>4826</v>
      </c>
      <c r="D843" t="s">
        <v>3332</v>
      </c>
      <c r="E843" t="s">
        <v>3344</v>
      </c>
    </row>
    <row r="844" spans="1:5" x14ac:dyDescent="0.25">
      <c r="A844" t="s">
        <v>3329</v>
      </c>
      <c r="B844" t="str">
        <f>"8436603195683"</f>
        <v>8436603195683</v>
      </c>
      <c r="C844" t="s">
        <v>4827</v>
      </c>
      <c r="D844" t="s">
        <v>3332</v>
      </c>
      <c r="E844" t="s">
        <v>3344</v>
      </c>
    </row>
    <row r="845" spans="1:5" x14ac:dyDescent="0.25">
      <c r="A845" t="s">
        <v>3329</v>
      </c>
      <c r="B845" t="str">
        <f>"8436603195676"</f>
        <v>8436603195676</v>
      </c>
      <c r="C845" t="s">
        <v>4828</v>
      </c>
      <c r="D845" t="s">
        <v>3332</v>
      </c>
      <c r="E845" t="s">
        <v>3344</v>
      </c>
    </row>
    <row r="846" spans="1:5" x14ac:dyDescent="0.25">
      <c r="A846" t="s">
        <v>3329</v>
      </c>
      <c r="B846" t="str">
        <f>"8436603194426"</f>
        <v>8436603194426</v>
      </c>
      <c r="C846" t="s">
        <v>4829</v>
      </c>
      <c r="D846" t="s">
        <v>3332</v>
      </c>
      <c r="E846" t="s">
        <v>3582</v>
      </c>
    </row>
    <row r="847" spans="1:5" x14ac:dyDescent="0.25">
      <c r="A847" t="s">
        <v>3329</v>
      </c>
      <c r="B847" t="str">
        <f>"8436603194402"</f>
        <v>8436603194402</v>
      </c>
      <c r="C847" t="s">
        <v>4830</v>
      </c>
      <c r="D847" t="s">
        <v>3332</v>
      </c>
      <c r="E847" t="s">
        <v>3582</v>
      </c>
    </row>
    <row r="848" spans="1:5" x14ac:dyDescent="0.25">
      <c r="A848" t="s">
        <v>3329</v>
      </c>
      <c r="B848" t="str">
        <f>"8436603194396"</f>
        <v>8436603194396</v>
      </c>
      <c r="C848" t="s">
        <v>4831</v>
      </c>
      <c r="D848" t="s">
        <v>3332</v>
      </c>
      <c r="E848" t="s">
        <v>3582</v>
      </c>
    </row>
    <row r="849" spans="1:5" x14ac:dyDescent="0.25">
      <c r="A849" t="s">
        <v>3329</v>
      </c>
      <c r="B849" t="str">
        <f>"8436603194389"</f>
        <v>8436603194389</v>
      </c>
      <c r="C849" t="s">
        <v>4832</v>
      </c>
      <c r="D849" t="s">
        <v>3332</v>
      </c>
      <c r="E849" t="s">
        <v>3582</v>
      </c>
    </row>
    <row r="850" spans="1:5" x14ac:dyDescent="0.25">
      <c r="A850" t="s">
        <v>3329</v>
      </c>
      <c r="B850" t="str">
        <f>"8436603194372"</f>
        <v>8436603194372</v>
      </c>
      <c r="C850" t="s">
        <v>4833</v>
      </c>
      <c r="D850" t="s">
        <v>3332</v>
      </c>
      <c r="E850" t="s">
        <v>3582</v>
      </c>
    </row>
    <row r="851" spans="1:5" x14ac:dyDescent="0.25">
      <c r="A851" t="s">
        <v>3329</v>
      </c>
      <c r="B851" t="s">
        <v>4834</v>
      </c>
      <c r="C851" t="s">
        <v>4835</v>
      </c>
      <c r="D851" t="s">
        <v>3332</v>
      </c>
      <c r="E851" t="s">
        <v>3582</v>
      </c>
    </row>
    <row r="852" spans="1:5" x14ac:dyDescent="0.25">
      <c r="A852" t="s">
        <v>3329</v>
      </c>
      <c r="B852" t="s">
        <v>4836</v>
      </c>
      <c r="C852" t="s">
        <v>4837</v>
      </c>
      <c r="D852" t="s">
        <v>3332</v>
      </c>
      <c r="E852" t="s">
        <v>3582</v>
      </c>
    </row>
    <row r="853" spans="1:5" x14ac:dyDescent="0.25">
      <c r="A853" t="s">
        <v>3329</v>
      </c>
      <c r="B853" t="s">
        <v>4838</v>
      </c>
      <c r="C853" t="s">
        <v>4839</v>
      </c>
      <c r="D853" t="s">
        <v>3332</v>
      </c>
      <c r="E853" t="s">
        <v>3582</v>
      </c>
    </row>
    <row r="854" spans="1:5" x14ac:dyDescent="0.25">
      <c r="A854" t="s">
        <v>3329</v>
      </c>
      <c r="B854" t="str">
        <f>"8436603194099"</f>
        <v>8436603194099</v>
      </c>
      <c r="C854" t="s">
        <v>4840</v>
      </c>
      <c r="D854" t="s">
        <v>3332</v>
      </c>
      <c r="E854" t="s">
        <v>3582</v>
      </c>
    </row>
    <row r="855" spans="1:5" x14ac:dyDescent="0.25">
      <c r="A855" t="s">
        <v>3329</v>
      </c>
      <c r="B855" t="str">
        <f>"8436603193764"</f>
        <v>8436603193764</v>
      </c>
      <c r="C855" t="s">
        <v>4841</v>
      </c>
      <c r="D855" t="s">
        <v>3332</v>
      </c>
      <c r="E855" t="s">
        <v>3339</v>
      </c>
    </row>
    <row r="856" spans="1:5" x14ac:dyDescent="0.25">
      <c r="A856" t="s">
        <v>3329</v>
      </c>
      <c r="B856" t="str">
        <f>"8436603193672"</f>
        <v>8436603193672</v>
      </c>
      <c r="C856" t="s">
        <v>4842</v>
      </c>
      <c r="D856" t="s">
        <v>3332</v>
      </c>
      <c r="E856" t="s">
        <v>3333</v>
      </c>
    </row>
    <row r="857" spans="1:5" x14ac:dyDescent="0.25">
      <c r="A857" t="s">
        <v>3329</v>
      </c>
      <c r="B857" t="s">
        <v>4843</v>
      </c>
      <c r="C857" t="s">
        <v>4844</v>
      </c>
      <c r="D857" t="s">
        <v>3332</v>
      </c>
      <c r="E857" t="s">
        <v>3336</v>
      </c>
    </row>
    <row r="858" spans="1:5" x14ac:dyDescent="0.25">
      <c r="A858" t="s">
        <v>3329</v>
      </c>
      <c r="B858" t="s">
        <v>4845</v>
      </c>
      <c r="C858" t="s">
        <v>4846</v>
      </c>
      <c r="D858" t="s">
        <v>3332</v>
      </c>
      <c r="E858" t="s">
        <v>3336</v>
      </c>
    </row>
    <row r="859" spans="1:5" x14ac:dyDescent="0.25">
      <c r="A859" t="s">
        <v>3329</v>
      </c>
      <c r="B859" t="s">
        <v>4847</v>
      </c>
      <c r="C859" t="s">
        <v>4848</v>
      </c>
      <c r="D859" t="s">
        <v>3332</v>
      </c>
      <c r="E859" t="s">
        <v>3336</v>
      </c>
    </row>
    <row r="860" spans="1:5" x14ac:dyDescent="0.25">
      <c r="A860" t="s">
        <v>3329</v>
      </c>
      <c r="B860" t="s">
        <v>4849</v>
      </c>
      <c r="C860" t="s">
        <v>4850</v>
      </c>
      <c r="D860" t="s">
        <v>3332</v>
      </c>
      <c r="E860" t="s">
        <v>3336</v>
      </c>
    </row>
    <row r="861" spans="1:5" x14ac:dyDescent="0.25">
      <c r="A861" t="s">
        <v>3329</v>
      </c>
      <c r="B861" t="str">
        <f>"8436603192774"</f>
        <v>8436603192774</v>
      </c>
      <c r="C861" t="s">
        <v>4851</v>
      </c>
      <c r="D861" t="s">
        <v>3332</v>
      </c>
      <c r="E861" t="s">
        <v>3339</v>
      </c>
    </row>
    <row r="862" spans="1:5" x14ac:dyDescent="0.25">
      <c r="A862" t="s">
        <v>3329</v>
      </c>
      <c r="B862" t="s">
        <v>4852</v>
      </c>
      <c r="C862" t="s">
        <v>4853</v>
      </c>
      <c r="D862" t="s">
        <v>3332</v>
      </c>
      <c r="E862" t="s">
        <v>3333</v>
      </c>
    </row>
    <row r="863" spans="1:5" x14ac:dyDescent="0.25">
      <c r="A863" t="s">
        <v>3329</v>
      </c>
      <c r="B863" t="s">
        <v>4854</v>
      </c>
      <c r="C863" t="s">
        <v>4855</v>
      </c>
      <c r="D863" t="s">
        <v>3332</v>
      </c>
      <c r="E863" t="s">
        <v>3333</v>
      </c>
    </row>
    <row r="864" spans="1:5" x14ac:dyDescent="0.25">
      <c r="A864" t="s">
        <v>3329</v>
      </c>
      <c r="B864" t="s">
        <v>4856</v>
      </c>
      <c r="C864" t="s">
        <v>4857</v>
      </c>
      <c r="D864" t="s">
        <v>3332</v>
      </c>
      <c r="E864" t="s">
        <v>3339</v>
      </c>
    </row>
    <row r="865" spans="1:5" x14ac:dyDescent="0.25">
      <c r="A865" t="s">
        <v>3329</v>
      </c>
      <c r="B865" t="str">
        <f>"8436603192125"</f>
        <v>8436603192125</v>
      </c>
      <c r="C865" t="s">
        <v>4858</v>
      </c>
      <c r="D865" t="s">
        <v>3332</v>
      </c>
      <c r="E865" t="s">
        <v>3339</v>
      </c>
    </row>
    <row r="866" spans="1:5" x14ac:dyDescent="0.25">
      <c r="A866" t="s">
        <v>3329</v>
      </c>
      <c r="B866" t="str">
        <f>"8436603192095"</f>
        <v>8436603192095</v>
      </c>
      <c r="C866" t="s">
        <v>4859</v>
      </c>
      <c r="D866" t="s">
        <v>3332</v>
      </c>
      <c r="E866" t="s">
        <v>3344</v>
      </c>
    </row>
    <row r="867" spans="1:5" x14ac:dyDescent="0.25">
      <c r="A867" t="s">
        <v>3329</v>
      </c>
      <c r="B867" t="s">
        <v>4860</v>
      </c>
      <c r="C867" t="s">
        <v>4861</v>
      </c>
      <c r="D867" t="s">
        <v>3332</v>
      </c>
      <c r="E867" t="s">
        <v>3344</v>
      </c>
    </row>
    <row r="868" spans="1:5" x14ac:dyDescent="0.25">
      <c r="A868" t="s">
        <v>3329</v>
      </c>
      <c r="B868" t="str">
        <f>"8436603192064"</f>
        <v>8436603192064</v>
      </c>
      <c r="C868" t="s">
        <v>4862</v>
      </c>
      <c r="D868" t="s">
        <v>3332</v>
      </c>
      <c r="E868" t="s">
        <v>3344</v>
      </c>
    </row>
    <row r="869" spans="1:5" x14ac:dyDescent="0.25">
      <c r="A869" t="s">
        <v>3329</v>
      </c>
      <c r="B869" t="s">
        <v>4863</v>
      </c>
      <c r="C869" t="s">
        <v>4864</v>
      </c>
      <c r="D869" t="s">
        <v>3332</v>
      </c>
      <c r="E869" t="s">
        <v>3344</v>
      </c>
    </row>
    <row r="870" spans="1:5" x14ac:dyDescent="0.25">
      <c r="A870" t="s">
        <v>3329</v>
      </c>
      <c r="B870" t="s">
        <v>4865</v>
      </c>
      <c r="C870" t="s">
        <v>4866</v>
      </c>
      <c r="D870" t="s">
        <v>3332</v>
      </c>
      <c r="E870" t="s">
        <v>3336</v>
      </c>
    </row>
    <row r="871" spans="1:5" x14ac:dyDescent="0.25">
      <c r="A871" t="s">
        <v>3329</v>
      </c>
      <c r="B871" t="str">
        <f>"8436603191418"</f>
        <v>8436603191418</v>
      </c>
      <c r="C871" t="s">
        <v>4867</v>
      </c>
      <c r="D871" t="s">
        <v>3332</v>
      </c>
      <c r="E871" t="s">
        <v>3336</v>
      </c>
    </row>
    <row r="872" spans="1:5" x14ac:dyDescent="0.25">
      <c r="A872" t="s">
        <v>3329</v>
      </c>
      <c r="B872" t="str">
        <f>"8436603191395"</f>
        <v>8436603191395</v>
      </c>
      <c r="C872" t="s">
        <v>4868</v>
      </c>
      <c r="D872" t="s">
        <v>3332</v>
      </c>
      <c r="E872" t="s">
        <v>3336</v>
      </c>
    </row>
    <row r="873" spans="1:5" x14ac:dyDescent="0.25">
      <c r="A873" t="s">
        <v>3329</v>
      </c>
      <c r="B873" t="str">
        <f>"8436603191388"</f>
        <v>8436603191388</v>
      </c>
      <c r="C873" t="s">
        <v>4869</v>
      </c>
      <c r="D873" t="s">
        <v>3332</v>
      </c>
      <c r="E873" t="s">
        <v>3336</v>
      </c>
    </row>
    <row r="874" spans="1:5" x14ac:dyDescent="0.25">
      <c r="A874" t="s">
        <v>3329</v>
      </c>
      <c r="B874" t="str">
        <f>"8436603191371"</f>
        <v>8436603191371</v>
      </c>
      <c r="C874" t="s">
        <v>4870</v>
      </c>
      <c r="D874" t="s">
        <v>3332</v>
      </c>
      <c r="E874" t="s">
        <v>3336</v>
      </c>
    </row>
    <row r="875" spans="1:5" x14ac:dyDescent="0.25">
      <c r="A875" t="s">
        <v>3329</v>
      </c>
      <c r="B875" t="str">
        <f>"8436603191364"</f>
        <v>8436603191364</v>
      </c>
      <c r="C875" t="s">
        <v>4871</v>
      </c>
      <c r="D875" t="s">
        <v>3332</v>
      </c>
      <c r="E875" t="s">
        <v>3336</v>
      </c>
    </row>
    <row r="876" spans="1:5" x14ac:dyDescent="0.25">
      <c r="A876" t="s">
        <v>3329</v>
      </c>
      <c r="B876" t="str">
        <f>"8436603191340"</f>
        <v>8436603191340</v>
      </c>
      <c r="C876" t="s">
        <v>4872</v>
      </c>
      <c r="D876" t="s">
        <v>3332</v>
      </c>
      <c r="E876" t="s">
        <v>3336</v>
      </c>
    </row>
    <row r="877" spans="1:5" x14ac:dyDescent="0.25">
      <c r="A877" t="s">
        <v>3329</v>
      </c>
      <c r="B877" t="str">
        <f>"8436603191333"</f>
        <v>8436603191333</v>
      </c>
      <c r="C877" t="s">
        <v>4873</v>
      </c>
      <c r="D877" t="s">
        <v>3332</v>
      </c>
      <c r="E877" t="s">
        <v>3336</v>
      </c>
    </row>
    <row r="878" spans="1:5" x14ac:dyDescent="0.25">
      <c r="A878" t="s">
        <v>3329</v>
      </c>
      <c r="B878" t="str">
        <f>"8436603191319"</f>
        <v>8436603191319</v>
      </c>
      <c r="C878" t="s">
        <v>4874</v>
      </c>
      <c r="D878" t="s">
        <v>3332</v>
      </c>
      <c r="E878" t="s">
        <v>3336</v>
      </c>
    </row>
    <row r="879" spans="1:5" x14ac:dyDescent="0.25">
      <c r="A879" t="s">
        <v>3329</v>
      </c>
      <c r="B879" t="str">
        <f>"8436603191296"</f>
        <v>8436603191296</v>
      </c>
      <c r="C879" t="s">
        <v>4875</v>
      </c>
      <c r="D879" t="s">
        <v>3332</v>
      </c>
      <c r="E879" t="s">
        <v>3336</v>
      </c>
    </row>
    <row r="880" spans="1:5" x14ac:dyDescent="0.25">
      <c r="A880" t="s">
        <v>3329</v>
      </c>
      <c r="B880" t="str">
        <f>"8436603191289"</f>
        <v>8436603191289</v>
      </c>
      <c r="C880" t="s">
        <v>4876</v>
      </c>
      <c r="D880" t="s">
        <v>3332</v>
      </c>
      <c r="E880" t="s">
        <v>3336</v>
      </c>
    </row>
    <row r="881" spans="1:5" x14ac:dyDescent="0.25">
      <c r="A881" t="s">
        <v>3329</v>
      </c>
      <c r="B881" t="str">
        <f>"8436603191272"</f>
        <v>8436603191272</v>
      </c>
      <c r="C881" t="s">
        <v>4877</v>
      </c>
      <c r="D881" t="s">
        <v>3332</v>
      </c>
      <c r="E881" t="s">
        <v>3336</v>
      </c>
    </row>
    <row r="882" spans="1:5" x14ac:dyDescent="0.25">
      <c r="A882" t="s">
        <v>3329</v>
      </c>
      <c r="B882" t="str">
        <f>"8436603191265"</f>
        <v>8436603191265</v>
      </c>
      <c r="C882" t="s">
        <v>4878</v>
      </c>
      <c r="D882" t="s">
        <v>3332</v>
      </c>
      <c r="E882" t="s">
        <v>3336</v>
      </c>
    </row>
    <row r="883" spans="1:5" x14ac:dyDescent="0.25">
      <c r="A883" t="s">
        <v>3329</v>
      </c>
      <c r="B883" t="s">
        <v>4879</v>
      </c>
      <c r="C883" t="s">
        <v>4880</v>
      </c>
      <c r="D883" t="s">
        <v>3332</v>
      </c>
      <c r="E883" t="s">
        <v>3336</v>
      </c>
    </row>
    <row r="884" spans="1:5" x14ac:dyDescent="0.25">
      <c r="A884" t="s">
        <v>3329</v>
      </c>
      <c r="B884" t="s">
        <v>4881</v>
      </c>
      <c r="C884" t="s">
        <v>4882</v>
      </c>
      <c r="D884" t="s">
        <v>3332</v>
      </c>
      <c r="E884" t="s">
        <v>3336</v>
      </c>
    </row>
    <row r="885" spans="1:5" x14ac:dyDescent="0.25">
      <c r="A885" t="s">
        <v>3329</v>
      </c>
      <c r="B885" t="str">
        <f>"8436603191210"</f>
        <v>8436603191210</v>
      </c>
      <c r="C885" t="s">
        <v>4883</v>
      </c>
      <c r="D885" t="s">
        <v>3332</v>
      </c>
      <c r="E885" t="s">
        <v>3336</v>
      </c>
    </row>
    <row r="886" spans="1:5" x14ac:dyDescent="0.25">
      <c r="A886" t="s">
        <v>3329</v>
      </c>
      <c r="B886" t="s">
        <v>4884</v>
      </c>
      <c r="C886" t="s">
        <v>4885</v>
      </c>
      <c r="D886" t="s">
        <v>3332</v>
      </c>
      <c r="E886" t="s">
        <v>3336</v>
      </c>
    </row>
    <row r="887" spans="1:5" x14ac:dyDescent="0.25">
      <c r="A887" t="s">
        <v>3329</v>
      </c>
      <c r="B887" t="str">
        <f>"8436603191173"</f>
        <v>8436603191173</v>
      </c>
      <c r="C887" t="s">
        <v>4886</v>
      </c>
      <c r="D887" t="s">
        <v>3332</v>
      </c>
      <c r="E887" t="s">
        <v>3336</v>
      </c>
    </row>
    <row r="888" spans="1:5" x14ac:dyDescent="0.25">
      <c r="A888" t="s">
        <v>3329</v>
      </c>
      <c r="B888" t="str">
        <f>"8436603190961"</f>
        <v>8436603190961</v>
      </c>
      <c r="C888" t="s">
        <v>4887</v>
      </c>
      <c r="D888" t="s">
        <v>3332</v>
      </c>
      <c r="E888" t="s">
        <v>3344</v>
      </c>
    </row>
    <row r="889" spans="1:5" x14ac:dyDescent="0.25">
      <c r="A889" t="s">
        <v>3329</v>
      </c>
      <c r="B889" t="str">
        <f>"8436603190527"</f>
        <v>8436603190527</v>
      </c>
      <c r="C889" t="s">
        <v>4888</v>
      </c>
      <c r="D889" t="s">
        <v>3332</v>
      </c>
      <c r="E889" t="s">
        <v>3336</v>
      </c>
    </row>
    <row r="890" spans="1:5" x14ac:dyDescent="0.25">
      <c r="A890" t="s">
        <v>3329</v>
      </c>
      <c r="B890" t="str">
        <f>"8436603190510"</f>
        <v>8436603190510</v>
      </c>
      <c r="C890" t="s">
        <v>4889</v>
      </c>
      <c r="D890" t="s">
        <v>3332</v>
      </c>
      <c r="E890" t="s">
        <v>3336</v>
      </c>
    </row>
    <row r="891" spans="1:5" x14ac:dyDescent="0.25">
      <c r="A891" t="s">
        <v>3329</v>
      </c>
      <c r="B891" t="str">
        <f>"8436603190503"</f>
        <v>8436603190503</v>
      </c>
      <c r="C891" t="s">
        <v>4890</v>
      </c>
      <c r="D891" t="s">
        <v>3332</v>
      </c>
      <c r="E891" t="s">
        <v>3336</v>
      </c>
    </row>
    <row r="892" spans="1:5" x14ac:dyDescent="0.25">
      <c r="A892" t="s">
        <v>3329</v>
      </c>
      <c r="B892" t="str">
        <f>"8436603190428"</f>
        <v>8436603190428</v>
      </c>
      <c r="C892" t="s">
        <v>4891</v>
      </c>
      <c r="D892" t="s">
        <v>3332</v>
      </c>
      <c r="E892" t="s">
        <v>3336</v>
      </c>
    </row>
    <row r="893" spans="1:5" x14ac:dyDescent="0.25">
      <c r="A893" t="s">
        <v>3329</v>
      </c>
      <c r="B893" t="str">
        <f>"8436603190411"</f>
        <v>8436603190411</v>
      </c>
      <c r="C893" t="s">
        <v>4892</v>
      </c>
      <c r="D893" t="s">
        <v>3332</v>
      </c>
      <c r="E893" t="s">
        <v>3336</v>
      </c>
    </row>
    <row r="894" spans="1:5" x14ac:dyDescent="0.25">
      <c r="A894" t="s">
        <v>3329</v>
      </c>
      <c r="B894" t="s">
        <v>4893</v>
      </c>
      <c r="C894" t="s">
        <v>4894</v>
      </c>
      <c r="D894" t="s">
        <v>3332</v>
      </c>
      <c r="E894" t="s">
        <v>3336</v>
      </c>
    </row>
    <row r="895" spans="1:5" x14ac:dyDescent="0.25">
      <c r="A895" t="s">
        <v>3329</v>
      </c>
      <c r="B895" t="str">
        <f>"8436603190398"</f>
        <v>8436603190398</v>
      </c>
      <c r="C895" t="s">
        <v>4895</v>
      </c>
      <c r="D895" t="s">
        <v>3332</v>
      </c>
      <c r="E895" t="s">
        <v>3336</v>
      </c>
    </row>
    <row r="896" spans="1:5" x14ac:dyDescent="0.25">
      <c r="A896" t="s">
        <v>3329</v>
      </c>
      <c r="B896" t="str">
        <f>"8436603190275"</f>
        <v>8436603190275</v>
      </c>
      <c r="C896" t="s">
        <v>4896</v>
      </c>
      <c r="D896" t="s">
        <v>3332</v>
      </c>
      <c r="E896" t="s">
        <v>3336</v>
      </c>
    </row>
    <row r="897" spans="1:5" x14ac:dyDescent="0.25">
      <c r="A897" t="s">
        <v>3329</v>
      </c>
      <c r="B897" t="s">
        <v>4897</v>
      </c>
      <c r="C897" t="s">
        <v>4898</v>
      </c>
      <c r="D897" t="s">
        <v>3332</v>
      </c>
      <c r="E897" t="s">
        <v>3336</v>
      </c>
    </row>
    <row r="898" spans="1:5" x14ac:dyDescent="0.25">
      <c r="A898" t="s">
        <v>3329</v>
      </c>
      <c r="B898" t="str">
        <f>"8436603190244"</f>
        <v>8436603190244</v>
      </c>
      <c r="C898" t="s">
        <v>4899</v>
      </c>
      <c r="D898" t="s">
        <v>3332</v>
      </c>
      <c r="E898" t="s">
        <v>3336</v>
      </c>
    </row>
    <row r="899" spans="1:5" x14ac:dyDescent="0.25">
      <c r="A899" t="s">
        <v>3329</v>
      </c>
      <c r="B899" t="str">
        <f>"8436590731765"</f>
        <v>8436590731765</v>
      </c>
      <c r="C899" t="s">
        <v>4900</v>
      </c>
      <c r="D899" t="s">
        <v>3332</v>
      </c>
      <c r="E899" t="s">
        <v>3339</v>
      </c>
    </row>
    <row r="900" spans="1:5" x14ac:dyDescent="0.25">
      <c r="A900" t="s">
        <v>3329</v>
      </c>
      <c r="B900" t="str">
        <f>"8436590731758"</f>
        <v>8436590731758</v>
      </c>
      <c r="C900" t="s">
        <v>4901</v>
      </c>
      <c r="D900" t="s">
        <v>3332</v>
      </c>
      <c r="E900" t="s">
        <v>3339</v>
      </c>
    </row>
    <row r="901" spans="1:5" x14ac:dyDescent="0.25">
      <c r="A901" t="s">
        <v>3329</v>
      </c>
      <c r="B901" t="str">
        <f>"8436575383385"</f>
        <v>8436575383385</v>
      </c>
      <c r="C901" t="s">
        <v>4902</v>
      </c>
      <c r="D901" t="s">
        <v>3332</v>
      </c>
      <c r="E901" t="s">
        <v>3333</v>
      </c>
    </row>
    <row r="902" spans="1:5" x14ac:dyDescent="0.25">
      <c r="A902" t="s">
        <v>3329</v>
      </c>
      <c r="B902" t="str">
        <f>"8436572007444"</f>
        <v>8436572007444</v>
      </c>
      <c r="C902" t="s">
        <v>4903</v>
      </c>
      <c r="D902" t="s">
        <v>3332</v>
      </c>
      <c r="E902" t="s">
        <v>3339</v>
      </c>
    </row>
    <row r="903" spans="1:5" x14ac:dyDescent="0.25">
      <c r="A903" t="s">
        <v>3329</v>
      </c>
      <c r="B903" t="s">
        <v>4904</v>
      </c>
      <c r="C903" t="s">
        <v>4905</v>
      </c>
      <c r="D903" t="s">
        <v>3332</v>
      </c>
      <c r="E903" t="s">
        <v>3339</v>
      </c>
    </row>
    <row r="904" spans="1:5" x14ac:dyDescent="0.25">
      <c r="A904" t="s">
        <v>3329</v>
      </c>
      <c r="B904" t="s">
        <v>4906</v>
      </c>
      <c r="C904" t="s">
        <v>4907</v>
      </c>
      <c r="D904" t="s">
        <v>3332</v>
      </c>
      <c r="E904" t="s">
        <v>3339</v>
      </c>
    </row>
    <row r="905" spans="1:5" x14ac:dyDescent="0.25">
      <c r="A905" t="s">
        <v>3329</v>
      </c>
      <c r="B905" t="s">
        <v>4908</v>
      </c>
      <c r="C905" t="s">
        <v>4909</v>
      </c>
      <c r="D905" t="s">
        <v>3332</v>
      </c>
      <c r="E905" t="s">
        <v>3339</v>
      </c>
    </row>
    <row r="906" spans="1:5" x14ac:dyDescent="0.25">
      <c r="A906" t="s">
        <v>3329</v>
      </c>
      <c r="B906" t="s">
        <v>4910</v>
      </c>
      <c r="C906" t="s">
        <v>4911</v>
      </c>
      <c r="D906" t="s">
        <v>3332</v>
      </c>
      <c r="E906" t="s">
        <v>3339</v>
      </c>
    </row>
    <row r="907" spans="1:5" x14ac:dyDescent="0.25">
      <c r="A907" t="s">
        <v>3329</v>
      </c>
      <c r="B907" t="str">
        <f>"8436567663136"</f>
        <v>8436567663136</v>
      </c>
      <c r="C907" t="s">
        <v>4912</v>
      </c>
      <c r="D907" t="s">
        <v>3332</v>
      </c>
      <c r="E907" t="s">
        <v>3336</v>
      </c>
    </row>
    <row r="908" spans="1:5" x14ac:dyDescent="0.25">
      <c r="A908" t="s">
        <v>3329</v>
      </c>
      <c r="B908" t="str">
        <f>"8436567663112"</f>
        <v>8436567663112</v>
      </c>
      <c r="C908" t="s">
        <v>4913</v>
      </c>
      <c r="D908" t="s">
        <v>3332</v>
      </c>
      <c r="E908" t="s">
        <v>3336</v>
      </c>
    </row>
    <row r="909" spans="1:5" x14ac:dyDescent="0.25">
      <c r="A909" t="s">
        <v>3329</v>
      </c>
      <c r="B909" t="s">
        <v>4914</v>
      </c>
      <c r="C909" t="s">
        <v>4915</v>
      </c>
      <c r="D909" t="s">
        <v>3332</v>
      </c>
      <c r="E909" t="s">
        <v>3339</v>
      </c>
    </row>
    <row r="910" spans="1:5" x14ac:dyDescent="0.25">
      <c r="A910" t="s">
        <v>3329</v>
      </c>
      <c r="B910" t="str">
        <f>"8436567661620"</f>
        <v>8436567661620</v>
      </c>
      <c r="C910" t="s">
        <v>4916</v>
      </c>
      <c r="D910" t="s">
        <v>3332</v>
      </c>
      <c r="E910" t="s">
        <v>3339</v>
      </c>
    </row>
    <row r="911" spans="1:5" x14ac:dyDescent="0.25">
      <c r="A911" t="s">
        <v>3329</v>
      </c>
      <c r="B911" t="str">
        <f>"8436567659979"</f>
        <v>8436567659979</v>
      </c>
      <c r="C911" t="s">
        <v>4917</v>
      </c>
      <c r="D911" t="s">
        <v>3332</v>
      </c>
      <c r="E911" t="s">
        <v>3336</v>
      </c>
    </row>
    <row r="912" spans="1:5" x14ac:dyDescent="0.25">
      <c r="A912" t="s">
        <v>3329</v>
      </c>
      <c r="B912" t="str">
        <f>"8436567659955"</f>
        <v>8436567659955</v>
      </c>
      <c r="C912" t="s">
        <v>4918</v>
      </c>
      <c r="D912" t="s">
        <v>3332</v>
      </c>
      <c r="E912" t="s">
        <v>3336</v>
      </c>
    </row>
    <row r="913" spans="1:5" x14ac:dyDescent="0.25">
      <c r="A913" t="s">
        <v>3329</v>
      </c>
      <c r="B913" t="str">
        <f>"8436567659948"</f>
        <v>8436567659948</v>
      </c>
      <c r="C913" t="s">
        <v>4919</v>
      </c>
      <c r="D913" t="s">
        <v>3332</v>
      </c>
      <c r="E913" t="s">
        <v>3336</v>
      </c>
    </row>
    <row r="914" spans="1:5" x14ac:dyDescent="0.25">
      <c r="A914" t="s">
        <v>3329</v>
      </c>
      <c r="B914" t="str">
        <f>"8436567659382"</f>
        <v>8436567659382</v>
      </c>
      <c r="C914" t="s">
        <v>4920</v>
      </c>
      <c r="D914" t="s">
        <v>3332</v>
      </c>
      <c r="E914" t="s">
        <v>3582</v>
      </c>
    </row>
    <row r="915" spans="1:5" x14ac:dyDescent="0.25">
      <c r="A915" t="s">
        <v>3329</v>
      </c>
      <c r="B915" t="str">
        <f>"8436567657999"</f>
        <v>8436567657999</v>
      </c>
      <c r="C915" t="s">
        <v>4921</v>
      </c>
      <c r="D915" t="s">
        <v>3332</v>
      </c>
      <c r="E915" t="s">
        <v>3333</v>
      </c>
    </row>
    <row r="916" spans="1:5" x14ac:dyDescent="0.25">
      <c r="A916" t="s">
        <v>3329</v>
      </c>
      <c r="B916" t="str">
        <f>"8436567657852"</f>
        <v>8436567657852</v>
      </c>
      <c r="C916" t="s">
        <v>4922</v>
      </c>
      <c r="D916" t="s">
        <v>3332</v>
      </c>
      <c r="E916" t="s">
        <v>3339</v>
      </c>
    </row>
    <row r="917" spans="1:5" x14ac:dyDescent="0.25">
      <c r="A917" t="s">
        <v>3329</v>
      </c>
      <c r="B917" t="str">
        <f>"8436567654974"</f>
        <v>8436567654974</v>
      </c>
      <c r="C917" t="s">
        <v>4923</v>
      </c>
      <c r="D917" t="s">
        <v>3332</v>
      </c>
      <c r="E917" t="s">
        <v>3333</v>
      </c>
    </row>
    <row r="918" spans="1:5" x14ac:dyDescent="0.25">
      <c r="A918" t="s">
        <v>3329</v>
      </c>
      <c r="B918" t="str">
        <f>"8436567653700"</f>
        <v>8436567653700</v>
      </c>
      <c r="C918" t="s">
        <v>4924</v>
      </c>
      <c r="D918" t="s">
        <v>3332</v>
      </c>
      <c r="E918" t="s">
        <v>3333</v>
      </c>
    </row>
    <row r="919" spans="1:5" x14ac:dyDescent="0.25">
      <c r="A919" t="s">
        <v>3329</v>
      </c>
      <c r="B919" t="s">
        <v>4925</v>
      </c>
      <c r="C919" t="s">
        <v>4926</v>
      </c>
      <c r="D919" t="s">
        <v>3332</v>
      </c>
      <c r="E919" t="s">
        <v>3333</v>
      </c>
    </row>
    <row r="920" spans="1:5" x14ac:dyDescent="0.25">
      <c r="A920" t="s">
        <v>3329</v>
      </c>
      <c r="B920" t="s">
        <v>4927</v>
      </c>
      <c r="C920" t="s">
        <v>4928</v>
      </c>
      <c r="D920" t="s">
        <v>3332</v>
      </c>
      <c r="E920" t="s">
        <v>3333</v>
      </c>
    </row>
    <row r="921" spans="1:5" x14ac:dyDescent="0.25">
      <c r="A921" t="s">
        <v>3329</v>
      </c>
      <c r="B921" t="str">
        <f>"8436548249533"</f>
        <v>8436548249533</v>
      </c>
      <c r="C921" t="s">
        <v>4929</v>
      </c>
      <c r="D921" t="s">
        <v>3332</v>
      </c>
      <c r="E921" t="s">
        <v>3333</v>
      </c>
    </row>
    <row r="922" spans="1:5" x14ac:dyDescent="0.25">
      <c r="A922" t="s">
        <v>3329</v>
      </c>
      <c r="B922" t="str">
        <f>"8436548249526"</f>
        <v>8436548249526</v>
      </c>
      <c r="C922" t="s">
        <v>4930</v>
      </c>
      <c r="D922" t="s">
        <v>3332</v>
      </c>
      <c r="E922" t="s">
        <v>3333</v>
      </c>
    </row>
    <row r="923" spans="1:5" x14ac:dyDescent="0.25">
      <c r="A923" t="s">
        <v>3329</v>
      </c>
      <c r="B923" t="str">
        <f>"8436548249441"</f>
        <v>8436548249441</v>
      </c>
      <c r="C923" t="s">
        <v>4931</v>
      </c>
      <c r="D923" t="s">
        <v>3332</v>
      </c>
      <c r="E923" t="s">
        <v>3333</v>
      </c>
    </row>
    <row r="924" spans="1:5" x14ac:dyDescent="0.25">
      <c r="A924" t="s">
        <v>3329</v>
      </c>
      <c r="B924" t="str">
        <f>"8436548249434"</f>
        <v>8436548249434</v>
      </c>
      <c r="C924" t="s">
        <v>4932</v>
      </c>
      <c r="D924" t="s">
        <v>3332</v>
      </c>
      <c r="E924" t="s">
        <v>3344</v>
      </c>
    </row>
    <row r="925" spans="1:5" x14ac:dyDescent="0.25">
      <c r="A925" t="s">
        <v>3329</v>
      </c>
      <c r="B925" t="str">
        <f>"8436548249410"</f>
        <v>8436548249410</v>
      </c>
      <c r="C925" t="s">
        <v>4933</v>
      </c>
      <c r="D925" t="s">
        <v>3332</v>
      </c>
      <c r="E925" t="s">
        <v>3344</v>
      </c>
    </row>
    <row r="926" spans="1:5" x14ac:dyDescent="0.25">
      <c r="A926" t="s">
        <v>3329</v>
      </c>
      <c r="B926" t="str">
        <f>"8436548249403"</f>
        <v>8436548249403</v>
      </c>
      <c r="C926" t="s">
        <v>4934</v>
      </c>
      <c r="D926" t="s">
        <v>3332</v>
      </c>
      <c r="E926" t="s">
        <v>3344</v>
      </c>
    </row>
    <row r="927" spans="1:5" x14ac:dyDescent="0.25">
      <c r="A927" t="s">
        <v>3329</v>
      </c>
      <c r="B927" t="str">
        <f>"8436548249298"</f>
        <v>8436548249298</v>
      </c>
      <c r="C927" t="s">
        <v>4935</v>
      </c>
      <c r="D927" t="s">
        <v>3332</v>
      </c>
      <c r="E927" t="s">
        <v>3344</v>
      </c>
    </row>
    <row r="928" spans="1:5" x14ac:dyDescent="0.25">
      <c r="A928" t="s">
        <v>3329</v>
      </c>
      <c r="B928" t="str">
        <f>"8436548249281"</f>
        <v>8436548249281</v>
      </c>
      <c r="C928" t="s">
        <v>4936</v>
      </c>
      <c r="D928" t="s">
        <v>3332</v>
      </c>
      <c r="E928" t="s">
        <v>3344</v>
      </c>
    </row>
    <row r="929" spans="1:5" x14ac:dyDescent="0.25">
      <c r="A929" t="s">
        <v>3329</v>
      </c>
      <c r="B929" t="str">
        <f>"8436548249120"</f>
        <v>8436548249120</v>
      </c>
      <c r="C929" t="s">
        <v>4937</v>
      </c>
      <c r="D929" t="s">
        <v>3332</v>
      </c>
      <c r="E929" t="s">
        <v>3339</v>
      </c>
    </row>
    <row r="930" spans="1:5" x14ac:dyDescent="0.25">
      <c r="A930" t="s">
        <v>3329</v>
      </c>
      <c r="B930" t="str">
        <f>"8436548249113"</f>
        <v>8436548249113</v>
      </c>
      <c r="C930" t="s">
        <v>4938</v>
      </c>
      <c r="D930" t="s">
        <v>3332</v>
      </c>
      <c r="E930" t="s">
        <v>3339</v>
      </c>
    </row>
    <row r="931" spans="1:5" x14ac:dyDescent="0.25">
      <c r="A931" t="s">
        <v>3329</v>
      </c>
      <c r="B931" t="str">
        <f>"8436548249106"</f>
        <v>8436548249106</v>
      </c>
      <c r="C931" t="s">
        <v>4939</v>
      </c>
      <c r="D931" t="s">
        <v>3332</v>
      </c>
      <c r="E931" t="s">
        <v>3339</v>
      </c>
    </row>
    <row r="932" spans="1:5" x14ac:dyDescent="0.25">
      <c r="A932" t="s">
        <v>3329</v>
      </c>
      <c r="B932" t="str">
        <f>"8436548249090"</f>
        <v>8436548249090</v>
      </c>
      <c r="C932" t="s">
        <v>4940</v>
      </c>
      <c r="D932" t="s">
        <v>3332</v>
      </c>
      <c r="E932" t="s">
        <v>3339</v>
      </c>
    </row>
    <row r="933" spans="1:5" x14ac:dyDescent="0.25">
      <c r="A933" t="s">
        <v>3329</v>
      </c>
      <c r="B933" t="str">
        <f>"8436548249076"</f>
        <v>8436548249076</v>
      </c>
      <c r="C933" t="s">
        <v>4941</v>
      </c>
      <c r="D933" t="s">
        <v>3332</v>
      </c>
      <c r="E933" t="s">
        <v>3339</v>
      </c>
    </row>
    <row r="934" spans="1:5" x14ac:dyDescent="0.25">
      <c r="A934" t="s">
        <v>3329</v>
      </c>
      <c r="B934" t="str">
        <f>"8436548249069"</f>
        <v>8436548249069</v>
      </c>
      <c r="C934" t="s">
        <v>4942</v>
      </c>
      <c r="D934" t="s">
        <v>3332</v>
      </c>
      <c r="E934" t="s">
        <v>3339</v>
      </c>
    </row>
    <row r="935" spans="1:5" x14ac:dyDescent="0.25">
      <c r="A935" t="s">
        <v>3329</v>
      </c>
      <c r="B935" t="str">
        <f>"8436548249052"</f>
        <v>8436548249052</v>
      </c>
      <c r="C935" t="s">
        <v>4943</v>
      </c>
      <c r="D935" t="s">
        <v>3332</v>
      </c>
      <c r="E935" t="s">
        <v>3339</v>
      </c>
    </row>
    <row r="936" spans="1:5" x14ac:dyDescent="0.25">
      <c r="A936" t="s">
        <v>3329</v>
      </c>
      <c r="B936" t="str">
        <f>"8436548249045"</f>
        <v>8436548249045</v>
      </c>
      <c r="C936" t="s">
        <v>4944</v>
      </c>
      <c r="D936" t="s">
        <v>3332</v>
      </c>
      <c r="E936" t="s">
        <v>3339</v>
      </c>
    </row>
    <row r="937" spans="1:5" x14ac:dyDescent="0.25">
      <c r="A937" t="s">
        <v>3329</v>
      </c>
      <c r="B937" t="str">
        <f>"8436548249038"</f>
        <v>8436548249038</v>
      </c>
      <c r="C937" t="s">
        <v>4945</v>
      </c>
      <c r="D937" t="s">
        <v>3332</v>
      </c>
      <c r="E937" t="s">
        <v>3339</v>
      </c>
    </row>
    <row r="938" spans="1:5" x14ac:dyDescent="0.25">
      <c r="A938" t="s">
        <v>3329</v>
      </c>
      <c r="B938" t="str">
        <f>"8436548249014"</f>
        <v>8436548249014</v>
      </c>
      <c r="C938" t="s">
        <v>4946</v>
      </c>
      <c r="D938" t="s">
        <v>3332</v>
      </c>
      <c r="E938" t="s">
        <v>3339</v>
      </c>
    </row>
    <row r="939" spans="1:5" x14ac:dyDescent="0.25">
      <c r="A939" t="s">
        <v>3329</v>
      </c>
      <c r="B939" t="str">
        <f>"8436548249007"</f>
        <v>8436548249007</v>
      </c>
      <c r="C939" t="s">
        <v>4947</v>
      </c>
      <c r="D939" t="s">
        <v>3332</v>
      </c>
      <c r="E939" t="s">
        <v>3339</v>
      </c>
    </row>
    <row r="940" spans="1:5" x14ac:dyDescent="0.25">
      <c r="A940" t="s">
        <v>3329</v>
      </c>
      <c r="B940" t="str">
        <f>"8436548248987"</f>
        <v>8436548248987</v>
      </c>
      <c r="C940" t="s">
        <v>4948</v>
      </c>
      <c r="D940" t="s">
        <v>3332</v>
      </c>
      <c r="E940" t="s">
        <v>3339</v>
      </c>
    </row>
    <row r="941" spans="1:5" x14ac:dyDescent="0.25">
      <c r="A941" t="s">
        <v>3329</v>
      </c>
      <c r="B941" t="str">
        <f>"8436548248956"</f>
        <v>8436548248956</v>
      </c>
      <c r="C941" t="s">
        <v>4949</v>
      </c>
      <c r="D941" t="s">
        <v>3332</v>
      </c>
      <c r="E941" t="s">
        <v>3339</v>
      </c>
    </row>
    <row r="942" spans="1:5" x14ac:dyDescent="0.25">
      <c r="A942" t="s">
        <v>3329</v>
      </c>
      <c r="B942" t="str">
        <f>"8436548248949"</f>
        <v>8436548248949</v>
      </c>
      <c r="C942" t="s">
        <v>4950</v>
      </c>
      <c r="D942" t="s">
        <v>3332</v>
      </c>
      <c r="E942" t="s">
        <v>3339</v>
      </c>
    </row>
    <row r="943" spans="1:5" x14ac:dyDescent="0.25">
      <c r="A943" t="s">
        <v>3329</v>
      </c>
      <c r="B943" t="str">
        <f>"8436548248932"</f>
        <v>8436548248932</v>
      </c>
      <c r="C943" t="s">
        <v>4951</v>
      </c>
      <c r="D943" t="s">
        <v>3332</v>
      </c>
      <c r="E943" t="s">
        <v>3339</v>
      </c>
    </row>
    <row r="944" spans="1:5" x14ac:dyDescent="0.25">
      <c r="A944" t="s">
        <v>3329</v>
      </c>
      <c r="B944" t="str">
        <f>"8436548248925"</f>
        <v>8436548248925</v>
      </c>
      <c r="C944" t="s">
        <v>4952</v>
      </c>
      <c r="D944" t="s">
        <v>3332</v>
      </c>
      <c r="E944" t="s">
        <v>3339</v>
      </c>
    </row>
    <row r="945" spans="1:5" x14ac:dyDescent="0.25">
      <c r="A945" t="s">
        <v>3329</v>
      </c>
      <c r="B945" t="str">
        <f>"8436548248918"</f>
        <v>8436548248918</v>
      </c>
      <c r="C945" t="s">
        <v>4953</v>
      </c>
      <c r="D945" t="s">
        <v>3332</v>
      </c>
      <c r="E945" t="s">
        <v>3339</v>
      </c>
    </row>
    <row r="946" spans="1:5" x14ac:dyDescent="0.25">
      <c r="A946" t="s">
        <v>3329</v>
      </c>
      <c r="B946" t="str">
        <f>"8436548248901"</f>
        <v>8436548248901</v>
      </c>
      <c r="C946" t="s">
        <v>4954</v>
      </c>
      <c r="D946" t="s">
        <v>3332</v>
      </c>
      <c r="E946" t="s">
        <v>3339</v>
      </c>
    </row>
    <row r="947" spans="1:5" x14ac:dyDescent="0.25">
      <c r="A947" t="s">
        <v>3329</v>
      </c>
      <c r="B947" t="str">
        <f>"8436548248895"</f>
        <v>8436548248895</v>
      </c>
      <c r="C947" t="s">
        <v>4955</v>
      </c>
      <c r="D947" t="s">
        <v>3332</v>
      </c>
      <c r="E947" t="s">
        <v>3339</v>
      </c>
    </row>
    <row r="948" spans="1:5" x14ac:dyDescent="0.25">
      <c r="A948" t="s">
        <v>3329</v>
      </c>
      <c r="B948" t="str">
        <f>"8436548248888"</f>
        <v>8436548248888</v>
      </c>
      <c r="C948" t="s">
        <v>4956</v>
      </c>
      <c r="D948" t="s">
        <v>3332</v>
      </c>
      <c r="E948" t="s">
        <v>3339</v>
      </c>
    </row>
    <row r="949" spans="1:5" x14ac:dyDescent="0.25">
      <c r="A949" t="s">
        <v>3329</v>
      </c>
      <c r="B949" t="str">
        <f>"8436548248871"</f>
        <v>8436548248871</v>
      </c>
      <c r="C949" t="s">
        <v>4957</v>
      </c>
      <c r="D949" t="s">
        <v>3332</v>
      </c>
      <c r="E949" t="s">
        <v>3339</v>
      </c>
    </row>
    <row r="950" spans="1:5" x14ac:dyDescent="0.25">
      <c r="A950" t="s">
        <v>3329</v>
      </c>
      <c r="B950" t="str">
        <f>"8436548248864"</f>
        <v>8436548248864</v>
      </c>
      <c r="C950" t="s">
        <v>4958</v>
      </c>
      <c r="D950" t="s">
        <v>3332</v>
      </c>
      <c r="E950" t="s">
        <v>3339</v>
      </c>
    </row>
    <row r="951" spans="1:5" x14ac:dyDescent="0.25">
      <c r="A951" t="s">
        <v>3329</v>
      </c>
      <c r="B951" t="str">
        <f>"8436548248628"</f>
        <v>8436548248628</v>
      </c>
      <c r="C951" t="s">
        <v>4959</v>
      </c>
      <c r="D951" t="s">
        <v>3332</v>
      </c>
      <c r="E951" t="s">
        <v>3339</v>
      </c>
    </row>
    <row r="952" spans="1:5" x14ac:dyDescent="0.25">
      <c r="A952" t="s">
        <v>3329</v>
      </c>
      <c r="B952" t="str">
        <f>"8436548248598"</f>
        <v>8436548248598</v>
      </c>
      <c r="C952" t="s">
        <v>4960</v>
      </c>
      <c r="D952" t="s">
        <v>3332</v>
      </c>
      <c r="E952" t="s">
        <v>3339</v>
      </c>
    </row>
    <row r="953" spans="1:5" x14ac:dyDescent="0.25">
      <c r="A953" t="s">
        <v>3329</v>
      </c>
      <c r="B953" t="str">
        <f>"8436548248352"</f>
        <v>8436548248352</v>
      </c>
      <c r="C953" t="s">
        <v>4961</v>
      </c>
      <c r="D953" t="s">
        <v>3332</v>
      </c>
      <c r="E953" t="s">
        <v>3333</v>
      </c>
    </row>
    <row r="954" spans="1:5" x14ac:dyDescent="0.25">
      <c r="A954" t="s">
        <v>3329</v>
      </c>
      <c r="B954" t="str">
        <f>"8436548248253"</f>
        <v>8436548248253</v>
      </c>
      <c r="C954" t="s">
        <v>4962</v>
      </c>
      <c r="D954" t="s">
        <v>3332</v>
      </c>
      <c r="E954" t="s">
        <v>3333</v>
      </c>
    </row>
    <row r="955" spans="1:5" x14ac:dyDescent="0.25">
      <c r="A955" t="s">
        <v>3329</v>
      </c>
      <c r="B955" t="str">
        <f>"8436548248246"</f>
        <v>8436548248246</v>
      </c>
      <c r="C955" t="s">
        <v>4963</v>
      </c>
      <c r="D955" t="s">
        <v>3332</v>
      </c>
      <c r="E955" t="s">
        <v>3333</v>
      </c>
    </row>
    <row r="956" spans="1:5" x14ac:dyDescent="0.25">
      <c r="A956" t="s">
        <v>3329</v>
      </c>
      <c r="B956" t="str">
        <f>"8436548248239"</f>
        <v>8436548248239</v>
      </c>
      <c r="C956" t="s">
        <v>4964</v>
      </c>
      <c r="D956" t="s">
        <v>3332</v>
      </c>
      <c r="E956" t="s">
        <v>3333</v>
      </c>
    </row>
    <row r="957" spans="1:5" x14ac:dyDescent="0.25">
      <c r="A957" t="s">
        <v>3329</v>
      </c>
      <c r="B957" t="str">
        <f>"8436548248222"</f>
        <v>8436548248222</v>
      </c>
      <c r="C957" t="s">
        <v>4965</v>
      </c>
      <c r="D957" t="s">
        <v>3332</v>
      </c>
      <c r="E957" t="s">
        <v>3333</v>
      </c>
    </row>
    <row r="958" spans="1:5" x14ac:dyDescent="0.25">
      <c r="A958" t="s">
        <v>3329</v>
      </c>
      <c r="B958" t="str">
        <f>"8436548248208"</f>
        <v>8436548248208</v>
      </c>
      <c r="C958" t="s">
        <v>4966</v>
      </c>
      <c r="D958" t="s">
        <v>3332</v>
      </c>
      <c r="E958" t="s">
        <v>3333</v>
      </c>
    </row>
    <row r="959" spans="1:5" x14ac:dyDescent="0.25">
      <c r="A959" t="s">
        <v>3329</v>
      </c>
      <c r="B959" t="str">
        <f>"8436548248192"</f>
        <v>8436548248192</v>
      </c>
      <c r="C959" t="s">
        <v>4967</v>
      </c>
      <c r="D959" t="s">
        <v>3332</v>
      </c>
      <c r="E959" t="s">
        <v>3333</v>
      </c>
    </row>
    <row r="960" spans="1:5" x14ac:dyDescent="0.25">
      <c r="A960" t="s">
        <v>3329</v>
      </c>
      <c r="B960" t="str">
        <f>"8436548248185"</f>
        <v>8436548248185</v>
      </c>
      <c r="C960" t="s">
        <v>4968</v>
      </c>
      <c r="D960" t="s">
        <v>3332</v>
      </c>
      <c r="E960" t="s">
        <v>3333</v>
      </c>
    </row>
    <row r="961" spans="1:5" x14ac:dyDescent="0.25">
      <c r="A961" t="s">
        <v>3329</v>
      </c>
      <c r="B961" t="str">
        <f>"8436548248178"</f>
        <v>8436548248178</v>
      </c>
      <c r="C961" t="s">
        <v>4969</v>
      </c>
      <c r="D961" t="s">
        <v>3332</v>
      </c>
      <c r="E961" t="s">
        <v>3333</v>
      </c>
    </row>
    <row r="962" spans="1:5" x14ac:dyDescent="0.25">
      <c r="A962" t="s">
        <v>3329</v>
      </c>
      <c r="B962" t="s">
        <v>4970</v>
      </c>
      <c r="C962" t="s">
        <v>4971</v>
      </c>
      <c r="D962" t="s">
        <v>3332</v>
      </c>
      <c r="E962" t="s">
        <v>3344</v>
      </c>
    </row>
    <row r="963" spans="1:5" x14ac:dyDescent="0.25">
      <c r="A963" t="s">
        <v>3329</v>
      </c>
      <c r="B963" t="str">
        <f>"8436548247997"</f>
        <v>8436548247997</v>
      </c>
      <c r="C963" t="s">
        <v>4972</v>
      </c>
      <c r="D963" t="s">
        <v>3332</v>
      </c>
      <c r="E963" t="s">
        <v>3344</v>
      </c>
    </row>
    <row r="964" spans="1:5" x14ac:dyDescent="0.25">
      <c r="A964" t="s">
        <v>3329</v>
      </c>
      <c r="B964" t="str">
        <f>"8436548247744"</f>
        <v>8436548247744</v>
      </c>
      <c r="C964" t="s">
        <v>4973</v>
      </c>
      <c r="D964" t="s">
        <v>3332</v>
      </c>
      <c r="E964" t="s">
        <v>3339</v>
      </c>
    </row>
    <row r="965" spans="1:5" x14ac:dyDescent="0.25">
      <c r="A965" t="s">
        <v>3329</v>
      </c>
      <c r="B965" t="s">
        <v>4974</v>
      </c>
      <c r="C965" t="s">
        <v>4975</v>
      </c>
      <c r="D965" t="s">
        <v>3332</v>
      </c>
      <c r="E965" t="s">
        <v>3339</v>
      </c>
    </row>
    <row r="966" spans="1:5" x14ac:dyDescent="0.25">
      <c r="A966" t="s">
        <v>3329</v>
      </c>
      <c r="B966" t="str">
        <f>"8436548247706"</f>
        <v>8436548247706</v>
      </c>
      <c r="C966" t="s">
        <v>4976</v>
      </c>
      <c r="D966" t="s">
        <v>3332</v>
      </c>
      <c r="E966" t="s">
        <v>3339</v>
      </c>
    </row>
    <row r="967" spans="1:5" x14ac:dyDescent="0.25">
      <c r="A967" t="s">
        <v>3329</v>
      </c>
      <c r="B967" t="s">
        <v>4977</v>
      </c>
      <c r="C967" t="s">
        <v>4978</v>
      </c>
      <c r="D967" t="s">
        <v>3332</v>
      </c>
      <c r="E967" t="s">
        <v>3339</v>
      </c>
    </row>
    <row r="968" spans="1:5" x14ac:dyDescent="0.25">
      <c r="A968" t="s">
        <v>3329</v>
      </c>
      <c r="B968" t="str">
        <f>"8436548247676"</f>
        <v>8436548247676</v>
      </c>
      <c r="C968" t="s">
        <v>4979</v>
      </c>
      <c r="D968" t="s">
        <v>3332</v>
      </c>
      <c r="E968" t="s">
        <v>3339</v>
      </c>
    </row>
    <row r="969" spans="1:5" x14ac:dyDescent="0.25">
      <c r="A969" t="s">
        <v>3329</v>
      </c>
      <c r="B969" t="s">
        <v>4980</v>
      </c>
      <c r="C969" t="s">
        <v>4981</v>
      </c>
      <c r="D969" t="s">
        <v>3332</v>
      </c>
      <c r="E969" t="s">
        <v>3339</v>
      </c>
    </row>
    <row r="970" spans="1:5" x14ac:dyDescent="0.25">
      <c r="A970" t="s">
        <v>3329</v>
      </c>
      <c r="B970" t="s">
        <v>4982</v>
      </c>
      <c r="C970" t="s">
        <v>4983</v>
      </c>
      <c r="D970" t="s">
        <v>3332</v>
      </c>
      <c r="E970" t="s">
        <v>3339</v>
      </c>
    </row>
    <row r="971" spans="1:5" x14ac:dyDescent="0.25">
      <c r="A971" t="s">
        <v>3329</v>
      </c>
      <c r="B971" t="str">
        <f>"8436548247256"</f>
        <v>8436548247256</v>
      </c>
      <c r="C971" t="s">
        <v>4984</v>
      </c>
      <c r="D971" t="s">
        <v>3332</v>
      </c>
      <c r="E971" t="s">
        <v>3344</v>
      </c>
    </row>
    <row r="972" spans="1:5" x14ac:dyDescent="0.25">
      <c r="A972" t="s">
        <v>3329</v>
      </c>
      <c r="B972" t="str">
        <f>"8436548247201"</f>
        <v>8436548247201</v>
      </c>
      <c r="C972" t="s">
        <v>4985</v>
      </c>
      <c r="D972" t="s">
        <v>3332</v>
      </c>
      <c r="E972" t="s">
        <v>3339</v>
      </c>
    </row>
    <row r="973" spans="1:5" x14ac:dyDescent="0.25">
      <c r="A973" t="s">
        <v>3329</v>
      </c>
      <c r="B973" t="str">
        <f>"8436548246143"</f>
        <v>8436548246143</v>
      </c>
      <c r="C973" t="s">
        <v>4986</v>
      </c>
      <c r="D973" t="s">
        <v>3332</v>
      </c>
      <c r="E973" t="s">
        <v>3333</v>
      </c>
    </row>
    <row r="974" spans="1:5" x14ac:dyDescent="0.25">
      <c r="A974" t="s">
        <v>3329</v>
      </c>
      <c r="B974" t="str">
        <f>"8436548245610"</f>
        <v>8436548245610</v>
      </c>
      <c r="C974" t="s">
        <v>4987</v>
      </c>
      <c r="D974" t="s">
        <v>3332</v>
      </c>
      <c r="E974" t="s">
        <v>3339</v>
      </c>
    </row>
    <row r="975" spans="1:5" x14ac:dyDescent="0.25">
      <c r="A975" t="s">
        <v>3329</v>
      </c>
      <c r="B975" t="str">
        <f>"8436548245474"</f>
        <v>8436548245474</v>
      </c>
      <c r="C975" t="s">
        <v>4988</v>
      </c>
      <c r="D975" t="s">
        <v>3332</v>
      </c>
      <c r="E975" t="s">
        <v>3339</v>
      </c>
    </row>
    <row r="976" spans="1:5" x14ac:dyDescent="0.25">
      <c r="A976" t="s">
        <v>3329</v>
      </c>
      <c r="B976" t="str">
        <f>"8436548244972"</f>
        <v>8436548244972</v>
      </c>
      <c r="C976" t="s">
        <v>4989</v>
      </c>
      <c r="D976" t="s">
        <v>3332</v>
      </c>
      <c r="E976" t="s">
        <v>3344</v>
      </c>
    </row>
    <row r="977" spans="1:5" x14ac:dyDescent="0.25">
      <c r="A977" t="s">
        <v>3329</v>
      </c>
      <c r="B977" t="str">
        <f>"8436548244958"</f>
        <v>8436548244958</v>
      </c>
      <c r="C977" t="s">
        <v>4990</v>
      </c>
      <c r="D977" t="s">
        <v>3332</v>
      </c>
      <c r="E977" t="s">
        <v>3344</v>
      </c>
    </row>
    <row r="978" spans="1:5" x14ac:dyDescent="0.25">
      <c r="A978" t="s">
        <v>3329</v>
      </c>
      <c r="B978" t="str">
        <f>"8436548243586"</f>
        <v>8436548243586</v>
      </c>
      <c r="C978" t="s">
        <v>4991</v>
      </c>
      <c r="D978" t="s">
        <v>3332</v>
      </c>
      <c r="E978" t="s">
        <v>3344</v>
      </c>
    </row>
    <row r="979" spans="1:5" x14ac:dyDescent="0.25">
      <c r="A979" t="s">
        <v>3329</v>
      </c>
      <c r="B979" t="str">
        <f>"8436548241278"</f>
        <v>8436548241278</v>
      </c>
      <c r="C979" t="s">
        <v>4992</v>
      </c>
      <c r="D979" t="s">
        <v>3332</v>
      </c>
      <c r="E979" t="s">
        <v>3344</v>
      </c>
    </row>
    <row r="980" spans="1:5" x14ac:dyDescent="0.25">
      <c r="A980" t="s">
        <v>3329</v>
      </c>
      <c r="B980" t="str">
        <f>"8436548241216"</f>
        <v>8436548241216</v>
      </c>
      <c r="C980" t="s">
        <v>4993</v>
      </c>
      <c r="D980" t="s">
        <v>3332</v>
      </c>
      <c r="E980" t="s">
        <v>3333</v>
      </c>
    </row>
    <row r="981" spans="1:5" x14ac:dyDescent="0.25">
      <c r="A981" t="s">
        <v>3329</v>
      </c>
      <c r="B981" t="str">
        <f>"8436548240103"</f>
        <v>8436548240103</v>
      </c>
      <c r="C981" t="s">
        <v>4994</v>
      </c>
      <c r="D981" t="s">
        <v>3332</v>
      </c>
      <c r="E981" t="s">
        <v>3344</v>
      </c>
    </row>
    <row r="982" spans="1:5" x14ac:dyDescent="0.25">
      <c r="A982" t="s">
        <v>3329</v>
      </c>
      <c r="B982" t="s">
        <v>4995</v>
      </c>
      <c r="C982" t="s">
        <v>4996</v>
      </c>
      <c r="D982" t="s">
        <v>3332</v>
      </c>
      <c r="E982" t="s">
        <v>3344</v>
      </c>
    </row>
    <row r="983" spans="1:5" x14ac:dyDescent="0.25">
      <c r="A983" t="s">
        <v>3329</v>
      </c>
      <c r="B983" t="str">
        <f>"8436520099484"</f>
        <v>8436520099484</v>
      </c>
      <c r="C983" t="s">
        <v>4997</v>
      </c>
      <c r="D983" t="s">
        <v>3332</v>
      </c>
      <c r="E983" t="s">
        <v>3339</v>
      </c>
    </row>
    <row r="984" spans="1:5" x14ac:dyDescent="0.25">
      <c r="A984" t="s">
        <v>3329</v>
      </c>
      <c r="B984" t="str">
        <f>"8436049568454"</f>
        <v>8436049568454</v>
      </c>
      <c r="C984" t="s">
        <v>4998</v>
      </c>
      <c r="D984" t="s">
        <v>3332</v>
      </c>
      <c r="E984" t="s">
        <v>3333</v>
      </c>
    </row>
    <row r="985" spans="1:5" x14ac:dyDescent="0.25">
      <c r="A985" t="s">
        <v>3329</v>
      </c>
      <c r="B985" t="str">
        <f>"8436049561295"</f>
        <v>8436049561295</v>
      </c>
      <c r="C985" t="s">
        <v>4999</v>
      </c>
      <c r="D985" t="s">
        <v>3332</v>
      </c>
      <c r="E985" t="s">
        <v>3333</v>
      </c>
    </row>
    <row r="986" spans="1:5" x14ac:dyDescent="0.25">
      <c r="A986" t="s">
        <v>3329</v>
      </c>
      <c r="B986" t="str">
        <f>"8436049561271"</f>
        <v>8436049561271</v>
      </c>
      <c r="C986" t="s">
        <v>5000</v>
      </c>
      <c r="D986" t="s">
        <v>3332</v>
      </c>
      <c r="E986" t="s">
        <v>3333</v>
      </c>
    </row>
    <row r="987" spans="1:5" x14ac:dyDescent="0.25">
      <c r="A987" t="s">
        <v>3329</v>
      </c>
      <c r="B987" t="s">
        <v>5001</v>
      </c>
      <c r="C987" t="s">
        <v>5002</v>
      </c>
      <c r="D987" t="s">
        <v>3332</v>
      </c>
      <c r="E987" t="s">
        <v>3336</v>
      </c>
    </row>
    <row r="988" spans="1:5" x14ac:dyDescent="0.25">
      <c r="A988" t="s">
        <v>3329</v>
      </c>
      <c r="B988" t="str">
        <f>"8435778902805"</f>
        <v>8435778902805</v>
      </c>
      <c r="C988" t="s">
        <v>5003</v>
      </c>
      <c r="D988" t="s">
        <v>3332</v>
      </c>
      <c r="E988" t="s">
        <v>3339</v>
      </c>
    </row>
    <row r="989" spans="1:5" x14ac:dyDescent="0.25">
      <c r="A989" t="s">
        <v>3329</v>
      </c>
      <c r="B989" t="str">
        <f>"8435778902799"</f>
        <v>8435778902799</v>
      </c>
      <c r="C989" t="s">
        <v>5004</v>
      </c>
      <c r="D989" t="s">
        <v>3332</v>
      </c>
      <c r="E989" t="s">
        <v>3339</v>
      </c>
    </row>
    <row r="990" spans="1:5" x14ac:dyDescent="0.25">
      <c r="A990" t="s">
        <v>3329</v>
      </c>
      <c r="B990" t="str">
        <f>"8435778902782"</f>
        <v>8435778902782</v>
      </c>
      <c r="C990" t="s">
        <v>5005</v>
      </c>
      <c r="D990" t="s">
        <v>3332</v>
      </c>
      <c r="E990" t="s">
        <v>3339</v>
      </c>
    </row>
    <row r="991" spans="1:5" x14ac:dyDescent="0.25">
      <c r="A991" t="s">
        <v>3329</v>
      </c>
      <c r="B991" t="str">
        <f>"8435778902775"</f>
        <v>8435778902775</v>
      </c>
      <c r="C991" t="s">
        <v>5006</v>
      </c>
      <c r="D991" t="s">
        <v>3332</v>
      </c>
      <c r="E991" t="s">
        <v>3339</v>
      </c>
    </row>
    <row r="992" spans="1:5" x14ac:dyDescent="0.25">
      <c r="A992" t="s">
        <v>3329</v>
      </c>
      <c r="B992" t="str">
        <f>"8435778902751"</f>
        <v>8435778902751</v>
      </c>
      <c r="C992" t="s">
        <v>5007</v>
      </c>
      <c r="D992" t="s">
        <v>3332</v>
      </c>
      <c r="E992" t="s">
        <v>3339</v>
      </c>
    </row>
    <row r="993" spans="1:5" x14ac:dyDescent="0.25">
      <c r="A993" t="s">
        <v>3329</v>
      </c>
      <c r="B993" t="str">
        <f>"8435778902744"</f>
        <v>8435778902744</v>
      </c>
      <c r="C993" t="s">
        <v>5008</v>
      </c>
      <c r="D993" t="s">
        <v>3332</v>
      </c>
      <c r="E993" t="s">
        <v>3339</v>
      </c>
    </row>
    <row r="994" spans="1:5" x14ac:dyDescent="0.25">
      <c r="A994" t="s">
        <v>3329</v>
      </c>
      <c r="B994" t="str">
        <f>"8435778902706"</f>
        <v>8435778902706</v>
      </c>
      <c r="C994" t="s">
        <v>5009</v>
      </c>
      <c r="D994" t="s">
        <v>3332</v>
      </c>
      <c r="E994" t="s">
        <v>3339</v>
      </c>
    </row>
    <row r="995" spans="1:5" x14ac:dyDescent="0.25">
      <c r="A995" t="s">
        <v>3329</v>
      </c>
      <c r="B995" t="str">
        <f>"8435778902669"</f>
        <v>8435778902669</v>
      </c>
      <c r="C995" t="s">
        <v>5010</v>
      </c>
      <c r="D995" t="s">
        <v>3332</v>
      </c>
      <c r="E995" t="s">
        <v>3339</v>
      </c>
    </row>
    <row r="996" spans="1:5" x14ac:dyDescent="0.25">
      <c r="A996" t="s">
        <v>3329</v>
      </c>
      <c r="B996" t="str">
        <f>"8435778902645"</f>
        <v>8435778902645</v>
      </c>
      <c r="C996" t="s">
        <v>5011</v>
      </c>
      <c r="D996" t="s">
        <v>3332</v>
      </c>
      <c r="E996" t="s">
        <v>3339</v>
      </c>
    </row>
    <row r="997" spans="1:5" x14ac:dyDescent="0.25">
      <c r="A997" t="s">
        <v>3329</v>
      </c>
      <c r="B997" t="str">
        <f>"8435778902638"</f>
        <v>8435778902638</v>
      </c>
      <c r="C997" t="s">
        <v>5012</v>
      </c>
      <c r="D997" t="s">
        <v>3332</v>
      </c>
      <c r="E997" t="s">
        <v>3339</v>
      </c>
    </row>
    <row r="998" spans="1:5" x14ac:dyDescent="0.25">
      <c r="A998" t="s">
        <v>3329</v>
      </c>
      <c r="B998" t="str">
        <f>"8435778902621"</f>
        <v>8435778902621</v>
      </c>
      <c r="C998" t="s">
        <v>5013</v>
      </c>
      <c r="D998" t="s">
        <v>3332</v>
      </c>
      <c r="E998" t="s">
        <v>3339</v>
      </c>
    </row>
    <row r="999" spans="1:5" x14ac:dyDescent="0.25">
      <c r="A999" t="s">
        <v>3329</v>
      </c>
      <c r="B999" t="str">
        <f>"8435778902317"</f>
        <v>8435778902317</v>
      </c>
      <c r="C999" t="s">
        <v>5014</v>
      </c>
      <c r="D999" t="s">
        <v>3332</v>
      </c>
      <c r="E999" t="s">
        <v>3339</v>
      </c>
    </row>
    <row r="1000" spans="1:5" x14ac:dyDescent="0.25">
      <c r="A1000" t="s">
        <v>3329</v>
      </c>
      <c r="B1000" t="str">
        <f>"8435778901884"</f>
        <v>8435778901884</v>
      </c>
      <c r="C1000" t="s">
        <v>5015</v>
      </c>
      <c r="D1000" t="s">
        <v>3332</v>
      </c>
      <c r="E1000" t="s">
        <v>3336</v>
      </c>
    </row>
    <row r="1001" spans="1:5" x14ac:dyDescent="0.25">
      <c r="A1001" t="s">
        <v>3329</v>
      </c>
      <c r="B1001" t="str">
        <f>"8435778901877"</f>
        <v>8435778901877</v>
      </c>
      <c r="C1001" t="s">
        <v>5016</v>
      </c>
      <c r="D1001" t="s">
        <v>3332</v>
      </c>
      <c r="E1001" t="s">
        <v>3336</v>
      </c>
    </row>
    <row r="1002" spans="1:5" x14ac:dyDescent="0.25">
      <c r="A1002" t="s">
        <v>3329</v>
      </c>
      <c r="B1002" t="str">
        <f>"8435778901860"</f>
        <v>8435778901860</v>
      </c>
      <c r="C1002" t="s">
        <v>5017</v>
      </c>
      <c r="D1002" t="s">
        <v>3332</v>
      </c>
      <c r="E1002" t="s">
        <v>3336</v>
      </c>
    </row>
    <row r="1003" spans="1:5" x14ac:dyDescent="0.25">
      <c r="A1003" t="s">
        <v>3329</v>
      </c>
      <c r="B1003" t="str">
        <f>"8435778901785"</f>
        <v>8435778901785</v>
      </c>
      <c r="C1003" t="s">
        <v>5018</v>
      </c>
      <c r="D1003" t="s">
        <v>3332</v>
      </c>
      <c r="E1003" t="s">
        <v>3336</v>
      </c>
    </row>
    <row r="1004" spans="1:5" x14ac:dyDescent="0.25">
      <c r="A1004" t="s">
        <v>3329</v>
      </c>
      <c r="B1004" t="str">
        <f>"8435778901778"</f>
        <v>8435778901778</v>
      </c>
      <c r="C1004" t="s">
        <v>5019</v>
      </c>
      <c r="D1004" t="s">
        <v>3332</v>
      </c>
      <c r="E1004" t="s">
        <v>3336</v>
      </c>
    </row>
    <row r="1005" spans="1:5" x14ac:dyDescent="0.25">
      <c r="A1005" t="s">
        <v>3329</v>
      </c>
      <c r="B1005" t="str">
        <f>"8435778901761"</f>
        <v>8435778901761</v>
      </c>
      <c r="C1005" t="s">
        <v>5020</v>
      </c>
      <c r="D1005" t="s">
        <v>3332</v>
      </c>
      <c r="E1005" t="s">
        <v>3336</v>
      </c>
    </row>
    <row r="1006" spans="1:5" x14ac:dyDescent="0.25">
      <c r="A1006" t="s">
        <v>3329</v>
      </c>
      <c r="B1006" t="str">
        <f>"8435778901686"</f>
        <v>8435778901686</v>
      </c>
      <c r="C1006" t="s">
        <v>5021</v>
      </c>
      <c r="D1006" t="s">
        <v>3332</v>
      </c>
      <c r="E1006" t="s">
        <v>3336</v>
      </c>
    </row>
    <row r="1007" spans="1:5" x14ac:dyDescent="0.25">
      <c r="A1007" t="s">
        <v>3329</v>
      </c>
      <c r="B1007" t="str">
        <f>"8435778901679"</f>
        <v>8435778901679</v>
      </c>
      <c r="C1007" t="s">
        <v>5022</v>
      </c>
      <c r="D1007" t="s">
        <v>3332</v>
      </c>
      <c r="E1007" t="s">
        <v>3336</v>
      </c>
    </row>
    <row r="1008" spans="1:5" x14ac:dyDescent="0.25">
      <c r="A1008" t="s">
        <v>3329</v>
      </c>
      <c r="B1008" t="str">
        <f>"8435778901662"</f>
        <v>8435778901662</v>
      </c>
      <c r="C1008" t="s">
        <v>5023</v>
      </c>
      <c r="D1008" t="s">
        <v>3332</v>
      </c>
      <c r="E1008" t="s">
        <v>3336</v>
      </c>
    </row>
    <row r="1009" spans="1:5" x14ac:dyDescent="0.25">
      <c r="A1009" t="s">
        <v>3329</v>
      </c>
      <c r="B1009" t="str">
        <f>"8435778901587"</f>
        <v>8435778901587</v>
      </c>
      <c r="C1009" t="s">
        <v>5024</v>
      </c>
      <c r="D1009" t="s">
        <v>3332</v>
      </c>
      <c r="E1009" t="s">
        <v>3336</v>
      </c>
    </row>
    <row r="1010" spans="1:5" x14ac:dyDescent="0.25">
      <c r="A1010" t="s">
        <v>3329</v>
      </c>
      <c r="B1010" t="str">
        <f>"8435778901570"</f>
        <v>8435778901570</v>
      </c>
      <c r="C1010" t="s">
        <v>5025</v>
      </c>
      <c r="D1010" t="s">
        <v>3332</v>
      </c>
      <c r="E1010" t="s">
        <v>3336</v>
      </c>
    </row>
    <row r="1011" spans="1:5" x14ac:dyDescent="0.25">
      <c r="A1011" t="s">
        <v>3329</v>
      </c>
      <c r="B1011" t="str">
        <f>"8435778901563"</f>
        <v>8435778901563</v>
      </c>
      <c r="C1011" t="s">
        <v>5026</v>
      </c>
      <c r="D1011" t="s">
        <v>3332</v>
      </c>
      <c r="E1011" t="s">
        <v>3336</v>
      </c>
    </row>
    <row r="1012" spans="1:5" x14ac:dyDescent="0.25">
      <c r="A1012" t="s">
        <v>3329</v>
      </c>
      <c r="B1012" t="str">
        <f>"8435778901556"</f>
        <v>8435778901556</v>
      </c>
      <c r="C1012" t="s">
        <v>5027</v>
      </c>
      <c r="D1012" t="s">
        <v>3332</v>
      </c>
      <c r="E1012" t="s">
        <v>3336</v>
      </c>
    </row>
    <row r="1013" spans="1:5" x14ac:dyDescent="0.25">
      <c r="A1013" t="s">
        <v>3329</v>
      </c>
      <c r="B1013" t="str">
        <f>"8435778901532"</f>
        <v>8435778901532</v>
      </c>
      <c r="C1013" t="s">
        <v>5028</v>
      </c>
      <c r="D1013" t="s">
        <v>3332</v>
      </c>
      <c r="E1013" t="s">
        <v>3336</v>
      </c>
    </row>
    <row r="1014" spans="1:5" x14ac:dyDescent="0.25">
      <c r="A1014" t="s">
        <v>3329</v>
      </c>
      <c r="B1014" t="str">
        <f>"8435778901525"</f>
        <v>8435778901525</v>
      </c>
      <c r="C1014" t="s">
        <v>5029</v>
      </c>
      <c r="D1014" t="s">
        <v>3332</v>
      </c>
      <c r="E1014" t="s">
        <v>3336</v>
      </c>
    </row>
    <row r="1015" spans="1:5" x14ac:dyDescent="0.25">
      <c r="A1015" t="s">
        <v>3329</v>
      </c>
      <c r="B1015" t="str">
        <f>"8435778901518"</f>
        <v>8435778901518</v>
      </c>
      <c r="C1015" t="s">
        <v>5030</v>
      </c>
      <c r="D1015" t="s">
        <v>3332</v>
      </c>
      <c r="E1015" t="s">
        <v>3336</v>
      </c>
    </row>
    <row r="1016" spans="1:5" x14ac:dyDescent="0.25">
      <c r="A1016" t="s">
        <v>3329</v>
      </c>
      <c r="B1016" t="str">
        <f>"8435778901501"</f>
        <v>8435778901501</v>
      </c>
      <c r="C1016" t="s">
        <v>5031</v>
      </c>
      <c r="D1016" t="s">
        <v>3332</v>
      </c>
      <c r="E1016" t="s">
        <v>3336</v>
      </c>
    </row>
    <row r="1017" spans="1:5" x14ac:dyDescent="0.25">
      <c r="A1017" t="s">
        <v>3329</v>
      </c>
      <c r="B1017" t="str">
        <f>"8435778901433"</f>
        <v>8435778901433</v>
      </c>
      <c r="C1017" t="s">
        <v>5032</v>
      </c>
      <c r="D1017" t="s">
        <v>3332</v>
      </c>
      <c r="E1017" t="s">
        <v>3336</v>
      </c>
    </row>
    <row r="1018" spans="1:5" x14ac:dyDescent="0.25">
      <c r="A1018" t="s">
        <v>3329</v>
      </c>
      <c r="B1018" t="str">
        <f>"8435778901426"</f>
        <v>8435778901426</v>
      </c>
      <c r="C1018" t="s">
        <v>5033</v>
      </c>
      <c r="D1018" t="s">
        <v>3332</v>
      </c>
      <c r="E1018" t="s">
        <v>3336</v>
      </c>
    </row>
    <row r="1019" spans="1:5" x14ac:dyDescent="0.25">
      <c r="A1019" t="s">
        <v>3329</v>
      </c>
      <c r="B1019" t="str">
        <f>"8435778901419"</f>
        <v>8435778901419</v>
      </c>
      <c r="C1019" t="s">
        <v>5034</v>
      </c>
      <c r="D1019" t="s">
        <v>3332</v>
      </c>
      <c r="E1019" t="s">
        <v>3336</v>
      </c>
    </row>
    <row r="1020" spans="1:5" x14ac:dyDescent="0.25">
      <c r="A1020" t="s">
        <v>3329</v>
      </c>
      <c r="B1020" t="str">
        <f>"8435778901402"</f>
        <v>8435778901402</v>
      </c>
      <c r="C1020" t="s">
        <v>5035</v>
      </c>
      <c r="D1020" t="s">
        <v>3332</v>
      </c>
      <c r="E1020" t="s">
        <v>3336</v>
      </c>
    </row>
    <row r="1021" spans="1:5" x14ac:dyDescent="0.25">
      <c r="A1021" t="s">
        <v>3329</v>
      </c>
      <c r="B1021" t="str">
        <f>"8435778901334"</f>
        <v>8435778901334</v>
      </c>
      <c r="C1021" t="s">
        <v>5036</v>
      </c>
      <c r="D1021" t="s">
        <v>3332</v>
      </c>
      <c r="E1021" t="s">
        <v>3336</v>
      </c>
    </row>
    <row r="1022" spans="1:5" x14ac:dyDescent="0.25">
      <c r="A1022" t="s">
        <v>3329</v>
      </c>
      <c r="B1022" t="str">
        <f>"8435778901327"</f>
        <v>8435778901327</v>
      </c>
      <c r="C1022" t="s">
        <v>5037</v>
      </c>
      <c r="D1022" t="s">
        <v>3332</v>
      </c>
      <c r="E1022" t="s">
        <v>3336</v>
      </c>
    </row>
    <row r="1023" spans="1:5" x14ac:dyDescent="0.25">
      <c r="A1023" t="s">
        <v>3329</v>
      </c>
      <c r="B1023" t="str">
        <f>"8435778901310"</f>
        <v>8435778901310</v>
      </c>
      <c r="C1023" t="s">
        <v>5038</v>
      </c>
      <c r="D1023" t="s">
        <v>3332</v>
      </c>
      <c r="E1023" t="s">
        <v>3336</v>
      </c>
    </row>
    <row r="1024" spans="1:5" x14ac:dyDescent="0.25">
      <c r="A1024" t="s">
        <v>3329</v>
      </c>
      <c r="B1024" t="str">
        <f>"8435778901303"</f>
        <v>8435778901303</v>
      </c>
      <c r="C1024" t="s">
        <v>5039</v>
      </c>
      <c r="D1024" t="s">
        <v>3332</v>
      </c>
      <c r="E1024" t="s">
        <v>3336</v>
      </c>
    </row>
    <row r="1025" spans="1:5" x14ac:dyDescent="0.25">
      <c r="A1025" t="s">
        <v>3329</v>
      </c>
      <c r="B1025" t="str">
        <f>"8435778900528"</f>
        <v>8435778900528</v>
      </c>
      <c r="C1025" t="s">
        <v>5040</v>
      </c>
      <c r="D1025" t="s">
        <v>3332</v>
      </c>
      <c r="E1025" t="s">
        <v>3344</v>
      </c>
    </row>
    <row r="1026" spans="1:5" x14ac:dyDescent="0.25">
      <c r="A1026" t="s">
        <v>3329</v>
      </c>
      <c r="B1026" t="str">
        <f>"8435778900511"</f>
        <v>8435778900511</v>
      </c>
      <c r="C1026" t="s">
        <v>5041</v>
      </c>
      <c r="D1026" t="s">
        <v>3332</v>
      </c>
      <c r="E1026" t="s">
        <v>3344</v>
      </c>
    </row>
    <row r="1027" spans="1:5" x14ac:dyDescent="0.25">
      <c r="A1027" t="s">
        <v>3329</v>
      </c>
      <c r="B1027" t="str">
        <f>"8435778900504"</f>
        <v>8435778900504</v>
      </c>
      <c r="C1027" t="s">
        <v>5042</v>
      </c>
      <c r="D1027" t="s">
        <v>3332</v>
      </c>
      <c r="E1027" t="s">
        <v>3344</v>
      </c>
    </row>
    <row r="1028" spans="1:5" x14ac:dyDescent="0.25">
      <c r="A1028" t="s">
        <v>3329</v>
      </c>
      <c r="B1028" t="str">
        <f>"8435778900498"</f>
        <v>8435778900498</v>
      </c>
      <c r="C1028" t="s">
        <v>5043</v>
      </c>
      <c r="D1028" t="s">
        <v>3332</v>
      </c>
      <c r="E1028" t="s">
        <v>3344</v>
      </c>
    </row>
    <row r="1029" spans="1:5" x14ac:dyDescent="0.25">
      <c r="A1029" t="s">
        <v>3329</v>
      </c>
      <c r="B1029" t="str">
        <f>"8435778900320"</f>
        <v>8435778900320</v>
      </c>
      <c r="C1029" t="s">
        <v>5044</v>
      </c>
      <c r="D1029" t="s">
        <v>3332</v>
      </c>
      <c r="E1029" t="s">
        <v>3339</v>
      </c>
    </row>
    <row r="1030" spans="1:5" x14ac:dyDescent="0.25">
      <c r="A1030" t="s">
        <v>3329</v>
      </c>
      <c r="B1030" t="str">
        <f>"8435762906079"</f>
        <v>8435762906079</v>
      </c>
      <c r="C1030" t="s">
        <v>5045</v>
      </c>
      <c r="D1030" t="s">
        <v>3332</v>
      </c>
      <c r="E1030" t="s">
        <v>3339</v>
      </c>
    </row>
    <row r="1031" spans="1:5" x14ac:dyDescent="0.25">
      <c r="A1031" t="s">
        <v>3329</v>
      </c>
      <c r="B1031" t="str">
        <f>"8435762904662"</f>
        <v>8435762904662</v>
      </c>
      <c r="C1031" t="s">
        <v>5046</v>
      </c>
      <c r="D1031" t="s">
        <v>3332</v>
      </c>
      <c r="E1031" t="s">
        <v>3336</v>
      </c>
    </row>
    <row r="1032" spans="1:5" x14ac:dyDescent="0.25">
      <c r="A1032" t="s">
        <v>3329</v>
      </c>
      <c r="B1032" t="str">
        <f>"8435762904648"</f>
        <v>8435762904648</v>
      </c>
      <c r="C1032" t="s">
        <v>5047</v>
      </c>
      <c r="D1032" t="s">
        <v>3332</v>
      </c>
      <c r="E1032" t="s">
        <v>3336</v>
      </c>
    </row>
    <row r="1033" spans="1:5" x14ac:dyDescent="0.25">
      <c r="A1033" t="s">
        <v>3329</v>
      </c>
      <c r="B1033" t="str">
        <f>"8435762904617"</f>
        <v>8435762904617</v>
      </c>
      <c r="C1033" t="s">
        <v>5048</v>
      </c>
      <c r="D1033" t="s">
        <v>3332</v>
      </c>
      <c r="E1033" t="s">
        <v>3336</v>
      </c>
    </row>
    <row r="1034" spans="1:5" x14ac:dyDescent="0.25">
      <c r="A1034" t="s">
        <v>3329</v>
      </c>
      <c r="B1034" t="str">
        <f>"8435762904600"</f>
        <v>8435762904600</v>
      </c>
      <c r="C1034" t="s">
        <v>5049</v>
      </c>
      <c r="D1034" t="s">
        <v>3332</v>
      </c>
      <c r="E1034" t="s">
        <v>3336</v>
      </c>
    </row>
    <row r="1035" spans="1:5" x14ac:dyDescent="0.25">
      <c r="A1035" t="s">
        <v>3329</v>
      </c>
      <c r="B1035" t="str">
        <f>"8435762904594"</f>
        <v>8435762904594</v>
      </c>
      <c r="C1035" t="s">
        <v>5050</v>
      </c>
      <c r="D1035" t="s">
        <v>3332</v>
      </c>
      <c r="E1035" t="s">
        <v>3336</v>
      </c>
    </row>
    <row r="1036" spans="1:5" x14ac:dyDescent="0.25">
      <c r="A1036" t="s">
        <v>3329</v>
      </c>
      <c r="B1036" t="str">
        <f>"8435762904587"</f>
        <v>8435762904587</v>
      </c>
      <c r="C1036" t="s">
        <v>5051</v>
      </c>
      <c r="D1036" t="s">
        <v>3332</v>
      </c>
      <c r="E1036" t="s">
        <v>3336</v>
      </c>
    </row>
    <row r="1037" spans="1:5" x14ac:dyDescent="0.25">
      <c r="A1037" t="s">
        <v>3329</v>
      </c>
      <c r="B1037" t="str">
        <f>"8435762904518"</f>
        <v>8435762904518</v>
      </c>
      <c r="C1037" t="s">
        <v>5052</v>
      </c>
      <c r="D1037" t="s">
        <v>3332</v>
      </c>
      <c r="E1037" t="s">
        <v>3336</v>
      </c>
    </row>
    <row r="1038" spans="1:5" x14ac:dyDescent="0.25">
      <c r="A1038" t="s">
        <v>3329</v>
      </c>
      <c r="B1038" t="str">
        <f>"8435762904501"</f>
        <v>8435762904501</v>
      </c>
      <c r="C1038" t="s">
        <v>5053</v>
      </c>
      <c r="D1038" t="s">
        <v>3332</v>
      </c>
      <c r="E1038" t="s">
        <v>3336</v>
      </c>
    </row>
    <row r="1039" spans="1:5" x14ac:dyDescent="0.25">
      <c r="A1039" t="s">
        <v>3329</v>
      </c>
      <c r="B1039" t="str">
        <f>"8435762904495"</f>
        <v>8435762904495</v>
      </c>
      <c r="C1039" t="s">
        <v>5054</v>
      </c>
      <c r="D1039" t="s">
        <v>3332</v>
      </c>
      <c r="E1039" t="s">
        <v>3336</v>
      </c>
    </row>
    <row r="1040" spans="1:5" x14ac:dyDescent="0.25">
      <c r="A1040" t="s">
        <v>3329</v>
      </c>
      <c r="B1040" t="str">
        <f>"8435762904488"</f>
        <v>8435762904488</v>
      </c>
      <c r="C1040" t="s">
        <v>5055</v>
      </c>
      <c r="D1040" t="s">
        <v>3332</v>
      </c>
      <c r="E1040" t="s">
        <v>3336</v>
      </c>
    </row>
    <row r="1041" spans="1:5" x14ac:dyDescent="0.25">
      <c r="A1041" t="s">
        <v>3329</v>
      </c>
      <c r="B1041" t="str">
        <f>"8435762904464"</f>
        <v>8435762904464</v>
      </c>
      <c r="C1041" t="s">
        <v>5056</v>
      </c>
      <c r="D1041" t="s">
        <v>3332</v>
      </c>
      <c r="E1041" t="s">
        <v>3336</v>
      </c>
    </row>
    <row r="1042" spans="1:5" x14ac:dyDescent="0.25">
      <c r="A1042" t="s">
        <v>3329</v>
      </c>
      <c r="B1042" t="str">
        <f>"8435762904457"</f>
        <v>8435762904457</v>
      </c>
      <c r="C1042" t="s">
        <v>5057</v>
      </c>
      <c r="D1042" t="s">
        <v>3332</v>
      </c>
      <c r="E1042" t="s">
        <v>3336</v>
      </c>
    </row>
    <row r="1043" spans="1:5" x14ac:dyDescent="0.25">
      <c r="A1043" t="s">
        <v>3329</v>
      </c>
      <c r="B1043" t="str">
        <f>"8435762904440"</f>
        <v>8435762904440</v>
      </c>
      <c r="C1043" t="s">
        <v>5058</v>
      </c>
      <c r="D1043" t="s">
        <v>3332</v>
      </c>
      <c r="E1043" t="s">
        <v>3336</v>
      </c>
    </row>
    <row r="1044" spans="1:5" x14ac:dyDescent="0.25">
      <c r="A1044" t="s">
        <v>3329</v>
      </c>
      <c r="B1044" t="str">
        <f>"8435762904433"</f>
        <v>8435762904433</v>
      </c>
      <c r="C1044" t="s">
        <v>5059</v>
      </c>
      <c r="D1044" t="s">
        <v>3332</v>
      </c>
      <c r="E1044" t="s">
        <v>3336</v>
      </c>
    </row>
    <row r="1045" spans="1:5" x14ac:dyDescent="0.25">
      <c r="A1045" t="s">
        <v>3329</v>
      </c>
      <c r="B1045" t="str">
        <f>"8435762904419"</f>
        <v>8435762904419</v>
      </c>
      <c r="C1045" t="s">
        <v>5060</v>
      </c>
      <c r="D1045" t="s">
        <v>3332</v>
      </c>
      <c r="E1045" t="s">
        <v>3336</v>
      </c>
    </row>
    <row r="1046" spans="1:5" x14ac:dyDescent="0.25">
      <c r="A1046" t="s">
        <v>3329</v>
      </c>
      <c r="B1046" t="str">
        <f>"8435762904402"</f>
        <v>8435762904402</v>
      </c>
      <c r="C1046" t="s">
        <v>5061</v>
      </c>
      <c r="D1046" t="s">
        <v>3332</v>
      </c>
      <c r="E1046" t="s">
        <v>3336</v>
      </c>
    </row>
    <row r="1047" spans="1:5" x14ac:dyDescent="0.25">
      <c r="A1047" t="s">
        <v>3329</v>
      </c>
      <c r="B1047" t="str">
        <f>"8435762904396"</f>
        <v>8435762904396</v>
      </c>
      <c r="C1047" t="s">
        <v>5062</v>
      </c>
      <c r="D1047" t="s">
        <v>3332</v>
      </c>
      <c r="E1047" t="s">
        <v>3336</v>
      </c>
    </row>
    <row r="1048" spans="1:5" x14ac:dyDescent="0.25">
      <c r="A1048" t="s">
        <v>3329</v>
      </c>
      <c r="B1048" t="str">
        <f>"8435762904389"</f>
        <v>8435762904389</v>
      </c>
      <c r="C1048" t="s">
        <v>5063</v>
      </c>
      <c r="D1048" t="s">
        <v>3332</v>
      </c>
      <c r="E1048" t="s">
        <v>3336</v>
      </c>
    </row>
    <row r="1049" spans="1:5" x14ac:dyDescent="0.25">
      <c r="A1049" t="s">
        <v>3329</v>
      </c>
      <c r="B1049" t="str">
        <f>"8435762902927"</f>
        <v>8435762902927</v>
      </c>
      <c r="C1049" t="s">
        <v>5064</v>
      </c>
      <c r="D1049" t="s">
        <v>3332</v>
      </c>
      <c r="E1049" t="s">
        <v>3339</v>
      </c>
    </row>
    <row r="1050" spans="1:5" x14ac:dyDescent="0.25">
      <c r="A1050" t="s">
        <v>3329</v>
      </c>
      <c r="B1050" t="str">
        <f>"8435762902897"</f>
        <v>8435762902897</v>
      </c>
      <c r="C1050" t="s">
        <v>5065</v>
      </c>
      <c r="D1050" t="s">
        <v>3332</v>
      </c>
      <c r="E1050" t="s">
        <v>3339</v>
      </c>
    </row>
    <row r="1051" spans="1:5" x14ac:dyDescent="0.25">
      <c r="A1051" t="s">
        <v>3329</v>
      </c>
      <c r="B1051" t="str">
        <f>"8435762902873"</f>
        <v>8435762902873</v>
      </c>
      <c r="C1051" t="s">
        <v>5066</v>
      </c>
      <c r="D1051" t="s">
        <v>3332</v>
      </c>
      <c r="E1051" t="s">
        <v>3339</v>
      </c>
    </row>
    <row r="1052" spans="1:5" x14ac:dyDescent="0.25">
      <c r="A1052" t="s">
        <v>3329</v>
      </c>
      <c r="B1052" t="str">
        <f>"8435762902859"</f>
        <v>8435762902859</v>
      </c>
      <c r="C1052" t="s">
        <v>5067</v>
      </c>
      <c r="D1052" t="s">
        <v>3332</v>
      </c>
      <c r="E1052" t="s">
        <v>3339</v>
      </c>
    </row>
    <row r="1053" spans="1:5" x14ac:dyDescent="0.25">
      <c r="A1053" t="s">
        <v>3329</v>
      </c>
      <c r="B1053" t="str">
        <f>"8435762902811"</f>
        <v>8435762902811</v>
      </c>
      <c r="C1053" t="s">
        <v>5068</v>
      </c>
      <c r="D1053" t="s">
        <v>3332</v>
      </c>
      <c r="E1053" t="s">
        <v>3339</v>
      </c>
    </row>
    <row r="1054" spans="1:5" x14ac:dyDescent="0.25">
      <c r="A1054" t="s">
        <v>3329</v>
      </c>
      <c r="B1054" t="str">
        <f>"8435762902804"</f>
        <v>8435762902804</v>
      </c>
      <c r="C1054" t="s">
        <v>5069</v>
      </c>
      <c r="D1054" t="s">
        <v>3332</v>
      </c>
      <c r="E1054" t="s">
        <v>3339</v>
      </c>
    </row>
    <row r="1055" spans="1:5" x14ac:dyDescent="0.25">
      <c r="A1055" t="s">
        <v>3329</v>
      </c>
      <c r="B1055" t="str">
        <f>"8435762902798"</f>
        <v>8435762902798</v>
      </c>
      <c r="C1055" t="s">
        <v>5070</v>
      </c>
      <c r="D1055" t="s">
        <v>3332</v>
      </c>
      <c r="E1055" t="s">
        <v>3339</v>
      </c>
    </row>
    <row r="1056" spans="1:5" x14ac:dyDescent="0.25">
      <c r="A1056" t="s">
        <v>3329</v>
      </c>
      <c r="B1056" t="str">
        <f>"8435762902675"</f>
        <v>8435762902675</v>
      </c>
      <c r="C1056" t="s">
        <v>5071</v>
      </c>
      <c r="D1056" t="s">
        <v>3332</v>
      </c>
      <c r="E1056" t="s">
        <v>3333</v>
      </c>
    </row>
    <row r="1057" spans="1:5" x14ac:dyDescent="0.25">
      <c r="A1057" t="s">
        <v>3329</v>
      </c>
      <c r="B1057" t="str">
        <f>"8435762900909"</f>
        <v>8435762900909</v>
      </c>
      <c r="C1057" t="s">
        <v>5072</v>
      </c>
      <c r="D1057" t="s">
        <v>3332</v>
      </c>
      <c r="E1057" t="s">
        <v>3336</v>
      </c>
    </row>
    <row r="1058" spans="1:5" x14ac:dyDescent="0.25">
      <c r="A1058" t="s">
        <v>3329</v>
      </c>
      <c r="B1058" t="str">
        <f>"8435762900893"</f>
        <v>8435762900893</v>
      </c>
      <c r="C1058" t="s">
        <v>5073</v>
      </c>
      <c r="D1058" t="s">
        <v>3332</v>
      </c>
      <c r="E1058" t="s">
        <v>3336</v>
      </c>
    </row>
    <row r="1059" spans="1:5" x14ac:dyDescent="0.25">
      <c r="A1059" t="s">
        <v>3329</v>
      </c>
      <c r="B1059" t="str">
        <f>"8435762900886"</f>
        <v>8435762900886</v>
      </c>
      <c r="C1059" t="s">
        <v>5074</v>
      </c>
      <c r="D1059" t="s">
        <v>3332</v>
      </c>
      <c r="E1059" t="s">
        <v>3336</v>
      </c>
    </row>
    <row r="1060" spans="1:5" x14ac:dyDescent="0.25">
      <c r="A1060" t="s">
        <v>3329</v>
      </c>
      <c r="B1060" t="str">
        <f>"8435762900879"</f>
        <v>8435762900879</v>
      </c>
      <c r="C1060" t="s">
        <v>5075</v>
      </c>
      <c r="D1060" t="s">
        <v>3332</v>
      </c>
      <c r="E1060" t="s">
        <v>3336</v>
      </c>
    </row>
    <row r="1061" spans="1:5" x14ac:dyDescent="0.25">
      <c r="A1061" t="s">
        <v>3329</v>
      </c>
      <c r="B1061" t="str">
        <f>"8435758312266"</f>
        <v>8435758312266</v>
      </c>
      <c r="C1061" t="s">
        <v>5076</v>
      </c>
      <c r="D1061" t="s">
        <v>3332</v>
      </c>
      <c r="E1061" t="s">
        <v>3336</v>
      </c>
    </row>
    <row r="1062" spans="1:5" x14ac:dyDescent="0.25">
      <c r="A1062" t="s">
        <v>3329</v>
      </c>
      <c r="B1062" t="str">
        <f>"8435758312259"</f>
        <v>8435758312259</v>
      </c>
      <c r="C1062" t="s">
        <v>5077</v>
      </c>
      <c r="D1062" t="s">
        <v>3332</v>
      </c>
      <c r="E1062" t="s">
        <v>3336</v>
      </c>
    </row>
    <row r="1063" spans="1:5" x14ac:dyDescent="0.25">
      <c r="A1063" t="s">
        <v>3329</v>
      </c>
      <c r="B1063" t="str">
        <f>"8435758311948"</f>
        <v>8435758311948</v>
      </c>
      <c r="C1063" t="s">
        <v>5078</v>
      </c>
      <c r="D1063" t="s">
        <v>3332</v>
      </c>
      <c r="E1063" t="s">
        <v>3336</v>
      </c>
    </row>
    <row r="1064" spans="1:5" x14ac:dyDescent="0.25">
      <c r="A1064" t="s">
        <v>3329</v>
      </c>
      <c r="B1064" t="str">
        <f>"8435758311931"</f>
        <v>8435758311931</v>
      </c>
      <c r="C1064" t="s">
        <v>5079</v>
      </c>
      <c r="D1064" t="s">
        <v>3332</v>
      </c>
      <c r="E1064" t="s">
        <v>3336</v>
      </c>
    </row>
    <row r="1065" spans="1:5" x14ac:dyDescent="0.25">
      <c r="A1065" t="s">
        <v>3329</v>
      </c>
      <c r="B1065" t="str">
        <f>"8435758311924"</f>
        <v>8435758311924</v>
      </c>
      <c r="C1065" t="s">
        <v>5080</v>
      </c>
      <c r="D1065" t="s">
        <v>3332</v>
      </c>
      <c r="E1065" t="s">
        <v>3336</v>
      </c>
    </row>
    <row r="1066" spans="1:5" x14ac:dyDescent="0.25">
      <c r="A1066" t="s">
        <v>3329</v>
      </c>
      <c r="B1066" t="str">
        <f>"8435758311863"</f>
        <v>8435758311863</v>
      </c>
      <c r="C1066" t="s">
        <v>5081</v>
      </c>
      <c r="D1066" t="s">
        <v>3332</v>
      </c>
      <c r="E1066" t="s">
        <v>3336</v>
      </c>
    </row>
    <row r="1067" spans="1:5" x14ac:dyDescent="0.25">
      <c r="A1067" t="s">
        <v>3329</v>
      </c>
      <c r="B1067" t="str">
        <f>"8435758311856"</f>
        <v>8435758311856</v>
      </c>
      <c r="C1067" t="s">
        <v>5082</v>
      </c>
      <c r="D1067" t="s">
        <v>3332</v>
      </c>
      <c r="E1067" t="s">
        <v>3336</v>
      </c>
    </row>
    <row r="1068" spans="1:5" x14ac:dyDescent="0.25">
      <c r="A1068" t="s">
        <v>3329</v>
      </c>
      <c r="B1068" t="str">
        <f>"8435758311849"</f>
        <v>8435758311849</v>
      </c>
      <c r="C1068" t="s">
        <v>5083</v>
      </c>
      <c r="D1068" t="s">
        <v>3332</v>
      </c>
      <c r="E1068" t="s">
        <v>3336</v>
      </c>
    </row>
    <row r="1069" spans="1:5" x14ac:dyDescent="0.25">
      <c r="A1069" t="s">
        <v>3329</v>
      </c>
      <c r="B1069" t="str">
        <f>"8435758311542"</f>
        <v>8435758311542</v>
      </c>
      <c r="C1069" t="s">
        <v>5084</v>
      </c>
      <c r="D1069" t="s">
        <v>3332</v>
      </c>
      <c r="E1069" t="s">
        <v>3336</v>
      </c>
    </row>
    <row r="1070" spans="1:5" x14ac:dyDescent="0.25">
      <c r="A1070" t="s">
        <v>3329</v>
      </c>
      <c r="B1070" t="str">
        <f>"8435758311535"</f>
        <v>8435758311535</v>
      </c>
      <c r="C1070" t="s">
        <v>5085</v>
      </c>
      <c r="D1070" t="s">
        <v>3332</v>
      </c>
      <c r="E1070" t="s">
        <v>3336</v>
      </c>
    </row>
    <row r="1071" spans="1:5" x14ac:dyDescent="0.25">
      <c r="A1071" t="s">
        <v>3329</v>
      </c>
      <c r="B1071" t="str">
        <f>"8435758311528"</f>
        <v>8435758311528</v>
      </c>
      <c r="C1071" t="s">
        <v>5086</v>
      </c>
      <c r="D1071" t="s">
        <v>3332</v>
      </c>
      <c r="E1071" t="s">
        <v>3336</v>
      </c>
    </row>
    <row r="1072" spans="1:5" x14ac:dyDescent="0.25">
      <c r="A1072" t="s">
        <v>3329</v>
      </c>
      <c r="B1072" t="str">
        <f>"8435758311061"</f>
        <v>8435758311061</v>
      </c>
      <c r="C1072" t="s">
        <v>5087</v>
      </c>
      <c r="D1072" t="s">
        <v>3332</v>
      </c>
      <c r="E1072" t="s">
        <v>3336</v>
      </c>
    </row>
    <row r="1073" spans="1:5" x14ac:dyDescent="0.25">
      <c r="A1073" t="s">
        <v>3329</v>
      </c>
      <c r="B1073" t="str">
        <f>"8435758311054"</f>
        <v>8435758311054</v>
      </c>
      <c r="C1073" t="s">
        <v>5088</v>
      </c>
      <c r="D1073" t="s">
        <v>3332</v>
      </c>
      <c r="E1073" t="s">
        <v>3336</v>
      </c>
    </row>
    <row r="1074" spans="1:5" x14ac:dyDescent="0.25">
      <c r="A1074" t="s">
        <v>3329</v>
      </c>
      <c r="B1074" t="str">
        <f>"8435758310989"</f>
        <v>8435758310989</v>
      </c>
      <c r="C1074" t="s">
        <v>5089</v>
      </c>
      <c r="D1074" t="s">
        <v>3332</v>
      </c>
      <c r="E1074" t="s">
        <v>3336</v>
      </c>
    </row>
    <row r="1075" spans="1:5" x14ac:dyDescent="0.25">
      <c r="A1075" t="s">
        <v>3329</v>
      </c>
      <c r="B1075" t="str">
        <f>"8435758310972"</f>
        <v>8435758310972</v>
      </c>
      <c r="C1075" t="s">
        <v>5090</v>
      </c>
      <c r="D1075" t="s">
        <v>3332</v>
      </c>
      <c r="E1075" t="s">
        <v>3336</v>
      </c>
    </row>
    <row r="1076" spans="1:5" x14ac:dyDescent="0.25">
      <c r="A1076" t="s">
        <v>3329</v>
      </c>
      <c r="B1076" t="str">
        <f>"8435758310965"</f>
        <v>8435758310965</v>
      </c>
      <c r="C1076" t="s">
        <v>5091</v>
      </c>
      <c r="D1076" t="s">
        <v>3332</v>
      </c>
      <c r="E1076" t="s">
        <v>3336</v>
      </c>
    </row>
    <row r="1077" spans="1:5" x14ac:dyDescent="0.25">
      <c r="A1077" t="s">
        <v>3329</v>
      </c>
      <c r="B1077" t="str">
        <f>"8435758306678"</f>
        <v>8435758306678</v>
      </c>
      <c r="C1077" t="s">
        <v>5092</v>
      </c>
      <c r="D1077" t="s">
        <v>3332</v>
      </c>
      <c r="E1077" t="s">
        <v>3339</v>
      </c>
    </row>
    <row r="1078" spans="1:5" x14ac:dyDescent="0.25">
      <c r="A1078" t="s">
        <v>3329</v>
      </c>
      <c r="B1078" t="str">
        <f>"8435758306661"</f>
        <v>8435758306661</v>
      </c>
      <c r="C1078" t="s">
        <v>5093</v>
      </c>
      <c r="D1078" t="s">
        <v>3332</v>
      </c>
      <c r="E1078" t="s">
        <v>3339</v>
      </c>
    </row>
    <row r="1079" spans="1:5" x14ac:dyDescent="0.25">
      <c r="A1079" t="s">
        <v>3329</v>
      </c>
      <c r="B1079" t="str">
        <f>"8435758306586"</f>
        <v>8435758306586</v>
      </c>
      <c r="C1079" t="s">
        <v>5094</v>
      </c>
      <c r="D1079" t="s">
        <v>3332</v>
      </c>
      <c r="E1079" t="s">
        <v>3339</v>
      </c>
    </row>
    <row r="1080" spans="1:5" x14ac:dyDescent="0.25">
      <c r="A1080" t="s">
        <v>3329</v>
      </c>
      <c r="B1080" t="str">
        <f>"8435758306548"</f>
        <v>8435758306548</v>
      </c>
      <c r="C1080" t="s">
        <v>5095</v>
      </c>
      <c r="D1080" t="s">
        <v>3332</v>
      </c>
      <c r="E1080" t="s">
        <v>3339</v>
      </c>
    </row>
    <row r="1081" spans="1:5" x14ac:dyDescent="0.25">
      <c r="A1081" t="s">
        <v>3329</v>
      </c>
      <c r="B1081" t="str">
        <f>"8435758306531"</f>
        <v>8435758306531</v>
      </c>
      <c r="C1081" t="s">
        <v>5096</v>
      </c>
      <c r="D1081" t="s">
        <v>3332</v>
      </c>
      <c r="E1081" t="s">
        <v>3339</v>
      </c>
    </row>
    <row r="1082" spans="1:5" x14ac:dyDescent="0.25">
      <c r="A1082" t="s">
        <v>3329</v>
      </c>
      <c r="B1082" t="str">
        <f>"8435758302366"</f>
        <v>8435758302366</v>
      </c>
      <c r="C1082" t="s">
        <v>5097</v>
      </c>
      <c r="D1082" t="s">
        <v>3332</v>
      </c>
      <c r="E1082" t="s">
        <v>3339</v>
      </c>
    </row>
    <row r="1083" spans="1:5" x14ac:dyDescent="0.25">
      <c r="A1083" t="s">
        <v>3329</v>
      </c>
      <c r="B1083" t="str">
        <f>"8435739406274"</f>
        <v>8435739406274</v>
      </c>
      <c r="C1083" t="s">
        <v>5098</v>
      </c>
      <c r="D1083" t="s">
        <v>3332</v>
      </c>
      <c r="E1083" t="s">
        <v>3344</v>
      </c>
    </row>
    <row r="1084" spans="1:5" x14ac:dyDescent="0.25">
      <c r="A1084" t="s">
        <v>3329</v>
      </c>
      <c r="B1084" t="str">
        <f>"8435739406250"</f>
        <v>8435739406250</v>
      </c>
      <c r="C1084" t="s">
        <v>5099</v>
      </c>
      <c r="D1084" t="s">
        <v>3332</v>
      </c>
      <c r="E1084" t="s">
        <v>3344</v>
      </c>
    </row>
    <row r="1085" spans="1:5" x14ac:dyDescent="0.25">
      <c r="A1085" t="s">
        <v>3329</v>
      </c>
      <c r="B1085" t="str">
        <f>"8435739406069"</f>
        <v>8435739406069</v>
      </c>
      <c r="C1085" t="s">
        <v>5100</v>
      </c>
      <c r="D1085" t="s">
        <v>3332</v>
      </c>
      <c r="E1085" t="s">
        <v>3339</v>
      </c>
    </row>
    <row r="1086" spans="1:5" x14ac:dyDescent="0.25">
      <c r="A1086" t="s">
        <v>3329</v>
      </c>
      <c r="B1086" t="str">
        <f>"8435739405956"</f>
        <v>8435739405956</v>
      </c>
      <c r="C1086" t="s">
        <v>5101</v>
      </c>
      <c r="D1086" t="s">
        <v>3332</v>
      </c>
      <c r="E1086" t="s">
        <v>3339</v>
      </c>
    </row>
    <row r="1087" spans="1:5" x14ac:dyDescent="0.25">
      <c r="A1087" t="s">
        <v>3329</v>
      </c>
      <c r="B1087" t="str">
        <f>"8435739405857"</f>
        <v>8435739405857</v>
      </c>
      <c r="C1087" t="s">
        <v>5102</v>
      </c>
      <c r="D1087" t="s">
        <v>3332</v>
      </c>
      <c r="E1087" t="s">
        <v>3339</v>
      </c>
    </row>
    <row r="1088" spans="1:5" x14ac:dyDescent="0.25">
      <c r="A1088" t="s">
        <v>3329</v>
      </c>
      <c r="B1088" t="str">
        <f>"8435739405840"</f>
        <v>8435739405840</v>
      </c>
      <c r="C1088" t="s">
        <v>5103</v>
      </c>
      <c r="D1088" t="s">
        <v>3332</v>
      </c>
      <c r="E1088" t="s">
        <v>3339</v>
      </c>
    </row>
    <row r="1089" spans="1:5" x14ac:dyDescent="0.25">
      <c r="A1089" t="s">
        <v>3329</v>
      </c>
      <c r="B1089" t="str">
        <f>"8435739405833"</f>
        <v>8435739405833</v>
      </c>
      <c r="C1089" t="s">
        <v>5104</v>
      </c>
      <c r="D1089" t="s">
        <v>3332</v>
      </c>
      <c r="E1089" t="s">
        <v>3339</v>
      </c>
    </row>
    <row r="1090" spans="1:5" x14ac:dyDescent="0.25">
      <c r="A1090" t="s">
        <v>3329</v>
      </c>
      <c r="B1090" t="str">
        <f>"8435739405826"</f>
        <v>8435739405826</v>
      </c>
      <c r="C1090" t="s">
        <v>5105</v>
      </c>
      <c r="D1090" t="s">
        <v>3332</v>
      </c>
      <c r="E1090" t="s">
        <v>3339</v>
      </c>
    </row>
    <row r="1091" spans="1:5" x14ac:dyDescent="0.25">
      <c r="A1091" t="s">
        <v>3329</v>
      </c>
      <c r="B1091" t="str">
        <f>"8435739405819"</f>
        <v>8435739405819</v>
      </c>
      <c r="C1091" t="s">
        <v>5106</v>
      </c>
      <c r="D1091" t="s">
        <v>3332</v>
      </c>
      <c r="E1091" t="s">
        <v>3339</v>
      </c>
    </row>
    <row r="1092" spans="1:5" x14ac:dyDescent="0.25">
      <c r="A1092" t="s">
        <v>3329</v>
      </c>
      <c r="B1092" t="str">
        <f>"8435739405802"</f>
        <v>8435739405802</v>
      </c>
      <c r="C1092" t="s">
        <v>5107</v>
      </c>
      <c r="D1092" t="s">
        <v>3332</v>
      </c>
      <c r="E1092" t="s">
        <v>3339</v>
      </c>
    </row>
    <row r="1093" spans="1:5" x14ac:dyDescent="0.25">
      <c r="A1093" t="s">
        <v>3329</v>
      </c>
      <c r="B1093" t="str">
        <f>"8435739403211"</f>
        <v>8435739403211</v>
      </c>
      <c r="C1093" t="s">
        <v>5108</v>
      </c>
      <c r="D1093" t="s">
        <v>3332</v>
      </c>
      <c r="E1093" t="s">
        <v>3344</v>
      </c>
    </row>
    <row r="1094" spans="1:5" x14ac:dyDescent="0.25">
      <c r="A1094" t="s">
        <v>3329</v>
      </c>
      <c r="B1094" t="str">
        <f>"8435739403198"</f>
        <v>8435739403198</v>
      </c>
      <c r="C1094" t="s">
        <v>5109</v>
      </c>
      <c r="D1094" t="s">
        <v>3332</v>
      </c>
      <c r="E1094" t="s">
        <v>3344</v>
      </c>
    </row>
    <row r="1095" spans="1:5" x14ac:dyDescent="0.25">
      <c r="A1095" t="s">
        <v>3329</v>
      </c>
      <c r="B1095" t="str">
        <f>"8435739403181"</f>
        <v>8435739403181</v>
      </c>
      <c r="C1095" t="s">
        <v>5110</v>
      </c>
      <c r="D1095" t="s">
        <v>3332</v>
      </c>
      <c r="E1095" t="s">
        <v>3344</v>
      </c>
    </row>
    <row r="1096" spans="1:5" x14ac:dyDescent="0.25">
      <c r="A1096" t="s">
        <v>3329</v>
      </c>
      <c r="B1096" t="str">
        <f>"8435739403112"</f>
        <v>8435739403112</v>
      </c>
      <c r="C1096" t="s">
        <v>5111</v>
      </c>
      <c r="D1096" t="s">
        <v>3332</v>
      </c>
      <c r="E1096" t="s">
        <v>3344</v>
      </c>
    </row>
    <row r="1097" spans="1:5" x14ac:dyDescent="0.25">
      <c r="A1097" t="s">
        <v>3329</v>
      </c>
      <c r="B1097" t="str">
        <f>"8435739403020"</f>
        <v>8435739403020</v>
      </c>
      <c r="C1097" t="s">
        <v>5112</v>
      </c>
      <c r="D1097" t="s">
        <v>3332</v>
      </c>
      <c r="E1097" t="s">
        <v>3344</v>
      </c>
    </row>
    <row r="1098" spans="1:5" x14ac:dyDescent="0.25">
      <c r="A1098" t="s">
        <v>3329</v>
      </c>
      <c r="B1098" t="str">
        <f>"8435739403006"</f>
        <v>8435739403006</v>
      </c>
      <c r="C1098" t="s">
        <v>5113</v>
      </c>
      <c r="D1098" t="s">
        <v>3332</v>
      </c>
      <c r="E1098" t="s">
        <v>3339</v>
      </c>
    </row>
    <row r="1099" spans="1:5" x14ac:dyDescent="0.25">
      <c r="A1099" t="s">
        <v>3329</v>
      </c>
      <c r="B1099" t="str">
        <f>"8435739402979"</f>
        <v>8435739402979</v>
      </c>
      <c r="C1099" t="s">
        <v>5114</v>
      </c>
      <c r="D1099" t="s">
        <v>3332</v>
      </c>
      <c r="E1099" t="s">
        <v>3339</v>
      </c>
    </row>
    <row r="1100" spans="1:5" x14ac:dyDescent="0.25">
      <c r="A1100" t="s">
        <v>3329</v>
      </c>
      <c r="B1100" t="str">
        <f>"8435739402962"</f>
        <v>8435739402962</v>
      </c>
      <c r="C1100" t="s">
        <v>5115</v>
      </c>
      <c r="D1100" t="s">
        <v>3332</v>
      </c>
      <c r="E1100" t="s">
        <v>3339</v>
      </c>
    </row>
    <row r="1101" spans="1:5" x14ac:dyDescent="0.25">
      <c r="A1101" t="s">
        <v>3329</v>
      </c>
      <c r="B1101" t="str">
        <f>"8435739402955"</f>
        <v>8435739402955</v>
      </c>
      <c r="C1101" t="s">
        <v>5116</v>
      </c>
      <c r="D1101" t="s">
        <v>3332</v>
      </c>
      <c r="E1101" t="s">
        <v>3339</v>
      </c>
    </row>
    <row r="1102" spans="1:5" x14ac:dyDescent="0.25">
      <c r="A1102" t="s">
        <v>3329</v>
      </c>
      <c r="B1102" t="str">
        <f>"8435739402948"</f>
        <v>8435739402948</v>
      </c>
      <c r="C1102" t="s">
        <v>5117</v>
      </c>
      <c r="D1102" t="s">
        <v>3332</v>
      </c>
      <c r="E1102" t="s">
        <v>3339</v>
      </c>
    </row>
    <row r="1103" spans="1:5" x14ac:dyDescent="0.25">
      <c r="A1103" t="s">
        <v>3329</v>
      </c>
      <c r="B1103" t="str">
        <f>"8435739402931"</f>
        <v>8435739402931</v>
      </c>
      <c r="C1103" t="s">
        <v>5118</v>
      </c>
      <c r="D1103" t="s">
        <v>3332</v>
      </c>
      <c r="E1103" t="s">
        <v>3339</v>
      </c>
    </row>
    <row r="1104" spans="1:5" x14ac:dyDescent="0.25">
      <c r="A1104" t="s">
        <v>3329</v>
      </c>
      <c r="B1104" t="str">
        <f>"8435739402924"</f>
        <v>8435739402924</v>
      </c>
      <c r="C1104" t="s">
        <v>5119</v>
      </c>
      <c r="D1104" t="s">
        <v>3332</v>
      </c>
      <c r="E1104" t="s">
        <v>3339</v>
      </c>
    </row>
    <row r="1105" spans="1:5" x14ac:dyDescent="0.25">
      <c r="A1105" t="s">
        <v>3329</v>
      </c>
      <c r="B1105" t="str">
        <f>"8435739402917"</f>
        <v>8435739402917</v>
      </c>
      <c r="C1105" t="s">
        <v>5120</v>
      </c>
      <c r="D1105" t="s">
        <v>3332</v>
      </c>
      <c r="E1105" t="s">
        <v>3339</v>
      </c>
    </row>
    <row r="1106" spans="1:5" x14ac:dyDescent="0.25">
      <c r="A1106" t="s">
        <v>3329</v>
      </c>
      <c r="B1106" t="str">
        <f>"8435739402887"</f>
        <v>8435739402887</v>
      </c>
      <c r="C1106" t="s">
        <v>5121</v>
      </c>
      <c r="D1106" t="s">
        <v>3332</v>
      </c>
      <c r="E1106" t="s">
        <v>3339</v>
      </c>
    </row>
    <row r="1107" spans="1:5" x14ac:dyDescent="0.25">
      <c r="A1107" t="s">
        <v>3329</v>
      </c>
      <c r="B1107" t="str">
        <f>"8435739402849"</f>
        <v>8435739402849</v>
      </c>
      <c r="C1107" t="s">
        <v>5122</v>
      </c>
      <c r="D1107" t="s">
        <v>3332</v>
      </c>
      <c r="E1107" t="s">
        <v>3339</v>
      </c>
    </row>
    <row r="1108" spans="1:5" x14ac:dyDescent="0.25">
      <c r="A1108" t="s">
        <v>3329</v>
      </c>
      <c r="B1108" t="str">
        <f>"8435739402832"</f>
        <v>8435739402832</v>
      </c>
      <c r="C1108" t="s">
        <v>5123</v>
      </c>
      <c r="D1108" t="s">
        <v>3332</v>
      </c>
      <c r="E1108" t="s">
        <v>3339</v>
      </c>
    </row>
    <row r="1109" spans="1:5" x14ac:dyDescent="0.25">
      <c r="A1109" t="s">
        <v>3329</v>
      </c>
      <c r="B1109" t="str">
        <f>"8435739402825"</f>
        <v>8435739402825</v>
      </c>
      <c r="C1109" t="s">
        <v>5124</v>
      </c>
      <c r="D1109" t="s">
        <v>3332</v>
      </c>
      <c r="E1109" t="s">
        <v>3339</v>
      </c>
    </row>
    <row r="1110" spans="1:5" x14ac:dyDescent="0.25">
      <c r="A1110" t="s">
        <v>3329</v>
      </c>
      <c r="B1110" t="str">
        <f>"8435739402801"</f>
        <v>8435739402801</v>
      </c>
      <c r="C1110" t="s">
        <v>5125</v>
      </c>
      <c r="D1110" t="s">
        <v>3332</v>
      </c>
      <c r="E1110" t="s">
        <v>3339</v>
      </c>
    </row>
    <row r="1111" spans="1:5" x14ac:dyDescent="0.25">
      <c r="A1111" t="s">
        <v>3329</v>
      </c>
      <c r="B1111" t="str">
        <f>"8435739402795"</f>
        <v>8435739402795</v>
      </c>
      <c r="C1111" t="s">
        <v>5126</v>
      </c>
      <c r="D1111" t="s">
        <v>3332</v>
      </c>
      <c r="E1111" t="s">
        <v>3339</v>
      </c>
    </row>
    <row r="1112" spans="1:5" x14ac:dyDescent="0.25">
      <c r="A1112" t="s">
        <v>3329</v>
      </c>
      <c r="B1112" t="str">
        <f>"8435739402788"</f>
        <v>8435739402788</v>
      </c>
      <c r="C1112" t="s">
        <v>5127</v>
      </c>
      <c r="D1112" t="s">
        <v>3332</v>
      </c>
      <c r="E1112" t="s">
        <v>3339</v>
      </c>
    </row>
    <row r="1113" spans="1:5" x14ac:dyDescent="0.25">
      <c r="A1113" t="s">
        <v>3329</v>
      </c>
      <c r="B1113" t="str">
        <f>"8435739402771"</f>
        <v>8435739402771</v>
      </c>
      <c r="C1113" t="s">
        <v>5128</v>
      </c>
      <c r="D1113" t="s">
        <v>3332</v>
      </c>
      <c r="E1113" t="s">
        <v>3339</v>
      </c>
    </row>
    <row r="1114" spans="1:5" x14ac:dyDescent="0.25">
      <c r="A1114" t="s">
        <v>3329</v>
      </c>
      <c r="B1114" t="str">
        <f>"8435739402764"</f>
        <v>8435739402764</v>
      </c>
      <c r="C1114" t="s">
        <v>5129</v>
      </c>
      <c r="D1114" t="s">
        <v>3332</v>
      </c>
      <c r="E1114" t="s">
        <v>3339</v>
      </c>
    </row>
    <row r="1115" spans="1:5" x14ac:dyDescent="0.25">
      <c r="A1115" t="s">
        <v>3329</v>
      </c>
      <c r="B1115" t="str">
        <f>"8435739402757"</f>
        <v>8435739402757</v>
      </c>
      <c r="C1115" t="s">
        <v>5130</v>
      </c>
      <c r="D1115" t="s">
        <v>3332</v>
      </c>
      <c r="E1115" t="s">
        <v>3339</v>
      </c>
    </row>
    <row r="1116" spans="1:5" x14ac:dyDescent="0.25">
      <c r="A1116" t="s">
        <v>3329</v>
      </c>
      <c r="B1116" t="str">
        <f>"8435739402740"</f>
        <v>8435739402740</v>
      </c>
      <c r="C1116" t="s">
        <v>5131</v>
      </c>
      <c r="D1116" t="s">
        <v>3332</v>
      </c>
      <c r="E1116" t="s">
        <v>3339</v>
      </c>
    </row>
    <row r="1117" spans="1:5" x14ac:dyDescent="0.25">
      <c r="A1117" t="s">
        <v>3329</v>
      </c>
      <c r="B1117" t="str">
        <f>"8435739402689"</f>
        <v>8435739402689</v>
      </c>
      <c r="C1117" t="s">
        <v>5132</v>
      </c>
      <c r="D1117" t="s">
        <v>3332</v>
      </c>
      <c r="E1117" t="s">
        <v>3339</v>
      </c>
    </row>
    <row r="1118" spans="1:5" x14ac:dyDescent="0.25">
      <c r="A1118" t="s">
        <v>3329</v>
      </c>
      <c r="B1118" t="str">
        <f>"8435739402672"</f>
        <v>8435739402672</v>
      </c>
      <c r="C1118" t="s">
        <v>5133</v>
      </c>
      <c r="D1118" t="s">
        <v>3332</v>
      </c>
      <c r="E1118" t="s">
        <v>3339</v>
      </c>
    </row>
    <row r="1119" spans="1:5" x14ac:dyDescent="0.25">
      <c r="A1119" t="s">
        <v>3329</v>
      </c>
      <c r="B1119" t="str">
        <f>"8435739402665"</f>
        <v>8435739402665</v>
      </c>
      <c r="C1119" t="s">
        <v>5134</v>
      </c>
      <c r="D1119" t="s">
        <v>3332</v>
      </c>
      <c r="E1119" t="s">
        <v>3339</v>
      </c>
    </row>
    <row r="1120" spans="1:5" x14ac:dyDescent="0.25">
      <c r="A1120" t="s">
        <v>3329</v>
      </c>
      <c r="B1120" t="str">
        <f>"8435585043654"</f>
        <v>8435585043654</v>
      </c>
      <c r="C1120" t="s">
        <v>5135</v>
      </c>
      <c r="D1120" t="s">
        <v>3332</v>
      </c>
      <c r="E1120" t="s">
        <v>3333</v>
      </c>
    </row>
    <row r="1121" spans="1:5" x14ac:dyDescent="0.25">
      <c r="A1121" t="s">
        <v>3329</v>
      </c>
      <c r="B1121" t="str">
        <f>"8435547998596"</f>
        <v>8435547998596</v>
      </c>
      <c r="C1121" t="s">
        <v>5136</v>
      </c>
      <c r="D1121" t="s">
        <v>3332</v>
      </c>
      <c r="E1121" t="s">
        <v>3336</v>
      </c>
    </row>
    <row r="1122" spans="1:5" x14ac:dyDescent="0.25">
      <c r="A1122" t="s">
        <v>3329</v>
      </c>
      <c r="B1122" t="str">
        <f>"8435547998589"</f>
        <v>8435547998589</v>
      </c>
      <c r="C1122" t="s">
        <v>5137</v>
      </c>
      <c r="D1122" t="s">
        <v>3332</v>
      </c>
      <c r="E1122" t="s">
        <v>3336</v>
      </c>
    </row>
    <row r="1123" spans="1:5" x14ac:dyDescent="0.25">
      <c r="A1123" t="s">
        <v>3329</v>
      </c>
      <c r="B1123" t="s">
        <v>5138</v>
      </c>
      <c r="C1123" t="s">
        <v>5139</v>
      </c>
      <c r="D1123" t="s">
        <v>3332</v>
      </c>
      <c r="E1123" t="s">
        <v>3336</v>
      </c>
    </row>
    <row r="1124" spans="1:5" x14ac:dyDescent="0.25">
      <c r="A1124" t="s">
        <v>3329</v>
      </c>
      <c r="B1124" t="s">
        <v>5140</v>
      </c>
      <c r="C1124" t="s">
        <v>5141</v>
      </c>
      <c r="D1124" t="s">
        <v>3332</v>
      </c>
      <c r="E1124" t="s">
        <v>3336</v>
      </c>
    </row>
    <row r="1125" spans="1:5" x14ac:dyDescent="0.25">
      <c r="A1125" t="s">
        <v>3329</v>
      </c>
      <c r="B1125" t="s">
        <v>5142</v>
      </c>
      <c r="C1125" t="s">
        <v>5143</v>
      </c>
      <c r="D1125" t="s">
        <v>3332</v>
      </c>
      <c r="E1125" t="s">
        <v>3336</v>
      </c>
    </row>
    <row r="1126" spans="1:5" x14ac:dyDescent="0.25">
      <c r="A1126" t="s">
        <v>3329</v>
      </c>
      <c r="B1126" t="str">
        <f>"8435547997926"</f>
        <v>8435547997926</v>
      </c>
      <c r="C1126" t="s">
        <v>5144</v>
      </c>
      <c r="D1126" t="s">
        <v>3332</v>
      </c>
      <c r="E1126" t="s">
        <v>3336</v>
      </c>
    </row>
    <row r="1127" spans="1:5" x14ac:dyDescent="0.25">
      <c r="A1127" t="s">
        <v>3329</v>
      </c>
      <c r="B1127" t="str">
        <f>"8435547997919"</f>
        <v>8435547997919</v>
      </c>
      <c r="C1127" t="s">
        <v>5145</v>
      </c>
      <c r="D1127" t="s">
        <v>3332</v>
      </c>
      <c r="E1127" t="s">
        <v>3336</v>
      </c>
    </row>
    <row r="1128" spans="1:5" x14ac:dyDescent="0.25">
      <c r="A1128" t="s">
        <v>3329</v>
      </c>
      <c r="B1128" t="s">
        <v>5146</v>
      </c>
      <c r="C1128" t="s">
        <v>5147</v>
      </c>
      <c r="D1128" t="s">
        <v>3332</v>
      </c>
      <c r="E1128" t="s">
        <v>3336</v>
      </c>
    </row>
    <row r="1129" spans="1:5" x14ac:dyDescent="0.25">
      <c r="A1129" t="s">
        <v>3329</v>
      </c>
      <c r="B1129" t="s">
        <v>5148</v>
      </c>
      <c r="C1129" t="s">
        <v>5149</v>
      </c>
      <c r="D1129" t="s">
        <v>3332</v>
      </c>
      <c r="E1129" t="s">
        <v>3336</v>
      </c>
    </row>
    <row r="1130" spans="1:5" x14ac:dyDescent="0.25">
      <c r="A1130" t="s">
        <v>3329</v>
      </c>
      <c r="B1130" t="s">
        <v>5150</v>
      </c>
      <c r="C1130" t="s">
        <v>5151</v>
      </c>
      <c r="D1130" t="s">
        <v>3332</v>
      </c>
      <c r="E1130" t="s">
        <v>3336</v>
      </c>
    </row>
    <row r="1131" spans="1:5" x14ac:dyDescent="0.25">
      <c r="A1131" t="s">
        <v>3329</v>
      </c>
      <c r="B1131" t="s">
        <v>5152</v>
      </c>
      <c r="C1131" t="s">
        <v>5153</v>
      </c>
      <c r="D1131" t="s">
        <v>3332</v>
      </c>
      <c r="E1131" t="s">
        <v>3336</v>
      </c>
    </row>
    <row r="1132" spans="1:5" x14ac:dyDescent="0.25">
      <c r="A1132" t="s">
        <v>3329</v>
      </c>
      <c r="B1132" t="s">
        <v>5154</v>
      </c>
      <c r="C1132" t="s">
        <v>5155</v>
      </c>
      <c r="D1132" t="s">
        <v>3332</v>
      </c>
      <c r="E1132" t="s">
        <v>3336</v>
      </c>
    </row>
    <row r="1133" spans="1:5" x14ac:dyDescent="0.25">
      <c r="A1133" t="s">
        <v>3329</v>
      </c>
      <c r="B1133" t="s">
        <v>5156</v>
      </c>
      <c r="C1133" t="s">
        <v>5157</v>
      </c>
      <c r="D1133" t="s">
        <v>3332</v>
      </c>
      <c r="E1133" t="s">
        <v>3336</v>
      </c>
    </row>
    <row r="1134" spans="1:5" x14ac:dyDescent="0.25">
      <c r="A1134" t="s">
        <v>3329</v>
      </c>
      <c r="B1134" t="s">
        <v>5158</v>
      </c>
      <c r="C1134" t="s">
        <v>5159</v>
      </c>
      <c r="D1134" t="s">
        <v>3332</v>
      </c>
      <c r="E1134" t="s">
        <v>3336</v>
      </c>
    </row>
    <row r="1135" spans="1:5" x14ac:dyDescent="0.25">
      <c r="A1135" t="s">
        <v>3329</v>
      </c>
      <c r="B1135" t="s">
        <v>5160</v>
      </c>
      <c r="C1135" t="s">
        <v>5161</v>
      </c>
      <c r="D1135" t="s">
        <v>3332</v>
      </c>
      <c r="E1135" t="s">
        <v>3336</v>
      </c>
    </row>
    <row r="1136" spans="1:5" x14ac:dyDescent="0.25">
      <c r="A1136" t="s">
        <v>3329</v>
      </c>
      <c r="B1136" t="s">
        <v>5162</v>
      </c>
      <c r="C1136" t="s">
        <v>5163</v>
      </c>
      <c r="D1136" t="s">
        <v>3332</v>
      </c>
      <c r="E1136" t="s">
        <v>3336</v>
      </c>
    </row>
    <row r="1137" spans="1:5" x14ac:dyDescent="0.25">
      <c r="A1137" t="s">
        <v>3329</v>
      </c>
      <c r="B1137" t="s">
        <v>5164</v>
      </c>
      <c r="C1137" t="s">
        <v>5165</v>
      </c>
      <c r="D1137" t="s">
        <v>3332</v>
      </c>
      <c r="E1137" t="s">
        <v>3336</v>
      </c>
    </row>
    <row r="1138" spans="1:5" x14ac:dyDescent="0.25">
      <c r="A1138" t="s">
        <v>3329</v>
      </c>
      <c r="B1138" t="s">
        <v>5166</v>
      </c>
      <c r="C1138" t="s">
        <v>5167</v>
      </c>
      <c r="D1138" t="s">
        <v>3332</v>
      </c>
      <c r="E1138" t="s">
        <v>3336</v>
      </c>
    </row>
    <row r="1139" spans="1:5" x14ac:dyDescent="0.25">
      <c r="A1139" t="s">
        <v>3329</v>
      </c>
      <c r="B1139" t="s">
        <v>5168</v>
      </c>
      <c r="C1139" t="s">
        <v>5169</v>
      </c>
      <c r="D1139" t="s">
        <v>3332</v>
      </c>
      <c r="E1139" t="s">
        <v>3336</v>
      </c>
    </row>
    <row r="1140" spans="1:5" x14ac:dyDescent="0.25">
      <c r="A1140" t="s">
        <v>3329</v>
      </c>
      <c r="B1140" t="s">
        <v>5170</v>
      </c>
      <c r="C1140" t="s">
        <v>5171</v>
      </c>
      <c r="D1140" t="s">
        <v>3332</v>
      </c>
      <c r="E1140" t="s">
        <v>3336</v>
      </c>
    </row>
    <row r="1141" spans="1:5" x14ac:dyDescent="0.25">
      <c r="A1141" t="s">
        <v>3329</v>
      </c>
      <c r="B1141" t="s">
        <v>5172</v>
      </c>
      <c r="C1141" t="s">
        <v>5173</v>
      </c>
      <c r="D1141" t="s">
        <v>3332</v>
      </c>
      <c r="E1141" t="s">
        <v>3336</v>
      </c>
    </row>
    <row r="1142" spans="1:5" x14ac:dyDescent="0.25">
      <c r="A1142" t="s">
        <v>3329</v>
      </c>
      <c r="B1142" t="s">
        <v>5174</v>
      </c>
      <c r="C1142" t="s">
        <v>5175</v>
      </c>
      <c r="D1142" t="s">
        <v>3332</v>
      </c>
      <c r="E1142" t="s">
        <v>3336</v>
      </c>
    </row>
    <row r="1143" spans="1:5" x14ac:dyDescent="0.25">
      <c r="A1143" t="s">
        <v>3329</v>
      </c>
      <c r="B1143" t="s">
        <v>5176</v>
      </c>
      <c r="C1143" t="s">
        <v>5177</v>
      </c>
      <c r="D1143" t="s">
        <v>3332</v>
      </c>
      <c r="E1143" t="s">
        <v>3336</v>
      </c>
    </row>
    <row r="1144" spans="1:5" x14ac:dyDescent="0.25">
      <c r="A1144" t="s">
        <v>3329</v>
      </c>
      <c r="B1144" t="s">
        <v>5178</v>
      </c>
      <c r="C1144" t="s">
        <v>5179</v>
      </c>
      <c r="D1144" t="s">
        <v>3332</v>
      </c>
      <c r="E1144" t="s">
        <v>3336</v>
      </c>
    </row>
    <row r="1145" spans="1:5" x14ac:dyDescent="0.25">
      <c r="A1145" t="s">
        <v>3329</v>
      </c>
      <c r="B1145" t="s">
        <v>5180</v>
      </c>
      <c r="C1145" t="s">
        <v>5181</v>
      </c>
      <c r="D1145" t="s">
        <v>3332</v>
      </c>
      <c r="E1145" t="s">
        <v>3336</v>
      </c>
    </row>
    <row r="1146" spans="1:5" x14ac:dyDescent="0.25">
      <c r="A1146" t="s">
        <v>3329</v>
      </c>
      <c r="B1146" t="s">
        <v>5182</v>
      </c>
      <c r="C1146" t="s">
        <v>5183</v>
      </c>
      <c r="D1146" t="s">
        <v>3332</v>
      </c>
      <c r="E1146" t="s">
        <v>3336</v>
      </c>
    </row>
    <row r="1147" spans="1:5" x14ac:dyDescent="0.25">
      <c r="A1147" t="s">
        <v>3329</v>
      </c>
      <c r="B1147" t="s">
        <v>5184</v>
      </c>
      <c r="C1147" t="s">
        <v>5185</v>
      </c>
      <c r="D1147" t="s">
        <v>3332</v>
      </c>
      <c r="E1147" t="s">
        <v>3336</v>
      </c>
    </row>
    <row r="1148" spans="1:5" x14ac:dyDescent="0.25">
      <c r="A1148" t="s">
        <v>3329</v>
      </c>
      <c r="B1148" t="s">
        <v>5186</v>
      </c>
      <c r="C1148" t="s">
        <v>5187</v>
      </c>
      <c r="D1148" t="s">
        <v>3332</v>
      </c>
      <c r="E1148" t="s">
        <v>3336</v>
      </c>
    </row>
    <row r="1149" spans="1:5" x14ac:dyDescent="0.25">
      <c r="A1149" t="s">
        <v>3329</v>
      </c>
      <c r="B1149" t="s">
        <v>5188</v>
      </c>
      <c r="C1149" t="s">
        <v>5189</v>
      </c>
      <c r="D1149" t="s">
        <v>3332</v>
      </c>
      <c r="E1149" t="s">
        <v>3336</v>
      </c>
    </row>
    <row r="1150" spans="1:5" x14ac:dyDescent="0.25">
      <c r="A1150" t="s">
        <v>3329</v>
      </c>
      <c r="B1150" t="s">
        <v>5190</v>
      </c>
      <c r="C1150" t="s">
        <v>5191</v>
      </c>
      <c r="D1150" t="s">
        <v>3332</v>
      </c>
      <c r="E1150" t="s">
        <v>3336</v>
      </c>
    </row>
    <row r="1151" spans="1:5" x14ac:dyDescent="0.25">
      <c r="A1151" t="s">
        <v>3329</v>
      </c>
      <c r="B1151" t="s">
        <v>5192</v>
      </c>
      <c r="C1151" t="s">
        <v>5193</v>
      </c>
      <c r="D1151" t="s">
        <v>3332</v>
      </c>
      <c r="E1151" t="s">
        <v>3336</v>
      </c>
    </row>
    <row r="1152" spans="1:5" x14ac:dyDescent="0.25">
      <c r="A1152" t="s">
        <v>3329</v>
      </c>
      <c r="B1152" t="s">
        <v>5194</v>
      </c>
      <c r="C1152" t="s">
        <v>5195</v>
      </c>
      <c r="D1152" t="s">
        <v>3332</v>
      </c>
      <c r="E1152" t="s">
        <v>3336</v>
      </c>
    </row>
    <row r="1153" spans="1:5" x14ac:dyDescent="0.25">
      <c r="A1153" t="s">
        <v>3329</v>
      </c>
      <c r="B1153" t="s">
        <v>5196</v>
      </c>
      <c r="C1153" t="s">
        <v>5197</v>
      </c>
      <c r="D1153" t="s">
        <v>3332</v>
      </c>
      <c r="E1153" t="s">
        <v>3336</v>
      </c>
    </row>
    <row r="1154" spans="1:5" x14ac:dyDescent="0.25">
      <c r="A1154" t="s">
        <v>3329</v>
      </c>
      <c r="B1154" t="s">
        <v>5198</v>
      </c>
      <c r="C1154" t="s">
        <v>5199</v>
      </c>
      <c r="D1154" t="s">
        <v>3332</v>
      </c>
      <c r="E1154" t="s">
        <v>3336</v>
      </c>
    </row>
    <row r="1155" spans="1:5" x14ac:dyDescent="0.25">
      <c r="A1155" t="s">
        <v>3329</v>
      </c>
      <c r="B1155" t="s">
        <v>5200</v>
      </c>
      <c r="C1155" t="s">
        <v>5201</v>
      </c>
      <c r="D1155" t="s">
        <v>3332</v>
      </c>
      <c r="E1155" t="s">
        <v>3336</v>
      </c>
    </row>
    <row r="1156" spans="1:5" x14ac:dyDescent="0.25">
      <c r="A1156" t="s">
        <v>3329</v>
      </c>
      <c r="B1156" t="s">
        <v>5202</v>
      </c>
      <c r="C1156" t="s">
        <v>5203</v>
      </c>
      <c r="D1156" t="s">
        <v>3332</v>
      </c>
      <c r="E1156" t="s">
        <v>3336</v>
      </c>
    </row>
    <row r="1157" spans="1:5" x14ac:dyDescent="0.25">
      <c r="A1157" t="s">
        <v>3329</v>
      </c>
      <c r="B1157" t="s">
        <v>5204</v>
      </c>
      <c r="C1157" t="s">
        <v>5205</v>
      </c>
      <c r="D1157" t="s">
        <v>3332</v>
      </c>
      <c r="E1157" t="s">
        <v>3336</v>
      </c>
    </row>
    <row r="1158" spans="1:5" x14ac:dyDescent="0.25">
      <c r="A1158" t="s">
        <v>3329</v>
      </c>
      <c r="B1158" t="s">
        <v>5206</v>
      </c>
      <c r="C1158" t="s">
        <v>5207</v>
      </c>
      <c r="D1158" t="s">
        <v>3332</v>
      </c>
      <c r="E1158" t="s">
        <v>3336</v>
      </c>
    </row>
    <row r="1159" spans="1:5" x14ac:dyDescent="0.25">
      <c r="A1159" t="s">
        <v>3329</v>
      </c>
      <c r="B1159" t="s">
        <v>5208</v>
      </c>
      <c r="C1159" t="s">
        <v>5209</v>
      </c>
      <c r="D1159" t="s">
        <v>3332</v>
      </c>
      <c r="E1159" t="s">
        <v>3336</v>
      </c>
    </row>
    <row r="1160" spans="1:5" x14ac:dyDescent="0.25">
      <c r="A1160" t="s">
        <v>3329</v>
      </c>
      <c r="B1160" t="str">
        <f>"8435536799807"</f>
        <v>8435536799807</v>
      </c>
      <c r="C1160" t="s">
        <v>5210</v>
      </c>
      <c r="D1160" t="s">
        <v>3332</v>
      </c>
      <c r="E1160" t="s">
        <v>3336</v>
      </c>
    </row>
    <row r="1161" spans="1:5" x14ac:dyDescent="0.25">
      <c r="A1161" t="s">
        <v>3329</v>
      </c>
      <c r="B1161" t="str">
        <f>"8435536799777"</f>
        <v>8435536799777</v>
      </c>
      <c r="C1161" t="s">
        <v>5211</v>
      </c>
      <c r="D1161" t="s">
        <v>3332</v>
      </c>
      <c r="E1161" t="s">
        <v>3336</v>
      </c>
    </row>
    <row r="1162" spans="1:5" x14ac:dyDescent="0.25">
      <c r="A1162" t="s">
        <v>3329</v>
      </c>
      <c r="B1162" t="str">
        <f>"8435536798237"</f>
        <v>8435536798237</v>
      </c>
      <c r="C1162" t="s">
        <v>5212</v>
      </c>
      <c r="D1162" t="s">
        <v>3332</v>
      </c>
      <c r="E1162" t="s">
        <v>3333</v>
      </c>
    </row>
    <row r="1163" spans="1:5" x14ac:dyDescent="0.25">
      <c r="A1163" t="s">
        <v>3329</v>
      </c>
      <c r="B1163" t="str">
        <f>"8435536798220"</f>
        <v>8435536798220</v>
      </c>
      <c r="C1163" t="s">
        <v>5213</v>
      </c>
      <c r="D1163" t="s">
        <v>3332</v>
      </c>
      <c r="E1163" t="s">
        <v>3333</v>
      </c>
    </row>
    <row r="1164" spans="1:5" x14ac:dyDescent="0.25">
      <c r="A1164" t="s">
        <v>3329</v>
      </c>
      <c r="B1164" t="str">
        <f>"8435536798107"</f>
        <v>8435536798107</v>
      </c>
      <c r="C1164" t="s">
        <v>5214</v>
      </c>
      <c r="D1164" t="s">
        <v>3332</v>
      </c>
      <c r="E1164" t="s">
        <v>3333</v>
      </c>
    </row>
    <row r="1165" spans="1:5" x14ac:dyDescent="0.25">
      <c r="A1165" t="s">
        <v>3329</v>
      </c>
      <c r="B1165" t="str">
        <f>"8435536798084"</f>
        <v>8435536798084</v>
      </c>
      <c r="C1165" t="s">
        <v>5215</v>
      </c>
      <c r="D1165" t="s">
        <v>3332</v>
      </c>
      <c r="E1165" t="s">
        <v>3336</v>
      </c>
    </row>
    <row r="1166" spans="1:5" x14ac:dyDescent="0.25">
      <c r="A1166" t="s">
        <v>3329</v>
      </c>
      <c r="B1166" t="str">
        <f>"8435536798053"</f>
        <v>8435536798053</v>
      </c>
      <c r="C1166" t="s">
        <v>5216</v>
      </c>
      <c r="D1166" t="s">
        <v>3332</v>
      </c>
      <c r="E1166" t="s">
        <v>3336</v>
      </c>
    </row>
    <row r="1167" spans="1:5" x14ac:dyDescent="0.25">
      <c r="A1167" t="s">
        <v>3329</v>
      </c>
      <c r="B1167" t="str">
        <f>"8435536798008"</f>
        <v>8435536798008</v>
      </c>
      <c r="C1167" t="s">
        <v>5217</v>
      </c>
      <c r="D1167" t="s">
        <v>3332</v>
      </c>
      <c r="E1167" t="s">
        <v>3336</v>
      </c>
    </row>
    <row r="1168" spans="1:5" x14ac:dyDescent="0.25">
      <c r="A1168" t="s">
        <v>3329</v>
      </c>
      <c r="B1168" t="str">
        <f>"8435536797995"</f>
        <v>8435536797995</v>
      </c>
      <c r="C1168" t="s">
        <v>5218</v>
      </c>
      <c r="D1168" t="s">
        <v>3332</v>
      </c>
      <c r="E1168" t="s">
        <v>3336</v>
      </c>
    </row>
    <row r="1169" spans="1:5" x14ac:dyDescent="0.25">
      <c r="A1169" t="s">
        <v>3329</v>
      </c>
      <c r="B1169" t="str">
        <f>"8435536797292"</f>
        <v>8435536797292</v>
      </c>
      <c r="C1169" t="s">
        <v>5219</v>
      </c>
      <c r="D1169" t="s">
        <v>3332</v>
      </c>
      <c r="E1169" t="s">
        <v>3339</v>
      </c>
    </row>
    <row r="1170" spans="1:5" x14ac:dyDescent="0.25">
      <c r="A1170" t="s">
        <v>3329</v>
      </c>
      <c r="B1170" t="str">
        <f>"8435536797162"</f>
        <v>8435536797162</v>
      </c>
      <c r="C1170" t="s">
        <v>5220</v>
      </c>
      <c r="D1170" t="s">
        <v>3332</v>
      </c>
      <c r="E1170" t="s">
        <v>3339</v>
      </c>
    </row>
    <row r="1171" spans="1:5" x14ac:dyDescent="0.25">
      <c r="A1171" t="s">
        <v>3329</v>
      </c>
      <c r="B1171" t="str">
        <f>"8435536795533"</f>
        <v>8435536795533</v>
      </c>
      <c r="C1171" t="s">
        <v>5221</v>
      </c>
      <c r="D1171" t="s">
        <v>3332</v>
      </c>
      <c r="E1171" t="s">
        <v>3336</v>
      </c>
    </row>
    <row r="1172" spans="1:5" x14ac:dyDescent="0.25">
      <c r="A1172" t="s">
        <v>3329</v>
      </c>
      <c r="B1172" t="str">
        <f>"8435536795526"</f>
        <v>8435536795526</v>
      </c>
      <c r="C1172" t="s">
        <v>5222</v>
      </c>
      <c r="D1172" t="s">
        <v>3332</v>
      </c>
      <c r="E1172" t="s">
        <v>3336</v>
      </c>
    </row>
    <row r="1173" spans="1:5" x14ac:dyDescent="0.25">
      <c r="A1173" t="s">
        <v>3329</v>
      </c>
      <c r="B1173" t="str">
        <f>"8435536795083"</f>
        <v>8435536795083</v>
      </c>
      <c r="C1173" t="s">
        <v>5223</v>
      </c>
      <c r="D1173" t="s">
        <v>3332</v>
      </c>
      <c r="E1173" t="s">
        <v>3336</v>
      </c>
    </row>
    <row r="1174" spans="1:5" x14ac:dyDescent="0.25">
      <c r="A1174" t="s">
        <v>3329</v>
      </c>
      <c r="B1174" t="str">
        <f>"8435536795076"</f>
        <v>8435536795076</v>
      </c>
      <c r="C1174" t="s">
        <v>5224</v>
      </c>
      <c r="D1174" t="s">
        <v>3332</v>
      </c>
      <c r="E1174" t="s">
        <v>3336</v>
      </c>
    </row>
    <row r="1175" spans="1:5" x14ac:dyDescent="0.25">
      <c r="A1175" t="s">
        <v>3329</v>
      </c>
      <c r="B1175" t="str">
        <f>"8435536794215"</f>
        <v>8435536794215</v>
      </c>
      <c r="C1175" t="s">
        <v>5225</v>
      </c>
      <c r="D1175" t="s">
        <v>3332</v>
      </c>
      <c r="E1175" t="s">
        <v>3344</v>
      </c>
    </row>
    <row r="1176" spans="1:5" x14ac:dyDescent="0.25">
      <c r="A1176" t="s">
        <v>3329</v>
      </c>
      <c r="B1176" t="str">
        <f>"8435536794208"</f>
        <v>8435536794208</v>
      </c>
      <c r="C1176" t="s">
        <v>5226</v>
      </c>
      <c r="D1176" t="s">
        <v>3332</v>
      </c>
      <c r="E1176" t="s">
        <v>3344</v>
      </c>
    </row>
    <row r="1177" spans="1:5" x14ac:dyDescent="0.25">
      <c r="A1177" t="s">
        <v>3329</v>
      </c>
      <c r="B1177" t="str">
        <f>"8435536793591"</f>
        <v>8435536793591</v>
      </c>
      <c r="C1177" t="s">
        <v>5227</v>
      </c>
      <c r="D1177" t="s">
        <v>3332</v>
      </c>
      <c r="E1177" t="s">
        <v>3339</v>
      </c>
    </row>
    <row r="1178" spans="1:5" x14ac:dyDescent="0.25">
      <c r="A1178" t="s">
        <v>3329</v>
      </c>
      <c r="B1178" t="str">
        <f>"8435536793577"</f>
        <v>8435536793577</v>
      </c>
      <c r="C1178" t="s">
        <v>5228</v>
      </c>
      <c r="D1178" t="s">
        <v>3332</v>
      </c>
      <c r="E1178" t="s">
        <v>3339</v>
      </c>
    </row>
    <row r="1179" spans="1:5" x14ac:dyDescent="0.25">
      <c r="A1179" t="s">
        <v>3329</v>
      </c>
      <c r="B1179" t="str">
        <f>"8435536793560"</f>
        <v>8435536793560</v>
      </c>
      <c r="C1179" t="s">
        <v>5229</v>
      </c>
      <c r="D1179" t="s">
        <v>3332</v>
      </c>
      <c r="E1179" t="s">
        <v>3339</v>
      </c>
    </row>
    <row r="1180" spans="1:5" x14ac:dyDescent="0.25">
      <c r="A1180" t="s">
        <v>3329</v>
      </c>
      <c r="B1180" t="str">
        <f>"8435536793553"</f>
        <v>8435536793553</v>
      </c>
      <c r="C1180" t="s">
        <v>5230</v>
      </c>
      <c r="D1180" t="s">
        <v>3332</v>
      </c>
      <c r="E1180" t="s">
        <v>3339</v>
      </c>
    </row>
    <row r="1181" spans="1:5" x14ac:dyDescent="0.25">
      <c r="A1181" t="s">
        <v>3329</v>
      </c>
      <c r="B1181" t="str">
        <f>"8435536793546"</f>
        <v>8435536793546</v>
      </c>
      <c r="C1181" t="s">
        <v>5231</v>
      </c>
      <c r="D1181" t="s">
        <v>3332</v>
      </c>
      <c r="E1181" t="s">
        <v>3339</v>
      </c>
    </row>
    <row r="1182" spans="1:5" x14ac:dyDescent="0.25">
      <c r="A1182" t="s">
        <v>3329</v>
      </c>
      <c r="B1182" t="str">
        <f>"8435536793539"</f>
        <v>8435536793539</v>
      </c>
      <c r="C1182" t="s">
        <v>5232</v>
      </c>
      <c r="D1182" t="s">
        <v>3332</v>
      </c>
      <c r="E1182" t="s">
        <v>3339</v>
      </c>
    </row>
    <row r="1183" spans="1:5" x14ac:dyDescent="0.25">
      <c r="A1183" t="s">
        <v>3329</v>
      </c>
      <c r="B1183" t="str">
        <f>"8435536793522"</f>
        <v>8435536793522</v>
      </c>
      <c r="C1183" t="s">
        <v>5233</v>
      </c>
      <c r="D1183" t="s">
        <v>3332</v>
      </c>
      <c r="E1183" t="s">
        <v>3339</v>
      </c>
    </row>
    <row r="1184" spans="1:5" x14ac:dyDescent="0.25">
      <c r="A1184" t="s">
        <v>3329</v>
      </c>
      <c r="B1184" t="str">
        <f>"8435536793515"</f>
        <v>8435536793515</v>
      </c>
      <c r="C1184" t="s">
        <v>5234</v>
      </c>
      <c r="D1184" t="s">
        <v>3332</v>
      </c>
      <c r="E1184" t="s">
        <v>3339</v>
      </c>
    </row>
    <row r="1185" spans="1:5" x14ac:dyDescent="0.25">
      <c r="A1185" t="s">
        <v>3329</v>
      </c>
      <c r="B1185" t="str">
        <f>"8435536793508"</f>
        <v>8435536793508</v>
      </c>
      <c r="C1185" t="s">
        <v>5235</v>
      </c>
      <c r="D1185" t="s">
        <v>3332</v>
      </c>
      <c r="E1185" t="s">
        <v>3339</v>
      </c>
    </row>
    <row r="1186" spans="1:5" x14ac:dyDescent="0.25">
      <c r="A1186" t="s">
        <v>3329</v>
      </c>
      <c r="B1186" t="str">
        <f>"8435536793485"</f>
        <v>8435536793485</v>
      </c>
      <c r="C1186" t="s">
        <v>5236</v>
      </c>
      <c r="D1186" t="s">
        <v>3332</v>
      </c>
      <c r="E1186" t="s">
        <v>3339</v>
      </c>
    </row>
    <row r="1187" spans="1:5" x14ac:dyDescent="0.25">
      <c r="A1187" t="s">
        <v>3329</v>
      </c>
      <c r="B1187" t="str">
        <f>"8435536793478"</f>
        <v>8435536793478</v>
      </c>
      <c r="C1187" t="s">
        <v>5237</v>
      </c>
      <c r="D1187" t="s">
        <v>3332</v>
      </c>
      <c r="E1187" t="s">
        <v>3339</v>
      </c>
    </row>
    <row r="1188" spans="1:5" x14ac:dyDescent="0.25">
      <c r="A1188" t="s">
        <v>3329</v>
      </c>
      <c r="B1188" t="str">
        <f>"8435536793454"</f>
        <v>8435536793454</v>
      </c>
      <c r="C1188" t="s">
        <v>5238</v>
      </c>
      <c r="D1188" t="s">
        <v>3332</v>
      </c>
      <c r="E1188" t="s">
        <v>3339</v>
      </c>
    </row>
    <row r="1189" spans="1:5" x14ac:dyDescent="0.25">
      <c r="A1189" t="s">
        <v>3329</v>
      </c>
      <c r="B1189" t="str">
        <f>"8435536793447"</f>
        <v>8435536793447</v>
      </c>
      <c r="C1189" t="s">
        <v>5239</v>
      </c>
      <c r="D1189" t="s">
        <v>3332</v>
      </c>
      <c r="E1189" t="s">
        <v>3339</v>
      </c>
    </row>
    <row r="1190" spans="1:5" x14ac:dyDescent="0.25">
      <c r="A1190" t="s">
        <v>3329</v>
      </c>
      <c r="B1190" t="str">
        <f>"8435536793430"</f>
        <v>8435536793430</v>
      </c>
      <c r="C1190" t="s">
        <v>5240</v>
      </c>
      <c r="D1190" t="s">
        <v>3332</v>
      </c>
      <c r="E1190" t="s">
        <v>3339</v>
      </c>
    </row>
    <row r="1191" spans="1:5" x14ac:dyDescent="0.25">
      <c r="A1191" t="s">
        <v>3329</v>
      </c>
      <c r="B1191" t="str">
        <f>"8435536793423"</f>
        <v>8435536793423</v>
      </c>
      <c r="C1191" t="s">
        <v>5241</v>
      </c>
      <c r="D1191" t="s">
        <v>3332</v>
      </c>
      <c r="E1191" t="s">
        <v>3339</v>
      </c>
    </row>
    <row r="1192" spans="1:5" x14ac:dyDescent="0.25">
      <c r="A1192" t="s">
        <v>3329</v>
      </c>
      <c r="B1192" t="str">
        <f>"8435536793416"</f>
        <v>8435536793416</v>
      </c>
      <c r="C1192" t="s">
        <v>5242</v>
      </c>
      <c r="D1192" t="s">
        <v>3332</v>
      </c>
      <c r="E1192" t="s">
        <v>3339</v>
      </c>
    </row>
    <row r="1193" spans="1:5" x14ac:dyDescent="0.25">
      <c r="A1193" t="s">
        <v>3329</v>
      </c>
      <c r="B1193" t="str">
        <f>"8435536793201"</f>
        <v>8435536793201</v>
      </c>
      <c r="C1193" t="s">
        <v>5243</v>
      </c>
      <c r="D1193" t="s">
        <v>3332</v>
      </c>
      <c r="E1193" t="s">
        <v>3336</v>
      </c>
    </row>
    <row r="1194" spans="1:5" x14ac:dyDescent="0.25">
      <c r="A1194" t="s">
        <v>3329</v>
      </c>
      <c r="B1194" t="str">
        <f>"8435536793195"</f>
        <v>8435536793195</v>
      </c>
      <c r="C1194" t="s">
        <v>5244</v>
      </c>
      <c r="D1194" t="s">
        <v>3332</v>
      </c>
      <c r="E1194" t="s">
        <v>3336</v>
      </c>
    </row>
    <row r="1195" spans="1:5" x14ac:dyDescent="0.25">
      <c r="A1195" t="s">
        <v>3329</v>
      </c>
      <c r="B1195" t="str">
        <f>"8435536793188"</f>
        <v>8435536793188</v>
      </c>
      <c r="C1195" t="s">
        <v>5245</v>
      </c>
      <c r="D1195" t="s">
        <v>3332</v>
      </c>
      <c r="E1195" t="s">
        <v>3336</v>
      </c>
    </row>
    <row r="1196" spans="1:5" x14ac:dyDescent="0.25">
      <c r="A1196" t="s">
        <v>3329</v>
      </c>
      <c r="B1196" t="str">
        <f>"8435536793157"</f>
        <v>8435536793157</v>
      </c>
      <c r="C1196" t="s">
        <v>5246</v>
      </c>
      <c r="D1196" t="s">
        <v>3332</v>
      </c>
      <c r="E1196" t="s">
        <v>3336</v>
      </c>
    </row>
    <row r="1197" spans="1:5" x14ac:dyDescent="0.25">
      <c r="A1197" t="s">
        <v>3329</v>
      </c>
      <c r="B1197" t="str">
        <f>"8435536793140"</f>
        <v>8435536793140</v>
      </c>
      <c r="C1197" t="s">
        <v>5247</v>
      </c>
      <c r="D1197" t="s">
        <v>3332</v>
      </c>
      <c r="E1197" t="s">
        <v>3336</v>
      </c>
    </row>
    <row r="1198" spans="1:5" x14ac:dyDescent="0.25">
      <c r="A1198" t="s">
        <v>3329</v>
      </c>
      <c r="B1198" t="str">
        <f>"8435536793133"</f>
        <v>8435536793133</v>
      </c>
      <c r="C1198" t="s">
        <v>5248</v>
      </c>
      <c r="D1198" t="s">
        <v>3332</v>
      </c>
      <c r="E1198" t="s">
        <v>3336</v>
      </c>
    </row>
    <row r="1199" spans="1:5" x14ac:dyDescent="0.25">
      <c r="A1199" t="s">
        <v>3329</v>
      </c>
      <c r="B1199" t="str">
        <f>"8435536793058"</f>
        <v>8435536793058</v>
      </c>
      <c r="C1199" t="s">
        <v>5249</v>
      </c>
      <c r="D1199" t="s">
        <v>3332</v>
      </c>
      <c r="E1199" t="s">
        <v>3336</v>
      </c>
    </row>
    <row r="1200" spans="1:5" x14ac:dyDescent="0.25">
      <c r="A1200" t="s">
        <v>3329</v>
      </c>
      <c r="B1200" t="str">
        <f>"8435536793041"</f>
        <v>8435536793041</v>
      </c>
      <c r="C1200" t="s">
        <v>5250</v>
      </c>
      <c r="D1200" t="s">
        <v>3332</v>
      </c>
      <c r="E1200" t="s">
        <v>3336</v>
      </c>
    </row>
    <row r="1201" spans="1:5" x14ac:dyDescent="0.25">
      <c r="A1201" t="s">
        <v>3329</v>
      </c>
      <c r="B1201" t="str">
        <f>"8435536793034"</f>
        <v>8435536793034</v>
      </c>
      <c r="C1201" t="s">
        <v>5251</v>
      </c>
      <c r="D1201" t="s">
        <v>3332</v>
      </c>
      <c r="E1201" t="s">
        <v>3336</v>
      </c>
    </row>
    <row r="1202" spans="1:5" x14ac:dyDescent="0.25">
      <c r="A1202" t="s">
        <v>3329</v>
      </c>
      <c r="B1202" t="str">
        <f>"8435536792945"</f>
        <v>8435536792945</v>
      </c>
      <c r="C1202" t="s">
        <v>5252</v>
      </c>
      <c r="D1202" t="s">
        <v>3332</v>
      </c>
      <c r="E1202" t="s">
        <v>3336</v>
      </c>
    </row>
    <row r="1203" spans="1:5" x14ac:dyDescent="0.25">
      <c r="A1203" t="s">
        <v>3329</v>
      </c>
      <c r="B1203" t="str">
        <f>"8435536792846"</f>
        <v>8435536792846</v>
      </c>
      <c r="C1203" t="s">
        <v>5253</v>
      </c>
      <c r="D1203" t="s">
        <v>3332</v>
      </c>
      <c r="E1203" t="s">
        <v>3336</v>
      </c>
    </row>
    <row r="1204" spans="1:5" x14ac:dyDescent="0.25">
      <c r="A1204" t="s">
        <v>3329</v>
      </c>
      <c r="B1204" t="str">
        <f>"8435536792839"</f>
        <v>8435536792839</v>
      </c>
      <c r="C1204" t="s">
        <v>5254</v>
      </c>
      <c r="D1204" t="s">
        <v>3332</v>
      </c>
      <c r="E1204" t="s">
        <v>3336</v>
      </c>
    </row>
    <row r="1205" spans="1:5" x14ac:dyDescent="0.25">
      <c r="A1205" t="s">
        <v>3329</v>
      </c>
      <c r="B1205" t="str">
        <f>"8435536792815"</f>
        <v>8435536792815</v>
      </c>
      <c r="C1205" t="s">
        <v>5255</v>
      </c>
      <c r="D1205" t="s">
        <v>3332</v>
      </c>
      <c r="E1205" t="s">
        <v>3336</v>
      </c>
    </row>
    <row r="1206" spans="1:5" x14ac:dyDescent="0.25">
      <c r="A1206" t="s">
        <v>3329</v>
      </c>
      <c r="B1206" t="str">
        <f>"8435536792808"</f>
        <v>8435536792808</v>
      </c>
      <c r="C1206" t="s">
        <v>5256</v>
      </c>
      <c r="D1206" t="s">
        <v>3332</v>
      </c>
      <c r="E1206" t="s">
        <v>3336</v>
      </c>
    </row>
    <row r="1207" spans="1:5" x14ac:dyDescent="0.25">
      <c r="A1207" t="s">
        <v>3329</v>
      </c>
      <c r="B1207" t="str">
        <f>"8435536792792"</f>
        <v>8435536792792</v>
      </c>
      <c r="C1207" t="s">
        <v>5257</v>
      </c>
      <c r="D1207" t="s">
        <v>3332</v>
      </c>
      <c r="E1207" t="s">
        <v>3336</v>
      </c>
    </row>
    <row r="1208" spans="1:5" x14ac:dyDescent="0.25">
      <c r="A1208" t="s">
        <v>3329</v>
      </c>
      <c r="B1208" t="str">
        <f>"8435536792785"</f>
        <v>8435536792785</v>
      </c>
      <c r="C1208" t="s">
        <v>5258</v>
      </c>
      <c r="D1208" t="s">
        <v>3332</v>
      </c>
      <c r="E1208" t="s">
        <v>3336</v>
      </c>
    </row>
    <row r="1209" spans="1:5" x14ac:dyDescent="0.25">
      <c r="A1209" t="s">
        <v>3329</v>
      </c>
      <c r="B1209" t="str">
        <f>"8435536792778"</f>
        <v>8435536792778</v>
      </c>
      <c r="C1209" t="s">
        <v>5259</v>
      </c>
      <c r="D1209" t="s">
        <v>3332</v>
      </c>
      <c r="E1209" t="s">
        <v>3336</v>
      </c>
    </row>
    <row r="1210" spans="1:5" x14ac:dyDescent="0.25">
      <c r="A1210" t="s">
        <v>3329</v>
      </c>
      <c r="B1210" t="str">
        <f>"8435536792754"</f>
        <v>8435536792754</v>
      </c>
      <c r="C1210" t="s">
        <v>5260</v>
      </c>
      <c r="D1210" t="s">
        <v>3332</v>
      </c>
      <c r="E1210" t="s">
        <v>3336</v>
      </c>
    </row>
    <row r="1211" spans="1:5" x14ac:dyDescent="0.25">
      <c r="A1211" t="s">
        <v>3329</v>
      </c>
      <c r="B1211" t="str">
        <f>"8435536792747"</f>
        <v>8435536792747</v>
      </c>
      <c r="C1211" t="s">
        <v>5261</v>
      </c>
      <c r="D1211" t="s">
        <v>3332</v>
      </c>
      <c r="E1211" t="s">
        <v>3336</v>
      </c>
    </row>
    <row r="1212" spans="1:5" x14ac:dyDescent="0.25">
      <c r="A1212" t="s">
        <v>3329</v>
      </c>
      <c r="B1212" t="str">
        <f>"8435536792730"</f>
        <v>8435536792730</v>
      </c>
      <c r="C1212" t="s">
        <v>5262</v>
      </c>
      <c r="D1212" t="s">
        <v>3332</v>
      </c>
      <c r="E1212" t="s">
        <v>3336</v>
      </c>
    </row>
    <row r="1213" spans="1:5" x14ac:dyDescent="0.25">
      <c r="A1213" t="s">
        <v>3329</v>
      </c>
      <c r="B1213" t="s">
        <v>5263</v>
      </c>
      <c r="C1213" t="s">
        <v>5264</v>
      </c>
      <c r="D1213" t="s">
        <v>3332</v>
      </c>
      <c r="E1213" t="s">
        <v>3333</v>
      </c>
    </row>
    <row r="1214" spans="1:5" x14ac:dyDescent="0.25">
      <c r="A1214" t="s">
        <v>3329</v>
      </c>
      <c r="B1214" t="s">
        <v>5265</v>
      </c>
      <c r="C1214" t="s">
        <v>5266</v>
      </c>
      <c r="D1214" t="s">
        <v>3332</v>
      </c>
      <c r="E1214" t="s">
        <v>3333</v>
      </c>
    </row>
    <row r="1215" spans="1:5" x14ac:dyDescent="0.25">
      <c r="A1215" t="s">
        <v>3329</v>
      </c>
      <c r="B1215" t="str">
        <f>"8435536789631"</f>
        <v>8435536789631</v>
      </c>
      <c r="C1215" t="s">
        <v>5267</v>
      </c>
      <c r="D1215" t="s">
        <v>3332</v>
      </c>
      <c r="E1215" t="s">
        <v>3333</v>
      </c>
    </row>
    <row r="1216" spans="1:5" x14ac:dyDescent="0.25">
      <c r="A1216" t="s">
        <v>3329</v>
      </c>
      <c r="B1216" t="str">
        <f>"8435536789624"</f>
        <v>8435536789624</v>
      </c>
      <c r="C1216" t="s">
        <v>5268</v>
      </c>
      <c r="D1216" t="s">
        <v>3332</v>
      </c>
      <c r="E1216" t="s">
        <v>3333</v>
      </c>
    </row>
    <row r="1217" spans="1:5" x14ac:dyDescent="0.25">
      <c r="A1217" t="s">
        <v>3329</v>
      </c>
      <c r="B1217" t="str">
        <f>"8435536789518"</f>
        <v>8435536789518</v>
      </c>
      <c r="C1217" t="s">
        <v>5269</v>
      </c>
      <c r="D1217" t="s">
        <v>3332</v>
      </c>
      <c r="E1217" t="s">
        <v>3333</v>
      </c>
    </row>
    <row r="1218" spans="1:5" x14ac:dyDescent="0.25">
      <c r="A1218" t="s">
        <v>3329</v>
      </c>
      <c r="B1218" t="str">
        <f>"8435536789495"</f>
        <v>8435536789495</v>
      </c>
      <c r="C1218" t="s">
        <v>5270</v>
      </c>
      <c r="D1218" t="s">
        <v>3332</v>
      </c>
      <c r="E1218" t="s">
        <v>3333</v>
      </c>
    </row>
    <row r="1219" spans="1:5" x14ac:dyDescent="0.25">
      <c r="A1219" t="s">
        <v>3329</v>
      </c>
      <c r="B1219" t="s">
        <v>5271</v>
      </c>
      <c r="C1219" t="s">
        <v>5272</v>
      </c>
      <c r="D1219" t="s">
        <v>3332</v>
      </c>
      <c r="E1219" t="s">
        <v>3333</v>
      </c>
    </row>
    <row r="1220" spans="1:5" x14ac:dyDescent="0.25">
      <c r="A1220" t="s">
        <v>3329</v>
      </c>
      <c r="B1220" t="str">
        <f>"8435536789426"</f>
        <v>8435536789426</v>
      </c>
      <c r="C1220" t="s">
        <v>5273</v>
      </c>
      <c r="D1220" t="s">
        <v>3332</v>
      </c>
      <c r="E1220" t="s">
        <v>3579</v>
      </c>
    </row>
    <row r="1221" spans="1:5" x14ac:dyDescent="0.25">
      <c r="A1221" t="s">
        <v>3329</v>
      </c>
      <c r="B1221" t="str">
        <f>"8435536789419"</f>
        <v>8435536789419</v>
      </c>
      <c r="C1221" t="s">
        <v>5274</v>
      </c>
      <c r="D1221" t="s">
        <v>3332</v>
      </c>
      <c r="E1221" t="s">
        <v>3579</v>
      </c>
    </row>
    <row r="1222" spans="1:5" x14ac:dyDescent="0.25">
      <c r="A1222" t="s">
        <v>3329</v>
      </c>
      <c r="B1222" t="str">
        <f>"8435536789297"</f>
        <v>8435536789297</v>
      </c>
      <c r="C1222" t="s">
        <v>5275</v>
      </c>
      <c r="D1222" t="s">
        <v>3332</v>
      </c>
      <c r="E1222" t="s">
        <v>3339</v>
      </c>
    </row>
    <row r="1223" spans="1:5" x14ac:dyDescent="0.25">
      <c r="A1223" t="s">
        <v>3329</v>
      </c>
      <c r="B1223" t="str">
        <f>"8435536788498"</f>
        <v>8435536788498</v>
      </c>
      <c r="C1223" t="s">
        <v>5276</v>
      </c>
      <c r="D1223" t="s">
        <v>3332</v>
      </c>
      <c r="E1223" t="s">
        <v>3333</v>
      </c>
    </row>
    <row r="1224" spans="1:5" x14ac:dyDescent="0.25">
      <c r="A1224" t="s">
        <v>3329</v>
      </c>
      <c r="B1224" t="str">
        <f>"8435536788238"</f>
        <v>8435536788238</v>
      </c>
      <c r="C1224" t="s">
        <v>5277</v>
      </c>
      <c r="D1224" t="s">
        <v>3332</v>
      </c>
      <c r="E1224" t="s">
        <v>3336</v>
      </c>
    </row>
    <row r="1225" spans="1:5" x14ac:dyDescent="0.25">
      <c r="A1225" t="s">
        <v>3329</v>
      </c>
      <c r="B1225" t="str">
        <f>"8435536788221"</f>
        <v>8435536788221</v>
      </c>
      <c r="C1225" t="s">
        <v>5278</v>
      </c>
      <c r="D1225" t="s">
        <v>3332</v>
      </c>
      <c r="E1225" t="s">
        <v>3336</v>
      </c>
    </row>
    <row r="1226" spans="1:5" x14ac:dyDescent="0.25">
      <c r="A1226" t="s">
        <v>3329</v>
      </c>
      <c r="B1226" t="str">
        <f>"8435536788214"</f>
        <v>8435536788214</v>
      </c>
      <c r="C1226" t="s">
        <v>5279</v>
      </c>
      <c r="D1226" t="s">
        <v>3332</v>
      </c>
      <c r="E1226" t="s">
        <v>3336</v>
      </c>
    </row>
    <row r="1227" spans="1:5" x14ac:dyDescent="0.25">
      <c r="A1227" t="s">
        <v>3329</v>
      </c>
      <c r="B1227" t="str">
        <f>"8435536788177"</f>
        <v>8435536788177</v>
      </c>
      <c r="C1227" t="s">
        <v>5280</v>
      </c>
      <c r="D1227" t="s">
        <v>3332</v>
      </c>
      <c r="E1227" t="s">
        <v>3336</v>
      </c>
    </row>
    <row r="1228" spans="1:5" x14ac:dyDescent="0.25">
      <c r="A1228" t="s">
        <v>3329</v>
      </c>
      <c r="B1228" t="str">
        <f>"8435536788160"</f>
        <v>8435536788160</v>
      </c>
      <c r="C1228" t="s">
        <v>5281</v>
      </c>
      <c r="D1228" t="s">
        <v>3332</v>
      </c>
      <c r="E1228" t="s">
        <v>3336</v>
      </c>
    </row>
    <row r="1229" spans="1:5" x14ac:dyDescent="0.25">
      <c r="A1229" t="s">
        <v>3329</v>
      </c>
      <c r="B1229" t="str">
        <f>"8435536788023"</f>
        <v>8435536788023</v>
      </c>
      <c r="C1229" t="s">
        <v>5282</v>
      </c>
      <c r="D1229" t="s">
        <v>3332</v>
      </c>
      <c r="E1229" t="s">
        <v>3336</v>
      </c>
    </row>
    <row r="1230" spans="1:5" x14ac:dyDescent="0.25">
      <c r="A1230" t="s">
        <v>3329</v>
      </c>
      <c r="B1230" t="str">
        <f>"8435536788016"</f>
        <v>8435536788016</v>
      </c>
      <c r="C1230" t="s">
        <v>5283</v>
      </c>
      <c r="D1230" t="s">
        <v>3332</v>
      </c>
      <c r="E1230" t="s">
        <v>3336</v>
      </c>
    </row>
    <row r="1231" spans="1:5" x14ac:dyDescent="0.25">
      <c r="A1231" t="s">
        <v>3329</v>
      </c>
      <c r="B1231" t="str">
        <f>"8435536787781"</f>
        <v>8435536787781</v>
      </c>
      <c r="C1231" t="s">
        <v>5284</v>
      </c>
      <c r="D1231" t="s">
        <v>3332</v>
      </c>
      <c r="E1231" t="s">
        <v>3333</v>
      </c>
    </row>
    <row r="1232" spans="1:5" x14ac:dyDescent="0.25">
      <c r="A1232" t="s">
        <v>3329</v>
      </c>
      <c r="B1232" t="s">
        <v>5285</v>
      </c>
      <c r="C1232" t="s">
        <v>5286</v>
      </c>
      <c r="D1232" t="s">
        <v>3332</v>
      </c>
      <c r="E1232" t="s">
        <v>3333</v>
      </c>
    </row>
    <row r="1233" spans="1:5" x14ac:dyDescent="0.25">
      <c r="A1233" t="s">
        <v>3329</v>
      </c>
      <c r="B1233" t="s">
        <v>5287</v>
      </c>
      <c r="C1233" t="s">
        <v>5284</v>
      </c>
      <c r="D1233" t="s">
        <v>3332</v>
      </c>
      <c r="E1233" t="s">
        <v>3333</v>
      </c>
    </row>
    <row r="1234" spans="1:5" x14ac:dyDescent="0.25">
      <c r="A1234" t="s">
        <v>3329</v>
      </c>
      <c r="B1234" t="str">
        <f>"8435536787736"</f>
        <v>8435536787736</v>
      </c>
      <c r="C1234" t="s">
        <v>5288</v>
      </c>
      <c r="D1234" t="s">
        <v>3332</v>
      </c>
      <c r="E1234" t="s">
        <v>3333</v>
      </c>
    </row>
    <row r="1235" spans="1:5" x14ac:dyDescent="0.25">
      <c r="A1235" t="s">
        <v>3329</v>
      </c>
      <c r="B1235" t="str">
        <f>"8435536785763"</f>
        <v>8435536785763</v>
      </c>
      <c r="C1235" t="s">
        <v>5289</v>
      </c>
      <c r="D1235" t="s">
        <v>3332</v>
      </c>
      <c r="E1235" t="s">
        <v>3336</v>
      </c>
    </row>
    <row r="1236" spans="1:5" x14ac:dyDescent="0.25">
      <c r="A1236" t="s">
        <v>3329</v>
      </c>
      <c r="B1236" t="str">
        <f>"8435536785756"</f>
        <v>8435536785756</v>
      </c>
      <c r="C1236" t="s">
        <v>5290</v>
      </c>
      <c r="D1236" t="s">
        <v>3332</v>
      </c>
      <c r="E1236" t="s">
        <v>3336</v>
      </c>
    </row>
    <row r="1237" spans="1:5" x14ac:dyDescent="0.25">
      <c r="A1237" t="s">
        <v>3329</v>
      </c>
      <c r="B1237" t="str">
        <f>"8435536785749"</f>
        <v>8435536785749</v>
      </c>
      <c r="C1237" t="s">
        <v>5291</v>
      </c>
      <c r="D1237" t="s">
        <v>3332</v>
      </c>
      <c r="E1237" t="s">
        <v>3336</v>
      </c>
    </row>
    <row r="1238" spans="1:5" x14ac:dyDescent="0.25">
      <c r="A1238" t="s">
        <v>3329</v>
      </c>
      <c r="B1238" t="str">
        <f>"8435536785732"</f>
        <v>8435536785732</v>
      </c>
      <c r="C1238" t="s">
        <v>5292</v>
      </c>
      <c r="D1238" t="s">
        <v>3332</v>
      </c>
      <c r="E1238" t="s">
        <v>3336</v>
      </c>
    </row>
    <row r="1239" spans="1:5" x14ac:dyDescent="0.25">
      <c r="A1239" t="s">
        <v>3329</v>
      </c>
      <c r="B1239" t="str">
        <f>"8435536785718"</f>
        <v>8435536785718</v>
      </c>
      <c r="C1239" t="s">
        <v>5293</v>
      </c>
      <c r="D1239" t="s">
        <v>3332</v>
      </c>
      <c r="E1239" t="s">
        <v>3336</v>
      </c>
    </row>
    <row r="1240" spans="1:5" x14ac:dyDescent="0.25">
      <c r="A1240" t="s">
        <v>3329</v>
      </c>
      <c r="B1240" t="str">
        <f>"8435536785701"</f>
        <v>8435536785701</v>
      </c>
      <c r="C1240" t="s">
        <v>5294</v>
      </c>
      <c r="D1240" t="s">
        <v>3332</v>
      </c>
      <c r="E1240" t="s">
        <v>3336</v>
      </c>
    </row>
    <row r="1241" spans="1:5" x14ac:dyDescent="0.25">
      <c r="A1241" t="s">
        <v>3329</v>
      </c>
      <c r="B1241" t="str">
        <f>"8435536785695"</f>
        <v>8435536785695</v>
      </c>
      <c r="C1241" t="s">
        <v>5295</v>
      </c>
      <c r="D1241" t="s">
        <v>3332</v>
      </c>
      <c r="E1241" t="s">
        <v>3336</v>
      </c>
    </row>
    <row r="1242" spans="1:5" x14ac:dyDescent="0.25">
      <c r="A1242" t="s">
        <v>3329</v>
      </c>
      <c r="B1242" t="str">
        <f>"8435536784810"</f>
        <v>8435536784810</v>
      </c>
      <c r="C1242" t="s">
        <v>5296</v>
      </c>
      <c r="D1242" t="s">
        <v>3332</v>
      </c>
      <c r="E1242" t="s">
        <v>3336</v>
      </c>
    </row>
    <row r="1243" spans="1:5" x14ac:dyDescent="0.25">
      <c r="A1243" t="s">
        <v>3329</v>
      </c>
      <c r="B1243" t="str">
        <f>"8435536784803"</f>
        <v>8435536784803</v>
      </c>
      <c r="C1243" t="s">
        <v>5297</v>
      </c>
      <c r="D1243" t="s">
        <v>3332</v>
      </c>
      <c r="E1243" t="s">
        <v>3336</v>
      </c>
    </row>
    <row r="1244" spans="1:5" x14ac:dyDescent="0.25">
      <c r="A1244" t="s">
        <v>3329</v>
      </c>
      <c r="B1244" t="str">
        <f>"8435536784797"</f>
        <v>8435536784797</v>
      </c>
      <c r="C1244" t="s">
        <v>5298</v>
      </c>
      <c r="D1244" t="s">
        <v>3332</v>
      </c>
      <c r="E1244" t="s">
        <v>3336</v>
      </c>
    </row>
    <row r="1245" spans="1:5" x14ac:dyDescent="0.25">
      <c r="A1245" t="s">
        <v>3329</v>
      </c>
      <c r="B1245" t="str">
        <f>"8435536782830"</f>
        <v>8435536782830</v>
      </c>
      <c r="C1245" t="s">
        <v>5299</v>
      </c>
      <c r="D1245" t="s">
        <v>3332</v>
      </c>
      <c r="E1245" t="s">
        <v>3336</v>
      </c>
    </row>
    <row r="1246" spans="1:5" x14ac:dyDescent="0.25">
      <c r="A1246" t="s">
        <v>3329</v>
      </c>
      <c r="B1246" t="s">
        <v>5300</v>
      </c>
      <c r="C1246" t="s">
        <v>5301</v>
      </c>
      <c r="D1246" t="s">
        <v>3332</v>
      </c>
      <c r="E1246" t="s">
        <v>3336</v>
      </c>
    </row>
    <row r="1247" spans="1:5" x14ac:dyDescent="0.25">
      <c r="A1247" t="s">
        <v>3329</v>
      </c>
      <c r="B1247" t="s">
        <v>5302</v>
      </c>
      <c r="C1247" t="s">
        <v>5303</v>
      </c>
      <c r="D1247" t="s">
        <v>3332</v>
      </c>
      <c r="E1247" t="s">
        <v>3336</v>
      </c>
    </row>
    <row r="1248" spans="1:5" x14ac:dyDescent="0.25">
      <c r="A1248" t="s">
        <v>3329</v>
      </c>
      <c r="B1248" t="str">
        <f>"8435536782267"</f>
        <v>8435536782267</v>
      </c>
      <c r="C1248" t="s">
        <v>5304</v>
      </c>
      <c r="D1248" t="s">
        <v>3332</v>
      </c>
      <c r="E1248" t="s">
        <v>3336</v>
      </c>
    </row>
    <row r="1249" spans="1:5" x14ac:dyDescent="0.25">
      <c r="A1249" t="s">
        <v>3329</v>
      </c>
      <c r="B1249" t="str">
        <f>"8435536782250"</f>
        <v>8435536782250</v>
      </c>
      <c r="C1249" t="s">
        <v>5305</v>
      </c>
      <c r="D1249" t="s">
        <v>3332</v>
      </c>
      <c r="E1249" t="s">
        <v>3336</v>
      </c>
    </row>
    <row r="1250" spans="1:5" x14ac:dyDescent="0.25">
      <c r="A1250" t="s">
        <v>3329</v>
      </c>
      <c r="B1250" t="str">
        <f>"8435536782243"</f>
        <v>8435536782243</v>
      </c>
      <c r="C1250" t="s">
        <v>5306</v>
      </c>
      <c r="D1250" t="s">
        <v>3332</v>
      </c>
      <c r="E1250" t="s">
        <v>3336</v>
      </c>
    </row>
    <row r="1251" spans="1:5" x14ac:dyDescent="0.25">
      <c r="A1251" t="s">
        <v>3329</v>
      </c>
      <c r="B1251" t="str">
        <f>"8435536782236"</f>
        <v>8435536782236</v>
      </c>
      <c r="C1251" t="s">
        <v>5307</v>
      </c>
      <c r="D1251" t="s">
        <v>3332</v>
      </c>
      <c r="E1251" t="s">
        <v>3336</v>
      </c>
    </row>
    <row r="1252" spans="1:5" x14ac:dyDescent="0.25">
      <c r="A1252" t="s">
        <v>3329</v>
      </c>
      <c r="B1252" t="str">
        <f>"8435536782205"</f>
        <v>8435536782205</v>
      </c>
      <c r="C1252" t="s">
        <v>5308</v>
      </c>
      <c r="D1252" t="s">
        <v>3332</v>
      </c>
      <c r="E1252" t="s">
        <v>3336</v>
      </c>
    </row>
    <row r="1253" spans="1:5" x14ac:dyDescent="0.25">
      <c r="A1253" t="s">
        <v>3329</v>
      </c>
      <c r="B1253" t="str">
        <f>"8435536782199"</f>
        <v>8435536782199</v>
      </c>
      <c r="C1253" t="s">
        <v>5309</v>
      </c>
      <c r="D1253" t="s">
        <v>3332</v>
      </c>
      <c r="E1253" t="s">
        <v>3336</v>
      </c>
    </row>
    <row r="1254" spans="1:5" x14ac:dyDescent="0.25">
      <c r="A1254" t="s">
        <v>3329</v>
      </c>
      <c r="B1254" t="str">
        <f>"8435536782182"</f>
        <v>8435536782182</v>
      </c>
      <c r="C1254" t="s">
        <v>5310</v>
      </c>
      <c r="D1254" t="s">
        <v>3332</v>
      </c>
      <c r="E1254" t="s">
        <v>3336</v>
      </c>
    </row>
    <row r="1255" spans="1:5" x14ac:dyDescent="0.25">
      <c r="A1255" t="s">
        <v>3329</v>
      </c>
      <c r="B1255" t="str">
        <f>"8435536781895"</f>
        <v>8435536781895</v>
      </c>
      <c r="C1255" t="s">
        <v>5311</v>
      </c>
      <c r="D1255" t="s">
        <v>3332</v>
      </c>
      <c r="E1255" t="s">
        <v>3336</v>
      </c>
    </row>
    <row r="1256" spans="1:5" x14ac:dyDescent="0.25">
      <c r="A1256" t="s">
        <v>3329</v>
      </c>
      <c r="B1256" t="str">
        <f>"8435536781888"</f>
        <v>8435536781888</v>
      </c>
      <c r="C1256" t="s">
        <v>5312</v>
      </c>
      <c r="D1256" t="s">
        <v>3332</v>
      </c>
      <c r="E1256" t="s">
        <v>3336</v>
      </c>
    </row>
    <row r="1257" spans="1:5" x14ac:dyDescent="0.25">
      <c r="A1257" t="s">
        <v>3329</v>
      </c>
      <c r="B1257" t="str">
        <f>"8435536781871"</f>
        <v>8435536781871</v>
      </c>
      <c r="C1257" t="s">
        <v>5313</v>
      </c>
      <c r="D1257" t="s">
        <v>3332</v>
      </c>
      <c r="E1257" t="s">
        <v>3336</v>
      </c>
    </row>
    <row r="1258" spans="1:5" x14ac:dyDescent="0.25">
      <c r="A1258" t="s">
        <v>3329</v>
      </c>
      <c r="B1258" t="str">
        <f>"8435536781796"</f>
        <v>8435536781796</v>
      </c>
      <c r="C1258" t="s">
        <v>5314</v>
      </c>
      <c r="D1258" t="s">
        <v>3332</v>
      </c>
      <c r="E1258" t="s">
        <v>3336</v>
      </c>
    </row>
    <row r="1259" spans="1:5" x14ac:dyDescent="0.25">
      <c r="A1259" t="s">
        <v>3329</v>
      </c>
      <c r="B1259" t="str">
        <f>"8435536781789"</f>
        <v>8435536781789</v>
      </c>
      <c r="C1259" t="s">
        <v>5315</v>
      </c>
      <c r="D1259" t="s">
        <v>3332</v>
      </c>
      <c r="E1259" t="s">
        <v>3336</v>
      </c>
    </row>
    <row r="1260" spans="1:5" x14ac:dyDescent="0.25">
      <c r="A1260" t="s">
        <v>3329</v>
      </c>
      <c r="B1260" t="str">
        <f>"8435536781772"</f>
        <v>8435536781772</v>
      </c>
      <c r="C1260" t="s">
        <v>5316</v>
      </c>
      <c r="D1260" t="s">
        <v>3332</v>
      </c>
      <c r="E1260" t="s">
        <v>3336</v>
      </c>
    </row>
    <row r="1261" spans="1:5" x14ac:dyDescent="0.25">
      <c r="A1261" t="s">
        <v>3329</v>
      </c>
      <c r="B1261" t="s">
        <v>5317</v>
      </c>
      <c r="C1261" t="s">
        <v>5318</v>
      </c>
      <c r="D1261" t="s">
        <v>3332</v>
      </c>
      <c r="E1261" t="s">
        <v>3336</v>
      </c>
    </row>
    <row r="1262" spans="1:5" x14ac:dyDescent="0.25">
      <c r="A1262" t="s">
        <v>3329</v>
      </c>
      <c r="B1262" t="s">
        <v>5319</v>
      </c>
      <c r="C1262" t="s">
        <v>5320</v>
      </c>
      <c r="D1262" t="s">
        <v>3332</v>
      </c>
      <c r="E1262" t="s">
        <v>3336</v>
      </c>
    </row>
    <row r="1263" spans="1:5" x14ac:dyDescent="0.25">
      <c r="A1263" t="s">
        <v>3329</v>
      </c>
      <c r="B1263" t="s">
        <v>5321</v>
      </c>
      <c r="C1263" t="s">
        <v>5322</v>
      </c>
      <c r="D1263" t="s">
        <v>3332</v>
      </c>
      <c r="E1263" t="s">
        <v>3336</v>
      </c>
    </row>
    <row r="1264" spans="1:5" x14ac:dyDescent="0.25">
      <c r="A1264" t="s">
        <v>3329</v>
      </c>
      <c r="B1264" t="str">
        <f>"8435536780515"</f>
        <v>8435536780515</v>
      </c>
      <c r="C1264" t="s">
        <v>5323</v>
      </c>
      <c r="D1264" t="s">
        <v>3332</v>
      </c>
      <c r="E1264" t="s">
        <v>3336</v>
      </c>
    </row>
    <row r="1265" spans="1:5" x14ac:dyDescent="0.25">
      <c r="A1265" t="s">
        <v>3329</v>
      </c>
      <c r="B1265" t="str">
        <f>"8435536779656"</f>
        <v>8435536779656</v>
      </c>
      <c r="C1265" t="s">
        <v>5324</v>
      </c>
      <c r="D1265" t="s">
        <v>3332</v>
      </c>
      <c r="E1265" t="s">
        <v>3336</v>
      </c>
    </row>
    <row r="1266" spans="1:5" x14ac:dyDescent="0.25">
      <c r="A1266" t="s">
        <v>3329</v>
      </c>
      <c r="B1266" t="str">
        <f>"8435536779649"</f>
        <v>8435536779649</v>
      </c>
      <c r="C1266" t="s">
        <v>5325</v>
      </c>
      <c r="D1266" t="s">
        <v>3332</v>
      </c>
      <c r="E1266" t="s">
        <v>3336</v>
      </c>
    </row>
    <row r="1267" spans="1:5" x14ac:dyDescent="0.25">
      <c r="A1267" t="s">
        <v>3329</v>
      </c>
      <c r="B1267" t="str">
        <f>"8435536779632"</f>
        <v>8435536779632</v>
      </c>
      <c r="C1267" t="s">
        <v>5326</v>
      </c>
      <c r="D1267" t="s">
        <v>3332</v>
      </c>
      <c r="E1267" t="s">
        <v>3336</v>
      </c>
    </row>
    <row r="1268" spans="1:5" x14ac:dyDescent="0.25">
      <c r="A1268" t="s">
        <v>3329</v>
      </c>
      <c r="B1268" t="str">
        <f>"8435536779625"</f>
        <v>8435536779625</v>
      </c>
      <c r="C1268" t="s">
        <v>5327</v>
      </c>
      <c r="D1268" t="s">
        <v>3332</v>
      </c>
      <c r="E1268" t="s">
        <v>3336</v>
      </c>
    </row>
    <row r="1269" spans="1:5" x14ac:dyDescent="0.25">
      <c r="A1269" t="s">
        <v>3329</v>
      </c>
      <c r="B1269" t="s">
        <v>5328</v>
      </c>
      <c r="C1269" t="s">
        <v>5329</v>
      </c>
      <c r="D1269" t="s">
        <v>3332</v>
      </c>
      <c r="E1269" t="s">
        <v>3336</v>
      </c>
    </row>
    <row r="1270" spans="1:5" x14ac:dyDescent="0.25">
      <c r="A1270" t="s">
        <v>3329</v>
      </c>
      <c r="B1270" t="s">
        <v>5330</v>
      </c>
      <c r="C1270" t="s">
        <v>5331</v>
      </c>
      <c r="D1270" t="s">
        <v>3332</v>
      </c>
      <c r="E1270" t="s">
        <v>3336</v>
      </c>
    </row>
    <row r="1271" spans="1:5" x14ac:dyDescent="0.25">
      <c r="A1271" t="s">
        <v>3329</v>
      </c>
      <c r="B1271" t="s">
        <v>5332</v>
      </c>
      <c r="C1271" t="s">
        <v>5333</v>
      </c>
      <c r="D1271" t="s">
        <v>3332</v>
      </c>
      <c r="E1271" t="s">
        <v>3336</v>
      </c>
    </row>
    <row r="1272" spans="1:5" x14ac:dyDescent="0.25">
      <c r="A1272" t="s">
        <v>3329</v>
      </c>
      <c r="B1272" t="str">
        <f>"8435536777942"</f>
        <v>8435536777942</v>
      </c>
      <c r="C1272" t="s">
        <v>5334</v>
      </c>
      <c r="D1272" t="s">
        <v>3332</v>
      </c>
      <c r="E1272" t="s">
        <v>3344</v>
      </c>
    </row>
    <row r="1273" spans="1:5" x14ac:dyDescent="0.25">
      <c r="A1273" t="s">
        <v>3329</v>
      </c>
      <c r="B1273" t="s">
        <v>5335</v>
      </c>
      <c r="C1273" t="s">
        <v>5336</v>
      </c>
      <c r="D1273" t="s">
        <v>3332</v>
      </c>
      <c r="E1273" t="s">
        <v>3336</v>
      </c>
    </row>
    <row r="1274" spans="1:5" x14ac:dyDescent="0.25">
      <c r="A1274" t="s">
        <v>3329</v>
      </c>
      <c r="B1274" t="s">
        <v>5337</v>
      </c>
      <c r="C1274" t="s">
        <v>5338</v>
      </c>
      <c r="D1274" t="s">
        <v>3332</v>
      </c>
      <c r="E1274" t="s">
        <v>3336</v>
      </c>
    </row>
    <row r="1275" spans="1:5" x14ac:dyDescent="0.25">
      <c r="A1275" t="s">
        <v>3329</v>
      </c>
      <c r="B1275" t="s">
        <v>5339</v>
      </c>
      <c r="C1275" t="s">
        <v>5340</v>
      </c>
      <c r="D1275" t="s">
        <v>3332</v>
      </c>
      <c r="E1275" t="s">
        <v>3336</v>
      </c>
    </row>
    <row r="1276" spans="1:5" x14ac:dyDescent="0.25">
      <c r="A1276" t="s">
        <v>3329</v>
      </c>
      <c r="B1276" t="str">
        <f>"8435536776860"</f>
        <v>8435536776860</v>
      </c>
      <c r="C1276" t="s">
        <v>5341</v>
      </c>
      <c r="D1276" t="s">
        <v>3332</v>
      </c>
      <c r="E1276" t="s">
        <v>3336</v>
      </c>
    </row>
    <row r="1277" spans="1:5" x14ac:dyDescent="0.25">
      <c r="A1277" t="s">
        <v>3329</v>
      </c>
      <c r="B1277" t="str">
        <f>"8435536776853"</f>
        <v>8435536776853</v>
      </c>
      <c r="C1277" t="s">
        <v>5342</v>
      </c>
      <c r="D1277" t="s">
        <v>3332</v>
      </c>
      <c r="E1277" t="s">
        <v>3336</v>
      </c>
    </row>
    <row r="1278" spans="1:5" x14ac:dyDescent="0.25">
      <c r="A1278" t="s">
        <v>3329</v>
      </c>
      <c r="B1278" t="str">
        <f>"8435536776846"</f>
        <v>8435536776846</v>
      </c>
      <c r="C1278" t="s">
        <v>5343</v>
      </c>
      <c r="D1278" t="s">
        <v>3332</v>
      </c>
      <c r="E1278" t="s">
        <v>3336</v>
      </c>
    </row>
    <row r="1279" spans="1:5" x14ac:dyDescent="0.25">
      <c r="A1279" t="s">
        <v>3329</v>
      </c>
      <c r="B1279" t="str">
        <f>"8435536776839"</f>
        <v>8435536776839</v>
      </c>
      <c r="C1279" t="s">
        <v>5344</v>
      </c>
      <c r="D1279" t="s">
        <v>3332</v>
      </c>
      <c r="E1279" t="s">
        <v>3336</v>
      </c>
    </row>
    <row r="1280" spans="1:5" x14ac:dyDescent="0.25">
      <c r="A1280" t="s">
        <v>3329</v>
      </c>
      <c r="B1280" t="str">
        <f>"8435536776716"</f>
        <v>8435536776716</v>
      </c>
      <c r="C1280" t="s">
        <v>5345</v>
      </c>
      <c r="D1280" t="s">
        <v>3332</v>
      </c>
      <c r="E1280" t="s">
        <v>3336</v>
      </c>
    </row>
    <row r="1281" spans="1:5" x14ac:dyDescent="0.25">
      <c r="A1281" t="s">
        <v>3329</v>
      </c>
      <c r="B1281" t="str">
        <f>"8435536776709"</f>
        <v>8435536776709</v>
      </c>
      <c r="C1281" t="s">
        <v>5346</v>
      </c>
      <c r="D1281" t="s">
        <v>3332</v>
      </c>
      <c r="E1281" t="s">
        <v>3336</v>
      </c>
    </row>
    <row r="1282" spans="1:5" x14ac:dyDescent="0.25">
      <c r="A1282" t="s">
        <v>3329</v>
      </c>
      <c r="B1282" t="str">
        <f>"8435536776655"</f>
        <v>8435536776655</v>
      </c>
      <c r="C1282" t="s">
        <v>5347</v>
      </c>
      <c r="D1282" t="s">
        <v>3332</v>
      </c>
      <c r="E1282" t="s">
        <v>3336</v>
      </c>
    </row>
    <row r="1283" spans="1:5" x14ac:dyDescent="0.25">
      <c r="A1283" t="s">
        <v>3329</v>
      </c>
      <c r="B1283" t="str">
        <f>"8435536776648"</f>
        <v>8435536776648</v>
      </c>
      <c r="C1283" t="s">
        <v>5348</v>
      </c>
      <c r="D1283" t="s">
        <v>3332</v>
      </c>
      <c r="E1283" t="s">
        <v>3336</v>
      </c>
    </row>
    <row r="1284" spans="1:5" x14ac:dyDescent="0.25">
      <c r="A1284" t="s">
        <v>3329</v>
      </c>
      <c r="B1284" t="str">
        <f>"8435536776556"</f>
        <v>8435536776556</v>
      </c>
      <c r="C1284" t="s">
        <v>5349</v>
      </c>
      <c r="D1284" t="s">
        <v>3332</v>
      </c>
      <c r="E1284" t="s">
        <v>3336</v>
      </c>
    </row>
    <row r="1285" spans="1:5" x14ac:dyDescent="0.25">
      <c r="A1285" t="s">
        <v>3329</v>
      </c>
      <c r="B1285" t="str">
        <f>"8435536776549"</f>
        <v>8435536776549</v>
      </c>
      <c r="C1285" t="s">
        <v>5350</v>
      </c>
      <c r="D1285" t="s">
        <v>3332</v>
      </c>
      <c r="E1285" t="s">
        <v>3336</v>
      </c>
    </row>
    <row r="1286" spans="1:5" x14ac:dyDescent="0.25">
      <c r="A1286" t="s">
        <v>3329</v>
      </c>
      <c r="B1286" t="str">
        <f>"8435536776532"</f>
        <v>8435536776532</v>
      </c>
      <c r="C1286" t="s">
        <v>5351</v>
      </c>
      <c r="D1286" t="s">
        <v>3332</v>
      </c>
      <c r="E1286" t="s">
        <v>3336</v>
      </c>
    </row>
    <row r="1287" spans="1:5" x14ac:dyDescent="0.25">
      <c r="A1287" t="s">
        <v>3329</v>
      </c>
      <c r="B1287" t="str">
        <f>"8435536776501"</f>
        <v>8435536776501</v>
      </c>
      <c r="C1287" t="s">
        <v>5352</v>
      </c>
      <c r="D1287" t="s">
        <v>3332</v>
      </c>
      <c r="E1287" t="s">
        <v>3336</v>
      </c>
    </row>
    <row r="1288" spans="1:5" x14ac:dyDescent="0.25">
      <c r="A1288" t="s">
        <v>3329</v>
      </c>
      <c r="B1288" t="str">
        <f>"8435536776495"</f>
        <v>8435536776495</v>
      </c>
      <c r="C1288" t="s">
        <v>5353</v>
      </c>
      <c r="D1288" t="s">
        <v>3332</v>
      </c>
      <c r="E1288" t="s">
        <v>3336</v>
      </c>
    </row>
    <row r="1289" spans="1:5" x14ac:dyDescent="0.25">
      <c r="A1289" t="s">
        <v>3329</v>
      </c>
      <c r="B1289" t="s">
        <v>5354</v>
      </c>
      <c r="C1289" t="s">
        <v>5355</v>
      </c>
      <c r="D1289" t="s">
        <v>3332</v>
      </c>
      <c r="E1289" t="s">
        <v>3336</v>
      </c>
    </row>
    <row r="1290" spans="1:5" x14ac:dyDescent="0.25">
      <c r="A1290" t="s">
        <v>3329</v>
      </c>
      <c r="B1290" t="s">
        <v>5356</v>
      </c>
      <c r="C1290" t="s">
        <v>5357</v>
      </c>
      <c r="D1290" t="s">
        <v>3332</v>
      </c>
      <c r="E1290" t="s">
        <v>3336</v>
      </c>
    </row>
    <row r="1291" spans="1:5" x14ac:dyDescent="0.25">
      <c r="A1291" t="s">
        <v>3329</v>
      </c>
      <c r="B1291" t="s">
        <v>5358</v>
      </c>
      <c r="C1291" t="s">
        <v>5359</v>
      </c>
      <c r="D1291" t="s">
        <v>3332</v>
      </c>
      <c r="E1291" t="s">
        <v>3336</v>
      </c>
    </row>
    <row r="1292" spans="1:5" x14ac:dyDescent="0.25">
      <c r="A1292" t="s">
        <v>3329</v>
      </c>
      <c r="B1292" t="s">
        <v>5360</v>
      </c>
      <c r="C1292" t="s">
        <v>5361</v>
      </c>
      <c r="D1292" t="s">
        <v>3332</v>
      </c>
      <c r="E1292" t="s">
        <v>3336</v>
      </c>
    </row>
    <row r="1293" spans="1:5" x14ac:dyDescent="0.25">
      <c r="A1293" t="s">
        <v>3329</v>
      </c>
      <c r="B1293" t="s">
        <v>5362</v>
      </c>
      <c r="C1293" t="s">
        <v>5363</v>
      </c>
      <c r="D1293" t="s">
        <v>3332</v>
      </c>
      <c r="E1293" t="s">
        <v>3336</v>
      </c>
    </row>
    <row r="1294" spans="1:5" x14ac:dyDescent="0.25">
      <c r="A1294" t="s">
        <v>3329</v>
      </c>
      <c r="B1294" t="s">
        <v>5364</v>
      </c>
      <c r="C1294" t="s">
        <v>5365</v>
      </c>
      <c r="D1294" t="s">
        <v>3332</v>
      </c>
      <c r="E1294" t="s">
        <v>3336</v>
      </c>
    </row>
    <row r="1295" spans="1:5" x14ac:dyDescent="0.25">
      <c r="A1295" t="s">
        <v>3329</v>
      </c>
      <c r="B1295" t="s">
        <v>5366</v>
      </c>
      <c r="C1295" t="s">
        <v>5367</v>
      </c>
      <c r="D1295" t="s">
        <v>3332</v>
      </c>
      <c r="E1295" t="s">
        <v>3336</v>
      </c>
    </row>
    <row r="1296" spans="1:5" x14ac:dyDescent="0.25">
      <c r="A1296" t="s">
        <v>3329</v>
      </c>
      <c r="B1296" t="s">
        <v>5368</v>
      </c>
      <c r="C1296" t="s">
        <v>5369</v>
      </c>
      <c r="D1296" t="s">
        <v>3332</v>
      </c>
      <c r="E1296" t="s">
        <v>3336</v>
      </c>
    </row>
    <row r="1297" spans="1:5" x14ac:dyDescent="0.25">
      <c r="A1297" t="s">
        <v>3329</v>
      </c>
      <c r="B1297" t="s">
        <v>5370</v>
      </c>
      <c r="C1297" t="s">
        <v>5371</v>
      </c>
      <c r="D1297" t="s">
        <v>3332</v>
      </c>
      <c r="E1297" t="s">
        <v>3336</v>
      </c>
    </row>
    <row r="1298" spans="1:5" x14ac:dyDescent="0.25">
      <c r="A1298" t="s">
        <v>3329</v>
      </c>
      <c r="B1298" t="str">
        <f>"8435536775252"</f>
        <v>8435536775252</v>
      </c>
      <c r="C1298" t="s">
        <v>5372</v>
      </c>
      <c r="D1298" t="s">
        <v>3332</v>
      </c>
      <c r="E1298" t="s">
        <v>3336</v>
      </c>
    </row>
    <row r="1299" spans="1:5" x14ac:dyDescent="0.25">
      <c r="A1299" t="s">
        <v>3329</v>
      </c>
      <c r="B1299" t="s">
        <v>5373</v>
      </c>
      <c r="C1299" t="s">
        <v>5374</v>
      </c>
      <c r="D1299" t="s">
        <v>3332</v>
      </c>
      <c r="E1299" t="s">
        <v>3336</v>
      </c>
    </row>
    <row r="1300" spans="1:5" x14ac:dyDescent="0.25">
      <c r="A1300" t="s">
        <v>3329</v>
      </c>
      <c r="B1300" t="s">
        <v>5375</v>
      </c>
      <c r="C1300" t="s">
        <v>5376</v>
      </c>
      <c r="D1300" t="s">
        <v>3332</v>
      </c>
      <c r="E1300" t="s">
        <v>3336</v>
      </c>
    </row>
    <row r="1301" spans="1:5" x14ac:dyDescent="0.25">
      <c r="A1301" t="s">
        <v>3329</v>
      </c>
      <c r="B1301" t="str">
        <f>"8435536769435"</f>
        <v>8435536769435</v>
      </c>
      <c r="C1301" t="s">
        <v>5377</v>
      </c>
      <c r="D1301" t="s">
        <v>3332</v>
      </c>
      <c r="E1301" t="s">
        <v>3333</v>
      </c>
    </row>
    <row r="1302" spans="1:5" x14ac:dyDescent="0.25">
      <c r="A1302" t="s">
        <v>3329</v>
      </c>
      <c r="B1302" t="str">
        <f>"8435536769428"</f>
        <v>8435536769428</v>
      </c>
      <c r="C1302" t="s">
        <v>5378</v>
      </c>
      <c r="D1302" t="s">
        <v>3332</v>
      </c>
      <c r="E1302" t="s">
        <v>3333</v>
      </c>
    </row>
    <row r="1303" spans="1:5" x14ac:dyDescent="0.25">
      <c r="A1303" t="s">
        <v>3329</v>
      </c>
      <c r="B1303" t="str">
        <f>"8435536767974"</f>
        <v>8435536767974</v>
      </c>
      <c r="C1303" t="s">
        <v>5379</v>
      </c>
      <c r="D1303" t="s">
        <v>3332</v>
      </c>
      <c r="E1303" t="s">
        <v>3339</v>
      </c>
    </row>
    <row r="1304" spans="1:5" x14ac:dyDescent="0.25">
      <c r="A1304" t="s">
        <v>3329</v>
      </c>
      <c r="B1304" t="s">
        <v>5380</v>
      </c>
      <c r="C1304" t="s">
        <v>5381</v>
      </c>
      <c r="D1304" t="s">
        <v>3332</v>
      </c>
      <c r="E1304" t="s">
        <v>3339</v>
      </c>
    </row>
    <row r="1305" spans="1:5" x14ac:dyDescent="0.25">
      <c r="A1305" t="s">
        <v>3329</v>
      </c>
      <c r="B1305" t="s">
        <v>5382</v>
      </c>
      <c r="C1305" t="s">
        <v>5383</v>
      </c>
      <c r="D1305" t="s">
        <v>3332</v>
      </c>
      <c r="E1305" t="s">
        <v>3336</v>
      </c>
    </row>
    <row r="1306" spans="1:5" x14ac:dyDescent="0.25">
      <c r="A1306" t="s">
        <v>3329</v>
      </c>
      <c r="B1306" t="s">
        <v>5384</v>
      </c>
      <c r="C1306" t="s">
        <v>5385</v>
      </c>
      <c r="D1306" t="s">
        <v>3332</v>
      </c>
      <c r="E1306" t="s">
        <v>3336</v>
      </c>
    </row>
    <row r="1307" spans="1:5" x14ac:dyDescent="0.25">
      <c r="A1307" t="s">
        <v>3329</v>
      </c>
      <c r="B1307" t="s">
        <v>5386</v>
      </c>
      <c r="C1307" t="s">
        <v>5387</v>
      </c>
      <c r="D1307" t="s">
        <v>3332</v>
      </c>
      <c r="E1307" t="s">
        <v>3336</v>
      </c>
    </row>
    <row r="1308" spans="1:5" x14ac:dyDescent="0.25">
      <c r="A1308" t="s">
        <v>3329</v>
      </c>
      <c r="B1308" t="s">
        <v>5388</v>
      </c>
      <c r="C1308" t="s">
        <v>5389</v>
      </c>
      <c r="D1308" t="s">
        <v>3332</v>
      </c>
      <c r="E1308" t="s">
        <v>3336</v>
      </c>
    </row>
    <row r="1309" spans="1:5" x14ac:dyDescent="0.25">
      <c r="A1309" t="s">
        <v>3329</v>
      </c>
      <c r="B1309" t="s">
        <v>5390</v>
      </c>
      <c r="C1309" t="s">
        <v>5391</v>
      </c>
      <c r="D1309" t="s">
        <v>3332</v>
      </c>
      <c r="E1309" t="s">
        <v>3336</v>
      </c>
    </row>
    <row r="1310" spans="1:5" x14ac:dyDescent="0.25">
      <c r="A1310" t="s">
        <v>3329</v>
      </c>
      <c r="B1310" t="s">
        <v>5392</v>
      </c>
      <c r="C1310" t="s">
        <v>5393</v>
      </c>
      <c r="D1310" t="s">
        <v>3332</v>
      </c>
      <c r="E1310" t="s">
        <v>3336</v>
      </c>
    </row>
    <row r="1311" spans="1:5" x14ac:dyDescent="0.25">
      <c r="A1311" t="s">
        <v>3329</v>
      </c>
      <c r="B1311" t="s">
        <v>5394</v>
      </c>
      <c r="C1311" t="s">
        <v>5395</v>
      </c>
      <c r="D1311" t="s">
        <v>3332</v>
      </c>
      <c r="E1311" t="s">
        <v>3336</v>
      </c>
    </row>
    <row r="1312" spans="1:5" x14ac:dyDescent="0.25">
      <c r="A1312" t="s">
        <v>3329</v>
      </c>
      <c r="B1312" t="s">
        <v>5396</v>
      </c>
      <c r="C1312" t="s">
        <v>5397</v>
      </c>
      <c r="D1312" t="s">
        <v>3332</v>
      </c>
      <c r="E1312" t="s">
        <v>3336</v>
      </c>
    </row>
    <row r="1313" spans="1:5" x14ac:dyDescent="0.25">
      <c r="A1313" t="s">
        <v>3329</v>
      </c>
      <c r="B1313" t="s">
        <v>5398</v>
      </c>
      <c r="C1313" t="s">
        <v>5399</v>
      </c>
      <c r="D1313" t="s">
        <v>3332</v>
      </c>
      <c r="E1313" t="s">
        <v>3336</v>
      </c>
    </row>
    <row r="1314" spans="1:5" x14ac:dyDescent="0.25">
      <c r="A1314" t="s">
        <v>3329</v>
      </c>
      <c r="B1314" t="s">
        <v>5400</v>
      </c>
      <c r="C1314" t="s">
        <v>5395</v>
      </c>
      <c r="D1314" t="s">
        <v>3332</v>
      </c>
      <c r="E1314" t="s">
        <v>3336</v>
      </c>
    </row>
    <row r="1315" spans="1:5" x14ac:dyDescent="0.25">
      <c r="A1315" t="s">
        <v>3329</v>
      </c>
      <c r="B1315" t="str">
        <f>"8435536755704"</f>
        <v>8435536755704</v>
      </c>
      <c r="C1315" t="s">
        <v>5401</v>
      </c>
      <c r="D1315" t="s">
        <v>3332</v>
      </c>
      <c r="E1315" t="s">
        <v>3336</v>
      </c>
    </row>
    <row r="1316" spans="1:5" x14ac:dyDescent="0.25">
      <c r="A1316" t="s">
        <v>3329</v>
      </c>
      <c r="B1316" t="str">
        <f>"8435536755698"</f>
        <v>8435536755698</v>
      </c>
      <c r="C1316" t="s">
        <v>5402</v>
      </c>
      <c r="D1316" t="s">
        <v>3332</v>
      </c>
      <c r="E1316" t="s">
        <v>3336</v>
      </c>
    </row>
    <row r="1317" spans="1:5" x14ac:dyDescent="0.25">
      <c r="A1317" t="s">
        <v>3329</v>
      </c>
      <c r="B1317" t="s">
        <v>5403</v>
      </c>
      <c r="C1317" t="s">
        <v>5404</v>
      </c>
      <c r="D1317" t="s">
        <v>3332</v>
      </c>
      <c r="E1317" t="s">
        <v>3336</v>
      </c>
    </row>
    <row r="1318" spans="1:5" x14ac:dyDescent="0.25">
      <c r="A1318" t="s">
        <v>3329</v>
      </c>
      <c r="B1318" t="s">
        <v>5405</v>
      </c>
      <c r="C1318" t="s">
        <v>5406</v>
      </c>
      <c r="D1318" t="s">
        <v>3332</v>
      </c>
      <c r="E1318" t="s">
        <v>3336</v>
      </c>
    </row>
    <row r="1319" spans="1:5" x14ac:dyDescent="0.25">
      <c r="A1319" t="s">
        <v>3329</v>
      </c>
      <c r="B1319" t="s">
        <v>5407</v>
      </c>
      <c r="C1319" t="s">
        <v>5408</v>
      </c>
      <c r="D1319" t="s">
        <v>3332</v>
      </c>
      <c r="E1319" t="s">
        <v>3336</v>
      </c>
    </row>
    <row r="1320" spans="1:5" x14ac:dyDescent="0.25">
      <c r="A1320" t="s">
        <v>3329</v>
      </c>
      <c r="B1320" t="str">
        <f>"8435536752420"</f>
        <v>8435536752420</v>
      </c>
      <c r="C1320" t="s">
        <v>5409</v>
      </c>
      <c r="D1320" t="s">
        <v>3332</v>
      </c>
      <c r="E1320" t="s">
        <v>3336</v>
      </c>
    </row>
    <row r="1321" spans="1:5" x14ac:dyDescent="0.25">
      <c r="A1321" t="s">
        <v>3329</v>
      </c>
      <c r="B1321" t="str">
        <f>"8435536752185"</f>
        <v>8435536752185</v>
      </c>
      <c r="C1321" t="s">
        <v>5410</v>
      </c>
      <c r="D1321" t="s">
        <v>3332</v>
      </c>
      <c r="E1321" t="s">
        <v>3339</v>
      </c>
    </row>
    <row r="1322" spans="1:5" x14ac:dyDescent="0.25">
      <c r="A1322" t="s">
        <v>3329</v>
      </c>
      <c r="B1322" t="str">
        <f>"8435536752154"</f>
        <v>8435536752154</v>
      </c>
      <c r="C1322" t="s">
        <v>5411</v>
      </c>
      <c r="D1322" t="s">
        <v>3332</v>
      </c>
      <c r="E1322" t="s">
        <v>3339</v>
      </c>
    </row>
    <row r="1323" spans="1:5" x14ac:dyDescent="0.25">
      <c r="A1323" t="s">
        <v>3329</v>
      </c>
      <c r="B1323" t="str">
        <f>"8435536752116"</f>
        <v>8435536752116</v>
      </c>
      <c r="C1323" t="s">
        <v>5412</v>
      </c>
      <c r="D1323" t="s">
        <v>3332</v>
      </c>
      <c r="E1323" t="s">
        <v>3339</v>
      </c>
    </row>
    <row r="1324" spans="1:5" x14ac:dyDescent="0.25">
      <c r="A1324" t="s">
        <v>3329</v>
      </c>
      <c r="B1324" t="s">
        <v>5413</v>
      </c>
      <c r="C1324" t="s">
        <v>5414</v>
      </c>
      <c r="D1324" t="s">
        <v>3332</v>
      </c>
      <c r="E1324" t="s">
        <v>3339</v>
      </c>
    </row>
    <row r="1325" spans="1:5" x14ac:dyDescent="0.25">
      <c r="A1325" t="s">
        <v>3329</v>
      </c>
      <c r="B1325" t="str">
        <f>"8435536752093"</f>
        <v>8435536752093</v>
      </c>
      <c r="C1325" t="s">
        <v>5415</v>
      </c>
      <c r="D1325" t="s">
        <v>3332</v>
      </c>
      <c r="E1325" t="s">
        <v>3339</v>
      </c>
    </row>
    <row r="1326" spans="1:5" x14ac:dyDescent="0.25">
      <c r="A1326" t="s">
        <v>3329</v>
      </c>
      <c r="B1326" t="s">
        <v>5416</v>
      </c>
      <c r="C1326" t="s">
        <v>5417</v>
      </c>
      <c r="D1326" t="s">
        <v>3332</v>
      </c>
      <c r="E1326" t="s">
        <v>3336</v>
      </c>
    </row>
    <row r="1327" spans="1:5" x14ac:dyDescent="0.25">
      <c r="A1327" t="s">
        <v>3329</v>
      </c>
      <c r="B1327" t="s">
        <v>5418</v>
      </c>
      <c r="C1327" t="s">
        <v>5419</v>
      </c>
      <c r="D1327" t="s">
        <v>3332</v>
      </c>
      <c r="E1327" t="s">
        <v>3336</v>
      </c>
    </row>
    <row r="1328" spans="1:5" x14ac:dyDescent="0.25">
      <c r="A1328" t="s">
        <v>3329</v>
      </c>
      <c r="B1328" t="s">
        <v>5420</v>
      </c>
      <c r="C1328" t="s">
        <v>5421</v>
      </c>
      <c r="D1328" t="s">
        <v>3332</v>
      </c>
      <c r="E1328" t="s">
        <v>3336</v>
      </c>
    </row>
    <row r="1329" spans="1:5" x14ac:dyDescent="0.25">
      <c r="A1329" t="s">
        <v>3329</v>
      </c>
      <c r="B1329" t="s">
        <v>5422</v>
      </c>
      <c r="C1329" t="s">
        <v>5423</v>
      </c>
      <c r="D1329" t="s">
        <v>3332</v>
      </c>
      <c r="E1329" t="s">
        <v>3336</v>
      </c>
    </row>
    <row r="1330" spans="1:5" x14ac:dyDescent="0.25">
      <c r="A1330" t="s">
        <v>3329</v>
      </c>
      <c r="B1330" t="str">
        <f>"8435536746146"</f>
        <v>8435536746146</v>
      </c>
      <c r="C1330" t="s">
        <v>5424</v>
      </c>
      <c r="D1330" t="s">
        <v>3332</v>
      </c>
      <c r="E1330" t="s">
        <v>3344</v>
      </c>
    </row>
    <row r="1331" spans="1:5" x14ac:dyDescent="0.25">
      <c r="A1331" t="s">
        <v>3329</v>
      </c>
      <c r="B1331" t="str">
        <f>"8435536744296"</f>
        <v>8435536744296</v>
      </c>
      <c r="C1331" t="s">
        <v>5425</v>
      </c>
      <c r="D1331" t="s">
        <v>3332</v>
      </c>
      <c r="E1331" t="s">
        <v>3339</v>
      </c>
    </row>
    <row r="1332" spans="1:5" x14ac:dyDescent="0.25">
      <c r="A1332" t="s">
        <v>3329</v>
      </c>
      <c r="B1332" t="str">
        <f>"8435536744234"</f>
        <v>8435536744234</v>
      </c>
      <c r="C1332" t="s">
        <v>5426</v>
      </c>
      <c r="D1332" t="s">
        <v>3332</v>
      </c>
      <c r="E1332" t="s">
        <v>3339</v>
      </c>
    </row>
    <row r="1333" spans="1:5" x14ac:dyDescent="0.25">
      <c r="A1333" t="s">
        <v>3329</v>
      </c>
      <c r="B1333" t="str">
        <f>"8435536743084"</f>
        <v>8435536743084</v>
      </c>
      <c r="C1333" t="s">
        <v>5427</v>
      </c>
      <c r="D1333" t="s">
        <v>3332</v>
      </c>
      <c r="E1333" t="s">
        <v>3339</v>
      </c>
    </row>
    <row r="1334" spans="1:5" x14ac:dyDescent="0.25">
      <c r="A1334" t="s">
        <v>3329</v>
      </c>
      <c r="B1334" t="str">
        <f>"8435536738554"</f>
        <v>8435536738554</v>
      </c>
      <c r="C1334" t="s">
        <v>5428</v>
      </c>
      <c r="D1334" t="s">
        <v>3332</v>
      </c>
      <c r="E1334" t="s">
        <v>3339</v>
      </c>
    </row>
    <row r="1335" spans="1:5" x14ac:dyDescent="0.25">
      <c r="A1335" t="s">
        <v>3329</v>
      </c>
      <c r="B1335" t="s">
        <v>5429</v>
      </c>
      <c r="C1335" t="s">
        <v>5430</v>
      </c>
      <c r="D1335" t="s">
        <v>3332</v>
      </c>
      <c r="E1335" t="s">
        <v>3333</v>
      </c>
    </row>
    <row r="1336" spans="1:5" x14ac:dyDescent="0.25">
      <c r="A1336" t="s">
        <v>3329</v>
      </c>
      <c r="B1336" t="str">
        <f>"8435536731968"</f>
        <v>8435536731968</v>
      </c>
      <c r="C1336" t="s">
        <v>5431</v>
      </c>
      <c r="D1336" t="s">
        <v>3332</v>
      </c>
      <c r="E1336" t="s">
        <v>3339</v>
      </c>
    </row>
    <row r="1337" spans="1:5" x14ac:dyDescent="0.25">
      <c r="A1337" t="s">
        <v>3329</v>
      </c>
      <c r="B1337" t="str">
        <f>"8435536731944"</f>
        <v>8435536731944</v>
      </c>
      <c r="C1337" t="s">
        <v>5432</v>
      </c>
      <c r="D1337" t="s">
        <v>3332</v>
      </c>
      <c r="E1337" t="s">
        <v>3339</v>
      </c>
    </row>
    <row r="1338" spans="1:5" x14ac:dyDescent="0.25">
      <c r="A1338" t="s">
        <v>3329</v>
      </c>
      <c r="B1338" t="s">
        <v>5433</v>
      </c>
      <c r="C1338" t="s">
        <v>5434</v>
      </c>
      <c r="D1338" t="s">
        <v>3332</v>
      </c>
      <c r="E1338" t="s">
        <v>3579</v>
      </c>
    </row>
    <row r="1339" spans="1:5" x14ac:dyDescent="0.25">
      <c r="A1339" t="s">
        <v>3329</v>
      </c>
      <c r="B1339" t="s">
        <v>5435</v>
      </c>
      <c r="C1339" t="s">
        <v>5436</v>
      </c>
      <c r="D1339" t="s">
        <v>3332</v>
      </c>
      <c r="E1339" t="s">
        <v>3333</v>
      </c>
    </row>
    <row r="1340" spans="1:5" x14ac:dyDescent="0.25">
      <c r="A1340" t="s">
        <v>3329</v>
      </c>
      <c r="B1340" t="str">
        <f>"8435536706690"</f>
        <v>8435536706690</v>
      </c>
      <c r="C1340" t="s">
        <v>5437</v>
      </c>
      <c r="D1340" t="s">
        <v>3332</v>
      </c>
      <c r="E1340" t="s">
        <v>3339</v>
      </c>
    </row>
    <row r="1341" spans="1:5" x14ac:dyDescent="0.25">
      <c r="A1341" t="s">
        <v>3329</v>
      </c>
      <c r="B1341" t="str">
        <f>"8435406802118"</f>
        <v>8435406802118</v>
      </c>
      <c r="C1341" t="s">
        <v>5438</v>
      </c>
      <c r="D1341" t="s">
        <v>3332</v>
      </c>
      <c r="E1341" t="s">
        <v>3333</v>
      </c>
    </row>
    <row r="1342" spans="1:5" x14ac:dyDescent="0.25">
      <c r="A1342" t="s">
        <v>3329</v>
      </c>
      <c r="B1342" t="str">
        <f>"8435406802101"</f>
        <v>8435406802101</v>
      </c>
      <c r="C1342" t="s">
        <v>5439</v>
      </c>
      <c r="D1342" t="s">
        <v>3332</v>
      </c>
      <c r="E1342" t="s">
        <v>3333</v>
      </c>
    </row>
    <row r="1343" spans="1:5" x14ac:dyDescent="0.25">
      <c r="A1343" t="s">
        <v>3329</v>
      </c>
      <c r="B1343" t="str">
        <f>"8435393587456"</f>
        <v>8435393587456</v>
      </c>
      <c r="C1343" t="s">
        <v>5440</v>
      </c>
      <c r="D1343" t="s">
        <v>3332</v>
      </c>
      <c r="E1343" t="s">
        <v>3339</v>
      </c>
    </row>
    <row r="1344" spans="1:5" x14ac:dyDescent="0.25">
      <c r="A1344" t="s">
        <v>3329</v>
      </c>
      <c r="B1344" t="s">
        <v>5441</v>
      </c>
      <c r="C1344" t="s">
        <v>5442</v>
      </c>
      <c r="D1344" t="s">
        <v>3332</v>
      </c>
      <c r="E1344" t="s">
        <v>3333</v>
      </c>
    </row>
    <row r="1345" spans="1:5" x14ac:dyDescent="0.25">
      <c r="A1345" t="s">
        <v>3329</v>
      </c>
      <c r="B1345" t="s">
        <v>5443</v>
      </c>
      <c r="C1345" t="s">
        <v>5444</v>
      </c>
      <c r="D1345" t="s">
        <v>3332</v>
      </c>
      <c r="E1345" t="s">
        <v>3333</v>
      </c>
    </row>
    <row r="1346" spans="1:5" x14ac:dyDescent="0.25">
      <c r="A1346" t="s">
        <v>3329</v>
      </c>
      <c r="B1346" t="str">
        <f>"8435087234321"</f>
        <v>8435087234321</v>
      </c>
      <c r="C1346" t="s">
        <v>5445</v>
      </c>
      <c r="D1346" t="s">
        <v>3332</v>
      </c>
      <c r="E1346" t="s">
        <v>3333</v>
      </c>
    </row>
    <row r="1347" spans="1:5" x14ac:dyDescent="0.25">
      <c r="A1347" t="s">
        <v>3329</v>
      </c>
      <c r="B1347" t="str">
        <f>"8432891983049"</f>
        <v>8432891983049</v>
      </c>
      <c r="C1347" t="s">
        <v>5446</v>
      </c>
      <c r="D1347" t="s">
        <v>3332</v>
      </c>
      <c r="E1347" t="s">
        <v>3336</v>
      </c>
    </row>
    <row r="1348" spans="1:5" x14ac:dyDescent="0.25">
      <c r="A1348" t="s">
        <v>3329</v>
      </c>
      <c r="B1348" t="str">
        <f>"8432891983032"</f>
        <v>8432891983032</v>
      </c>
      <c r="C1348" t="s">
        <v>5447</v>
      </c>
      <c r="D1348" t="s">
        <v>3332</v>
      </c>
      <c r="E1348" t="s">
        <v>3336</v>
      </c>
    </row>
    <row r="1349" spans="1:5" x14ac:dyDescent="0.25">
      <c r="A1349" t="s">
        <v>3329</v>
      </c>
      <c r="B1349" t="str">
        <f>"8432891983025"</f>
        <v>8432891983025</v>
      </c>
      <c r="C1349" t="s">
        <v>5448</v>
      </c>
      <c r="D1349" t="s">
        <v>3332</v>
      </c>
      <c r="E1349" t="s">
        <v>3336</v>
      </c>
    </row>
    <row r="1350" spans="1:5" x14ac:dyDescent="0.25">
      <c r="A1350" t="s">
        <v>3329</v>
      </c>
      <c r="B1350" t="s">
        <v>5449</v>
      </c>
      <c r="C1350" t="s">
        <v>5450</v>
      </c>
      <c r="D1350" t="s">
        <v>3332</v>
      </c>
      <c r="E1350" t="s">
        <v>3333</v>
      </c>
    </row>
    <row r="1351" spans="1:5" x14ac:dyDescent="0.25">
      <c r="A1351" t="s">
        <v>3329</v>
      </c>
      <c r="B1351" t="s">
        <v>5451</v>
      </c>
      <c r="C1351" t="s">
        <v>5452</v>
      </c>
      <c r="D1351" t="s">
        <v>3332</v>
      </c>
      <c r="E1351" t="s">
        <v>3333</v>
      </c>
    </row>
    <row r="1352" spans="1:5" x14ac:dyDescent="0.25">
      <c r="A1352" t="s">
        <v>3329</v>
      </c>
      <c r="B1352" t="str">
        <f>"8432891238903"</f>
        <v>8432891238903</v>
      </c>
      <c r="C1352" t="s">
        <v>5453</v>
      </c>
      <c r="D1352" t="s">
        <v>3332</v>
      </c>
      <c r="E1352" t="s">
        <v>3336</v>
      </c>
    </row>
    <row r="1353" spans="1:5" x14ac:dyDescent="0.25">
      <c r="A1353" t="s">
        <v>3329</v>
      </c>
      <c r="B1353" t="str">
        <f>"8432891238804"</f>
        <v>8432891238804</v>
      </c>
      <c r="C1353" t="s">
        <v>5454</v>
      </c>
      <c r="D1353" t="s">
        <v>3332</v>
      </c>
      <c r="E1353" t="s">
        <v>3336</v>
      </c>
    </row>
    <row r="1354" spans="1:5" x14ac:dyDescent="0.25">
      <c r="A1354" t="s">
        <v>3329</v>
      </c>
      <c r="B1354" t="str">
        <f>"8432891238705"</f>
        <v>8432891238705</v>
      </c>
      <c r="C1354" t="s">
        <v>5455</v>
      </c>
      <c r="D1354" t="s">
        <v>3332</v>
      </c>
      <c r="E1354" t="s">
        <v>3336</v>
      </c>
    </row>
    <row r="1355" spans="1:5" x14ac:dyDescent="0.25">
      <c r="A1355" t="s">
        <v>3329</v>
      </c>
      <c r="B1355" t="str">
        <f>"8432891238606"</f>
        <v>8432891238606</v>
      </c>
      <c r="C1355" t="s">
        <v>5456</v>
      </c>
      <c r="D1355" t="s">
        <v>3332</v>
      </c>
      <c r="E1355" t="s">
        <v>3336</v>
      </c>
    </row>
    <row r="1356" spans="1:5" x14ac:dyDescent="0.25">
      <c r="A1356" t="s">
        <v>3329</v>
      </c>
      <c r="B1356" t="str">
        <f>"8432891221103"</f>
        <v>8432891221103</v>
      </c>
      <c r="C1356" t="s">
        <v>5457</v>
      </c>
      <c r="D1356" t="s">
        <v>3332</v>
      </c>
      <c r="E1356" t="s">
        <v>3336</v>
      </c>
    </row>
    <row r="1357" spans="1:5" x14ac:dyDescent="0.25">
      <c r="A1357" t="s">
        <v>3329</v>
      </c>
      <c r="B1357" t="str">
        <f>"8432891220601"</f>
        <v>8432891220601</v>
      </c>
      <c r="C1357" t="s">
        <v>5458</v>
      </c>
      <c r="D1357" t="s">
        <v>3332</v>
      </c>
      <c r="E1357" t="s">
        <v>3336</v>
      </c>
    </row>
    <row r="1358" spans="1:5" x14ac:dyDescent="0.25">
      <c r="A1358" t="s">
        <v>3329</v>
      </c>
      <c r="B1358" t="str">
        <f>"8432891220403"</f>
        <v>8432891220403</v>
      </c>
      <c r="C1358" t="s">
        <v>5459</v>
      </c>
      <c r="D1358" t="s">
        <v>3332</v>
      </c>
      <c r="E1358" t="s">
        <v>3336</v>
      </c>
    </row>
    <row r="1359" spans="1:5" x14ac:dyDescent="0.25">
      <c r="A1359" t="s">
        <v>3329</v>
      </c>
      <c r="B1359" t="str">
        <f>"8432891220304"</f>
        <v>8432891220304</v>
      </c>
      <c r="C1359" t="s">
        <v>5460</v>
      </c>
      <c r="D1359" t="s">
        <v>3332</v>
      </c>
      <c r="E1359" t="s">
        <v>3336</v>
      </c>
    </row>
    <row r="1360" spans="1:5" x14ac:dyDescent="0.25">
      <c r="A1360" t="s">
        <v>3329</v>
      </c>
      <c r="B1360" t="str">
        <f>"8432891213306"</f>
        <v>8432891213306</v>
      </c>
      <c r="C1360" t="s">
        <v>5457</v>
      </c>
      <c r="D1360" t="s">
        <v>3332</v>
      </c>
      <c r="E1360" t="s">
        <v>3336</v>
      </c>
    </row>
    <row r="1361" spans="1:5" x14ac:dyDescent="0.25">
      <c r="A1361" t="s">
        <v>3329</v>
      </c>
      <c r="B1361" t="str">
        <f>"8432891213207"</f>
        <v>8432891213207</v>
      </c>
      <c r="C1361" t="s">
        <v>5461</v>
      </c>
      <c r="D1361" t="s">
        <v>3332</v>
      </c>
      <c r="E1361" t="s">
        <v>3336</v>
      </c>
    </row>
    <row r="1362" spans="1:5" x14ac:dyDescent="0.25">
      <c r="A1362" t="s">
        <v>3329</v>
      </c>
      <c r="B1362" t="str">
        <f>"8432891213108"</f>
        <v>8432891213108</v>
      </c>
      <c r="C1362" t="s">
        <v>5462</v>
      </c>
      <c r="D1362" t="s">
        <v>3332</v>
      </c>
      <c r="E1362" t="s">
        <v>3336</v>
      </c>
    </row>
    <row r="1363" spans="1:5" x14ac:dyDescent="0.25">
      <c r="A1363" t="s">
        <v>3329</v>
      </c>
      <c r="B1363" t="str">
        <f>"8432891212903"</f>
        <v>8432891212903</v>
      </c>
      <c r="C1363" t="s">
        <v>5463</v>
      </c>
      <c r="D1363" t="s">
        <v>3332</v>
      </c>
      <c r="E1363" t="s">
        <v>3336</v>
      </c>
    </row>
    <row r="1364" spans="1:5" x14ac:dyDescent="0.25">
      <c r="A1364" t="s">
        <v>3329</v>
      </c>
      <c r="B1364" t="str">
        <f>"8432891212804"</f>
        <v>8432891212804</v>
      </c>
      <c r="C1364" t="s">
        <v>5464</v>
      </c>
      <c r="D1364" t="s">
        <v>3332</v>
      </c>
      <c r="E1364" t="s">
        <v>3336</v>
      </c>
    </row>
    <row r="1365" spans="1:5" x14ac:dyDescent="0.25">
      <c r="A1365" t="s">
        <v>3329</v>
      </c>
      <c r="B1365" t="s">
        <v>5465</v>
      </c>
      <c r="C1365" t="s">
        <v>5466</v>
      </c>
      <c r="D1365" t="s">
        <v>3332</v>
      </c>
      <c r="E1365" t="s">
        <v>3579</v>
      </c>
    </row>
    <row r="1366" spans="1:5" x14ac:dyDescent="0.25">
      <c r="A1366" t="s">
        <v>3329</v>
      </c>
      <c r="B1366" t="s">
        <v>5467</v>
      </c>
      <c r="C1366" t="s">
        <v>5468</v>
      </c>
      <c r="D1366" t="s">
        <v>3332</v>
      </c>
      <c r="E1366" t="s">
        <v>3579</v>
      </c>
    </row>
    <row r="1367" spans="1:5" x14ac:dyDescent="0.25">
      <c r="A1367" t="s">
        <v>3329</v>
      </c>
      <c r="B1367" t="s">
        <v>5469</v>
      </c>
      <c r="C1367" t="s">
        <v>5470</v>
      </c>
      <c r="D1367" t="s">
        <v>3332</v>
      </c>
      <c r="E1367" t="s">
        <v>3344</v>
      </c>
    </row>
    <row r="1368" spans="1:5" x14ac:dyDescent="0.25">
      <c r="A1368" t="s">
        <v>3329</v>
      </c>
      <c r="B1368" t="s">
        <v>5471</v>
      </c>
      <c r="C1368" t="s">
        <v>5472</v>
      </c>
      <c r="D1368" t="s">
        <v>3332</v>
      </c>
      <c r="E1368" t="s">
        <v>3344</v>
      </c>
    </row>
    <row r="1369" spans="1:5" x14ac:dyDescent="0.25">
      <c r="A1369" t="s">
        <v>3329</v>
      </c>
      <c r="B1369" t="str">
        <f>"8403001231190"</f>
        <v>8403001231190</v>
      </c>
      <c r="C1369" t="s">
        <v>5473</v>
      </c>
      <c r="D1369" t="s">
        <v>3332</v>
      </c>
      <c r="E1369" t="s">
        <v>3344</v>
      </c>
    </row>
    <row r="1370" spans="1:5" x14ac:dyDescent="0.25">
      <c r="A1370" t="s">
        <v>3329</v>
      </c>
      <c r="B1370" t="str">
        <f>"8403001231138"</f>
        <v>8403001231138</v>
      </c>
      <c r="C1370" t="s">
        <v>5474</v>
      </c>
      <c r="D1370" t="s">
        <v>3332</v>
      </c>
      <c r="E1370" t="s">
        <v>3344</v>
      </c>
    </row>
    <row r="1371" spans="1:5" x14ac:dyDescent="0.25">
      <c r="A1371" t="s">
        <v>3329</v>
      </c>
      <c r="B1371" t="str">
        <f>"8403001191876"</f>
        <v>8403001191876</v>
      </c>
      <c r="C1371" t="s">
        <v>5475</v>
      </c>
      <c r="D1371" t="s">
        <v>3332</v>
      </c>
      <c r="E1371" t="s">
        <v>3344</v>
      </c>
    </row>
    <row r="1372" spans="1:5" x14ac:dyDescent="0.25">
      <c r="A1372" t="s">
        <v>3329</v>
      </c>
      <c r="B1372" t="s">
        <v>5476</v>
      </c>
      <c r="C1372" t="s">
        <v>5477</v>
      </c>
      <c r="D1372" t="s">
        <v>3332</v>
      </c>
      <c r="E1372" t="s">
        <v>3333</v>
      </c>
    </row>
    <row r="1373" spans="1:5" x14ac:dyDescent="0.25">
      <c r="A1373" t="s">
        <v>3329</v>
      </c>
      <c r="B1373" t="s">
        <v>5478</v>
      </c>
      <c r="C1373" t="s">
        <v>5479</v>
      </c>
      <c r="D1373" t="s">
        <v>3332</v>
      </c>
      <c r="E1373" t="s">
        <v>3333</v>
      </c>
    </row>
    <row r="1374" spans="1:5" x14ac:dyDescent="0.25">
      <c r="A1374" t="s">
        <v>3329</v>
      </c>
      <c r="B1374" t="str">
        <f>"8402003192997"</f>
        <v>8402003192997</v>
      </c>
      <c r="C1374" t="s">
        <v>5480</v>
      </c>
      <c r="D1374" t="s">
        <v>3332</v>
      </c>
      <c r="E1374" t="s">
        <v>3333</v>
      </c>
    </row>
    <row r="1375" spans="1:5" x14ac:dyDescent="0.25">
      <c r="A1375" t="s">
        <v>3329</v>
      </c>
      <c r="B1375" t="s">
        <v>5481</v>
      </c>
      <c r="C1375" t="s">
        <v>5482</v>
      </c>
      <c r="D1375" t="s">
        <v>3332</v>
      </c>
      <c r="E1375" t="s">
        <v>3333</v>
      </c>
    </row>
    <row r="1376" spans="1:5" x14ac:dyDescent="0.25">
      <c r="A1376" t="s">
        <v>3329</v>
      </c>
      <c r="B1376" t="str">
        <f>"8402003192928"</f>
        <v>8402003192928</v>
      </c>
      <c r="C1376" t="s">
        <v>5483</v>
      </c>
      <c r="D1376" t="s">
        <v>3332</v>
      </c>
      <c r="E1376" t="s">
        <v>3333</v>
      </c>
    </row>
    <row r="1377" spans="1:5" x14ac:dyDescent="0.25">
      <c r="A1377" t="s">
        <v>3329</v>
      </c>
      <c r="B1377" t="s">
        <v>5484</v>
      </c>
      <c r="C1377" t="s">
        <v>5485</v>
      </c>
      <c r="D1377" t="s">
        <v>3332</v>
      </c>
      <c r="E1377" t="s">
        <v>3339</v>
      </c>
    </row>
    <row r="1378" spans="1:5" x14ac:dyDescent="0.25">
      <c r="A1378" t="s">
        <v>3329</v>
      </c>
      <c r="B1378" t="s">
        <v>5486</v>
      </c>
      <c r="C1378" t="s">
        <v>5487</v>
      </c>
      <c r="D1378" t="s">
        <v>3332</v>
      </c>
      <c r="E1378" t="s">
        <v>3339</v>
      </c>
    </row>
    <row r="1379" spans="1:5" x14ac:dyDescent="0.25">
      <c r="A1379" t="s">
        <v>3329</v>
      </c>
      <c r="B1379" t="s">
        <v>5488</v>
      </c>
      <c r="C1379" t="s">
        <v>5489</v>
      </c>
      <c r="D1379" t="s">
        <v>3332</v>
      </c>
      <c r="E1379" t="s">
        <v>3339</v>
      </c>
    </row>
    <row r="1380" spans="1:5" x14ac:dyDescent="0.25">
      <c r="A1380" t="s">
        <v>3329</v>
      </c>
      <c r="B1380" t="s">
        <v>5490</v>
      </c>
      <c r="C1380" t="s">
        <v>5491</v>
      </c>
      <c r="D1380" t="s">
        <v>3332</v>
      </c>
      <c r="E1380" t="s">
        <v>3339</v>
      </c>
    </row>
    <row r="1381" spans="1:5" x14ac:dyDescent="0.25">
      <c r="A1381" t="s">
        <v>3329</v>
      </c>
      <c r="B1381" t="s">
        <v>5492</v>
      </c>
      <c r="C1381" t="s">
        <v>5493</v>
      </c>
      <c r="D1381" t="s">
        <v>3332</v>
      </c>
      <c r="E1381" t="s">
        <v>3339</v>
      </c>
    </row>
    <row r="1382" spans="1:5" x14ac:dyDescent="0.25">
      <c r="A1382" t="s">
        <v>3329</v>
      </c>
      <c r="B1382" t="s">
        <v>5494</v>
      </c>
      <c r="C1382" t="s">
        <v>5495</v>
      </c>
      <c r="D1382" t="s">
        <v>3332</v>
      </c>
      <c r="E1382" t="s">
        <v>3339</v>
      </c>
    </row>
    <row r="1383" spans="1:5" x14ac:dyDescent="0.25">
      <c r="A1383" t="s">
        <v>3329</v>
      </c>
      <c r="B1383" t="str">
        <f>"766871822614"</f>
        <v>766871822614</v>
      </c>
      <c r="C1383" t="s">
        <v>5496</v>
      </c>
      <c r="D1383" t="s">
        <v>3332</v>
      </c>
      <c r="E1383" t="s">
        <v>3333</v>
      </c>
    </row>
    <row r="1384" spans="1:5" x14ac:dyDescent="0.25">
      <c r="A1384" t="s">
        <v>3329</v>
      </c>
      <c r="B1384" t="str">
        <f>"766871822591"</f>
        <v>766871822591</v>
      </c>
      <c r="C1384" t="s">
        <v>5497</v>
      </c>
      <c r="D1384" t="s">
        <v>3332</v>
      </c>
      <c r="E1384" t="s">
        <v>3333</v>
      </c>
    </row>
    <row r="1385" spans="1:5" x14ac:dyDescent="0.25">
      <c r="A1385" t="s">
        <v>3329</v>
      </c>
      <c r="B1385" t="str">
        <f>"766871822584"</f>
        <v>766871822584</v>
      </c>
      <c r="C1385" t="s">
        <v>5498</v>
      </c>
      <c r="D1385" t="s">
        <v>3332</v>
      </c>
      <c r="E1385" t="s">
        <v>3333</v>
      </c>
    </row>
    <row r="1386" spans="1:5" x14ac:dyDescent="0.25">
      <c r="A1386" t="s">
        <v>3329</v>
      </c>
      <c r="B1386" t="str">
        <f>"766871822546"</f>
        <v>766871822546</v>
      </c>
      <c r="C1386" t="s">
        <v>5499</v>
      </c>
      <c r="D1386" t="s">
        <v>3332</v>
      </c>
      <c r="E1386" t="s">
        <v>3333</v>
      </c>
    </row>
    <row r="1387" spans="1:5" x14ac:dyDescent="0.25">
      <c r="A1387" t="s">
        <v>3329</v>
      </c>
      <c r="B1387" t="str">
        <f>"766871822508"</f>
        <v>766871822508</v>
      </c>
      <c r="C1387" t="s">
        <v>5500</v>
      </c>
      <c r="D1387" t="s">
        <v>3332</v>
      </c>
      <c r="E1387" t="s">
        <v>3333</v>
      </c>
    </row>
    <row r="1388" spans="1:5" x14ac:dyDescent="0.25">
      <c r="A1388" t="s">
        <v>3329</v>
      </c>
      <c r="B1388" t="str">
        <f>"766871822393"</f>
        <v>766871822393</v>
      </c>
      <c r="C1388" t="s">
        <v>5501</v>
      </c>
      <c r="D1388" t="s">
        <v>3332</v>
      </c>
      <c r="E1388" t="s">
        <v>3333</v>
      </c>
    </row>
    <row r="1389" spans="1:5" x14ac:dyDescent="0.25">
      <c r="A1389" t="s">
        <v>3329</v>
      </c>
      <c r="B1389" t="str">
        <f>"765066747145"</f>
        <v>765066747145</v>
      </c>
      <c r="C1389" t="s">
        <v>5502</v>
      </c>
      <c r="D1389" t="s">
        <v>3332</v>
      </c>
      <c r="E1389" t="s">
        <v>3333</v>
      </c>
    </row>
    <row r="1390" spans="1:5" x14ac:dyDescent="0.25">
      <c r="A1390" t="s">
        <v>3329</v>
      </c>
      <c r="B1390" t="str">
        <f>"765066747107"</f>
        <v>765066747107</v>
      </c>
      <c r="C1390" t="s">
        <v>5503</v>
      </c>
      <c r="D1390" t="s">
        <v>3332</v>
      </c>
      <c r="E1390" t="s">
        <v>3333</v>
      </c>
    </row>
    <row r="1391" spans="1:5" x14ac:dyDescent="0.25">
      <c r="A1391" t="s">
        <v>3329</v>
      </c>
      <c r="B1391" t="str">
        <f>"765066747060"</f>
        <v>765066747060</v>
      </c>
      <c r="C1391" t="s">
        <v>5504</v>
      </c>
      <c r="D1391" t="s">
        <v>3332</v>
      </c>
      <c r="E1391" t="s">
        <v>3333</v>
      </c>
    </row>
    <row r="1392" spans="1:5" x14ac:dyDescent="0.25">
      <c r="A1392" t="s">
        <v>3329</v>
      </c>
      <c r="B1392" t="str">
        <f>"765066747053"</f>
        <v>765066747053</v>
      </c>
      <c r="C1392" t="s">
        <v>5505</v>
      </c>
      <c r="D1392" t="s">
        <v>3332</v>
      </c>
      <c r="E1392" t="s">
        <v>3333</v>
      </c>
    </row>
    <row r="1393" spans="1:5" x14ac:dyDescent="0.25">
      <c r="A1393" t="s">
        <v>3329</v>
      </c>
      <c r="B1393" t="str">
        <f>"765066747046"</f>
        <v>765066747046</v>
      </c>
      <c r="C1393" t="s">
        <v>5506</v>
      </c>
      <c r="D1393" t="s">
        <v>3332</v>
      </c>
      <c r="E1393" t="s">
        <v>3333</v>
      </c>
    </row>
    <row r="1394" spans="1:5" x14ac:dyDescent="0.25">
      <c r="A1394" t="s">
        <v>3329</v>
      </c>
      <c r="B1394" t="str">
        <f>"765066746988"</f>
        <v>765066746988</v>
      </c>
      <c r="C1394" t="s">
        <v>5507</v>
      </c>
      <c r="D1394" t="s">
        <v>3332</v>
      </c>
      <c r="E1394" t="s">
        <v>3333</v>
      </c>
    </row>
    <row r="1395" spans="1:5" x14ac:dyDescent="0.25">
      <c r="A1395" t="s">
        <v>3329</v>
      </c>
      <c r="B1395" t="str">
        <f>"765066746971"</f>
        <v>765066746971</v>
      </c>
      <c r="C1395" t="s">
        <v>5507</v>
      </c>
      <c r="D1395" t="s">
        <v>3332</v>
      </c>
      <c r="E1395" t="s">
        <v>3333</v>
      </c>
    </row>
    <row r="1396" spans="1:5" x14ac:dyDescent="0.25">
      <c r="A1396" t="s">
        <v>3329</v>
      </c>
      <c r="B1396" t="str">
        <f>"765066746964"</f>
        <v>765066746964</v>
      </c>
      <c r="C1396" t="s">
        <v>5508</v>
      </c>
      <c r="D1396" t="s">
        <v>3332</v>
      </c>
      <c r="E1396" t="s">
        <v>3333</v>
      </c>
    </row>
    <row r="1397" spans="1:5" x14ac:dyDescent="0.25">
      <c r="A1397" t="s">
        <v>3329</v>
      </c>
      <c r="B1397" t="str">
        <f>"765066746957"</f>
        <v>765066746957</v>
      </c>
      <c r="C1397" t="s">
        <v>5509</v>
      </c>
      <c r="D1397" t="s">
        <v>3332</v>
      </c>
      <c r="E1397" t="s">
        <v>3333</v>
      </c>
    </row>
    <row r="1398" spans="1:5" x14ac:dyDescent="0.25">
      <c r="A1398" t="s">
        <v>3329</v>
      </c>
      <c r="B1398" t="str">
        <f>"765066746940"</f>
        <v>765066746940</v>
      </c>
      <c r="C1398" t="s">
        <v>5510</v>
      </c>
      <c r="D1398" t="s">
        <v>3332</v>
      </c>
      <c r="E1398" t="s">
        <v>3333</v>
      </c>
    </row>
    <row r="1399" spans="1:5" x14ac:dyDescent="0.25">
      <c r="A1399" t="s">
        <v>3329</v>
      </c>
      <c r="B1399" t="s">
        <v>5511</v>
      </c>
      <c r="C1399" t="s">
        <v>5512</v>
      </c>
      <c r="D1399" t="s">
        <v>3332</v>
      </c>
      <c r="E1399" t="s">
        <v>3333</v>
      </c>
    </row>
    <row r="1400" spans="1:5" x14ac:dyDescent="0.25">
      <c r="A1400" t="s">
        <v>3329</v>
      </c>
      <c r="B1400" t="str">
        <f>"7350073938155"</f>
        <v>7350073938155</v>
      </c>
      <c r="C1400" t="s">
        <v>5513</v>
      </c>
      <c r="D1400" t="s">
        <v>3332</v>
      </c>
      <c r="E1400" t="s">
        <v>3344</v>
      </c>
    </row>
    <row r="1401" spans="1:5" x14ac:dyDescent="0.25">
      <c r="A1401" t="s">
        <v>3329</v>
      </c>
      <c r="B1401" t="str">
        <f>"7350073938148"</f>
        <v>7350073938148</v>
      </c>
      <c r="C1401" t="s">
        <v>5514</v>
      </c>
      <c r="D1401" t="s">
        <v>3332</v>
      </c>
      <c r="E1401" t="s">
        <v>3344</v>
      </c>
    </row>
    <row r="1402" spans="1:5" x14ac:dyDescent="0.25">
      <c r="A1402" t="s">
        <v>3329</v>
      </c>
      <c r="B1402" t="s">
        <v>5515</v>
      </c>
      <c r="C1402" t="s">
        <v>5516</v>
      </c>
      <c r="D1402" t="s">
        <v>3332</v>
      </c>
      <c r="E1402" t="s">
        <v>3333</v>
      </c>
    </row>
    <row r="1403" spans="1:5" x14ac:dyDescent="0.25">
      <c r="A1403" t="s">
        <v>3329</v>
      </c>
      <c r="B1403" t="str">
        <f>"7350073932177"</f>
        <v>7350073932177</v>
      </c>
      <c r="C1403" t="s">
        <v>5517</v>
      </c>
      <c r="D1403" t="s">
        <v>3332</v>
      </c>
      <c r="E1403" t="s">
        <v>3339</v>
      </c>
    </row>
    <row r="1404" spans="1:5" x14ac:dyDescent="0.25">
      <c r="A1404" t="s">
        <v>3329</v>
      </c>
      <c r="B1404" t="str">
        <f>"7350073930722"</f>
        <v>7350073930722</v>
      </c>
      <c r="C1404" t="s">
        <v>5518</v>
      </c>
      <c r="D1404" t="s">
        <v>3332</v>
      </c>
      <c r="E1404" t="s">
        <v>3339</v>
      </c>
    </row>
    <row r="1405" spans="1:5" x14ac:dyDescent="0.25">
      <c r="A1405" t="s">
        <v>3329</v>
      </c>
      <c r="B1405" t="str">
        <f>"726424939046"</f>
        <v>726424939046</v>
      </c>
      <c r="C1405" t="s">
        <v>5519</v>
      </c>
      <c r="D1405" t="s">
        <v>3332</v>
      </c>
      <c r="E1405" t="s">
        <v>3333</v>
      </c>
    </row>
    <row r="1406" spans="1:5" x14ac:dyDescent="0.25">
      <c r="A1406" t="s">
        <v>3329</v>
      </c>
      <c r="B1406" t="str">
        <f>"726424938988"</f>
        <v>726424938988</v>
      </c>
      <c r="C1406" t="s">
        <v>5520</v>
      </c>
      <c r="D1406" t="s">
        <v>3332</v>
      </c>
      <c r="E1406" t="s">
        <v>3333</v>
      </c>
    </row>
    <row r="1407" spans="1:5" x14ac:dyDescent="0.25">
      <c r="A1407" t="s">
        <v>3329</v>
      </c>
      <c r="B1407" t="str">
        <f>"726424938964"</f>
        <v>726424938964</v>
      </c>
      <c r="C1407" t="s">
        <v>5521</v>
      </c>
      <c r="D1407" t="s">
        <v>3332</v>
      </c>
      <c r="E1407" t="s">
        <v>3333</v>
      </c>
    </row>
    <row r="1408" spans="1:5" x14ac:dyDescent="0.25">
      <c r="A1408" t="s">
        <v>3329</v>
      </c>
      <c r="B1408" t="str">
        <f>"726424938957"</f>
        <v>726424938957</v>
      </c>
      <c r="C1408" t="s">
        <v>5522</v>
      </c>
      <c r="D1408" t="s">
        <v>3332</v>
      </c>
      <c r="E1408" t="s">
        <v>3333</v>
      </c>
    </row>
    <row r="1409" spans="1:5" x14ac:dyDescent="0.25">
      <c r="A1409" t="s">
        <v>3329</v>
      </c>
      <c r="B1409" t="s">
        <v>5523</v>
      </c>
      <c r="C1409" t="s">
        <v>5524</v>
      </c>
      <c r="D1409" t="s">
        <v>3332</v>
      </c>
      <c r="E1409" t="s">
        <v>3333</v>
      </c>
    </row>
    <row r="1410" spans="1:5" x14ac:dyDescent="0.25">
      <c r="A1410" t="s">
        <v>3329</v>
      </c>
      <c r="B1410" t="str">
        <f>"726424938896"</f>
        <v>726424938896</v>
      </c>
      <c r="C1410" t="s">
        <v>5525</v>
      </c>
      <c r="D1410" t="s">
        <v>3332</v>
      </c>
      <c r="E1410" t="s">
        <v>3333</v>
      </c>
    </row>
    <row r="1411" spans="1:5" x14ac:dyDescent="0.25">
      <c r="A1411" t="s">
        <v>3329</v>
      </c>
      <c r="B1411" t="str">
        <f>"726424938872"</f>
        <v>726424938872</v>
      </c>
      <c r="C1411" t="s">
        <v>5526</v>
      </c>
      <c r="D1411" t="s">
        <v>3332</v>
      </c>
      <c r="E1411" t="s">
        <v>3333</v>
      </c>
    </row>
    <row r="1412" spans="1:5" x14ac:dyDescent="0.25">
      <c r="A1412" t="s">
        <v>3329</v>
      </c>
      <c r="B1412" t="s">
        <v>5527</v>
      </c>
      <c r="C1412" t="s">
        <v>5528</v>
      </c>
      <c r="D1412" t="s">
        <v>3332</v>
      </c>
      <c r="E1412" t="s">
        <v>3333</v>
      </c>
    </row>
    <row r="1413" spans="1:5" x14ac:dyDescent="0.25">
      <c r="A1413" t="s">
        <v>3329</v>
      </c>
      <c r="B1413" t="s">
        <v>5529</v>
      </c>
      <c r="C1413" t="s">
        <v>5530</v>
      </c>
      <c r="D1413" t="s">
        <v>3332</v>
      </c>
      <c r="E1413" t="s">
        <v>3344</v>
      </c>
    </row>
    <row r="1414" spans="1:5" x14ac:dyDescent="0.25">
      <c r="A1414" t="s">
        <v>3329</v>
      </c>
      <c r="B1414" t="s">
        <v>5531</v>
      </c>
      <c r="C1414" t="s">
        <v>5532</v>
      </c>
      <c r="D1414" t="s">
        <v>3332</v>
      </c>
      <c r="E1414" t="s">
        <v>3336</v>
      </c>
    </row>
    <row r="1415" spans="1:5" x14ac:dyDescent="0.25">
      <c r="A1415" t="s">
        <v>3329</v>
      </c>
      <c r="B1415" t="s">
        <v>5533</v>
      </c>
      <c r="C1415" t="s">
        <v>5534</v>
      </c>
      <c r="D1415" t="s">
        <v>3332</v>
      </c>
      <c r="E1415" t="s">
        <v>3336</v>
      </c>
    </row>
    <row r="1416" spans="1:5" x14ac:dyDescent="0.25">
      <c r="A1416" t="s">
        <v>3329</v>
      </c>
      <c r="B1416" t="s">
        <v>5535</v>
      </c>
      <c r="C1416" t="s">
        <v>5536</v>
      </c>
      <c r="D1416" t="s">
        <v>3332</v>
      </c>
      <c r="E1416" t="s">
        <v>3336</v>
      </c>
    </row>
    <row r="1417" spans="1:5" x14ac:dyDescent="0.25">
      <c r="A1417" t="s">
        <v>3329</v>
      </c>
      <c r="B1417" t="str">
        <f>"726424686766"</f>
        <v>726424686766</v>
      </c>
      <c r="C1417" t="s">
        <v>5537</v>
      </c>
      <c r="D1417" t="s">
        <v>3332</v>
      </c>
      <c r="E1417" t="s">
        <v>3339</v>
      </c>
    </row>
    <row r="1418" spans="1:5" x14ac:dyDescent="0.25">
      <c r="A1418" t="s">
        <v>3329</v>
      </c>
      <c r="B1418" t="s">
        <v>5538</v>
      </c>
      <c r="C1418" t="s">
        <v>5539</v>
      </c>
      <c r="D1418" t="s">
        <v>3332</v>
      </c>
      <c r="E1418" t="s">
        <v>3333</v>
      </c>
    </row>
    <row r="1419" spans="1:5" x14ac:dyDescent="0.25">
      <c r="A1419" t="s">
        <v>3329</v>
      </c>
      <c r="B1419" t="str">
        <f>"726424270736"</f>
        <v>726424270736</v>
      </c>
      <c r="C1419" t="s">
        <v>5540</v>
      </c>
      <c r="D1419" t="s">
        <v>3332</v>
      </c>
      <c r="E1419" t="s">
        <v>3333</v>
      </c>
    </row>
    <row r="1420" spans="1:5" x14ac:dyDescent="0.25">
      <c r="A1420" t="s">
        <v>3329</v>
      </c>
      <c r="B1420" t="str">
        <f>"726424077564"</f>
        <v>726424077564</v>
      </c>
      <c r="C1420" t="s">
        <v>5541</v>
      </c>
      <c r="D1420" t="s">
        <v>3332</v>
      </c>
      <c r="E1420" t="s">
        <v>3582</v>
      </c>
    </row>
    <row r="1421" spans="1:5" x14ac:dyDescent="0.25">
      <c r="A1421" t="s">
        <v>3329</v>
      </c>
      <c r="B1421" t="str">
        <f>"726424077557"</f>
        <v>726424077557</v>
      </c>
      <c r="C1421" t="s">
        <v>5542</v>
      </c>
      <c r="D1421" t="s">
        <v>3332</v>
      </c>
      <c r="E1421" t="s">
        <v>3582</v>
      </c>
    </row>
    <row r="1422" spans="1:5" x14ac:dyDescent="0.25">
      <c r="A1422" t="s">
        <v>3329</v>
      </c>
      <c r="B1422" t="str">
        <f>"726424077540"</f>
        <v>726424077540</v>
      </c>
      <c r="C1422" t="s">
        <v>5543</v>
      </c>
      <c r="D1422" t="s">
        <v>3332</v>
      </c>
      <c r="E1422" t="s">
        <v>3582</v>
      </c>
    </row>
    <row r="1423" spans="1:5" x14ac:dyDescent="0.25">
      <c r="A1423" t="s">
        <v>3329</v>
      </c>
      <c r="B1423" t="str">
        <f>"726424077533"</f>
        <v>726424077533</v>
      </c>
      <c r="C1423" t="s">
        <v>5544</v>
      </c>
      <c r="D1423" t="s">
        <v>3332</v>
      </c>
      <c r="E1423" t="s">
        <v>3582</v>
      </c>
    </row>
    <row r="1424" spans="1:5" x14ac:dyDescent="0.25">
      <c r="A1424" t="s">
        <v>3329</v>
      </c>
      <c r="B1424" t="str">
        <f>"726424077526"</f>
        <v>726424077526</v>
      </c>
      <c r="C1424" t="s">
        <v>5545</v>
      </c>
      <c r="D1424" t="s">
        <v>3332</v>
      </c>
      <c r="E1424" t="s">
        <v>3582</v>
      </c>
    </row>
    <row r="1425" spans="1:5" x14ac:dyDescent="0.25">
      <c r="A1425" t="s">
        <v>3329</v>
      </c>
      <c r="B1425" t="str">
        <f>"726423980018"</f>
        <v>726423980018</v>
      </c>
      <c r="C1425" t="s">
        <v>5546</v>
      </c>
      <c r="D1425" t="s">
        <v>3332</v>
      </c>
      <c r="E1425" t="s">
        <v>3336</v>
      </c>
    </row>
    <row r="1426" spans="1:5" x14ac:dyDescent="0.25">
      <c r="A1426" t="s">
        <v>3329</v>
      </c>
      <c r="B1426" t="str">
        <f>"726423980001"</f>
        <v>726423980001</v>
      </c>
      <c r="C1426" t="s">
        <v>5547</v>
      </c>
      <c r="D1426" t="s">
        <v>3332</v>
      </c>
      <c r="E1426" t="s">
        <v>3336</v>
      </c>
    </row>
    <row r="1427" spans="1:5" x14ac:dyDescent="0.25">
      <c r="A1427" t="s">
        <v>3329</v>
      </c>
      <c r="B1427" t="str">
        <f>"726423979999"</f>
        <v>726423979999</v>
      </c>
      <c r="C1427" t="s">
        <v>5548</v>
      </c>
      <c r="D1427" t="s">
        <v>3332</v>
      </c>
      <c r="E1427" t="s">
        <v>3336</v>
      </c>
    </row>
    <row r="1428" spans="1:5" x14ac:dyDescent="0.25">
      <c r="A1428" t="s">
        <v>3329</v>
      </c>
      <c r="B1428" t="str">
        <f>"726423979982"</f>
        <v>726423979982</v>
      </c>
      <c r="C1428" t="s">
        <v>5549</v>
      </c>
      <c r="D1428" t="s">
        <v>3332</v>
      </c>
      <c r="E1428" t="s">
        <v>3336</v>
      </c>
    </row>
    <row r="1429" spans="1:5" x14ac:dyDescent="0.25">
      <c r="A1429" t="s">
        <v>3329</v>
      </c>
      <c r="B1429" t="s">
        <v>5550</v>
      </c>
      <c r="C1429" t="s">
        <v>5551</v>
      </c>
      <c r="D1429" t="s">
        <v>3332</v>
      </c>
      <c r="E1429" t="s">
        <v>3336</v>
      </c>
    </row>
    <row r="1430" spans="1:5" x14ac:dyDescent="0.25">
      <c r="A1430" t="s">
        <v>3329</v>
      </c>
      <c r="B1430" t="s">
        <v>5552</v>
      </c>
      <c r="C1430" t="s">
        <v>5553</v>
      </c>
      <c r="D1430" t="s">
        <v>3332</v>
      </c>
      <c r="E1430" t="s">
        <v>3336</v>
      </c>
    </row>
    <row r="1431" spans="1:5" x14ac:dyDescent="0.25">
      <c r="A1431" t="s">
        <v>3329</v>
      </c>
      <c r="B1431" t="str">
        <f>"726423855064"</f>
        <v>726423855064</v>
      </c>
      <c r="C1431" t="s">
        <v>5554</v>
      </c>
      <c r="D1431" t="s">
        <v>3332</v>
      </c>
      <c r="E1431" t="s">
        <v>3582</v>
      </c>
    </row>
    <row r="1432" spans="1:5" x14ac:dyDescent="0.25">
      <c r="A1432" t="s">
        <v>3329</v>
      </c>
      <c r="B1432" t="str">
        <f>"726423855040"</f>
        <v>726423855040</v>
      </c>
      <c r="C1432" t="s">
        <v>5555</v>
      </c>
      <c r="D1432" t="s">
        <v>3332</v>
      </c>
      <c r="E1432" t="s">
        <v>3582</v>
      </c>
    </row>
    <row r="1433" spans="1:5" x14ac:dyDescent="0.25">
      <c r="A1433" t="s">
        <v>3329</v>
      </c>
      <c r="B1433" t="str">
        <f>"726423855033"</f>
        <v>726423855033</v>
      </c>
      <c r="C1433" t="s">
        <v>5556</v>
      </c>
      <c r="D1433" t="s">
        <v>3332</v>
      </c>
      <c r="E1433" t="s">
        <v>3582</v>
      </c>
    </row>
    <row r="1434" spans="1:5" x14ac:dyDescent="0.25">
      <c r="A1434" t="s">
        <v>3329</v>
      </c>
      <c r="B1434" t="str">
        <f>"726423855019"</f>
        <v>726423855019</v>
      </c>
      <c r="C1434" t="s">
        <v>5557</v>
      </c>
      <c r="D1434" t="s">
        <v>3332</v>
      </c>
      <c r="E1434" t="s">
        <v>3582</v>
      </c>
    </row>
    <row r="1435" spans="1:5" x14ac:dyDescent="0.25">
      <c r="A1435" t="s">
        <v>3329</v>
      </c>
      <c r="B1435" t="str">
        <f>"726423855002"</f>
        <v>726423855002</v>
      </c>
      <c r="C1435" t="s">
        <v>5558</v>
      </c>
      <c r="D1435" t="s">
        <v>3332</v>
      </c>
      <c r="E1435" t="s">
        <v>3582</v>
      </c>
    </row>
    <row r="1436" spans="1:5" x14ac:dyDescent="0.25">
      <c r="A1436" t="s">
        <v>3329</v>
      </c>
      <c r="B1436" t="s">
        <v>5559</v>
      </c>
      <c r="C1436" t="s">
        <v>5560</v>
      </c>
      <c r="D1436" t="s">
        <v>3332</v>
      </c>
      <c r="E1436" t="s">
        <v>3339</v>
      </c>
    </row>
    <row r="1437" spans="1:5" x14ac:dyDescent="0.25">
      <c r="A1437" t="s">
        <v>3329</v>
      </c>
      <c r="B1437" t="str">
        <f>"726423486343"</f>
        <v>726423486343</v>
      </c>
      <c r="C1437" t="s">
        <v>5561</v>
      </c>
      <c r="D1437" t="s">
        <v>3332</v>
      </c>
      <c r="E1437" t="s">
        <v>3344</v>
      </c>
    </row>
    <row r="1438" spans="1:5" x14ac:dyDescent="0.25">
      <c r="A1438" t="s">
        <v>3329</v>
      </c>
      <c r="B1438" t="s">
        <v>5562</v>
      </c>
      <c r="C1438" t="s">
        <v>5563</v>
      </c>
      <c r="D1438" t="s">
        <v>3332</v>
      </c>
      <c r="E1438" t="s">
        <v>3339</v>
      </c>
    </row>
    <row r="1439" spans="1:5" x14ac:dyDescent="0.25">
      <c r="A1439" t="s">
        <v>3329</v>
      </c>
      <c r="B1439" t="str">
        <f>"726423389033"</f>
        <v>726423389033</v>
      </c>
      <c r="C1439" t="s">
        <v>5564</v>
      </c>
      <c r="D1439" t="s">
        <v>3332</v>
      </c>
      <c r="E1439" t="s">
        <v>3336</v>
      </c>
    </row>
    <row r="1440" spans="1:5" x14ac:dyDescent="0.25">
      <c r="A1440" t="s">
        <v>3329</v>
      </c>
      <c r="B1440" t="str">
        <f>"726423389026"</f>
        <v>726423389026</v>
      </c>
      <c r="C1440" t="s">
        <v>5565</v>
      </c>
      <c r="D1440" t="s">
        <v>3332</v>
      </c>
      <c r="E1440" t="s">
        <v>3336</v>
      </c>
    </row>
    <row r="1441" spans="1:5" x14ac:dyDescent="0.25">
      <c r="A1441" t="s">
        <v>3329</v>
      </c>
      <c r="B1441" t="str">
        <f>"726423389019"</f>
        <v>726423389019</v>
      </c>
      <c r="C1441" t="s">
        <v>5566</v>
      </c>
      <c r="D1441" t="s">
        <v>3332</v>
      </c>
      <c r="E1441" t="s">
        <v>3336</v>
      </c>
    </row>
    <row r="1442" spans="1:5" x14ac:dyDescent="0.25">
      <c r="A1442" t="s">
        <v>3329</v>
      </c>
      <c r="B1442" t="str">
        <f>"726423389002"</f>
        <v>726423389002</v>
      </c>
      <c r="C1442" t="s">
        <v>5567</v>
      </c>
      <c r="D1442" t="s">
        <v>3332</v>
      </c>
      <c r="E1442" t="s">
        <v>3336</v>
      </c>
    </row>
    <row r="1443" spans="1:5" x14ac:dyDescent="0.25">
      <c r="A1443" t="s">
        <v>3329</v>
      </c>
      <c r="B1443" t="str">
        <f>"726423370727"</f>
        <v>726423370727</v>
      </c>
      <c r="C1443" t="s">
        <v>5568</v>
      </c>
      <c r="D1443" t="s">
        <v>3332</v>
      </c>
      <c r="E1443" t="s">
        <v>3582</v>
      </c>
    </row>
    <row r="1444" spans="1:5" x14ac:dyDescent="0.25">
      <c r="A1444" t="s">
        <v>3329</v>
      </c>
      <c r="B1444" t="str">
        <f>"726423359456"</f>
        <v>726423359456</v>
      </c>
      <c r="C1444" t="s">
        <v>5569</v>
      </c>
      <c r="D1444" t="s">
        <v>3332</v>
      </c>
      <c r="E1444" t="s">
        <v>3582</v>
      </c>
    </row>
    <row r="1445" spans="1:5" x14ac:dyDescent="0.25">
      <c r="A1445" t="s">
        <v>3329</v>
      </c>
      <c r="B1445" t="str">
        <f>"726423359449"</f>
        <v>726423359449</v>
      </c>
      <c r="C1445" t="s">
        <v>5570</v>
      </c>
      <c r="D1445" t="s">
        <v>3332</v>
      </c>
      <c r="E1445" t="s">
        <v>3582</v>
      </c>
    </row>
    <row r="1446" spans="1:5" x14ac:dyDescent="0.25">
      <c r="A1446" t="s">
        <v>3329</v>
      </c>
      <c r="B1446" t="str">
        <f>"726423359432"</f>
        <v>726423359432</v>
      </c>
      <c r="C1446" t="s">
        <v>5571</v>
      </c>
      <c r="D1446" t="s">
        <v>3332</v>
      </c>
      <c r="E1446" t="s">
        <v>3582</v>
      </c>
    </row>
    <row r="1447" spans="1:5" x14ac:dyDescent="0.25">
      <c r="A1447" t="s">
        <v>3329</v>
      </c>
      <c r="B1447" t="str">
        <f>"726423359418"</f>
        <v>726423359418</v>
      </c>
      <c r="C1447" t="s">
        <v>5572</v>
      </c>
      <c r="D1447" t="s">
        <v>3332</v>
      </c>
      <c r="E1447" t="s">
        <v>3582</v>
      </c>
    </row>
    <row r="1448" spans="1:5" x14ac:dyDescent="0.25">
      <c r="A1448" t="s">
        <v>3329</v>
      </c>
      <c r="B1448" t="str">
        <f>"726423358411"</f>
        <v>726423358411</v>
      </c>
      <c r="C1448" t="s">
        <v>5573</v>
      </c>
      <c r="D1448" t="s">
        <v>3332</v>
      </c>
      <c r="E1448" t="s">
        <v>3582</v>
      </c>
    </row>
    <row r="1449" spans="1:5" x14ac:dyDescent="0.25">
      <c r="A1449" t="s">
        <v>3329</v>
      </c>
      <c r="B1449" t="str">
        <f>"726423358398"</f>
        <v>726423358398</v>
      </c>
      <c r="C1449" t="s">
        <v>5574</v>
      </c>
      <c r="D1449" t="s">
        <v>3332</v>
      </c>
      <c r="E1449" t="s">
        <v>3582</v>
      </c>
    </row>
    <row r="1450" spans="1:5" x14ac:dyDescent="0.25">
      <c r="A1450" t="s">
        <v>3329</v>
      </c>
      <c r="B1450" t="str">
        <f>"726423358381"</f>
        <v>726423358381</v>
      </c>
      <c r="C1450" t="s">
        <v>5575</v>
      </c>
      <c r="D1450" t="s">
        <v>3332</v>
      </c>
      <c r="E1450" t="s">
        <v>3582</v>
      </c>
    </row>
    <row r="1451" spans="1:5" x14ac:dyDescent="0.25">
      <c r="A1451" t="s">
        <v>3329</v>
      </c>
      <c r="B1451" t="str">
        <f>"726423358374"</f>
        <v>726423358374</v>
      </c>
      <c r="C1451" t="s">
        <v>5576</v>
      </c>
      <c r="D1451" t="s">
        <v>3332</v>
      </c>
      <c r="E1451" t="s">
        <v>3582</v>
      </c>
    </row>
    <row r="1452" spans="1:5" x14ac:dyDescent="0.25">
      <c r="A1452" t="s">
        <v>3329</v>
      </c>
      <c r="B1452" t="str">
        <f>"726423354482"</f>
        <v>726423354482</v>
      </c>
      <c r="C1452" t="s">
        <v>5577</v>
      </c>
      <c r="D1452" t="s">
        <v>3332</v>
      </c>
      <c r="E1452" t="s">
        <v>3582</v>
      </c>
    </row>
    <row r="1453" spans="1:5" x14ac:dyDescent="0.25">
      <c r="A1453" t="s">
        <v>3329</v>
      </c>
      <c r="B1453" t="str">
        <f>"726423354475"</f>
        <v>726423354475</v>
      </c>
      <c r="C1453" t="s">
        <v>5578</v>
      </c>
      <c r="D1453" t="s">
        <v>3332</v>
      </c>
      <c r="E1453" t="s">
        <v>3582</v>
      </c>
    </row>
    <row r="1454" spans="1:5" x14ac:dyDescent="0.25">
      <c r="A1454" t="s">
        <v>3329</v>
      </c>
      <c r="B1454" t="str">
        <f>"726423354468"</f>
        <v>726423354468</v>
      </c>
      <c r="C1454" t="s">
        <v>5579</v>
      </c>
      <c r="D1454" t="s">
        <v>3332</v>
      </c>
      <c r="E1454" t="s">
        <v>3582</v>
      </c>
    </row>
    <row r="1455" spans="1:5" x14ac:dyDescent="0.25">
      <c r="A1455" t="s">
        <v>3329</v>
      </c>
      <c r="B1455" t="str">
        <f>"726423354451"</f>
        <v>726423354451</v>
      </c>
      <c r="C1455" t="s">
        <v>5580</v>
      </c>
      <c r="D1455" t="s">
        <v>3332</v>
      </c>
      <c r="E1455" t="s">
        <v>3582</v>
      </c>
    </row>
    <row r="1456" spans="1:5" x14ac:dyDescent="0.25">
      <c r="A1456" t="s">
        <v>3329</v>
      </c>
      <c r="B1456" t="str">
        <f>"726423354437"</f>
        <v>726423354437</v>
      </c>
      <c r="C1456" t="s">
        <v>5581</v>
      </c>
      <c r="D1456" t="s">
        <v>3332</v>
      </c>
      <c r="E1456" t="s">
        <v>3582</v>
      </c>
    </row>
    <row r="1457" spans="1:5" x14ac:dyDescent="0.25">
      <c r="A1457" t="s">
        <v>3329</v>
      </c>
      <c r="B1457" t="str">
        <f>"726423354420"</f>
        <v>726423354420</v>
      </c>
      <c r="C1457" t="s">
        <v>5582</v>
      </c>
      <c r="D1457" t="s">
        <v>3332</v>
      </c>
      <c r="E1457" t="s">
        <v>3582</v>
      </c>
    </row>
    <row r="1458" spans="1:5" x14ac:dyDescent="0.25">
      <c r="A1458" t="s">
        <v>3329</v>
      </c>
      <c r="B1458" t="str">
        <f>"726423351733"</f>
        <v>726423351733</v>
      </c>
      <c r="C1458" t="s">
        <v>5583</v>
      </c>
      <c r="D1458" t="s">
        <v>3332</v>
      </c>
      <c r="E1458" t="s">
        <v>3582</v>
      </c>
    </row>
    <row r="1459" spans="1:5" x14ac:dyDescent="0.25">
      <c r="A1459" t="s">
        <v>3329</v>
      </c>
      <c r="B1459" t="str">
        <f>"726423351719"</f>
        <v>726423351719</v>
      </c>
      <c r="C1459" t="s">
        <v>5584</v>
      </c>
      <c r="D1459" t="s">
        <v>3332</v>
      </c>
      <c r="E1459" t="s">
        <v>3582</v>
      </c>
    </row>
    <row r="1460" spans="1:5" x14ac:dyDescent="0.25">
      <c r="A1460" t="s">
        <v>3329</v>
      </c>
      <c r="B1460" t="str">
        <f>"726423351702"</f>
        <v>726423351702</v>
      </c>
      <c r="C1460" t="s">
        <v>5585</v>
      </c>
      <c r="D1460" t="s">
        <v>3332</v>
      </c>
      <c r="E1460" t="s">
        <v>3582</v>
      </c>
    </row>
    <row r="1461" spans="1:5" x14ac:dyDescent="0.25">
      <c r="A1461" t="s">
        <v>3329</v>
      </c>
      <c r="B1461" t="str">
        <f>"726423351689"</f>
        <v>726423351689</v>
      </c>
      <c r="C1461" t="s">
        <v>5586</v>
      </c>
      <c r="D1461" t="s">
        <v>3332</v>
      </c>
      <c r="E1461" t="s">
        <v>3582</v>
      </c>
    </row>
    <row r="1462" spans="1:5" x14ac:dyDescent="0.25">
      <c r="A1462" t="s">
        <v>3329</v>
      </c>
      <c r="B1462" t="str">
        <f>"726423351672"</f>
        <v>726423351672</v>
      </c>
      <c r="C1462" t="s">
        <v>5587</v>
      </c>
      <c r="D1462" t="s">
        <v>3332</v>
      </c>
      <c r="E1462" t="s">
        <v>3582</v>
      </c>
    </row>
    <row r="1463" spans="1:5" x14ac:dyDescent="0.25">
      <c r="A1463" t="s">
        <v>3329</v>
      </c>
      <c r="B1463" t="str">
        <f>"726423347859"</f>
        <v>726423347859</v>
      </c>
      <c r="C1463" t="s">
        <v>5588</v>
      </c>
      <c r="D1463" t="s">
        <v>3332</v>
      </c>
      <c r="E1463" t="s">
        <v>3333</v>
      </c>
    </row>
    <row r="1464" spans="1:5" x14ac:dyDescent="0.25">
      <c r="A1464" t="s">
        <v>3329</v>
      </c>
      <c r="B1464" t="str">
        <f>"726423347842"</f>
        <v>726423347842</v>
      </c>
      <c r="C1464" t="s">
        <v>5589</v>
      </c>
      <c r="D1464" t="s">
        <v>3332</v>
      </c>
      <c r="E1464" t="s">
        <v>3333</v>
      </c>
    </row>
    <row r="1465" spans="1:5" x14ac:dyDescent="0.25">
      <c r="A1465" t="s">
        <v>3329</v>
      </c>
      <c r="B1465" t="str">
        <f>"726423347767"</f>
        <v>726423347767</v>
      </c>
      <c r="C1465" t="s">
        <v>5590</v>
      </c>
      <c r="D1465" t="s">
        <v>3332</v>
      </c>
      <c r="E1465" t="s">
        <v>3333</v>
      </c>
    </row>
    <row r="1466" spans="1:5" x14ac:dyDescent="0.25">
      <c r="A1466" t="s">
        <v>3329</v>
      </c>
      <c r="B1466" t="str">
        <f>"726423347743"</f>
        <v>726423347743</v>
      </c>
      <c r="C1466" t="s">
        <v>5591</v>
      </c>
      <c r="D1466" t="s">
        <v>3332</v>
      </c>
      <c r="E1466" t="s">
        <v>3333</v>
      </c>
    </row>
    <row r="1467" spans="1:5" x14ac:dyDescent="0.25">
      <c r="A1467" t="s">
        <v>3329</v>
      </c>
      <c r="B1467" t="str">
        <f>"726423347736"</f>
        <v>726423347736</v>
      </c>
      <c r="C1467" t="s">
        <v>5592</v>
      </c>
      <c r="D1467" t="s">
        <v>3332</v>
      </c>
      <c r="E1467" t="s">
        <v>3333</v>
      </c>
    </row>
    <row r="1468" spans="1:5" x14ac:dyDescent="0.25">
      <c r="A1468" t="s">
        <v>3329</v>
      </c>
      <c r="B1468" t="str">
        <f>"726423347729"</f>
        <v>726423347729</v>
      </c>
      <c r="C1468" t="s">
        <v>5593</v>
      </c>
      <c r="D1468" t="s">
        <v>3332</v>
      </c>
      <c r="E1468" t="s">
        <v>3333</v>
      </c>
    </row>
    <row r="1469" spans="1:5" x14ac:dyDescent="0.25">
      <c r="A1469" t="s">
        <v>3329</v>
      </c>
      <c r="B1469" t="str">
        <f>"726423347699"</f>
        <v>726423347699</v>
      </c>
      <c r="C1469" t="s">
        <v>5594</v>
      </c>
      <c r="D1469" t="s">
        <v>3332</v>
      </c>
      <c r="E1469" t="s">
        <v>3333</v>
      </c>
    </row>
    <row r="1470" spans="1:5" x14ac:dyDescent="0.25">
      <c r="A1470" t="s">
        <v>3329</v>
      </c>
      <c r="B1470" t="str">
        <f>"726423346456"</f>
        <v>726423346456</v>
      </c>
      <c r="C1470" t="s">
        <v>5595</v>
      </c>
      <c r="D1470" t="s">
        <v>3332</v>
      </c>
      <c r="E1470" t="s">
        <v>3344</v>
      </c>
    </row>
    <row r="1471" spans="1:5" x14ac:dyDescent="0.25">
      <c r="A1471" t="s">
        <v>3329</v>
      </c>
      <c r="B1471" t="str">
        <f>"726423270584"</f>
        <v>726423270584</v>
      </c>
      <c r="C1471" t="s">
        <v>5596</v>
      </c>
      <c r="D1471" t="s">
        <v>3332</v>
      </c>
      <c r="E1471" t="s">
        <v>3336</v>
      </c>
    </row>
    <row r="1472" spans="1:5" x14ac:dyDescent="0.25">
      <c r="A1472" t="s">
        <v>3329</v>
      </c>
      <c r="B1472" t="str">
        <f>"726423270577"</f>
        <v>726423270577</v>
      </c>
      <c r="C1472" t="s">
        <v>5597</v>
      </c>
      <c r="D1472" t="s">
        <v>3332</v>
      </c>
      <c r="E1472" t="s">
        <v>3336</v>
      </c>
    </row>
    <row r="1473" spans="1:5" x14ac:dyDescent="0.25">
      <c r="A1473" t="s">
        <v>3329</v>
      </c>
      <c r="B1473" t="str">
        <f>"726423270560"</f>
        <v>726423270560</v>
      </c>
      <c r="C1473" t="s">
        <v>5598</v>
      </c>
      <c r="D1473" t="s">
        <v>3332</v>
      </c>
      <c r="E1473" t="s">
        <v>3336</v>
      </c>
    </row>
    <row r="1474" spans="1:5" x14ac:dyDescent="0.25">
      <c r="A1474" t="s">
        <v>3329</v>
      </c>
      <c r="B1474" t="str">
        <f>"726423270553"</f>
        <v>726423270553</v>
      </c>
      <c r="C1474" t="s">
        <v>5599</v>
      </c>
      <c r="D1474" t="s">
        <v>3332</v>
      </c>
      <c r="E1474" t="s">
        <v>3336</v>
      </c>
    </row>
    <row r="1475" spans="1:5" x14ac:dyDescent="0.25">
      <c r="A1475" t="s">
        <v>3329</v>
      </c>
      <c r="B1475" t="str">
        <f>"726423269762"</f>
        <v>726423269762</v>
      </c>
      <c r="C1475" t="s">
        <v>5600</v>
      </c>
      <c r="D1475" t="s">
        <v>3332</v>
      </c>
      <c r="E1475" t="s">
        <v>3336</v>
      </c>
    </row>
    <row r="1476" spans="1:5" x14ac:dyDescent="0.25">
      <c r="A1476" t="s">
        <v>3329</v>
      </c>
      <c r="B1476" t="str">
        <f>"726423269755"</f>
        <v>726423269755</v>
      </c>
      <c r="C1476" t="s">
        <v>5601</v>
      </c>
      <c r="D1476" t="s">
        <v>3332</v>
      </c>
      <c r="E1476" t="s">
        <v>3336</v>
      </c>
    </row>
    <row r="1477" spans="1:5" x14ac:dyDescent="0.25">
      <c r="A1477" t="s">
        <v>3329</v>
      </c>
      <c r="B1477" t="str">
        <f>"726423269748"</f>
        <v>726423269748</v>
      </c>
      <c r="C1477" t="s">
        <v>5602</v>
      </c>
      <c r="D1477" t="s">
        <v>3332</v>
      </c>
      <c r="E1477" t="s">
        <v>3336</v>
      </c>
    </row>
    <row r="1478" spans="1:5" x14ac:dyDescent="0.25">
      <c r="A1478" t="s">
        <v>3329</v>
      </c>
      <c r="B1478" t="str">
        <f>"726423269731"</f>
        <v>726423269731</v>
      </c>
      <c r="C1478" t="s">
        <v>5603</v>
      </c>
      <c r="D1478" t="s">
        <v>3332</v>
      </c>
      <c r="E1478" t="s">
        <v>3336</v>
      </c>
    </row>
    <row r="1479" spans="1:5" x14ac:dyDescent="0.25">
      <c r="A1479" t="s">
        <v>3329</v>
      </c>
      <c r="B1479" t="str">
        <f>"726423269472"</f>
        <v>726423269472</v>
      </c>
      <c r="C1479" t="s">
        <v>5546</v>
      </c>
      <c r="D1479" t="s">
        <v>3332</v>
      </c>
      <c r="E1479" t="s">
        <v>3336</v>
      </c>
    </row>
    <row r="1480" spans="1:5" x14ac:dyDescent="0.25">
      <c r="A1480" t="s">
        <v>3329</v>
      </c>
      <c r="B1480" t="str">
        <f>"726423269465"</f>
        <v>726423269465</v>
      </c>
      <c r="C1480" t="s">
        <v>5604</v>
      </c>
      <c r="D1480" t="s">
        <v>3332</v>
      </c>
      <c r="E1480" t="s">
        <v>3336</v>
      </c>
    </row>
    <row r="1481" spans="1:5" x14ac:dyDescent="0.25">
      <c r="A1481" t="s">
        <v>3329</v>
      </c>
      <c r="B1481" t="str">
        <f>"726423269458"</f>
        <v>726423269458</v>
      </c>
      <c r="C1481" t="s">
        <v>5605</v>
      </c>
      <c r="D1481" t="s">
        <v>3332</v>
      </c>
      <c r="E1481" t="s">
        <v>3336</v>
      </c>
    </row>
    <row r="1482" spans="1:5" x14ac:dyDescent="0.25">
      <c r="A1482" t="s">
        <v>3329</v>
      </c>
      <c r="B1482" t="str">
        <f>"726423269441"</f>
        <v>726423269441</v>
      </c>
      <c r="C1482" t="s">
        <v>5549</v>
      </c>
      <c r="D1482" t="s">
        <v>3332</v>
      </c>
      <c r="E1482" t="s">
        <v>3336</v>
      </c>
    </row>
    <row r="1483" spans="1:5" x14ac:dyDescent="0.25">
      <c r="A1483" t="s">
        <v>3329</v>
      </c>
      <c r="B1483" t="str">
        <f>"726423268901"</f>
        <v>726423268901</v>
      </c>
      <c r="C1483" t="s">
        <v>5606</v>
      </c>
      <c r="D1483" t="s">
        <v>3332</v>
      </c>
      <c r="E1483" t="s">
        <v>3336</v>
      </c>
    </row>
    <row r="1484" spans="1:5" x14ac:dyDescent="0.25">
      <c r="A1484" t="s">
        <v>3329</v>
      </c>
      <c r="B1484" t="str">
        <f>"726423268895"</f>
        <v>726423268895</v>
      </c>
      <c r="C1484" t="s">
        <v>5607</v>
      </c>
      <c r="D1484" t="s">
        <v>3332</v>
      </c>
      <c r="E1484" t="s">
        <v>3336</v>
      </c>
    </row>
    <row r="1485" spans="1:5" x14ac:dyDescent="0.25">
      <c r="A1485" t="s">
        <v>3329</v>
      </c>
      <c r="B1485" t="str">
        <f>"726423268888"</f>
        <v>726423268888</v>
      </c>
      <c r="C1485" t="s">
        <v>5608</v>
      </c>
      <c r="D1485" t="s">
        <v>3332</v>
      </c>
      <c r="E1485" t="s">
        <v>3336</v>
      </c>
    </row>
    <row r="1486" spans="1:5" x14ac:dyDescent="0.25">
      <c r="A1486" t="s">
        <v>3329</v>
      </c>
      <c r="B1486" t="str">
        <f>"726423268222"</f>
        <v>726423268222</v>
      </c>
      <c r="C1486" t="s">
        <v>5609</v>
      </c>
      <c r="D1486" t="s">
        <v>3332</v>
      </c>
      <c r="E1486" t="s">
        <v>3336</v>
      </c>
    </row>
    <row r="1487" spans="1:5" x14ac:dyDescent="0.25">
      <c r="A1487" t="s">
        <v>3329</v>
      </c>
      <c r="B1487" t="str">
        <f>"726423268215"</f>
        <v>726423268215</v>
      </c>
      <c r="C1487" t="s">
        <v>5610</v>
      </c>
      <c r="D1487" t="s">
        <v>3332</v>
      </c>
      <c r="E1487" t="s">
        <v>3336</v>
      </c>
    </row>
    <row r="1488" spans="1:5" x14ac:dyDescent="0.25">
      <c r="A1488" t="s">
        <v>3329</v>
      </c>
      <c r="B1488" t="str">
        <f>"726423268208"</f>
        <v>726423268208</v>
      </c>
      <c r="C1488" t="s">
        <v>5611</v>
      </c>
      <c r="D1488" t="s">
        <v>3332</v>
      </c>
      <c r="E1488" t="s">
        <v>3336</v>
      </c>
    </row>
    <row r="1489" spans="1:5" x14ac:dyDescent="0.25">
      <c r="A1489" t="s">
        <v>3329</v>
      </c>
      <c r="B1489" t="str">
        <f>"726423268192"</f>
        <v>726423268192</v>
      </c>
      <c r="C1489" t="s">
        <v>5612</v>
      </c>
      <c r="D1489" t="s">
        <v>3332</v>
      </c>
      <c r="E1489" t="s">
        <v>3336</v>
      </c>
    </row>
    <row r="1490" spans="1:5" x14ac:dyDescent="0.25">
      <c r="A1490" t="s">
        <v>3329</v>
      </c>
      <c r="B1490" t="str">
        <f>"726423268086"</f>
        <v>726423268086</v>
      </c>
      <c r="C1490" t="s">
        <v>5609</v>
      </c>
      <c r="D1490" t="s">
        <v>3332</v>
      </c>
      <c r="E1490" t="s">
        <v>3336</v>
      </c>
    </row>
    <row r="1491" spans="1:5" x14ac:dyDescent="0.25">
      <c r="A1491" t="s">
        <v>3329</v>
      </c>
      <c r="B1491" t="str">
        <f>"726423268062"</f>
        <v>726423268062</v>
      </c>
      <c r="C1491" t="s">
        <v>5611</v>
      </c>
      <c r="D1491" t="s">
        <v>3332</v>
      </c>
      <c r="E1491" t="s">
        <v>3336</v>
      </c>
    </row>
    <row r="1492" spans="1:5" x14ac:dyDescent="0.25">
      <c r="A1492" t="s">
        <v>3329</v>
      </c>
      <c r="B1492" t="str">
        <f>"726423268055"</f>
        <v>726423268055</v>
      </c>
      <c r="C1492" t="s">
        <v>5612</v>
      </c>
      <c r="D1492" t="s">
        <v>3332</v>
      </c>
      <c r="E1492" t="s">
        <v>3336</v>
      </c>
    </row>
    <row r="1493" spans="1:5" x14ac:dyDescent="0.25">
      <c r="A1493" t="s">
        <v>3329</v>
      </c>
      <c r="B1493" t="str">
        <f>"724794927359"</f>
        <v>724794927359</v>
      </c>
      <c r="C1493" t="s">
        <v>5613</v>
      </c>
      <c r="D1493" t="s">
        <v>3332</v>
      </c>
      <c r="E1493" t="s">
        <v>3339</v>
      </c>
    </row>
    <row r="1494" spans="1:5" x14ac:dyDescent="0.25">
      <c r="A1494" t="s">
        <v>3329</v>
      </c>
      <c r="B1494" t="str">
        <f>"724794885901"</f>
        <v>724794885901</v>
      </c>
      <c r="C1494" t="s">
        <v>5614</v>
      </c>
      <c r="D1494" t="s">
        <v>3332</v>
      </c>
      <c r="E1494" t="s">
        <v>3336</v>
      </c>
    </row>
    <row r="1495" spans="1:5" x14ac:dyDescent="0.25">
      <c r="A1495" t="s">
        <v>3329</v>
      </c>
      <c r="B1495" t="str">
        <f>"724794885895"</f>
        <v>724794885895</v>
      </c>
      <c r="C1495" t="s">
        <v>5615</v>
      </c>
      <c r="D1495" t="s">
        <v>3332</v>
      </c>
      <c r="E1495" t="s">
        <v>3336</v>
      </c>
    </row>
    <row r="1496" spans="1:5" x14ac:dyDescent="0.25">
      <c r="A1496" t="s">
        <v>3329</v>
      </c>
      <c r="B1496" t="str">
        <f>"724794885888"</f>
        <v>724794885888</v>
      </c>
      <c r="C1496" t="s">
        <v>5616</v>
      </c>
      <c r="D1496" t="s">
        <v>3332</v>
      </c>
      <c r="E1496" t="s">
        <v>3336</v>
      </c>
    </row>
    <row r="1497" spans="1:5" x14ac:dyDescent="0.25">
      <c r="A1497" t="s">
        <v>3329</v>
      </c>
      <c r="B1497" t="str">
        <f>"724794874752"</f>
        <v>724794874752</v>
      </c>
      <c r="C1497" t="s">
        <v>5617</v>
      </c>
      <c r="D1497" t="s">
        <v>3332</v>
      </c>
      <c r="E1497" t="s">
        <v>3336</v>
      </c>
    </row>
    <row r="1498" spans="1:5" x14ac:dyDescent="0.25">
      <c r="A1498" t="s">
        <v>3329</v>
      </c>
      <c r="B1498" t="str">
        <f>"724794874745"</f>
        <v>724794874745</v>
      </c>
      <c r="C1498" t="s">
        <v>5618</v>
      </c>
      <c r="D1498" t="s">
        <v>3332</v>
      </c>
      <c r="E1498" t="s">
        <v>3336</v>
      </c>
    </row>
    <row r="1499" spans="1:5" x14ac:dyDescent="0.25">
      <c r="A1499" t="s">
        <v>3329</v>
      </c>
      <c r="B1499" t="str">
        <f>"724794874738"</f>
        <v>724794874738</v>
      </c>
      <c r="C1499" t="s">
        <v>5619</v>
      </c>
      <c r="D1499" t="s">
        <v>3332</v>
      </c>
      <c r="E1499" t="s">
        <v>3336</v>
      </c>
    </row>
    <row r="1500" spans="1:5" x14ac:dyDescent="0.25">
      <c r="A1500" t="s">
        <v>3329</v>
      </c>
      <c r="B1500" t="str">
        <f>"724794858530"</f>
        <v>724794858530</v>
      </c>
      <c r="C1500" t="s">
        <v>5620</v>
      </c>
      <c r="D1500" t="s">
        <v>3332</v>
      </c>
      <c r="E1500" t="s">
        <v>3344</v>
      </c>
    </row>
    <row r="1501" spans="1:5" x14ac:dyDescent="0.25">
      <c r="A1501" t="s">
        <v>3329</v>
      </c>
      <c r="B1501" t="s">
        <v>5621</v>
      </c>
      <c r="C1501" t="s">
        <v>5622</v>
      </c>
      <c r="D1501" t="s">
        <v>3332</v>
      </c>
      <c r="E1501" t="s">
        <v>3336</v>
      </c>
    </row>
    <row r="1502" spans="1:5" x14ac:dyDescent="0.25">
      <c r="A1502" t="s">
        <v>3329</v>
      </c>
      <c r="B1502" t="s">
        <v>5623</v>
      </c>
      <c r="C1502" t="s">
        <v>5624</v>
      </c>
      <c r="D1502" t="s">
        <v>3332</v>
      </c>
      <c r="E1502" t="s">
        <v>3336</v>
      </c>
    </row>
    <row r="1503" spans="1:5" x14ac:dyDescent="0.25">
      <c r="A1503" t="s">
        <v>3329</v>
      </c>
      <c r="B1503" t="s">
        <v>5625</v>
      </c>
      <c r="C1503" t="s">
        <v>5626</v>
      </c>
      <c r="D1503" t="s">
        <v>3332</v>
      </c>
      <c r="E1503" t="s">
        <v>3336</v>
      </c>
    </row>
    <row r="1504" spans="1:5" x14ac:dyDescent="0.25">
      <c r="A1504" t="s">
        <v>3329</v>
      </c>
      <c r="B1504" t="s">
        <v>5627</v>
      </c>
      <c r="C1504" t="s">
        <v>5628</v>
      </c>
      <c r="D1504" t="s">
        <v>3332</v>
      </c>
      <c r="E1504" t="s">
        <v>3336</v>
      </c>
    </row>
    <row r="1505" spans="1:5" x14ac:dyDescent="0.25">
      <c r="A1505" t="s">
        <v>3329</v>
      </c>
      <c r="B1505" t="s">
        <v>5629</v>
      </c>
      <c r="C1505" t="s">
        <v>5630</v>
      </c>
      <c r="D1505" t="s">
        <v>3332</v>
      </c>
      <c r="E1505" t="s">
        <v>3336</v>
      </c>
    </row>
    <row r="1506" spans="1:5" x14ac:dyDescent="0.25">
      <c r="A1506" t="s">
        <v>3329</v>
      </c>
      <c r="B1506" t="s">
        <v>5631</v>
      </c>
      <c r="C1506" t="s">
        <v>5632</v>
      </c>
      <c r="D1506" t="s">
        <v>3332</v>
      </c>
      <c r="E1506" t="s">
        <v>3339</v>
      </c>
    </row>
    <row r="1507" spans="1:5" x14ac:dyDescent="0.25">
      <c r="A1507" t="s">
        <v>3329</v>
      </c>
      <c r="B1507" t="s">
        <v>5633</v>
      </c>
      <c r="C1507" t="s">
        <v>5634</v>
      </c>
      <c r="D1507" t="s">
        <v>3332</v>
      </c>
      <c r="E1507" t="s">
        <v>3339</v>
      </c>
    </row>
    <row r="1508" spans="1:5" x14ac:dyDescent="0.25">
      <c r="A1508" t="s">
        <v>3329</v>
      </c>
      <c r="B1508" t="s">
        <v>5635</v>
      </c>
      <c r="C1508" t="s">
        <v>5636</v>
      </c>
      <c r="D1508" t="s">
        <v>3332</v>
      </c>
      <c r="E1508" t="s">
        <v>3339</v>
      </c>
    </row>
    <row r="1509" spans="1:5" x14ac:dyDescent="0.25">
      <c r="A1509" t="s">
        <v>3329</v>
      </c>
      <c r="B1509" t="str">
        <f>"724794643624"</f>
        <v>724794643624</v>
      </c>
      <c r="C1509" t="s">
        <v>5637</v>
      </c>
      <c r="D1509" t="s">
        <v>3332</v>
      </c>
      <c r="E1509" t="s">
        <v>3582</v>
      </c>
    </row>
    <row r="1510" spans="1:5" x14ac:dyDescent="0.25">
      <c r="A1510" t="s">
        <v>3329</v>
      </c>
      <c r="B1510" t="str">
        <f>"724794643617"</f>
        <v>724794643617</v>
      </c>
      <c r="C1510" t="s">
        <v>5638</v>
      </c>
      <c r="D1510" t="s">
        <v>3332</v>
      </c>
      <c r="E1510" t="s">
        <v>3582</v>
      </c>
    </row>
    <row r="1511" spans="1:5" x14ac:dyDescent="0.25">
      <c r="A1511" t="s">
        <v>3329</v>
      </c>
      <c r="B1511" t="str">
        <f>"724794643600"</f>
        <v>724794643600</v>
      </c>
      <c r="C1511" t="s">
        <v>5639</v>
      </c>
      <c r="D1511" t="s">
        <v>3332</v>
      </c>
      <c r="E1511" t="s">
        <v>3582</v>
      </c>
    </row>
    <row r="1512" spans="1:5" x14ac:dyDescent="0.25">
      <c r="A1512" t="s">
        <v>3329</v>
      </c>
      <c r="B1512" t="str">
        <f>"724794643594"</f>
        <v>724794643594</v>
      </c>
      <c r="C1512" t="s">
        <v>5640</v>
      </c>
      <c r="D1512" t="s">
        <v>3332</v>
      </c>
      <c r="E1512" t="s">
        <v>3582</v>
      </c>
    </row>
    <row r="1513" spans="1:5" x14ac:dyDescent="0.25">
      <c r="A1513" t="s">
        <v>3329</v>
      </c>
      <c r="B1513" t="str">
        <f>"724794643570"</f>
        <v>724794643570</v>
      </c>
      <c r="C1513" t="s">
        <v>5641</v>
      </c>
      <c r="D1513" t="s">
        <v>3332</v>
      </c>
      <c r="E1513" t="s">
        <v>3582</v>
      </c>
    </row>
    <row r="1514" spans="1:5" x14ac:dyDescent="0.25">
      <c r="A1514" t="s">
        <v>3329</v>
      </c>
      <c r="B1514" t="str">
        <f>"724794643495"</f>
        <v>724794643495</v>
      </c>
      <c r="C1514" t="s">
        <v>5642</v>
      </c>
      <c r="D1514" t="s">
        <v>3332</v>
      </c>
      <c r="E1514" t="s">
        <v>3582</v>
      </c>
    </row>
    <row r="1515" spans="1:5" x14ac:dyDescent="0.25">
      <c r="A1515" t="s">
        <v>3329</v>
      </c>
      <c r="B1515" t="str">
        <f>"724794643488"</f>
        <v>724794643488</v>
      </c>
      <c r="C1515" t="s">
        <v>5643</v>
      </c>
      <c r="D1515" t="s">
        <v>3332</v>
      </c>
      <c r="E1515" t="s">
        <v>3582</v>
      </c>
    </row>
    <row r="1516" spans="1:5" x14ac:dyDescent="0.25">
      <c r="A1516" t="s">
        <v>3329</v>
      </c>
      <c r="B1516" t="str">
        <f>"724794643464"</f>
        <v>724794643464</v>
      </c>
      <c r="C1516" t="s">
        <v>5644</v>
      </c>
      <c r="D1516" t="s">
        <v>3332</v>
      </c>
      <c r="E1516" t="s">
        <v>3582</v>
      </c>
    </row>
    <row r="1517" spans="1:5" x14ac:dyDescent="0.25">
      <c r="A1517" t="s">
        <v>3329</v>
      </c>
      <c r="B1517" t="str">
        <f>"724794643402"</f>
        <v>724794643402</v>
      </c>
      <c r="C1517" t="s">
        <v>5645</v>
      </c>
      <c r="D1517" t="s">
        <v>3332</v>
      </c>
      <c r="E1517" t="s">
        <v>3582</v>
      </c>
    </row>
    <row r="1518" spans="1:5" x14ac:dyDescent="0.25">
      <c r="A1518" t="s">
        <v>3329</v>
      </c>
      <c r="B1518" t="str">
        <f>"724794643396"</f>
        <v>724794643396</v>
      </c>
      <c r="C1518" t="s">
        <v>5646</v>
      </c>
      <c r="D1518" t="s">
        <v>3332</v>
      </c>
      <c r="E1518" t="s">
        <v>3582</v>
      </c>
    </row>
    <row r="1519" spans="1:5" x14ac:dyDescent="0.25">
      <c r="A1519" t="s">
        <v>3329</v>
      </c>
      <c r="B1519" t="str">
        <f>"724794643389"</f>
        <v>724794643389</v>
      </c>
      <c r="C1519" t="s">
        <v>5647</v>
      </c>
      <c r="D1519" t="s">
        <v>3332</v>
      </c>
      <c r="E1519" t="s">
        <v>3582</v>
      </c>
    </row>
    <row r="1520" spans="1:5" x14ac:dyDescent="0.25">
      <c r="A1520" t="s">
        <v>3329</v>
      </c>
      <c r="B1520" t="str">
        <f>"724794643372"</f>
        <v>724794643372</v>
      </c>
      <c r="C1520" t="s">
        <v>5648</v>
      </c>
      <c r="D1520" t="s">
        <v>3332</v>
      </c>
      <c r="E1520" t="s">
        <v>3582</v>
      </c>
    </row>
    <row r="1521" spans="1:5" x14ac:dyDescent="0.25">
      <c r="A1521" t="s">
        <v>3329</v>
      </c>
      <c r="B1521" t="s">
        <v>5649</v>
      </c>
      <c r="C1521" t="s">
        <v>5650</v>
      </c>
      <c r="D1521" t="s">
        <v>3332</v>
      </c>
      <c r="E1521" t="s">
        <v>3344</v>
      </c>
    </row>
    <row r="1522" spans="1:5" x14ac:dyDescent="0.25">
      <c r="A1522" t="s">
        <v>3329</v>
      </c>
      <c r="B1522" t="str">
        <f>"724794635902"</f>
        <v>724794635902</v>
      </c>
      <c r="C1522" t="s">
        <v>5651</v>
      </c>
      <c r="D1522" t="s">
        <v>3332</v>
      </c>
      <c r="E1522" t="s">
        <v>3344</v>
      </c>
    </row>
    <row r="1523" spans="1:5" x14ac:dyDescent="0.25">
      <c r="A1523" t="s">
        <v>3329</v>
      </c>
      <c r="B1523" t="s">
        <v>5652</v>
      </c>
      <c r="C1523" t="s">
        <v>5653</v>
      </c>
      <c r="D1523" t="s">
        <v>3332</v>
      </c>
      <c r="E1523" t="s">
        <v>3336</v>
      </c>
    </row>
    <row r="1524" spans="1:5" x14ac:dyDescent="0.25">
      <c r="A1524" t="s">
        <v>3329</v>
      </c>
      <c r="B1524" t="s">
        <v>5654</v>
      </c>
      <c r="C1524" t="s">
        <v>5655</v>
      </c>
      <c r="D1524" t="s">
        <v>3332</v>
      </c>
      <c r="E1524" t="s">
        <v>3336</v>
      </c>
    </row>
    <row r="1525" spans="1:5" x14ac:dyDescent="0.25">
      <c r="A1525" t="s">
        <v>3329</v>
      </c>
      <c r="B1525" t="s">
        <v>5656</v>
      </c>
      <c r="C1525" t="s">
        <v>5657</v>
      </c>
      <c r="D1525" t="s">
        <v>3332</v>
      </c>
      <c r="E1525" t="s">
        <v>3336</v>
      </c>
    </row>
    <row r="1526" spans="1:5" x14ac:dyDescent="0.25">
      <c r="A1526" t="s">
        <v>3329</v>
      </c>
      <c r="B1526" t="s">
        <v>5658</v>
      </c>
      <c r="C1526" t="s">
        <v>5659</v>
      </c>
      <c r="D1526" t="s">
        <v>3332</v>
      </c>
      <c r="E1526" t="s">
        <v>3336</v>
      </c>
    </row>
    <row r="1527" spans="1:5" x14ac:dyDescent="0.25">
      <c r="A1527" t="s">
        <v>3329</v>
      </c>
      <c r="B1527" t="str">
        <f>"724794634332"</f>
        <v>724794634332</v>
      </c>
      <c r="C1527" t="s">
        <v>5660</v>
      </c>
      <c r="D1527" t="s">
        <v>3332</v>
      </c>
      <c r="E1527" t="s">
        <v>3339</v>
      </c>
    </row>
    <row r="1528" spans="1:5" x14ac:dyDescent="0.25">
      <c r="A1528" t="s">
        <v>3329</v>
      </c>
      <c r="B1528" t="s">
        <v>5661</v>
      </c>
      <c r="C1528" t="s">
        <v>5662</v>
      </c>
      <c r="D1528" t="s">
        <v>3332</v>
      </c>
      <c r="E1528" t="s">
        <v>3339</v>
      </c>
    </row>
    <row r="1529" spans="1:5" x14ac:dyDescent="0.25">
      <c r="A1529" t="s">
        <v>3329</v>
      </c>
      <c r="B1529" t="str">
        <f>"724794627457"</f>
        <v>724794627457</v>
      </c>
      <c r="C1529" t="s">
        <v>5663</v>
      </c>
      <c r="D1529" t="s">
        <v>3332</v>
      </c>
      <c r="E1529" t="s">
        <v>3344</v>
      </c>
    </row>
    <row r="1530" spans="1:5" x14ac:dyDescent="0.25">
      <c r="A1530" t="s">
        <v>3329</v>
      </c>
      <c r="B1530" t="str">
        <f>"724794626955"</f>
        <v>724794626955</v>
      </c>
      <c r="C1530" t="s">
        <v>5664</v>
      </c>
      <c r="D1530" t="s">
        <v>3332</v>
      </c>
      <c r="E1530" t="s">
        <v>3344</v>
      </c>
    </row>
    <row r="1531" spans="1:5" x14ac:dyDescent="0.25">
      <c r="A1531" t="s">
        <v>3329</v>
      </c>
      <c r="B1531" t="str">
        <f>"724794626948"</f>
        <v>724794626948</v>
      </c>
      <c r="C1531" t="s">
        <v>5665</v>
      </c>
      <c r="D1531" t="s">
        <v>3332</v>
      </c>
      <c r="E1531" t="s">
        <v>3344</v>
      </c>
    </row>
    <row r="1532" spans="1:5" x14ac:dyDescent="0.25">
      <c r="A1532" t="s">
        <v>3329</v>
      </c>
      <c r="B1532" t="str">
        <f>"724794596289"</f>
        <v>724794596289</v>
      </c>
      <c r="C1532" t="s">
        <v>5666</v>
      </c>
      <c r="D1532" t="s">
        <v>3332</v>
      </c>
      <c r="E1532" t="s">
        <v>3344</v>
      </c>
    </row>
    <row r="1533" spans="1:5" x14ac:dyDescent="0.25">
      <c r="A1533" t="s">
        <v>3329</v>
      </c>
      <c r="B1533" t="s">
        <v>5667</v>
      </c>
      <c r="C1533" t="s">
        <v>5668</v>
      </c>
      <c r="D1533" t="s">
        <v>3332</v>
      </c>
      <c r="E1533" t="s">
        <v>3582</v>
      </c>
    </row>
    <row r="1534" spans="1:5" x14ac:dyDescent="0.25">
      <c r="A1534" t="s">
        <v>3329</v>
      </c>
      <c r="B1534" t="s">
        <v>5669</v>
      </c>
      <c r="C1534" t="s">
        <v>5668</v>
      </c>
      <c r="D1534" t="s">
        <v>3332</v>
      </c>
      <c r="E1534" t="s">
        <v>3582</v>
      </c>
    </row>
    <row r="1535" spans="1:5" x14ac:dyDescent="0.25">
      <c r="A1535" t="s">
        <v>3329</v>
      </c>
      <c r="B1535" t="s">
        <v>5670</v>
      </c>
      <c r="C1535" t="s">
        <v>5668</v>
      </c>
      <c r="D1535" t="s">
        <v>3332</v>
      </c>
      <c r="E1535" t="s">
        <v>3582</v>
      </c>
    </row>
    <row r="1536" spans="1:5" x14ac:dyDescent="0.25">
      <c r="A1536" t="s">
        <v>3329</v>
      </c>
      <c r="B1536" t="s">
        <v>5671</v>
      </c>
      <c r="C1536" t="s">
        <v>5668</v>
      </c>
      <c r="D1536" t="s">
        <v>3332</v>
      </c>
      <c r="E1536" t="s">
        <v>3582</v>
      </c>
    </row>
    <row r="1537" spans="1:5" x14ac:dyDescent="0.25">
      <c r="A1537" t="s">
        <v>3329</v>
      </c>
      <c r="B1537" t="s">
        <v>5672</v>
      </c>
      <c r="C1537" t="s">
        <v>5673</v>
      </c>
      <c r="D1537" t="s">
        <v>3332</v>
      </c>
      <c r="E1537" t="s">
        <v>3582</v>
      </c>
    </row>
    <row r="1538" spans="1:5" x14ac:dyDescent="0.25">
      <c r="A1538" t="s">
        <v>3329</v>
      </c>
      <c r="B1538" t="s">
        <v>5674</v>
      </c>
      <c r="C1538" t="s">
        <v>5673</v>
      </c>
      <c r="D1538" t="s">
        <v>3332</v>
      </c>
      <c r="E1538" t="s">
        <v>3582</v>
      </c>
    </row>
    <row r="1539" spans="1:5" x14ac:dyDescent="0.25">
      <c r="A1539" t="s">
        <v>3329</v>
      </c>
      <c r="B1539" t="s">
        <v>5675</v>
      </c>
      <c r="C1539" t="s">
        <v>5673</v>
      </c>
      <c r="D1539" t="s">
        <v>3332</v>
      </c>
      <c r="E1539" t="s">
        <v>3582</v>
      </c>
    </row>
    <row r="1540" spans="1:5" x14ac:dyDescent="0.25">
      <c r="A1540" t="s">
        <v>3329</v>
      </c>
      <c r="B1540" t="s">
        <v>5676</v>
      </c>
      <c r="C1540" t="s">
        <v>5673</v>
      </c>
      <c r="D1540" t="s">
        <v>3332</v>
      </c>
      <c r="E1540" t="s">
        <v>3582</v>
      </c>
    </row>
    <row r="1541" spans="1:5" x14ac:dyDescent="0.25">
      <c r="A1541" t="s">
        <v>3329</v>
      </c>
      <c r="B1541" t="str">
        <f>"724794591178"</f>
        <v>724794591178</v>
      </c>
      <c r="C1541" t="s">
        <v>5677</v>
      </c>
      <c r="D1541" t="s">
        <v>3332</v>
      </c>
      <c r="E1541" t="s">
        <v>3582</v>
      </c>
    </row>
    <row r="1542" spans="1:5" x14ac:dyDescent="0.25">
      <c r="A1542" t="s">
        <v>3329</v>
      </c>
      <c r="B1542" t="str">
        <f>"724794591147"</f>
        <v>724794591147</v>
      </c>
      <c r="C1542" t="s">
        <v>5678</v>
      </c>
      <c r="D1542" t="s">
        <v>3332</v>
      </c>
      <c r="E1542" t="s">
        <v>3582</v>
      </c>
    </row>
    <row r="1543" spans="1:5" x14ac:dyDescent="0.25">
      <c r="A1543" t="s">
        <v>3329</v>
      </c>
      <c r="B1543" t="str">
        <f>"724794591123"</f>
        <v>724794591123</v>
      </c>
      <c r="C1543" t="s">
        <v>5679</v>
      </c>
      <c r="D1543" t="s">
        <v>3332</v>
      </c>
      <c r="E1543" t="s">
        <v>3582</v>
      </c>
    </row>
    <row r="1544" spans="1:5" x14ac:dyDescent="0.25">
      <c r="A1544" t="s">
        <v>3329</v>
      </c>
      <c r="B1544" t="str">
        <f>"724794591116"</f>
        <v>724794591116</v>
      </c>
      <c r="C1544" t="s">
        <v>5680</v>
      </c>
      <c r="D1544" t="s">
        <v>3332</v>
      </c>
      <c r="E1544" t="s">
        <v>3582</v>
      </c>
    </row>
    <row r="1545" spans="1:5" x14ac:dyDescent="0.25">
      <c r="A1545" t="s">
        <v>3329</v>
      </c>
      <c r="B1545" t="str">
        <f>"724794591093"</f>
        <v>724794591093</v>
      </c>
      <c r="C1545" t="s">
        <v>5681</v>
      </c>
      <c r="D1545" t="s">
        <v>3332</v>
      </c>
      <c r="E1545" t="s">
        <v>3582</v>
      </c>
    </row>
    <row r="1546" spans="1:5" x14ac:dyDescent="0.25">
      <c r="A1546" t="s">
        <v>3329</v>
      </c>
      <c r="B1546" t="str">
        <f>"724794591086"</f>
        <v>724794591086</v>
      </c>
      <c r="C1546" t="s">
        <v>5682</v>
      </c>
      <c r="D1546" t="s">
        <v>3332</v>
      </c>
      <c r="E1546" t="s">
        <v>3582</v>
      </c>
    </row>
    <row r="1547" spans="1:5" x14ac:dyDescent="0.25">
      <c r="A1547" t="s">
        <v>3329</v>
      </c>
      <c r="B1547" t="str">
        <f>"724794591062"</f>
        <v>724794591062</v>
      </c>
      <c r="C1547" t="s">
        <v>5683</v>
      </c>
      <c r="D1547" t="s">
        <v>3332</v>
      </c>
      <c r="E1547" t="s">
        <v>3582</v>
      </c>
    </row>
    <row r="1548" spans="1:5" x14ac:dyDescent="0.25">
      <c r="A1548" t="s">
        <v>3329</v>
      </c>
      <c r="B1548" t="str">
        <f>"724794590751"</f>
        <v>724794590751</v>
      </c>
      <c r="C1548" t="s">
        <v>5684</v>
      </c>
      <c r="D1548" t="s">
        <v>3332</v>
      </c>
      <c r="E1548" t="s">
        <v>3582</v>
      </c>
    </row>
    <row r="1549" spans="1:5" x14ac:dyDescent="0.25">
      <c r="A1549" t="s">
        <v>3329</v>
      </c>
      <c r="B1549" t="s">
        <v>5685</v>
      </c>
      <c r="C1549" t="s">
        <v>5686</v>
      </c>
      <c r="D1549" t="s">
        <v>3332</v>
      </c>
      <c r="E1549" t="s">
        <v>3582</v>
      </c>
    </row>
    <row r="1550" spans="1:5" x14ac:dyDescent="0.25">
      <c r="A1550" t="s">
        <v>3329</v>
      </c>
      <c r="B1550" t="s">
        <v>5687</v>
      </c>
      <c r="C1550" t="s">
        <v>5686</v>
      </c>
      <c r="D1550" t="s">
        <v>3332</v>
      </c>
      <c r="E1550" t="s">
        <v>3582</v>
      </c>
    </row>
    <row r="1551" spans="1:5" x14ac:dyDescent="0.25">
      <c r="A1551" t="s">
        <v>3329</v>
      </c>
      <c r="B1551" t="s">
        <v>5688</v>
      </c>
      <c r="C1551" t="s">
        <v>5686</v>
      </c>
      <c r="D1551" t="s">
        <v>3332</v>
      </c>
      <c r="E1551" t="s">
        <v>3582</v>
      </c>
    </row>
    <row r="1552" spans="1:5" x14ac:dyDescent="0.25">
      <c r="A1552" t="s">
        <v>3329</v>
      </c>
      <c r="B1552" t="str">
        <f>"724794590652"</f>
        <v>724794590652</v>
      </c>
      <c r="C1552" t="s">
        <v>5689</v>
      </c>
      <c r="D1552" t="s">
        <v>3332</v>
      </c>
      <c r="E1552" t="s">
        <v>3582</v>
      </c>
    </row>
    <row r="1553" spans="1:5" x14ac:dyDescent="0.25">
      <c r="A1553" t="s">
        <v>3329</v>
      </c>
      <c r="B1553" t="str">
        <f>"724794590645"</f>
        <v>724794590645</v>
      </c>
      <c r="C1553" t="s">
        <v>5690</v>
      </c>
      <c r="D1553" t="s">
        <v>3332</v>
      </c>
      <c r="E1553" t="s">
        <v>3582</v>
      </c>
    </row>
    <row r="1554" spans="1:5" x14ac:dyDescent="0.25">
      <c r="A1554" t="s">
        <v>3329</v>
      </c>
      <c r="B1554" t="str">
        <f>"724794590621"</f>
        <v>724794590621</v>
      </c>
      <c r="C1554" t="s">
        <v>5691</v>
      </c>
      <c r="D1554" t="s">
        <v>3332</v>
      </c>
      <c r="E1554" t="s">
        <v>3582</v>
      </c>
    </row>
    <row r="1555" spans="1:5" x14ac:dyDescent="0.25">
      <c r="A1555" t="s">
        <v>3329</v>
      </c>
      <c r="B1555" t="str">
        <f>"724794569542"</f>
        <v>724794569542</v>
      </c>
      <c r="C1555" t="s">
        <v>5692</v>
      </c>
      <c r="D1555" t="s">
        <v>3332</v>
      </c>
      <c r="E1555" t="s">
        <v>3336</v>
      </c>
    </row>
    <row r="1556" spans="1:5" x14ac:dyDescent="0.25">
      <c r="A1556" t="s">
        <v>3329</v>
      </c>
      <c r="B1556" t="s">
        <v>5693</v>
      </c>
      <c r="C1556" t="s">
        <v>5694</v>
      </c>
      <c r="D1556" t="s">
        <v>3332</v>
      </c>
      <c r="E1556" t="s">
        <v>3336</v>
      </c>
    </row>
    <row r="1557" spans="1:5" x14ac:dyDescent="0.25">
      <c r="A1557" t="s">
        <v>3329</v>
      </c>
      <c r="B1557" t="s">
        <v>5695</v>
      </c>
      <c r="C1557" t="s">
        <v>5696</v>
      </c>
      <c r="D1557" t="s">
        <v>3332</v>
      </c>
      <c r="E1557" t="s">
        <v>3336</v>
      </c>
    </row>
    <row r="1558" spans="1:5" x14ac:dyDescent="0.25">
      <c r="A1558" t="s">
        <v>3329</v>
      </c>
      <c r="B1558" t="s">
        <v>5697</v>
      </c>
      <c r="C1558" t="s">
        <v>5698</v>
      </c>
      <c r="D1558" t="s">
        <v>3332</v>
      </c>
      <c r="E1558" t="s">
        <v>3336</v>
      </c>
    </row>
    <row r="1559" spans="1:5" x14ac:dyDescent="0.25">
      <c r="A1559" t="s">
        <v>3329</v>
      </c>
      <c r="B1559" t="s">
        <v>5699</v>
      </c>
      <c r="C1559" t="s">
        <v>5700</v>
      </c>
      <c r="D1559" t="s">
        <v>3332</v>
      </c>
      <c r="E1559" t="s">
        <v>3336</v>
      </c>
    </row>
    <row r="1560" spans="1:5" x14ac:dyDescent="0.25">
      <c r="A1560" t="s">
        <v>3329</v>
      </c>
      <c r="B1560" t="s">
        <v>5701</v>
      </c>
      <c r="C1560" t="s">
        <v>5702</v>
      </c>
      <c r="D1560" t="s">
        <v>3332</v>
      </c>
      <c r="E1560" t="s">
        <v>3336</v>
      </c>
    </row>
    <row r="1561" spans="1:5" x14ac:dyDescent="0.25">
      <c r="A1561" t="s">
        <v>3329</v>
      </c>
      <c r="B1561" t="str">
        <f>"724794552766"</f>
        <v>724794552766</v>
      </c>
      <c r="C1561" t="s">
        <v>5703</v>
      </c>
      <c r="D1561" t="s">
        <v>3332</v>
      </c>
      <c r="E1561" t="s">
        <v>3336</v>
      </c>
    </row>
    <row r="1562" spans="1:5" x14ac:dyDescent="0.25">
      <c r="A1562" t="s">
        <v>3329</v>
      </c>
      <c r="B1562" t="str">
        <f>"724794552742"</f>
        <v>724794552742</v>
      </c>
      <c r="C1562" t="s">
        <v>5704</v>
      </c>
      <c r="D1562" t="s">
        <v>3332</v>
      </c>
      <c r="E1562" t="s">
        <v>3336</v>
      </c>
    </row>
    <row r="1563" spans="1:5" x14ac:dyDescent="0.25">
      <c r="A1563" t="s">
        <v>3329</v>
      </c>
      <c r="B1563" t="str">
        <f>"724794552735"</f>
        <v>724794552735</v>
      </c>
      <c r="C1563" t="s">
        <v>5705</v>
      </c>
      <c r="D1563" t="s">
        <v>3332</v>
      </c>
      <c r="E1563" t="s">
        <v>3336</v>
      </c>
    </row>
    <row r="1564" spans="1:5" x14ac:dyDescent="0.25">
      <c r="A1564" t="s">
        <v>3329</v>
      </c>
      <c r="B1564" t="str">
        <f>"724794552728"</f>
        <v>724794552728</v>
      </c>
      <c r="C1564" t="s">
        <v>5706</v>
      </c>
      <c r="D1564" t="s">
        <v>3332</v>
      </c>
      <c r="E1564" t="s">
        <v>3336</v>
      </c>
    </row>
    <row r="1565" spans="1:5" x14ac:dyDescent="0.25">
      <c r="A1565" t="s">
        <v>3329</v>
      </c>
      <c r="B1565" t="str">
        <f>"724794552599"</f>
        <v>724794552599</v>
      </c>
      <c r="C1565" t="s">
        <v>5707</v>
      </c>
      <c r="D1565" t="s">
        <v>3332</v>
      </c>
      <c r="E1565" t="s">
        <v>3336</v>
      </c>
    </row>
    <row r="1566" spans="1:5" x14ac:dyDescent="0.25">
      <c r="A1566" t="s">
        <v>3329</v>
      </c>
      <c r="B1566" t="str">
        <f>"724794552582"</f>
        <v>724794552582</v>
      </c>
      <c r="C1566" t="s">
        <v>5708</v>
      </c>
      <c r="D1566" t="s">
        <v>3332</v>
      </c>
      <c r="E1566" t="s">
        <v>3336</v>
      </c>
    </row>
    <row r="1567" spans="1:5" x14ac:dyDescent="0.25">
      <c r="A1567" t="s">
        <v>3329</v>
      </c>
      <c r="B1567" t="str">
        <f>"724794552575"</f>
        <v>724794552575</v>
      </c>
      <c r="C1567" t="s">
        <v>5709</v>
      </c>
      <c r="D1567" t="s">
        <v>3332</v>
      </c>
      <c r="E1567" t="s">
        <v>3336</v>
      </c>
    </row>
    <row r="1568" spans="1:5" x14ac:dyDescent="0.25">
      <c r="A1568" t="s">
        <v>3329</v>
      </c>
      <c r="B1568" t="s">
        <v>5710</v>
      </c>
      <c r="C1568" t="s">
        <v>5711</v>
      </c>
      <c r="D1568" t="s">
        <v>3332</v>
      </c>
      <c r="E1568" t="s">
        <v>3336</v>
      </c>
    </row>
    <row r="1569" spans="1:5" x14ac:dyDescent="0.25">
      <c r="A1569" t="s">
        <v>3329</v>
      </c>
      <c r="B1569" t="s">
        <v>5712</v>
      </c>
      <c r="C1569" t="s">
        <v>5713</v>
      </c>
      <c r="D1569" t="s">
        <v>3332</v>
      </c>
      <c r="E1569" t="s">
        <v>3336</v>
      </c>
    </row>
    <row r="1570" spans="1:5" x14ac:dyDescent="0.25">
      <c r="A1570" t="s">
        <v>3329</v>
      </c>
      <c r="B1570" t="s">
        <v>5714</v>
      </c>
      <c r="C1570" t="s">
        <v>5715</v>
      </c>
      <c r="D1570" t="s">
        <v>3332</v>
      </c>
      <c r="E1570" t="s">
        <v>3336</v>
      </c>
    </row>
    <row r="1571" spans="1:5" x14ac:dyDescent="0.25">
      <c r="A1571" t="s">
        <v>3329</v>
      </c>
      <c r="B1571" t="str">
        <f>"724794551066"</f>
        <v>724794551066</v>
      </c>
      <c r="C1571" t="s">
        <v>5716</v>
      </c>
      <c r="D1571" t="s">
        <v>3332</v>
      </c>
      <c r="E1571" t="s">
        <v>3336</v>
      </c>
    </row>
    <row r="1572" spans="1:5" x14ac:dyDescent="0.25">
      <c r="A1572" t="s">
        <v>3329</v>
      </c>
      <c r="B1572" t="str">
        <f>"724794550557"</f>
        <v>724794550557</v>
      </c>
      <c r="C1572" t="s">
        <v>5717</v>
      </c>
      <c r="D1572" t="s">
        <v>3332</v>
      </c>
      <c r="E1572" t="s">
        <v>3336</v>
      </c>
    </row>
    <row r="1573" spans="1:5" x14ac:dyDescent="0.25">
      <c r="A1573" t="s">
        <v>3329</v>
      </c>
      <c r="B1573" t="str">
        <f>"724794550540"</f>
        <v>724794550540</v>
      </c>
      <c r="C1573" t="s">
        <v>5718</v>
      </c>
      <c r="D1573" t="s">
        <v>3332</v>
      </c>
      <c r="E1573" t="s">
        <v>3336</v>
      </c>
    </row>
    <row r="1574" spans="1:5" x14ac:dyDescent="0.25">
      <c r="A1574" t="s">
        <v>3329</v>
      </c>
      <c r="B1574" t="str">
        <f>"724794548554"</f>
        <v>724794548554</v>
      </c>
      <c r="C1574" t="s">
        <v>5719</v>
      </c>
      <c r="D1574" t="s">
        <v>3332</v>
      </c>
      <c r="E1574" t="s">
        <v>3336</v>
      </c>
    </row>
    <row r="1575" spans="1:5" x14ac:dyDescent="0.25">
      <c r="A1575" t="s">
        <v>3329</v>
      </c>
      <c r="B1575" t="str">
        <f>"724794548530"</f>
        <v>724794548530</v>
      </c>
      <c r="C1575" t="s">
        <v>5720</v>
      </c>
      <c r="D1575" t="s">
        <v>3332</v>
      </c>
      <c r="E1575" t="s">
        <v>3336</v>
      </c>
    </row>
    <row r="1576" spans="1:5" x14ac:dyDescent="0.25">
      <c r="A1576" t="s">
        <v>3329</v>
      </c>
      <c r="B1576" t="str">
        <f>"724794548523"</f>
        <v>724794548523</v>
      </c>
      <c r="C1576" t="s">
        <v>5721</v>
      </c>
      <c r="D1576" t="s">
        <v>3332</v>
      </c>
      <c r="E1576" t="s">
        <v>3336</v>
      </c>
    </row>
    <row r="1577" spans="1:5" x14ac:dyDescent="0.25">
      <c r="A1577" t="s">
        <v>3329</v>
      </c>
      <c r="B1577" t="s">
        <v>5722</v>
      </c>
      <c r="C1577" t="s">
        <v>5723</v>
      </c>
      <c r="D1577" t="s">
        <v>3332</v>
      </c>
      <c r="E1577" t="s">
        <v>3336</v>
      </c>
    </row>
    <row r="1578" spans="1:5" x14ac:dyDescent="0.25">
      <c r="A1578" t="s">
        <v>3329</v>
      </c>
      <c r="B1578" t="str">
        <f>"724794540039"</f>
        <v>724794540039</v>
      </c>
      <c r="C1578" t="s">
        <v>5724</v>
      </c>
      <c r="D1578" t="s">
        <v>3332</v>
      </c>
      <c r="E1578" t="s">
        <v>3336</v>
      </c>
    </row>
    <row r="1579" spans="1:5" x14ac:dyDescent="0.25">
      <c r="A1579" t="s">
        <v>3329</v>
      </c>
      <c r="B1579" t="str">
        <f>"724794540022"</f>
        <v>724794540022</v>
      </c>
      <c r="C1579" t="s">
        <v>5725</v>
      </c>
      <c r="D1579" t="s">
        <v>3332</v>
      </c>
      <c r="E1579" t="s">
        <v>3336</v>
      </c>
    </row>
    <row r="1580" spans="1:5" x14ac:dyDescent="0.25">
      <c r="A1580" t="s">
        <v>3329</v>
      </c>
      <c r="B1580" t="str">
        <f>"724794540015"</f>
        <v>724794540015</v>
      </c>
      <c r="C1580" t="s">
        <v>5726</v>
      </c>
      <c r="D1580" t="s">
        <v>3332</v>
      </c>
      <c r="E1580" t="s">
        <v>3336</v>
      </c>
    </row>
    <row r="1581" spans="1:5" x14ac:dyDescent="0.25">
      <c r="A1581" t="s">
        <v>3329</v>
      </c>
      <c r="B1581" t="s">
        <v>5727</v>
      </c>
      <c r="C1581" t="s">
        <v>5728</v>
      </c>
      <c r="D1581" t="s">
        <v>3332</v>
      </c>
      <c r="E1581" t="s">
        <v>3336</v>
      </c>
    </row>
    <row r="1582" spans="1:5" x14ac:dyDescent="0.25">
      <c r="A1582" t="s">
        <v>3329</v>
      </c>
      <c r="B1582" t="s">
        <v>5729</v>
      </c>
      <c r="C1582" t="s">
        <v>5730</v>
      </c>
      <c r="D1582" t="s">
        <v>3332</v>
      </c>
      <c r="E1582" t="s">
        <v>3336</v>
      </c>
    </row>
    <row r="1583" spans="1:5" x14ac:dyDescent="0.25">
      <c r="A1583" t="s">
        <v>3329</v>
      </c>
      <c r="B1583" t="s">
        <v>5731</v>
      </c>
      <c r="C1583" t="s">
        <v>5732</v>
      </c>
      <c r="D1583" t="s">
        <v>3332</v>
      </c>
      <c r="E1583" t="s">
        <v>3336</v>
      </c>
    </row>
    <row r="1584" spans="1:5" x14ac:dyDescent="0.25">
      <c r="A1584" t="s">
        <v>3329</v>
      </c>
      <c r="B1584" t="s">
        <v>5733</v>
      </c>
      <c r="C1584" t="s">
        <v>5734</v>
      </c>
      <c r="D1584" t="s">
        <v>3332</v>
      </c>
      <c r="E1584" t="s">
        <v>3336</v>
      </c>
    </row>
    <row r="1585" spans="1:5" x14ac:dyDescent="0.25">
      <c r="A1585" t="s">
        <v>3329</v>
      </c>
      <c r="B1585" t="s">
        <v>5735</v>
      </c>
      <c r="C1585" t="s">
        <v>5736</v>
      </c>
      <c r="D1585" t="s">
        <v>3332</v>
      </c>
      <c r="E1585" t="s">
        <v>3336</v>
      </c>
    </row>
    <row r="1586" spans="1:5" x14ac:dyDescent="0.25">
      <c r="A1586" t="s">
        <v>3329</v>
      </c>
      <c r="B1586" t="s">
        <v>5737</v>
      </c>
      <c r="C1586" t="s">
        <v>5738</v>
      </c>
      <c r="D1586" t="s">
        <v>3332</v>
      </c>
      <c r="E1586" t="s">
        <v>3336</v>
      </c>
    </row>
    <row r="1587" spans="1:5" x14ac:dyDescent="0.25">
      <c r="A1587" t="s">
        <v>3329</v>
      </c>
      <c r="B1587" t="s">
        <v>5739</v>
      </c>
      <c r="C1587" t="s">
        <v>5740</v>
      </c>
      <c r="D1587" t="s">
        <v>3332</v>
      </c>
      <c r="E1587" t="s">
        <v>3336</v>
      </c>
    </row>
    <row r="1588" spans="1:5" x14ac:dyDescent="0.25">
      <c r="A1588" t="s">
        <v>3329</v>
      </c>
      <c r="B1588" t="s">
        <v>5741</v>
      </c>
      <c r="C1588" t="s">
        <v>5742</v>
      </c>
      <c r="D1588" t="s">
        <v>3332</v>
      </c>
      <c r="E1588" t="s">
        <v>3336</v>
      </c>
    </row>
    <row r="1589" spans="1:5" x14ac:dyDescent="0.25">
      <c r="A1589" t="s">
        <v>3329</v>
      </c>
      <c r="B1589" t="s">
        <v>5743</v>
      </c>
      <c r="C1589" t="s">
        <v>5744</v>
      </c>
      <c r="D1589" t="s">
        <v>3332</v>
      </c>
      <c r="E1589" t="s">
        <v>3336</v>
      </c>
    </row>
    <row r="1590" spans="1:5" x14ac:dyDescent="0.25">
      <c r="A1590" t="s">
        <v>3329</v>
      </c>
      <c r="B1590" t="s">
        <v>5745</v>
      </c>
      <c r="C1590" t="s">
        <v>5746</v>
      </c>
      <c r="D1590" t="s">
        <v>3332</v>
      </c>
      <c r="E1590" t="s">
        <v>3336</v>
      </c>
    </row>
    <row r="1591" spans="1:5" x14ac:dyDescent="0.25">
      <c r="A1591" t="s">
        <v>3329</v>
      </c>
      <c r="B1591" t="s">
        <v>5747</v>
      </c>
      <c r="C1591" t="s">
        <v>5748</v>
      </c>
      <c r="D1591" t="s">
        <v>3332</v>
      </c>
      <c r="E1591" t="s">
        <v>3336</v>
      </c>
    </row>
    <row r="1592" spans="1:5" x14ac:dyDescent="0.25">
      <c r="A1592" t="s">
        <v>3329</v>
      </c>
      <c r="B1592" t="s">
        <v>5749</v>
      </c>
      <c r="C1592" t="s">
        <v>5750</v>
      </c>
      <c r="D1592" t="s">
        <v>3332</v>
      </c>
      <c r="E1592" t="s">
        <v>3336</v>
      </c>
    </row>
    <row r="1593" spans="1:5" x14ac:dyDescent="0.25">
      <c r="A1593" t="s">
        <v>3329</v>
      </c>
      <c r="B1593" t="s">
        <v>5751</v>
      </c>
      <c r="C1593" t="s">
        <v>5752</v>
      </c>
      <c r="D1593" t="s">
        <v>3332</v>
      </c>
      <c r="E1593" t="s">
        <v>3336</v>
      </c>
    </row>
    <row r="1594" spans="1:5" x14ac:dyDescent="0.25">
      <c r="A1594" t="s">
        <v>3329</v>
      </c>
      <c r="B1594" t="s">
        <v>5753</v>
      </c>
      <c r="C1594" t="s">
        <v>5754</v>
      </c>
      <c r="D1594" t="s">
        <v>3332</v>
      </c>
      <c r="E1594" t="s">
        <v>3336</v>
      </c>
    </row>
    <row r="1595" spans="1:5" x14ac:dyDescent="0.25">
      <c r="A1595" t="s">
        <v>3329</v>
      </c>
      <c r="B1595" t="s">
        <v>5755</v>
      </c>
      <c r="C1595" t="s">
        <v>5756</v>
      </c>
      <c r="D1595" t="s">
        <v>3332</v>
      </c>
      <c r="E1595" t="s">
        <v>3336</v>
      </c>
    </row>
    <row r="1596" spans="1:5" x14ac:dyDescent="0.25">
      <c r="A1596" t="s">
        <v>3329</v>
      </c>
      <c r="B1596" t="s">
        <v>5757</v>
      </c>
      <c r="C1596" t="s">
        <v>5758</v>
      </c>
      <c r="D1596" t="s">
        <v>3332</v>
      </c>
      <c r="E1596" t="s">
        <v>3336</v>
      </c>
    </row>
    <row r="1597" spans="1:5" x14ac:dyDescent="0.25">
      <c r="A1597" t="s">
        <v>3329</v>
      </c>
      <c r="B1597" t="s">
        <v>5759</v>
      </c>
      <c r="C1597" t="s">
        <v>5760</v>
      </c>
      <c r="D1597" t="s">
        <v>3332</v>
      </c>
      <c r="E1597" t="s">
        <v>3336</v>
      </c>
    </row>
    <row r="1598" spans="1:5" x14ac:dyDescent="0.25">
      <c r="A1598" t="s">
        <v>3329</v>
      </c>
      <c r="B1598" t="s">
        <v>5761</v>
      </c>
      <c r="C1598" t="s">
        <v>5762</v>
      </c>
      <c r="D1598" t="s">
        <v>3332</v>
      </c>
      <c r="E1598" t="s">
        <v>3336</v>
      </c>
    </row>
    <row r="1599" spans="1:5" x14ac:dyDescent="0.25">
      <c r="A1599" t="s">
        <v>3329</v>
      </c>
      <c r="B1599" t="s">
        <v>5763</v>
      </c>
      <c r="C1599" t="s">
        <v>5764</v>
      </c>
      <c r="D1599" t="s">
        <v>3332</v>
      </c>
      <c r="E1599" t="s">
        <v>3336</v>
      </c>
    </row>
    <row r="1600" spans="1:5" x14ac:dyDescent="0.25">
      <c r="A1600" t="s">
        <v>3329</v>
      </c>
      <c r="B1600" t="s">
        <v>5765</v>
      </c>
      <c r="C1600" t="s">
        <v>5766</v>
      </c>
      <c r="D1600" t="s">
        <v>3332</v>
      </c>
      <c r="E1600" t="s">
        <v>3336</v>
      </c>
    </row>
    <row r="1601" spans="1:5" x14ac:dyDescent="0.25">
      <c r="A1601" t="s">
        <v>3329</v>
      </c>
      <c r="B1601" t="str">
        <f>"724794517031"</f>
        <v>724794517031</v>
      </c>
      <c r="C1601" t="s">
        <v>5767</v>
      </c>
      <c r="D1601" t="s">
        <v>3332</v>
      </c>
      <c r="E1601" t="s">
        <v>3336</v>
      </c>
    </row>
    <row r="1602" spans="1:5" x14ac:dyDescent="0.25">
      <c r="A1602" t="s">
        <v>3329</v>
      </c>
      <c r="B1602" t="str">
        <f>"724794517024"</f>
        <v>724794517024</v>
      </c>
      <c r="C1602" t="s">
        <v>5768</v>
      </c>
      <c r="D1602" t="s">
        <v>3332</v>
      </c>
      <c r="E1602" t="s">
        <v>3336</v>
      </c>
    </row>
    <row r="1603" spans="1:5" x14ac:dyDescent="0.25">
      <c r="A1603" t="s">
        <v>3329</v>
      </c>
      <c r="B1603" t="str">
        <f>"724794517017"</f>
        <v>724794517017</v>
      </c>
      <c r="C1603" t="s">
        <v>5769</v>
      </c>
      <c r="D1603" t="s">
        <v>3332</v>
      </c>
      <c r="E1603" t="s">
        <v>3336</v>
      </c>
    </row>
    <row r="1604" spans="1:5" x14ac:dyDescent="0.25">
      <c r="A1604" t="s">
        <v>3329</v>
      </c>
      <c r="B1604" t="str">
        <f>"724794517000"</f>
        <v>724794517000</v>
      </c>
      <c r="C1604" t="s">
        <v>5770</v>
      </c>
      <c r="D1604" t="s">
        <v>3332</v>
      </c>
      <c r="E1604" t="s">
        <v>3336</v>
      </c>
    </row>
    <row r="1605" spans="1:5" x14ac:dyDescent="0.25">
      <c r="A1605" t="s">
        <v>3329</v>
      </c>
      <c r="B1605" t="str">
        <f>"724794498033"</f>
        <v>724794498033</v>
      </c>
      <c r="C1605" t="s">
        <v>5771</v>
      </c>
      <c r="D1605" t="s">
        <v>3332</v>
      </c>
      <c r="E1605" t="s">
        <v>3333</v>
      </c>
    </row>
    <row r="1606" spans="1:5" x14ac:dyDescent="0.25">
      <c r="A1606" t="s">
        <v>3329</v>
      </c>
      <c r="B1606" t="str">
        <f>"724794482223"</f>
        <v>724794482223</v>
      </c>
      <c r="C1606" t="s">
        <v>5772</v>
      </c>
      <c r="D1606" t="s">
        <v>3332</v>
      </c>
      <c r="E1606" t="s">
        <v>3582</v>
      </c>
    </row>
    <row r="1607" spans="1:5" x14ac:dyDescent="0.25">
      <c r="A1607" t="s">
        <v>3329</v>
      </c>
      <c r="B1607" t="str">
        <f>"724794482209"</f>
        <v>724794482209</v>
      </c>
      <c r="C1607" t="s">
        <v>5773</v>
      </c>
      <c r="D1607" t="s">
        <v>3332</v>
      </c>
      <c r="E1607" t="s">
        <v>3333</v>
      </c>
    </row>
    <row r="1608" spans="1:5" x14ac:dyDescent="0.25">
      <c r="A1608" t="s">
        <v>3329</v>
      </c>
      <c r="B1608" t="s">
        <v>5774</v>
      </c>
      <c r="C1608" t="s">
        <v>5775</v>
      </c>
      <c r="D1608" t="s">
        <v>3332</v>
      </c>
      <c r="E1608" t="s">
        <v>3333</v>
      </c>
    </row>
    <row r="1609" spans="1:5" x14ac:dyDescent="0.25">
      <c r="A1609" t="s">
        <v>3329</v>
      </c>
      <c r="B1609" t="str">
        <f>"724794482100"</f>
        <v>724794482100</v>
      </c>
      <c r="C1609" t="s">
        <v>5776</v>
      </c>
      <c r="D1609" t="s">
        <v>3332</v>
      </c>
      <c r="E1609" t="s">
        <v>3333</v>
      </c>
    </row>
    <row r="1610" spans="1:5" x14ac:dyDescent="0.25">
      <c r="A1610" t="s">
        <v>3329</v>
      </c>
      <c r="B1610" t="s">
        <v>5777</v>
      </c>
      <c r="C1610" t="s">
        <v>5778</v>
      </c>
      <c r="D1610" t="s">
        <v>3332</v>
      </c>
      <c r="E1610" t="s">
        <v>3336</v>
      </c>
    </row>
    <row r="1611" spans="1:5" x14ac:dyDescent="0.25">
      <c r="A1611" t="s">
        <v>3329</v>
      </c>
      <c r="B1611" t="s">
        <v>5779</v>
      </c>
      <c r="C1611" t="s">
        <v>5780</v>
      </c>
      <c r="D1611" t="s">
        <v>3332</v>
      </c>
      <c r="E1611" t="s">
        <v>3336</v>
      </c>
    </row>
    <row r="1612" spans="1:5" x14ac:dyDescent="0.25">
      <c r="A1612" t="s">
        <v>3329</v>
      </c>
      <c r="B1612" t="s">
        <v>5781</v>
      </c>
      <c r="C1612" t="s">
        <v>5782</v>
      </c>
      <c r="D1612" t="s">
        <v>3332</v>
      </c>
      <c r="E1612" t="s">
        <v>3336</v>
      </c>
    </row>
    <row r="1613" spans="1:5" x14ac:dyDescent="0.25">
      <c r="A1613" t="s">
        <v>3329</v>
      </c>
      <c r="B1613" t="s">
        <v>5783</v>
      </c>
      <c r="C1613" t="s">
        <v>5784</v>
      </c>
      <c r="D1613" t="s">
        <v>3332</v>
      </c>
      <c r="E1613" t="s">
        <v>3336</v>
      </c>
    </row>
    <row r="1614" spans="1:5" x14ac:dyDescent="0.25">
      <c r="A1614" t="s">
        <v>3329</v>
      </c>
      <c r="B1614" t="str">
        <f>"724794414125"</f>
        <v>724794414125</v>
      </c>
      <c r="C1614" t="s">
        <v>5785</v>
      </c>
      <c r="D1614" t="s">
        <v>3332</v>
      </c>
      <c r="E1614" t="s">
        <v>3336</v>
      </c>
    </row>
    <row r="1615" spans="1:5" x14ac:dyDescent="0.25">
      <c r="A1615" t="s">
        <v>3329</v>
      </c>
      <c r="B1615" t="s">
        <v>5786</v>
      </c>
      <c r="C1615" t="s">
        <v>5787</v>
      </c>
      <c r="D1615" t="s">
        <v>3332</v>
      </c>
      <c r="E1615" t="s">
        <v>3336</v>
      </c>
    </row>
    <row r="1616" spans="1:5" x14ac:dyDescent="0.25">
      <c r="A1616" t="s">
        <v>3329</v>
      </c>
      <c r="B1616" t="str">
        <f>"724794414118"</f>
        <v>724794414118</v>
      </c>
      <c r="C1616" t="s">
        <v>5788</v>
      </c>
      <c r="D1616" t="s">
        <v>3332</v>
      </c>
      <c r="E1616" t="s">
        <v>3336</v>
      </c>
    </row>
    <row r="1617" spans="1:5" x14ac:dyDescent="0.25">
      <c r="A1617" t="s">
        <v>3329</v>
      </c>
      <c r="B1617" t="s">
        <v>5789</v>
      </c>
      <c r="C1617" t="s">
        <v>5790</v>
      </c>
      <c r="D1617" t="s">
        <v>3332</v>
      </c>
      <c r="E1617" t="s">
        <v>3336</v>
      </c>
    </row>
    <row r="1618" spans="1:5" x14ac:dyDescent="0.25">
      <c r="A1618" t="s">
        <v>3329</v>
      </c>
      <c r="B1618" t="str">
        <f>"724794406601"</f>
        <v>724794406601</v>
      </c>
      <c r="C1618" t="s">
        <v>5791</v>
      </c>
      <c r="D1618" t="s">
        <v>3332</v>
      </c>
      <c r="E1618" t="s">
        <v>3344</v>
      </c>
    </row>
    <row r="1619" spans="1:5" x14ac:dyDescent="0.25">
      <c r="A1619" t="s">
        <v>3329</v>
      </c>
      <c r="B1619" t="str">
        <f>"724794402306"</f>
        <v>724794402306</v>
      </c>
      <c r="C1619" t="s">
        <v>5792</v>
      </c>
      <c r="D1619" t="s">
        <v>3332</v>
      </c>
      <c r="E1619" t="s">
        <v>3333</v>
      </c>
    </row>
    <row r="1620" spans="1:5" x14ac:dyDescent="0.25">
      <c r="A1620" t="s">
        <v>3329</v>
      </c>
      <c r="B1620" t="s">
        <v>5793</v>
      </c>
      <c r="C1620" t="s">
        <v>5794</v>
      </c>
      <c r="D1620" t="s">
        <v>3332</v>
      </c>
      <c r="E1620" t="s">
        <v>3339</v>
      </c>
    </row>
    <row r="1621" spans="1:5" x14ac:dyDescent="0.25">
      <c r="A1621" t="s">
        <v>3329</v>
      </c>
      <c r="B1621" t="s">
        <v>5795</v>
      </c>
      <c r="C1621" t="s">
        <v>5796</v>
      </c>
      <c r="D1621" t="s">
        <v>3332</v>
      </c>
      <c r="E1621" t="s">
        <v>3339</v>
      </c>
    </row>
    <row r="1622" spans="1:5" x14ac:dyDescent="0.25">
      <c r="A1622" t="s">
        <v>3329</v>
      </c>
      <c r="B1622" t="str">
        <f>"724794374542"</f>
        <v>724794374542</v>
      </c>
      <c r="C1622" t="s">
        <v>5797</v>
      </c>
      <c r="D1622" t="s">
        <v>3332</v>
      </c>
      <c r="E1622" t="s">
        <v>3339</v>
      </c>
    </row>
    <row r="1623" spans="1:5" x14ac:dyDescent="0.25">
      <c r="A1623" t="s">
        <v>3329</v>
      </c>
      <c r="B1623" t="str">
        <f>"724794256275"</f>
        <v>724794256275</v>
      </c>
      <c r="C1623" t="s">
        <v>5798</v>
      </c>
      <c r="D1623" t="s">
        <v>3332</v>
      </c>
      <c r="E1623" t="s">
        <v>3339</v>
      </c>
    </row>
    <row r="1624" spans="1:5" x14ac:dyDescent="0.25">
      <c r="A1624" t="s">
        <v>3329</v>
      </c>
      <c r="B1624" t="s">
        <v>5799</v>
      </c>
      <c r="C1624" t="s">
        <v>5800</v>
      </c>
      <c r="D1624" t="s">
        <v>3332</v>
      </c>
      <c r="E1624" t="s">
        <v>3344</v>
      </c>
    </row>
    <row r="1625" spans="1:5" x14ac:dyDescent="0.25">
      <c r="A1625" t="s">
        <v>3329</v>
      </c>
      <c r="B1625" t="str">
        <f>"724794222300"</f>
        <v>724794222300</v>
      </c>
      <c r="C1625" t="s">
        <v>5801</v>
      </c>
      <c r="D1625" t="s">
        <v>3332</v>
      </c>
      <c r="E1625" t="s">
        <v>3344</v>
      </c>
    </row>
    <row r="1626" spans="1:5" x14ac:dyDescent="0.25">
      <c r="A1626" t="s">
        <v>3329</v>
      </c>
      <c r="B1626" t="str">
        <f>"724794217313"</f>
        <v>724794217313</v>
      </c>
      <c r="C1626" t="s">
        <v>5802</v>
      </c>
      <c r="D1626" t="s">
        <v>3332</v>
      </c>
      <c r="E1626" t="s">
        <v>3339</v>
      </c>
    </row>
    <row r="1627" spans="1:5" x14ac:dyDescent="0.25">
      <c r="A1627" t="s">
        <v>3329</v>
      </c>
      <c r="B1627" t="str">
        <f>"724794189672"</f>
        <v>724794189672</v>
      </c>
      <c r="C1627" t="s">
        <v>5803</v>
      </c>
      <c r="D1627" t="s">
        <v>3332</v>
      </c>
      <c r="E1627" t="s">
        <v>3582</v>
      </c>
    </row>
    <row r="1628" spans="1:5" x14ac:dyDescent="0.25">
      <c r="A1628" t="s">
        <v>3329</v>
      </c>
      <c r="B1628" t="str">
        <f>"724794189658"</f>
        <v>724794189658</v>
      </c>
      <c r="C1628" t="s">
        <v>5804</v>
      </c>
      <c r="D1628" t="s">
        <v>3332</v>
      </c>
      <c r="E1628" t="s">
        <v>3582</v>
      </c>
    </row>
    <row r="1629" spans="1:5" x14ac:dyDescent="0.25">
      <c r="A1629" t="s">
        <v>3329</v>
      </c>
      <c r="B1629" t="str">
        <f>"724794188460"</f>
        <v>724794188460</v>
      </c>
      <c r="C1629" t="s">
        <v>5805</v>
      </c>
      <c r="D1629" t="s">
        <v>3332</v>
      </c>
      <c r="E1629" t="s">
        <v>3582</v>
      </c>
    </row>
    <row r="1630" spans="1:5" x14ac:dyDescent="0.25">
      <c r="A1630" t="s">
        <v>3329</v>
      </c>
      <c r="B1630" t="str">
        <f>"724794188422"</f>
        <v>724794188422</v>
      </c>
      <c r="C1630" t="s">
        <v>5806</v>
      </c>
      <c r="D1630" t="s">
        <v>3332</v>
      </c>
      <c r="E1630" t="s">
        <v>3582</v>
      </c>
    </row>
    <row r="1631" spans="1:5" x14ac:dyDescent="0.25">
      <c r="A1631" t="s">
        <v>3329</v>
      </c>
      <c r="B1631" t="str">
        <f>"724794188392"</f>
        <v>724794188392</v>
      </c>
      <c r="C1631" t="s">
        <v>5807</v>
      </c>
      <c r="D1631" t="s">
        <v>3332</v>
      </c>
      <c r="E1631" t="s">
        <v>3582</v>
      </c>
    </row>
    <row r="1632" spans="1:5" x14ac:dyDescent="0.25">
      <c r="A1632" t="s">
        <v>3329</v>
      </c>
      <c r="B1632" t="str">
        <f>"724794188385"</f>
        <v>724794188385</v>
      </c>
      <c r="C1632" t="s">
        <v>5808</v>
      </c>
      <c r="D1632" t="s">
        <v>3332</v>
      </c>
      <c r="E1632" t="s">
        <v>3582</v>
      </c>
    </row>
    <row r="1633" spans="1:5" x14ac:dyDescent="0.25">
      <c r="A1633" t="s">
        <v>3329</v>
      </c>
      <c r="B1633" t="str">
        <f>"724794174012"</f>
        <v>724794174012</v>
      </c>
      <c r="C1633" t="s">
        <v>5809</v>
      </c>
      <c r="D1633" t="s">
        <v>3332</v>
      </c>
      <c r="E1633" t="s">
        <v>3336</v>
      </c>
    </row>
    <row r="1634" spans="1:5" x14ac:dyDescent="0.25">
      <c r="A1634" t="s">
        <v>3329</v>
      </c>
      <c r="B1634" t="str">
        <f>"724794174005"</f>
        <v>724794174005</v>
      </c>
      <c r="C1634" t="s">
        <v>5810</v>
      </c>
      <c r="D1634" t="s">
        <v>3332</v>
      </c>
      <c r="E1634" t="s">
        <v>3336</v>
      </c>
    </row>
    <row r="1635" spans="1:5" x14ac:dyDescent="0.25">
      <c r="A1635" t="s">
        <v>3329</v>
      </c>
      <c r="B1635" t="str">
        <f>"724794173992"</f>
        <v>724794173992</v>
      </c>
      <c r="C1635" t="s">
        <v>5811</v>
      </c>
      <c r="D1635" t="s">
        <v>3332</v>
      </c>
      <c r="E1635" t="s">
        <v>3336</v>
      </c>
    </row>
    <row r="1636" spans="1:5" x14ac:dyDescent="0.25">
      <c r="A1636" t="s">
        <v>3329</v>
      </c>
      <c r="B1636" t="str">
        <f>"724794173985"</f>
        <v>724794173985</v>
      </c>
      <c r="C1636" t="s">
        <v>5812</v>
      </c>
      <c r="D1636" t="s">
        <v>3332</v>
      </c>
      <c r="E1636" t="s">
        <v>3336</v>
      </c>
    </row>
    <row r="1637" spans="1:5" x14ac:dyDescent="0.25">
      <c r="A1637" t="s">
        <v>3329</v>
      </c>
      <c r="B1637" t="s">
        <v>5813</v>
      </c>
      <c r="C1637" t="s">
        <v>5814</v>
      </c>
      <c r="D1637" t="s">
        <v>3332</v>
      </c>
      <c r="E1637" t="s">
        <v>3336</v>
      </c>
    </row>
    <row r="1638" spans="1:5" x14ac:dyDescent="0.25">
      <c r="A1638" t="s">
        <v>3329</v>
      </c>
      <c r="B1638" t="s">
        <v>5815</v>
      </c>
      <c r="C1638" t="s">
        <v>5816</v>
      </c>
      <c r="D1638" t="s">
        <v>3332</v>
      </c>
      <c r="E1638" t="s">
        <v>3336</v>
      </c>
    </row>
    <row r="1639" spans="1:5" x14ac:dyDescent="0.25">
      <c r="A1639" t="s">
        <v>3329</v>
      </c>
      <c r="B1639" t="s">
        <v>5817</v>
      </c>
      <c r="C1639" t="s">
        <v>5818</v>
      </c>
      <c r="D1639" t="s">
        <v>3332</v>
      </c>
      <c r="E1639" t="s">
        <v>3336</v>
      </c>
    </row>
    <row r="1640" spans="1:5" x14ac:dyDescent="0.25">
      <c r="A1640" t="s">
        <v>3329</v>
      </c>
      <c r="B1640" t="s">
        <v>5819</v>
      </c>
      <c r="C1640" t="s">
        <v>5820</v>
      </c>
      <c r="D1640" t="s">
        <v>3332</v>
      </c>
      <c r="E1640" t="s">
        <v>3336</v>
      </c>
    </row>
    <row r="1641" spans="1:5" x14ac:dyDescent="0.25">
      <c r="A1641" t="s">
        <v>3329</v>
      </c>
      <c r="B1641" t="str">
        <f>"724794151037"</f>
        <v>724794151037</v>
      </c>
      <c r="C1641" t="s">
        <v>5821</v>
      </c>
      <c r="D1641" t="s">
        <v>3332</v>
      </c>
      <c r="E1641" t="s">
        <v>3333</v>
      </c>
    </row>
    <row r="1642" spans="1:5" x14ac:dyDescent="0.25">
      <c r="A1642" t="s">
        <v>3329</v>
      </c>
      <c r="B1642" t="s">
        <v>5822</v>
      </c>
      <c r="C1642" t="s">
        <v>5823</v>
      </c>
      <c r="D1642" t="s">
        <v>3332</v>
      </c>
      <c r="E1642" t="s">
        <v>3333</v>
      </c>
    </row>
    <row r="1643" spans="1:5" x14ac:dyDescent="0.25">
      <c r="A1643" t="s">
        <v>3329</v>
      </c>
      <c r="B1643" t="str">
        <f>"6211323100"</f>
        <v>6211323100</v>
      </c>
      <c r="C1643" t="s">
        <v>5824</v>
      </c>
      <c r="D1643" t="s">
        <v>3332</v>
      </c>
      <c r="E1643" t="s">
        <v>3336</v>
      </c>
    </row>
    <row r="1644" spans="1:5" x14ac:dyDescent="0.25">
      <c r="A1644" t="s">
        <v>3329</v>
      </c>
      <c r="B1644" t="str">
        <f>"6208910090"</f>
        <v>6208910090</v>
      </c>
      <c r="C1644" t="s">
        <v>5825</v>
      </c>
      <c r="D1644" t="s">
        <v>3332</v>
      </c>
      <c r="E1644" t="s">
        <v>3336</v>
      </c>
    </row>
    <row r="1645" spans="1:5" x14ac:dyDescent="0.25">
      <c r="A1645" t="s">
        <v>3329</v>
      </c>
      <c r="B1645" t="str">
        <f>"6109902000"</f>
        <v>6109902000</v>
      </c>
      <c r="C1645" t="s">
        <v>5826</v>
      </c>
      <c r="D1645" t="s">
        <v>3332</v>
      </c>
      <c r="E1645" t="s">
        <v>3336</v>
      </c>
    </row>
    <row r="1646" spans="1:5" x14ac:dyDescent="0.25">
      <c r="A1646" t="s">
        <v>3329</v>
      </c>
      <c r="B1646" t="str">
        <f>"602561992246"</f>
        <v>602561992246</v>
      </c>
      <c r="C1646" t="s">
        <v>5827</v>
      </c>
      <c r="D1646" t="s">
        <v>3332</v>
      </c>
      <c r="E1646" t="s">
        <v>3333</v>
      </c>
    </row>
    <row r="1647" spans="1:5" x14ac:dyDescent="0.25">
      <c r="A1647" t="s">
        <v>3329</v>
      </c>
      <c r="B1647" t="str">
        <f>"5059882575736"</f>
        <v>5059882575736</v>
      </c>
      <c r="C1647" t="s">
        <v>5828</v>
      </c>
      <c r="D1647" t="s">
        <v>3332</v>
      </c>
      <c r="E1647" t="s">
        <v>3582</v>
      </c>
    </row>
    <row r="1648" spans="1:5" x14ac:dyDescent="0.25">
      <c r="A1648" t="s">
        <v>3329</v>
      </c>
      <c r="B1648" t="str">
        <f>"5059882575729"</f>
        <v>5059882575729</v>
      </c>
      <c r="C1648" t="s">
        <v>5829</v>
      </c>
      <c r="D1648" t="s">
        <v>3332</v>
      </c>
      <c r="E1648" t="s">
        <v>3582</v>
      </c>
    </row>
    <row r="1649" spans="1:5" x14ac:dyDescent="0.25">
      <c r="A1649" t="s">
        <v>3329</v>
      </c>
      <c r="B1649" t="str">
        <f>"5059882575712"</f>
        <v>5059882575712</v>
      </c>
      <c r="C1649" t="s">
        <v>5830</v>
      </c>
      <c r="D1649" t="s">
        <v>3332</v>
      </c>
      <c r="E1649" t="s">
        <v>3582</v>
      </c>
    </row>
    <row r="1650" spans="1:5" x14ac:dyDescent="0.25">
      <c r="A1650" t="s">
        <v>3329</v>
      </c>
      <c r="B1650" t="str">
        <f>"5059882575705"</f>
        <v>5059882575705</v>
      </c>
      <c r="C1650" t="s">
        <v>5831</v>
      </c>
      <c r="D1650" t="s">
        <v>3332</v>
      </c>
      <c r="E1650" t="s">
        <v>3582</v>
      </c>
    </row>
    <row r="1651" spans="1:5" x14ac:dyDescent="0.25">
      <c r="A1651" t="s">
        <v>3329</v>
      </c>
      <c r="B1651" t="str">
        <f>"5059882575699"</f>
        <v>5059882575699</v>
      </c>
      <c r="C1651" t="s">
        <v>5832</v>
      </c>
      <c r="D1651" t="s">
        <v>3332</v>
      </c>
      <c r="E1651" t="s">
        <v>3582</v>
      </c>
    </row>
    <row r="1652" spans="1:5" x14ac:dyDescent="0.25">
      <c r="A1652" t="s">
        <v>3329</v>
      </c>
      <c r="B1652" t="str">
        <f>"5059882575682"</f>
        <v>5059882575682</v>
      </c>
      <c r="C1652" t="s">
        <v>5833</v>
      </c>
      <c r="D1652" t="s">
        <v>3332</v>
      </c>
      <c r="E1652" t="s">
        <v>3582</v>
      </c>
    </row>
    <row r="1653" spans="1:5" x14ac:dyDescent="0.25">
      <c r="A1653" t="s">
        <v>3329</v>
      </c>
      <c r="B1653" t="str">
        <f>"5059882575675"</f>
        <v>5059882575675</v>
      </c>
      <c r="C1653" t="s">
        <v>5834</v>
      </c>
      <c r="D1653" t="s">
        <v>3332</v>
      </c>
      <c r="E1653" t="s">
        <v>3582</v>
      </c>
    </row>
    <row r="1654" spans="1:5" x14ac:dyDescent="0.25">
      <c r="A1654" t="s">
        <v>3329</v>
      </c>
      <c r="B1654" t="str">
        <f>"5059882575668"</f>
        <v>5059882575668</v>
      </c>
      <c r="C1654" t="s">
        <v>5835</v>
      </c>
      <c r="D1654" t="s">
        <v>3332</v>
      </c>
      <c r="E1654" t="s">
        <v>3582</v>
      </c>
    </row>
    <row r="1655" spans="1:5" x14ac:dyDescent="0.25">
      <c r="A1655" t="s">
        <v>3329</v>
      </c>
      <c r="B1655" t="str">
        <f>"5059882575651"</f>
        <v>5059882575651</v>
      </c>
      <c r="C1655" t="s">
        <v>5836</v>
      </c>
      <c r="D1655" t="s">
        <v>3332</v>
      </c>
      <c r="E1655" t="s">
        <v>3582</v>
      </c>
    </row>
    <row r="1656" spans="1:5" x14ac:dyDescent="0.25">
      <c r="A1656" t="s">
        <v>3329</v>
      </c>
      <c r="B1656" t="str">
        <f>"5059882575637"</f>
        <v>5059882575637</v>
      </c>
      <c r="C1656" t="s">
        <v>5837</v>
      </c>
      <c r="D1656" t="s">
        <v>3332</v>
      </c>
      <c r="E1656" t="s">
        <v>3582</v>
      </c>
    </row>
    <row r="1657" spans="1:5" x14ac:dyDescent="0.25">
      <c r="A1657" t="s">
        <v>3329</v>
      </c>
      <c r="B1657" t="str">
        <f>"5059431839364"</f>
        <v>5059431839364</v>
      </c>
      <c r="C1657" t="s">
        <v>5838</v>
      </c>
      <c r="D1657" t="s">
        <v>3332</v>
      </c>
      <c r="E1657" t="s">
        <v>3582</v>
      </c>
    </row>
    <row r="1658" spans="1:5" x14ac:dyDescent="0.25">
      <c r="A1658" t="s">
        <v>3329</v>
      </c>
      <c r="B1658" t="str">
        <f>"5059431839340"</f>
        <v>5059431839340</v>
      </c>
      <c r="C1658" t="s">
        <v>5839</v>
      </c>
      <c r="D1658" t="s">
        <v>3332</v>
      </c>
      <c r="E1658" t="s">
        <v>3582</v>
      </c>
    </row>
    <row r="1659" spans="1:5" x14ac:dyDescent="0.25">
      <c r="A1659" t="s">
        <v>3329</v>
      </c>
      <c r="B1659" t="str">
        <f>"5059431839333"</f>
        <v>5059431839333</v>
      </c>
      <c r="C1659" t="s">
        <v>5840</v>
      </c>
      <c r="D1659" t="s">
        <v>3332</v>
      </c>
      <c r="E1659" t="s">
        <v>3582</v>
      </c>
    </row>
    <row r="1660" spans="1:5" x14ac:dyDescent="0.25">
      <c r="A1660" t="s">
        <v>3329</v>
      </c>
      <c r="B1660" t="str">
        <f>"5059431839326"</f>
        <v>5059431839326</v>
      </c>
      <c r="C1660" t="s">
        <v>5841</v>
      </c>
      <c r="D1660" t="s">
        <v>3332</v>
      </c>
      <c r="E1660" t="s">
        <v>3582</v>
      </c>
    </row>
    <row r="1661" spans="1:5" x14ac:dyDescent="0.25">
      <c r="A1661" t="s">
        <v>3329</v>
      </c>
      <c r="B1661" t="str">
        <f>"5059431839319"</f>
        <v>5059431839319</v>
      </c>
      <c r="C1661" t="s">
        <v>5842</v>
      </c>
      <c r="D1661" t="s">
        <v>3332</v>
      </c>
      <c r="E1661" t="s">
        <v>3582</v>
      </c>
    </row>
    <row r="1662" spans="1:5" x14ac:dyDescent="0.25">
      <c r="A1662" t="s">
        <v>3329</v>
      </c>
      <c r="B1662" t="str">
        <f>"5059431529951"</f>
        <v>5059431529951</v>
      </c>
      <c r="C1662" t="s">
        <v>5843</v>
      </c>
      <c r="D1662" t="s">
        <v>3332</v>
      </c>
      <c r="E1662" t="s">
        <v>3336</v>
      </c>
    </row>
    <row r="1663" spans="1:5" x14ac:dyDescent="0.25">
      <c r="A1663" t="s">
        <v>3329</v>
      </c>
      <c r="B1663" t="str">
        <f>"5059431529944"</f>
        <v>5059431529944</v>
      </c>
      <c r="C1663" t="s">
        <v>5844</v>
      </c>
      <c r="D1663" t="s">
        <v>3332</v>
      </c>
      <c r="E1663" t="s">
        <v>3336</v>
      </c>
    </row>
    <row r="1664" spans="1:5" x14ac:dyDescent="0.25">
      <c r="A1664" t="s">
        <v>3329</v>
      </c>
      <c r="B1664" t="str">
        <f>"5059431529937"</f>
        <v>5059431529937</v>
      </c>
      <c r="C1664" t="s">
        <v>5845</v>
      </c>
      <c r="D1664" t="s">
        <v>3332</v>
      </c>
      <c r="E1664" t="s">
        <v>3336</v>
      </c>
    </row>
    <row r="1665" spans="1:5" x14ac:dyDescent="0.25">
      <c r="A1665" t="s">
        <v>3329</v>
      </c>
      <c r="B1665" t="str">
        <f>"5059431529920"</f>
        <v>5059431529920</v>
      </c>
      <c r="C1665" t="s">
        <v>5846</v>
      </c>
      <c r="D1665" t="s">
        <v>3332</v>
      </c>
      <c r="E1665" t="s">
        <v>3336</v>
      </c>
    </row>
    <row r="1666" spans="1:5" x14ac:dyDescent="0.25">
      <c r="A1666" t="s">
        <v>3329</v>
      </c>
      <c r="B1666" t="s">
        <v>5847</v>
      </c>
      <c r="C1666" t="s">
        <v>5848</v>
      </c>
      <c r="D1666" t="s">
        <v>3332</v>
      </c>
      <c r="E1666" t="s">
        <v>3582</v>
      </c>
    </row>
    <row r="1667" spans="1:5" x14ac:dyDescent="0.25">
      <c r="A1667" t="s">
        <v>3329</v>
      </c>
      <c r="B1667" t="s">
        <v>5849</v>
      </c>
      <c r="C1667" t="s">
        <v>5850</v>
      </c>
      <c r="D1667" t="s">
        <v>3332</v>
      </c>
      <c r="E1667" t="s">
        <v>3582</v>
      </c>
    </row>
    <row r="1668" spans="1:5" x14ac:dyDescent="0.25">
      <c r="A1668" t="s">
        <v>3329</v>
      </c>
      <c r="B1668" t="s">
        <v>5851</v>
      </c>
      <c r="C1668" t="s">
        <v>5852</v>
      </c>
      <c r="D1668" t="s">
        <v>3332</v>
      </c>
      <c r="E1668" t="s">
        <v>3582</v>
      </c>
    </row>
    <row r="1669" spans="1:5" x14ac:dyDescent="0.25">
      <c r="A1669" t="s">
        <v>3329</v>
      </c>
      <c r="B1669" t="s">
        <v>5853</v>
      </c>
      <c r="C1669" t="s">
        <v>5854</v>
      </c>
      <c r="D1669" t="s">
        <v>3332</v>
      </c>
      <c r="E1669" t="s">
        <v>3582</v>
      </c>
    </row>
    <row r="1670" spans="1:5" x14ac:dyDescent="0.25">
      <c r="A1670" t="s">
        <v>3329</v>
      </c>
      <c r="B1670" t="s">
        <v>5855</v>
      </c>
      <c r="C1670" t="s">
        <v>5856</v>
      </c>
      <c r="D1670" t="s">
        <v>3332</v>
      </c>
      <c r="E1670" t="s">
        <v>3582</v>
      </c>
    </row>
    <row r="1671" spans="1:5" x14ac:dyDescent="0.25">
      <c r="A1671" t="s">
        <v>3329</v>
      </c>
      <c r="B1671" t="s">
        <v>5857</v>
      </c>
      <c r="C1671" t="s">
        <v>5858</v>
      </c>
      <c r="D1671" t="s">
        <v>3332</v>
      </c>
      <c r="E1671" t="s">
        <v>3582</v>
      </c>
    </row>
    <row r="1672" spans="1:5" x14ac:dyDescent="0.25">
      <c r="A1672" t="s">
        <v>3329</v>
      </c>
      <c r="B1672" t="s">
        <v>5859</v>
      </c>
      <c r="C1672" t="s">
        <v>5860</v>
      </c>
      <c r="D1672" t="s">
        <v>3332</v>
      </c>
      <c r="E1672" t="s">
        <v>3582</v>
      </c>
    </row>
    <row r="1673" spans="1:5" x14ac:dyDescent="0.25">
      <c r="A1673" t="s">
        <v>3329</v>
      </c>
      <c r="B1673" t="s">
        <v>5861</v>
      </c>
      <c r="C1673" t="s">
        <v>5862</v>
      </c>
      <c r="D1673" t="s">
        <v>3332</v>
      </c>
      <c r="E1673" t="s">
        <v>3582</v>
      </c>
    </row>
    <row r="1674" spans="1:5" x14ac:dyDescent="0.25">
      <c r="A1674" t="s">
        <v>3329</v>
      </c>
      <c r="B1674" t="s">
        <v>5863</v>
      </c>
      <c r="C1674" t="s">
        <v>5864</v>
      </c>
      <c r="D1674" t="s">
        <v>3332</v>
      </c>
      <c r="E1674" t="s">
        <v>3582</v>
      </c>
    </row>
    <row r="1675" spans="1:5" x14ac:dyDescent="0.25">
      <c r="A1675" t="s">
        <v>3329</v>
      </c>
      <c r="B1675" t="s">
        <v>5865</v>
      </c>
      <c r="C1675" t="s">
        <v>5866</v>
      </c>
      <c r="D1675" t="s">
        <v>3332</v>
      </c>
      <c r="E1675" t="s">
        <v>3582</v>
      </c>
    </row>
    <row r="1676" spans="1:5" x14ac:dyDescent="0.25">
      <c r="A1676" t="s">
        <v>3329</v>
      </c>
      <c r="B1676" t="s">
        <v>5867</v>
      </c>
      <c r="C1676" t="s">
        <v>5868</v>
      </c>
      <c r="D1676" t="s">
        <v>3332</v>
      </c>
      <c r="E1676" t="s">
        <v>3582</v>
      </c>
    </row>
    <row r="1677" spans="1:5" x14ac:dyDescent="0.25">
      <c r="A1677" t="s">
        <v>3329</v>
      </c>
      <c r="B1677" t="s">
        <v>5869</v>
      </c>
      <c r="C1677" t="s">
        <v>5870</v>
      </c>
      <c r="D1677" t="s">
        <v>3332</v>
      </c>
      <c r="E1677" t="s">
        <v>3582</v>
      </c>
    </row>
    <row r="1678" spans="1:5" x14ac:dyDescent="0.25">
      <c r="A1678" t="s">
        <v>3329</v>
      </c>
      <c r="B1678" t="str">
        <f>"5059431398328"</f>
        <v>5059431398328</v>
      </c>
      <c r="C1678" t="s">
        <v>5871</v>
      </c>
      <c r="D1678" t="s">
        <v>3332</v>
      </c>
      <c r="E1678" t="s">
        <v>3336</v>
      </c>
    </row>
    <row r="1679" spans="1:5" x14ac:dyDescent="0.25">
      <c r="A1679" t="s">
        <v>3329</v>
      </c>
      <c r="B1679" t="str">
        <f>"5059431398311"</f>
        <v>5059431398311</v>
      </c>
      <c r="C1679" t="s">
        <v>5872</v>
      </c>
      <c r="D1679" t="s">
        <v>3332</v>
      </c>
      <c r="E1679" t="s">
        <v>3336</v>
      </c>
    </row>
    <row r="1680" spans="1:5" x14ac:dyDescent="0.25">
      <c r="A1680" t="s">
        <v>3329</v>
      </c>
      <c r="B1680" t="str">
        <f>"5059431398298"</f>
        <v>5059431398298</v>
      </c>
      <c r="C1680" t="s">
        <v>5873</v>
      </c>
      <c r="D1680" t="s">
        <v>3332</v>
      </c>
      <c r="E1680" t="s">
        <v>3336</v>
      </c>
    </row>
    <row r="1681" spans="1:5" x14ac:dyDescent="0.25">
      <c r="A1681" t="s">
        <v>3329</v>
      </c>
      <c r="B1681" t="str">
        <f>"5059431346640"</f>
        <v>5059431346640</v>
      </c>
      <c r="C1681" t="s">
        <v>5874</v>
      </c>
      <c r="D1681" t="s">
        <v>3332</v>
      </c>
      <c r="E1681" t="s">
        <v>3336</v>
      </c>
    </row>
    <row r="1682" spans="1:5" x14ac:dyDescent="0.25">
      <c r="A1682" t="s">
        <v>3329</v>
      </c>
      <c r="B1682" t="str">
        <f>"5059431346633"</f>
        <v>5059431346633</v>
      </c>
      <c r="C1682" t="s">
        <v>5875</v>
      </c>
      <c r="D1682" t="s">
        <v>3332</v>
      </c>
      <c r="E1682" t="s">
        <v>3336</v>
      </c>
    </row>
    <row r="1683" spans="1:5" x14ac:dyDescent="0.25">
      <c r="A1683" t="s">
        <v>3329</v>
      </c>
      <c r="B1683" t="str">
        <f>"5059431346626"</f>
        <v>5059431346626</v>
      </c>
      <c r="C1683" t="s">
        <v>5876</v>
      </c>
      <c r="D1683" t="s">
        <v>3332</v>
      </c>
      <c r="E1683" t="s">
        <v>3336</v>
      </c>
    </row>
    <row r="1684" spans="1:5" x14ac:dyDescent="0.25">
      <c r="A1684" t="s">
        <v>3329</v>
      </c>
      <c r="B1684" t="str">
        <f>"5059431346619"</f>
        <v>5059431346619</v>
      </c>
      <c r="C1684" t="s">
        <v>5877</v>
      </c>
      <c r="D1684" t="s">
        <v>3332</v>
      </c>
      <c r="E1684" t="s">
        <v>3336</v>
      </c>
    </row>
    <row r="1685" spans="1:5" x14ac:dyDescent="0.25">
      <c r="A1685" t="s">
        <v>3329</v>
      </c>
      <c r="B1685" t="str">
        <f>"5059431298147"</f>
        <v>5059431298147</v>
      </c>
      <c r="C1685" t="s">
        <v>5878</v>
      </c>
      <c r="D1685" t="s">
        <v>3332</v>
      </c>
      <c r="E1685" t="s">
        <v>3336</v>
      </c>
    </row>
    <row r="1686" spans="1:5" x14ac:dyDescent="0.25">
      <c r="A1686" t="s">
        <v>3329</v>
      </c>
      <c r="B1686" t="str">
        <f>"5059431298130"</f>
        <v>5059431298130</v>
      </c>
      <c r="C1686" t="s">
        <v>5879</v>
      </c>
      <c r="D1686" t="s">
        <v>3332</v>
      </c>
      <c r="E1686" t="s">
        <v>3336</v>
      </c>
    </row>
    <row r="1687" spans="1:5" x14ac:dyDescent="0.25">
      <c r="A1687" t="s">
        <v>3329</v>
      </c>
      <c r="B1687" t="str">
        <f>"5059431298123"</f>
        <v>5059431298123</v>
      </c>
      <c r="C1687" t="s">
        <v>5880</v>
      </c>
      <c r="D1687" t="s">
        <v>3332</v>
      </c>
      <c r="E1687" t="s">
        <v>3336</v>
      </c>
    </row>
    <row r="1688" spans="1:5" x14ac:dyDescent="0.25">
      <c r="A1688" t="s">
        <v>3329</v>
      </c>
      <c r="B1688" t="str">
        <f>"5059431298116"</f>
        <v>5059431298116</v>
      </c>
      <c r="C1688" t="s">
        <v>5881</v>
      </c>
      <c r="D1688" t="s">
        <v>3332</v>
      </c>
      <c r="E1688" t="s">
        <v>3336</v>
      </c>
    </row>
    <row r="1689" spans="1:5" x14ac:dyDescent="0.25">
      <c r="A1689" t="s">
        <v>3329</v>
      </c>
      <c r="B1689" t="str">
        <f>"5051686195868"</f>
        <v>5051686195868</v>
      </c>
      <c r="C1689" t="s">
        <v>5882</v>
      </c>
      <c r="D1689" t="s">
        <v>3332</v>
      </c>
      <c r="E1689" t="s">
        <v>3336</v>
      </c>
    </row>
    <row r="1690" spans="1:5" x14ac:dyDescent="0.25">
      <c r="A1690" t="s">
        <v>3329</v>
      </c>
      <c r="B1690" t="str">
        <f>"5051686195851"</f>
        <v>5051686195851</v>
      </c>
      <c r="C1690" t="s">
        <v>5883</v>
      </c>
      <c r="D1690" t="s">
        <v>3332</v>
      </c>
      <c r="E1690" t="s">
        <v>3336</v>
      </c>
    </row>
    <row r="1691" spans="1:5" x14ac:dyDescent="0.25">
      <c r="A1691" t="s">
        <v>3329</v>
      </c>
      <c r="B1691" t="str">
        <f>"5051686195844"</f>
        <v>5051686195844</v>
      </c>
      <c r="C1691" t="s">
        <v>5884</v>
      </c>
      <c r="D1691" t="s">
        <v>3332</v>
      </c>
      <c r="E1691" t="s">
        <v>3336</v>
      </c>
    </row>
    <row r="1692" spans="1:5" x14ac:dyDescent="0.25">
      <c r="A1692" t="s">
        <v>3329</v>
      </c>
      <c r="B1692" t="s">
        <v>5885</v>
      </c>
      <c r="C1692" t="s">
        <v>5886</v>
      </c>
      <c r="D1692" t="s">
        <v>3332</v>
      </c>
      <c r="E1692" t="s">
        <v>3333</v>
      </c>
    </row>
    <row r="1693" spans="1:5" x14ac:dyDescent="0.25">
      <c r="A1693" t="s">
        <v>3329</v>
      </c>
      <c r="B1693" t="str">
        <f>"4819400000"</f>
        <v>4819400000</v>
      </c>
      <c r="C1693" t="s">
        <v>5887</v>
      </c>
      <c r="D1693" t="s">
        <v>3332</v>
      </c>
      <c r="E1693" t="s">
        <v>3333</v>
      </c>
    </row>
    <row r="1694" spans="1:5" x14ac:dyDescent="0.25">
      <c r="A1694" t="s">
        <v>3329</v>
      </c>
      <c r="B1694" t="str">
        <f>"4570158314404"</f>
        <v>4570158314404</v>
      </c>
      <c r="C1694" t="s">
        <v>5888</v>
      </c>
      <c r="D1694" t="s">
        <v>3332</v>
      </c>
      <c r="E1694" t="s">
        <v>3336</v>
      </c>
    </row>
    <row r="1695" spans="1:5" x14ac:dyDescent="0.25">
      <c r="A1695" t="s">
        <v>3329</v>
      </c>
      <c r="B1695" t="str">
        <f>"4570158314381"</f>
        <v>4570158314381</v>
      </c>
      <c r="C1695" t="s">
        <v>5889</v>
      </c>
      <c r="D1695" t="s">
        <v>3332</v>
      </c>
      <c r="E1695" t="s">
        <v>3336</v>
      </c>
    </row>
    <row r="1696" spans="1:5" x14ac:dyDescent="0.25">
      <c r="A1696" t="s">
        <v>3329</v>
      </c>
      <c r="B1696" t="str">
        <f>"4570158314039"</f>
        <v>4570158314039</v>
      </c>
      <c r="C1696" t="s">
        <v>5890</v>
      </c>
      <c r="D1696" t="s">
        <v>3332</v>
      </c>
      <c r="E1696" t="s">
        <v>3336</v>
      </c>
    </row>
    <row r="1697" spans="1:5" x14ac:dyDescent="0.25">
      <c r="A1697" t="s">
        <v>3329</v>
      </c>
      <c r="B1697" t="str">
        <f>"4570158314015"</f>
        <v>4570158314015</v>
      </c>
      <c r="C1697" t="s">
        <v>5891</v>
      </c>
      <c r="D1697" t="s">
        <v>3332</v>
      </c>
      <c r="E1697" t="s">
        <v>3336</v>
      </c>
    </row>
    <row r="1698" spans="1:5" x14ac:dyDescent="0.25">
      <c r="A1698" t="s">
        <v>3329</v>
      </c>
      <c r="B1698" t="str">
        <f>"4570158312790"</f>
        <v>4570158312790</v>
      </c>
      <c r="C1698" t="s">
        <v>5892</v>
      </c>
      <c r="D1698" t="s">
        <v>3332</v>
      </c>
      <c r="E1698" t="s">
        <v>3336</v>
      </c>
    </row>
    <row r="1699" spans="1:5" x14ac:dyDescent="0.25">
      <c r="A1699" t="s">
        <v>3329</v>
      </c>
      <c r="B1699" t="str">
        <f>"4570158312776"</f>
        <v>4570158312776</v>
      </c>
      <c r="C1699" t="s">
        <v>5893</v>
      </c>
      <c r="D1699" t="s">
        <v>3332</v>
      </c>
      <c r="E1699" t="s">
        <v>3336</v>
      </c>
    </row>
    <row r="1700" spans="1:5" x14ac:dyDescent="0.25">
      <c r="A1700" t="s">
        <v>3329</v>
      </c>
      <c r="B1700" t="str">
        <f>"4570158311632"</f>
        <v>4570158311632</v>
      </c>
      <c r="C1700" t="s">
        <v>5894</v>
      </c>
      <c r="D1700" t="s">
        <v>3332</v>
      </c>
      <c r="E1700" t="s">
        <v>3336</v>
      </c>
    </row>
    <row r="1701" spans="1:5" x14ac:dyDescent="0.25">
      <c r="A1701" t="s">
        <v>3329</v>
      </c>
      <c r="B1701" t="str">
        <f>"4570158311625"</f>
        <v>4570158311625</v>
      </c>
      <c r="C1701" t="s">
        <v>5895</v>
      </c>
      <c r="D1701" t="s">
        <v>3332</v>
      </c>
      <c r="E1701" t="s">
        <v>3336</v>
      </c>
    </row>
    <row r="1702" spans="1:5" x14ac:dyDescent="0.25">
      <c r="A1702" t="s">
        <v>3329</v>
      </c>
      <c r="B1702" t="str">
        <f>"4570158310802"</f>
        <v>4570158310802</v>
      </c>
      <c r="C1702" t="s">
        <v>5896</v>
      </c>
      <c r="D1702" t="s">
        <v>3332</v>
      </c>
      <c r="E1702" t="s">
        <v>3336</v>
      </c>
    </row>
    <row r="1703" spans="1:5" x14ac:dyDescent="0.25">
      <c r="A1703" t="s">
        <v>3329</v>
      </c>
      <c r="B1703" t="str">
        <f>"4570158310796"</f>
        <v>4570158310796</v>
      </c>
      <c r="C1703" t="s">
        <v>5897</v>
      </c>
      <c r="D1703" t="s">
        <v>3332</v>
      </c>
      <c r="E1703" t="s">
        <v>3336</v>
      </c>
    </row>
    <row r="1704" spans="1:5" x14ac:dyDescent="0.25">
      <c r="A1704" t="s">
        <v>3329</v>
      </c>
      <c r="B1704" t="str">
        <f>"4570158310611"</f>
        <v>4570158310611</v>
      </c>
      <c r="C1704" t="s">
        <v>5898</v>
      </c>
      <c r="D1704" t="s">
        <v>3332</v>
      </c>
      <c r="E1704" t="s">
        <v>3336</v>
      </c>
    </row>
    <row r="1705" spans="1:5" x14ac:dyDescent="0.25">
      <c r="A1705" t="s">
        <v>3329</v>
      </c>
      <c r="B1705" t="str">
        <f>"4570158310567"</f>
        <v>4570158310567</v>
      </c>
      <c r="C1705" t="s">
        <v>5899</v>
      </c>
      <c r="D1705" t="s">
        <v>3332</v>
      </c>
      <c r="E1705" t="s">
        <v>3336</v>
      </c>
    </row>
    <row r="1706" spans="1:5" x14ac:dyDescent="0.25">
      <c r="A1706" t="s">
        <v>3329</v>
      </c>
      <c r="B1706" t="str">
        <f>"4570158309394"</f>
        <v>4570158309394</v>
      </c>
      <c r="C1706" t="s">
        <v>5900</v>
      </c>
      <c r="D1706" t="s">
        <v>3332</v>
      </c>
      <c r="E1706" t="s">
        <v>3336</v>
      </c>
    </row>
    <row r="1707" spans="1:5" x14ac:dyDescent="0.25">
      <c r="A1707" t="s">
        <v>3329</v>
      </c>
      <c r="B1707" t="str">
        <f>"4570158309387"</f>
        <v>4570158309387</v>
      </c>
      <c r="C1707" t="s">
        <v>5901</v>
      </c>
      <c r="D1707" t="s">
        <v>3332</v>
      </c>
      <c r="E1707" t="s">
        <v>3336</v>
      </c>
    </row>
    <row r="1708" spans="1:5" x14ac:dyDescent="0.25">
      <c r="A1708" t="s">
        <v>3329</v>
      </c>
      <c r="B1708" t="str">
        <f>"4570158307291"</f>
        <v>4570158307291</v>
      </c>
      <c r="C1708" t="s">
        <v>5902</v>
      </c>
      <c r="D1708" t="s">
        <v>3332</v>
      </c>
      <c r="E1708" t="s">
        <v>3336</v>
      </c>
    </row>
    <row r="1709" spans="1:5" x14ac:dyDescent="0.25">
      <c r="A1709" t="s">
        <v>3329</v>
      </c>
      <c r="B1709" t="str">
        <f>"4570158307284"</f>
        <v>4570158307284</v>
      </c>
      <c r="C1709" t="s">
        <v>5903</v>
      </c>
      <c r="D1709" t="s">
        <v>3332</v>
      </c>
      <c r="E1709" t="s">
        <v>3336</v>
      </c>
    </row>
    <row r="1710" spans="1:5" x14ac:dyDescent="0.25">
      <c r="A1710" t="s">
        <v>3329</v>
      </c>
      <c r="B1710" t="str">
        <f>"4570158307086"</f>
        <v>4570158307086</v>
      </c>
      <c r="C1710" t="s">
        <v>5904</v>
      </c>
      <c r="D1710" t="s">
        <v>3332</v>
      </c>
      <c r="E1710" t="s">
        <v>3336</v>
      </c>
    </row>
    <row r="1711" spans="1:5" x14ac:dyDescent="0.25">
      <c r="A1711" t="s">
        <v>3329</v>
      </c>
      <c r="B1711" t="str">
        <f>"4570158307079"</f>
        <v>4570158307079</v>
      </c>
      <c r="C1711" t="s">
        <v>5905</v>
      </c>
      <c r="D1711" t="s">
        <v>3332</v>
      </c>
      <c r="E1711" t="s">
        <v>3336</v>
      </c>
    </row>
    <row r="1712" spans="1:5" x14ac:dyDescent="0.25">
      <c r="A1712" t="s">
        <v>3329</v>
      </c>
      <c r="B1712" t="str">
        <f>"4570158176491"</f>
        <v>4570158176491</v>
      </c>
      <c r="C1712" t="s">
        <v>5906</v>
      </c>
      <c r="D1712" t="s">
        <v>3332</v>
      </c>
      <c r="E1712" t="s">
        <v>3582</v>
      </c>
    </row>
    <row r="1713" spans="1:5" x14ac:dyDescent="0.25">
      <c r="A1713" t="s">
        <v>3329</v>
      </c>
      <c r="B1713" t="str">
        <f>"4570158176446"</f>
        <v>4570158176446</v>
      </c>
      <c r="C1713" t="s">
        <v>5907</v>
      </c>
      <c r="D1713" t="s">
        <v>3332</v>
      </c>
      <c r="E1713" t="s">
        <v>3582</v>
      </c>
    </row>
    <row r="1714" spans="1:5" x14ac:dyDescent="0.25">
      <c r="A1714" t="s">
        <v>3329</v>
      </c>
      <c r="B1714" t="str">
        <f>"4570158176422"</f>
        <v>4570158176422</v>
      </c>
      <c r="C1714" t="s">
        <v>5908</v>
      </c>
      <c r="D1714" t="s">
        <v>3332</v>
      </c>
      <c r="E1714" t="s">
        <v>3582</v>
      </c>
    </row>
    <row r="1715" spans="1:5" x14ac:dyDescent="0.25">
      <c r="A1715" t="s">
        <v>3329</v>
      </c>
      <c r="B1715" t="str">
        <f>"4570158176385"</f>
        <v>4570158176385</v>
      </c>
      <c r="C1715" t="s">
        <v>5909</v>
      </c>
      <c r="D1715" t="s">
        <v>3332</v>
      </c>
      <c r="E1715" t="s">
        <v>3582</v>
      </c>
    </row>
    <row r="1716" spans="1:5" x14ac:dyDescent="0.25">
      <c r="A1716" t="s">
        <v>3329</v>
      </c>
      <c r="B1716" t="str">
        <f>"4570158176354"</f>
        <v>4570158176354</v>
      </c>
      <c r="C1716" t="s">
        <v>5910</v>
      </c>
      <c r="D1716" t="s">
        <v>3332</v>
      </c>
      <c r="E1716" t="s">
        <v>3582</v>
      </c>
    </row>
    <row r="1717" spans="1:5" x14ac:dyDescent="0.25">
      <c r="A1717" t="s">
        <v>3329</v>
      </c>
      <c r="B1717" t="str">
        <f>"4570158174022"</f>
        <v>4570158174022</v>
      </c>
      <c r="C1717" t="s">
        <v>5911</v>
      </c>
      <c r="D1717" t="s">
        <v>3332</v>
      </c>
      <c r="E1717" t="s">
        <v>3582</v>
      </c>
    </row>
    <row r="1718" spans="1:5" x14ac:dyDescent="0.25">
      <c r="A1718" t="s">
        <v>3329</v>
      </c>
      <c r="B1718" t="str">
        <f>"4570158173315"</f>
        <v>4570158173315</v>
      </c>
      <c r="C1718" t="s">
        <v>5912</v>
      </c>
      <c r="D1718" t="s">
        <v>3332</v>
      </c>
      <c r="E1718" t="s">
        <v>3582</v>
      </c>
    </row>
    <row r="1719" spans="1:5" x14ac:dyDescent="0.25">
      <c r="A1719" t="s">
        <v>3329</v>
      </c>
      <c r="B1719" t="str">
        <f>"4570158173278"</f>
        <v>4570158173278</v>
      </c>
      <c r="C1719" t="s">
        <v>5913</v>
      </c>
      <c r="D1719" t="s">
        <v>3332</v>
      </c>
      <c r="E1719" t="s">
        <v>3582</v>
      </c>
    </row>
    <row r="1720" spans="1:5" x14ac:dyDescent="0.25">
      <c r="A1720" t="s">
        <v>3329</v>
      </c>
      <c r="B1720" t="str">
        <f>"4570158173254"</f>
        <v>4570158173254</v>
      </c>
      <c r="C1720" t="s">
        <v>5914</v>
      </c>
      <c r="D1720" t="s">
        <v>3332</v>
      </c>
      <c r="E1720" t="s">
        <v>3582</v>
      </c>
    </row>
    <row r="1721" spans="1:5" x14ac:dyDescent="0.25">
      <c r="A1721" t="s">
        <v>3329</v>
      </c>
      <c r="B1721" t="str">
        <f>"4570158173230"</f>
        <v>4570158173230</v>
      </c>
      <c r="C1721" t="s">
        <v>5915</v>
      </c>
      <c r="D1721" t="s">
        <v>3332</v>
      </c>
      <c r="E1721" t="s">
        <v>3582</v>
      </c>
    </row>
    <row r="1722" spans="1:5" x14ac:dyDescent="0.25">
      <c r="A1722" t="s">
        <v>3329</v>
      </c>
      <c r="B1722" t="str">
        <f>"4570158173223"</f>
        <v>4570158173223</v>
      </c>
      <c r="C1722" t="s">
        <v>5916</v>
      </c>
      <c r="D1722" t="s">
        <v>3332</v>
      </c>
      <c r="E1722" t="s">
        <v>3582</v>
      </c>
    </row>
    <row r="1723" spans="1:5" x14ac:dyDescent="0.25">
      <c r="A1723" t="s">
        <v>3329</v>
      </c>
      <c r="B1723" t="str">
        <f>"4570158173216"</f>
        <v>4570158173216</v>
      </c>
      <c r="C1723" t="s">
        <v>5917</v>
      </c>
      <c r="D1723" t="s">
        <v>3332</v>
      </c>
      <c r="E1723" t="s">
        <v>3582</v>
      </c>
    </row>
    <row r="1724" spans="1:5" x14ac:dyDescent="0.25">
      <c r="A1724" t="s">
        <v>3329</v>
      </c>
      <c r="B1724" t="str">
        <f>"4570158173209"</f>
        <v>4570158173209</v>
      </c>
      <c r="C1724" t="s">
        <v>5918</v>
      </c>
      <c r="D1724" t="s">
        <v>3332</v>
      </c>
      <c r="E1724" t="s">
        <v>3582</v>
      </c>
    </row>
    <row r="1725" spans="1:5" x14ac:dyDescent="0.25">
      <c r="A1725" t="s">
        <v>3329</v>
      </c>
      <c r="B1725" t="str">
        <f>"4570158173193"</f>
        <v>4570158173193</v>
      </c>
      <c r="C1725" t="s">
        <v>5919</v>
      </c>
      <c r="D1725" t="s">
        <v>3332</v>
      </c>
      <c r="E1725" t="s">
        <v>3582</v>
      </c>
    </row>
    <row r="1726" spans="1:5" x14ac:dyDescent="0.25">
      <c r="A1726" t="s">
        <v>3329</v>
      </c>
      <c r="B1726" t="str">
        <f>"4570158173186"</f>
        <v>4570158173186</v>
      </c>
      <c r="C1726" t="s">
        <v>5920</v>
      </c>
      <c r="D1726" t="s">
        <v>3332</v>
      </c>
      <c r="E1726" t="s">
        <v>3582</v>
      </c>
    </row>
    <row r="1727" spans="1:5" x14ac:dyDescent="0.25">
      <c r="A1727" t="s">
        <v>3329</v>
      </c>
      <c r="B1727" t="str">
        <f>"4570158173179"</f>
        <v>4570158173179</v>
      </c>
      <c r="C1727" t="s">
        <v>5921</v>
      </c>
      <c r="D1727" t="s">
        <v>3332</v>
      </c>
      <c r="E1727" t="s">
        <v>3582</v>
      </c>
    </row>
    <row r="1728" spans="1:5" x14ac:dyDescent="0.25">
      <c r="A1728" t="s">
        <v>3329</v>
      </c>
      <c r="B1728" t="str">
        <f>"4570158173162"</f>
        <v>4570158173162</v>
      </c>
      <c r="C1728" t="s">
        <v>5922</v>
      </c>
      <c r="D1728" t="s">
        <v>3332</v>
      </c>
      <c r="E1728" t="s">
        <v>3582</v>
      </c>
    </row>
    <row r="1729" spans="1:5" x14ac:dyDescent="0.25">
      <c r="A1729" t="s">
        <v>3329</v>
      </c>
      <c r="B1729" t="str">
        <f>"4570158173155"</f>
        <v>4570158173155</v>
      </c>
      <c r="C1729" t="s">
        <v>5923</v>
      </c>
      <c r="D1729" t="s">
        <v>3332</v>
      </c>
      <c r="E1729" t="s">
        <v>3582</v>
      </c>
    </row>
    <row r="1730" spans="1:5" x14ac:dyDescent="0.25">
      <c r="A1730" t="s">
        <v>3329</v>
      </c>
      <c r="B1730" t="str">
        <f>"4570158171816"</f>
        <v>4570158171816</v>
      </c>
      <c r="C1730" t="s">
        <v>5924</v>
      </c>
      <c r="D1730" t="s">
        <v>3332</v>
      </c>
      <c r="E1730" t="s">
        <v>3582</v>
      </c>
    </row>
    <row r="1731" spans="1:5" x14ac:dyDescent="0.25">
      <c r="A1731" t="s">
        <v>3329</v>
      </c>
      <c r="B1731" t="str">
        <f>"4570158171809"</f>
        <v>4570158171809</v>
      </c>
      <c r="C1731" t="s">
        <v>5925</v>
      </c>
      <c r="D1731" t="s">
        <v>3332</v>
      </c>
      <c r="E1731" t="s">
        <v>3582</v>
      </c>
    </row>
    <row r="1732" spans="1:5" x14ac:dyDescent="0.25">
      <c r="A1732" t="s">
        <v>3329</v>
      </c>
      <c r="B1732" t="str">
        <f>"4570158171793"</f>
        <v>4570158171793</v>
      </c>
      <c r="C1732" t="s">
        <v>5926</v>
      </c>
      <c r="D1732" t="s">
        <v>3332</v>
      </c>
      <c r="E1732" t="s">
        <v>3582</v>
      </c>
    </row>
    <row r="1733" spans="1:5" x14ac:dyDescent="0.25">
      <c r="A1733" t="s">
        <v>3329</v>
      </c>
      <c r="B1733" t="str">
        <f>"4570158171762"</f>
        <v>4570158171762</v>
      </c>
      <c r="C1733" t="s">
        <v>5927</v>
      </c>
      <c r="D1733" t="s">
        <v>3332</v>
      </c>
      <c r="E1733" t="s">
        <v>3582</v>
      </c>
    </row>
    <row r="1734" spans="1:5" x14ac:dyDescent="0.25">
      <c r="A1734" t="s">
        <v>3329</v>
      </c>
      <c r="B1734" t="str">
        <f>"4570158171755"</f>
        <v>4570158171755</v>
      </c>
      <c r="C1734" t="s">
        <v>5928</v>
      </c>
      <c r="D1734" t="s">
        <v>3332</v>
      </c>
      <c r="E1734" t="s">
        <v>3582</v>
      </c>
    </row>
    <row r="1735" spans="1:5" x14ac:dyDescent="0.25">
      <c r="A1735" t="s">
        <v>3329</v>
      </c>
      <c r="B1735" t="str">
        <f>"4570158168489"</f>
        <v>4570158168489</v>
      </c>
      <c r="C1735" t="s">
        <v>5929</v>
      </c>
      <c r="D1735" t="s">
        <v>3332</v>
      </c>
      <c r="E1735" t="s">
        <v>3582</v>
      </c>
    </row>
    <row r="1736" spans="1:5" x14ac:dyDescent="0.25">
      <c r="A1736" t="s">
        <v>3329</v>
      </c>
      <c r="B1736" t="str">
        <f>"4570158168472"</f>
        <v>4570158168472</v>
      </c>
      <c r="C1736" t="s">
        <v>5930</v>
      </c>
      <c r="D1736" t="s">
        <v>3332</v>
      </c>
      <c r="E1736" t="s">
        <v>3582</v>
      </c>
    </row>
    <row r="1737" spans="1:5" x14ac:dyDescent="0.25">
      <c r="A1737" t="s">
        <v>3329</v>
      </c>
      <c r="B1737" t="str">
        <f>"4570158168465"</f>
        <v>4570158168465</v>
      </c>
      <c r="C1737" t="s">
        <v>5931</v>
      </c>
      <c r="D1737" t="s">
        <v>3332</v>
      </c>
      <c r="E1737" t="s">
        <v>3582</v>
      </c>
    </row>
    <row r="1738" spans="1:5" x14ac:dyDescent="0.25">
      <c r="A1738" t="s">
        <v>3329</v>
      </c>
      <c r="B1738" t="str">
        <f>"4570158168441"</f>
        <v>4570158168441</v>
      </c>
      <c r="C1738" t="s">
        <v>5932</v>
      </c>
      <c r="D1738" t="s">
        <v>3332</v>
      </c>
      <c r="E1738" t="s">
        <v>3582</v>
      </c>
    </row>
    <row r="1739" spans="1:5" x14ac:dyDescent="0.25">
      <c r="A1739" t="s">
        <v>3329</v>
      </c>
      <c r="B1739" t="str">
        <f>"4570158168434"</f>
        <v>4570158168434</v>
      </c>
      <c r="C1739" t="s">
        <v>5933</v>
      </c>
      <c r="D1739" t="s">
        <v>3332</v>
      </c>
      <c r="E1739" t="s">
        <v>3582</v>
      </c>
    </row>
    <row r="1740" spans="1:5" x14ac:dyDescent="0.25">
      <c r="A1740" t="s">
        <v>3329</v>
      </c>
      <c r="B1740" t="str">
        <f>"4570158168427"</f>
        <v>4570158168427</v>
      </c>
      <c r="C1740" t="s">
        <v>5934</v>
      </c>
      <c r="D1740" t="s">
        <v>3332</v>
      </c>
      <c r="E1740" t="s">
        <v>3582</v>
      </c>
    </row>
    <row r="1741" spans="1:5" x14ac:dyDescent="0.25">
      <c r="A1741" t="s">
        <v>3329</v>
      </c>
      <c r="B1741" t="str">
        <f>"4570158168403"</f>
        <v>4570158168403</v>
      </c>
      <c r="C1741" t="s">
        <v>5935</v>
      </c>
      <c r="D1741" t="s">
        <v>3332</v>
      </c>
      <c r="E1741" t="s">
        <v>3582</v>
      </c>
    </row>
    <row r="1742" spans="1:5" x14ac:dyDescent="0.25">
      <c r="A1742" t="s">
        <v>3329</v>
      </c>
      <c r="B1742" t="str">
        <f>"4570158168335"</f>
        <v>4570158168335</v>
      </c>
      <c r="C1742" t="s">
        <v>5936</v>
      </c>
      <c r="D1742" t="s">
        <v>3332</v>
      </c>
      <c r="E1742" t="s">
        <v>3582</v>
      </c>
    </row>
    <row r="1743" spans="1:5" x14ac:dyDescent="0.25">
      <c r="A1743" t="s">
        <v>3329</v>
      </c>
      <c r="B1743" t="str">
        <f>"4570158168311"</f>
        <v>4570158168311</v>
      </c>
      <c r="C1743" t="s">
        <v>5937</v>
      </c>
      <c r="D1743" t="s">
        <v>3332</v>
      </c>
      <c r="E1743" t="s">
        <v>3582</v>
      </c>
    </row>
    <row r="1744" spans="1:5" x14ac:dyDescent="0.25">
      <c r="A1744" t="s">
        <v>3329</v>
      </c>
      <c r="B1744" t="str">
        <f>"4570158168298"</f>
        <v>4570158168298</v>
      </c>
      <c r="C1744" t="s">
        <v>5938</v>
      </c>
      <c r="D1744" t="s">
        <v>3332</v>
      </c>
      <c r="E1744" t="s">
        <v>3582</v>
      </c>
    </row>
    <row r="1745" spans="1:5" x14ac:dyDescent="0.25">
      <c r="A1745" t="s">
        <v>3329</v>
      </c>
      <c r="B1745" t="str">
        <f>"4570158168236"</f>
        <v>4570158168236</v>
      </c>
      <c r="C1745" t="s">
        <v>5939</v>
      </c>
      <c r="D1745" t="s">
        <v>3332</v>
      </c>
      <c r="E1745" t="s">
        <v>3582</v>
      </c>
    </row>
    <row r="1746" spans="1:5" x14ac:dyDescent="0.25">
      <c r="A1746" t="s">
        <v>3329</v>
      </c>
      <c r="B1746" t="str">
        <f>"4570158168229"</f>
        <v>4570158168229</v>
      </c>
      <c r="C1746" t="s">
        <v>5940</v>
      </c>
      <c r="D1746" t="s">
        <v>3332</v>
      </c>
      <c r="E1746" t="s">
        <v>3582</v>
      </c>
    </row>
    <row r="1747" spans="1:5" x14ac:dyDescent="0.25">
      <c r="A1747" t="s">
        <v>3329</v>
      </c>
      <c r="B1747" t="str">
        <f>"4570158167482"</f>
        <v>4570158167482</v>
      </c>
      <c r="C1747" t="s">
        <v>5941</v>
      </c>
      <c r="D1747" t="s">
        <v>3332</v>
      </c>
      <c r="E1747" t="s">
        <v>3582</v>
      </c>
    </row>
    <row r="1748" spans="1:5" x14ac:dyDescent="0.25">
      <c r="A1748" t="s">
        <v>3329</v>
      </c>
      <c r="B1748" t="str">
        <f>"4570158167475"</f>
        <v>4570158167475</v>
      </c>
      <c r="C1748" t="s">
        <v>5942</v>
      </c>
      <c r="D1748" t="s">
        <v>3332</v>
      </c>
      <c r="E1748" t="s">
        <v>3582</v>
      </c>
    </row>
    <row r="1749" spans="1:5" x14ac:dyDescent="0.25">
      <c r="A1749" t="s">
        <v>3329</v>
      </c>
      <c r="B1749" t="str">
        <f>"4570158167468"</f>
        <v>4570158167468</v>
      </c>
      <c r="C1749" t="s">
        <v>5943</v>
      </c>
      <c r="D1749" t="s">
        <v>3332</v>
      </c>
      <c r="E1749" t="s">
        <v>3582</v>
      </c>
    </row>
    <row r="1750" spans="1:5" x14ac:dyDescent="0.25">
      <c r="A1750" t="s">
        <v>3329</v>
      </c>
      <c r="B1750" t="str">
        <f>"4570158167444"</f>
        <v>4570158167444</v>
      </c>
      <c r="C1750" t="s">
        <v>5944</v>
      </c>
      <c r="D1750" t="s">
        <v>3332</v>
      </c>
      <c r="E1750" t="s">
        <v>3582</v>
      </c>
    </row>
    <row r="1751" spans="1:5" x14ac:dyDescent="0.25">
      <c r="A1751" t="s">
        <v>3329</v>
      </c>
      <c r="B1751" t="str">
        <f>"4570158167437"</f>
        <v>4570158167437</v>
      </c>
      <c r="C1751" t="s">
        <v>5945</v>
      </c>
      <c r="D1751" t="s">
        <v>3332</v>
      </c>
      <c r="E1751" t="s">
        <v>3582</v>
      </c>
    </row>
    <row r="1752" spans="1:5" x14ac:dyDescent="0.25">
      <c r="A1752" t="s">
        <v>3329</v>
      </c>
      <c r="B1752" t="str">
        <f>"4570158167413"</f>
        <v>4570158167413</v>
      </c>
      <c r="C1752" t="s">
        <v>5946</v>
      </c>
      <c r="D1752" t="s">
        <v>3332</v>
      </c>
      <c r="E1752" t="s">
        <v>3582</v>
      </c>
    </row>
    <row r="1753" spans="1:5" x14ac:dyDescent="0.25">
      <c r="A1753" t="s">
        <v>3329</v>
      </c>
      <c r="B1753" t="str">
        <f>"4570158167406"</f>
        <v>4570158167406</v>
      </c>
      <c r="C1753" t="s">
        <v>5947</v>
      </c>
      <c r="D1753" t="s">
        <v>3332</v>
      </c>
      <c r="E1753" t="s">
        <v>3582</v>
      </c>
    </row>
    <row r="1754" spans="1:5" x14ac:dyDescent="0.25">
      <c r="A1754" t="s">
        <v>3329</v>
      </c>
      <c r="B1754" t="str">
        <f>"4570158167383"</f>
        <v>4570158167383</v>
      </c>
      <c r="C1754" t="s">
        <v>5948</v>
      </c>
      <c r="D1754" t="s">
        <v>3332</v>
      </c>
      <c r="E1754" t="s">
        <v>3582</v>
      </c>
    </row>
    <row r="1755" spans="1:5" x14ac:dyDescent="0.25">
      <c r="A1755" t="s">
        <v>3329</v>
      </c>
      <c r="B1755" t="str">
        <f>"4570158167369"</f>
        <v>4570158167369</v>
      </c>
      <c r="C1755" t="s">
        <v>5949</v>
      </c>
      <c r="D1755" t="s">
        <v>3332</v>
      </c>
      <c r="E1755" t="s">
        <v>3582</v>
      </c>
    </row>
    <row r="1756" spans="1:5" x14ac:dyDescent="0.25">
      <c r="A1756" t="s">
        <v>3329</v>
      </c>
      <c r="B1756" t="str">
        <f>"4570158167116"</f>
        <v>4570158167116</v>
      </c>
      <c r="C1756" t="s">
        <v>5950</v>
      </c>
      <c r="D1756" t="s">
        <v>3332</v>
      </c>
      <c r="E1756" t="s">
        <v>3582</v>
      </c>
    </row>
    <row r="1757" spans="1:5" x14ac:dyDescent="0.25">
      <c r="A1757" t="s">
        <v>3329</v>
      </c>
      <c r="B1757" t="str">
        <f>"4570158167000"</f>
        <v>4570158167000</v>
      </c>
      <c r="C1757" t="s">
        <v>5951</v>
      </c>
      <c r="D1757" t="s">
        <v>3332</v>
      </c>
      <c r="E1757" t="s">
        <v>3582</v>
      </c>
    </row>
    <row r="1758" spans="1:5" x14ac:dyDescent="0.25">
      <c r="A1758" t="s">
        <v>3329</v>
      </c>
      <c r="B1758" t="str">
        <f>"4570158165228"</f>
        <v>4570158165228</v>
      </c>
      <c r="C1758" t="s">
        <v>5952</v>
      </c>
      <c r="D1758" t="s">
        <v>3332</v>
      </c>
      <c r="E1758" t="s">
        <v>3582</v>
      </c>
    </row>
    <row r="1759" spans="1:5" x14ac:dyDescent="0.25">
      <c r="A1759" t="s">
        <v>3329</v>
      </c>
      <c r="B1759" t="str">
        <f>"4570158165211"</f>
        <v>4570158165211</v>
      </c>
      <c r="C1759" t="s">
        <v>5953</v>
      </c>
      <c r="D1759" t="s">
        <v>3332</v>
      </c>
      <c r="E1759" t="s">
        <v>3582</v>
      </c>
    </row>
    <row r="1760" spans="1:5" x14ac:dyDescent="0.25">
      <c r="A1760" t="s">
        <v>3329</v>
      </c>
      <c r="B1760" t="str">
        <f>"4570158165204"</f>
        <v>4570158165204</v>
      </c>
      <c r="C1760" t="s">
        <v>5954</v>
      </c>
      <c r="D1760" t="s">
        <v>3332</v>
      </c>
      <c r="E1760" t="s">
        <v>3582</v>
      </c>
    </row>
    <row r="1761" spans="1:5" x14ac:dyDescent="0.25">
      <c r="A1761" t="s">
        <v>3329</v>
      </c>
      <c r="B1761" t="str">
        <f>"4570158165198"</f>
        <v>4570158165198</v>
      </c>
      <c r="C1761" t="s">
        <v>5955</v>
      </c>
      <c r="D1761" t="s">
        <v>3332</v>
      </c>
      <c r="E1761" t="s">
        <v>3582</v>
      </c>
    </row>
    <row r="1762" spans="1:5" x14ac:dyDescent="0.25">
      <c r="A1762" t="s">
        <v>3329</v>
      </c>
      <c r="B1762" t="str">
        <f>"4570158165181"</f>
        <v>4570158165181</v>
      </c>
      <c r="C1762" t="s">
        <v>5956</v>
      </c>
      <c r="D1762" t="s">
        <v>3332</v>
      </c>
      <c r="E1762" t="s">
        <v>3582</v>
      </c>
    </row>
    <row r="1763" spans="1:5" x14ac:dyDescent="0.25">
      <c r="A1763" t="s">
        <v>3329</v>
      </c>
      <c r="B1763" t="str">
        <f>"4570158165150"</f>
        <v>4570158165150</v>
      </c>
      <c r="C1763" t="s">
        <v>5957</v>
      </c>
      <c r="D1763" t="s">
        <v>3332</v>
      </c>
      <c r="E1763" t="s">
        <v>3582</v>
      </c>
    </row>
    <row r="1764" spans="1:5" x14ac:dyDescent="0.25">
      <c r="A1764" t="s">
        <v>3329</v>
      </c>
      <c r="B1764" t="str">
        <f>"4570158165136"</f>
        <v>4570158165136</v>
      </c>
      <c r="C1764" t="s">
        <v>5958</v>
      </c>
      <c r="D1764" t="s">
        <v>3332</v>
      </c>
      <c r="E1764" t="s">
        <v>3582</v>
      </c>
    </row>
    <row r="1765" spans="1:5" x14ac:dyDescent="0.25">
      <c r="A1765" t="s">
        <v>3329</v>
      </c>
      <c r="B1765" t="str">
        <f>"4570158165129"</f>
        <v>4570158165129</v>
      </c>
      <c r="C1765" t="s">
        <v>5959</v>
      </c>
      <c r="D1765" t="s">
        <v>3332</v>
      </c>
      <c r="E1765" t="s">
        <v>3582</v>
      </c>
    </row>
    <row r="1766" spans="1:5" x14ac:dyDescent="0.25">
      <c r="A1766" t="s">
        <v>3329</v>
      </c>
      <c r="B1766" t="str">
        <f>"4570158165112"</f>
        <v>4570158165112</v>
      </c>
      <c r="C1766" t="s">
        <v>5960</v>
      </c>
      <c r="D1766" t="s">
        <v>3332</v>
      </c>
      <c r="E1766" t="s">
        <v>3582</v>
      </c>
    </row>
    <row r="1767" spans="1:5" x14ac:dyDescent="0.25">
      <c r="A1767" t="s">
        <v>3329</v>
      </c>
      <c r="B1767" t="str">
        <f>"4570158165082"</f>
        <v>4570158165082</v>
      </c>
      <c r="C1767" t="s">
        <v>5961</v>
      </c>
      <c r="D1767" t="s">
        <v>3332</v>
      </c>
      <c r="E1767" t="s">
        <v>3582</v>
      </c>
    </row>
    <row r="1768" spans="1:5" x14ac:dyDescent="0.25">
      <c r="A1768" t="s">
        <v>3329</v>
      </c>
      <c r="B1768" t="str">
        <f>"4570158165075"</f>
        <v>4570158165075</v>
      </c>
      <c r="C1768" t="s">
        <v>5962</v>
      </c>
      <c r="D1768" t="s">
        <v>3332</v>
      </c>
      <c r="E1768" t="s">
        <v>3582</v>
      </c>
    </row>
    <row r="1769" spans="1:5" x14ac:dyDescent="0.25">
      <c r="A1769" t="s">
        <v>3329</v>
      </c>
      <c r="B1769" t="str">
        <f>"4570158165068"</f>
        <v>4570158165068</v>
      </c>
      <c r="C1769" t="s">
        <v>5963</v>
      </c>
      <c r="D1769" t="s">
        <v>3332</v>
      </c>
      <c r="E1769" t="s">
        <v>3582</v>
      </c>
    </row>
    <row r="1770" spans="1:5" x14ac:dyDescent="0.25">
      <c r="A1770" t="s">
        <v>3329</v>
      </c>
      <c r="B1770" t="str">
        <f>"4570158165051"</f>
        <v>4570158165051</v>
      </c>
      <c r="C1770" t="s">
        <v>5964</v>
      </c>
      <c r="D1770" t="s">
        <v>3332</v>
      </c>
      <c r="E1770" t="s">
        <v>3582</v>
      </c>
    </row>
    <row r="1771" spans="1:5" x14ac:dyDescent="0.25">
      <c r="A1771" t="s">
        <v>3329</v>
      </c>
      <c r="B1771" t="str">
        <f>"4570158165037"</f>
        <v>4570158165037</v>
      </c>
      <c r="C1771" t="s">
        <v>5965</v>
      </c>
      <c r="D1771" t="s">
        <v>3332</v>
      </c>
      <c r="E1771" t="s">
        <v>3582</v>
      </c>
    </row>
    <row r="1772" spans="1:5" x14ac:dyDescent="0.25">
      <c r="A1772" t="s">
        <v>3329</v>
      </c>
      <c r="B1772" t="str">
        <f>"4570158165013"</f>
        <v>4570158165013</v>
      </c>
      <c r="C1772" t="s">
        <v>5966</v>
      </c>
      <c r="D1772" t="s">
        <v>3332</v>
      </c>
      <c r="E1772" t="s">
        <v>3582</v>
      </c>
    </row>
    <row r="1773" spans="1:5" x14ac:dyDescent="0.25">
      <c r="A1773" t="s">
        <v>3329</v>
      </c>
      <c r="B1773" t="str">
        <f>"4570158164993"</f>
        <v>4570158164993</v>
      </c>
      <c r="C1773" t="s">
        <v>5967</v>
      </c>
      <c r="D1773" t="s">
        <v>3332</v>
      </c>
      <c r="E1773" t="s">
        <v>3582</v>
      </c>
    </row>
    <row r="1774" spans="1:5" x14ac:dyDescent="0.25">
      <c r="A1774" t="s">
        <v>3329</v>
      </c>
      <c r="B1774" t="str">
        <f>"4570158164962"</f>
        <v>4570158164962</v>
      </c>
      <c r="C1774" t="s">
        <v>5968</v>
      </c>
      <c r="D1774" t="s">
        <v>3332</v>
      </c>
      <c r="E1774" t="s">
        <v>3582</v>
      </c>
    </row>
    <row r="1775" spans="1:5" x14ac:dyDescent="0.25">
      <c r="A1775" t="s">
        <v>3329</v>
      </c>
      <c r="B1775" t="str">
        <f>"4570158164085"</f>
        <v>4570158164085</v>
      </c>
      <c r="C1775" t="s">
        <v>5969</v>
      </c>
      <c r="D1775" t="s">
        <v>3332</v>
      </c>
      <c r="E1775" t="s">
        <v>3582</v>
      </c>
    </row>
    <row r="1776" spans="1:5" x14ac:dyDescent="0.25">
      <c r="A1776" t="s">
        <v>3329</v>
      </c>
      <c r="B1776" t="str">
        <f>"4570158164047"</f>
        <v>4570158164047</v>
      </c>
      <c r="C1776" t="s">
        <v>5970</v>
      </c>
      <c r="D1776" t="s">
        <v>3332</v>
      </c>
      <c r="E1776" t="s">
        <v>3582</v>
      </c>
    </row>
    <row r="1777" spans="1:5" x14ac:dyDescent="0.25">
      <c r="A1777" t="s">
        <v>3329</v>
      </c>
      <c r="B1777" t="str">
        <f>"4570158164023"</f>
        <v>4570158164023</v>
      </c>
      <c r="C1777" t="s">
        <v>5971</v>
      </c>
      <c r="D1777" t="s">
        <v>3332</v>
      </c>
      <c r="E1777" t="s">
        <v>3582</v>
      </c>
    </row>
    <row r="1778" spans="1:5" x14ac:dyDescent="0.25">
      <c r="A1778" t="s">
        <v>3329</v>
      </c>
      <c r="B1778" t="str">
        <f>"4570158163972"</f>
        <v>4570158163972</v>
      </c>
      <c r="C1778" t="s">
        <v>5972</v>
      </c>
      <c r="D1778" t="s">
        <v>3332</v>
      </c>
      <c r="E1778" t="s">
        <v>3582</v>
      </c>
    </row>
    <row r="1779" spans="1:5" x14ac:dyDescent="0.25">
      <c r="A1779" t="s">
        <v>3329</v>
      </c>
      <c r="B1779" t="str">
        <f>"4570158163941"</f>
        <v>4570158163941</v>
      </c>
      <c r="C1779" t="s">
        <v>5973</v>
      </c>
      <c r="D1779" t="s">
        <v>3332</v>
      </c>
      <c r="E1779" t="s">
        <v>3582</v>
      </c>
    </row>
    <row r="1780" spans="1:5" x14ac:dyDescent="0.25">
      <c r="A1780" t="s">
        <v>3329</v>
      </c>
      <c r="B1780" t="str">
        <f>"45566303691"</f>
        <v>45566303691</v>
      </c>
      <c r="C1780" t="s">
        <v>5974</v>
      </c>
      <c r="D1780" t="s">
        <v>3332</v>
      </c>
      <c r="E1780" t="s">
        <v>3339</v>
      </c>
    </row>
    <row r="1781" spans="1:5" x14ac:dyDescent="0.25">
      <c r="A1781" t="s">
        <v>3329</v>
      </c>
      <c r="B1781" t="str">
        <f>"45566303660"</f>
        <v>45566303660</v>
      </c>
      <c r="C1781" t="s">
        <v>5975</v>
      </c>
      <c r="D1781" t="s">
        <v>3332</v>
      </c>
      <c r="E1781" t="s">
        <v>3339</v>
      </c>
    </row>
    <row r="1782" spans="1:5" x14ac:dyDescent="0.25">
      <c r="A1782" t="s">
        <v>3329</v>
      </c>
      <c r="B1782" t="str">
        <f>"4550457832205"</f>
        <v>4550457832205</v>
      </c>
      <c r="C1782" t="s">
        <v>5976</v>
      </c>
      <c r="D1782" t="s">
        <v>3332</v>
      </c>
      <c r="E1782" t="s">
        <v>3582</v>
      </c>
    </row>
    <row r="1783" spans="1:5" x14ac:dyDescent="0.25">
      <c r="A1783" t="s">
        <v>3329</v>
      </c>
      <c r="B1783" t="str">
        <f>"4550457832199"</f>
        <v>4550457832199</v>
      </c>
      <c r="C1783" t="s">
        <v>5977</v>
      </c>
      <c r="D1783" t="s">
        <v>3332</v>
      </c>
      <c r="E1783" t="s">
        <v>3582</v>
      </c>
    </row>
    <row r="1784" spans="1:5" x14ac:dyDescent="0.25">
      <c r="A1784" t="s">
        <v>3329</v>
      </c>
      <c r="B1784" t="str">
        <f>"4550457832137"</f>
        <v>4550457832137</v>
      </c>
      <c r="C1784" t="s">
        <v>5978</v>
      </c>
      <c r="D1784" t="s">
        <v>3332</v>
      </c>
      <c r="E1784" t="s">
        <v>3582</v>
      </c>
    </row>
    <row r="1785" spans="1:5" x14ac:dyDescent="0.25">
      <c r="A1785" t="s">
        <v>3329</v>
      </c>
      <c r="B1785" t="str">
        <f>"4550457832090"</f>
        <v>4550457832090</v>
      </c>
      <c r="C1785" t="s">
        <v>5979</v>
      </c>
      <c r="D1785" t="s">
        <v>3332</v>
      </c>
      <c r="E1785" t="s">
        <v>3582</v>
      </c>
    </row>
    <row r="1786" spans="1:5" x14ac:dyDescent="0.25">
      <c r="A1786" t="s">
        <v>3329</v>
      </c>
      <c r="B1786" t="str">
        <f>"4550457832076"</f>
        <v>4550457832076</v>
      </c>
      <c r="C1786" t="s">
        <v>5980</v>
      </c>
      <c r="D1786" t="s">
        <v>3332</v>
      </c>
      <c r="E1786" t="s">
        <v>3582</v>
      </c>
    </row>
    <row r="1787" spans="1:5" x14ac:dyDescent="0.25">
      <c r="A1787" t="s">
        <v>3329</v>
      </c>
      <c r="B1787" t="str">
        <f>"4550457832069"</f>
        <v>4550457832069</v>
      </c>
      <c r="C1787" t="s">
        <v>5981</v>
      </c>
      <c r="D1787" t="s">
        <v>3332</v>
      </c>
      <c r="E1787" t="s">
        <v>3582</v>
      </c>
    </row>
    <row r="1788" spans="1:5" x14ac:dyDescent="0.25">
      <c r="A1788" t="s">
        <v>3329</v>
      </c>
      <c r="B1788" t="str">
        <f>"4550457832052"</f>
        <v>4550457832052</v>
      </c>
      <c r="C1788" t="s">
        <v>5982</v>
      </c>
      <c r="D1788" t="s">
        <v>3332</v>
      </c>
      <c r="E1788" t="s">
        <v>3582</v>
      </c>
    </row>
    <row r="1789" spans="1:5" x14ac:dyDescent="0.25">
      <c r="A1789" t="s">
        <v>3329</v>
      </c>
      <c r="B1789" t="str">
        <f>"4550457831192"</f>
        <v>4550457831192</v>
      </c>
      <c r="C1789" t="s">
        <v>5983</v>
      </c>
      <c r="D1789" t="s">
        <v>3332</v>
      </c>
      <c r="E1789" t="s">
        <v>3582</v>
      </c>
    </row>
    <row r="1790" spans="1:5" x14ac:dyDescent="0.25">
      <c r="A1790" t="s">
        <v>3329</v>
      </c>
      <c r="B1790" t="str">
        <f>"4550457831178"</f>
        <v>4550457831178</v>
      </c>
      <c r="C1790" t="s">
        <v>5984</v>
      </c>
      <c r="D1790" t="s">
        <v>3332</v>
      </c>
      <c r="E1790" t="s">
        <v>3582</v>
      </c>
    </row>
    <row r="1791" spans="1:5" x14ac:dyDescent="0.25">
      <c r="A1791" t="s">
        <v>3329</v>
      </c>
      <c r="B1791" t="str">
        <f>"4550457831123"</f>
        <v>4550457831123</v>
      </c>
      <c r="C1791" t="s">
        <v>5985</v>
      </c>
      <c r="D1791" t="s">
        <v>3332</v>
      </c>
      <c r="E1791" t="s">
        <v>3582</v>
      </c>
    </row>
    <row r="1792" spans="1:5" x14ac:dyDescent="0.25">
      <c r="A1792" t="s">
        <v>3329</v>
      </c>
      <c r="B1792" t="str">
        <f>"4550457831109"</f>
        <v>4550457831109</v>
      </c>
      <c r="C1792" t="s">
        <v>5986</v>
      </c>
      <c r="D1792" t="s">
        <v>3332</v>
      </c>
      <c r="E1792" t="s">
        <v>3582</v>
      </c>
    </row>
    <row r="1793" spans="1:5" x14ac:dyDescent="0.25">
      <c r="A1793" t="s">
        <v>3329</v>
      </c>
      <c r="B1793" t="str">
        <f>"4550457831024"</f>
        <v>4550457831024</v>
      </c>
      <c r="C1793" t="s">
        <v>5987</v>
      </c>
      <c r="D1793" t="s">
        <v>3332</v>
      </c>
      <c r="E1793" t="s">
        <v>3582</v>
      </c>
    </row>
    <row r="1794" spans="1:5" x14ac:dyDescent="0.25">
      <c r="A1794" t="s">
        <v>3329</v>
      </c>
      <c r="B1794" t="str">
        <f>"4550457831000"</f>
        <v>4550457831000</v>
      </c>
      <c r="C1794" t="s">
        <v>5988</v>
      </c>
      <c r="D1794" t="s">
        <v>3332</v>
      </c>
      <c r="E1794" t="s">
        <v>3582</v>
      </c>
    </row>
    <row r="1795" spans="1:5" x14ac:dyDescent="0.25">
      <c r="A1795" t="s">
        <v>3329</v>
      </c>
      <c r="B1795" t="str">
        <f>"4550457829007"</f>
        <v>4550457829007</v>
      </c>
      <c r="C1795" t="s">
        <v>5989</v>
      </c>
      <c r="D1795" t="s">
        <v>3332</v>
      </c>
      <c r="E1795" t="s">
        <v>3582</v>
      </c>
    </row>
    <row r="1796" spans="1:5" x14ac:dyDescent="0.25">
      <c r="A1796" t="s">
        <v>3329</v>
      </c>
      <c r="B1796" t="str">
        <f>"4550457828970"</f>
        <v>4550457828970</v>
      </c>
      <c r="C1796" t="s">
        <v>5990</v>
      </c>
      <c r="D1796" t="s">
        <v>3332</v>
      </c>
      <c r="E1796" t="s">
        <v>3582</v>
      </c>
    </row>
    <row r="1797" spans="1:5" x14ac:dyDescent="0.25">
      <c r="A1797" t="s">
        <v>3329</v>
      </c>
      <c r="B1797" t="str">
        <f>"4550457828963"</f>
        <v>4550457828963</v>
      </c>
      <c r="C1797" t="s">
        <v>5991</v>
      </c>
      <c r="D1797" t="s">
        <v>3332</v>
      </c>
      <c r="E1797" t="s">
        <v>3582</v>
      </c>
    </row>
    <row r="1798" spans="1:5" x14ac:dyDescent="0.25">
      <c r="A1798" t="s">
        <v>3329</v>
      </c>
      <c r="B1798" t="str">
        <f>"4550457828956"</f>
        <v>4550457828956</v>
      </c>
      <c r="C1798" t="s">
        <v>5992</v>
      </c>
      <c r="D1798" t="s">
        <v>3332</v>
      </c>
      <c r="E1798" t="s">
        <v>3582</v>
      </c>
    </row>
    <row r="1799" spans="1:5" x14ac:dyDescent="0.25">
      <c r="A1799" t="s">
        <v>3329</v>
      </c>
      <c r="B1799" t="str">
        <f>"4550457828918"</f>
        <v>4550457828918</v>
      </c>
      <c r="C1799" t="s">
        <v>5993</v>
      </c>
      <c r="D1799" t="s">
        <v>3332</v>
      </c>
      <c r="E1799" t="s">
        <v>3582</v>
      </c>
    </row>
    <row r="1800" spans="1:5" x14ac:dyDescent="0.25">
      <c r="A1800" t="s">
        <v>3329</v>
      </c>
      <c r="B1800" t="str">
        <f>"4550457828895"</f>
        <v>4550457828895</v>
      </c>
      <c r="C1800" t="s">
        <v>5994</v>
      </c>
      <c r="D1800" t="s">
        <v>3332</v>
      </c>
      <c r="E1800" t="s">
        <v>3582</v>
      </c>
    </row>
    <row r="1801" spans="1:5" x14ac:dyDescent="0.25">
      <c r="A1801" t="s">
        <v>3329</v>
      </c>
      <c r="B1801" t="str">
        <f>"4550457828888"</f>
        <v>4550457828888</v>
      </c>
      <c r="C1801" t="s">
        <v>5995</v>
      </c>
      <c r="D1801" t="s">
        <v>3332</v>
      </c>
      <c r="E1801" t="s">
        <v>3582</v>
      </c>
    </row>
    <row r="1802" spans="1:5" x14ac:dyDescent="0.25">
      <c r="A1802" t="s">
        <v>3329</v>
      </c>
      <c r="B1802" t="str">
        <f>"4550457828871"</f>
        <v>4550457828871</v>
      </c>
      <c r="C1802" t="s">
        <v>5996</v>
      </c>
      <c r="D1802" t="s">
        <v>3332</v>
      </c>
      <c r="E1802" t="s">
        <v>3582</v>
      </c>
    </row>
    <row r="1803" spans="1:5" x14ac:dyDescent="0.25">
      <c r="A1803" t="s">
        <v>3329</v>
      </c>
      <c r="B1803" t="str">
        <f>"4550457828451"</f>
        <v>4550457828451</v>
      </c>
      <c r="C1803" t="s">
        <v>5997</v>
      </c>
      <c r="D1803" t="s">
        <v>3332</v>
      </c>
      <c r="E1803" t="s">
        <v>3582</v>
      </c>
    </row>
    <row r="1804" spans="1:5" x14ac:dyDescent="0.25">
      <c r="A1804" t="s">
        <v>3329</v>
      </c>
      <c r="B1804" t="str">
        <f>"4550457828444"</f>
        <v>4550457828444</v>
      </c>
      <c r="C1804" t="s">
        <v>5998</v>
      </c>
      <c r="D1804" t="s">
        <v>3332</v>
      </c>
      <c r="E1804" t="s">
        <v>3582</v>
      </c>
    </row>
    <row r="1805" spans="1:5" x14ac:dyDescent="0.25">
      <c r="A1805" t="s">
        <v>3329</v>
      </c>
      <c r="B1805" t="str">
        <f>"4550457828406"</f>
        <v>4550457828406</v>
      </c>
      <c r="C1805" t="s">
        <v>5999</v>
      </c>
      <c r="D1805" t="s">
        <v>3332</v>
      </c>
      <c r="E1805" t="s">
        <v>3582</v>
      </c>
    </row>
    <row r="1806" spans="1:5" x14ac:dyDescent="0.25">
      <c r="A1806" t="s">
        <v>3329</v>
      </c>
      <c r="B1806" t="str">
        <f>"4550457828390"</f>
        <v>4550457828390</v>
      </c>
      <c r="C1806" t="s">
        <v>6000</v>
      </c>
      <c r="D1806" t="s">
        <v>3332</v>
      </c>
      <c r="E1806" t="s">
        <v>3582</v>
      </c>
    </row>
    <row r="1807" spans="1:5" x14ac:dyDescent="0.25">
      <c r="A1807" t="s">
        <v>3329</v>
      </c>
      <c r="B1807" t="str">
        <f>"4550457828383"</f>
        <v>4550457828383</v>
      </c>
      <c r="C1807" t="s">
        <v>6001</v>
      </c>
      <c r="D1807" t="s">
        <v>3332</v>
      </c>
      <c r="E1807" t="s">
        <v>3582</v>
      </c>
    </row>
    <row r="1808" spans="1:5" x14ac:dyDescent="0.25">
      <c r="A1808" t="s">
        <v>3329</v>
      </c>
      <c r="B1808" t="str">
        <f>"4550457828352"</f>
        <v>4550457828352</v>
      </c>
      <c r="C1808" t="s">
        <v>6002</v>
      </c>
      <c r="D1808" t="s">
        <v>3332</v>
      </c>
      <c r="E1808" t="s">
        <v>3582</v>
      </c>
    </row>
    <row r="1809" spans="1:5" x14ac:dyDescent="0.25">
      <c r="A1809" t="s">
        <v>3329</v>
      </c>
      <c r="B1809" t="str">
        <f>"4550457828314"</f>
        <v>4550457828314</v>
      </c>
      <c r="C1809" t="s">
        <v>6003</v>
      </c>
      <c r="D1809" t="s">
        <v>3332</v>
      </c>
      <c r="E1809" t="s">
        <v>3582</v>
      </c>
    </row>
    <row r="1810" spans="1:5" x14ac:dyDescent="0.25">
      <c r="A1810" t="s">
        <v>3329</v>
      </c>
      <c r="B1810" t="str">
        <f>"4550457680400"</f>
        <v>4550457680400</v>
      </c>
      <c r="C1810" t="s">
        <v>6004</v>
      </c>
      <c r="D1810" t="s">
        <v>3332</v>
      </c>
      <c r="E1810" t="s">
        <v>3582</v>
      </c>
    </row>
    <row r="1811" spans="1:5" x14ac:dyDescent="0.25">
      <c r="A1811" t="s">
        <v>3329</v>
      </c>
      <c r="B1811" t="str">
        <f>"4550457680295"</f>
        <v>4550457680295</v>
      </c>
      <c r="C1811" t="s">
        <v>6005</v>
      </c>
      <c r="D1811" t="s">
        <v>3332</v>
      </c>
      <c r="E1811" t="s">
        <v>3582</v>
      </c>
    </row>
    <row r="1812" spans="1:5" x14ac:dyDescent="0.25">
      <c r="A1812" t="s">
        <v>3329</v>
      </c>
      <c r="B1812" t="str">
        <f>"4550457680288"</f>
        <v>4550457680288</v>
      </c>
      <c r="C1812" t="s">
        <v>6006</v>
      </c>
      <c r="D1812" t="s">
        <v>3332</v>
      </c>
      <c r="E1812" t="s">
        <v>3582</v>
      </c>
    </row>
    <row r="1813" spans="1:5" x14ac:dyDescent="0.25">
      <c r="A1813" t="s">
        <v>3329</v>
      </c>
      <c r="B1813" t="str">
        <f>"4550457680271"</f>
        <v>4550457680271</v>
      </c>
      <c r="C1813" t="s">
        <v>6007</v>
      </c>
      <c r="D1813" t="s">
        <v>3332</v>
      </c>
      <c r="E1813" t="s">
        <v>3582</v>
      </c>
    </row>
    <row r="1814" spans="1:5" x14ac:dyDescent="0.25">
      <c r="A1814" t="s">
        <v>3329</v>
      </c>
      <c r="B1814" t="str">
        <f>"4550457679596"</f>
        <v>4550457679596</v>
      </c>
      <c r="C1814" t="s">
        <v>6008</v>
      </c>
      <c r="D1814" t="s">
        <v>3332</v>
      </c>
      <c r="E1814" t="s">
        <v>3582</v>
      </c>
    </row>
    <row r="1815" spans="1:5" x14ac:dyDescent="0.25">
      <c r="A1815" t="s">
        <v>3329</v>
      </c>
      <c r="B1815" t="str">
        <f>"4550457679589"</f>
        <v>4550457679589</v>
      </c>
      <c r="C1815" t="s">
        <v>6009</v>
      </c>
      <c r="D1815" t="s">
        <v>3332</v>
      </c>
      <c r="E1815" t="s">
        <v>3582</v>
      </c>
    </row>
    <row r="1816" spans="1:5" x14ac:dyDescent="0.25">
      <c r="A1816" t="s">
        <v>3329</v>
      </c>
      <c r="B1816" t="str">
        <f>"4550457679572"</f>
        <v>4550457679572</v>
      </c>
      <c r="C1816" t="s">
        <v>6010</v>
      </c>
      <c r="D1816" t="s">
        <v>3332</v>
      </c>
      <c r="E1816" t="s">
        <v>3582</v>
      </c>
    </row>
    <row r="1817" spans="1:5" x14ac:dyDescent="0.25">
      <c r="A1817" t="s">
        <v>3329</v>
      </c>
      <c r="B1817" t="str">
        <f>"4550457679565"</f>
        <v>4550457679565</v>
      </c>
      <c r="C1817" t="s">
        <v>6011</v>
      </c>
      <c r="D1817" t="s">
        <v>3332</v>
      </c>
      <c r="E1817" t="s">
        <v>3582</v>
      </c>
    </row>
    <row r="1818" spans="1:5" x14ac:dyDescent="0.25">
      <c r="A1818" t="s">
        <v>3329</v>
      </c>
      <c r="B1818" t="str">
        <f>"4550457679558"</f>
        <v>4550457679558</v>
      </c>
      <c r="C1818" t="s">
        <v>6012</v>
      </c>
      <c r="D1818" t="s">
        <v>3332</v>
      </c>
      <c r="E1818" t="s">
        <v>3582</v>
      </c>
    </row>
    <row r="1819" spans="1:5" x14ac:dyDescent="0.25">
      <c r="A1819" t="s">
        <v>3329</v>
      </c>
      <c r="B1819" t="str">
        <f>"4550457679527"</f>
        <v>4550457679527</v>
      </c>
      <c r="C1819" t="s">
        <v>6013</v>
      </c>
      <c r="D1819" t="s">
        <v>3332</v>
      </c>
      <c r="E1819" t="s">
        <v>3582</v>
      </c>
    </row>
    <row r="1820" spans="1:5" x14ac:dyDescent="0.25">
      <c r="A1820" t="s">
        <v>3329</v>
      </c>
      <c r="B1820" t="str">
        <f>"4550457679480"</f>
        <v>4550457679480</v>
      </c>
      <c r="C1820" t="s">
        <v>6014</v>
      </c>
      <c r="D1820" t="s">
        <v>3332</v>
      </c>
      <c r="E1820" t="s">
        <v>3582</v>
      </c>
    </row>
    <row r="1821" spans="1:5" x14ac:dyDescent="0.25">
      <c r="A1821" t="s">
        <v>3329</v>
      </c>
      <c r="B1821" t="str">
        <f>"4550457676915"</f>
        <v>4550457676915</v>
      </c>
      <c r="C1821" t="s">
        <v>6015</v>
      </c>
      <c r="D1821" t="s">
        <v>3332</v>
      </c>
      <c r="E1821" t="s">
        <v>3582</v>
      </c>
    </row>
    <row r="1822" spans="1:5" x14ac:dyDescent="0.25">
      <c r="A1822" t="s">
        <v>3329</v>
      </c>
      <c r="B1822" t="str">
        <f>"4550457676892"</f>
        <v>4550457676892</v>
      </c>
      <c r="C1822" t="s">
        <v>6016</v>
      </c>
      <c r="D1822" t="s">
        <v>3332</v>
      </c>
      <c r="E1822" t="s">
        <v>3582</v>
      </c>
    </row>
    <row r="1823" spans="1:5" x14ac:dyDescent="0.25">
      <c r="A1823" t="s">
        <v>3329</v>
      </c>
      <c r="B1823" t="str">
        <f>"4550457676885"</f>
        <v>4550457676885</v>
      </c>
      <c r="C1823" t="s">
        <v>6017</v>
      </c>
      <c r="D1823" t="s">
        <v>3332</v>
      </c>
      <c r="E1823" t="s">
        <v>3582</v>
      </c>
    </row>
    <row r="1824" spans="1:5" x14ac:dyDescent="0.25">
      <c r="A1824" t="s">
        <v>3329</v>
      </c>
      <c r="B1824" t="str">
        <f>"4550457676854"</f>
        <v>4550457676854</v>
      </c>
      <c r="C1824" t="s">
        <v>6018</v>
      </c>
      <c r="D1824" t="s">
        <v>3332</v>
      </c>
      <c r="E1824" t="s">
        <v>3582</v>
      </c>
    </row>
    <row r="1825" spans="1:5" x14ac:dyDescent="0.25">
      <c r="A1825" t="s">
        <v>3329</v>
      </c>
      <c r="B1825" t="str">
        <f>"4550457676830"</f>
        <v>4550457676830</v>
      </c>
      <c r="C1825" t="s">
        <v>6019</v>
      </c>
      <c r="D1825" t="s">
        <v>3332</v>
      </c>
      <c r="E1825" t="s">
        <v>3582</v>
      </c>
    </row>
    <row r="1826" spans="1:5" x14ac:dyDescent="0.25">
      <c r="A1826" t="s">
        <v>3329</v>
      </c>
      <c r="B1826" t="str">
        <f>"4550457676823"</f>
        <v>4550457676823</v>
      </c>
      <c r="C1826" t="s">
        <v>6020</v>
      </c>
      <c r="D1826" t="s">
        <v>3332</v>
      </c>
      <c r="E1826" t="s">
        <v>3582</v>
      </c>
    </row>
    <row r="1827" spans="1:5" x14ac:dyDescent="0.25">
      <c r="A1827" t="s">
        <v>3329</v>
      </c>
      <c r="B1827" t="str">
        <f>"4550457676809"</f>
        <v>4550457676809</v>
      </c>
      <c r="C1827" t="s">
        <v>6021</v>
      </c>
      <c r="D1827" t="s">
        <v>3332</v>
      </c>
      <c r="E1827" t="s">
        <v>3582</v>
      </c>
    </row>
    <row r="1828" spans="1:5" x14ac:dyDescent="0.25">
      <c r="A1828" t="s">
        <v>3329</v>
      </c>
      <c r="B1828" t="str">
        <f>"4550457676465"</f>
        <v>4550457676465</v>
      </c>
      <c r="C1828" t="s">
        <v>6022</v>
      </c>
      <c r="D1828" t="s">
        <v>3332</v>
      </c>
      <c r="E1828" t="s">
        <v>3582</v>
      </c>
    </row>
    <row r="1829" spans="1:5" x14ac:dyDescent="0.25">
      <c r="A1829" t="s">
        <v>3329</v>
      </c>
      <c r="B1829" t="str">
        <f>"4550457676441"</f>
        <v>4550457676441</v>
      </c>
      <c r="C1829" t="s">
        <v>6023</v>
      </c>
      <c r="D1829" t="s">
        <v>3332</v>
      </c>
      <c r="E1829" t="s">
        <v>3582</v>
      </c>
    </row>
    <row r="1830" spans="1:5" x14ac:dyDescent="0.25">
      <c r="A1830" t="s">
        <v>3329</v>
      </c>
      <c r="B1830" t="str">
        <f>"4550457676410"</f>
        <v>4550457676410</v>
      </c>
      <c r="C1830" t="s">
        <v>6024</v>
      </c>
      <c r="D1830" t="s">
        <v>3332</v>
      </c>
      <c r="E1830" t="s">
        <v>3582</v>
      </c>
    </row>
    <row r="1831" spans="1:5" x14ac:dyDescent="0.25">
      <c r="A1831" t="s">
        <v>3329</v>
      </c>
      <c r="B1831" t="str">
        <f>"4550457676397"</f>
        <v>4550457676397</v>
      </c>
      <c r="C1831" t="s">
        <v>6025</v>
      </c>
      <c r="D1831" t="s">
        <v>3332</v>
      </c>
      <c r="E1831" t="s">
        <v>3582</v>
      </c>
    </row>
    <row r="1832" spans="1:5" x14ac:dyDescent="0.25">
      <c r="A1832" t="s">
        <v>3329</v>
      </c>
      <c r="B1832" t="str">
        <f>"4550457676380"</f>
        <v>4550457676380</v>
      </c>
      <c r="C1832" t="s">
        <v>6026</v>
      </c>
      <c r="D1832" t="s">
        <v>3332</v>
      </c>
      <c r="E1832" t="s">
        <v>3582</v>
      </c>
    </row>
    <row r="1833" spans="1:5" x14ac:dyDescent="0.25">
      <c r="A1833" t="s">
        <v>3329</v>
      </c>
      <c r="B1833" t="str">
        <f>"4550457676328"</f>
        <v>4550457676328</v>
      </c>
      <c r="C1833" t="s">
        <v>6027</v>
      </c>
      <c r="D1833" t="s">
        <v>3332</v>
      </c>
      <c r="E1833" t="s">
        <v>3582</v>
      </c>
    </row>
    <row r="1834" spans="1:5" x14ac:dyDescent="0.25">
      <c r="A1834" t="s">
        <v>3329</v>
      </c>
      <c r="B1834" t="str">
        <f>"4550457675826"</f>
        <v>4550457675826</v>
      </c>
      <c r="C1834" t="s">
        <v>6028</v>
      </c>
      <c r="D1834" t="s">
        <v>3332</v>
      </c>
      <c r="E1834" t="s">
        <v>3582</v>
      </c>
    </row>
    <row r="1835" spans="1:5" x14ac:dyDescent="0.25">
      <c r="A1835" t="s">
        <v>3329</v>
      </c>
      <c r="B1835" t="str">
        <f>"4550457675819"</f>
        <v>4550457675819</v>
      </c>
      <c r="C1835" t="s">
        <v>6029</v>
      </c>
      <c r="D1835" t="s">
        <v>3332</v>
      </c>
      <c r="E1835" t="s">
        <v>3582</v>
      </c>
    </row>
    <row r="1836" spans="1:5" x14ac:dyDescent="0.25">
      <c r="A1836" t="s">
        <v>3329</v>
      </c>
      <c r="B1836" t="str">
        <f>"4550457675796"</f>
        <v>4550457675796</v>
      </c>
      <c r="C1836" t="s">
        <v>6030</v>
      </c>
      <c r="D1836" t="s">
        <v>3332</v>
      </c>
      <c r="E1836" t="s">
        <v>3582</v>
      </c>
    </row>
    <row r="1837" spans="1:5" x14ac:dyDescent="0.25">
      <c r="A1837" t="s">
        <v>3329</v>
      </c>
      <c r="B1837" t="str">
        <f>"4550457675765"</f>
        <v>4550457675765</v>
      </c>
      <c r="C1837" t="s">
        <v>6031</v>
      </c>
      <c r="D1837" t="s">
        <v>3332</v>
      </c>
      <c r="E1837" t="s">
        <v>3582</v>
      </c>
    </row>
    <row r="1838" spans="1:5" x14ac:dyDescent="0.25">
      <c r="A1838" t="s">
        <v>3329</v>
      </c>
      <c r="B1838" t="str">
        <f>"4550457675758"</f>
        <v>4550457675758</v>
      </c>
      <c r="C1838" t="s">
        <v>6032</v>
      </c>
      <c r="D1838" t="s">
        <v>3332</v>
      </c>
      <c r="E1838" t="s">
        <v>3582</v>
      </c>
    </row>
    <row r="1839" spans="1:5" x14ac:dyDescent="0.25">
      <c r="A1839" t="s">
        <v>3329</v>
      </c>
      <c r="B1839" t="str">
        <f>"4550457675727"</f>
        <v>4550457675727</v>
      </c>
      <c r="C1839" t="s">
        <v>6033</v>
      </c>
      <c r="D1839" t="s">
        <v>3332</v>
      </c>
      <c r="E1839" t="s">
        <v>3582</v>
      </c>
    </row>
    <row r="1840" spans="1:5" x14ac:dyDescent="0.25">
      <c r="A1840" t="s">
        <v>3329</v>
      </c>
      <c r="B1840" t="str">
        <f>"4550457675710"</f>
        <v>4550457675710</v>
      </c>
      <c r="C1840" t="s">
        <v>6034</v>
      </c>
      <c r="D1840" t="s">
        <v>3332</v>
      </c>
      <c r="E1840" t="s">
        <v>3582</v>
      </c>
    </row>
    <row r="1841" spans="1:5" x14ac:dyDescent="0.25">
      <c r="A1841" t="s">
        <v>3329</v>
      </c>
      <c r="B1841" t="str">
        <f>"4550457675697"</f>
        <v>4550457675697</v>
      </c>
      <c r="C1841" t="s">
        <v>6035</v>
      </c>
      <c r="D1841" t="s">
        <v>3332</v>
      </c>
      <c r="E1841" t="s">
        <v>3582</v>
      </c>
    </row>
    <row r="1842" spans="1:5" x14ac:dyDescent="0.25">
      <c r="A1842" t="s">
        <v>3329</v>
      </c>
      <c r="B1842" t="str">
        <f>"4550457675680"</f>
        <v>4550457675680</v>
      </c>
      <c r="C1842" t="s">
        <v>6036</v>
      </c>
      <c r="D1842" t="s">
        <v>3332</v>
      </c>
      <c r="E1842" t="s">
        <v>3582</v>
      </c>
    </row>
    <row r="1843" spans="1:5" x14ac:dyDescent="0.25">
      <c r="A1843" t="s">
        <v>3329</v>
      </c>
      <c r="B1843" t="str">
        <f>"4550457674768"</f>
        <v>4550457674768</v>
      </c>
      <c r="C1843" t="s">
        <v>6037</v>
      </c>
      <c r="D1843" t="s">
        <v>3332</v>
      </c>
      <c r="E1843" t="s">
        <v>3582</v>
      </c>
    </row>
    <row r="1844" spans="1:5" x14ac:dyDescent="0.25">
      <c r="A1844" t="s">
        <v>3329</v>
      </c>
      <c r="B1844" t="str">
        <f>"4550457674744"</f>
        <v>4550457674744</v>
      </c>
      <c r="C1844" t="s">
        <v>6038</v>
      </c>
      <c r="D1844" t="s">
        <v>3332</v>
      </c>
      <c r="E1844" t="s">
        <v>3582</v>
      </c>
    </row>
    <row r="1845" spans="1:5" x14ac:dyDescent="0.25">
      <c r="A1845" t="s">
        <v>3329</v>
      </c>
      <c r="B1845" t="str">
        <f>"4550457674737"</f>
        <v>4550457674737</v>
      </c>
      <c r="C1845" t="s">
        <v>6039</v>
      </c>
      <c r="D1845" t="s">
        <v>3332</v>
      </c>
      <c r="E1845" t="s">
        <v>3582</v>
      </c>
    </row>
    <row r="1846" spans="1:5" x14ac:dyDescent="0.25">
      <c r="A1846" t="s">
        <v>3329</v>
      </c>
      <c r="B1846" t="str">
        <f>"4550457674669"</f>
        <v>4550457674669</v>
      </c>
      <c r="C1846" t="s">
        <v>6040</v>
      </c>
      <c r="D1846" t="s">
        <v>3332</v>
      </c>
      <c r="E1846" t="s">
        <v>3582</v>
      </c>
    </row>
    <row r="1847" spans="1:5" x14ac:dyDescent="0.25">
      <c r="A1847" t="s">
        <v>3329</v>
      </c>
      <c r="B1847" t="str">
        <f>"4550457674652"</f>
        <v>4550457674652</v>
      </c>
      <c r="C1847" t="s">
        <v>6041</v>
      </c>
      <c r="D1847" t="s">
        <v>3332</v>
      </c>
      <c r="E1847" t="s">
        <v>3582</v>
      </c>
    </row>
    <row r="1848" spans="1:5" x14ac:dyDescent="0.25">
      <c r="A1848" t="s">
        <v>3329</v>
      </c>
      <c r="B1848" t="str">
        <f>"4550457674638"</f>
        <v>4550457674638</v>
      </c>
      <c r="C1848" t="s">
        <v>6042</v>
      </c>
      <c r="D1848" t="s">
        <v>3332</v>
      </c>
      <c r="E1848" t="s">
        <v>3582</v>
      </c>
    </row>
    <row r="1849" spans="1:5" x14ac:dyDescent="0.25">
      <c r="A1849" t="s">
        <v>3329</v>
      </c>
      <c r="B1849" t="str">
        <f>"4550457674621"</f>
        <v>4550457674621</v>
      </c>
      <c r="C1849" t="s">
        <v>6043</v>
      </c>
      <c r="D1849" t="s">
        <v>3332</v>
      </c>
      <c r="E1849" t="s">
        <v>3582</v>
      </c>
    </row>
    <row r="1850" spans="1:5" x14ac:dyDescent="0.25">
      <c r="A1850" t="s">
        <v>3329</v>
      </c>
      <c r="B1850" t="str">
        <f>"4550457674607"</f>
        <v>4550457674607</v>
      </c>
      <c r="C1850" t="s">
        <v>6044</v>
      </c>
      <c r="D1850" t="s">
        <v>3332</v>
      </c>
      <c r="E1850" t="s">
        <v>3582</v>
      </c>
    </row>
    <row r="1851" spans="1:5" x14ac:dyDescent="0.25">
      <c r="A1851" t="s">
        <v>3329</v>
      </c>
      <c r="B1851" t="str">
        <f>"4550457673327"</f>
        <v>4550457673327</v>
      </c>
      <c r="C1851" t="s">
        <v>6045</v>
      </c>
      <c r="D1851" t="s">
        <v>3332</v>
      </c>
      <c r="E1851" t="s">
        <v>3582</v>
      </c>
    </row>
    <row r="1852" spans="1:5" x14ac:dyDescent="0.25">
      <c r="A1852" t="s">
        <v>3329</v>
      </c>
      <c r="B1852" t="str">
        <f>"4550457673310"</f>
        <v>4550457673310</v>
      </c>
      <c r="C1852" t="s">
        <v>6046</v>
      </c>
      <c r="D1852" t="s">
        <v>3332</v>
      </c>
      <c r="E1852" t="s">
        <v>3582</v>
      </c>
    </row>
    <row r="1853" spans="1:5" x14ac:dyDescent="0.25">
      <c r="A1853" t="s">
        <v>3329</v>
      </c>
      <c r="B1853" t="str">
        <f>"4550457673303"</f>
        <v>4550457673303</v>
      </c>
      <c r="C1853" t="s">
        <v>6047</v>
      </c>
      <c r="D1853" t="s">
        <v>3332</v>
      </c>
      <c r="E1853" t="s">
        <v>3582</v>
      </c>
    </row>
    <row r="1854" spans="1:5" x14ac:dyDescent="0.25">
      <c r="A1854" t="s">
        <v>3329</v>
      </c>
      <c r="B1854" t="str">
        <f>"4550457673242"</f>
        <v>4550457673242</v>
      </c>
      <c r="C1854" t="s">
        <v>6048</v>
      </c>
      <c r="D1854" t="s">
        <v>3332</v>
      </c>
      <c r="E1854" t="s">
        <v>3582</v>
      </c>
    </row>
    <row r="1855" spans="1:5" x14ac:dyDescent="0.25">
      <c r="A1855" t="s">
        <v>3329</v>
      </c>
      <c r="B1855" t="str">
        <f>"4550457673235"</f>
        <v>4550457673235</v>
      </c>
      <c r="C1855" t="s">
        <v>6049</v>
      </c>
      <c r="D1855" t="s">
        <v>3332</v>
      </c>
      <c r="E1855" t="s">
        <v>3582</v>
      </c>
    </row>
    <row r="1856" spans="1:5" x14ac:dyDescent="0.25">
      <c r="A1856" t="s">
        <v>3329</v>
      </c>
      <c r="B1856" t="str">
        <f>"4550457673204"</f>
        <v>4550457673204</v>
      </c>
      <c r="C1856" t="s">
        <v>6050</v>
      </c>
      <c r="D1856" t="s">
        <v>3332</v>
      </c>
      <c r="E1856" t="s">
        <v>3582</v>
      </c>
    </row>
    <row r="1857" spans="1:5" x14ac:dyDescent="0.25">
      <c r="A1857" t="s">
        <v>3329</v>
      </c>
      <c r="B1857" t="str">
        <f>"4550457673198"</f>
        <v>4550457673198</v>
      </c>
      <c r="C1857" t="s">
        <v>6051</v>
      </c>
      <c r="D1857" t="s">
        <v>3332</v>
      </c>
      <c r="E1857" t="s">
        <v>3582</v>
      </c>
    </row>
    <row r="1858" spans="1:5" x14ac:dyDescent="0.25">
      <c r="A1858" t="s">
        <v>3329</v>
      </c>
      <c r="B1858" t="str">
        <f>"4550457670951"</f>
        <v>4550457670951</v>
      </c>
      <c r="C1858" t="s">
        <v>6052</v>
      </c>
      <c r="D1858" t="s">
        <v>3332</v>
      </c>
      <c r="E1858" t="s">
        <v>3582</v>
      </c>
    </row>
    <row r="1859" spans="1:5" x14ac:dyDescent="0.25">
      <c r="A1859" t="s">
        <v>3329</v>
      </c>
      <c r="B1859" t="str">
        <f>"4550457670906"</f>
        <v>4550457670906</v>
      </c>
      <c r="C1859" t="s">
        <v>6053</v>
      </c>
      <c r="D1859" t="s">
        <v>3332</v>
      </c>
      <c r="E1859" t="s">
        <v>3582</v>
      </c>
    </row>
    <row r="1860" spans="1:5" x14ac:dyDescent="0.25">
      <c r="A1860" t="s">
        <v>3329</v>
      </c>
      <c r="B1860" t="str">
        <f>"4550457670883"</f>
        <v>4550457670883</v>
      </c>
      <c r="C1860" t="s">
        <v>6054</v>
      </c>
      <c r="D1860" t="s">
        <v>3332</v>
      </c>
      <c r="E1860" t="s">
        <v>3582</v>
      </c>
    </row>
    <row r="1861" spans="1:5" x14ac:dyDescent="0.25">
      <c r="A1861" t="s">
        <v>3329</v>
      </c>
      <c r="B1861" t="str">
        <f>"4550457670852"</f>
        <v>4550457670852</v>
      </c>
      <c r="C1861" t="s">
        <v>6055</v>
      </c>
      <c r="D1861" t="s">
        <v>3332</v>
      </c>
      <c r="E1861" t="s">
        <v>3582</v>
      </c>
    </row>
    <row r="1862" spans="1:5" x14ac:dyDescent="0.25">
      <c r="A1862" t="s">
        <v>3329</v>
      </c>
      <c r="B1862" t="str">
        <f>"4550457670838"</f>
        <v>4550457670838</v>
      </c>
      <c r="C1862" t="s">
        <v>6056</v>
      </c>
      <c r="D1862" t="s">
        <v>3332</v>
      </c>
      <c r="E1862" t="s">
        <v>3582</v>
      </c>
    </row>
    <row r="1863" spans="1:5" x14ac:dyDescent="0.25">
      <c r="A1863" t="s">
        <v>3329</v>
      </c>
      <c r="B1863" t="str">
        <f>"4550457670821"</f>
        <v>4550457670821</v>
      </c>
      <c r="C1863" t="s">
        <v>6057</v>
      </c>
      <c r="D1863" t="s">
        <v>3332</v>
      </c>
      <c r="E1863" t="s">
        <v>3582</v>
      </c>
    </row>
    <row r="1864" spans="1:5" x14ac:dyDescent="0.25">
      <c r="A1864" t="s">
        <v>3329</v>
      </c>
      <c r="B1864" t="str">
        <f>"4550457670814"</f>
        <v>4550457670814</v>
      </c>
      <c r="C1864" t="s">
        <v>6058</v>
      </c>
      <c r="D1864" t="s">
        <v>3332</v>
      </c>
      <c r="E1864" t="s">
        <v>3582</v>
      </c>
    </row>
    <row r="1865" spans="1:5" x14ac:dyDescent="0.25">
      <c r="A1865" t="s">
        <v>3329</v>
      </c>
      <c r="B1865" t="str">
        <f>"4550457669375"</f>
        <v>4550457669375</v>
      </c>
      <c r="C1865" t="s">
        <v>6059</v>
      </c>
      <c r="D1865" t="s">
        <v>3332</v>
      </c>
      <c r="E1865" t="s">
        <v>3582</v>
      </c>
    </row>
    <row r="1866" spans="1:5" x14ac:dyDescent="0.25">
      <c r="A1866" t="s">
        <v>3329</v>
      </c>
      <c r="B1866" t="str">
        <f>"4550457669351"</f>
        <v>4550457669351</v>
      </c>
      <c r="C1866" t="s">
        <v>6060</v>
      </c>
      <c r="D1866" t="s">
        <v>3332</v>
      </c>
      <c r="E1866" t="s">
        <v>3582</v>
      </c>
    </row>
    <row r="1867" spans="1:5" x14ac:dyDescent="0.25">
      <c r="A1867" t="s">
        <v>3329</v>
      </c>
      <c r="B1867" t="str">
        <f>"4550457669313"</f>
        <v>4550457669313</v>
      </c>
      <c r="C1867" t="s">
        <v>6061</v>
      </c>
      <c r="D1867" t="s">
        <v>3332</v>
      </c>
      <c r="E1867" t="s">
        <v>3582</v>
      </c>
    </row>
    <row r="1868" spans="1:5" x14ac:dyDescent="0.25">
      <c r="A1868" t="s">
        <v>3329</v>
      </c>
      <c r="B1868" t="str">
        <f>"4550457669238"</f>
        <v>4550457669238</v>
      </c>
      <c r="C1868" t="s">
        <v>6062</v>
      </c>
      <c r="D1868" t="s">
        <v>3332</v>
      </c>
      <c r="E1868" t="s">
        <v>3582</v>
      </c>
    </row>
    <row r="1869" spans="1:5" x14ac:dyDescent="0.25">
      <c r="A1869" t="s">
        <v>3329</v>
      </c>
      <c r="B1869" t="str">
        <f>"4550457667302"</f>
        <v>4550457667302</v>
      </c>
      <c r="C1869" t="s">
        <v>6063</v>
      </c>
      <c r="D1869" t="s">
        <v>3332</v>
      </c>
      <c r="E1869" t="s">
        <v>3582</v>
      </c>
    </row>
    <row r="1870" spans="1:5" x14ac:dyDescent="0.25">
      <c r="A1870" t="s">
        <v>3329</v>
      </c>
      <c r="B1870" t="str">
        <f>"4550457667296"</f>
        <v>4550457667296</v>
      </c>
      <c r="C1870" t="s">
        <v>6064</v>
      </c>
      <c r="D1870" t="s">
        <v>3332</v>
      </c>
      <c r="E1870" t="s">
        <v>3582</v>
      </c>
    </row>
    <row r="1871" spans="1:5" x14ac:dyDescent="0.25">
      <c r="A1871" t="s">
        <v>3329</v>
      </c>
      <c r="B1871" t="str">
        <f>"4550457667265"</f>
        <v>4550457667265</v>
      </c>
      <c r="C1871" t="s">
        <v>6065</v>
      </c>
      <c r="D1871" t="s">
        <v>3332</v>
      </c>
      <c r="E1871" t="s">
        <v>3582</v>
      </c>
    </row>
    <row r="1872" spans="1:5" x14ac:dyDescent="0.25">
      <c r="A1872" t="s">
        <v>3329</v>
      </c>
      <c r="B1872" t="str">
        <f>"4550457667258"</f>
        <v>4550457667258</v>
      </c>
      <c r="C1872" t="s">
        <v>6066</v>
      </c>
      <c r="D1872" t="s">
        <v>3332</v>
      </c>
      <c r="E1872" t="s">
        <v>3582</v>
      </c>
    </row>
    <row r="1873" spans="1:5" x14ac:dyDescent="0.25">
      <c r="A1873" t="s">
        <v>3329</v>
      </c>
      <c r="B1873" t="str">
        <f>"4550457667241"</f>
        <v>4550457667241</v>
      </c>
      <c r="C1873" t="s">
        <v>6067</v>
      </c>
      <c r="D1873" t="s">
        <v>3332</v>
      </c>
      <c r="E1873" t="s">
        <v>3582</v>
      </c>
    </row>
    <row r="1874" spans="1:5" x14ac:dyDescent="0.25">
      <c r="A1874" t="s">
        <v>3329</v>
      </c>
      <c r="B1874" t="str">
        <f>"4550457667203"</f>
        <v>4550457667203</v>
      </c>
      <c r="C1874" t="s">
        <v>6068</v>
      </c>
      <c r="D1874" t="s">
        <v>3332</v>
      </c>
      <c r="E1874" t="s">
        <v>3582</v>
      </c>
    </row>
    <row r="1875" spans="1:5" x14ac:dyDescent="0.25">
      <c r="A1875" t="s">
        <v>3329</v>
      </c>
      <c r="B1875" t="str">
        <f>"4550457666701"</f>
        <v>4550457666701</v>
      </c>
      <c r="C1875" t="s">
        <v>6069</v>
      </c>
      <c r="D1875" t="s">
        <v>3332</v>
      </c>
      <c r="E1875" t="s">
        <v>3582</v>
      </c>
    </row>
    <row r="1876" spans="1:5" x14ac:dyDescent="0.25">
      <c r="A1876" t="s">
        <v>3329</v>
      </c>
      <c r="B1876" t="str">
        <f>"4550457666657"</f>
        <v>4550457666657</v>
      </c>
      <c r="C1876" t="s">
        <v>6070</v>
      </c>
      <c r="D1876" t="s">
        <v>3332</v>
      </c>
      <c r="E1876" t="s">
        <v>3582</v>
      </c>
    </row>
    <row r="1877" spans="1:5" x14ac:dyDescent="0.25">
      <c r="A1877" t="s">
        <v>3329</v>
      </c>
      <c r="B1877" t="str">
        <f>"4550457666640"</f>
        <v>4550457666640</v>
      </c>
      <c r="C1877" t="s">
        <v>6071</v>
      </c>
      <c r="D1877" t="s">
        <v>3332</v>
      </c>
      <c r="E1877" t="s">
        <v>3582</v>
      </c>
    </row>
    <row r="1878" spans="1:5" x14ac:dyDescent="0.25">
      <c r="A1878" t="s">
        <v>3329</v>
      </c>
      <c r="B1878" t="str">
        <f>"4550457666633"</f>
        <v>4550457666633</v>
      </c>
      <c r="C1878" t="s">
        <v>6072</v>
      </c>
      <c r="D1878" t="s">
        <v>3332</v>
      </c>
      <c r="E1878" t="s">
        <v>3582</v>
      </c>
    </row>
    <row r="1879" spans="1:5" x14ac:dyDescent="0.25">
      <c r="A1879" t="s">
        <v>3329</v>
      </c>
      <c r="B1879" t="str">
        <f>"4550457666589"</f>
        <v>4550457666589</v>
      </c>
      <c r="C1879" t="s">
        <v>6073</v>
      </c>
      <c r="D1879" t="s">
        <v>3332</v>
      </c>
      <c r="E1879" t="s">
        <v>3582</v>
      </c>
    </row>
    <row r="1880" spans="1:5" x14ac:dyDescent="0.25">
      <c r="A1880" t="s">
        <v>3329</v>
      </c>
      <c r="B1880" t="str">
        <f>"4550457665612"</f>
        <v>4550457665612</v>
      </c>
      <c r="C1880" t="s">
        <v>6074</v>
      </c>
      <c r="D1880" t="s">
        <v>3332</v>
      </c>
      <c r="E1880" t="s">
        <v>3582</v>
      </c>
    </row>
    <row r="1881" spans="1:5" x14ac:dyDescent="0.25">
      <c r="A1881" t="s">
        <v>3329</v>
      </c>
      <c r="B1881" t="str">
        <f>"4550457665582"</f>
        <v>4550457665582</v>
      </c>
      <c r="C1881" t="s">
        <v>6075</v>
      </c>
      <c r="D1881" t="s">
        <v>3332</v>
      </c>
      <c r="E1881" t="s">
        <v>3582</v>
      </c>
    </row>
    <row r="1882" spans="1:5" x14ac:dyDescent="0.25">
      <c r="A1882" t="s">
        <v>3329</v>
      </c>
      <c r="B1882" t="str">
        <f>"4550457665575"</f>
        <v>4550457665575</v>
      </c>
      <c r="C1882" t="s">
        <v>6076</v>
      </c>
      <c r="D1882" t="s">
        <v>3332</v>
      </c>
      <c r="E1882" t="s">
        <v>3582</v>
      </c>
    </row>
    <row r="1883" spans="1:5" x14ac:dyDescent="0.25">
      <c r="A1883" t="s">
        <v>3329</v>
      </c>
      <c r="B1883" t="str">
        <f>"4550457665520"</f>
        <v>4550457665520</v>
      </c>
      <c r="C1883" t="s">
        <v>6077</v>
      </c>
      <c r="D1883" t="s">
        <v>3332</v>
      </c>
      <c r="E1883" t="s">
        <v>3582</v>
      </c>
    </row>
    <row r="1884" spans="1:5" x14ac:dyDescent="0.25">
      <c r="A1884" t="s">
        <v>3329</v>
      </c>
      <c r="B1884" t="str">
        <f>"4550457665506"</f>
        <v>4550457665506</v>
      </c>
      <c r="C1884" t="s">
        <v>6078</v>
      </c>
      <c r="D1884" t="s">
        <v>3332</v>
      </c>
      <c r="E1884" t="s">
        <v>3582</v>
      </c>
    </row>
    <row r="1885" spans="1:5" x14ac:dyDescent="0.25">
      <c r="A1885" t="s">
        <v>3329</v>
      </c>
      <c r="B1885" t="str">
        <f>"4550457665490"</f>
        <v>4550457665490</v>
      </c>
      <c r="C1885" t="s">
        <v>6079</v>
      </c>
      <c r="D1885" t="s">
        <v>3332</v>
      </c>
      <c r="E1885" t="s">
        <v>3582</v>
      </c>
    </row>
    <row r="1886" spans="1:5" x14ac:dyDescent="0.25">
      <c r="A1886" t="s">
        <v>3329</v>
      </c>
      <c r="B1886" t="str">
        <f>"4550457665483"</f>
        <v>4550457665483</v>
      </c>
      <c r="C1886" t="s">
        <v>6080</v>
      </c>
      <c r="D1886" t="s">
        <v>3332</v>
      </c>
      <c r="E1886" t="s">
        <v>3582</v>
      </c>
    </row>
    <row r="1887" spans="1:5" x14ac:dyDescent="0.25">
      <c r="A1887" t="s">
        <v>3329</v>
      </c>
      <c r="B1887" t="str">
        <f>"4550457390811"</f>
        <v>4550457390811</v>
      </c>
      <c r="C1887" t="s">
        <v>6081</v>
      </c>
      <c r="D1887" t="s">
        <v>3332</v>
      </c>
      <c r="E1887" t="s">
        <v>3582</v>
      </c>
    </row>
    <row r="1888" spans="1:5" x14ac:dyDescent="0.25">
      <c r="A1888" t="s">
        <v>3329</v>
      </c>
      <c r="B1888" t="str">
        <f>"4550457390781"</f>
        <v>4550457390781</v>
      </c>
      <c r="C1888" t="s">
        <v>6082</v>
      </c>
      <c r="D1888" t="s">
        <v>3332</v>
      </c>
      <c r="E1888" t="s">
        <v>3582</v>
      </c>
    </row>
    <row r="1889" spans="1:5" x14ac:dyDescent="0.25">
      <c r="A1889" t="s">
        <v>3329</v>
      </c>
      <c r="B1889" t="str">
        <f>"4550457390774"</f>
        <v>4550457390774</v>
      </c>
      <c r="C1889" t="s">
        <v>6083</v>
      </c>
      <c r="D1889" t="s">
        <v>3332</v>
      </c>
      <c r="E1889" t="s">
        <v>3582</v>
      </c>
    </row>
    <row r="1890" spans="1:5" x14ac:dyDescent="0.25">
      <c r="A1890" t="s">
        <v>3329</v>
      </c>
      <c r="B1890" t="str">
        <f>"4550457390750"</f>
        <v>4550457390750</v>
      </c>
      <c r="C1890" t="s">
        <v>6084</v>
      </c>
      <c r="D1890" t="s">
        <v>3332</v>
      </c>
      <c r="E1890" t="s">
        <v>3582</v>
      </c>
    </row>
    <row r="1891" spans="1:5" x14ac:dyDescent="0.25">
      <c r="A1891" t="s">
        <v>3329</v>
      </c>
      <c r="B1891" t="str">
        <f>"4550457390736"</f>
        <v>4550457390736</v>
      </c>
      <c r="C1891" t="s">
        <v>6085</v>
      </c>
      <c r="D1891" t="s">
        <v>3332</v>
      </c>
      <c r="E1891" t="s">
        <v>3582</v>
      </c>
    </row>
    <row r="1892" spans="1:5" x14ac:dyDescent="0.25">
      <c r="A1892" t="s">
        <v>3329</v>
      </c>
      <c r="B1892" t="str">
        <f>"4550457390712"</f>
        <v>4550457390712</v>
      </c>
      <c r="C1892" t="s">
        <v>6086</v>
      </c>
      <c r="D1892" t="s">
        <v>3332</v>
      </c>
      <c r="E1892" t="s">
        <v>3582</v>
      </c>
    </row>
    <row r="1893" spans="1:5" x14ac:dyDescent="0.25">
      <c r="A1893" t="s">
        <v>3329</v>
      </c>
      <c r="B1893" t="str">
        <f>"4550457390699"</f>
        <v>4550457390699</v>
      </c>
      <c r="C1893" t="s">
        <v>6087</v>
      </c>
      <c r="D1893" t="s">
        <v>3332</v>
      </c>
      <c r="E1893" t="s">
        <v>3582</v>
      </c>
    </row>
    <row r="1894" spans="1:5" x14ac:dyDescent="0.25">
      <c r="A1894" t="s">
        <v>3329</v>
      </c>
      <c r="B1894" t="str">
        <f>"4550457390675"</f>
        <v>4550457390675</v>
      </c>
      <c r="C1894" t="s">
        <v>6088</v>
      </c>
      <c r="D1894" t="s">
        <v>3332</v>
      </c>
      <c r="E1894" t="s">
        <v>3582</v>
      </c>
    </row>
    <row r="1895" spans="1:5" x14ac:dyDescent="0.25">
      <c r="A1895" t="s">
        <v>3329</v>
      </c>
      <c r="B1895" t="str">
        <f>"4550457390668"</f>
        <v>4550457390668</v>
      </c>
      <c r="C1895" t="s">
        <v>6089</v>
      </c>
      <c r="D1895" t="s">
        <v>3332</v>
      </c>
      <c r="E1895" t="s">
        <v>3582</v>
      </c>
    </row>
    <row r="1896" spans="1:5" x14ac:dyDescent="0.25">
      <c r="A1896" t="s">
        <v>3329</v>
      </c>
      <c r="B1896" t="str">
        <f>"4550457390477"</f>
        <v>4550457390477</v>
      </c>
      <c r="C1896" t="s">
        <v>6090</v>
      </c>
      <c r="D1896" t="s">
        <v>3332</v>
      </c>
      <c r="E1896" t="s">
        <v>3582</v>
      </c>
    </row>
    <row r="1897" spans="1:5" x14ac:dyDescent="0.25">
      <c r="A1897" t="s">
        <v>3329</v>
      </c>
      <c r="B1897" t="str">
        <f>"4550457390354"</f>
        <v>4550457390354</v>
      </c>
      <c r="C1897" t="s">
        <v>6091</v>
      </c>
      <c r="D1897" t="s">
        <v>3332</v>
      </c>
      <c r="E1897" t="s">
        <v>3582</v>
      </c>
    </row>
    <row r="1898" spans="1:5" x14ac:dyDescent="0.25">
      <c r="A1898" t="s">
        <v>3329</v>
      </c>
      <c r="B1898" t="str">
        <f>"4550457388504"</f>
        <v>4550457388504</v>
      </c>
      <c r="C1898" t="s">
        <v>6092</v>
      </c>
      <c r="D1898" t="s">
        <v>3332</v>
      </c>
      <c r="E1898" t="s">
        <v>3582</v>
      </c>
    </row>
    <row r="1899" spans="1:5" x14ac:dyDescent="0.25">
      <c r="A1899" t="s">
        <v>3329</v>
      </c>
      <c r="B1899" t="str">
        <f>"4550457388481"</f>
        <v>4550457388481</v>
      </c>
      <c r="C1899" t="s">
        <v>6093</v>
      </c>
      <c r="D1899" t="s">
        <v>3332</v>
      </c>
      <c r="E1899" t="s">
        <v>3582</v>
      </c>
    </row>
    <row r="1900" spans="1:5" x14ac:dyDescent="0.25">
      <c r="A1900" t="s">
        <v>3329</v>
      </c>
      <c r="B1900" t="str">
        <f>"4550457388474"</f>
        <v>4550457388474</v>
      </c>
      <c r="C1900" t="s">
        <v>6094</v>
      </c>
      <c r="D1900" t="s">
        <v>3332</v>
      </c>
      <c r="E1900" t="s">
        <v>3582</v>
      </c>
    </row>
    <row r="1901" spans="1:5" x14ac:dyDescent="0.25">
      <c r="A1901" t="s">
        <v>3329</v>
      </c>
      <c r="B1901" t="str">
        <f>"4550457388467"</f>
        <v>4550457388467</v>
      </c>
      <c r="C1901" t="s">
        <v>6095</v>
      </c>
      <c r="D1901" t="s">
        <v>3332</v>
      </c>
      <c r="E1901" t="s">
        <v>3582</v>
      </c>
    </row>
    <row r="1902" spans="1:5" x14ac:dyDescent="0.25">
      <c r="A1902" t="s">
        <v>3329</v>
      </c>
      <c r="B1902" t="str">
        <f>"4550457388450"</f>
        <v>4550457388450</v>
      </c>
      <c r="C1902" t="s">
        <v>6096</v>
      </c>
      <c r="D1902" t="s">
        <v>3332</v>
      </c>
      <c r="E1902" t="s">
        <v>3582</v>
      </c>
    </row>
    <row r="1903" spans="1:5" x14ac:dyDescent="0.25">
      <c r="A1903" t="s">
        <v>3329</v>
      </c>
      <c r="B1903" t="str">
        <f>"4550457388399"</f>
        <v>4550457388399</v>
      </c>
      <c r="C1903" t="s">
        <v>6097</v>
      </c>
      <c r="D1903" t="s">
        <v>3332</v>
      </c>
      <c r="E1903" t="s">
        <v>3582</v>
      </c>
    </row>
    <row r="1904" spans="1:5" x14ac:dyDescent="0.25">
      <c r="A1904" t="s">
        <v>3329</v>
      </c>
      <c r="B1904" t="str">
        <f>"4550457388382"</f>
        <v>4550457388382</v>
      </c>
      <c r="C1904" t="s">
        <v>6098</v>
      </c>
      <c r="D1904" t="s">
        <v>3332</v>
      </c>
      <c r="E1904" t="s">
        <v>3582</v>
      </c>
    </row>
    <row r="1905" spans="1:5" x14ac:dyDescent="0.25">
      <c r="A1905" t="s">
        <v>3329</v>
      </c>
      <c r="B1905" t="str">
        <f>"4550457343183"</f>
        <v>4550457343183</v>
      </c>
      <c r="C1905" t="s">
        <v>6099</v>
      </c>
      <c r="D1905" t="s">
        <v>3332</v>
      </c>
      <c r="E1905" t="s">
        <v>3582</v>
      </c>
    </row>
    <row r="1906" spans="1:5" x14ac:dyDescent="0.25">
      <c r="A1906" t="s">
        <v>3329</v>
      </c>
      <c r="B1906" t="str">
        <f>"4550457343169"</f>
        <v>4550457343169</v>
      </c>
      <c r="C1906" t="s">
        <v>6100</v>
      </c>
      <c r="D1906" t="s">
        <v>3332</v>
      </c>
      <c r="E1906" t="s">
        <v>3582</v>
      </c>
    </row>
    <row r="1907" spans="1:5" x14ac:dyDescent="0.25">
      <c r="A1907" t="s">
        <v>3329</v>
      </c>
      <c r="B1907" t="str">
        <f>"4550457343152"</f>
        <v>4550457343152</v>
      </c>
      <c r="C1907" t="s">
        <v>6101</v>
      </c>
      <c r="D1907" t="s">
        <v>3332</v>
      </c>
      <c r="E1907" t="s">
        <v>3582</v>
      </c>
    </row>
    <row r="1908" spans="1:5" x14ac:dyDescent="0.25">
      <c r="A1908" t="s">
        <v>3329</v>
      </c>
      <c r="B1908" t="str">
        <f>"4550457343114"</f>
        <v>4550457343114</v>
      </c>
      <c r="C1908" t="s">
        <v>6102</v>
      </c>
      <c r="D1908" t="s">
        <v>3332</v>
      </c>
      <c r="E1908" t="s">
        <v>3582</v>
      </c>
    </row>
    <row r="1909" spans="1:5" x14ac:dyDescent="0.25">
      <c r="A1909" t="s">
        <v>3329</v>
      </c>
      <c r="B1909" t="str">
        <f>"4550457343091"</f>
        <v>4550457343091</v>
      </c>
      <c r="C1909" t="s">
        <v>6103</v>
      </c>
      <c r="D1909" t="s">
        <v>3332</v>
      </c>
      <c r="E1909" t="s">
        <v>3582</v>
      </c>
    </row>
    <row r="1910" spans="1:5" x14ac:dyDescent="0.25">
      <c r="A1910" t="s">
        <v>3329</v>
      </c>
      <c r="B1910" t="str">
        <f>"4550457342186"</f>
        <v>4550457342186</v>
      </c>
      <c r="C1910" t="s">
        <v>6104</v>
      </c>
      <c r="D1910" t="s">
        <v>3332</v>
      </c>
      <c r="E1910" t="s">
        <v>3582</v>
      </c>
    </row>
    <row r="1911" spans="1:5" x14ac:dyDescent="0.25">
      <c r="A1911" t="s">
        <v>3329</v>
      </c>
      <c r="B1911" t="str">
        <f>"4550457341332"</f>
        <v>4550457341332</v>
      </c>
      <c r="C1911" t="s">
        <v>6105</v>
      </c>
      <c r="D1911" t="s">
        <v>3332</v>
      </c>
      <c r="E1911" t="s">
        <v>3582</v>
      </c>
    </row>
    <row r="1912" spans="1:5" x14ac:dyDescent="0.25">
      <c r="A1912" t="s">
        <v>3329</v>
      </c>
      <c r="B1912" t="str">
        <f>"4550457341295"</f>
        <v>4550457341295</v>
      </c>
      <c r="C1912" t="s">
        <v>6106</v>
      </c>
      <c r="D1912" t="s">
        <v>3332</v>
      </c>
      <c r="E1912" t="s">
        <v>3582</v>
      </c>
    </row>
    <row r="1913" spans="1:5" x14ac:dyDescent="0.25">
      <c r="A1913" t="s">
        <v>3329</v>
      </c>
      <c r="B1913" t="str">
        <f>"4550457341271"</f>
        <v>4550457341271</v>
      </c>
      <c r="C1913" t="s">
        <v>6107</v>
      </c>
      <c r="D1913" t="s">
        <v>3332</v>
      </c>
      <c r="E1913" t="s">
        <v>3582</v>
      </c>
    </row>
    <row r="1914" spans="1:5" x14ac:dyDescent="0.25">
      <c r="A1914" t="s">
        <v>3329</v>
      </c>
      <c r="B1914" t="str">
        <f>"4550457341264"</f>
        <v>4550457341264</v>
      </c>
      <c r="C1914" t="s">
        <v>6108</v>
      </c>
      <c r="D1914" t="s">
        <v>3332</v>
      </c>
      <c r="E1914" t="s">
        <v>3582</v>
      </c>
    </row>
    <row r="1915" spans="1:5" x14ac:dyDescent="0.25">
      <c r="A1915" t="s">
        <v>3329</v>
      </c>
      <c r="B1915" t="str">
        <f>"4550457341233"</f>
        <v>4550457341233</v>
      </c>
      <c r="C1915" t="s">
        <v>6109</v>
      </c>
      <c r="D1915" t="s">
        <v>3332</v>
      </c>
      <c r="E1915" t="s">
        <v>3582</v>
      </c>
    </row>
    <row r="1916" spans="1:5" x14ac:dyDescent="0.25">
      <c r="A1916" t="s">
        <v>3329</v>
      </c>
      <c r="B1916" t="str">
        <f>"4550457341226"</f>
        <v>4550457341226</v>
      </c>
      <c r="C1916" t="s">
        <v>6110</v>
      </c>
      <c r="D1916" t="s">
        <v>3332</v>
      </c>
      <c r="E1916" t="s">
        <v>3582</v>
      </c>
    </row>
    <row r="1917" spans="1:5" x14ac:dyDescent="0.25">
      <c r="A1917" t="s">
        <v>3329</v>
      </c>
      <c r="B1917" t="str">
        <f>"4550457341196"</f>
        <v>4550457341196</v>
      </c>
      <c r="C1917" t="s">
        <v>6111</v>
      </c>
      <c r="D1917" t="s">
        <v>3332</v>
      </c>
      <c r="E1917" t="s">
        <v>3582</v>
      </c>
    </row>
    <row r="1918" spans="1:5" x14ac:dyDescent="0.25">
      <c r="A1918" t="s">
        <v>3329</v>
      </c>
      <c r="B1918" t="str">
        <f>"4550457215831"</f>
        <v>4550457215831</v>
      </c>
      <c r="C1918" t="s">
        <v>6112</v>
      </c>
      <c r="D1918" t="s">
        <v>3332</v>
      </c>
      <c r="E1918" t="s">
        <v>3336</v>
      </c>
    </row>
    <row r="1919" spans="1:5" x14ac:dyDescent="0.25">
      <c r="A1919" t="s">
        <v>3329</v>
      </c>
      <c r="B1919" t="str">
        <f>"4550457215817"</f>
        <v>4550457215817</v>
      </c>
      <c r="C1919" t="s">
        <v>6113</v>
      </c>
      <c r="D1919" t="s">
        <v>3332</v>
      </c>
      <c r="E1919" t="s">
        <v>3336</v>
      </c>
    </row>
    <row r="1920" spans="1:5" x14ac:dyDescent="0.25">
      <c r="A1920" t="s">
        <v>3329</v>
      </c>
      <c r="B1920" t="str">
        <f>"4550457215787"</f>
        <v>4550457215787</v>
      </c>
      <c r="C1920" t="s">
        <v>6114</v>
      </c>
      <c r="D1920" t="s">
        <v>3332</v>
      </c>
      <c r="E1920" t="s">
        <v>3336</v>
      </c>
    </row>
    <row r="1921" spans="1:5" x14ac:dyDescent="0.25">
      <c r="A1921" t="s">
        <v>3329</v>
      </c>
      <c r="B1921" t="str">
        <f>"4550457215442"</f>
        <v>4550457215442</v>
      </c>
      <c r="C1921" t="s">
        <v>6115</v>
      </c>
      <c r="D1921" t="s">
        <v>3332</v>
      </c>
      <c r="E1921" t="s">
        <v>3336</v>
      </c>
    </row>
    <row r="1922" spans="1:5" x14ac:dyDescent="0.25">
      <c r="A1922" t="s">
        <v>3329</v>
      </c>
      <c r="B1922" t="str">
        <f>"4550457215428"</f>
        <v>4550457215428</v>
      </c>
      <c r="C1922" t="s">
        <v>6116</v>
      </c>
      <c r="D1922" t="s">
        <v>3332</v>
      </c>
      <c r="E1922" t="s">
        <v>3336</v>
      </c>
    </row>
    <row r="1923" spans="1:5" x14ac:dyDescent="0.25">
      <c r="A1923" t="s">
        <v>3329</v>
      </c>
      <c r="B1923" t="str">
        <f>"4550457215411"</f>
        <v>4550457215411</v>
      </c>
      <c r="C1923" t="s">
        <v>6117</v>
      </c>
      <c r="D1923" t="s">
        <v>3332</v>
      </c>
      <c r="E1923" t="s">
        <v>3336</v>
      </c>
    </row>
    <row r="1924" spans="1:5" x14ac:dyDescent="0.25">
      <c r="A1924" t="s">
        <v>3329</v>
      </c>
      <c r="B1924" t="str">
        <f>"4550457213110"</f>
        <v>4550457213110</v>
      </c>
      <c r="C1924" t="s">
        <v>6118</v>
      </c>
      <c r="D1924" t="s">
        <v>3332</v>
      </c>
      <c r="E1924" t="s">
        <v>3336</v>
      </c>
    </row>
    <row r="1925" spans="1:5" x14ac:dyDescent="0.25">
      <c r="A1925" t="s">
        <v>3329</v>
      </c>
      <c r="B1925" t="str">
        <f>"4550457213103"</f>
        <v>4550457213103</v>
      </c>
      <c r="C1925" t="s">
        <v>6119</v>
      </c>
      <c r="D1925" t="s">
        <v>3332</v>
      </c>
      <c r="E1925" t="s">
        <v>3336</v>
      </c>
    </row>
    <row r="1926" spans="1:5" x14ac:dyDescent="0.25">
      <c r="A1926" t="s">
        <v>3329</v>
      </c>
      <c r="B1926" t="str">
        <f>"4550457213080"</f>
        <v>4550457213080</v>
      </c>
      <c r="C1926" t="s">
        <v>6120</v>
      </c>
      <c r="D1926" t="s">
        <v>3332</v>
      </c>
      <c r="E1926" t="s">
        <v>3336</v>
      </c>
    </row>
    <row r="1927" spans="1:5" x14ac:dyDescent="0.25">
      <c r="A1927" t="s">
        <v>3329</v>
      </c>
      <c r="B1927" t="str">
        <f>"4550457155021"</f>
        <v>4550457155021</v>
      </c>
      <c r="C1927" t="s">
        <v>6121</v>
      </c>
      <c r="D1927" t="s">
        <v>3332</v>
      </c>
      <c r="E1927" t="s">
        <v>3582</v>
      </c>
    </row>
    <row r="1928" spans="1:5" x14ac:dyDescent="0.25">
      <c r="A1928" t="s">
        <v>3329</v>
      </c>
      <c r="B1928" t="str">
        <f>"4550457154987"</f>
        <v>4550457154987</v>
      </c>
      <c r="C1928" t="s">
        <v>6122</v>
      </c>
      <c r="D1928" t="s">
        <v>3332</v>
      </c>
      <c r="E1928" t="s">
        <v>3582</v>
      </c>
    </row>
    <row r="1929" spans="1:5" x14ac:dyDescent="0.25">
      <c r="A1929" t="s">
        <v>3329</v>
      </c>
      <c r="B1929" t="str">
        <f>"4550457154932"</f>
        <v>4550457154932</v>
      </c>
      <c r="C1929" t="s">
        <v>6123</v>
      </c>
      <c r="D1929" t="s">
        <v>3332</v>
      </c>
      <c r="E1929" t="s">
        <v>3582</v>
      </c>
    </row>
    <row r="1930" spans="1:5" x14ac:dyDescent="0.25">
      <c r="A1930" t="s">
        <v>3329</v>
      </c>
      <c r="B1930" t="str">
        <f>"4550457153201"</f>
        <v>4550457153201</v>
      </c>
      <c r="C1930" t="s">
        <v>6124</v>
      </c>
      <c r="D1930" t="s">
        <v>3332</v>
      </c>
      <c r="E1930" t="s">
        <v>3582</v>
      </c>
    </row>
    <row r="1931" spans="1:5" x14ac:dyDescent="0.25">
      <c r="A1931" t="s">
        <v>3329</v>
      </c>
      <c r="B1931" t="str">
        <f>"4550457153157"</f>
        <v>4550457153157</v>
      </c>
      <c r="C1931" t="s">
        <v>6125</v>
      </c>
      <c r="D1931" t="s">
        <v>3332</v>
      </c>
      <c r="E1931" t="s">
        <v>3582</v>
      </c>
    </row>
    <row r="1932" spans="1:5" x14ac:dyDescent="0.25">
      <c r="A1932" t="s">
        <v>3329</v>
      </c>
      <c r="B1932" t="str">
        <f>"4550457153140"</f>
        <v>4550457153140</v>
      </c>
      <c r="C1932" t="s">
        <v>6126</v>
      </c>
      <c r="D1932" t="s">
        <v>3332</v>
      </c>
      <c r="E1932" t="s">
        <v>3582</v>
      </c>
    </row>
    <row r="1933" spans="1:5" x14ac:dyDescent="0.25">
      <c r="A1933" t="s">
        <v>3329</v>
      </c>
      <c r="B1933" t="str">
        <f>"4550457153133"</f>
        <v>4550457153133</v>
      </c>
      <c r="C1933" t="s">
        <v>6127</v>
      </c>
      <c r="D1933" t="s">
        <v>3332</v>
      </c>
      <c r="E1933" t="s">
        <v>3582</v>
      </c>
    </row>
    <row r="1934" spans="1:5" x14ac:dyDescent="0.25">
      <c r="A1934" t="s">
        <v>3329</v>
      </c>
      <c r="B1934" t="str">
        <f>"4550457153126"</f>
        <v>4550457153126</v>
      </c>
      <c r="C1934" t="s">
        <v>6128</v>
      </c>
      <c r="D1934" t="s">
        <v>3332</v>
      </c>
      <c r="E1934" t="s">
        <v>3582</v>
      </c>
    </row>
    <row r="1935" spans="1:5" x14ac:dyDescent="0.25">
      <c r="A1935" t="s">
        <v>3329</v>
      </c>
      <c r="B1935" t="str">
        <f>"4550457153096"</f>
        <v>4550457153096</v>
      </c>
      <c r="C1935" t="s">
        <v>6129</v>
      </c>
      <c r="D1935" t="s">
        <v>3332</v>
      </c>
      <c r="E1935" t="s">
        <v>3582</v>
      </c>
    </row>
    <row r="1936" spans="1:5" x14ac:dyDescent="0.25">
      <c r="A1936" t="s">
        <v>3329</v>
      </c>
      <c r="B1936" t="str">
        <f>"4550457153089"</f>
        <v>4550457153089</v>
      </c>
      <c r="C1936" t="s">
        <v>6130</v>
      </c>
      <c r="D1936" t="s">
        <v>3332</v>
      </c>
      <c r="E1936" t="s">
        <v>3582</v>
      </c>
    </row>
    <row r="1937" spans="1:5" x14ac:dyDescent="0.25">
      <c r="A1937" t="s">
        <v>3329</v>
      </c>
      <c r="B1937" t="str">
        <f>"4550457152839"</f>
        <v>4550457152839</v>
      </c>
      <c r="C1937" t="s">
        <v>6131</v>
      </c>
      <c r="D1937" t="s">
        <v>3332</v>
      </c>
      <c r="E1937" t="s">
        <v>3582</v>
      </c>
    </row>
    <row r="1938" spans="1:5" x14ac:dyDescent="0.25">
      <c r="A1938" t="s">
        <v>3329</v>
      </c>
      <c r="B1938" t="str">
        <f>"4550457152815"</f>
        <v>4550457152815</v>
      </c>
      <c r="C1938" t="s">
        <v>6132</v>
      </c>
      <c r="D1938" t="s">
        <v>3332</v>
      </c>
      <c r="E1938" t="s">
        <v>3582</v>
      </c>
    </row>
    <row r="1939" spans="1:5" x14ac:dyDescent="0.25">
      <c r="A1939" t="s">
        <v>3329</v>
      </c>
      <c r="B1939" t="str">
        <f>"4550457151801"</f>
        <v>4550457151801</v>
      </c>
      <c r="C1939" t="s">
        <v>6133</v>
      </c>
      <c r="D1939" t="s">
        <v>3332</v>
      </c>
      <c r="E1939" t="s">
        <v>3582</v>
      </c>
    </row>
    <row r="1940" spans="1:5" x14ac:dyDescent="0.25">
      <c r="A1940" t="s">
        <v>3329</v>
      </c>
      <c r="B1940" t="str">
        <f>"4550457151795"</f>
        <v>4550457151795</v>
      </c>
      <c r="C1940" t="s">
        <v>6134</v>
      </c>
      <c r="D1940" t="s">
        <v>3332</v>
      </c>
      <c r="E1940" t="s">
        <v>3582</v>
      </c>
    </row>
    <row r="1941" spans="1:5" x14ac:dyDescent="0.25">
      <c r="A1941" t="s">
        <v>3329</v>
      </c>
      <c r="B1941" t="str">
        <f>"4550457151696"</f>
        <v>4550457151696</v>
      </c>
      <c r="C1941" t="s">
        <v>6135</v>
      </c>
      <c r="D1941" t="s">
        <v>3332</v>
      </c>
      <c r="E1941" t="s">
        <v>3582</v>
      </c>
    </row>
    <row r="1942" spans="1:5" x14ac:dyDescent="0.25">
      <c r="A1942" t="s">
        <v>3329</v>
      </c>
      <c r="B1942" t="str">
        <f>"4550457145312"</f>
        <v>4550457145312</v>
      </c>
      <c r="C1942" t="s">
        <v>6136</v>
      </c>
      <c r="D1942" t="s">
        <v>3332</v>
      </c>
      <c r="E1942" t="s">
        <v>3582</v>
      </c>
    </row>
    <row r="1943" spans="1:5" x14ac:dyDescent="0.25">
      <c r="A1943" t="s">
        <v>3329</v>
      </c>
      <c r="B1943" t="str">
        <f>"4550457145251"</f>
        <v>4550457145251</v>
      </c>
      <c r="C1943" t="s">
        <v>6137</v>
      </c>
      <c r="D1943" t="s">
        <v>3332</v>
      </c>
      <c r="E1943" t="s">
        <v>3582</v>
      </c>
    </row>
    <row r="1944" spans="1:5" x14ac:dyDescent="0.25">
      <c r="A1944" t="s">
        <v>3329</v>
      </c>
      <c r="B1944" t="str">
        <f>"4550457145237"</f>
        <v>4550457145237</v>
      </c>
      <c r="C1944" t="s">
        <v>6138</v>
      </c>
      <c r="D1944" t="s">
        <v>3332</v>
      </c>
      <c r="E1944" t="s">
        <v>3582</v>
      </c>
    </row>
    <row r="1945" spans="1:5" x14ac:dyDescent="0.25">
      <c r="A1945" t="s">
        <v>3329</v>
      </c>
      <c r="B1945" t="str">
        <f>"4550457145206"</f>
        <v>4550457145206</v>
      </c>
      <c r="C1945" t="s">
        <v>6139</v>
      </c>
      <c r="D1945" t="s">
        <v>3332</v>
      </c>
      <c r="E1945" t="s">
        <v>3582</v>
      </c>
    </row>
    <row r="1946" spans="1:5" x14ac:dyDescent="0.25">
      <c r="A1946" t="s">
        <v>3329</v>
      </c>
      <c r="B1946" t="str">
        <f>"4550457145183"</f>
        <v>4550457145183</v>
      </c>
      <c r="C1946" t="s">
        <v>6140</v>
      </c>
      <c r="D1946" t="s">
        <v>3332</v>
      </c>
      <c r="E1946" t="s">
        <v>3582</v>
      </c>
    </row>
    <row r="1947" spans="1:5" x14ac:dyDescent="0.25">
      <c r="A1947" t="s">
        <v>3329</v>
      </c>
      <c r="B1947" t="str">
        <f>"4550457144414"</f>
        <v>4550457144414</v>
      </c>
      <c r="C1947" t="s">
        <v>6141</v>
      </c>
      <c r="D1947" t="s">
        <v>3332</v>
      </c>
      <c r="E1947" t="s">
        <v>3582</v>
      </c>
    </row>
    <row r="1948" spans="1:5" x14ac:dyDescent="0.25">
      <c r="A1948" t="s">
        <v>3329</v>
      </c>
      <c r="B1948" t="str">
        <f>"4550457144391"</f>
        <v>4550457144391</v>
      </c>
      <c r="C1948" t="s">
        <v>6142</v>
      </c>
      <c r="D1948" t="s">
        <v>3332</v>
      </c>
      <c r="E1948" t="s">
        <v>3582</v>
      </c>
    </row>
    <row r="1949" spans="1:5" x14ac:dyDescent="0.25">
      <c r="A1949" t="s">
        <v>3329</v>
      </c>
      <c r="B1949" t="str">
        <f>"4550457144360"</f>
        <v>4550457144360</v>
      </c>
      <c r="C1949" t="s">
        <v>6143</v>
      </c>
      <c r="D1949" t="s">
        <v>3332</v>
      </c>
      <c r="E1949" t="s">
        <v>3582</v>
      </c>
    </row>
    <row r="1950" spans="1:5" x14ac:dyDescent="0.25">
      <c r="A1950" t="s">
        <v>3329</v>
      </c>
      <c r="B1950" t="str">
        <f>"4550457144353"</f>
        <v>4550457144353</v>
      </c>
      <c r="C1950" t="s">
        <v>6144</v>
      </c>
      <c r="D1950" t="s">
        <v>3332</v>
      </c>
      <c r="E1950" t="s">
        <v>3582</v>
      </c>
    </row>
    <row r="1951" spans="1:5" x14ac:dyDescent="0.25">
      <c r="A1951" t="s">
        <v>3329</v>
      </c>
      <c r="B1951" t="str">
        <f>"4550457144339"</f>
        <v>4550457144339</v>
      </c>
      <c r="C1951" t="s">
        <v>6145</v>
      </c>
      <c r="D1951" t="s">
        <v>3332</v>
      </c>
      <c r="E1951" t="s">
        <v>3582</v>
      </c>
    </row>
    <row r="1952" spans="1:5" x14ac:dyDescent="0.25">
      <c r="A1952" t="s">
        <v>3329</v>
      </c>
      <c r="B1952" t="str">
        <f>"4550457144292"</f>
        <v>4550457144292</v>
      </c>
      <c r="C1952" t="s">
        <v>6146</v>
      </c>
      <c r="D1952" t="s">
        <v>3332</v>
      </c>
      <c r="E1952" t="s">
        <v>3582</v>
      </c>
    </row>
    <row r="1953" spans="1:5" x14ac:dyDescent="0.25">
      <c r="A1953" t="s">
        <v>3329</v>
      </c>
      <c r="B1953" t="str">
        <f>"4550457143844"</f>
        <v>4550457143844</v>
      </c>
      <c r="C1953" t="s">
        <v>6147</v>
      </c>
      <c r="D1953" t="s">
        <v>3332</v>
      </c>
      <c r="E1953" t="s">
        <v>3582</v>
      </c>
    </row>
    <row r="1954" spans="1:5" x14ac:dyDescent="0.25">
      <c r="A1954" t="s">
        <v>3329</v>
      </c>
      <c r="B1954" t="str">
        <f>"4550457142922"</f>
        <v>4550457142922</v>
      </c>
      <c r="C1954" t="s">
        <v>6148</v>
      </c>
      <c r="D1954" t="s">
        <v>3332</v>
      </c>
      <c r="E1954" t="s">
        <v>3582</v>
      </c>
    </row>
    <row r="1955" spans="1:5" x14ac:dyDescent="0.25">
      <c r="A1955" t="s">
        <v>3329</v>
      </c>
      <c r="B1955" t="str">
        <f>"4550457142885"</f>
        <v>4550457142885</v>
      </c>
      <c r="C1955" t="s">
        <v>6149</v>
      </c>
      <c r="D1955" t="s">
        <v>3332</v>
      </c>
      <c r="E1955" t="s">
        <v>3582</v>
      </c>
    </row>
    <row r="1956" spans="1:5" x14ac:dyDescent="0.25">
      <c r="A1956" t="s">
        <v>3329</v>
      </c>
      <c r="B1956" t="str">
        <f>"4550456885851"</f>
        <v>4550456885851</v>
      </c>
      <c r="C1956" t="s">
        <v>6150</v>
      </c>
      <c r="D1956" t="s">
        <v>3332</v>
      </c>
      <c r="E1956" t="s">
        <v>3582</v>
      </c>
    </row>
    <row r="1957" spans="1:5" x14ac:dyDescent="0.25">
      <c r="A1957" t="s">
        <v>3329</v>
      </c>
      <c r="B1957" t="s">
        <v>6151</v>
      </c>
      <c r="C1957" t="s">
        <v>6152</v>
      </c>
      <c r="D1957" t="s">
        <v>3332</v>
      </c>
      <c r="E1957" t="s">
        <v>3582</v>
      </c>
    </row>
    <row r="1958" spans="1:5" x14ac:dyDescent="0.25">
      <c r="A1958" t="s">
        <v>3329</v>
      </c>
      <c r="B1958" t="str">
        <f>"4550456885837"</f>
        <v>4550456885837</v>
      </c>
      <c r="C1958" t="s">
        <v>6153</v>
      </c>
      <c r="D1958" t="s">
        <v>3332</v>
      </c>
      <c r="E1958" t="s">
        <v>3582</v>
      </c>
    </row>
    <row r="1959" spans="1:5" x14ac:dyDescent="0.25">
      <c r="A1959" t="s">
        <v>3329</v>
      </c>
      <c r="B1959" t="s">
        <v>6154</v>
      </c>
      <c r="C1959" t="s">
        <v>6152</v>
      </c>
      <c r="D1959" t="s">
        <v>3332</v>
      </c>
      <c r="E1959" t="s">
        <v>3582</v>
      </c>
    </row>
    <row r="1960" spans="1:5" x14ac:dyDescent="0.25">
      <c r="A1960" t="s">
        <v>3329</v>
      </c>
      <c r="B1960" t="s">
        <v>6155</v>
      </c>
      <c r="C1960" t="s">
        <v>6152</v>
      </c>
      <c r="D1960" t="s">
        <v>3332</v>
      </c>
      <c r="E1960" t="s">
        <v>3582</v>
      </c>
    </row>
    <row r="1961" spans="1:5" x14ac:dyDescent="0.25">
      <c r="A1961" t="s">
        <v>3329</v>
      </c>
      <c r="B1961" t="str">
        <f>"4550456885783"</f>
        <v>4550456885783</v>
      </c>
      <c r="C1961" t="s">
        <v>6156</v>
      </c>
      <c r="D1961" t="s">
        <v>3332</v>
      </c>
      <c r="E1961" t="s">
        <v>3582</v>
      </c>
    </row>
    <row r="1962" spans="1:5" x14ac:dyDescent="0.25">
      <c r="A1962" t="s">
        <v>3329</v>
      </c>
      <c r="B1962" t="s">
        <v>6157</v>
      </c>
      <c r="C1962" t="s">
        <v>6152</v>
      </c>
      <c r="D1962" t="s">
        <v>3332</v>
      </c>
      <c r="E1962" t="s">
        <v>3582</v>
      </c>
    </row>
    <row r="1963" spans="1:5" x14ac:dyDescent="0.25">
      <c r="A1963" t="s">
        <v>3329</v>
      </c>
      <c r="B1963" t="s">
        <v>6158</v>
      </c>
      <c r="C1963" t="s">
        <v>6152</v>
      </c>
      <c r="D1963" t="s">
        <v>3332</v>
      </c>
      <c r="E1963" t="s">
        <v>3582</v>
      </c>
    </row>
    <row r="1964" spans="1:5" x14ac:dyDescent="0.25">
      <c r="A1964" t="s">
        <v>3329</v>
      </c>
      <c r="B1964" t="s">
        <v>6159</v>
      </c>
      <c r="C1964" t="s">
        <v>6152</v>
      </c>
      <c r="D1964" t="s">
        <v>3332</v>
      </c>
      <c r="E1964" t="s">
        <v>3582</v>
      </c>
    </row>
    <row r="1965" spans="1:5" x14ac:dyDescent="0.25">
      <c r="A1965" t="s">
        <v>3329</v>
      </c>
      <c r="B1965" t="str">
        <f>"4550456865211"</f>
        <v>4550456865211</v>
      </c>
      <c r="C1965" t="s">
        <v>6160</v>
      </c>
      <c r="D1965" t="s">
        <v>3332</v>
      </c>
      <c r="E1965" t="s">
        <v>3582</v>
      </c>
    </row>
    <row r="1966" spans="1:5" x14ac:dyDescent="0.25">
      <c r="A1966" t="s">
        <v>3329</v>
      </c>
      <c r="B1966" t="str">
        <f>"4550456865150"</f>
        <v>4550456865150</v>
      </c>
      <c r="C1966" t="s">
        <v>6161</v>
      </c>
      <c r="D1966" t="s">
        <v>3332</v>
      </c>
      <c r="E1966" t="s">
        <v>3582</v>
      </c>
    </row>
    <row r="1967" spans="1:5" x14ac:dyDescent="0.25">
      <c r="A1967" t="s">
        <v>3329</v>
      </c>
      <c r="B1967" t="s">
        <v>6162</v>
      </c>
      <c r="C1967" t="s">
        <v>6163</v>
      </c>
      <c r="D1967" t="s">
        <v>3332</v>
      </c>
      <c r="E1967" t="s">
        <v>3582</v>
      </c>
    </row>
    <row r="1968" spans="1:5" x14ac:dyDescent="0.25">
      <c r="A1968" t="s">
        <v>3329</v>
      </c>
      <c r="B1968" t="s">
        <v>6164</v>
      </c>
      <c r="C1968" t="s">
        <v>6163</v>
      </c>
      <c r="D1968" t="s">
        <v>3332</v>
      </c>
      <c r="E1968" t="s">
        <v>3582</v>
      </c>
    </row>
    <row r="1969" spans="1:5" x14ac:dyDescent="0.25">
      <c r="A1969" t="s">
        <v>3329</v>
      </c>
      <c r="B1969" t="s">
        <v>6165</v>
      </c>
      <c r="C1969" t="s">
        <v>6163</v>
      </c>
      <c r="D1969" t="s">
        <v>3332</v>
      </c>
      <c r="E1969" t="s">
        <v>3582</v>
      </c>
    </row>
    <row r="1970" spans="1:5" x14ac:dyDescent="0.25">
      <c r="A1970" t="s">
        <v>3329</v>
      </c>
      <c r="B1970" t="s">
        <v>6166</v>
      </c>
      <c r="C1970" t="s">
        <v>6163</v>
      </c>
      <c r="D1970" t="s">
        <v>3332</v>
      </c>
      <c r="E1970" t="s">
        <v>3582</v>
      </c>
    </row>
    <row r="1971" spans="1:5" x14ac:dyDescent="0.25">
      <c r="A1971" t="s">
        <v>3329</v>
      </c>
      <c r="B1971" t="str">
        <f>"4550456674363"</f>
        <v>4550456674363</v>
      </c>
      <c r="C1971" t="s">
        <v>6167</v>
      </c>
      <c r="D1971" t="s">
        <v>3332</v>
      </c>
      <c r="E1971" t="s">
        <v>3582</v>
      </c>
    </row>
    <row r="1972" spans="1:5" x14ac:dyDescent="0.25">
      <c r="A1972" t="s">
        <v>3329</v>
      </c>
      <c r="B1972" t="str">
        <f>"4550456674349"</f>
        <v>4550456674349</v>
      </c>
      <c r="C1972" t="s">
        <v>6168</v>
      </c>
      <c r="D1972" t="s">
        <v>3332</v>
      </c>
      <c r="E1972" t="s">
        <v>3582</v>
      </c>
    </row>
    <row r="1973" spans="1:5" x14ac:dyDescent="0.25">
      <c r="A1973" t="s">
        <v>3329</v>
      </c>
      <c r="B1973" t="str">
        <f>"4550456674332"</f>
        <v>4550456674332</v>
      </c>
      <c r="C1973" t="s">
        <v>6169</v>
      </c>
      <c r="D1973" t="s">
        <v>3332</v>
      </c>
      <c r="E1973" t="s">
        <v>3582</v>
      </c>
    </row>
    <row r="1974" spans="1:5" x14ac:dyDescent="0.25">
      <c r="A1974" t="s">
        <v>3329</v>
      </c>
      <c r="B1974" t="str">
        <f>"4550456674325"</f>
        <v>4550456674325</v>
      </c>
      <c r="C1974" t="s">
        <v>6170</v>
      </c>
      <c r="D1974" t="s">
        <v>3332</v>
      </c>
      <c r="E1974" t="s">
        <v>3582</v>
      </c>
    </row>
    <row r="1975" spans="1:5" x14ac:dyDescent="0.25">
      <c r="A1975" t="s">
        <v>3329</v>
      </c>
      <c r="B1975" t="str">
        <f>"4550456674257"</f>
        <v>4550456674257</v>
      </c>
      <c r="C1975" t="s">
        <v>6171</v>
      </c>
      <c r="D1975" t="s">
        <v>3332</v>
      </c>
      <c r="E1975" t="s">
        <v>3582</v>
      </c>
    </row>
    <row r="1976" spans="1:5" x14ac:dyDescent="0.25">
      <c r="A1976" t="s">
        <v>3329</v>
      </c>
      <c r="B1976" t="str">
        <f>"4550456674240"</f>
        <v>4550456674240</v>
      </c>
      <c r="C1976" t="s">
        <v>6172</v>
      </c>
      <c r="D1976" t="s">
        <v>3332</v>
      </c>
      <c r="E1976" t="s">
        <v>3582</v>
      </c>
    </row>
    <row r="1977" spans="1:5" x14ac:dyDescent="0.25">
      <c r="A1977" t="s">
        <v>3329</v>
      </c>
      <c r="B1977" t="str">
        <f>"4550456670259"</f>
        <v>4550456670259</v>
      </c>
      <c r="C1977" t="s">
        <v>6173</v>
      </c>
      <c r="D1977" t="s">
        <v>3332</v>
      </c>
      <c r="E1977" t="s">
        <v>3582</v>
      </c>
    </row>
    <row r="1978" spans="1:5" x14ac:dyDescent="0.25">
      <c r="A1978" t="s">
        <v>3329</v>
      </c>
      <c r="B1978" t="str">
        <f>"4550456670242"</f>
        <v>4550456670242</v>
      </c>
      <c r="C1978" t="s">
        <v>6174</v>
      </c>
      <c r="D1978" t="s">
        <v>3332</v>
      </c>
      <c r="E1978" t="s">
        <v>3582</v>
      </c>
    </row>
    <row r="1979" spans="1:5" x14ac:dyDescent="0.25">
      <c r="A1979" t="s">
        <v>3329</v>
      </c>
      <c r="B1979" t="str">
        <f>"4550456670235"</f>
        <v>4550456670235</v>
      </c>
      <c r="C1979" t="s">
        <v>6175</v>
      </c>
      <c r="D1979" t="s">
        <v>3332</v>
      </c>
      <c r="E1979" t="s">
        <v>3582</v>
      </c>
    </row>
    <row r="1980" spans="1:5" x14ac:dyDescent="0.25">
      <c r="A1980" t="s">
        <v>3329</v>
      </c>
      <c r="B1980" t="str">
        <f>"4550456670150"</f>
        <v>4550456670150</v>
      </c>
      <c r="C1980" t="s">
        <v>6176</v>
      </c>
      <c r="D1980" t="s">
        <v>3332</v>
      </c>
      <c r="E1980" t="s">
        <v>3582</v>
      </c>
    </row>
    <row r="1981" spans="1:5" x14ac:dyDescent="0.25">
      <c r="A1981" t="s">
        <v>3329</v>
      </c>
      <c r="B1981" t="str">
        <f>"4550456670136"</f>
        <v>4550456670136</v>
      </c>
      <c r="C1981" t="s">
        <v>6177</v>
      </c>
      <c r="D1981" t="s">
        <v>3332</v>
      </c>
      <c r="E1981" t="s">
        <v>3582</v>
      </c>
    </row>
    <row r="1982" spans="1:5" x14ac:dyDescent="0.25">
      <c r="A1982" t="s">
        <v>3329</v>
      </c>
      <c r="B1982" t="str">
        <f>"4550456670112"</f>
        <v>4550456670112</v>
      </c>
      <c r="C1982" t="s">
        <v>6178</v>
      </c>
      <c r="D1982" t="s">
        <v>3332</v>
      </c>
      <c r="E1982" t="s">
        <v>3582</v>
      </c>
    </row>
    <row r="1983" spans="1:5" x14ac:dyDescent="0.25">
      <c r="A1983" t="s">
        <v>3329</v>
      </c>
      <c r="B1983" t="str">
        <f>"4550456669819"</f>
        <v>4550456669819</v>
      </c>
      <c r="C1983" t="s">
        <v>6179</v>
      </c>
      <c r="D1983" t="s">
        <v>3332</v>
      </c>
      <c r="E1983" t="s">
        <v>3582</v>
      </c>
    </row>
    <row r="1984" spans="1:5" x14ac:dyDescent="0.25">
      <c r="A1984" t="s">
        <v>3329</v>
      </c>
      <c r="B1984" t="str">
        <f>"4550456669796"</f>
        <v>4550456669796</v>
      </c>
      <c r="C1984" t="s">
        <v>6180</v>
      </c>
      <c r="D1984" t="s">
        <v>3332</v>
      </c>
      <c r="E1984" t="s">
        <v>3582</v>
      </c>
    </row>
    <row r="1985" spans="1:5" x14ac:dyDescent="0.25">
      <c r="A1985" t="s">
        <v>3329</v>
      </c>
      <c r="B1985" t="str">
        <f>"4550456669772"</f>
        <v>4550456669772</v>
      </c>
      <c r="C1985" t="s">
        <v>6181</v>
      </c>
      <c r="D1985" t="s">
        <v>3332</v>
      </c>
      <c r="E1985" t="s">
        <v>3582</v>
      </c>
    </row>
    <row r="1986" spans="1:5" x14ac:dyDescent="0.25">
      <c r="A1986" t="s">
        <v>3329</v>
      </c>
      <c r="B1986" t="s">
        <v>6182</v>
      </c>
      <c r="C1986" t="s">
        <v>6183</v>
      </c>
      <c r="D1986" t="s">
        <v>3332</v>
      </c>
      <c r="E1986" t="s">
        <v>3582</v>
      </c>
    </row>
    <row r="1987" spans="1:5" x14ac:dyDescent="0.25">
      <c r="A1987" t="s">
        <v>3329</v>
      </c>
      <c r="B1987" t="str">
        <f>"4550456669734"</f>
        <v>4550456669734</v>
      </c>
      <c r="C1987" t="s">
        <v>6184</v>
      </c>
      <c r="D1987" t="s">
        <v>3332</v>
      </c>
      <c r="E1987" t="s">
        <v>3582</v>
      </c>
    </row>
    <row r="1988" spans="1:5" x14ac:dyDescent="0.25">
      <c r="A1988" t="s">
        <v>3329</v>
      </c>
      <c r="B1988" t="str">
        <f>"4550456668928"</f>
        <v>4550456668928</v>
      </c>
      <c r="C1988" t="s">
        <v>6185</v>
      </c>
      <c r="D1988" t="s">
        <v>3332</v>
      </c>
      <c r="E1988" t="s">
        <v>3582</v>
      </c>
    </row>
    <row r="1989" spans="1:5" x14ac:dyDescent="0.25">
      <c r="A1989" t="s">
        <v>3329</v>
      </c>
      <c r="B1989" t="str">
        <f>"4550456668881"</f>
        <v>4550456668881</v>
      </c>
      <c r="C1989" t="s">
        <v>6186</v>
      </c>
      <c r="D1989" t="s">
        <v>3332</v>
      </c>
      <c r="E1989" t="s">
        <v>3582</v>
      </c>
    </row>
    <row r="1990" spans="1:5" x14ac:dyDescent="0.25">
      <c r="A1990" t="s">
        <v>3329</v>
      </c>
      <c r="B1990" t="str">
        <f>"4550456668867"</f>
        <v>4550456668867</v>
      </c>
      <c r="C1990" t="s">
        <v>6187</v>
      </c>
      <c r="D1990" t="s">
        <v>3332</v>
      </c>
      <c r="E1990" t="s">
        <v>3582</v>
      </c>
    </row>
    <row r="1991" spans="1:5" x14ac:dyDescent="0.25">
      <c r="A1991" t="s">
        <v>3329</v>
      </c>
      <c r="B1991" t="str">
        <f>"4550456668850"</f>
        <v>4550456668850</v>
      </c>
      <c r="C1991" t="s">
        <v>6188</v>
      </c>
      <c r="D1991" t="s">
        <v>3332</v>
      </c>
      <c r="E1991" t="s">
        <v>3582</v>
      </c>
    </row>
    <row r="1992" spans="1:5" x14ac:dyDescent="0.25">
      <c r="A1992" t="s">
        <v>3329</v>
      </c>
      <c r="B1992" t="str">
        <f>"4550456668836"</f>
        <v>4550456668836</v>
      </c>
      <c r="C1992" t="s">
        <v>6189</v>
      </c>
      <c r="D1992" t="s">
        <v>3332</v>
      </c>
      <c r="E1992" t="s">
        <v>3582</v>
      </c>
    </row>
    <row r="1993" spans="1:5" x14ac:dyDescent="0.25">
      <c r="A1993" t="s">
        <v>3329</v>
      </c>
      <c r="B1993" t="str">
        <f>"4550456668812"</f>
        <v>4550456668812</v>
      </c>
      <c r="C1993" t="s">
        <v>6190</v>
      </c>
      <c r="D1993" t="s">
        <v>3332</v>
      </c>
      <c r="E1993" t="s">
        <v>3582</v>
      </c>
    </row>
    <row r="1994" spans="1:5" x14ac:dyDescent="0.25">
      <c r="A1994" t="s">
        <v>3329</v>
      </c>
      <c r="B1994" t="str">
        <f>"4550456668614"</f>
        <v>4550456668614</v>
      </c>
      <c r="C1994" t="s">
        <v>6191</v>
      </c>
      <c r="D1994" t="s">
        <v>3332</v>
      </c>
      <c r="E1994" t="s">
        <v>3582</v>
      </c>
    </row>
    <row r="1995" spans="1:5" x14ac:dyDescent="0.25">
      <c r="A1995" t="s">
        <v>3329</v>
      </c>
      <c r="B1995" t="str">
        <f>"4550456668553"</f>
        <v>4550456668553</v>
      </c>
      <c r="C1995" t="s">
        <v>6192</v>
      </c>
      <c r="D1995" t="s">
        <v>3332</v>
      </c>
      <c r="E1995" t="s">
        <v>3582</v>
      </c>
    </row>
    <row r="1996" spans="1:5" x14ac:dyDescent="0.25">
      <c r="A1996" t="s">
        <v>3329</v>
      </c>
      <c r="B1996" t="str">
        <f>"4550456668539"</f>
        <v>4550456668539</v>
      </c>
      <c r="C1996" t="s">
        <v>6193</v>
      </c>
      <c r="D1996" t="s">
        <v>3332</v>
      </c>
      <c r="E1996" t="s">
        <v>3582</v>
      </c>
    </row>
    <row r="1997" spans="1:5" x14ac:dyDescent="0.25">
      <c r="A1997" t="s">
        <v>3329</v>
      </c>
      <c r="B1997" t="str">
        <f>"4550456668508"</f>
        <v>4550456668508</v>
      </c>
      <c r="C1997" t="s">
        <v>6194</v>
      </c>
      <c r="D1997" t="s">
        <v>3332</v>
      </c>
      <c r="E1997" t="s">
        <v>3582</v>
      </c>
    </row>
    <row r="1998" spans="1:5" x14ac:dyDescent="0.25">
      <c r="A1998" t="s">
        <v>3329</v>
      </c>
      <c r="B1998" t="str">
        <f>"4550456668492"</f>
        <v>4550456668492</v>
      </c>
      <c r="C1998" t="s">
        <v>6195</v>
      </c>
      <c r="D1998" t="s">
        <v>3332</v>
      </c>
      <c r="E1998" t="s">
        <v>3582</v>
      </c>
    </row>
    <row r="1999" spans="1:5" x14ac:dyDescent="0.25">
      <c r="A1999" t="s">
        <v>3329</v>
      </c>
      <c r="B1999" t="s">
        <v>6196</v>
      </c>
      <c r="C1999" t="s">
        <v>6197</v>
      </c>
      <c r="D1999" t="s">
        <v>3332</v>
      </c>
      <c r="E1999" t="s">
        <v>3582</v>
      </c>
    </row>
    <row r="2000" spans="1:5" x14ac:dyDescent="0.25">
      <c r="A2000" t="s">
        <v>3329</v>
      </c>
      <c r="B2000" t="str">
        <f>"4550456667358"</f>
        <v>4550456667358</v>
      </c>
      <c r="C2000" t="s">
        <v>6198</v>
      </c>
      <c r="D2000" t="s">
        <v>3332</v>
      </c>
      <c r="E2000" t="s">
        <v>3582</v>
      </c>
    </row>
    <row r="2001" spans="1:5" x14ac:dyDescent="0.25">
      <c r="A2001" t="s">
        <v>3329</v>
      </c>
      <c r="B2001" t="str">
        <f>"4550456667341"</f>
        <v>4550456667341</v>
      </c>
      <c r="C2001" t="s">
        <v>6199</v>
      </c>
      <c r="D2001" t="s">
        <v>3332</v>
      </c>
      <c r="E2001" t="s">
        <v>3582</v>
      </c>
    </row>
    <row r="2002" spans="1:5" x14ac:dyDescent="0.25">
      <c r="A2002" t="s">
        <v>3329</v>
      </c>
      <c r="B2002" t="str">
        <f>"4550456667327"</f>
        <v>4550456667327</v>
      </c>
      <c r="C2002" t="s">
        <v>6200</v>
      </c>
      <c r="D2002" t="s">
        <v>3332</v>
      </c>
      <c r="E2002" t="s">
        <v>3582</v>
      </c>
    </row>
    <row r="2003" spans="1:5" x14ac:dyDescent="0.25">
      <c r="A2003" t="s">
        <v>3329</v>
      </c>
      <c r="B2003" t="str">
        <f>"4550456667273"</f>
        <v>4550456667273</v>
      </c>
      <c r="C2003" t="s">
        <v>6201</v>
      </c>
      <c r="D2003" t="s">
        <v>3332</v>
      </c>
      <c r="E2003" t="s">
        <v>3582</v>
      </c>
    </row>
    <row r="2004" spans="1:5" x14ac:dyDescent="0.25">
      <c r="A2004" t="s">
        <v>3329</v>
      </c>
      <c r="B2004" t="str">
        <f>"4550456667259"</f>
        <v>4550456667259</v>
      </c>
      <c r="C2004" t="s">
        <v>6202</v>
      </c>
      <c r="D2004" t="s">
        <v>3332</v>
      </c>
      <c r="E2004" t="s">
        <v>3582</v>
      </c>
    </row>
    <row r="2005" spans="1:5" x14ac:dyDescent="0.25">
      <c r="A2005" t="s">
        <v>3329</v>
      </c>
      <c r="B2005" t="str">
        <f>"4550456667242"</f>
        <v>4550456667242</v>
      </c>
      <c r="C2005" t="s">
        <v>6203</v>
      </c>
      <c r="D2005" t="s">
        <v>3332</v>
      </c>
      <c r="E2005" t="s">
        <v>3582</v>
      </c>
    </row>
    <row r="2006" spans="1:5" x14ac:dyDescent="0.25">
      <c r="A2006" t="s">
        <v>3329</v>
      </c>
      <c r="B2006" t="str">
        <f>"4550456664470"</f>
        <v>4550456664470</v>
      </c>
      <c r="C2006" t="s">
        <v>6204</v>
      </c>
      <c r="D2006" t="s">
        <v>3332</v>
      </c>
      <c r="E2006" t="s">
        <v>3582</v>
      </c>
    </row>
    <row r="2007" spans="1:5" x14ac:dyDescent="0.25">
      <c r="A2007" t="s">
        <v>3329</v>
      </c>
      <c r="B2007" t="s">
        <v>6205</v>
      </c>
      <c r="C2007" t="s">
        <v>6206</v>
      </c>
      <c r="D2007" t="s">
        <v>3332</v>
      </c>
      <c r="E2007" t="s">
        <v>3582</v>
      </c>
    </row>
    <row r="2008" spans="1:5" x14ac:dyDescent="0.25">
      <c r="A2008" t="s">
        <v>3329</v>
      </c>
      <c r="B2008" t="s">
        <v>6207</v>
      </c>
      <c r="C2008" t="s">
        <v>6208</v>
      </c>
      <c r="D2008" t="s">
        <v>3332</v>
      </c>
      <c r="E2008" t="s">
        <v>3582</v>
      </c>
    </row>
    <row r="2009" spans="1:5" x14ac:dyDescent="0.25">
      <c r="A2009" t="s">
        <v>3329</v>
      </c>
      <c r="B2009" t="str">
        <f>"4550456663046"</f>
        <v>4550456663046</v>
      </c>
      <c r="C2009" t="s">
        <v>6209</v>
      </c>
      <c r="D2009" t="s">
        <v>3332</v>
      </c>
      <c r="E2009" t="s">
        <v>3582</v>
      </c>
    </row>
    <row r="2010" spans="1:5" x14ac:dyDescent="0.25">
      <c r="A2010" t="s">
        <v>3329</v>
      </c>
      <c r="B2010" t="s">
        <v>6210</v>
      </c>
      <c r="C2010" t="s">
        <v>6211</v>
      </c>
      <c r="D2010" t="s">
        <v>3332</v>
      </c>
      <c r="E2010" t="s">
        <v>3582</v>
      </c>
    </row>
    <row r="2011" spans="1:5" x14ac:dyDescent="0.25">
      <c r="A2011" t="s">
        <v>3329</v>
      </c>
      <c r="B2011" t="str">
        <f>"4550456662490"</f>
        <v>4550456662490</v>
      </c>
      <c r="C2011" t="s">
        <v>6212</v>
      </c>
      <c r="D2011" t="s">
        <v>3332</v>
      </c>
      <c r="E2011" t="s">
        <v>3582</v>
      </c>
    </row>
    <row r="2012" spans="1:5" x14ac:dyDescent="0.25">
      <c r="A2012" t="s">
        <v>3329</v>
      </c>
      <c r="B2012" t="str">
        <f>"4550456662476"</f>
        <v>4550456662476</v>
      </c>
      <c r="C2012" t="s">
        <v>6213</v>
      </c>
      <c r="D2012" t="s">
        <v>3332</v>
      </c>
      <c r="E2012" t="s">
        <v>3582</v>
      </c>
    </row>
    <row r="2013" spans="1:5" x14ac:dyDescent="0.25">
      <c r="A2013" t="s">
        <v>3329</v>
      </c>
      <c r="B2013" t="str">
        <f>"4550456662384"</f>
        <v>4550456662384</v>
      </c>
      <c r="C2013" t="s">
        <v>6214</v>
      </c>
      <c r="D2013" t="s">
        <v>3332</v>
      </c>
      <c r="E2013" t="s">
        <v>3582</v>
      </c>
    </row>
    <row r="2014" spans="1:5" x14ac:dyDescent="0.25">
      <c r="A2014" t="s">
        <v>3329</v>
      </c>
      <c r="B2014" t="s">
        <v>6215</v>
      </c>
      <c r="C2014" t="s">
        <v>6216</v>
      </c>
      <c r="D2014" t="s">
        <v>3332</v>
      </c>
      <c r="E2014" t="s">
        <v>3336</v>
      </c>
    </row>
    <row r="2015" spans="1:5" x14ac:dyDescent="0.25">
      <c r="A2015" t="s">
        <v>3329</v>
      </c>
      <c r="B2015" t="s">
        <v>6217</v>
      </c>
      <c r="C2015" t="s">
        <v>6218</v>
      </c>
      <c r="D2015" t="s">
        <v>3332</v>
      </c>
      <c r="E2015" t="s">
        <v>3336</v>
      </c>
    </row>
    <row r="2016" spans="1:5" x14ac:dyDescent="0.25">
      <c r="A2016" t="s">
        <v>3329</v>
      </c>
      <c r="B2016" t="s">
        <v>6219</v>
      </c>
      <c r="C2016" t="s">
        <v>6220</v>
      </c>
      <c r="D2016" t="s">
        <v>3332</v>
      </c>
      <c r="E2016" t="s">
        <v>3336</v>
      </c>
    </row>
    <row r="2017" spans="1:5" x14ac:dyDescent="0.25">
      <c r="A2017" t="s">
        <v>3329</v>
      </c>
      <c r="B2017" t="s">
        <v>6221</v>
      </c>
      <c r="C2017" t="s">
        <v>6222</v>
      </c>
      <c r="D2017" t="s">
        <v>3332</v>
      </c>
      <c r="E2017" t="s">
        <v>3336</v>
      </c>
    </row>
    <row r="2018" spans="1:5" x14ac:dyDescent="0.25">
      <c r="A2018" t="s">
        <v>3329</v>
      </c>
      <c r="B2018" t="s">
        <v>6223</v>
      </c>
      <c r="C2018" t="s">
        <v>6224</v>
      </c>
      <c r="D2018" t="s">
        <v>3332</v>
      </c>
      <c r="E2018" t="s">
        <v>3336</v>
      </c>
    </row>
    <row r="2019" spans="1:5" x14ac:dyDescent="0.25">
      <c r="A2019" t="s">
        <v>3329</v>
      </c>
      <c r="B2019" t="s">
        <v>6225</v>
      </c>
      <c r="C2019" t="s">
        <v>6226</v>
      </c>
      <c r="D2019" t="s">
        <v>3332</v>
      </c>
      <c r="E2019" t="s">
        <v>3336</v>
      </c>
    </row>
    <row r="2020" spans="1:5" x14ac:dyDescent="0.25">
      <c r="A2020" t="s">
        <v>3329</v>
      </c>
      <c r="B2020" t="s">
        <v>6227</v>
      </c>
      <c r="C2020" t="s">
        <v>6228</v>
      </c>
      <c r="D2020" t="s">
        <v>3332</v>
      </c>
      <c r="E2020" t="s">
        <v>3336</v>
      </c>
    </row>
    <row r="2021" spans="1:5" x14ac:dyDescent="0.25">
      <c r="A2021" t="s">
        <v>3329</v>
      </c>
      <c r="B2021" t="s">
        <v>6229</v>
      </c>
      <c r="C2021" t="s">
        <v>6230</v>
      </c>
      <c r="D2021" t="s">
        <v>3332</v>
      </c>
      <c r="E2021" t="s">
        <v>3336</v>
      </c>
    </row>
    <row r="2022" spans="1:5" x14ac:dyDescent="0.25">
      <c r="A2022" t="s">
        <v>3329</v>
      </c>
      <c r="B2022" t="s">
        <v>6231</v>
      </c>
      <c r="C2022" t="s">
        <v>6232</v>
      </c>
      <c r="D2022" t="s">
        <v>3332</v>
      </c>
      <c r="E2022" t="s">
        <v>3336</v>
      </c>
    </row>
    <row r="2023" spans="1:5" x14ac:dyDescent="0.25">
      <c r="A2023" t="s">
        <v>3329</v>
      </c>
      <c r="B2023" t="s">
        <v>6233</v>
      </c>
      <c r="C2023" t="s">
        <v>6234</v>
      </c>
      <c r="D2023" t="s">
        <v>3332</v>
      </c>
      <c r="E2023" t="s">
        <v>3336</v>
      </c>
    </row>
    <row r="2024" spans="1:5" x14ac:dyDescent="0.25">
      <c r="A2024" t="s">
        <v>3329</v>
      </c>
      <c r="B2024" t="s">
        <v>6235</v>
      </c>
      <c r="C2024" t="s">
        <v>6236</v>
      </c>
      <c r="D2024" t="s">
        <v>3332</v>
      </c>
      <c r="E2024" t="s">
        <v>3336</v>
      </c>
    </row>
    <row r="2025" spans="1:5" x14ac:dyDescent="0.25">
      <c r="A2025" t="s">
        <v>3329</v>
      </c>
      <c r="B2025" t="s">
        <v>6237</v>
      </c>
      <c r="C2025" t="s">
        <v>6238</v>
      </c>
      <c r="D2025" t="s">
        <v>3332</v>
      </c>
      <c r="E2025" t="s">
        <v>3336</v>
      </c>
    </row>
    <row r="2026" spans="1:5" x14ac:dyDescent="0.25">
      <c r="A2026" t="s">
        <v>3329</v>
      </c>
      <c r="B2026" t="s">
        <v>6239</v>
      </c>
      <c r="C2026" t="s">
        <v>6240</v>
      </c>
      <c r="D2026" t="s">
        <v>3332</v>
      </c>
      <c r="E2026" t="s">
        <v>3336</v>
      </c>
    </row>
    <row r="2027" spans="1:5" x14ac:dyDescent="0.25">
      <c r="A2027" t="s">
        <v>3329</v>
      </c>
      <c r="B2027" t="s">
        <v>6241</v>
      </c>
      <c r="C2027" t="s">
        <v>6242</v>
      </c>
      <c r="D2027" t="s">
        <v>3332</v>
      </c>
      <c r="E2027" t="s">
        <v>3582</v>
      </c>
    </row>
    <row r="2028" spans="1:5" x14ac:dyDescent="0.25">
      <c r="A2028" t="s">
        <v>3329</v>
      </c>
      <c r="B2028" t="s">
        <v>6243</v>
      </c>
      <c r="C2028" t="s">
        <v>6244</v>
      </c>
      <c r="D2028" t="s">
        <v>3332</v>
      </c>
      <c r="E2028" t="s">
        <v>3582</v>
      </c>
    </row>
    <row r="2029" spans="1:5" x14ac:dyDescent="0.25">
      <c r="A2029" t="s">
        <v>3329</v>
      </c>
      <c r="B2029" t="s">
        <v>6245</v>
      </c>
      <c r="C2029" t="s">
        <v>6246</v>
      </c>
      <c r="D2029" t="s">
        <v>3332</v>
      </c>
      <c r="E2029" t="s">
        <v>3582</v>
      </c>
    </row>
    <row r="2030" spans="1:5" x14ac:dyDescent="0.25">
      <c r="A2030" t="s">
        <v>3329</v>
      </c>
      <c r="B2030" t="s">
        <v>6247</v>
      </c>
      <c r="C2030" t="s">
        <v>6248</v>
      </c>
      <c r="D2030" t="s">
        <v>3332</v>
      </c>
      <c r="E2030" t="s">
        <v>3582</v>
      </c>
    </row>
    <row r="2031" spans="1:5" x14ac:dyDescent="0.25">
      <c r="A2031" t="s">
        <v>3329</v>
      </c>
      <c r="B2031" t="s">
        <v>6249</v>
      </c>
      <c r="C2031" t="s">
        <v>6250</v>
      </c>
      <c r="D2031" t="s">
        <v>3332</v>
      </c>
      <c r="E2031" t="s">
        <v>3582</v>
      </c>
    </row>
    <row r="2032" spans="1:5" x14ac:dyDescent="0.25">
      <c r="A2032" t="s">
        <v>3329</v>
      </c>
      <c r="B2032" t="s">
        <v>6251</v>
      </c>
      <c r="C2032" t="s">
        <v>6252</v>
      </c>
      <c r="D2032" t="s">
        <v>3332</v>
      </c>
      <c r="E2032" t="s">
        <v>3336</v>
      </c>
    </row>
    <row r="2033" spans="1:5" x14ac:dyDescent="0.25">
      <c r="A2033" t="s">
        <v>3329</v>
      </c>
      <c r="B2033" t="s">
        <v>6253</v>
      </c>
      <c r="C2033" t="s">
        <v>6254</v>
      </c>
      <c r="D2033" t="s">
        <v>3332</v>
      </c>
      <c r="E2033" t="s">
        <v>3336</v>
      </c>
    </row>
    <row r="2034" spans="1:5" x14ac:dyDescent="0.25">
      <c r="A2034" t="s">
        <v>3329</v>
      </c>
      <c r="B2034" t="s">
        <v>6255</v>
      </c>
      <c r="C2034" t="s">
        <v>6256</v>
      </c>
      <c r="D2034" t="s">
        <v>3332</v>
      </c>
      <c r="E2034" t="s">
        <v>3336</v>
      </c>
    </row>
    <row r="2035" spans="1:5" x14ac:dyDescent="0.25">
      <c r="A2035" t="s">
        <v>3329</v>
      </c>
      <c r="B2035" t="s">
        <v>6257</v>
      </c>
      <c r="C2035" t="s">
        <v>6258</v>
      </c>
      <c r="D2035" t="s">
        <v>3332</v>
      </c>
      <c r="E2035" t="s">
        <v>3336</v>
      </c>
    </row>
    <row r="2036" spans="1:5" x14ac:dyDescent="0.25">
      <c r="A2036" t="s">
        <v>3329</v>
      </c>
      <c r="B2036" t="s">
        <v>6259</v>
      </c>
      <c r="C2036" t="s">
        <v>6260</v>
      </c>
      <c r="D2036" t="s">
        <v>3332</v>
      </c>
      <c r="E2036" t="s">
        <v>3336</v>
      </c>
    </row>
    <row r="2037" spans="1:5" x14ac:dyDescent="0.25">
      <c r="A2037" t="s">
        <v>3329</v>
      </c>
      <c r="B2037" t="s">
        <v>6261</v>
      </c>
      <c r="C2037" t="s">
        <v>6262</v>
      </c>
      <c r="D2037" t="s">
        <v>3332</v>
      </c>
      <c r="E2037" t="s">
        <v>3336</v>
      </c>
    </row>
    <row r="2038" spans="1:5" x14ac:dyDescent="0.25">
      <c r="A2038" t="s">
        <v>3329</v>
      </c>
      <c r="B2038" t="s">
        <v>6263</v>
      </c>
      <c r="C2038" t="s">
        <v>6252</v>
      </c>
      <c r="D2038" t="s">
        <v>3332</v>
      </c>
      <c r="E2038" t="s">
        <v>3336</v>
      </c>
    </row>
    <row r="2039" spans="1:5" x14ac:dyDescent="0.25">
      <c r="A2039" t="s">
        <v>3329</v>
      </c>
      <c r="B2039" t="s">
        <v>6264</v>
      </c>
      <c r="C2039" t="s">
        <v>6265</v>
      </c>
      <c r="D2039" t="s">
        <v>3332</v>
      </c>
      <c r="E2039" t="s">
        <v>3336</v>
      </c>
    </row>
    <row r="2040" spans="1:5" x14ac:dyDescent="0.25">
      <c r="A2040" t="s">
        <v>3329</v>
      </c>
      <c r="B2040" t="s">
        <v>6266</v>
      </c>
      <c r="C2040" t="s">
        <v>6254</v>
      </c>
      <c r="D2040" t="s">
        <v>3332</v>
      </c>
      <c r="E2040" t="s">
        <v>3336</v>
      </c>
    </row>
    <row r="2041" spans="1:5" x14ac:dyDescent="0.25">
      <c r="A2041" t="s">
        <v>3329</v>
      </c>
      <c r="B2041" t="s">
        <v>6267</v>
      </c>
      <c r="C2041" t="s">
        <v>6268</v>
      </c>
      <c r="D2041" t="s">
        <v>3332</v>
      </c>
      <c r="E2041" t="s">
        <v>3336</v>
      </c>
    </row>
    <row r="2042" spans="1:5" x14ac:dyDescent="0.25">
      <c r="A2042" t="s">
        <v>3329</v>
      </c>
      <c r="B2042" t="s">
        <v>6269</v>
      </c>
      <c r="C2042" t="s">
        <v>6270</v>
      </c>
      <c r="D2042" t="s">
        <v>3332</v>
      </c>
      <c r="E2042" t="s">
        <v>3336</v>
      </c>
    </row>
    <row r="2043" spans="1:5" x14ac:dyDescent="0.25">
      <c r="A2043" t="s">
        <v>3329</v>
      </c>
      <c r="B2043" t="s">
        <v>6271</v>
      </c>
      <c r="C2043" t="s">
        <v>6272</v>
      </c>
      <c r="D2043" t="s">
        <v>3332</v>
      </c>
      <c r="E2043" t="s">
        <v>3336</v>
      </c>
    </row>
    <row r="2044" spans="1:5" x14ac:dyDescent="0.25">
      <c r="A2044" t="s">
        <v>3329</v>
      </c>
      <c r="B2044" t="s">
        <v>6273</v>
      </c>
      <c r="C2044" t="s">
        <v>6274</v>
      </c>
      <c r="D2044" t="s">
        <v>3332</v>
      </c>
      <c r="E2044" t="s">
        <v>3336</v>
      </c>
    </row>
    <row r="2045" spans="1:5" x14ac:dyDescent="0.25">
      <c r="A2045" t="s">
        <v>3329</v>
      </c>
      <c r="B2045" t="str">
        <f>"4550456156791"</f>
        <v>4550456156791</v>
      </c>
      <c r="C2045" t="s">
        <v>6275</v>
      </c>
      <c r="D2045" t="s">
        <v>3332</v>
      </c>
      <c r="E2045" t="s">
        <v>3336</v>
      </c>
    </row>
    <row r="2046" spans="1:5" x14ac:dyDescent="0.25">
      <c r="A2046" t="s">
        <v>3329</v>
      </c>
      <c r="B2046" t="str">
        <f>"4550456156784"</f>
        <v>4550456156784</v>
      </c>
      <c r="C2046" t="s">
        <v>6276</v>
      </c>
      <c r="D2046" t="s">
        <v>3332</v>
      </c>
      <c r="E2046" t="s">
        <v>3336</v>
      </c>
    </row>
    <row r="2047" spans="1:5" x14ac:dyDescent="0.25">
      <c r="A2047" t="s">
        <v>3329</v>
      </c>
      <c r="B2047" t="str">
        <f>"4550456156777"</f>
        <v>4550456156777</v>
      </c>
      <c r="C2047" t="s">
        <v>6277</v>
      </c>
      <c r="D2047" t="s">
        <v>3332</v>
      </c>
      <c r="E2047" t="s">
        <v>3336</v>
      </c>
    </row>
    <row r="2048" spans="1:5" x14ac:dyDescent="0.25">
      <c r="A2048" t="s">
        <v>3329</v>
      </c>
      <c r="B2048" t="str">
        <f>"4550456156760"</f>
        <v>4550456156760</v>
      </c>
      <c r="C2048" t="s">
        <v>6278</v>
      </c>
      <c r="D2048" t="s">
        <v>3332</v>
      </c>
      <c r="E2048" t="s">
        <v>3336</v>
      </c>
    </row>
    <row r="2049" spans="1:5" x14ac:dyDescent="0.25">
      <c r="A2049" t="s">
        <v>3329</v>
      </c>
      <c r="B2049" t="s">
        <v>6279</v>
      </c>
      <c r="C2049" t="s">
        <v>6280</v>
      </c>
      <c r="D2049" t="s">
        <v>3332</v>
      </c>
      <c r="E2049" t="s">
        <v>3336</v>
      </c>
    </row>
    <row r="2050" spans="1:5" x14ac:dyDescent="0.25">
      <c r="A2050" t="s">
        <v>3329</v>
      </c>
      <c r="B2050" t="str">
        <f>"4550456156401"</f>
        <v>4550456156401</v>
      </c>
      <c r="C2050" t="s">
        <v>6281</v>
      </c>
      <c r="D2050" t="s">
        <v>3332</v>
      </c>
      <c r="E2050" t="s">
        <v>3336</v>
      </c>
    </row>
    <row r="2051" spans="1:5" x14ac:dyDescent="0.25">
      <c r="A2051" t="s">
        <v>3329</v>
      </c>
      <c r="B2051" t="s">
        <v>6282</v>
      </c>
      <c r="C2051" t="s">
        <v>6283</v>
      </c>
      <c r="D2051" t="s">
        <v>3332</v>
      </c>
      <c r="E2051" t="s">
        <v>3336</v>
      </c>
    </row>
    <row r="2052" spans="1:5" x14ac:dyDescent="0.25">
      <c r="A2052" t="s">
        <v>3329</v>
      </c>
      <c r="B2052" t="s">
        <v>6284</v>
      </c>
      <c r="C2052" t="s">
        <v>6285</v>
      </c>
      <c r="D2052" t="s">
        <v>3332</v>
      </c>
      <c r="E2052" t="s">
        <v>3336</v>
      </c>
    </row>
    <row r="2053" spans="1:5" x14ac:dyDescent="0.25">
      <c r="A2053" t="s">
        <v>3329</v>
      </c>
      <c r="B2053" t="s">
        <v>6286</v>
      </c>
      <c r="C2053" t="s">
        <v>6287</v>
      </c>
      <c r="D2053" t="s">
        <v>3332</v>
      </c>
      <c r="E2053" t="s">
        <v>3336</v>
      </c>
    </row>
    <row r="2054" spans="1:5" x14ac:dyDescent="0.25">
      <c r="A2054" t="s">
        <v>3329</v>
      </c>
      <c r="B2054" t="str">
        <f>"4550456155893"</f>
        <v>4550456155893</v>
      </c>
      <c r="C2054" t="s">
        <v>6288</v>
      </c>
      <c r="D2054" t="s">
        <v>3332</v>
      </c>
      <c r="E2054" t="s">
        <v>3336</v>
      </c>
    </row>
    <row r="2055" spans="1:5" x14ac:dyDescent="0.25">
      <c r="A2055" t="s">
        <v>3329</v>
      </c>
      <c r="B2055" t="s">
        <v>6289</v>
      </c>
      <c r="C2055" t="s">
        <v>6290</v>
      </c>
      <c r="D2055" t="s">
        <v>3332</v>
      </c>
      <c r="E2055" t="s">
        <v>3336</v>
      </c>
    </row>
    <row r="2056" spans="1:5" x14ac:dyDescent="0.25">
      <c r="A2056" t="s">
        <v>3329</v>
      </c>
      <c r="B2056" t="str">
        <f>"4550456155701"</f>
        <v>4550456155701</v>
      </c>
      <c r="C2056" t="s">
        <v>6276</v>
      </c>
      <c r="D2056" t="s">
        <v>3332</v>
      </c>
      <c r="E2056" t="s">
        <v>3336</v>
      </c>
    </row>
    <row r="2057" spans="1:5" x14ac:dyDescent="0.25">
      <c r="A2057" t="s">
        <v>3329</v>
      </c>
      <c r="B2057" t="str">
        <f>"4550456155695"</f>
        <v>4550456155695</v>
      </c>
      <c r="C2057" t="s">
        <v>6277</v>
      </c>
      <c r="D2057" t="s">
        <v>3332</v>
      </c>
      <c r="E2057" t="s">
        <v>3336</v>
      </c>
    </row>
    <row r="2058" spans="1:5" x14ac:dyDescent="0.25">
      <c r="A2058" t="s">
        <v>3329</v>
      </c>
      <c r="B2058" t="s">
        <v>6291</v>
      </c>
      <c r="C2058" t="s">
        <v>6292</v>
      </c>
      <c r="D2058" t="s">
        <v>3332</v>
      </c>
      <c r="E2058" t="s">
        <v>3336</v>
      </c>
    </row>
    <row r="2059" spans="1:5" x14ac:dyDescent="0.25">
      <c r="A2059" t="s">
        <v>3329</v>
      </c>
      <c r="B2059" t="s">
        <v>6293</v>
      </c>
      <c r="C2059" t="s">
        <v>6280</v>
      </c>
      <c r="D2059" t="s">
        <v>3332</v>
      </c>
      <c r="E2059" t="s">
        <v>3336</v>
      </c>
    </row>
    <row r="2060" spans="1:5" x14ac:dyDescent="0.25">
      <c r="A2060" t="s">
        <v>3329</v>
      </c>
      <c r="B2060" t="str">
        <f>"4550456155640"</f>
        <v>4550456155640</v>
      </c>
      <c r="C2060" t="s">
        <v>6294</v>
      </c>
      <c r="D2060" t="s">
        <v>3332</v>
      </c>
      <c r="E2060" t="s">
        <v>3336</v>
      </c>
    </row>
    <row r="2061" spans="1:5" x14ac:dyDescent="0.25">
      <c r="A2061" t="s">
        <v>3329</v>
      </c>
      <c r="B2061" t="s">
        <v>6295</v>
      </c>
      <c r="C2061" t="s">
        <v>6281</v>
      </c>
      <c r="D2061" t="s">
        <v>3332</v>
      </c>
      <c r="E2061" t="s">
        <v>3336</v>
      </c>
    </row>
    <row r="2062" spans="1:5" x14ac:dyDescent="0.25">
      <c r="A2062" t="s">
        <v>3329</v>
      </c>
      <c r="B2062" t="str">
        <f>"4550456155626"</f>
        <v>4550456155626</v>
      </c>
      <c r="C2062" t="s">
        <v>6296</v>
      </c>
      <c r="D2062" t="s">
        <v>3332</v>
      </c>
      <c r="E2062" t="s">
        <v>3336</v>
      </c>
    </row>
    <row r="2063" spans="1:5" x14ac:dyDescent="0.25">
      <c r="A2063" t="s">
        <v>3329</v>
      </c>
      <c r="B2063" t="s">
        <v>6297</v>
      </c>
      <c r="C2063" t="s">
        <v>6298</v>
      </c>
      <c r="D2063" t="s">
        <v>3332</v>
      </c>
      <c r="E2063" t="s">
        <v>3336</v>
      </c>
    </row>
    <row r="2064" spans="1:5" x14ac:dyDescent="0.25">
      <c r="A2064" t="s">
        <v>3329</v>
      </c>
      <c r="B2064" t="s">
        <v>6299</v>
      </c>
      <c r="C2064" t="s">
        <v>6300</v>
      </c>
      <c r="D2064" t="s">
        <v>3332</v>
      </c>
      <c r="E2064" t="s">
        <v>3336</v>
      </c>
    </row>
    <row r="2065" spans="1:5" x14ac:dyDescent="0.25">
      <c r="A2065" t="s">
        <v>3329</v>
      </c>
      <c r="B2065" t="s">
        <v>6301</v>
      </c>
      <c r="C2065" t="s">
        <v>6302</v>
      </c>
      <c r="D2065" t="s">
        <v>3332</v>
      </c>
      <c r="E2065" t="s">
        <v>3336</v>
      </c>
    </row>
    <row r="2066" spans="1:5" x14ac:dyDescent="0.25">
      <c r="A2066" t="s">
        <v>3329</v>
      </c>
      <c r="B2066" t="str">
        <f>"4550456137165"</f>
        <v>4550456137165</v>
      </c>
      <c r="C2066" t="s">
        <v>6303</v>
      </c>
      <c r="D2066" t="s">
        <v>3332</v>
      </c>
      <c r="E2066" t="s">
        <v>3582</v>
      </c>
    </row>
    <row r="2067" spans="1:5" x14ac:dyDescent="0.25">
      <c r="A2067" t="s">
        <v>3329</v>
      </c>
      <c r="B2067" t="s">
        <v>6304</v>
      </c>
      <c r="C2067" t="s">
        <v>6305</v>
      </c>
      <c r="D2067" t="s">
        <v>3332</v>
      </c>
      <c r="E2067" t="s">
        <v>3582</v>
      </c>
    </row>
    <row r="2068" spans="1:5" x14ac:dyDescent="0.25">
      <c r="A2068" t="s">
        <v>3329</v>
      </c>
      <c r="B2068" t="s">
        <v>6306</v>
      </c>
      <c r="C2068" t="s">
        <v>6305</v>
      </c>
      <c r="D2068" t="s">
        <v>3332</v>
      </c>
      <c r="E2068" t="s">
        <v>3582</v>
      </c>
    </row>
    <row r="2069" spans="1:5" x14ac:dyDescent="0.25">
      <c r="A2069" t="s">
        <v>3329</v>
      </c>
      <c r="B2069" t="s">
        <v>6307</v>
      </c>
      <c r="C2069" t="s">
        <v>6305</v>
      </c>
      <c r="D2069" t="s">
        <v>3332</v>
      </c>
      <c r="E2069" t="s">
        <v>3582</v>
      </c>
    </row>
    <row r="2070" spans="1:5" x14ac:dyDescent="0.25">
      <c r="A2070" t="s">
        <v>3329</v>
      </c>
      <c r="B2070" t="s">
        <v>6308</v>
      </c>
      <c r="C2070" t="s">
        <v>6305</v>
      </c>
      <c r="D2070" t="s">
        <v>3332</v>
      </c>
      <c r="E2070" t="s">
        <v>3582</v>
      </c>
    </row>
    <row r="2071" spans="1:5" x14ac:dyDescent="0.25">
      <c r="A2071" t="s">
        <v>3329</v>
      </c>
      <c r="B2071" t="s">
        <v>6309</v>
      </c>
      <c r="C2071" t="s">
        <v>6310</v>
      </c>
      <c r="D2071" t="s">
        <v>3332</v>
      </c>
      <c r="E2071" t="s">
        <v>3582</v>
      </c>
    </row>
    <row r="2072" spans="1:5" x14ac:dyDescent="0.25">
      <c r="A2072" t="s">
        <v>3329</v>
      </c>
      <c r="B2072" t="s">
        <v>6311</v>
      </c>
      <c r="C2072" t="s">
        <v>6312</v>
      </c>
      <c r="D2072" t="s">
        <v>3332</v>
      </c>
      <c r="E2072" t="s">
        <v>3582</v>
      </c>
    </row>
    <row r="2073" spans="1:5" x14ac:dyDescent="0.25">
      <c r="A2073" t="s">
        <v>3329</v>
      </c>
      <c r="B2073" t="s">
        <v>6313</v>
      </c>
      <c r="C2073" t="s">
        <v>6314</v>
      </c>
      <c r="D2073" t="s">
        <v>3332</v>
      </c>
      <c r="E2073" t="s">
        <v>3582</v>
      </c>
    </row>
    <row r="2074" spans="1:5" x14ac:dyDescent="0.25">
      <c r="A2074" t="s">
        <v>3329</v>
      </c>
      <c r="B2074" t="s">
        <v>6315</v>
      </c>
      <c r="C2074" t="s">
        <v>6316</v>
      </c>
      <c r="D2074" t="s">
        <v>3332</v>
      </c>
      <c r="E2074" t="s">
        <v>3582</v>
      </c>
    </row>
    <row r="2075" spans="1:5" x14ac:dyDescent="0.25">
      <c r="A2075" t="s">
        <v>3329</v>
      </c>
      <c r="B2075" t="str">
        <f>"4550456135598"</f>
        <v>4550456135598</v>
      </c>
      <c r="C2075" t="s">
        <v>6317</v>
      </c>
      <c r="D2075" t="s">
        <v>3332</v>
      </c>
      <c r="E2075" t="s">
        <v>3582</v>
      </c>
    </row>
    <row r="2076" spans="1:5" x14ac:dyDescent="0.25">
      <c r="A2076" t="s">
        <v>3329</v>
      </c>
      <c r="B2076" t="str">
        <f>"4550456135581"</f>
        <v>4550456135581</v>
      </c>
      <c r="C2076" t="s">
        <v>6318</v>
      </c>
      <c r="D2076" t="s">
        <v>3332</v>
      </c>
      <c r="E2076" t="s">
        <v>3582</v>
      </c>
    </row>
    <row r="2077" spans="1:5" x14ac:dyDescent="0.25">
      <c r="A2077" t="s">
        <v>3329</v>
      </c>
      <c r="B2077" t="str">
        <f>"4550456135574"</f>
        <v>4550456135574</v>
      </c>
      <c r="C2077" t="s">
        <v>6319</v>
      </c>
      <c r="D2077" t="s">
        <v>3332</v>
      </c>
      <c r="E2077" t="s">
        <v>3582</v>
      </c>
    </row>
    <row r="2078" spans="1:5" x14ac:dyDescent="0.25">
      <c r="A2078" t="s">
        <v>3329</v>
      </c>
      <c r="B2078" t="str">
        <f>"4550456135499"</f>
        <v>4550456135499</v>
      </c>
      <c r="C2078" t="s">
        <v>6320</v>
      </c>
      <c r="D2078" t="s">
        <v>3332</v>
      </c>
      <c r="E2078" t="s">
        <v>3582</v>
      </c>
    </row>
    <row r="2079" spans="1:5" x14ac:dyDescent="0.25">
      <c r="A2079" t="s">
        <v>3329</v>
      </c>
      <c r="B2079" t="str">
        <f>"4550456135475"</f>
        <v>4550456135475</v>
      </c>
      <c r="C2079" t="s">
        <v>6321</v>
      </c>
      <c r="D2079" t="s">
        <v>3332</v>
      </c>
      <c r="E2079" t="s">
        <v>3582</v>
      </c>
    </row>
    <row r="2080" spans="1:5" x14ac:dyDescent="0.25">
      <c r="A2080" t="s">
        <v>3329</v>
      </c>
      <c r="B2080" t="str">
        <f>"4550456135123"</f>
        <v>4550456135123</v>
      </c>
      <c r="C2080" t="s">
        <v>6322</v>
      </c>
      <c r="D2080" t="s">
        <v>3332</v>
      </c>
      <c r="E2080" t="s">
        <v>3582</v>
      </c>
    </row>
    <row r="2081" spans="1:5" x14ac:dyDescent="0.25">
      <c r="A2081" t="s">
        <v>3329</v>
      </c>
      <c r="B2081" t="str">
        <f>"4550456135109"</f>
        <v>4550456135109</v>
      </c>
      <c r="C2081" t="s">
        <v>6323</v>
      </c>
      <c r="D2081" t="s">
        <v>3332</v>
      </c>
      <c r="E2081" t="s">
        <v>3582</v>
      </c>
    </row>
    <row r="2082" spans="1:5" x14ac:dyDescent="0.25">
      <c r="A2082" t="s">
        <v>3329</v>
      </c>
      <c r="B2082" t="str">
        <f>"4550456135093"</f>
        <v>4550456135093</v>
      </c>
      <c r="C2082" t="s">
        <v>6324</v>
      </c>
      <c r="D2082" t="s">
        <v>3332</v>
      </c>
      <c r="E2082" t="s">
        <v>3582</v>
      </c>
    </row>
    <row r="2083" spans="1:5" x14ac:dyDescent="0.25">
      <c r="A2083" t="s">
        <v>3329</v>
      </c>
      <c r="B2083" t="str">
        <f>"4550456135062"</f>
        <v>4550456135062</v>
      </c>
      <c r="C2083" t="s">
        <v>6325</v>
      </c>
      <c r="D2083" t="s">
        <v>3332</v>
      </c>
      <c r="E2083" t="s">
        <v>3582</v>
      </c>
    </row>
    <row r="2084" spans="1:5" x14ac:dyDescent="0.25">
      <c r="A2084" t="s">
        <v>3329</v>
      </c>
      <c r="B2084" t="str">
        <f>"4550456135055"</f>
        <v>4550456135055</v>
      </c>
      <c r="C2084" t="s">
        <v>6326</v>
      </c>
      <c r="D2084" t="s">
        <v>3332</v>
      </c>
      <c r="E2084" t="s">
        <v>3582</v>
      </c>
    </row>
    <row r="2085" spans="1:5" x14ac:dyDescent="0.25">
      <c r="A2085" t="s">
        <v>3329</v>
      </c>
      <c r="B2085" t="str">
        <f>"4550456135000"</f>
        <v>4550456135000</v>
      </c>
      <c r="C2085" t="s">
        <v>6327</v>
      </c>
      <c r="D2085" t="s">
        <v>3332</v>
      </c>
      <c r="E2085" t="s">
        <v>3582</v>
      </c>
    </row>
    <row r="2086" spans="1:5" x14ac:dyDescent="0.25">
      <c r="A2086" t="s">
        <v>3329</v>
      </c>
      <c r="B2086" t="str">
        <f>"4550456134997"</f>
        <v>4550456134997</v>
      </c>
      <c r="C2086" t="s">
        <v>6328</v>
      </c>
      <c r="D2086" t="s">
        <v>3332</v>
      </c>
      <c r="E2086" t="s">
        <v>3582</v>
      </c>
    </row>
    <row r="2087" spans="1:5" x14ac:dyDescent="0.25">
      <c r="A2087" t="s">
        <v>3329</v>
      </c>
      <c r="B2087" t="str">
        <f>"4550456134966"</f>
        <v>4550456134966</v>
      </c>
      <c r="C2087" t="s">
        <v>6329</v>
      </c>
      <c r="D2087" t="s">
        <v>3332</v>
      </c>
      <c r="E2087" t="s">
        <v>3582</v>
      </c>
    </row>
    <row r="2088" spans="1:5" x14ac:dyDescent="0.25">
      <c r="A2088" t="s">
        <v>3329</v>
      </c>
      <c r="B2088" t="str">
        <f>"4550456134959"</f>
        <v>4550456134959</v>
      </c>
      <c r="C2088" t="s">
        <v>6330</v>
      </c>
      <c r="D2088" t="s">
        <v>3332</v>
      </c>
      <c r="E2088" t="s">
        <v>3582</v>
      </c>
    </row>
    <row r="2089" spans="1:5" x14ac:dyDescent="0.25">
      <c r="A2089" t="s">
        <v>3329</v>
      </c>
      <c r="B2089" t="str">
        <f>"4550456134935"</f>
        <v>4550456134935</v>
      </c>
      <c r="C2089" t="s">
        <v>6331</v>
      </c>
      <c r="D2089" t="s">
        <v>3332</v>
      </c>
      <c r="E2089" t="s">
        <v>3582</v>
      </c>
    </row>
    <row r="2090" spans="1:5" x14ac:dyDescent="0.25">
      <c r="A2090" t="s">
        <v>3329</v>
      </c>
      <c r="B2090" t="str">
        <f>"4550456134898"</f>
        <v>4550456134898</v>
      </c>
      <c r="C2090" t="s">
        <v>6332</v>
      </c>
      <c r="D2090" t="s">
        <v>3332</v>
      </c>
      <c r="E2090" t="s">
        <v>3582</v>
      </c>
    </row>
    <row r="2091" spans="1:5" x14ac:dyDescent="0.25">
      <c r="A2091" t="s">
        <v>3329</v>
      </c>
      <c r="B2091" t="str">
        <f>"4550456134874"</f>
        <v>4550456134874</v>
      </c>
      <c r="C2091" t="s">
        <v>6333</v>
      </c>
      <c r="D2091" t="s">
        <v>3332</v>
      </c>
      <c r="E2091" t="s">
        <v>3582</v>
      </c>
    </row>
    <row r="2092" spans="1:5" x14ac:dyDescent="0.25">
      <c r="A2092" t="s">
        <v>3329</v>
      </c>
      <c r="B2092" t="str">
        <f>"4550456134843"</f>
        <v>4550456134843</v>
      </c>
      <c r="C2092" t="s">
        <v>6334</v>
      </c>
      <c r="D2092" t="s">
        <v>3332</v>
      </c>
      <c r="E2092" t="s">
        <v>3582</v>
      </c>
    </row>
    <row r="2093" spans="1:5" x14ac:dyDescent="0.25">
      <c r="A2093" t="s">
        <v>3329</v>
      </c>
      <c r="B2093" t="str">
        <f>"4550456134829"</f>
        <v>4550456134829</v>
      </c>
      <c r="C2093" t="s">
        <v>6335</v>
      </c>
      <c r="D2093" t="s">
        <v>3332</v>
      </c>
      <c r="E2093" t="s">
        <v>3582</v>
      </c>
    </row>
    <row r="2094" spans="1:5" x14ac:dyDescent="0.25">
      <c r="A2094" t="s">
        <v>3329</v>
      </c>
      <c r="B2094" t="s">
        <v>6336</v>
      </c>
      <c r="C2094" t="s">
        <v>6337</v>
      </c>
      <c r="D2094" t="s">
        <v>3332</v>
      </c>
      <c r="E2094" t="s">
        <v>3582</v>
      </c>
    </row>
    <row r="2095" spans="1:5" x14ac:dyDescent="0.25">
      <c r="A2095" t="s">
        <v>3329</v>
      </c>
      <c r="B2095" t="s">
        <v>6338</v>
      </c>
      <c r="C2095" t="s">
        <v>6339</v>
      </c>
      <c r="D2095" t="s">
        <v>3332</v>
      </c>
      <c r="E2095" t="s">
        <v>3582</v>
      </c>
    </row>
    <row r="2096" spans="1:5" x14ac:dyDescent="0.25">
      <c r="A2096" t="s">
        <v>3329</v>
      </c>
      <c r="B2096" t="s">
        <v>6340</v>
      </c>
      <c r="C2096" t="s">
        <v>6341</v>
      </c>
      <c r="D2096" t="s">
        <v>3332</v>
      </c>
      <c r="E2096" t="s">
        <v>3582</v>
      </c>
    </row>
    <row r="2097" spans="1:5" x14ac:dyDescent="0.25">
      <c r="A2097" t="s">
        <v>3329</v>
      </c>
      <c r="B2097" t="s">
        <v>6342</v>
      </c>
      <c r="C2097" t="s">
        <v>6343</v>
      </c>
      <c r="D2097" t="s">
        <v>3332</v>
      </c>
      <c r="E2097" t="s">
        <v>3582</v>
      </c>
    </row>
    <row r="2098" spans="1:5" x14ac:dyDescent="0.25">
      <c r="A2098" t="s">
        <v>3329</v>
      </c>
      <c r="B2098" t="str">
        <f>"4550456117433"</f>
        <v>4550456117433</v>
      </c>
      <c r="C2098" t="s">
        <v>6344</v>
      </c>
      <c r="D2098" t="s">
        <v>3332</v>
      </c>
      <c r="E2098" t="s">
        <v>3582</v>
      </c>
    </row>
    <row r="2099" spans="1:5" x14ac:dyDescent="0.25">
      <c r="A2099" t="s">
        <v>3329</v>
      </c>
      <c r="B2099" t="str">
        <f>"4550456117396"</f>
        <v>4550456117396</v>
      </c>
      <c r="C2099" t="s">
        <v>6345</v>
      </c>
      <c r="D2099" t="s">
        <v>3332</v>
      </c>
      <c r="E2099" t="s">
        <v>3582</v>
      </c>
    </row>
    <row r="2100" spans="1:5" x14ac:dyDescent="0.25">
      <c r="A2100" t="s">
        <v>3329</v>
      </c>
      <c r="B2100" t="str">
        <f>"4550456117389"</f>
        <v>4550456117389</v>
      </c>
      <c r="C2100" t="s">
        <v>6346</v>
      </c>
      <c r="D2100" t="s">
        <v>3332</v>
      </c>
      <c r="E2100" t="s">
        <v>3582</v>
      </c>
    </row>
    <row r="2101" spans="1:5" x14ac:dyDescent="0.25">
      <c r="A2101" t="s">
        <v>3329</v>
      </c>
      <c r="B2101" t="str">
        <f>"4550456117365"</f>
        <v>4550456117365</v>
      </c>
      <c r="C2101" t="s">
        <v>6347</v>
      </c>
      <c r="D2101" t="s">
        <v>3332</v>
      </c>
      <c r="E2101" t="s">
        <v>3582</v>
      </c>
    </row>
    <row r="2102" spans="1:5" x14ac:dyDescent="0.25">
      <c r="A2102" t="s">
        <v>3329</v>
      </c>
      <c r="B2102" t="str">
        <f>"4550456114555"</f>
        <v>4550456114555</v>
      </c>
      <c r="C2102" t="s">
        <v>6348</v>
      </c>
      <c r="D2102" t="s">
        <v>3332</v>
      </c>
      <c r="E2102" t="s">
        <v>3582</v>
      </c>
    </row>
    <row r="2103" spans="1:5" x14ac:dyDescent="0.25">
      <c r="A2103" t="s">
        <v>3329</v>
      </c>
      <c r="B2103" t="str">
        <f>"4550456114524"</f>
        <v>4550456114524</v>
      </c>
      <c r="C2103" t="s">
        <v>6349</v>
      </c>
      <c r="D2103" t="s">
        <v>3332</v>
      </c>
      <c r="E2103" t="s">
        <v>3582</v>
      </c>
    </row>
    <row r="2104" spans="1:5" x14ac:dyDescent="0.25">
      <c r="A2104" t="s">
        <v>3329</v>
      </c>
      <c r="B2104" t="str">
        <f>"4550456114500"</f>
        <v>4550456114500</v>
      </c>
      <c r="C2104" t="s">
        <v>6350</v>
      </c>
      <c r="D2104" t="s">
        <v>3332</v>
      </c>
      <c r="E2104" t="s">
        <v>3582</v>
      </c>
    </row>
    <row r="2105" spans="1:5" x14ac:dyDescent="0.25">
      <c r="A2105" t="s">
        <v>3329</v>
      </c>
      <c r="B2105" t="str">
        <f>"4550456114494"</f>
        <v>4550456114494</v>
      </c>
      <c r="C2105" t="s">
        <v>6351</v>
      </c>
      <c r="D2105" t="s">
        <v>3332</v>
      </c>
      <c r="E2105" t="s">
        <v>3582</v>
      </c>
    </row>
    <row r="2106" spans="1:5" x14ac:dyDescent="0.25">
      <c r="A2106" t="s">
        <v>3329</v>
      </c>
      <c r="B2106" t="str">
        <f>"4550456114470"</f>
        <v>4550456114470</v>
      </c>
      <c r="C2106" t="s">
        <v>6352</v>
      </c>
      <c r="D2106" t="s">
        <v>3332</v>
      </c>
      <c r="E2106" t="s">
        <v>3582</v>
      </c>
    </row>
    <row r="2107" spans="1:5" x14ac:dyDescent="0.25">
      <c r="A2107" t="s">
        <v>3329</v>
      </c>
      <c r="B2107" t="str">
        <f>"4550456114463"</f>
        <v>4550456114463</v>
      </c>
      <c r="C2107" t="s">
        <v>6353</v>
      </c>
      <c r="D2107" t="s">
        <v>3332</v>
      </c>
      <c r="E2107" t="s">
        <v>3582</v>
      </c>
    </row>
    <row r="2108" spans="1:5" x14ac:dyDescent="0.25">
      <c r="A2108" t="s">
        <v>3329</v>
      </c>
      <c r="B2108" t="str">
        <f>"4550456114449"</f>
        <v>4550456114449</v>
      </c>
      <c r="C2108" t="s">
        <v>6354</v>
      </c>
      <c r="D2108" t="s">
        <v>3332</v>
      </c>
      <c r="E2108" t="s">
        <v>3582</v>
      </c>
    </row>
    <row r="2109" spans="1:5" x14ac:dyDescent="0.25">
      <c r="A2109" t="s">
        <v>3329</v>
      </c>
      <c r="B2109" t="str">
        <f>"4550456114395"</f>
        <v>4550456114395</v>
      </c>
      <c r="C2109" t="s">
        <v>6355</v>
      </c>
      <c r="D2109" t="s">
        <v>3332</v>
      </c>
      <c r="E2109" t="s">
        <v>3582</v>
      </c>
    </row>
    <row r="2110" spans="1:5" x14ac:dyDescent="0.25">
      <c r="A2110" t="s">
        <v>3329</v>
      </c>
      <c r="B2110" t="s">
        <v>6356</v>
      </c>
      <c r="C2110" t="s">
        <v>6357</v>
      </c>
      <c r="D2110" t="s">
        <v>3332</v>
      </c>
      <c r="E2110" t="s">
        <v>3582</v>
      </c>
    </row>
    <row r="2111" spans="1:5" x14ac:dyDescent="0.25">
      <c r="A2111" t="s">
        <v>3329</v>
      </c>
      <c r="B2111" t="s">
        <v>6358</v>
      </c>
      <c r="C2111" t="s">
        <v>6359</v>
      </c>
      <c r="D2111" t="s">
        <v>3332</v>
      </c>
      <c r="E2111" t="s">
        <v>3582</v>
      </c>
    </row>
    <row r="2112" spans="1:5" x14ac:dyDescent="0.25">
      <c r="A2112" t="s">
        <v>3329</v>
      </c>
      <c r="B2112" t="s">
        <v>6360</v>
      </c>
      <c r="C2112" t="s">
        <v>6361</v>
      </c>
      <c r="D2112" t="s">
        <v>3332</v>
      </c>
      <c r="E2112" t="s">
        <v>3582</v>
      </c>
    </row>
    <row r="2113" spans="1:5" x14ac:dyDescent="0.25">
      <c r="A2113" t="s">
        <v>3329</v>
      </c>
      <c r="B2113" t="s">
        <v>6362</v>
      </c>
      <c r="C2113" t="s">
        <v>6363</v>
      </c>
      <c r="D2113" t="s">
        <v>3332</v>
      </c>
      <c r="E2113" t="s">
        <v>3582</v>
      </c>
    </row>
    <row r="2114" spans="1:5" x14ac:dyDescent="0.25">
      <c r="A2114" t="s">
        <v>3329</v>
      </c>
      <c r="B2114" t="s">
        <v>6364</v>
      </c>
      <c r="C2114" t="s">
        <v>6365</v>
      </c>
      <c r="D2114" t="s">
        <v>3332</v>
      </c>
      <c r="E2114" t="s">
        <v>3582</v>
      </c>
    </row>
    <row r="2115" spans="1:5" x14ac:dyDescent="0.25">
      <c r="A2115" t="s">
        <v>3329</v>
      </c>
      <c r="B2115" t="s">
        <v>6366</v>
      </c>
      <c r="C2115" t="s">
        <v>6367</v>
      </c>
      <c r="D2115" t="s">
        <v>3332</v>
      </c>
      <c r="E2115" t="s">
        <v>3582</v>
      </c>
    </row>
    <row r="2116" spans="1:5" x14ac:dyDescent="0.25">
      <c r="A2116" t="s">
        <v>3329</v>
      </c>
      <c r="B2116" t="str">
        <f>"4550456106062"</f>
        <v>4550456106062</v>
      </c>
      <c r="C2116" t="s">
        <v>6368</v>
      </c>
      <c r="D2116" t="s">
        <v>3332</v>
      </c>
      <c r="E2116" t="s">
        <v>3582</v>
      </c>
    </row>
    <row r="2117" spans="1:5" x14ac:dyDescent="0.25">
      <c r="A2117" t="s">
        <v>3329</v>
      </c>
      <c r="B2117" t="s">
        <v>6369</v>
      </c>
      <c r="C2117" t="s">
        <v>6370</v>
      </c>
      <c r="D2117" t="s">
        <v>3332</v>
      </c>
      <c r="E2117" t="s">
        <v>3582</v>
      </c>
    </row>
    <row r="2118" spans="1:5" x14ac:dyDescent="0.25">
      <c r="A2118" t="s">
        <v>3329</v>
      </c>
      <c r="B2118" t="s">
        <v>6371</v>
      </c>
      <c r="C2118" t="s">
        <v>6370</v>
      </c>
      <c r="D2118" t="s">
        <v>3332</v>
      </c>
      <c r="E2118" t="s">
        <v>3582</v>
      </c>
    </row>
    <row r="2119" spans="1:5" x14ac:dyDescent="0.25">
      <c r="A2119" t="s">
        <v>3329</v>
      </c>
      <c r="B2119" t="s">
        <v>6372</v>
      </c>
      <c r="C2119" t="s">
        <v>6370</v>
      </c>
      <c r="D2119" t="s">
        <v>3332</v>
      </c>
      <c r="E2119" t="s">
        <v>3582</v>
      </c>
    </row>
    <row r="2120" spans="1:5" x14ac:dyDescent="0.25">
      <c r="A2120" t="s">
        <v>3329</v>
      </c>
      <c r="B2120" t="s">
        <v>6373</v>
      </c>
      <c r="C2120" t="s">
        <v>6370</v>
      </c>
      <c r="D2120" t="s">
        <v>3332</v>
      </c>
      <c r="E2120" t="s">
        <v>3582</v>
      </c>
    </row>
    <row r="2121" spans="1:5" x14ac:dyDescent="0.25">
      <c r="A2121" t="s">
        <v>3329</v>
      </c>
      <c r="B2121" t="s">
        <v>6374</v>
      </c>
      <c r="C2121" t="s">
        <v>6375</v>
      </c>
      <c r="D2121" t="s">
        <v>3332</v>
      </c>
      <c r="E2121" t="s">
        <v>3582</v>
      </c>
    </row>
    <row r="2122" spans="1:5" x14ac:dyDescent="0.25">
      <c r="A2122" t="s">
        <v>3329</v>
      </c>
      <c r="B2122" t="s">
        <v>6376</v>
      </c>
      <c r="C2122" t="s">
        <v>6375</v>
      </c>
      <c r="D2122" t="s">
        <v>3332</v>
      </c>
      <c r="E2122" t="s">
        <v>3582</v>
      </c>
    </row>
    <row r="2123" spans="1:5" x14ac:dyDescent="0.25">
      <c r="A2123" t="s">
        <v>3329</v>
      </c>
      <c r="B2123" t="s">
        <v>6377</v>
      </c>
      <c r="C2123" t="s">
        <v>6375</v>
      </c>
      <c r="D2123" t="s">
        <v>3332</v>
      </c>
      <c r="E2123" t="s">
        <v>3582</v>
      </c>
    </row>
    <row r="2124" spans="1:5" x14ac:dyDescent="0.25">
      <c r="A2124" t="s">
        <v>3329</v>
      </c>
      <c r="B2124" t="s">
        <v>6378</v>
      </c>
      <c r="C2124" t="s">
        <v>6379</v>
      </c>
      <c r="D2124" t="s">
        <v>3332</v>
      </c>
      <c r="E2124" t="s">
        <v>3582</v>
      </c>
    </row>
    <row r="2125" spans="1:5" x14ac:dyDescent="0.25">
      <c r="A2125" t="s">
        <v>3329</v>
      </c>
      <c r="B2125" t="s">
        <v>6380</v>
      </c>
      <c r="C2125" t="s">
        <v>6379</v>
      </c>
      <c r="D2125" t="s">
        <v>3332</v>
      </c>
      <c r="E2125" t="s">
        <v>3582</v>
      </c>
    </row>
    <row r="2126" spans="1:5" x14ac:dyDescent="0.25">
      <c r="A2126" t="s">
        <v>3329</v>
      </c>
      <c r="B2126" t="s">
        <v>6381</v>
      </c>
      <c r="C2126" t="s">
        <v>6379</v>
      </c>
      <c r="D2126" t="s">
        <v>3332</v>
      </c>
      <c r="E2126" t="s">
        <v>3582</v>
      </c>
    </row>
    <row r="2127" spans="1:5" x14ac:dyDescent="0.25">
      <c r="A2127" t="s">
        <v>3329</v>
      </c>
      <c r="B2127" t="s">
        <v>6382</v>
      </c>
      <c r="C2127" t="s">
        <v>6379</v>
      </c>
      <c r="D2127" t="s">
        <v>3332</v>
      </c>
      <c r="E2127" t="s">
        <v>3582</v>
      </c>
    </row>
    <row r="2128" spans="1:5" x14ac:dyDescent="0.25">
      <c r="A2128" t="s">
        <v>3329</v>
      </c>
      <c r="B2128" t="str">
        <f>"4550455733566"</f>
        <v>4550455733566</v>
      </c>
      <c r="C2128" t="s">
        <v>6383</v>
      </c>
      <c r="D2128" t="s">
        <v>3332</v>
      </c>
      <c r="E2128" t="s">
        <v>3582</v>
      </c>
    </row>
    <row r="2129" spans="1:5" x14ac:dyDescent="0.25">
      <c r="A2129" t="s">
        <v>3329</v>
      </c>
      <c r="B2129" t="s">
        <v>6384</v>
      </c>
      <c r="C2129" t="s">
        <v>6379</v>
      </c>
      <c r="D2129" t="s">
        <v>3332</v>
      </c>
      <c r="E2129" t="s">
        <v>3582</v>
      </c>
    </row>
    <row r="2130" spans="1:5" x14ac:dyDescent="0.25">
      <c r="A2130" t="s">
        <v>3329</v>
      </c>
      <c r="B2130" t="str">
        <f>"4550455731968"</f>
        <v>4550455731968</v>
      </c>
      <c r="C2130" t="s">
        <v>6385</v>
      </c>
      <c r="D2130" t="s">
        <v>3332</v>
      </c>
      <c r="E2130" t="s">
        <v>3582</v>
      </c>
    </row>
    <row r="2131" spans="1:5" x14ac:dyDescent="0.25">
      <c r="A2131" t="s">
        <v>3329</v>
      </c>
      <c r="B2131" t="str">
        <f>"4550455731937"</f>
        <v>4550455731937</v>
      </c>
      <c r="C2131" t="s">
        <v>6386</v>
      </c>
      <c r="D2131" t="s">
        <v>3332</v>
      </c>
      <c r="E2131" t="s">
        <v>3582</v>
      </c>
    </row>
    <row r="2132" spans="1:5" x14ac:dyDescent="0.25">
      <c r="A2132" t="s">
        <v>3329</v>
      </c>
      <c r="B2132" t="str">
        <f>"4550455731883"</f>
        <v>4550455731883</v>
      </c>
      <c r="C2132" t="s">
        <v>6387</v>
      </c>
      <c r="D2132" t="s">
        <v>3332</v>
      </c>
      <c r="E2132" t="s">
        <v>3582</v>
      </c>
    </row>
    <row r="2133" spans="1:5" x14ac:dyDescent="0.25">
      <c r="A2133" t="s">
        <v>3329</v>
      </c>
      <c r="B2133" t="str">
        <f>"4550455660718"</f>
        <v>4550455660718</v>
      </c>
      <c r="C2133" t="s">
        <v>6388</v>
      </c>
      <c r="D2133" t="s">
        <v>3332</v>
      </c>
      <c r="E2133" t="s">
        <v>3582</v>
      </c>
    </row>
    <row r="2134" spans="1:5" x14ac:dyDescent="0.25">
      <c r="A2134" t="s">
        <v>3329</v>
      </c>
      <c r="B2134" t="s">
        <v>6389</v>
      </c>
      <c r="C2134" t="s">
        <v>6390</v>
      </c>
      <c r="D2134" t="s">
        <v>3332</v>
      </c>
      <c r="E2134" t="s">
        <v>3582</v>
      </c>
    </row>
    <row r="2135" spans="1:5" x14ac:dyDescent="0.25">
      <c r="A2135" t="s">
        <v>3329</v>
      </c>
      <c r="B2135" t="s">
        <v>6391</v>
      </c>
      <c r="C2135" t="s">
        <v>6392</v>
      </c>
      <c r="D2135" t="s">
        <v>3332</v>
      </c>
      <c r="E2135" t="s">
        <v>3582</v>
      </c>
    </row>
    <row r="2136" spans="1:5" x14ac:dyDescent="0.25">
      <c r="A2136" t="s">
        <v>3329</v>
      </c>
      <c r="B2136" t="s">
        <v>6393</v>
      </c>
      <c r="C2136" t="s">
        <v>6394</v>
      </c>
      <c r="D2136" t="s">
        <v>3332</v>
      </c>
      <c r="E2136" t="s">
        <v>3582</v>
      </c>
    </row>
    <row r="2137" spans="1:5" x14ac:dyDescent="0.25">
      <c r="A2137" t="s">
        <v>3329</v>
      </c>
      <c r="B2137" t="s">
        <v>6395</v>
      </c>
      <c r="C2137" t="s">
        <v>6396</v>
      </c>
      <c r="D2137" t="s">
        <v>3332</v>
      </c>
      <c r="E2137" t="s">
        <v>3582</v>
      </c>
    </row>
    <row r="2138" spans="1:5" x14ac:dyDescent="0.25">
      <c r="A2138" t="s">
        <v>3329</v>
      </c>
      <c r="B2138" t="s">
        <v>6397</v>
      </c>
      <c r="C2138" t="s">
        <v>6398</v>
      </c>
      <c r="D2138" t="s">
        <v>3332</v>
      </c>
      <c r="E2138" t="s">
        <v>3333</v>
      </c>
    </row>
    <row r="2139" spans="1:5" x14ac:dyDescent="0.25">
      <c r="A2139" t="s">
        <v>3329</v>
      </c>
      <c r="B2139" t="s">
        <v>6399</v>
      </c>
      <c r="C2139" t="s">
        <v>6400</v>
      </c>
      <c r="D2139" t="s">
        <v>3332</v>
      </c>
      <c r="E2139" t="s">
        <v>3336</v>
      </c>
    </row>
    <row r="2140" spans="1:5" x14ac:dyDescent="0.25">
      <c r="A2140" t="s">
        <v>3329</v>
      </c>
      <c r="B2140" t="s">
        <v>6401</v>
      </c>
      <c r="C2140" t="s">
        <v>6402</v>
      </c>
      <c r="D2140" t="s">
        <v>3332</v>
      </c>
      <c r="E2140" t="s">
        <v>3336</v>
      </c>
    </row>
    <row r="2141" spans="1:5" x14ac:dyDescent="0.25">
      <c r="A2141" t="s">
        <v>3329</v>
      </c>
      <c r="B2141" t="s">
        <v>6403</v>
      </c>
      <c r="C2141" t="s">
        <v>6404</v>
      </c>
      <c r="D2141" t="s">
        <v>3332</v>
      </c>
      <c r="E2141" t="s">
        <v>3336</v>
      </c>
    </row>
    <row r="2142" spans="1:5" x14ac:dyDescent="0.25">
      <c r="A2142" t="s">
        <v>3329</v>
      </c>
      <c r="B2142" t="str">
        <f>"4550455148902"</f>
        <v>4550455148902</v>
      </c>
      <c r="C2142" t="s">
        <v>6405</v>
      </c>
      <c r="D2142" t="s">
        <v>3332</v>
      </c>
      <c r="E2142" t="s">
        <v>3336</v>
      </c>
    </row>
    <row r="2143" spans="1:5" x14ac:dyDescent="0.25">
      <c r="A2143" t="s">
        <v>3329</v>
      </c>
      <c r="B2143" t="str">
        <f>"4550455148889"</f>
        <v>4550455148889</v>
      </c>
      <c r="C2143" t="s">
        <v>6405</v>
      </c>
      <c r="D2143" t="s">
        <v>3332</v>
      </c>
      <c r="E2143" t="s">
        <v>3336</v>
      </c>
    </row>
    <row r="2144" spans="1:5" x14ac:dyDescent="0.25">
      <c r="A2144" t="s">
        <v>3329</v>
      </c>
      <c r="B2144" t="str">
        <f>"4550455033529"</f>
        <v>4550455033529</v>
      </c>
      <c r="C2144" t="s">
        <v>6406</v>
      </c>
      <c r="D2144" t="s">
        <v>3332</v>
      </c>
      <c r="E2144" t="s">
        <v>3582</v>
      </c>
    </row>
    <row r="2145" spans="1:5" x14ac:dyDescent="0.25">
      <c r="A2145" t="s">
        <v>3329</v>
      </c>
      <c r="B2145" t="s">
        <v>6407</v>
      </c>
      <c r="C2145" t="s">
        <v>6408</v>
      </c>
      <c r="D2145" t="s">
        <v>3332</v>
      </c>
      <c r="E2145" t="s">
        <v>3582</v>
      </c>
    </row>
    <row r="2146" spans="1:5" x14ac:dyDescent="0.25">
      <c r="A2146" t="s">
        <v>3329</v>
      </c>
      <c r="B2146" t="str">
        <f>"4550330599799"</f>
        <v>4550330599799</v>
      </c>
      <c r="C2146" t="s">
        <v>6409</v>
      </c>
      <c r="D2146" t="s">
        <v>3332</v>
      </c>
      <c r="E2146" t="s">
        <v>3336</v>
      </c>
    </row>
    <row r="2147" spans="1:5" x14ac:dyDescent="0.25">
      <c r="A2147" t="s">
        <v>3329</v>
      </c>
      <c r="B2147" t="str">
        <f>"4550330599768"</f>
        <v>4550330599768</v>
      </c>
      <c r="C2147" t="s">
        <v>6410</v>
      </c>
      <c r="D2147" t="s">
        <v>3332</v>
      </c>
      <c r="E2147" t="s">
        <v>3336</v>
      </c>
    </row>
    <row r="2148" spans="1:5" x14ac:dyDescent="0.25">
      <c r="A2148" t="s">
        <v>3329</v>
      </c>
      <c r="B2148" t="str">
        <f>"4550330599126"</f>
        <v>4550330599126</v>
      </c>
      <c r="C2148" t="s">
        <v>6411</v>
      </c>
      <c r="D2148" t="s">
        <v>3332</v>
      </c>
      <c r="E2148" t="s">
        <v>3336</v>
      </c>
    </row>
    <row r="2149" spans="1:5" x14ac:dyDescent="0.25">
      <c r="A2149" t="s">
        <v>3329</v>
      </c>
      <c r="B2149" t="str">
        <f>"4550330599102"</f>
        <v>4550330599102</v>
      </c>
      <c r="C2149" t="s">
        <v>6412</v>
      </c>
      <c r="D2149" t="s">
        <v>3332</v>
      </c>
      <c r="E2149" t="s">
        <v>3336</v>
      </c>
    </row>
    <row r="2150" spans="1:5" x14ac:dyDescent="0.25">
      <c r="A2150" t="s">
        <v>3329</v>
      </c>
      <c r="B2150" t="str">
        <f>"4550330599096"</f>
        <v>4550330599096</v>
      </c>
      <c r="C2150" t="s">
        <v>6413</v>
      </c>
      <c r="D2150" t="s">
        <v>3332</v>
      </c>
      <c r="E2150" t="s">
        <v>3336</v>
      </c>
    </row>
    <row r="2151" spans="1:5" x14ac:dyDescent="0.25">
      <c r="A2151" t="s">
        <v>3329</v>
      </c>
      <c r="B2151" t="str">
        <f>"4550330599089"</f>
        <v>4550330599089</v>
      </c>
      <c r="C2151" t="s">
        <v>6414</v>
      </c>
      <c r="D2151" t="s">
        <v>3332</v>
      </c>
      <c r="E2151" t="s">
        <v>3336</v>
      </c>
    </row>
    <row r="2152" spans="1:5" x14ac:dyDescent="0.25">
      <c r="A2152" t="s">
        <v>3329</v>
      </c>
      <c r="B2152" t="str">
        <f>"4550330597085"</f>
        <v>4550330597085</v>
      </c>
      <c r="C2152" t="s">
        <v>6415</v>
      </c>
      <c r="D2152" t="s">
        <v>3332</v>
      </c>
      <c r="E2152" t="s">
        <v>3336</v>
      </c>
    </row>
    <row r="2153" spans="1:5" x14ac:dyDescent="0.25">
      <c r="A2153" t="s">
        <v>3329</v>
      </c>
      <c r="B2153" t="str">
        <f>"4550329903699"</f>
        <v>4550329903699</v>
      </c>
      <c r="C2153" t="s">
        <v>6416</v>
      </c>
      <c r="D2153" t="s">
        <v>3332</v>
      </c>
      <c r="E2153" t="s">
        <v>3336</v>
      </c>
    </row>
    <row r="2154" spans="1:5" x14ac:dyDescent="0.25">
      <c r="A2154" t="s">
        <v>3329</v>
      </c>
      <c r="B2154" t="str">
        <f>"4550329903682"</f>
        <v>4550329903682</v>
      </c>
      <c r="C2154" t="s">
        <v>6417</v>
      </c>
      <c r="D2154" t="s">
        <v>3332</v>
      </c>
      <c r="E2154" t="s">
        <v>3336</v>
      </c>
    </row>
    <row r="2155" spans="1:5" x14ac:dyDescent="0.25">
      <c r="A2155" t="s">
        <v>3329</v>
      </c>
      <c r="B2155" t="str">
        <f>"4550329903675"</f>
        <v>4550329903675</v>
      </c>
      <c r="C2155" t="s">
        <v>6418</v>
      </c>
      <c r="D2155" t="s">
        <v>3332</v>
      </c>
      <c r="E2155" t="s">
        <v>3336</v>
      </c>
    </row>
    <row r="2156" spans="1:5" x14ac:dyDescent="0.25">
      <c r="A2156" t="s">
        <v>3329</v>
      </c>
      <c r="B2156" t="str">
        <f>"4550329903668"</f>
        <v>4550329903668</v>
      </c>
      <c r="C2156" t="s">
        <v>6419</v>
      </c>
      <c r="D2156" t="s">
        <v>3332</v>
      </c>
      <c r="E2156" t="s">
        <v>3336</v>
      </c>
    </row>
    <row r="2157" spans="1:5" x14ac:dyDescent="0.25">
      <c r="A2157" t="s">
        <v>3329</v>
      </c>
      <c r="B2157" t="str">
        <f>"4550329903651"</f>
        <v>4550329903651</v>
      </c>
      <c r="C2157" t="s">
        <v>6420</v>
      </c>
      <c r="D2157" t="s">
        <v>3332</v>
      </c>
      <c r="E2157" t="s">
        <v>3336</v>
      </c>
    </row>
    <row r="2158" spans="1:5" x14ac:dyDescent="0.25">
      <c r="A2158" t="s">
        <v>3329</v>
      </c>
      <c r="B2158" t="str">
        <f>"4550329558974"</f>
        <v>4550329558974</v>
      </c>
      <c r="C2158" t="s">
        <v>6421</v>
      </c>
      <c r="D2158" t="s">
        <v>3332</v>
      </c>
      <c r="E2158" t="s">
        <v>3582</v>
      </c>
    </row>
    <row r="2159" spans="1:5" x14ac:dyDescent="0.25">
      <c r="A2159" t="s">
        <v>3329</v>
      </c>
      <c r="B2159" t="str">
        <f>"4550329558950"</f>
        <v>4550329558950</v>
      </c>
      <c r="C2159" t="s">
        <v>6422</v>
      </c>
      <c r="D2159" t="s">
        <v>3332</v>
      </c>
      <c r="E2159" t="s">
        <v>3582</v>
      </c>
    </row>
    <row r="2160" spans="1:5" x14ac:dyDescent="0.25">
      <c r="A2160" t="s">
        <v>3329</v>
      </c>
      <c r="B2160" t="str">
        <f>"4550329558943"</f>
        <v>4550329558943</v>
      </c>
      <c r="C2160" t="s">
        <v>6423</v>
      </c>
      <c r="D2160" t="s">
        <v>3332</v>
      </c>
      <c r="E2160" t="s">
        <v>3582</v>
      </c>
    </row>
    <row r="2161" spans="1:5" x14ac:dyDescent="0.25">
      <c r="A2161" t="s">
        <v>3329</v>
      </c>
      <c r="B2161" t="str">
        <f>"4550329558936"</f>
        <v>4550329558936</v>
      </c>
      <c r="C2161" t="s">
        <v>6424</v>
      </c>
      <c r="D2161" t="s">
        <v>3332</v>
      </c>
      <c r="E2161" t="s">
        <v>3582</v>
      </c>
    </row>
    <row r="2162" spans="1:5" x14ac:dyDescent="0.25">
      <c r="A2162" t="s">
        <v>3329</v>
      </c>
      <c r="B2162" t="str">
        <f>"4550329558929"</f>
        <v>4550329558929</v>
      </c>
      <c r="C2162" t="s">
        <v>6425</v>
      </c>
      <c r="D2162" t="s">
        <v>3332</v>
      </c>
      <c r="E2162" t="s">
        <v>3582</v>
      </c>
    </row>
    <row r="2163" spans="1:5" x14ac:dyDescent="0.25">
      <c r="A2163" t="s">
        <v>3329</v>
      </c>
      <c r="B2163" t="str">
        <f>"4550329558899"</f>
        <v>4550329558899</v>
      </c>
      <c r="C2163" t="s">
        <v>6426</v>
      </c>
      <c r="D2163" t="s">
        <v>3332</v>
      </c>
      <c r="E2163" t="s">
        <v>3582</v>
      </c>
    </row>
    <row r="2164" spans="1:5" x14ac:dyDescent="0.25">
      <c r="A2164" t="s">
        <v>3329</v>
      </c>
      <c r="B2164" t="str">
        <f>"4550329558868"</f>
        <v>4550329558868</v>
      </c>
      <c r="C2164" t="s">
        <v>6427</v>
      </c>
      <c r="D2164" t="s">
        <v>3332</v>
      </c>
      <c r="E2164" t="s">
        <v>3582</v>
      </c>
    </row>
    <row r="2165" spans="1:5" x14ac:dyDescent="0.25">
      <c r="A2165" t="s">
        <v>3329</v>
      </c>
      <c r="B2165" t="str">
        <f>"4550329558837"</f>
        <v>4550329558837</v>
      </c>
      <c r="C2165" t="s">
        <v>6428</v>
      </c>
      <c r="D2165" t="s">
        <v>3332</v>
      </c>
      <c r="E2165" t="s">
        <v>3582</v>
      </c>
    </row>
    <row r="2166" spans="1:5" x14ac:dyDescent="0.25">
      <c r="A2166" t="s">
        <v>3329</v>
      </c>
      <c r="B2166" t="str">
        <f>"4066746559468"</f>
        <v>4066746559468</v>
      </c>
      <c r="C2166" t="s">
        <v>6429</v>
      </c>
      <c r="D2166" t="s">
        <v>3332</v>
      </c>
      <c r="E2166" t="s">
        <v>3344</v>
      </c>
    </row>
    <row r="2167" spans="1:5" x14ac:dyDescent="0.25">
      <c r="A2167" t="s">
        <v>3329</v>
      </c>
      <c r="B2167" t="str">
        <f>"3926909790"</f>
        <v>3926909790</v>
      </c>
      <c r="C2167" t="s">
        <v>6430</v>
      </c>
      <c r="D2167" t="s">
        <v>3332</v>
      </c>
      <c r="E2167" t="s">
        <v>3333</v>
      </c>
    </row>
    <row r="2168" spans="1:5" x14ac:dyDescent="0.25">
      <c r="A2168" t="s">
        <v>3329</v>
      </c>
      <c r="B2168" t="str">
        <f>"3490150149464"</f>
        <v>3490150149464</v>
      </c>
      <c r="C2168" t="s">
        <v>6431</v>
      </c>
      <c r="D2168" t="s">
        <v>3332</v>
      </c>
      <c r="E2168" t="s">
        <v>3579</v>
      </c>
    </row>
    <row r="2169" spans="1:5" x14ac:dyDescent="0.25">
      <c r="A2169" t="s">
        <v>3329</v>
      </c>
      <c r="B2169" t="s">
        <v>6432</v>
      </c>
      <c r="C2169" t="s">
        <v>6433</v>
      </c>
      <c r="D2169" t="s">
        <v>3332</v>
      </c>
      <c r="E2169" t="s">
        <v>3333</v>
      </c>
    </row>
    <row r="2170" spans="1:5" x14ac:dyDescent="0.25">
      <c r="A2170" t="s">
        <v>3329</v>
      </c>
      <c r="B2170" t="s">
        <v>6434</v>
      </c>
      <c r="C2170" t="s">
        <v>6435</v>
      </c>
      <c r="D2170" t="s">
        <v>3332</v>
      </c>
      <c r="E2170" t="s">
        <v>3579</v>
      </c>
    </row>
    <row r="2171" spans="1:5" x14ac:dyDescent="0.25">
      <c r="A2171" t="s">
        <v>3329</v>
      </c>
      <c r="B2171" t="str">
        <f>"198772136673"</f>
        <v>198772136673</v>
      </c>
      <c r="C2171" t="s">
        <v>6436</v>
      </c>
      <c r="D2171" t="s">
        <v>3332</v>
      </c>
      <c r="E2171" t="s">
        <v>3344</v>
      </c>
    </row>
    <row r="2172" spans="1:5" x14ac:dyDescent="0.25">
      <c r="A2172" t="s">
        <v>3329</v>
      </c>
      <c r="B2172" t="str">
        <f>"198772134426"</f>
        <v>198772134426</v>
      </c>
      <c r="C2172" t="s">
        <v>6437</v>
      </c>
      <c r="D2172" t="s">
        <v>3332</v>
      </c>
      <c r="E2172" t="s">
        <v>3339</v>
      </c>
    </row>
    <row r="2173" spans="1:5" x14ac:dyDescent="0.25">
      <c r="A2173" t="s">
        <v>3329</v>
      </c>
      <c r="B2173" t="str">
        <f>"198772134419"</f>
        <v>198772134419</v>
      </c>
      <c r="C2173" t="s">
        <v>6438</v>
      </c>
      <c r="D2173" t="s">
        <v>3332</v>
      </c>
      <c r="E2173" t="s">
        <v>3339</v>
      </c>
    </row>
    <row r="2174" spans="1:5" x14ac:dyDescent="0.25">
      <c r="A2174" t="s">
        <v>3329</v>
      </c>
      <c r="B2174" t="str">
        <f>"198772134402"</f>
        <v>198772134402</v>
      </c>
      <c r="C2174" t="s">
        <v>6439</v>
      </c>
      <c r="D2174" t="s">
        <v>3332</v>
      </c>
      <c r="E2174" t="s">
        <v>3339</v>
      </c>
    </row>
    <row r="2175" spans="1:5" x14ac:dyDescent="0.25">
      <c r="A2175" t="s">
        <v>3329</v>
      </c>
      <c r="B2175" t="str">
        <f>"198772134396"</f>
        <v>198772134396</v>
      </c>
      <c r="C2175" t="s">
        <v>6440</v>
      </c>
      <c r="D2175" t="s">
        <v>3332</v>
      </c>
      <c r="E2175" t="s">
        <v>3339</v>
      </c>
    </row>
    <row r="2176" spans="1:5" x14ac:dyDescent="0.25">
      <c r="A2176" t="s">
        <v>3329</v>
      </c>
      <c r="B2176" t="str">
        <f>"198772103453"</f>
        <v>198772103453</v>
      </c>
      <c r="C2176" t="s">
        <v>6441</v>
      </c>
      <c r="D2176" t="s">
        <v>3332</v>
      </c>
      <c r="E2176" t="s">
        <v>3344</v>
      </c>
    </row>
    <row r="2177" spans="1:5" x14ac:dyDescent="0.25">
      <c r="A2177" t="s">
        <v>3329</v>
      </c>
      <c r="B2177" t="str">
        <f>"198772015749"</f>
        <v>198772015749</v>
      </c>
      <c r="C2177" t="s">
        <v>6442</v>
      </c>
      <c r="D2177" t="s">
        <v>3332</v>
      </c>
      <c r="E2177" t="s">
        <v>3339</v>
      </c>
    </row>
    <row r="2178" spans="1:5" x14ac:dyDescent="0.25">
      <c r="A2178" t="s">
        <v>3329</v>
      </c>
      <c r="B2178" t="str">
        <f>"198772015732"</f>
        <v>198772015732</v>
      </c>
      <c r="C2178" t="s">
        <v>6443</v>
      </c>
      <c r="D2178" t="s">
        <v>3332</v>
      </c>
      <c r="E2178" t="s">
        <v>3339</v>
      </c>
    </row>
    <row r="2179" spans="1:5" x14ac:dyDescent="0.25">
      <c r="A2179" t="s">
        <v>3329</v>
      </c>
      <c r="B2179" t="str">
        <f>"196652636176"</f>
        <v>196652636176</v>
      </c>
      <c r="C2179" t="s">
        <v>6444</v>
      </c>
      <c r="D2179" t="s">
        <v>3332</v>
      </c>
      <c r="E2179" t="s">
        <v>3336</v>
      </c>
    </row>
    <row r="2180" spans="1:5" x14ac:dyDescent="0.25">
      <c r="A2180" t="s">
        <v>3329</v>
      </c>
      <c r="B2180" t="str">
        <f>"196652636169"</f>
        <v>196652636169</v>
      </c>
      <c r="C2180" t="s">
        <v>6445</v>
      </c>
      <c r="D2180" t="s">
        <v>3332</v>
      </c>
      <c r="E2180" t="s">
        <v>3336</v>
      </c>
    </row>
    <row r="2181" spans="1:5" x14ac:dyDescent="0.25">
      <c r="A2181" t="s">
        <v>3329</v>
      </c>
      <c r="B2181" t="str">
        <f>"196652636152"</f>
        <v>196652636152</v>
      </c>
      <c r="C2181" t="s">
        <v>6446</v>
      </c>
      <c r="D2181" t="s">
        <v>3332</v>
      </c>
      <c r="E2181" t="s">
        <v>3336</v>
      </c>
    </row>
    <row r="2182" spans="1:5" x14ac:dyDescent="0.25">
      <c r="A2182" t="s">
        <v>3329</v>
      </c>
      <c r="B2182" t="str">
        <f>"196652636145"</f>
        <v>196652636145</v>
      </c>
      <c r="C2182" t="s">
        <v>6447</v>
      </c>
      <c r="D2182" t="s">
        <v>3332</v>
      </c>
      <c r="E2182" t="s">
        <v>3336</v>
      </c>
    </row>
    <row r="2183" spans="1:5" x14ac:dyDescent="0.25">
      <c r="A2183" t="s">
        <v>3329</v>
      </c>
      <c r="B2183" t="str">
        <f>"196652094204"</f>
        <v>196652094204</v>
      </c>
      <c r="C2183" t="s">
        <v>6448</v>
      </c>
      <c r="D2183" t="s">
        <v>3332</v>
      </c>
      <c r="E2183" t="s">
        <v>3336</v>
      </c>
    </row>
    <row r="2184" spans="1:5" x14ac:dyDescent="0.25">
      <c r="A2184" t="s">
        <v>3329</v>
      </c>
      <c r="B2184" t="str">
        <f>"196652094198"</f>
        <v>196652094198</v>
      </c>
      <c r="C2184" t="s">
        <v>6449</v>
      </c>
      <c r="D2184" t="s">
        <v>3332</v>
      </c>
      <c r="E2184" t="s">
        <v>3336</v>
      </c>
    </row>
    <row r="2185" spans="1:5" x14ac:dyDescent="0.25">
      <c r="A2185" t="s">
        <v>3329</v>
      </c>
      <c r="B2185" t="str">
        <f>"196652094181"</f>
        <v>196652094181</v>
      </c>
      <c r="C2185" t="s">
        <v>6450</v>
      </c>
      <c r="D2185" t="s">
        <v>3332</v>
      </c>
      <c r="E2185" t="s">
        <v>3336</v>
      </c>
    </row>
    <row r="2186" spans="1:5" x14ac:dyDescent="0.25">
      <c r="A2186" t="s">
        <v>3329</v>
      </c>
      <c r="B2186" t="str">
        <f>"196652094174"</f>
        <v>196652094174</v>
      </c>
      <c r="C2186" t="s">
        <v>6451</v>
      </c>
      <c r="D2186" t="s">
        <v>3332</v>
      </c>
      <c r="E2186" t="s">
        <v>3336</v>
      </c>
    </row>
    <row r="2187" spans="1:5" x14ac:dyDescent="0.25">
      <c r="A2187" t="s">
        <v>3329</v>
      </c>
      <c r="B2187" t="s">
        <v>6452</v>
      </c>
      <c r="C2187" t="s">
        <v>6453</v>
      </c>
      <c r="D2187" t="s">
        <v>3332</v>
      </c>
      <c r="E2187" t="s">
        <v>3582</v>
      </c>
    </row>
    <row r="2188" spans="1:5" x14ac:dyDescent="0.25">
      <c r="A2188" t="s">
        <v>3329</v>
      </c>
      <c r="B2188" t="s">
        <v>6454</v>
      </c>
      <c r="C2188" t="s">
        <v>6453</v>
      </c>
      <c r="D2188" t="s">
        <v>3332</v>
      </c>
      <c r="E2188" t="s">
        <v>3582</v>
      </c>
    </row>
    <row r="2189" spans="1:5" x14ac:dyDescent="0.25">
      <c r="A2189" t="s">
        <v>3329</v>
      </c>
      <c r="B2189" t="s">
        <v>6455</v>
      </c>
      <c r="C2189" t="s">
        <v>6453</v>
      </c>
      <c r="D2189" t="s">
        <v>3332</v>
      </c>
      <c r="E2189" t="s">
        <v>3582</v>
      </c>
    </row>
    <row r="2190" spans="1:5" x14ac:dyDescent="0.25">
      <c r="A2190" t="s">
        <v>3329</v>
      </c>
      <c r="B2190" t="s">
        <v>6456</v>
      </c>
      <c r="C2190" t="s">
        <v>6453</v>
      </c>
      <c r="D2190" t="s">
        <v>3332</v>
      </c>
      <c r="E2190" t="s">
        <v>3582</v>
      </c>
    </row>
    <row r="2191" spans="1:5" x14ac:dyDescent="0.25">
      <c r="A2191" t="s">
        <v>3329</v>
      </c>
      <c r="B2191" t="s">
        <v>6457</v>
      </c>
      <c r="C2191" t="s">
        <v>6458</v>
      </c>
      <c r="D2191" t="s">
        <v>3332</v>
      </c>
      <c r="E2191" t="s">
        <v>3582</v>
      </c>
    </row>
    <row r="2192" spans="1:5" x14ac:dyDescent="0.25">
      <c r="A2192" t="s">
        <v>3329</v>
      </c>
      <c r="B2192" t="s">
        <v>6459</v>
      </c>
      <c r="C2192" t="s">
        <v>6460</v>
      </c>
      <c r="D2192" t="s">
        <v>3332</v>
      </c>
      <c r="E2192" t="s">
        <v>3582</v>
      </c>
    </row>
    <row r="2193" spans="1:5" x14ac:dyDescent="0.25">
      <c r="A2193" t="s">
        <v>3329</v>
      </c>
      <c r="B2193" t="s">
        <v>6461</v>
      </c>
      <c r="C2193" t="s">
        <v>6462</v>
      </c>
      <c r="D2193" t="s">
        <v>3332</v>
      </c>
      <c r="E2193" t="s">
        <v>3582</v>
      </c>
    </row>
    <row r="2194" spans="1:5" x14ac:dyDescent="0.25">
      <c r="A2194" t="s">
        <v>3329</v>
      </c>
      <c r="B2194" t="s">
        <v>6463</v>
      </c>
      <c r="C2194" t="s">
        <v>6464</v>
      </c>
      <c r="D2194" t="s">
        <v>3332</v>
      </c>
      <c r="E2194" t="s">
        <v>3582</v>
      </c>
    </row>
    <row r="2195" spans="1:5" x14ac:dyDescent="0.25">
      <c r="A2195" t="s">
        <v>3329</v>
      </c>
      <c r="B2195" t="s">
        <v>6465</v>
      </c>
      <c r="C2195" t="s">
        <v>6466</v>
      </c>
      <c r="D2195" t="s">
        <v>3332</v>
      </c>
      <c r="E2195" t="s">
        <v>3582</v>
      </c>
    </row>
    <row r="2196" spans="1:5" x14ac:dyDescent="0.25">
      <c r="A2196" t="s">
        <v>3329</v>
      </c>
      <c r="B2196" t="s">
        <v>6467</v>
      </c>
      <c r="C2196" t="s">
        <v>6468</v>
      </c>
      <c r="D2196" t="s">
        <v>3332</v>
      </c>
      <c r="E2196" t="s">
        <v>3582</v>
      </c>
    </row>
    <row r="2197" spans="1:5" x14ac:dyDescent="0.25">
      <c r="A2197" t="s">
        <v>3329</v>
      </c>
      <c r="B2197" t="s">
        <v>6469</v>
      </c>
      <c r="C2197" t="s">
        <v>6470</v>
      </c>
      <c r="D2197" t="s">
        <v>3332</v>
      </c>
      <c r="E2197" t="s">
        <v>3582</v>
      </c>
    </row>
    <row r="2198" spans="1:5" x14ac:dyDescent="0.25">
      <c r="A2198" t="s">
        <v>3329</v>
      </c>
      <c r="B2198" t="s">
        <v>6471</v>
      </c>
      <c r="C2198" t="s">
        <v>6472</v>
      </c>
      <c r="D2198" t="s">
        <v>3332</v>
      </c>
      <c r="E2198" t="s">
        <v>3582</v>
      </c>
    </row>
    <row r="2199" spans="1:5" x14ac:dyDescent="0.25">
      <c r="A2199" t="s">
        <v>3329</v>
      </c>
      <c r="B2199" t="str">
        <f>"196432753345"</f>
        <v>196432753345</v>
      </c>
      <c r="C2199" t="s">
        <v>6473</v>
      </c>
      <c r="D2199" t="s">
        <v>3332</v>
      </c>
      <c r="E2199" t="s">
        <v>3336</v>
      </c>
    </row>
    <row r="2200" spans="1:5" x14ac:dyDescent="0.25">
      <c r="A2200" t="s">
        <v>3329</v>
      </c>
      <c r="B2200" t="str">
        <f>"196432753338"</f>
        <v>196432753338</v>
      </c>
      <c r="C2200" t="s">
        <v>6474</v>
      </c>
      <c r="D2200" t="s">
        <v>3332</v>
      </c>
      <c r="E2200" t="s">
        <v>3336</v>
      </c>
    </row>
    <row r="2201" spans="1:5" x14ac:dyDescent="0.25">
      <c r="A2201" t="s">
        <v>3329</v>
      </c>
      <c r="B2201" t="str">
        <f>"196307737296"</f>
        <v>196307737296</v>
      </c>
      <c r="C2201" t="s">
        <v>6475</v>
      </c>
      <c r="D2201" t="s">
        <v>3332</v>
      </c>
      <c r="E2201" t="s">
        <v>3336</v>
      </c>
    </row>
    <row r="2202" spans="1:5" x14ac:dyDescent="0.25">
      <c r="A2202" t="s">
        <v>3329</v>
      </c>
      <c r="B2202" t="str">
        <f>"196307737289"</f>
        <v>196307737289</v>
      </c>
      <c r="C2202" t="s">
        <v>6476</v>
      </c>
      <c r="D2202" t="s">
        <v>3332</v>
      </c>
      <c r="E2202" t="s">
        <v>3336</v>
      </c>
    </row>
    <row r="2203" spans="1:5" x14ac:dyDescent="0.25">
      <c r="A2203" t="s">
        <v>3329</v>
      </c>
      <c r="B2203" t="str">
        <f>"196307737272"</f>
        <v>196307737272</v>
      </c>
      <c r="C2203" t="s">
        <v>6477</v>
      </c>
      <c r="D2203" t="s">
        <v>3332</v>
      </c>
      <c r="E2203" t="s">
        <v>3336</v>
      </c>
    </row>
    <row r="2204" spans="1:5" x14ac:dyDescent="0.25">
      <c r="A2204" t="s">
        <v>3329</v>
      </c>
      <c r="B2204" t="str">
        <f>"196307737265"</f>
        <v>196307737265</v>
      </c>
      <c r="C2204" t="s">
        <v>6478</v>
      </c>
      <c r="D2204" t="s">
        <v>3332</v>
      </c>
      <c r="E2204" t="s">
        <v>3336</v>
      </c>
    </row>
    <row r="2205" spans="1:5" x14ac:dyDescent="0.25">
      <c r="A2205" t="s">
        <v>3329</v>
      </c>
      <c r="B2205" t="s">
        <v>6479</v>
      </c>
      <c r="C2205" t="s">
        <v>6480</v>
      </c>
      <c r="D2205" t="s">
        <v>3332</v>
      </c>
      <c r="E2205" t="s">
        <v>3333</v>
      </c>
    </row>
    <row r="2206" spans="1:5" x14ac:dyDescent="0.25">
      <c r="A2206" t="s">
        <v>3329</v>
      </c>
      <c r="B2206" t="s">
        <v>6481</v>
      </c>
      <c r="C2206" t="s">
        <v>6482</v>
      </c>
      <c r="D2206" t="s">
        <v>3332</v>
      </c>
      <c r="E2206" t="s">
        <v>3333</v>
      </c>
    </row>
    <row r="2207" spans="1:5" x14ac:dyDescent="0.25">
      <c r="A2207" t="s">
        <v>3329</v>
      </c>
      <c r="B2207" t="str">
        <f>"194979396148"</f>
        <v>194979396148</v>
      </c>
      <c r="C2207" t="s">
        <v>6483</v>
      </c>
      <c r="D2207" t="s">
        <v>3332</v>
      </c>
      <c r="E2207" t="s">
        <v>3333</v>
      </c>
    </row>
    <row r="2208" spans="1:5" x14ac:dyDescent="0.25">
      <c r="A2208" t="s">
        <v>3329</v>
      </c>
      <c r="B2208" t="str">
        <f>"194979396131"</f>
        <v>194979396131</v>
      </c>
      <c r="C2208" t="s">
        <v>6484</v>
      </c>
      <c r="D2208" t="s">
        <v>3332</v>
      </c>
      <c r="E2208" t="s">
        <v>3333</v>
      </c>
    </row>
    <row r="2209" spans="1:5" x14ac:dyDescent="0.25">
      <c r="A2209" t="s">
        <v>3329</v>
      </c>
      <c r="B2209" t="str">
        <f>"194979396124"</f>
        <v>194979396124</v>
      </c>
      <c r="C2209" t="s">
        <v>6485</v>
      </c>
      <c r="D2209" t="s">
        <v>3332</v>
      </c>
      <c r="E2209" t="s">
        <v>3333</v>
      </c>
    </row>
    <row r="2210" spans="1:5" x14ac:dyDescent="0.25">
      <c r="A2210" t="s">
        <v>3329</v>
      </c>
      <c r="B2210" t="str">
        <f>"194979395936"</f>
        <v>194979395936</v>
      </c>
      <c r="C2210" t="s">
        <v>6486</v>
      </c>
      <c r="D2210" t="s">
        <v>3332</v>
      </c>
      <c r="E2210" t="s">
        <v>3333</v>
      </c>
    </row>
    <row r="2211" spans="1:5" x14ac:dyDescent="0.25">
      <c r="A2211" t="s">
        <v>3329</v>
      </c>
      <c r="B2211" t="str">
        <f>"194979395929"</f>
        <v>194979395929</v>
      </c>
      <c r="C2211" t="s">
        <v>6487</v>
      </c>
      <c r="D2211" t="s">
        <v>3332</v>
      </c>
      <c r="E2211" t="s">
        <v>3333</v>
      </c>
    </row>
    <row r="2212" spans="1:5" x14ac:dyDescent="0.25">
      <c r="A2212" t="s">
        <v>3329</v>
      </c>
      <c r="B2212" t="str">
        <f>"194979395912"</f>
        <v>194979395912</v>
      </c>
      <c r="C2212" t="s">
        <v>6488</v>
      </c>
      <c r="D2212" t="s">
        <v>3332</v>
      </c>
      <c r="E2212" t="s">
        <v>3333</v>
      </c>
    </row>
    <row r="2213" spans="1:5" x14ac:dyDescent="0.25">
      <c r="A2213" t="s">
        <v>3329</v>
      </c>
      <c r="B2213" t="str">
        <f>"194979395394"</f>
        <v>194979395394</v>
      </c>
      <c r="C2213" t="s">
        <v>6489</v>
      </c>
      <c r="D2213" t="s">
        <v>3332</v>
      </c>
      <c r="E2213" t="s">
        <v>3333</v>
      </c>
    </row>
    <row r="2214" spans="1:5" x14ac:dyDescent="0.25">
      <c r="A2214" t="s">
        <v>3329</v>
      </c>
      <c r="B2214" t="str">
        <f>"194979395370"</f>
        <v>194979395370</v>
      </c>
      <c r="C2214" t="s">
        <v>6490</v>
      </c>
      <c r="D2214" t="s">
        <v>3332</v>
      </c>
      <c r="E2214" t="s">
        <v>3333</v>
      </c>
    </row>
    <row r="2215" spans="1:5" x14ac:dyDescent="0.25">
      <c r="A2215" t="s">
        <v>3329</v>
      </c>
      <c r="B2215" t="str">
        <f>"194979395301"</f>
        <v>194979395301</v>
      </c>
      <c r="C2215" t="s">
        <v>6491</v>
      </c>
      <c r="D2215" t="s">
        <v>3332</v>
      </c>
      <c r="E2215" t="s">
        <v>3333</v>
      </c>
    </row>
    <row r="2216" spans="1:5" x14ac:dyDescent="0.25">
      <c r="A2216" t="s">
        <v>3329</v>
      </c>
      <c r="B2216" t="str">
        <f>"194979395288"</f>
        <v>194979395288</v>
      </c>
      <c r="C2216" t="s">
        <v>6492</v>
      </c>
      <c r="D2216" t="s">
        <v>3332</v>
      </c>
      <c r="E2216" t="s">
        <v>3333</v>
      </c>
    </row>
    <row r="2217" spans="1:5" x14ac:dyDescent="0.25">
      <c r="A2217" t="s">
        <v>3329</v>
      </c>
      <c r="B2217" t="str">
        <f>"194979258132"</f>
        <v>194979258132</v>
      </c>
      <c r="C2217" t="s">
        <v>6493</v>
      </c>
      <c r="D2217" t="s">
        <v>3332</v>
      </c>
      <c r="E2217" t="s">
        <v>3333</v>
      </c>
    </row>
    <row r="2218" spans="1:5" x14ac:dyDescent="0.25">
      <c r="A2218" t="s">
        <v>3329</v>
      </c>
      <c r="B2218" t="str">
        <f>"194979258125"</f>
        <v>194979258125</v>
      </c>
      <c r="C2218" t="s">
        <v>6494</v>
      </c>
      <c r="D2218" t="s">
        <v>3332</v>
      </c>
      <c r="E2218" t="s">
        <v>3333</v>
      </c>
    </row>
    <row r="2219" spans="1:5" x14ac:dyDescent="0.25">
      <c r="A2219" t="s">
        <v>3329</v>
      </c>
      <c r="B2219" t="str">
        <f>"194979258118"</f>
        <v>194979258118</v>
      </c>
      <c r="C2219" t="s">
        <v>6495</v>
      </c>
      <c r="D2219" t="s">
        <v>3332</v>
      </c>
      <c r="E2219" t="s">
        <v>3333</v>
      </c>
    </row>
    <row r="2220" spans="1:5" x14ac:dyDescent="0.25">
      <c r="A2220" t="s">
        <v>3329</v>
      </c>
      <c r="B2220" t="str">
        <f>"194979258040"</f>
        <v>194979258040</v>
      </c>
      <c r="C2220" t="s">
        <v>6496</v>
      </c>
      <c r="D2220" t="s">
        <v>3332</v>
      </c>
      <c r="E2220" t="s">
        <v>3333</v>
      </c>
    </row>
    <row r="2221" spans="1:5" x14ac:dyDescent="0.25">
      <c r="A2221" t="s">
        <v>3329</v>
      </c>
      <c r="B2221" t="str">
        <f>"194979258033"</f>
        <v>194979258033</v>
      </c>
      <c r="C2221" t="s">
        <v>6497</v>
      </c>
      <c r="D2221" t="s">
        <v>3332</v>
      </c>
      <c r="E2221" t="s">
        <v>3333</v>
      </c>
    </row>
    <row r="2222" spans="1:5" x14ac:dyDescent="0.25">
      <c r="A2222" t="s">
        <v>3329</v>
      </c>
      <c r="B2222" t="str">
        <f>"194979258026"</f>
        <v>194979258026</v>
      </c>
      <c r="C2222" t="s">
        <v>6498</v>
      </c>
      <c r="D2222" t="s">
        <v>3332</v>
      </c>
      <c r="E2222" t="s">
        <v>3333</v>
      </c>
    </row>
    <row r="2223" spans="1:5" x14ac:dyDescent="0.25">
      <c r="A2223" t="s">
        <v>3329</v>
      </c>
      <c r="B2223" t="str">
        <f>"194979190890"</f>
        <v>194979190890</v>
      </c>
      <c r="C2223" t="s">
        <v>6499</v>
      </c>
      <c r="D2223" t="s">
        <v>3332</v>
      </c>
      <c r="E2223" t="s">
        <v>3333</v>
      </c>
    </row>
    <row r="2224" spans="1:5" x14ac:dyDescent="0.25">
      <c r="A2224" t="s">
        <v>3329</v>
      </c>
      <c r="B2224" t="str">
        <f>"194979190883"</f>
        <v>194979190883</v>
      </c>
      <c r="C2224" t="s">
        <v>6500</v>
      </c>
      <c r="D2224" t="s">
        <v>3332</v>
      </c>
      <c r="E2224" t="s">
        <v>3333</v>
      </c>
    </row>
    <row r="2225" spans="1:5" x14ac:dyDescent="0.25">
      <c r="A2225" t="s">
        <v>3329</v>
      </c>
      <c r="B2225" t="str">
        <f>"194979190876"</f>
        <v>194979190876</v>
      </c>
      <c r="C2225" t="s">
        <v>6501</v>
      </c>
      <c r="D2225" t="s">
        <v>3332</v>
      </c>
      <c r="E2225" t="s">
        <v>3333</v>
      </c>
    </row>
    <row r="2226" spans="1:5" x14ac:dyDescent="0.25">
      <c r="A2226" t="s">
        <v>3329</v>
      </c>
      <c r="B2226" t="s">
        <v>6502</v>
      </c>
      <c r="C2226" t="s">
        <v>6503</v>
      </c>
      <c r="D2226" t="s">
        <v>3332</v>
      </c>
      <c r="E2226" t="s">
        <v>3336</v>
      </c>
    </row>
    <row r="2227" spans="1:5" x14ac:dyDescent="0.25">
      <c r="A2227" t="s">
        <v>3329</v>
      </c>
      <c r="B2227" t="s">
        <v>6504</v>
      </c>
      <c r="C2227" t="s">
        <v>6505</v>
      </c>
      <c r="D2227" t="s">
        <v>3332</v>
      </c>
      <c r="E2227" t="s">
        <v>3336</v>
      </c>
    </row>
    <row r="2228" spans="1:5" x14ac:dyDescent="0.25">
      <c r="A2228" t="s">
        <v>3329</v>
      </c>
      <c r="B2228" t="s">
        <v>6506</v>
      </c>
      <c r="C2228" t="s">
        <v>6507</v>
      </c>
      <c r="D2228" t="s">
        <v>3332</v>
      </c>
      <c r="E2228" t="s">
        <v>3336</v>
      </c>
    </row>
    <row r="2229" spans="1:5" x14ac:dyDescent="0.25">
      <c r="A2229" t="s">
        <v>3329</v>
      </c>
      <c r="B2229" t="s">
        <v>6508</v>
      </c>
      <c r="C2229" t="s">
        <v>6509</v>
      </c>
      <c r="D2229" t="s">
        <v>3332</v>
      </c>
      <c r="E2229" t="s">
        <v>3336</v>
      </c>
    </row>
    <row r="2230" spans="1:5" x14ac:dyDescent="0.25">
      <c r="A2230" t="s">
        <v>3329</v>
      </c>
      <c r="B2230" t="s">
        <v>6510</v>
      </c>
      <c r="C2230" t="s">
        <v>6511</v>
      </c>
      <c r="D2230" t="s">
        <v>3332</v>
      </c>
      <c r="E2230" t="s">
        <v>3336</v>
      </c>
    </row>
    <row r="2231" spans="1:5" x14ac:dyDescent="0.25">
      <c r="A2231" t="s">
        <v>3329</v>
      </c>
      <c r="B2231" t="s">
        <v>6512</v>
      </c>
      <c r="C2231" t="s">
        <v>6513</v>
      </c>
      <c r="D2231" t="s">
        <v>3332</v>
      </c>
      <c r="E2231" t="s">
        <v>3336</v>
      </c>
    </row>
    <row r="2232" spans="1:5" x14ac:dyDescent="0.25">
      <c r="A2232" t="s">
        <v>3329</v>
      </c>
      <c r="B2232" t="s">
        <v>6514</v>
      </c>
      <c r="C2232" t="s">
        <v>6515</v>
      </c>
      <c r="D2232" t="s">
        <v>3332</v>
      </c>
      <c r="E2232" t="s">
        <v>3336</v>
      </c>
    </row>
    <row r="2233" spans="1:5" x14ac:dyDescent="0.25">
      <c r="A2233" t="s">
        <v>3329</v>
      </c>
      <c r="B2233" t="s">
        <v>6516</v>
      </c>
      <c r="C2233" t="s">
        <v>6517</v>
      </c>
      <c r="D2233" t="s">
        <v>3332</v>
      </c>
      <c r="E2233" t="s">
        <v>3336</v>
      </c>
    </row>
    <row r="2234" spans="1:5" x14ac:dyDescent="0.25">
      <c r="A2234" t="s">
        <v>3329</v>
      </c>
      <c r="B2234" t="s">
        <v>6518</v>
      </c>
      <c r="C2234" t="s">
        <v>6519</v>
      </c>
      <c r="D2234" t="s">
        <v>3332</v>
      </c>
      <c r="E2234" t="s">
        <v>3336</v>
      </c>
    </row>
    <row r="2235" spans="1:5" x14ac:dyDescent="0.25">
      <c r="A2235" t="s">
        <v>3329</v>
      </c>
      <c r="B2235" t="s">
        <v>6520</v>
      </c>
      <c r="C2235" t="s">
        <v>6521</v>
      </c>
      <c r="D2235" t="s">
        <v>3332</v>
      </c>
      <c r="E2235" t="s">
        <v>3336</v>
      </c>
    </row>
    <row r="2236" spans="1:5" x14ac:dyDescent="0.25">
      <c r="A2236" t="s">
        <v>3329</v>
      </c>
      <c r="B2236" t="s">
        <v>6522</v>
      </c>
      <c r="C2236" t="s">
        <v>6523</v>
      </c>
      <c r="D2236" t="s">
        <v>3332</v>
      </c>
      <c r="E2236" t="s">
        <v>3336</v>
      </c>
    </row>
    <row r="2237" spans="1:5" x14ac:dyDescent="0.25">
      <c r="A2237" t="s">
        <v>3329</v>
      </c>
      <c r="B2237" t="s">
        <v>6524</v>
      </c>
      <c r="C2237" t="s">
        <v>6525</v>
      </c>
      <c r="D2237" t="s">
        <v>3332</v>
      </c>
      <c r="E2237" t="s">
        <v>3336</v>
      </c>
    </row>
    <row r="2238" spans="1:5" x14ac:dyDescent="0.25">
      <c r="A2238" t="s">
        <v>3329</v>
      </c>
      <c r="B2238" t="s">
        <v>6526</v>
      </c>
      <c r="C2238" t="s">
        <v>6527</v>
      </c>
      <c r="D2238" t="s">
        <v>3332</v>
      </c>
      <c r="E2238" t="s">
        <v>3336</v>
      </c>
    </row>
    <row r="2239" spans="1:5" x14ac:dyDescent="0.25">
      <c r="A2239" t="s">
        <v>3329</v>
      </c>
      <c r="B2239" t="s">
        <v>6528</v>
      </c>
      <c r="C2239" t="s">
        <v>6529</v>
      </c>
      <c r="D2239" t="s">
        <v>3332</v>
      </c>
      <c r="E2239" t="s">
        <v>3336</v>
      </c>
    </row>
    <row r="2240" spans="1:5" x14ac:dyDescent="0.25">
      <c r="A2240" t="s">
        <v>3329</v>
      </c>
      <c r="B2240" t="s">
        <v>6530</v>
      </c>
      <c r="C2240" t="s">
        <v>6531</v>
      </c>
      <c r="D2240" t="s">
        <v>3332</v>
      </c>
      <c r="E2240" t="s">
        <v>3582</v>
      </c>
    </row>
    <row r="2241" spans="1:5" x14ac:dyDescent="0.25">
      <c r="A2241" t="s">
        <v>3329</v>
      </c>
      <c r="B2241" t="s">
        <v>6532</v>
      </c>
      <c r="C2241" t="s">
        <v>6531</v>
      </c>
      <c r="D2241" t="s">
        <v>3332</v>
      </c>
      <c r="E2241" t="s">
        <v>3582</v>
      </c>
    </row>
    <row r="2242" spans="1:5" x14ac:dyDescent="0.25">
      <c r="A2242" t="s">
        <v>3329</v>
      </c>
      <c r="B2242" t="s">
        <v>6533</v>
      </c>
      <c r="C2242" t="s">
        <v>6531</v>
      </c>
      <c r="D2242" t="s">
        <v>3332</v>
      </c>
      <c r="E2242" t="s">
        <v>3582</v>
      </c>
    </row>
    <row r="2243" spans="1:5" x14ac:dyDescent="0.25">
      <c r="A2243" t="s">
        <v>3329</v>
      </c>
      <c r="B2243" t="s">
        <v>6534</v>
      </c>
      <c r="C2243" t="s">
        <v>6531</v>
      </c>
      <c r="D2243" t="s">
        <v>3332</v>
      </c>
      <c r="E2243" t="s">
        <v>3582</v>
      </c>
    </row>
    <row r="2244" spans="1:5" x14ac:dyDescent="0.25">
      <c r="A2244" t="s">
        <v>3329</v>
      </c>
      <c r="B2244" t="s">
        <v>6535</v>
      </c>
      <c r="C2244" t="s">
        <v>6536</v>
      </c>
      <c r="D2244" t="s">
        <v>3332</v>
      </c>
      <c r="E2244" t="s">
        <v>3333</v>
      </c>
    </row>
    <row r="2245" spans="1:5" x14ac:dyDescent="0.25">
      <c r="A2245" t="s">
        <v>3329</v>
      </c>
      <c r="B2245" t="str">
        <f>"192662333869"</f>
        <v>192662333869</v>
      </c>
      <c r="C2245" t="s">
        <v>6537</v>
      </c>
      <c r="D2245" t="s">
        <v>3332</v>
      </c>
      <c r="E2245" t="s">
        <v>3336</v>
      </c>
    </row>
    <row r="2246" spans="1:5" x14ac:dyDescent="0.25">
      <c r="A2246" t="s">
        <v>3329</v>
      </c>
      <c r="B2246" t="str">
        <f>"18436603193679"</f>
        <v>18436603193679</v>
      </c>
      <c r="C2246" t="s">
        <v>6538</v>
      </c>
      <c r="D2246" t="s">
        <v>3332</v>
      </c>
      <c r="E2246" t="s">
        <v>3333</v>
      </c>
    </row>
    <row r="2247" spans="1:5" x14ac:dyDescent="0.25">
      <c r="A2247" t="s">
        <v>3329</v>
      </c>
      <c r="B2247" t="str">
        <f>"18436603192658"</f>
        <v>18436603192658</v>
      </c>
      <c r="C2247" t="s">
        <v>6539</v>
      </c>
      <c r="D2247" t="s">
        <v>3332</v>
      </c>
      <c r="E2247" t="s">
        <v>3333</v>
      </c>
    </row>
    <row r="2248" spans="1:5" x14ac:dyDescent="0.25">
      <c r="A2248" t="s">
        <v>3329</v>
      </c>
      <c r="B2248" t="str">
        <f>"18436603192641"</f>
        <v>18436603192641</v>
      </c>
      <c r="C2248" t="s">
        <v>6540</v>
      </c>
      <c r="D2248" t="s">
        <v>3332</v>
      </c>
      <c r="E2248" t="s">
        <v>3333</v>
      </c>
    </row>
    <row r="2249" spans="1:5" x14ac:dyDescent="0.25">
      <c r="A2249" t="s">
        <v>3329</v>
      </c>
      <c r="B2249" t="str">
        <f>"18436603192634"</f>
        <v>18436603192634</v>
      </c>
      <c r="C2249" t="s">
        <v>6541</v>
      </c>
      <c r="D2249" t="s">
        <v>3332</v>
      </c>
      <c r="E2249" t="s">
        <v>3333</v>
      </c>
    </row>
    <row r="2250" spans="1:5" x14ac:dyDescent="0.25">
      <c r="A2250" t="s">
        <v>3329</v>
      </c>
      <c r="B2250" t="str">
        <f>"18436567654964"</f>
        <v>18436567654964</v>
      </c>
      <c r="C2250" t="s">
        <v>6542</v>
      </c>
      <c r="D2250" t="s">
        <v>3332</v>
      </c>
      <c r="E2250" t="s">
        <v>3333</v>
      </c>
    </row>
    <row r="2251" spans="1:5" x14ac:dyDescent="0.25">
      <c r="A2251" t="s">
        <v>3329</v>
      </c>
      <c r="B2251" t="s">
        <v>6543</v>
      </c>
      <c r="C2251" t="s">
        <v>6544</v>
      </c>
      <c r="D2251" t="s">
        <v>3332</v>
      </c>
      <c r="E2251" t="s">
        <v>3579</v>
      </c>
    </row>
    <row r="2252" spans="1:5" x14ac:dyDescent="0.25">
      <c r="A2252" t="s">
        <v>3329</v>
      </c>
      <c r="B2252" t="str">
        <f>"18436049561285"</f>
        <v>18436049561285</v>
      </c>
      <c r="C2252" t="s">
        <v>6545</v>
      </c>
      <c r="D2252" t="s">
        <v>3332</v>
      </c>
      <c r="E2252" t="s">
        <v>3333</v>
      </c>
    </row>
    <row r="2253" spans="1:5" x14ac:dyDescent="0.25">
      <c r="A2253" t="s">
        <v>3329</v>
      </c>
      <c r="B2253" t="s">
        <v>6546</v>
      </c>
      <c r="C2253" t="s">
        <v>6547</v>
      </c>
      <c r="D2253" t="s">
        <v>3332</v>
      </c>
      <c r="E2253" t="s">
        <v>3579</v>
      </c>
    </row>
    <row r="2254" spans="1:5" x14ac:dyDescent="0.25">
      <c r="A2254" t="s">
        <v>3329</v>
      </c>
      <c r="B2254" t="s">
        <v>6548</v>
      </c>
      <c r="C2254" t="s">
        <v>6549</v>
      </c>
      <c r="D2254" t="s">
        <v>3332</v>
      </c>
      <c r="E2254" t="s">
        <v>3579</v>
      </c>
    </row>
    <row r="2255" spans="1:5" x14ac:dyDescent="0.25">
      <c r="A2255" t="s">
        <v>3329</v>
      </c>
      <c r="B2255" t="s">
        <v>6550</v>
      </c>
      <c r="C2255" t="s">
        <v>6551</v>
      </c>
      <c r="D2255" t="s">
        <v>3332</v>
      </c>
      <c r="E2255" t="s">
        <v>3579</v>
      </c>
    </row>
    <row r="2256" spans="1:5" x14ac:dyDescent="0.25">
      <c r="A2256" t="s">
        <v>3329</v>
      </c>
      <c r="B2256" t="s">
        <v>6552</v>
      </c>
      <c r="C2256" t="s">
        <v>6553</v>
      </c>
      <c r="D2256" t="s">
        <v>3332</v>
      </c>
      <c r="E2256" t="s">
        <v>3344</v>
      </c>
    </row>
    <row r="2257" spans="1:5" x14ac:dyDescent="0.25">
      <c r="A2257" t="s">
        <v>3329</v>
      </c>
      <c r="B2257" t="s">
        <v>6554</v>
      </c>
      <c r="C2257" t="s">
        <v>6555</v>
      </c>
      <c r="D2257" t="s">
        <v>3332</v>
      </c>
      <c r="E2257" t="s">
        <v>3579</v>
      </c>
    </row>
    <row r="2258" spans="1:5" x14ac:dyDescent="0.25">
      <c r="A2258" t="s">
        <v>3329</v>
      </c>
      <c r="B2258" t="s">
        <v>6556</v>
      </c>
      <c r="C2258" t="s">
        <v>6557</v>
      </c>
      <c r="D2258" t="s">
        <v>3332</v>
      </c>
      <c r="E2258" t="s">
        <v>3579</v>
      </c>
    </row>
    <row r="2259" spans="1:5" x14ac:dyDescent="0.25">
      <c r="A2259" t="s">
        <v>3329</v>
      </c>
      <c r="B2259" t="s">
        <v>6558</v>
      </c>
      <c r="C2259" t="s">
        <v>6559</v>
      </c>
      <c r="D2259" t="s">
        <v>3332</v>
      </c>
      <c r="E2259" t="s">
        <v>3579</v>
      </c>
    </row>
    <row r="2260" spans="1:5" x14ac:dyDescent="0.25">
      <c r="A2260" t="s">
        <v>3329</v>
      </c>
      <c r="B2260" t="str">
        <f>"10072489403037"</f>
        <v>10072489403037</v>
      </c>
      <c r="C2260" t="s">
        <v>6560</v>
      </c>
      <c r="D2260" t="s">
        <v>3332</v>
      </c>
      <c r="E2260" t="s">
        <v>3579</v>
      </c>
    </row>
    <row r="2261" spans="1:5" x14ac:dyDescent="0.25">
      <c r="A2261" t="s">
        <v>3329</v>
      </c>
      <c r="B2261" t="str">
        <f>"10072489402030"</f>
        <v>10072489402030</v>
      </c>
      <c r="C2261" t="s">
        <v>6561</v>
      </c>
      <c r="D2261" t="s">
        <v>3332</v>
      </c>
      <c r="E2261" t="s">
        <v>3579</v>
      </c>
    </row>
    <row r="2262" spans="1:5" x14ac:dyDescent="0.25">
      <c r="A2262" t="s">
        <v>3329</v>
      </c>
      <c r="B2262" t="s">
        <v>6562</v>
      </c>
      <c r="C2262" t="s">
        <v>6563</v>
      </c>
      <c r="D2262" t="s">
        <v>3332</v>
      </c>
      <c r="E2262" t="s">
        <v>3333</v>
      </c>
    </row>
    <row r="2263" spans="1:5" x14ac:dyDescent="0.25">
      <c r="A2263" t="s">
        <v>3329</v>
      </c>
      <c r="B2263" t="str">
        <f>"097512716482"</f>
        <v>097512716482</v>
      </c>
      <c r="C2263" t="s">
        <v>6564</v>
      </c>
      <c r="D2263" t="s">
        <v>3332</v>
      </c>
      <c r="E2263" t="s">
        <v>3333</v>
      </c>
    </row>
    <row r="2264" spans="1:5" x14ac:dyDescent="0.25">
      <c r="A2264" t="s">
        <v>3329</v>
      </c>
      <c r="B2264" t="s">
        <v>6565</v>
      </c>
      <c r="C2264" t="s">
        <v>6566</v>
      </c>
      <c r="D2264" t="s">
        <v>3332</v>
      </c>
      <c r="E2264" t="s">
        <v>3344</v>
      </c>
    </row>
    <row r="2265" spans="1:5" x14ac:dyDescent="0.25">
      <c r="A2265" t="s">
        <v>3329</v>
      </c>
      <c r="B2265" t="s">
        <v>6567</v>
      </c>
      <c r="C2265" t="s">
        <v>6568</v>
      </c>
      <c r="D2265" t="s">
        <v>3332</v>
      </c>
      <c r="E2265" t="s">
        <v>3344</v>
      </c>
    </row>
    <row r="2266" spans="1:5" x14ac:dyDescent="0.25">
      <c r="A2266" t="s">
        <v>3329</v>
      </c>
      <c r="B2266" t="str">
        <f>"097512681391"</f>
        <v>097512681391</v>
      </c>
      <c r="C2266" t="s">
        <v>6569</v>
      </c>
      <c r="D2266" t="s">
        <v>3332</v>
      </c>
      <c r="E2266" t="s">
        <v>3582</v>
      </c>
    </row>
    <row r="2267" spans="1:5" x14ac:dyDescent="0.25">
      <c r="A2267" t="s">
        <v>3329</v>
      </c>
      <c r="B2267" t="str">
        <f>"097512681360"</f>
        <v>097512681360</v>
      </c>
      <c r="C2267" t="s">
        <v>6570</v>
      </c>
      <c r="D2267" t="s">
        <v>3332</v>
      </c>
      <c r="E2267" t="s">
        <v>3582</v>
      </c>
    </row>
    <row r="2268" spans="1:5" x14ac:dyDescent="0.25">
      <c r="A2268" t="s">
        <v>3329</v>
      </c>
      <c r="B2268" t="s">
        <v>6571</v>
      </c>
      <c r="C2268" t="s">
        <v>6572</v>
      </c>
      <c r="D2268" t="s">
        <v>3332</v>
      </c>
      <c r="E2268" t="s">
        <v>3582</v>
      </c>
    </row>
    <row r="2269" spans="1:5" x14ac:dyDescent="0.25">
      <c r="A2269" t="s">
        <v>3329</v>
      </c>
      <c r="B2269" t="s">
        <v>6573</v>
      </c>
      <c r="C2269" t="s">
        <v>6574</v>
      </c>
      <c r="D2269" t="s">
        <v>3332</v>
      </c>
      <c r="E2269" t="s">
        <v>3582</v>
      </c>
    </row>
    <row r="2270" spans="1:5" x14ac:dyDescent="0.25">
      <c r="A2270" t="s">
        <v>3329</v>
      </c>
      <c r="B2270" t="s">
        <v>6575</v>
      </c>
      <c r="C2270" t="s">
        <v>6576</v>
      </c>
      <c r="D2270" t="s">
        <v>3332</v>
      </c>
      <c r="E2270" t="s">
        <v>3582</v>
      </c>
    </row>
    <row r="2271" spans="1:5" x14ac:dyDescent="0.25">
      <c r="A2271" t="s">
        <v>3329</v>
      </c>
      <c r="B2271" t="s">
        <v>6577</v>
      </c>
      <c r="C2271" t="s">
        <v>6578</v>
      </c>
      <c r="D2271" t="s">
        <v>3332</v>
      </c>
      <c r="E2271" t="s">
        <v>3582</v>
      </c>
    </row>
    <row r="2272" spans="1:5" x14ac:dyDescent="0.25">
      <c r="A2272" t="s">
        <v>3329</v>
      </c>
      <c r="B2272" t="s">
        <v>6579</v>
      </c>
      <c r="C2272" t="s">
        <v>6580</v>
      </c>
      <c r="D2272" t="s">
        <v>3332</v>
      </c>
      <c r="E2272" t="s">
        <v>3582</v>
      </c>
    </row>
    <row r="2273" spans="1:5" x14ac:dyDescent="0.25">
      <c r="A2273" t="s">
        <v>3329</v>
      </c>
      <c r="B2273" t="str">
        <f>"097512679985"</f>
        <v>097512679985</v>
      </c>
      <c r="C2273" t="s">
        <v>6581</v>
      </c>
      <c r="D2273" t="s">
        <v>3332</v>
      </c>
      <c r="E2273" t="s">
        <v>3582</v>
      </c>
    </row>
    <row r="2274" spans="1:5" x14ac:dyDescent="0.25">
      <c r="A2274" t="s">
        <v>3329</v>
      </c>
      <c r="B2274" t="s">
        <v>6582</v>
      </c>
      <c r="C2274" t="s">
        <v>6583</v>
      </c>
      <c r="D2274" t="s">
        <v>3332</v>
      </c>
      <c r="E2274" t="s">
        <v>3582</v>
      </c>
    </row>
    <row r="2275" spans="1:5" x14ac:dyDescent="0.25">
      <c r="A2275" t="s">
        <v>3329</v>
      </c>
      <c r="B2275" t="s">
        <v>6584</v>
      </c>
      <c r="C2275" t="s">
        <v>6585</v>
      </c>
      <c r="D2275" t="s">
        <v>3332</v>
      </c>
      <c r="E2275" t="s">
        <v>3582</v>
      </c>
    </row>
    <row r="2276" spans="1:5" x14ac:dyDescent="0.25">
      <c r="A2276" t="s">
        <v>3329</v>
      </c>
      <c r="B2276" t="s">
        <v>6586</v>
      </c>
      <c r="C2276" t="s">
        <v>6587</v>
      </c>
      <c r="D2276" t="s">
        <v>3332</v>
      </c>
      <c r="E2276" t="s">
        <v>3582</v>
      </c>
    </row>
    <row r="2277" spans="1:5" x14ac:dyDescent="0.25">
      <c r="A2277" t="s">
        <v>3329</v>
      </c>
      <c r="B2277" t="s">
        <v>6588</v>
      </c>
      <c r="C2277" t="s">
        <v>6589</v>
      </c>
      <c r="D2277" t="s">
        <v>3332</v>
      </c>
      <c r="E2277" t="s">
        <v>3344</v>
      </c>
    </row>
    <row r="2278" spans="1:5" x14ac:dyDescent="0.25">
      <c r="A2278" t="s">
        <v>3329</v>
      </c>
      <c r="B2278" t="s">
        <v>6590</v>
      </c>
      <c r="C2278" t="s">
        <v>6591</v>
      </c>
      <c r="D2278" t="s">
        <v>3332</v>
      </c>
      <c r="E2278" t="s">
        <v>3582</v>
      </c>
    </row>
    <row r="2279" spans="1:5" x14ac:dyDescent="0.25">
      <c r="A2279" t="s">
        <v>3329</v>
      </c>
      <c r="B2279" t="s">
        <v>6592</v>
      </c>
      <c r="C2279" t="s">
        <v>6593</v>
      </c>
      <c r="D2279" t="s">
        <v>3332</v>
      </c>
      <c r="E2279" t="s">
        <v>3582</v>
      </c>
    </row>
    <row r="2280" spans="1:5" x14ac:dyDescent="0.25">
      <c r="A2280" t="s">
        <v>3329</v>
      </c>
      <c r="B2280" t="s">
        <v>6594</v>
      </c>
      <c r="C2280" t="s">
        <v>6595</v>
      </c>
      <c r="D2280" t="s">
        <v>3332</v>
      </c>
      <c r="E2280" t="s">
        <v>3582</v>
      </c>
    </row>
    <row r="2281" spans="1:5" x14ac:dyDescent="0.25">
      <c r="A2281" t="s">
        <v>3329</v>
      </c>
      <c r="B2281" t="s">
        <v>6596</v>
      </c>
      <c r="C2281" t="s">
        <v>6597</v>
      </c>
      <c r="D2281" t="s">
        <v>3332</v>
      </c>
      <c r="E2281" t="s">
        <v>3582</v>
      </c>
    </row>
    <row r="2282" spans="1:5" x14ac:dyDescent="0.25">
      <c r="A2282" t="s">
        <v>3329</v>
      </c>
      <c r="B2282" t="s">
        <v>6598</v>
      </c>
      <c r="C2282" t="s">
        <v>6599</v>
      </c>
      <c r="D2282" t="s">
        <v>3332</v>
      </c>
      <c r="E2282" t="s">
        <v>3582</v>
      </c>
    </row>
    <row r="2283" spans="1:5" x14ac:dyDescent="0.25">
      <c r="A2283" t="s">
        <v>3329</v>
      </c>
      <c r="B2283" t="str">
        <f>"097512612395"</f>
        <v>097512612395</v>
      </c>
      <c r="C2283" t="s">
        <v>6600</v>
      </c>
      <c r="D2283" t="s">
        <v>3332</v>
      </c>
      <c r="E2283" t="s">
        <v>3333</v>
      </c>
    </row>
    <row r="2284" spans="1:5" x14ac:dyDescent="0.25">
      <c r="A2284" t="s">
        <v>3329</v>
      </c>
      <c r="B2284" t="str">
        <f>"097512610797"</f>
        <v>097512610797</v>
      </c>
      <c r="C2284" t="s">
        <v>6601</v>
      </c>
      <c r="D2284" t="s">
        <v>3332</v>
      </c>
      <c r="E2284" t="s">
        <v>3339</v>
      </c>
    </row>
    <row r="2285" spans="1:5" x14ac:dyDescent="0.25">
      <c r="A2285" t="s">
        <v>3329</v>
      </c>
      <c r="B2285" t="str">
        <f>"097512553506"</f>
        <v>097512553506</v>
      </c>
      <c r="C2285" t="s">
        <v>6602</v>
      </c>
      <c r="D2285" t="s">
        <v>3332</v>
      </c>
      <c r="E2285" t="s">
        <v>3339</v>
      </c>
    </row>
    <row r="2286" spans="1:5" x14ac:dyDescent="0.25">
      <c r="A2286" t="s">
        <v>3329</v>
      </c>
      <c r="B2286" t="str">
        <f>"097512545624"</f>
        <v>097512545624</v>
      </c>
      <c r="C2286" t="s">
        <v>6603</v>
      </c>
      <c r="D2286" t="s">
        <v>3332</v>
      </c>
      <c r="E2286" t="s">
        <v>3339</v>
      </c>
    </row>
    <row r="2287" spans="1:5" x14ac:dyDescent="0.25">
      <c r="A2287" t="s">
        <v>3329</v>
      </c>
      <c r="B2287" t="str">
        <f>"097512545471"</f>
        <v>097512545471</v>
      </c>
      <c r="C2287" t="s">
        <v>6604</v>
      </c>
      <c r="D2287" t="s">
        <v>3332</v>
      </c>
      <c r="E2287" t="s">
        <v>3339</v>
      </c>
    </row>
    <row r="2288" spans="1:5" x14ac:dyDescent="0.25">
      <c r="A2288" t="s">
        <v>3329</v>
      </c>
      <c r="B2288" t="s">
        <v>6605</v>
      </c>
      <c r="C2288" t="s">
        <v>6606</v>
      </c>
      <c r="D2288" t="s">
        <v>3332</v>
      </c>
      <c r="E2288" t="s">
        <v>3333</v>
      </c>
    </row>
    <row r="2289" spans="1:5" x14ac:dyDescent="0.25">
      <c r="A2289" t="s">
        <v>3329</v>
      </c>
      <c r="B2289" t="s">
        <v>6607</v>
      </c>
      <c r="C2289" t="s">
        <v>6608</v>
      </c>
      <c r="D2289" t="s">
        <v>3332</v>
      </c>
      <c r="E2289" t="s">
        <v>3344</v>
      </c>
    </row>
    <row r="2290" spans="1:5" x14ac:dyDescent="0.25">
      <c r="A2290" t="s">
        <v>3329</v>
      </c>
      <c r="B2290" t="s">
        <v>6609</v>
      </c>
      <c r="C2290" t="s">
        <v>6610</v>
      </c>
      <c r="D2290" t="s">
        <v>3332</v>
      </c>
      <c r="E2290" t="s">
        <v>3344</v>
      </c>
    </row>
    <row r="2291" spans="1:5" x14ac:dyDescent="0.25">
      <c r="A2291" t="s">
        <v>3329</v>
      </c>
      <c r="B2291" t="s">
        <v>6611</v>
      </c>
      <c r="C2291" t="s">
        <v>6612</v>
      </c>
      <c r="D2291" t="s">
        <v>3332</v>
      </c>
      <c r="E2291" t="s">
        <v>3336</v>
      </c>
    </row>
    <row r="2292" spans="1:5" x14ac:dyDescent="0.25">
      <c r="A2292" t="s">
        <v>3329</v>
      </c>
      <c r="B2292" t="s">
        <v>6613</v>
      </c>
      <c r="C2292" t="s">
        <v>6614</v>
      </c>
      <c r="D2292" t="s">
        <v>3332</v>
      </c>
      <c r="E2292" t="s">
        <v>3336</v>
      </c>
    </row>
    <row r="2293" spans="1:5" x14ac:dyDescent="0.25">
      <c r="A2293" t="s">
        <v>3329</v>
      </c>
      <c r="B2293" t="s">
        <v>6615</v>
      </c>
      <c r="C2293" t="s">
        <v>6616</v>
      </c>
      <c r="D2293" t="s">
        <v>3332</v>
      </c>
      <c r="E2293" t="s">
        <v>3336</v>
      </c>
    </row>
    <row r="2294" spans="1:5" x14ac:dyDescent="0.25">
      <c r="A2294" t="s">
        <v>3329</v>
      </c>
      <c r="B2294" t="s">
        <v>6617</v>
      </c>
      <c r="C2294" t="s">
        <v>6618</v>
      </c>
      <c r="D2294" t="s">
        <v>3332</v>
      </c>
      <c r="E2294" t="s">
        <v>3336</v>
      </c>
    </row>
    <row r="2295" spans="1:5" x14ac:dyDescent="0.25">
      <c r="A2295" t="s">
        <v>3329</v>
      </c>
      <c r="B2295" t="s">
        <v>6619</v>
      </c>
      <c r="C2295" t="s">
        <v>6620</v>
      </c>
      <c r="D2295" t="s">
        <v>3332</v>
      </c>
      <c r="E2295" t="s">
        <v>3339</v>
      </c>
    </row>
    <row r="2296" spans="1:5" x14ac:dyDescent="0.25">
      <c r="A2296" t="s">
        <v>3329</v>
      </c>
      <c r="B2296" t="s">
        <v>6621</v>
      </c>
      <c r="C2296" t="s">
        <v>6622</v>
      </c>
      <c r="D2296" t="s">
        <v>3332</v>
      </c>
      <c r="E2296" t="s">
        <v>3333</v>
      </c>
    </row>
    <row r="2297" spans="1:5" x14ac:dyDescent="0.25">
      <c r="A2297" t="s">
        <v>3329</v>
      </c>
      <c r="B2297" t="s">
        <v>6623</v>
      </c>
      <c r="C2297" t="s">
        <v>6624</v>
      </c>
      <c r="D2297" t="s">
        <v>3332</v>
      </c>
      <c r="E2297" t="s">
        <v>3344</v>
      </c>
    </row>
    <row r="2298" spans="1:5" x14ac:dyDescent="0.25">
      <c r="A2298" t="s">
        <v>3329</v>
      </c>
      <c r="B2298" t="s">
        <v>6625</v>
      </c>
      <c r="C2298" t="s">
        <v>6626</v>
      </c>
      <c r="D2298" t="s">
        <v>3332</v>
      </c>
      <c r="E2298" t="s">
        <v>3344</v>
      </c>
    </row>
    <row r="2299" spans="1:5" x14ac:dyDescent="0.25">
      <c r="A2299" t="s">
        <v>3329</v>
      </c>
      <c r="B2299" t="str">
        <f>"045566923004"</f>
        <v>045566923004</v>
      </c>
      <c r="C2299" t="s">
        <v>6627</v>
      </c>
      <c r="D2299" t="s">
        <v>3332</v>
      </c>
      <c r="E2299" t="s">
        <v>3344</v>
      </c>
    </row>
    <row r="2300" spans="1:5" x14ac:dyDescent="0.25">
      <c r="A2300" t="s">
        <v>3329</v>
      </c>
      <c r="B2300" t="str">
        <f>"045566304254"</f>
        <v>045566304254</v>
      </c>
      <c r="C2300" t="s">
        <v>6628</v>
      </c>
      <c r="D2300" t="s">
        <v>3332</v>
      </c>
      <c r="E2300" t="s">
        <v>3339</v>
      </c>
    </row>
    <row r="2301" spans="1:5" x14ac:dyDescent="0.25">
      <c r="A2301" t="s">
        <v>3329</v>
      </c>
      <c r="B2301" t="str">
        <f>"045566303684"</f>
        <v>045566303684</v>
      </c>
      <c r="C2301" t="s">
        <v>6629</v>
      </c>
      <c r="D2301" t="s">
        <v>3332</v>
      </c>
      <c r="E2301" t="s">
        <v>3339</v>
      </c>
    </row>
    <row r="2302" spans="1:5" x14ac:dyDescent="0.25">
      <c r="A2302" t="s">
        <v>3329</v>
      </c>
      <c r="B2302" t="str">
        <f>"045566303370"</f>
        <v>045566303370</v>
      </c>
      <c r="C2302" t="s">
        <v>6630</v>
      </c>
      <c r="D2302" t="s">
        <v>3332</v>
      </c>
      <c r="E2302" t="s">
        <v>3339</v>
      </c>
    </row>
    <row r="2303" spans="1:5" x14ac:dyDescent="0.25">
      <c r="A2303" t="s">
        <v>3329</v>
      </c>
      <c r="B2303" t="str">
        <f>"045566302212"</f>
        <v>045566302212</v>
      </c>
      <c r="C2303" t="s">
        <v>6631</v>
      </c>
      <c r="D2303" t="s">
        <v>3332</v>
      </c>
      <c r="E2303" t="s">
        <v>3339</v>
      </c>
    </row>
    <row r="2304" spans="1:5" x14ac:dyDescent="0.25">
      <c r="A2304" t="s">
        <v>3329</v>
      </c>
      <c r="B2304" t="str">
        <f>"045566301826"</f>
        <v>045566301826</v>
      </c>
      <c r="C2304" t="s">
        <v>6632</v>
      </c>
      <c r="D2304" t="s">
        <v>3332</v>
      </c>
      <c r="E2304" t="s">
        <v>3339</v>
      </c>
    </row>
    <row r="2305" spans="1:5" x14ac:dyDescent="0.25">
      <c r="A2305" t="s">
        <v>3329</v>
      </c>
      <c r="B2305" t="str">
        <f>"0198772015732"</f>
        <v>0198772015732</v>
      </c>
      <c r="C2305" t="s">
        <v>6633</v>
      </c>
      <c r="D2305" t="s">
        <v>3332</v>
      </c>
      <c r="E2305" t="s">
        <v>3339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2B1E8-DEDA-47FC-BB05-F56B76611A99}">
  <dimension ref="A3:C20"/>
  <sheetViews>
    <sheetView workbookViewId="0">
      <selection activeCell="A3" sqref="A3"/>
    </sheetView>
  </sheetViews>
  <sheetFormatPr baseColWidth="10" defaultRowHeight="15" x14ac:dyDescent="0.25"/>
  <cols>
    <col min="1" max="1" width="35.85546875" bestFit="1" customWidth="1"/>
  </cols>
  <sheetData>
    <row r="3" spans="1:3" x14ac:dyDescent="0.25">
      <c r="A3" s="5"/>
      <c r="B3" s="6"/>
      <c r="C3" s="7"/>
    </row>
    <row r="4" spans="1:3" x14ac:dyDescent="0.25">
      <c r="A4" s="8"/>
      <c r="B4" s="9"/>
      <c r="C4" s="10"/>
    </row>
    <row r="5" spans="1:3" x14ac:dyDescent="0.25">
      <c r="A5" s="8"/>
      <c r="B5" s="9"/>
      <c r="C5" s="10"/>
    </row>
    <row r="6" spans="1:3" x14ac:dyDescent="0.25">
      <c r="A6" s="8"/>
      <c r="B6" s="9"/>
      <c r="C6" s="10"/>
    </row>
    <row r="7" spans="1:3" x14ac:dyDescent="0.25">
      <c r="A7" s="8"/>
      <c r="B7" s="9"/>
      <c r="C7" s="10"/>
    </row>
    <row r="8" spans="1:3" x14ac:dyDescent="0.25">
      <c r="A8" s="8"/>
      <c r="B8" s="9"/>
      <c r="C8" s="10"/>
    </row>
    <row r="9" spans="1:3" x14ac:dyDescent="0.25">
      <c r="A9" s="8"/>
      <c r="B9" s="9"/>
      <c r="C9" s="10"/>
    </row>
    <row r="10" spans="1:3" x14ac:dyDescent="0.25">
      <c r="A10" s="8"/>
      <c r="B10" s="9"/>
      <c r="C10" s="10"/>
    </row>
    <row r="11" spans="1:3" x14ac:dyDescent="0.25">
      <c r="A11" s="8"/>
      <c r="B11" s="9"/>
      <c r="C11" s="10"/>
    </row>
    <row r="12" spans="1:3" x14ac:dyDescent="0.25">
      <c r="A12" s="8"/>
      <c r="B12" s="9"/>
      <c r="C12" s="10"/>
    </row>
    <row r="13" spans="1:3" x14ac:dyDescent="0.25">
      <c r="A13" s="8"/>
      <c r="B13" s="9"/>
      <c r="C13" s="10"/>
    </row>
    <row r="14" spans="1:3" x14ac:dyDescent="0.25">
      <c r="A14" s="8"/>
      <c r="B14" s="9"/>
      <c r="C14" s="10"/>
    </row>
    <row r="15" spans="1:3" x14ac:dyDescent="0.25">
      <c r="A15" s="8"/>
      <c r="B15" s="9"/>
      <c r="C15" s="10"/>
    </row>
    <row r="16" spans="1:3" x14ac:dyDescent="0.25">
      <c r="A16" s="8"/>
      <c r="B16" s="9"/>
      <c r="C16" s="10"/>
    </row>
    <row r="17" spans="1:3" x14ac:dyDescent="0.25">
      <c r="A17" s="8"/>
      <c r="B17" s="9"/>
      <c r="C17" s="10"/>
    </row>
    <row r="18" spans="1:3" x14ac:dyDescent="0.25">
      <c r="A18" s="8"/>
      <c r="B18" s="9"/>
      <c r="C18" s="10"/>
    </row>
    <row r="19" spans="1:3" x14ac:dyDescent="0.25">
      <c r="A19" s="8"/>
      <c r="B19" s="9"/>
      <c r="C19" s="10"/>
    </row>
    <row r="20" spans="1:3" x14ac:dyDescent="0.25">
      <c r="A20" s="11"/>
      <c r="B20" s="12"/>
      <c r="C20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B9301-FD57-4DAC-9D98-8687380E1280}">
  <dimension ref="A1:E3"/>
  <sheetViews>
    <sheetView workbookViewId="0">
      <selection sqref="A1:E3"/>
    </sheetView>
  </sheetViews>
  <sheetFormatPr baseColWidth="10" defaultRowHeight="15" x14ac:dyDescent="0.25"/>
  <cols>
    <col min="1" max="1" width="8.85546875" bestFit="1" customWidth="1"/>
    <col min="2" max="2" width="16.28515625" bestFit="1" customWidth="1"/>
    <col min="3" max="3" width="35.85546875" bestFit="1" customWidth="1"/>
    <col min="4" max="4" width="13.7109375" bestFit="1" customWidth="1"/>
    <col min="5" max="5" width="7.5703125" bestFit="1" customWidth="1"/>
  </cols>
  <sheetData>
    <row r="1" spans="1:5" x14ac:dyDescent="0.25">
      <c r="A1" t="s">
        <v>3324</v>
      </c>
      <c r="B1" t="s">
        <v>3325</v>
      </c>
      <c r="C1" t="s">
        <v>3326</v>
      </c>
      <c r="D1" t="s">
        <v>3327</v>
      </c>
      <c r="E1" t="s">
        <v>3328</v>
      </c>
    </row>
    <row r="2" spans="1:5" x14ac:dyDescent="0.25">
      <c r="A2" t="s">
        <v>3329</v>
      </c>
      <c r="B2" t="s">
        <v>6634</v>
      </c>
      <c r="C2" t="s">
        <v>6635</v>
      </c>
      <c r="D2" t="s">
        <v>3332</v>
      </c>
      <c r="E2" t="s">
        <v>6636</v>
      </c>
    </row>
    <row r="3" spans="1:5" x14ac:dyDescent="0.25">
      <c r="A3" t="s">
        <v>3329</v>
      </c>
      <c r="B3" t="s">
        <v>6637</v>
      </c>
      <c r="C3" t="s">
        <v>6638</v>
      </c>
      <c r="D3" t="s">
        <v>3332</v>
      </c>
      <c r="E3" t="s">
        <v>6636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17C8-697B-4262-8993-BD83A348B656}">
  <dimension ref="A3:A14"/>
  <sheetViews>
    <sheetView workbookViewId="0">
      <selection activeCell="A3" sqref="A3"/>
    </sheetView>
  </sheetViews>
  <sheetFormatPr baseColWidth="10" defaultRowHeight="15" x14ac:dyDescent="0.25"/>
  <cols>
    <col min="1" max="1" width="21" bestFit="1" customWidth="1"/>
  </cols>
  <sheetData>
    <row r="3" spans="1:1" x14ac:dyDescent="0.25">
      <c r="A3" s="14" t="s">
        <v>13094</v>
      </c>
    </row>
    <row r="4" spans="1:1" x14ac:dyDescent="0.25">
      <c r="A4" s="15" t="s">
        <v>3332</v>
      </c>
    </row>
    <row r="5" spans="1:1" x14ac:dyDescent="0.25">
      <c r="A5" s="16" t="s">
        <v>6657</v>
      </c>
    </row>
    <row r="6" spans="1:1" x14ac:dyDescent="0.25">
      <c r="A6" s="16" t="s">
        <v>6655</v>
      </c>
    </row>
    <row r="7" spans="1:1" x14ac:dyDescent="0.25">
      <c r="A7" s="16" t="s">
        <v>6653</v>
      </c>
    </row>
    <row r="8" spans="1:1" x14ac:dyDescent="0.25">
      <c r="A8" s="16" t="s">
        <v>6651</v>
      </c>
    </row>
    <row r="9" spans="1:1" x14ac:dyDescent="0.25">
      <c r="A9" s="16" t="s">
        <v>6649</v>
      </c>
    </row>
    <row r="10" spans="1:1" x14ac:dyDescent="0.25">
      <c r="A10" s="16" t="s">
        <v>6646</v>
      </c>
    </row>
    <row r="11" spans="1:1" x14ac:dyDescent="0.25">
      <c r="A11" s="16" t="s">
        <v>6644</v>
      </c>
    </row>
    <row r="12" spans="1:1" x14ac:dyDescent="0.25">
      <c r="A12" s="16" t="s">
        <v>6642</v>
      </c>
    </row>
    <row r="13" spans="1:1" x14ac:dyDescent="0.25">
      <c r="A13" s="16" t="s">
        <v>6639</v>
      </c>
    </row>
    <row r="14" spans="1:1" x14ac:dyDescent="0.25">
      <c r="A14" s="15" t="s">
        <v>13096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A4D4C-895D-4214-9D54-79B6F6A0323A}">
  <dimension ref="A1:E10"/>
  <sheetViews>
    <sheetView workbookViewId="0">
      <selection sqref="A1:E10"/>
    </sheetView>
  </sheetViews>
  <sheetFormatPr baseColWidth="10" defaultRowHeight="15" x14ac:dyDescent="0.25"/>
  <cols>
    <col min="1" max="1" width="8.85546875" bestFit="1" customWidth="1"/>
    <col min="2" max="2" width="16.28515625" bestFit="1" customWidth="1"/>
    <col min="3" max="3" width="44.140625" bestFit="1" customWidth="1"/>
    <col min="4" max="4" width="13.7109375" bestFit="1" customWidth="1"/>
    <col min="5" max="5" width="7.5703125" bestFit="1" customWidth="1"/>
  </cols>
  <sheetData>
    <row r="1" spans="1:5" x14ac:dyDescent="0.25">
      <c r="A1" t="s">
        <v>3324</v>
      </c>
      <c r="B1" t="s">
        <v>3325</v>
      </c>
      <c r="C1" t="s">
        <v>3326</v>
      </c>
      <c r="D1" t="s">
        <v>3327</v>
      </c>
      <c r="E1" t="s">
        <v>3328</v>
      </c>
    </row>
    <row r="2" spans="1:5" x14ac:dyDescent="0.25">
      <c r="A2" t="s">
        <v>3329</v>
      </c>
      <c r="B2" t="s">
        <v>6639</v>
      </c>
      <c r="C2" t="s">
        <v>6640</v>
      </c>
      <c r="D2" t="s">
        <v>3332</v>
      </c>
      <c r="E2" t="s">
        <v>6641</v>
      </c>
    </row>
    <row r="3" spans="1:5" x14ac:dyDescent="0.25">
      <c r="A3" t="s">
        <v>3329</v>
      </c>
      <c r="B3" t="s">
        <v>6642</v>
      </c>
      <c r="C3" t="s">
        <v>6643</v>
      </c>
      <c r="D3" t="s">
        <v>3332</v>
      </c>
      <c r="E3" t="s">
        <v>6641</v>
      </c>
    </row>
    <row r="4" spans="1:5" x14ac:dyDescent="0.25">
      <c r="A4" t="s">
        <v>3329</v>
      </c>
      <c r="B4" t="s">
        <v>6644</v>
      </c>
      <c r="C4" t="s">
        <v>6645</v>
      </c>
      <c r="D4" t="s">
        <v>3332</v>
      </c>
      <c r="E4" t="s">
        <v>6641</v>
      </c>
    </row>
    <row r="5" spans="1:5" x14ac:dyDescent="0.25">
      <c r="A5" t="s">
        <v>3329</v>
      </c>
      <c r="B5" t="s">
        <v>6646</v>
      </c>
      <c r="C5" t="s">
        <v>6647</v>
      </c>
      <c r="D5" t="s">
        <v>3332</v>
      </c>
      <c r="E5" t="s">
        <v>6648</v>
      </c>
    </row>
    <row r="6" spans="1:5" x14ac:dyDescent="0.25">
      <c r="A6" t="s">
        <v>3329</v>
      </c>
      <c r="B6" t="s">
        <v>6649</v>
      </c>
      <c r="C6" t="s">
        <v>6650</v>
      </c>
      <c r="D6" t="s">
        <v>3332</v>
      </c>
      <c r="E6" t="s">
        <v>6648</v>
      </c>
    </row>
    <row r="7" spans="1:5" x14ac:dyDescent="0.25">
      <c r="A7" t="s">
        <v>3329</v>
      </c>
      <c r="B7" t="s">
        <v>6651</v>
      </c>
      <c r="C7" t="s">
        <v>6652</v>
      </c>
      <c r="D7" t="s">
        <v>3332</v>
      </c>
      <c r="E7" t="s">
        <v>6641</v>
      </c>
    </row>
    <row r="8" spans="1:5" x14ac:dyDescent="0.25">
      <c r="A8" t="s">
        <v>3329</v>
      </c>
      <c r="B8" t="s">
        <v>6653</v>
      </c>
      <c r="C8" t="s">
        <v>6654</v>
      </c>
      <c r="D8" t="s">
        <v>3332</v>
      </c>
      <c r="E8" t="s">
        <v>6641</v>
      </c>
    </row>
    <row r="9" spans="1:5" x14ac:dyDescent="0.25">
      <c r="A9" t="s">
        <v>3329</v>
      </c>
      <c r="B9" t="s">
        <v>6655</v>
      </c>
      <c r="C9" t="s">
        <v>6656</v>
      </c>
      <c r="D9" t="s">
        <v>3332</v>
      </c>
      <c r="E9" t="s">
        <v>6641</v>
      </c>
    </row>
    <row r="10" spans="1:5" x14ac:dyDescent="0.25">
      <c r="A10" t="s">
        <v>3329</v>
      </c>
      <c r="B10" t="s">
        <v>6657</v>
      </c>
      <c r="C10" t="s">
        <v>6658</v>
      </c>
      <c r="D10" t="s">
        <v>3332</v>
      </c>
      <c r="E10" t="s">
        <v>6648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4CC9F-F279-46FA-863E-E5BEA763EECB}">
  <dimension ref="A3:A112"/>
  <sheetViews>
    <sheetView workbookViewId="0">
      <selection activeCell="A3" sqref="A3"/>
    </sheetView>
  </sheetViews>
  <sheetFormatPr baseColWidth="10" defaultRowHeight="15" x14ac:dyDescent="0.25"/>
  <cols>
    <col min="1" max="1" width="58.5703125" bestFit="1" customWidth="1"/>
  </cols>
  <sheetData>
    <row r="3" spans="1:1" x14ac:dyDescent="0.25">
      <c r="A3" s="14" t="s">
        <v>13094</v>
      </c>
    </row>
    <row r="4" spans="1:1" x14ac:dyDescent="0.25">
      <c r="A4" s="15" t="s">
        <v>6738</v>
      </c>
    </row>
    <row r="5" spans="1:1" x14ac:dyDescent="0.25">
      <c r="A5" s="16" t="s">
        <v>6739</v>
      </c>
    </row>
    <row r="6" spans="1:1" x14ac:dyDescent="0.25">
      <c r="A6" s="17" t="s">
        <v>3332</v>
      </c>
    </row>
    <row r="7" spans="1:1" x14ac:dyDescent="0.25">
      <c r="A7" s="15" t="s">
        <v>6735</v>
      </c>
    </row>
    <row r="8" spans="1:1" x14ac:dyDescent="0.25">
      <c r="A8" s="16" t="s">
        <v>6736</v>
      </c>
    </row>
    <row r="9" spans="1:1" x14ac:dyDescent="0.25">
      <c r="A9" s="17" t="s">
        <v>3332</v>
      </c>
    </row>
    <row r="10" spans="1:1" x14ac:dyDescent="0.25">
      <c r="A10" s="15" t="s">
        <v>6732</v>
      </c>
    </row>
    <row r="11" spans="1:1" x14ac:dyDescent="0.25">
      <c r="A11" s="16" t="s">
        <v>6733</v>
      </c>
    </row>
    <row r="12" spans="1:1" x14ac:dyDescent="0.25">
      <c r="A12" s="17" t="s">
        <v>3332</v>
      </c>
    </row>
    <row r="13" spans="1:1" x14ac:dyDescent="0.25">
      <c r="A13" s="15" t="s">
        <v>6730</v>
      </c>
    </row>
    <row r="14" spans="1:1" x14ac:dyDescent="0.25">
      <c r="A14" s="16" t="s">
        <v>6731</v>
      </c>
    </row>
    <row r="15" spans="1:1" x14ac:dyDescent="0.25">
      <c r="A15" s="17" t="s">
        <v>3332</v>
      </c>
    </row>
    <row r="16" spans="1:1" x14ac:dyDescent="0.25">
      <c r="A16" s="15" t="s">
        <v>6728</v>
      </c>
    </row>
    <row r="17" spans="1:1" x14ac:dyDescent="0.25">
      <c r="A17" s="16" t="s">
        <v>6729</v>
      </c>
    </row>
    <row r="18" spans="1:1" x14ac:dyDescent="0.25">
      <c r="A18" s="17" t="s">
        <v>3332</v>
      </c>
    </row>
    <row r="19" spans="1:1" x14ac:dyDescent="0.25">
      <c r="A19" s="15" t="s">
        <v>6726</v>
      </c>
    </row>
    <row r="20" spans="1:1" x14ac:dyDescent="0.25">
      <c r="A20" s="16" t="s">
        <v>6727</v>
      </c>
    </row>
    <row r="21" spans="1:1" x14ac:dyDescent="0.25">
      <c r="A21" s="17" t="s">
        <v>3332</v>
      </c>
    </row>
    <row r="22" spans="1:1" x14ac:dyDescent="0.25">
      <c r="A22" s="15" t="s">
        <v>6724</v>
      </c>
    </row>
    <row r="23" spans="1:1" x14ac:dyDescent="0.25">
      <c r="A23" s="16" t="s">
        <v>6725</v>
      </c>
    </row>
    <row r="24" spans="1:1" x14ac:dyDescent="0.25">
      <c r="A24" s="17" t="s">
        <v>3332</v>
      </c>
    </row>
    <row r="25" spans="1:1" x14ac:dyDescent="0.25">
      <c r="A25" s="15" t="s">
        <v>6722</v>
      </c>
    </row>
    <row r="26" spans="1:1" x14ac:dyDescent="0.25">
      <c r="A26" s="16" t="s">
        <v>6723</v>
      </c>
    </row>
    <row r="27" spans="1:1" x14ac:dyDescent="0.25">
      <c r="A27" s="17" t="s">
        <v>3332</v>
      </c>
    </row>
    <row r="28" spans="1:1" x14ac:dyDescent="0.25">
      <c r="A28" s="15" t="s">
        <v>6720</v>
      </c>
    </row>
    <row r="29" spans="1:1" x14ac:dyDescent="0.25">
      <c r="A29" s="16" t="s">
        <v>6721</v>
      </c>
    </row>
    <row r="30" spans="1:1" x14ac:dyDescent="0.25">
      <c r="A30" s="17" t="s">
        <v>3332</v>
      </c>
    </row>
    <row r="31" spans="1:1" x14ac:dyDescent="0.25">
      <c r="A31" s="15" t="s">
        <v>6718</v>
      </c>
    </row>
    <row r="32" spans="1:1" x14ac:dyDescent="0.25">
      <c r="A32" s="16" t="s">
        <v>6719</v>
      </c>
    </row>
    <row r="33" spans="1:1" x14ac:dyDescent="0.25">
      <c r="A33" s="17" t="s">
        <v>3332</v>
      </c>
    </row>
    <row r="34" spans="1:1" x14ac:dyDescent="0.25">
      <c r="A34" s="15" t="s">
        <v>6716</v>
      </c>
    </row>
    <row r="35" spans="1:1" x14ac:dyDescent="0.25">
      <c r="A35" s="16" t="s">
        <v>6717</v>
      </c>
    </row>
    <row r="36" spans="1:1" x14ac:dyDescent="0.25">
      <c r="A36" s="17" t="s">
        <v>3332</v>
      </c>
    </row>
    <row r="37" spans="1:1" x14ac:dyDescent="0.25">
      <c r="A37" s="15" t="s">
        <v>6714</v>
      </c>
    </row>
    <row r="38" spans="1:1" x14ac:dyDescent="0.25">
      <c r="A38" s="16" t="s">
        <v>6715</v>
      </c>
    </row>
    <row r="39" spans="1:1" x14ac:dyDescent="0.25">
      <c r="A39" s="17" t="s">
        <v>3332</v>
      </c>
    </row>
    <row r="40" spans="1:1" x14ac:dyDescent="0.25">
      <c r="A40" s="15" t="s">
        <v>6712</v>
      </c>
    </row>
    <row r="41" spans="1:1" x14ac:dyDescent="0.25">
      <c r="A41" s="16" t="s">
        <v>6713</v>
      </c>
    </row>
    <row r="42" spans="1:1" x14ac:dyDescent="0.25">
      <c r="A42" s="17" t="s">
        <v>3332</v>
      </c>
    </row>
    <row r="43" spans="1:1" x14ac:dyDescent="0.25">
      <c r="A43" s="15" t="s">
        <v>6710</v>
      </c>
    </row>
    <row r="44" spans="1:1" x14ac:dyDescent="0.25">
      <c r="A44" s="16" t="s">
        <v>6711</v>
      </c>
    </row>
    <row r="45" spans="1:1" x14ac:dyDescent="0.25">
      <c r="A45" s="17" t="s">
        <v>3332</v>
      </c>
    </row>
    <row r="46" spans="1:1" x14ac:dyDescent="0.25">
      <c r="A46" s="15" t="s">
        <v>6708</v>
      </c>
    </row>
    <row r="47" spans="1:1" x14ac:dyDescent="0.25">
      <c r="A47" s="16" t="s">
        <v>6709</v>
      </c>
    </row>
    <row r="48" spans="1:1" x14ac:dyDescent="0.25">
      <c r="A48" s="17" t="s">
        <v>3332</v>
      </c>
    </row>
    <row r="49" spans="1:1" x14ac:dyDescent="0.25">
      <c r="A49" s="15" t="s">
        <v>6706</v>
      </c>
    </row>
    <row r="50" spans="1:1" x14ac:dyDescent="0.25">
      <c r="A50" s="16" t="s">
        <v>6707</v>
      </c>
    </row>
    <row r="51" spans="1:1" x14ac:dyDescent="0.25">
      <c r="A51" s="17" t="s">
        <v>3332</v>
      </c>
    </row>
    <row r="52" spans="1:1" x14ac:dyDescent="0.25">
      <c r="A52" s="15" t="s">
        <v>6704</v>
      </c>
    </row>
    <row r="53" spans="1:1" x14ac:dyDescent="0.25">
      <c r="A53" s="16" t="s">
        <v>6705</v>
      </c>
    </row>
    <row r="54" spans="1:1" x14ac:dyDescent="0.25">
      <c r="A54" s="17" t="s">
        <v>3332</v>
      </c>
    </row>
    <row r="55" spans="1:1" x14ac:dyDescent="0.25">
      <c r="A55" s="15" t="s">
        <v>6702</v>
      </c>
    </row>
    <row r="56" spans="1:1" x14ac:dyDescent="0.25">
      <c r="A56" s="16" t="s">
        <v>6703</v>
      </c>
    </row>
    <row r="57" spans="1:1" x14ac:dyDescent="0.25">
      <c r="A57" s="17" t="s">
        <v>3332</v>
      </c>
    </row>
    <row r="58" spans="1:1" x14ac:dyDescent="0.25">
      <c r="A58" s="15" t="s">
        <v>6700</v>
      </c>
    </row>
    <row r="59" spans="1:1" x14ac:dyDescent="0.25">
      <c r="A59" s="16" t="s">
        <v>6701</v>
      </c>
    </row>
    <row r="60" spans="1:1" x14ac:dyDescent="0.25">
      <c r="A60" s="17" t="s">
        <v>3332</v>
      </c>
    </row>
    <row r="61" spans="1:1" x14ac:dyDescent="0.25">
      <c r="A61" s="15" t="s">
        <v>6698</v>
      </c>
    </row>
    <row r="62" spans="1:1" x14ac:dyDescent="0.25">
      <c r="A62" s="16" t="s">
        <v>6699</v>
      </c>
    </row>
    <row r="63" spans="1:1" x14ac:dyDescent="0.25">
      <c r="A63" s="17" t="s">
        <v>3332</v>
      </c>
    </row>
    <row r="64" spans="1:1" x14ac:dyDescent="0.25">
      <c r="A64" s="15" t="s">
        <v>6696</v>
      </c>
    </row>
    <row r="65" spans="1:1" x14ac:dyDescent="0.25">
      <c r="A65" s="16" t="s">
        <v>6697</v>
      </c>
    </row>
    <row r="66" spans="1:1" x14ac:dyDescent="0.25">
      <c r="A66" s="17" t="s">
        <v>3332</v>
      </c>
    </row>
    <row r="67" spans="1:1" x14ac:dyDescent="0.25">
      <c r="A67" s="15" t="s">
        <v>6694</v>
      </c>
    </row>
    <row r="68" spans="1:1" x14ac:dyDescent="0.25">
      <c r="A68" s="16" t="s">
        <v>6695</v>
      </c>
    </row>
    <row r="69" spans="1:1" x14ac:dyDescent="0.25">
      <c r="A69" s="17" t="s">
        <v>3332</v>
      </c>
    </row>
    <row r="70" spans="1:1" x14ac:dyDescent="0.25">
      <c r="A70" s="15" t="s">
        <v>6692</v>
      </c>
    </row>
    <row r="71" spans="1:1" x14ac:dyDescent="0.25">
      <c r="A71" s="16" t="s">
        <v>6693</v>
      </c>
    </row>
    <row r="72" spans="1:1" x14ac:dyDescent="0.25">
      <c r="A72" s="17" t="s">
        <v>3332</v>
      </c>
    </row>
    <row r="73" spans="1:1" x14ac:dyDescent="0.25">
      <c r="A73" s="15" t="s">
        <v>6690</v>
      </c>
    </row>
    <row r="74" spans="1:1" x14ac:dyDescent="0.25">
      <c r="A74" s="16" t="s">
        <v>6691</v>
      </c>
    </row>
    <row r="75" spans="1:1" x14ac:dyDescent="0.25">
      <c r="A75" s="17" t="s">
        <v>3332</v>
      </c>
    </row>
    <row r="76" spans="1:1" x14ac:dyDescent="0.25">
      <c r="A76" s="15" t="s">
        <v>6688</v>
      </c>
    </row>
    <row r="77" spans="1:1" x14ac:dyDescent="0.25">
      <c r="A77" s="16" t="s">
        <v>6689</v>
      </c>
    </row>
    <row r="78" spans="1:1" x14ac:dyDescent="0.25">
      <c r="A78" s="17" t="s">
        <v>3332</v>
      </c>
    </row>
    <row r="79" spans="1:1" x14ac:dyDescent="0.25">
      <c r="A79" s="15" t="s">
        <v>6686</v>
      </c>
    </row>
    <row r="80" spans="1:1" x14ac:dyDescent="0.25">
      <c r="A80" s="16" t="s">
        <v>6687</v>
      </c>
    </row>
    <row r="81" spans="1:1" x14ac:dyDescent="0.25">
      <c r="A81" s="17" t="s">
        <v>3332</v>
      </c>
    </row>
    <row r="82" spans="1:1" x14ac:dyDescent="0.25">
      <c r="A82" s="15" t="s">
        <v>6683</v>
      </c>
    </row>
    <row r="83" spans="1:1" x14ac:dyDescent="0.25">
      <c r="A83" s="16" t="s">
        <v>6684</v>
      </c>
    </row>
    <row r="84" spans="1:1" x14ac:dyDescent="0.25">
      <c r="A84" s="17" t="s">
        <v>3332</v>
      </c>
    </row>
    <row r="85" spans="1:1" x14ac:dyDescent="0.25">
      <c r="A85" s="15" t="s">
        <v>6681</v>
      </c>
    </row>
    <row r="86" spans="1:1" x14ac:dyDescent="0.25">
      <c r="A86" s="16" t="s">
        <v>6682</v>
      </c>
    </row>
    <row r="87" spans="1:1" x14ac:dyDescent="0.25">
      <c r="A87" s="17" t="s">
        <v>3332</v>
      </c>
    </row>
    <row r="88" spans="1:1" x14ac:dyDescent="0.25">
      <c r="A88" s="15" t="s">
        <v>6679</v>
      </c>
    </row>
    <row r="89" spans="1:1" x14ac:dyDescent="0.25">
      <c r="A89" s="16" t="s">
        <v>6680</v>
      </c>
    </row>
    <row r="90" spans="1:1" x14ac:dyDescent="0.25">
      <c r="A90" s="17" t="s">
        <v>3332</v>
      </c>
    </row>
    <row r="91" spans="1:1" x14ac:dyDescent="0.25">
      <c r="A91" s="15" t="s">
        <v>6677</v>
      </c>
    </row>
    <row r="92" spans="1:1" x14ac:dyDescent="0.25">
      <c r="A92" s="16" t="s">
        <v>6678</v>
      </c>
    </row>
    <row r="93" spans="1:1" x14ac:dyDescent="0.25">
      <c r="A93" s="17" t="s">
        <v>3332</v>
      </c>
    </row>
    <row r="94" spans="1:1" x14ac:dyDescent="0.25">
      <c r="A94" s="15" t="s">
        <v>6675</v>
      </c>
    </row>
    <row r="95" spans="1:1" x14ac:dyDescent="0.25">
      <c r="A95" s="16" t="s">
        <v>6676</v>
      </c>
    </row>
    <row r="96" spans="1:1" x14ac:dyDescent="0.25">
      <c r="A96" s="17" t="s">
        <v>3332</v>
      </c>
    </row>
    <row r="97" spans="1:1" x14ac:dyDescent="0.25">
      <c r="A97" s="15" t="s">
        <v>6672</v>
      </c>
    </row>
    <row r="98" spans="1:1" x14ac:dyDescent="0.25">
      <c r="A98" s="16" t="s">
        <v>6673</v>
      </c>
    </row>
    <row r="99" spans="1:1" x14ac:dyDescent="0.25">
      <c r="A99" s="17" t="s">
        <v>3332</v>
      </c>
    </row>
    <row r="100" spans="1:1" x14ac:dyDescent="0.25">
      <c r="A100" s="15" t="s">
        <v>6670</v>
      </c>
    </row>
    <row r="101" spans="1:1" x14ac:dyDescent="0.25">
      <c r="A101" s="16" t="s">
        <v>6671</v>
      </c>
    </row>
    <row r="102" spans="1:1" x14ac:dyDescent="0.25">
      <c r="A102" s="17" t="s">
        <v>3332</v>
      </c>
    </row>
    <row r="103" spans="1:1" x14ac:dyDescent="0.25">
      <c r="A103" s="15" t="s">
        <v>6668</v>
      </c>
    </row>
    <row r="104" spans="1:1" x14ac:dyDescent="0.25">
      <c r="A104" s="16" t="s">
        <v>6669</v>
      </c>
    </row>
    <row r="105" spans="1:1" x14ac:dyDescent="0.25">
      <c r="A105" s="17" t="s">
        <v>3332</v>
      </c>
    </row>
    <row r="106" spans="1:1" x14ac:dyDescent="0.25">
      <c r="A106" s="15" t="s">
        <v>6665</v>
      </c>
    </row>
    <row r="107" spans="1:1" x14ac:dyDescent="0.25">
      <c r="A107" s="16" t="s">
        <v>6666</v>
      </c>
    </row>
    <row r="108" spans="1:1" x14ac:dyDescent="0.25">
      <c r="A108" s="17" t="s">
        <v>3332</v>
      </c>
    </row>
    <row r="109" spans="1:1" x14ac:dyDescent="0.25">
      <c r="A109" s="15" t="s">
        <v>6662</v>
      </c>
    </row>
    <row r="110" spans="1:1" x14ac:dyDescent="0.25">
      <c r="A110" s="16" t="s">
        <v>6663</v>
      </c>
    </row>
    <row r="111" spans="1:1" x14ac:dyDescent="0.25">
      <c r="A111" s="17" t="s">
        <v>3332</v>
      </c>
    </row>
    <row r="112" spans="1:1" x14ac:dyDescent="0.25">
      <c r="A112" s="15" t="s">
        <v>13096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A1B2-5E44-4A1B-A727-3F7AEE8F84CA}">
  <dimension ref="A1:E38"/>
  <sheetViews>
    <sheetView topLeftCell="A2" workbookViewId="0">
      <selection sqref="A1:E38"/>
    </sheetView>
  </sheetViews>
  <sheetFormatPr baseColWidth="10" defaultRowHeight="15" x14ac:dyDescent="0.25"/>
  <cols>
    <col min="1" max="1" width="8.85546875" bestFit="1" customWidth="1"/>
    <col min="2" max="2" width="16.28515625" bestFit="1" customWidth="1"/>
    <col min="3" max="3" width="54.7109375" bestFit="1" customWidth="1"/>
    <col min="4" max="4" width="13.7109375" bestFit="1" customWidth="1"/>
    <col min="5" max="5" width="8.7109375" bestFit="1" customWidth="1"/>
  </cols>
  <sheetData>
    <row r="1" spans="1:5" x14ac:dyDescent="0.25">
      <c r="A1" t="s">
        <v>3324</v>
      </c>
      <c r="B1" t="s">
        <v>3325</v>
      </c>
      <c r="C1" t="s">
        <v>3326</v>
      </c>
      <c r="D1" t="s">
        <v>3327</v>
      </c>
      <c r="E1" t="s">
        <v>3328</v>
      </c>
    </row>
    <row r="2" spans="1:5" x14ac:dyDescent="0.25">
      <c r="A2" t="s">
        <v>3329</v>
      </c>
      <c r="B2" t="s">
        <v>6659</v>
      </c>
      <c r="C2" t="s">
        <v>6660</v>
      </c>
      <c r="D2" t="s">
        <v>3332</v>
      </c>
      <c r="E2" t="s">
        <v>6661</v>
      </c>
    </row>
    <row r="3" spans="1:5" x14ac:dyDescent="0.25">
      <c r="A3" t="s">
        <v>3329</v>
      </c>
      <c r="B3" t="s">
        <v>6662</v>
      </c>
      <c r="C3" t="s">
        <v>6663</v>
      </c>
      <c r="D3" t="s">
        <v>3332</v>
      </c>
      <c r="E3" t="s">
        <v>6664</v>
      </c>
    </row>
    <row r="4" spans="1:5" x14ac:dyDescent="0.25">
      <c r="A4" t="s">
        <v>3329</v>
      </c>
      <c r="B4" t="s">
        <v>6665</v>
      </c>
      <c r="C4" t="s">
        <v>6666</v>
      </c>
      <c r="D4" t="s">
        <v>3332</v>
      </c>
      <c r="E4" t="s">
        <v>6667</v>
      </c>
    </row>
    <row r="5" spans="1:5" x14ac:dyDescent="0.25">
      <c r="A5" t="s">
        <v>3329</v>
      </c>
      <c r="B5" t="s">
        <v>6668</v>
      </c>
      <c r="C5" t="s">
        <v>6669</v>
      </c>
      <c r="D5" t="s">
        <v>3332</v>
      </c>
      <c r="E5" t="s">
        <v>6667</v>
      </c>
    </row>
    <row r="6" spans="1:5" x14ac:dyDescent="0.25">
      <c r="A6" t="s">
        <v>3329</v>
      </c>
      <c r="B6" t="s">
        <v>6670</v>
      </c>
      <c r="C6" t="s">
        <v>6671</v>
      </c>
      <c r="D6" t="s">
        <v>3332</v>
      </c>
      <c r="E6" t="s">
        <v>6667</v>
      </c>
    </row>
    <row r="7" spans="1:5" x14ac:dyDescent="0.25">
      <c r="A7" t="s">
        <v>3329</v>
      </c>
      <c r="B7" t="s">
        <v>6672</v>
      </c>
      <c r="C7" t="s">
        <v>6673</v>
      </c>
      <c r="D7" t="s">
        <v>3332</v>
      </c>
      <c r="E7" t="s">
        <v>6674</v>
      </c>
    </row>
    <row r="8" spans="1:5" x14ac:dyDescent="0.25">
      <c r="A8" t="s">
        <v>3329</v>
      </c>
      <c r="B8" t="s">
        <v>6675</v>
      </c>
      <c r="C8" t="s">
        <v>6676</v>
      </c>
      <c r="D8" t="s">
        <v>3332</v>
      </c>
      <c r="E8" t="s">
        <v>6674</v>
      </c>
    </row>
    <row r="9" spans="1:5" x14ac:dyDescent="0.25">
      <c r="A9" t="s">
        <v>3329</v>
      </c>
      <c r="B9" t="s">
        <v>6677</v>
      </c>
      <c r="C9" t="s">
        <v>6678</v>
      </c>
      <c r="D9" t="s">
        <v>3332</v>
      </c>
      <c r="E9" t="s">
        <v>6674</v>
      </c>
    </row>
    <row r="10" spans="1:5" x14ac:dyDescent="0.25">
      <c r="A10" t="s">
        <v>3329</v>
      </c>
      <c r="B10" t="s">
        <v>6679</v>
      </c>
      <c r="C10" t="s">
        <v>6680</v>
      </c>
      <c r="D10" t="s">
        <v>3332</v>
      </c>
      <c r="E10" t="s">
        <v>6674</v>
      </c>
    </row>
    <row r="11" spans="1:5" x14ac:dyDescent="0.25">
      <c r="A11" t="s">
        <v>3329</v>
      </c>
      <c r="B11" t="s">
        <v>6681</v>
      </c>
      <c r="C11" t="s">
        <v>6682</v>
      </c>
      <c r="D11" t="s">
        <v>3332</v>
      </c>
      <c r="E11" t="s">
        <v>6674</v>
      </c>
    </row>
    <row r="12" spans="1:5" x14ac:dyDescent="0.25">
      <c r="A12" t="s">
        <v>3329</v>
      </c>
      <c r="B12" t="s">
        <v>6683</v>
      </c>
      <c r="C12" t="s">
        <v>6684</v>
      </c>
      <c r="D12" t="s">
        <v>3332</v>
      </c>
      <c r="E12" t="s">
        <v>6685</v>
      </c>
    </row>
    <row r="13" spans="1:5" x14ac:dyDescent="0.25">
      <c r="A13" t="s">
        <v>3329</v>
      </c>
      <c r="B13" t="s">
        <v>6686</v>
      </c>
      <c r="C13" t="s">
        <v>6687</v>
      </c>
      <c r="D13" t="s">
        <v>3332</v>
      </c>
      <c r="E13" t="s">
        <v>6685</v>
      </c>
    </row>
    <row r="14" spans="1:5" x14ac:dyDescent="0.25">
      <c r="A14" t="s">
        <v>3329</v>
      </c>
      <c r="B14" t="s">
        <v>6688</v>
      </c>
      <c r="C14" t="s">
        <v>6689</v>
      </c>
      <c r="D14" t="s">
        <v>3332</v>
      </c>
      <c r="E14" t="s">
        <v>6685</v>
      </c>
    </row>
    <row r="15" spans="1:5" x14ac:dyDescent="0.25">
      <c r="A15" t="s">
        <v>3329</v>
      </c>
      <c r="B15" t="s">
        <v>6690</v>
      </c>
      <c r="C15" t="s">
        <v>6691</v>
      </c>
      <c r="D15" t="s">
        <v>3332</v>
      </c>
      <c r="E15" t="s">
        <v>6685</v>
      </c>
    </row>
    <row r="16" spans="1:5" x14ac:dyDescent="0.25">
      <c r="A16" t="s">
        <v>3329</v>
      </c>
      <c r="B16" t="s">
        <v>6692</v>
      </c>
      <c r="C16" t="s">
        <v>6693</v>
      </c>
      <c r="D16" t="s">
        <v>3332</v>
      </c>
      <c r="E16" t="s">
        <v>6685</v>
      </c>
    </row>
    <row r="17" spans="1:5" x14ac:dyDescent="0.25">
      <c r="A17" t="s">
        <v>3329</v>
      </c>
      <c r="B17" t="s">
        <v>6694</v>
      </c>
      <c r="C17" t="s">
        <v>6695</v>
      </c>
      <c r="D17" t="s">
        <v>3332</v>
      </c>
      <c r="E17" t="s">
        <v>6685</v>
      </c>
    </row>
    <row r="18" spans="1:5" x14ac:dyDescent="0.25">
      <c r="A18" t="s">
        <v>3329</v>
      </c>
      <c r="B18" t="s">
        <v>6696</v>
      </c>
      <c r="C18" t="s">
        <v>6697</v>
      </c>
      <c r="D18" t="s">
        <v>3332</v>
      </c>
      <c r="E18" t="s">
        <v>6685</v>
      </c>
    </row>
    <row r="19" spans="1:5" x14ac:dyDescent="0.25">
      <c r="A19" t="s">
        <v>3329</v>
      </c>
      <c r="B19" t="s">
        <v>6698</v>
      </c>
      <c r="C19" t="s">
        <v>6699</v>
      </c>
      <c r="D19" t="s">
        <v>3332</v>
      </c>
      <c r="E19" t="s">
        <v>6685</v>
      </c>
    </row>
    <row r="20" spans="1:5" x14ac:dyDescent="0.25">
      <c r="A20" t="s">
        <v>3329</v>
      </c>
      <c r="B20" t="s">
        <v>6700</v>
      </c>
      <c r="C20" t="s">
        <v>6701</v>
      </c>
      <c r="D20" t="s">
        <v>3332</v>
      </c>
      <c r="E20" t="s">
        <v>6685</v>
      </c>
    </row>
    <row r="21" spans="1:5" x14ac:dyDescent="0.25">
      <c r="A21" t="s">
        <v>3329</v>
      </c>
      <c r="B21" t="s">
        <v>6702</v>
      </c>
      <c r="C21" t="s">
        <v>6703</v>
      </c>
      <c r="D21" t="s">
        <v>3332</v>
      </c>
      <c r="E21" t="s">
        <v>6685</v>
      </c>
    </row>
    <row r="22" spans="1:5" x14ac:dyDescent="0.25">
      <c r="A22" t="s">
        <v>3329</v>
      </c>
      <c r="B22" t="s">
        <v>6704</v>
      </c>
      <c r="C22" t="s">
        <v>6705</v>
      </c>
      <c r="D22" t="s">
        <v>3332</v>
      </c>
      <c r="E22" t="s">
        <v>6685</v>
      </c>
    </row>
    <row r="23" spans="1:5" x14ac:dyDescent="0.25">
      <c r="A23" t="s">
        <v>3329</v>
      </c>
      <c r="B23" t="s">
        <v>6706</v>
      </c>
      <c r="C23" t="s">
        <v>6707</v>
      </c>
      <c r="D23" t="s">
        <v>3332</v>
      </c>
      <c r="E23" t="s">
        <v>6685</v>
      </c>
    </row>
    <row r="24" spans="1:5" x14ac:dyDescent="0.25">
      <c r="A24" t="s">
        <v>3329</v>
      </c>
      <c r="B24" t="s">
        <v>6708</v>
      </c>
      <c r="C24" t="s">
        <v>6709</v>
      </c>
      <c r="D24" t="s">
        <v>3332</v>
      </c>
      <c r="E24" t="s">
        <v>6685</v>
      </c>
    </row>
    <row r="25" spans="1:5" x14ac:dyDescent="0.25">
      <c r="A25" t="s">
        <v>3329</v>
      </c>
      <c r="B25" t="s">
        <v>6710</v>
      </c>
      <c r="C25" t="s">
        <v>6711</v>
      </c>
      <c r="D25" t="s">
        <v>3332</v>
      </c>
      <c r="E25" t="s">
        <v>6685</v>
      </c>
    </row>
    <row r="26" spans="1:5" x14ac:dyDescent="0.25">
      <c r="A26" t="s">
        <v>3329</v>
      </c>
      <c r="B26" t="s">
        <v>6712</v>
      </c>
      <c r="C26" t="s">
        <v>6713</v>
      </c>
      <c r="D26" t="s">
        <v>3332</v>
      </c>
      <c r="E26" t="s">
        <v>6685</v>
      </c>
    </row>
    <row r="27" spans="1:5" x14ac:dyDescent="0.25">
      <c r="A27" t="s">
        <v>3329</v>
      </c>
      <c r="B27" t="s">
        <v>6714</v>
      </c>
      <c r="C27" t="s">
        <v>6715</v>
      </c>
      <c r="D27" t="s">
        <v>3332</v>
      </c>
      <c r="E27" t="s">
        <v>6685</v>
      </c>
    </row>
    <row r="28" spans="1:5" x14ac:dyDescent="0.25">
      <c r="A28" t="s">
        <v>3329</v>
      </c>
      <c r="B28" t="s">
        <v>6716</v>
      </c>
      <c r="C28" t="s">
        <v>6717</v>
      </c>
      <c r="D28" t="s">
        <v>3332</v>
      </c>
      <c r="E28" t="s">
        <v>6685</v>
      </c>
    </row>
    <row r="29" spans="1:5" x14ac:dyDescent="0.25">
      <c r="A29" t="s">
        <v>3329</v>
      </c>
      <c r="B29" t="s">
        <v>6718</v>
      </c>
      <c r="C29" t="s">
        <v>6719</v>
      </c>
      <c r="D29" t="s">
        <v>3332</v>
      </c>
      <c r="E29" t="s">
        <v>6685</v>
      </c>
    </row>
    <row r="30" spans="1:5" x14ac:dyDescent="0.25">
      <c r="A30" t="s">
        <v>3329</v>
      </c>
      <c r="B30" t="s">
        <v>6720</v>
      </c>
      <c r="C30" t="s">
        <v>6721</v>
      </c>
      <c r="D30" t="s">
        <v>3332</v>
      </c>
      <c r="E30" t="s">
        <v>6685</v>
      </c>
    </row>
    <row r="31" spans="1:5" x14ac:dyDescent="0.25">
      <c r="A31" t="s">
        <v>3329</v>
      </c>
      <c r="B31" t="s">
        <v>6722</v>
      </c>
      <c r="C31" t="s">
        <v>6723</v>
      </c>
      <c r="D31" t="s">
        <v>3332</v>
      </c>
      <c r="E31" t="s">
        <v>6685</v>
      </c>
    </row>
    <row r="32" spans="1:5" x14ac:dyDescent="0.25">
      <c r="A32" t="s">
        <v>3329</v>
      </c>
      <c r="B32" t="s">
        <v>6724</v>
      </c>
      <c r="C32" t="s">
        <v>6725</v>
      </c>
      <c r="D32" t="s">
        <v>3332</v>
      </c>
      <c r="E32" t="s">
        <v>6685</v>
      </c>
    </row>
    <row r="33" spans="1:5" x14ac:dyDescent="0.25">
      <c r="A33" t="s">
        <v>3329</v>
      </c>
      <c r="B33" t="s">
        <v>6726</v>
      </c>
      <c r="C33" t="s">
        <v>6727</v>
      </c>
      <c r="D33" t="s">
        <v>3332</v>
      </c>
      <c r="E33" t="s">
        <v>6685</v>
      </c>
    </row>
    <row r="34" spans="1:5" x14ac:dyDescent="0.25">
      <c r="A34" t="s">
        <v>3329</v>
      </c>
      <c r="B34" t="s">
        <v>6728</v>
      </c>
      <c r="C34" t="s">
        <v>6729</v>
      </c>
      <c r="D34" t="s">
        <v>3332</v>
      </c>
      <c r="E34" t="s">
        <v>6685</v>
      </c>
    </row>
    <row r="35" spans="1:5" x14ac:dyDescent="0.25">
      <c r="A35" t="s">
        <v>3329</v>
      </c>
      <c r="B35" t="s">
        <v>6730</v>
      </c>
      <c r="C35" t="s">
        <v>6731</v>
      </c>
      <c r="D35" t="s">
        <v>3332</v>
      </c>
      <c r="E35" t="s">
        <v>6685</v>
      </c>
    </row>
    <row r="36" spans="1:5" x14ac:dyDescent="0.25">
      <c r="A36" t="s">
        <v>3329</v>
      </c>
      <c r="B36" t="s">
        <v>6732</v>
      </c>
      <c r="C36" t="s">
        <v>6733</v>
      </c>
      <c r="D36" t="s">
        <v>3332</v>
      </c>
      <c r="E36" t="s">
        <v>6734</v>
      </c>
    </row>
    <row r="37" spans="1:5" x14ac:dyDescent="0.25">
      <c r="A37" t="s">
        <v>3329</v>
      </c>
      <c r="B37" t="s">
        <v>6735</v>
      </c>
      <c r="C37" t="s">
        <v>6736</v>
      </c>
      <c r="D37" t="s">
        <v>3332</v>
      </c>
      <c r="E37" t="s">
        <v>6737</v>
      </c>
    </row>
    <row r="38" spans="1:5" x14ac:dyDescent="0.25">
      <c r="A38" t="s">
        <v>3329</v>
      </c>
      <c r="B38" t="s">
        <v>6738</v>
      </c>
      <c r="C38" t="s">
        <v>6739</v>
      </c>
      <c r="D38" t="s">
        <v>3332</v>
      </c>
      <c r="E38" t="s">
        <v>6737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242D5-FA05-4A23-A77A-685EE65045BC}">
  <dimension ref="A3:C20"/>
  <sheetViews>
    <sheetView workbookViewId="0">
      <selection activeCell="A3" sqref="A3"/>
    </sheetView>
  </sheetViews>
  <sheetFormatPr baseColWidth="10" defaultRowHeight="15" x14ac:dyDescent="0.25"/>
  <cols>
    <col min="1" max="1" width="72.140625" bestFit="1" customWidth="1"/>
  </cols>
  <sheetData>
    <row r="3" spans="1:3" x14ac:dyDescent="0.25">
      <c r="A3" s="5"/>
      <c r="B3" s="6"/>
      <c r="C3" s="7"/>
    </row>
    <row r="4" spans="1:3" x14ac:dyDescent="0.25">
      <c r="A4" s="8"/>
      <c r="B4" s="9"/>
      <c r="C4" s="10"/>
    </row>
    <row r="5" spans="1:3" x14ac:dyDescent="0.25">
      <c r="A5" s="8"/>
      <c r="B5" s="9"/>
      <c r="C5" s="10"/>
    </row>
    <row r="6" spans="1:3" x14ac:dyDescent="0.25">
      <c r="A6" s="8"/>
      <c r="B6" s="9"/>
      <c r="C6" s="10"/>
    </row>
    <row r="7" spans="1:3" x14ac:dyDescent="0.25">
      <c r="A7" s="8"/>
      <c r="B7" s="9"/>
      <c r="C7" s="10"/>
    </row>
    <row r="8" spans="1:3" x14ac:dyDescent="0.25">
      <c r="A8" s="8"/>
      <c r="B8" s="9"/>
      <c r="C8" s="10"/>
    </row>
    <row r="9" spans="1:3" x14ac:dyDescent="0.25">
      <c r="A9" s="8"/>
      <c r="B9" s="9"/>
      <c r="C9" s="10"/>
    </row>
    <row r="10" spans="1:3" x14ac:dyDescent="0.25">
      <c r="A10" s="8"/>
      <c r="B10" s="9"/>
      <c r="C10" s="10"/>
    </row>
    <row r="11" spans="1:3" x14ac:dyDescent="0.25">
      <c r="A11" s="8"/>
      <c r="B11" s="9"/>
      <c r="C11" s="10"/>
    </row>
    <row r="12" spans="1:3" x14ac:dyDescent="0.25">
      <c r="A12" s="8"/>
      <c r="B12" s="9"/>
      <c r="C12" s="10"/>
    </row>
    <row r="13" spans="1:3" x14ac:dyDescent="0.25">
      <c r="A13" s="8"/>
      <c r="B13" s="9"/>
      <c r="C13" s="10"/>
    </row>
    <row r="14" spans="1:3" x14ac:dyDescent="0.25">
      <c r="A14" s="8"/>
      <c r="B14" s="9"/>
      <c r="C14" s="10"/>
    </row>
    <row r="15" spans="1:3" x14ac:dyDescent="0.25">
      <c r="A15" s="8"/>
      <c r="B15" s="9"/>
      <c r="C15" s="10"/>
    </row>
    <row r="16" spans="1:3" x14ac:dyDescent="0.25">
      <c r="A16" s="8"/>
      <c r="B16" s="9"/>
      <c r="C16" s="10"/>
    </row>
    <row r="17" spans="1:3" x14ac:dyDescent="0.25">
      <c r="A17" s="8"/>
      <c r="B17" s="9"/>
      <c r="C17" s="10"/>
    </row>
    <row r="18" spans="1:3" x14ac:dyDescent="0.25">
      <c r="A18" s="8"/>
      <c r="B18" s="9"/>
      <c r="C18" s="10"/>
    </row>
    <row r="19" spans="1:3" x14ac:dyDescent="0.25">
      <c r="A19" s="8"/>
      <c r="B19" s="9"/>
      <c r="C19" s="10"/>
    </row>
    <row r="20" spans="1:3" x14ac:dyDescent="0.25">
      <c r="A20" s="11"/>
      <c r="B20" s="12"/>
      <c r="C20" s="1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7A261-EB09-4F05-88B6-A345BED79557}">
  <dimension ref="A3:C20"/>
  <sheetViews>
    <sheetView workbookViewId="0">
      <selection activeCell="A3" sqref="A3"/>
    </sheetView>
  </sheetViews>
  <sheetFormatPr baseColWidth="10" defaultRowHeight="15" x14ac:dyDescent="0.25"/>
  <cols>
    <col min="1" max="1" width="72.140625" bestFit="1" customWidth="1"/>
  </cols>
  <sheetData>
    <row r="3" spans="1:3" x14ac:dyDescent="0.25">
      <c r="A3" s="5"/>
      <c r="B3" s="6"/>
      <c r="C3" s="7"/>
    </row>
    <row r="4" spans="1:3" x14ac:dyDescent="0.25">
      <c r="A4" s="8"/>
      <c r="B4" s="9"/>
      <c r="C4" s="10"/>
    </row>
    <row r="5" spans="1:3" x14ac:dyDescent="0.25">
      <c r="A5" s="8"/>
      <c r="B5" s="9"/>
      <c r="C5" s="10"/>
    </row>
    <row r="6" spans="1:3" x14ac:dyDescent="0.25">
      <c r="A6" s="8"/>
      <c r="B6" s="9"/>
      <c r="C6" s="10"/>
    </row>
    <row r="7" spans="1:3" x14ac:dyDescent="0.25">
      <c r="A7" s="8"/>
      <c r="B7" s="9"/>
      <c r="C7" s="10"/>
    </row>
    <row r="8" spans="1:3" x14ac:dyDescent="0.25">
      <c r="A8" s="8"/>
      <c r="B8" s="9"/>
      <c r="C8" s="10"/>
    </row>
    <row r="9" spans="1:3" x14ac:dyDescent="0.25">
      <c r="A9" s="8"/>
      <c r="B9" s="9"/>
      <c r="C9" s="10"/>
    </row>
    <row r="10" spans="1:3" x14ac:dyDescent="0.25">
      <c r="A10" s="8"/>
      <c r="B10" s="9"/>
      <c r="C10" s="10"/>
    </row>
    <row r="11" spans="1:3" x14ac:dyDescent="0.25">
      <c r="A11" s="8"/>
      <c r="B11" s="9"/>
      <c r="C11" s="10"/>
    </row>
    <row r="12" spans="1:3" x14ac:dyDescent="0.25">
      <c r="A12" s="8"/>
      <c r="B12" s="9"/>
      <c r="C12" s="10"/>
    </row>
    <row r="13" spans="1:3" x14ac:dyDescent="0.25">
      <c r="A13" s="8"/>
      <c r="B13" s="9"/>
      <c r="C13" s="10"/>
    </row>
    <row r="14" spans="1:3" x14ac:dyDescent="0.25">
      <c r="A14" s="8"/>
      <c r="B14" s="9"/>
      <c r="C14" s="10"/>
    </row>
    <row r="15" spans="1:3" x14ac:dyDescent="0.25">
      <c r="A15" s="8"/>
      <c r="B15" s="9"/>
      <c r="C15" s="10"/>
    </row>
    <row r="16" spans="1:3" x14ac:dyDescent="0.25">
      <c r="A16" s="8"/>
      <c r="B16" s="9"/>
      <c r="C16" s="10"/>
    </row>
    <row r="17" spans="1:3" x14ac:dyDescent="0.25">
      <c r="A17" s="8"/>
      <c r="B17" s="9"/>
      <c r="C17" s="10"/>
    </row>
    <row r="18" spans="1:3" x14ac:dyDescent="0.25">
      <c r="A18" s="8"/>
      <c r="B18" s="9"/>
      <c r="C18" s="10"/>
    </row>
    <row r="19" spans="1:3" x14ac:dyDescent="0.25">
      <c r="A19" s="8"/>
      <c r="B19" s="9"/>
      <c r="C19" s="10"/>
    </row>
    <row r="20" spans="1:3" x14ac:dyDescent="0.25">
      <c r="A20" s="11"/>
      <c r="B20" s="12"/>
      <c r="C20" s="1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FBD45-4B93-45B5-8804-A59812377B51}">
  <dimension ref="A1:E457"/>
  <sheetViews>
    <sheetView topLeftCell="A2" workbookViewId="0">
      <selection sqref="A1:E457"/>
    </sheetView>
  </sheetViews>
  <sheetFormatPr baseColWidth="10" defaultRowHeight="15" x14ac:dyDescent="0.25"/>
  <cols>
    <col min="1" max="1" width="8.85546875" bestFit="1" customWidth="1"/>
    <col min="2" max="2" width="19.42578125" bestFit="1" customWidth="1"/>
    <col min="3" max="3" width="72.140625" bestFit="1" customWidth="1"/>
    <col min="4" max="4" width="13.7109375" bestFit="1" customWidth="1"/>
    <col min="5" max="5" width="7.7109375" bestFit="1" customWidth="1"/>
  </cols>
  <sheetData>
    <row r="1" spans="1:5" x14ac:dyDescent="0.25">
      <c r="A1" t="s">
        <v>3324</v>
      </c>
      <c r="B1" t="s">
        <v>3325</v>
      </c>
      <c r="C1" t="s">
        <v>3326</v>
      </c>
      <c r="D1" t="s">
        <v>3327</v>
      </c>
      <c r="E1" t="s">
        <v>3328</v>
      </c>
    </row>
    <row r="2" spans="1:5" x14ac:dyDescent="0.25">
      <c r="A2" t="s">
        <v>3329</v>
      </c>
      <c r="B2" t="s">
        <v>6740</v>
      </c>
      <c r="C2" t="s">
        <v>6741</v>
      </c>
      <c r="D2" t="s">
        <v>3332</v>
      </c>
      <c r="E2" t="s">
        <v>6742</v>
      </c>
    </row>
    <row r="3" spans="1:5" x14ac:dyDescent="0.25">
      <c r="A3" t="s">
        <v>3329</v>
      </c>
      <c r="B3" t="s">
        <v>6743</v>
      </c>
      <c r="C3" t="s">
        <v>6744</v>
      </c>
      <c r="D3" t="s">
        <v>6745</v>
      </c>
      <c r="E3" t="s">
        <v>6746</v>
      </c>
    </row>
    <row r="4" spans="1:5" x14ac:dyDescent="0.25">
      <c r="A4" t="s">
        <v>3329</v>
      </c>
      <c r="B4" t="s">
        <v>6747</v>
      </c>
      <c r="C4" t="s">
        <v>6748</v>
      </c>
      <c r="D4" t="s">
        <v>6745</v>
      </c>
      <c r="E4" t="s">
        <v>6746</v>
      </c>
    </row>
    <row r="5" spans="1:5" x14ac:dyDescent="0.25">
      <c r="A5" t="s">
        <v>3329</v>
      </c>
      <c r="B5" t="s">
        <v>6749</v>
      </c>
      <c r="C5" t="s">
        <v>6750</v>
      </c>
      <c r="D5" t="s">
        <v>6745</v>
      </c>
      <c r="E5" t="s">
        <v>6746</v>
      </c>
    </row>
    <row r="6" spans="1:5" x14ac:dyDescent="0.25">
      <c r="A6" t="s">
        <v>3329</v>
      </c>
      <c r="B6" t="s">
        <v>6751</v>
      </c>
      <c r="C6" t="s">
        <v>6752</v>
      </c>
      <c r="D6" t="s">
        <v>6745</v>
      </c>
      <c r="E6" t="s">
        <v>6746</v>
      </c>
    </row>
    <row r="7" spans="1:5" x14ac:dyDescent="0.25">
      <c r="A7" t="s">
        <v>3329</v>
      </c>
      <c r="B7" t="s">
        <v>6753</v>
      </c>
      <c r="C7" t="s">
        <v>6754</v>
      </c>
      <c r="D7" t="s">
        <v>6745</v>
      </c>
      <c r="E7" t="s">
        <v>6746</v>
      </c>
    </row>
    <row r="8" spans="1:5" x14ac:dyDescent="0.25">
      <c r="A8" t="s">
        <v>3329</v>
      </c>
      <c r="B8" t="s">
        <v>6755</v>
      </c>
      <c r="C8" t="s">
        <v>6756</v>
      </c>
      <c r="D8" t="s">
        <v>6745</v>
      </c>
      <c r="E8" t="s">
        <v>6746</v>
      </c>
    </row>
    <row r="9" spans="1:5" x14ac:dyDescent="0.25">
      <c r="A9" t="s">
        <v>3329</v>
      </c>
      <c r="B9" t="s">
        <v>6757</v>
      </c>
      <c r="C9" t="s">
        <v>6758</v>
      </c>
      <c r="D9" t="s">
        <v>6745</v>
      </c>
      <c r="E9" t="s">
        <v>6746</v>
      </c>
    </row>
    <row r="10" spans="1:5" x14ac:dyDescent="0.25">
      <c r="A10" t="s">
        <v>3329</v>
      </c>
      <c r="B10" t="s">
        <v>6759</v>
      </c>
      <c r="C10" t="s">
        <v>6760</v>
      </c>
      <c r="D10" t="s">
        <v>6745</v>
      </c>
      <c r="E10" t="s">
        <v>6761</v>
      </c>
    </row>
    <row r="11" spans="1:5" x14ac:dyDescent="0.25">
      <c r="A11" t="s">
        <v>3329</v>
      </c>
      <c r="B11" t="s">
        <v>6762</v>
      </c>
      <c r="C11" t="s">
        <v>6763</v>
      </c>
      <c r="D11" t="s">
        <v>6745</v>
      </c>
      <c r="E11" t="s">
        <v>6761</v>
      </c>
    </row>
    <row r="12" spans="1:5" x14ac:dyDescent="0.25">
      <c r="A12" t="s">
        <v>3329</v>
      </c>
      <c r="B12" t="s">
        <v>6764</v>
      </c>
      <c r="C12" t="s">
        <v>6765</v>
      </c>
      <c r="D12" t="s">
        <v>6745</v>
      </c>
      <c r="E12" t="s">
        <v>6761</v>
      </c>
    </row>
    <row r="13" spans="1:5" x14ac:dyDescent="0.25">
      <c r="A13" t="s">
        <v>3329</v>
      </c>
      <c r="B13" t="s">
        <v>6766</v>
      </c>
      <c r="C13" t="s">
        <v>6767</v>
      </c>
      <c r="D13" t="s">
        <v>6745</v>
      </c>
      <c r="E13" t="s">
        <v>6761</v>
      </c>
    </row>
    <row r="14" spans="1:5" x14ac:dyDescent="0.25">
      <c r="A14" t="s">
        <v>3329</v>
      </c>
      <c r="B14" t="s">
        <v>6768</v>
      </c>
      <c r="C14" t="s">
        <v>6769</v>
      </c>
      <c r="D14" t="s">
        <v>6745</v>
      </c>
      <c r="E14" t="s">
        <v>6761</v>
      </c>
    </row>
    <row r="15" spans="1:5" x14ac:dyDescent="0.25">
      <c r="A15" t="s">
        <v>3329</v>
      </c>
      <c r="B15" t="s">
        <v>6770</v>
      </c>
      <c r="C15" t="s">
        <v>6771</v>
      </c>
      <c r="D15" t="s">
        <v>3332</v>
      </c>
      <c r="E15" t="s">
        <v>6772</v>
      </c>
    </row>
    <row r="16" spans="1:5" x14ac:dyDescent="0.25">
      <c r="A16" t="s">
        <v>3329</v>
      </c>
      <c r="B16" t="s">
        <v>6773</v>
      </c>
      <c r="C16" t="s">
        <v>6774</v>
      </c>
      <c r="D16" t="s">
        <v>3332</v>
      </c>
      <c r="E16" t="s">
        <v>6772</v>
      </c>
    </row>
    <row r="17" spans="1:5" x14ac:dyDescent="0.25">
      <c r="A17" t="s">
        <v>3329</v>
      </c>
      <c r="B17" t="s">
        <v>6775</v>
      </c>
      <c r="C17" t="s">
        <v>6776</v>
      </c>
      <c r="D17" t="s">
        <v>6745</v>
      </c>
      <c r="E17" t="s">
        <v>6777</v>
      </c>
    </row>
    <row r="18" spans="1:5" x14ac:dyDescent="0.25">
      <c r="A18" t="s">
        <v>3329</v>
      </c>
      <c r="B18" t="s">
        <v>6778</v>
      </c>
      <c r="C18" t="s">
        <v>6779</v>
      </c>
      <c r="D18" t="s">
        <v>6745</v>
      </c>
      <c r="E18" t="s">
        <v>6777</v>
      </c>
    </row>
    <row r="19" spans="1:5" x14ac:dyDescent="0.25">
      <c r="A19" t="s">
        <v>3329</v>
      </c>
      <c r="B19" t="s">
        <v>6780</v>
      </c>
      <c r="C19" t="s">
        <v>6781</v>
      </c>
      <c r="D19" t="s">
        <v>6745</v>
      </c>
      <c r="E19" t="s">
        <v>6777</v>
      </c>
    </row>
    <row r="20" spans="1:5" x14ac:dyDescent="0.25">
      <c r="A20" t="s">
        <v>3329</v>
      </c>
      <c r="B20" t="s">
        <v>6782</v>
      </c>
      <c r="C20" t="s">
        <v>6783</v>
      </c>
      <c r="D20" t="s">
        <v>6745</v>
      </c>
      <c r="E20" t="s">
        <v>6777</v>
      </c>
    </row>
    <row r="21" spans="1:5" x14ac:dyDescent="0.25">
      <c r="A21" t="s">
        <v>3329</v>
      </c>
      <c r="B21" t="s">
        <v>6784</v>
      </c>
      <c r="C21" t="s">
        <v>6785</v>
      </c>
      <c r="D21" t="s">
        <v>3332</v>
      </c>
      <c r="E21" t="s">
        <v>6786</v>
      </c>
    </row>
    <row r="22" spans="1:5" x14ac:dyDescent="0.25">
      <c r="A22" t="s">
        <v>3329</v>
      </c>
      <c r="B22" t="s">
        <v>6787</v>
      </c>
      <c r="C22" t="s">
        <v>6788</v>
      </c>
      <c r="D22" t="s">
        <v>3332</v>
      </c>
      <c r="E22" t="s">
        <v>6786</v>
      </c>
    </row>
    <row r="23" spans="1:5" x14ac:dyDescent="0.25">
      <c r="A23" t="s">
        <v>3329</v>
      </c>
      <c r="B23" t="s">
        <v>6789</v>
      </c>
      <c r="C23" t="s">
        <v>6790</v>
      </c>
      <c r="D23" t="s">
        <v>3332</v>
      </c>
      <c r="E23" t="s">
        <v>6786</v>
      </c>
    </row>
    <row r="24" spans="1:5" x14ac:dyDescent="0.25">
      <c r="A24" t="s">
        <v>3329</v>
      </c>
      <c r="B24" t="s">
        <v>6791</v>
      </c>
      <c r="C24" t="s">
        <v>6792</v>
      </c>
      <c r="D24" t="s">
        <v>3332</v>
      </c>
      <c r="E24" t="s">
        <v>6786</v>
      </c>
    </row>
    <row r="25" spans="1:5" x14ac:dyDescent="0.25">
      <c r="A25" t="s">
        <v>3329</v>
      </c>
      <c r="B25" t="s">
        <v>6793</v>
      </c>
      <c r="C25" t="s">
        <v>6794</v>
      </c>
      <c r="D25" t="s">
        <v>3332</v>
      </c>
      <c r="E25" t="s">
        <v>6786</v>
      </c>
    </row>
    <row r="26" spans="1:5" x14ac:dyDescent="0.25">
      <c r="A26" t="s">
        <v>3329</v>
      </c>
      <c r="B26" t="s">
        <v>6795</v>
      </c>
      <c r="C26" t="s">
        <v>6796</v>
      </c>
      <c r="D26" t="s">
        <v>3332</v>
      </c>
      <c r="E26" t="s">
        <v>6786</v>
      </c>
    </row>
    <row r="27" spans="1:5" x14ac:dyDescent="0.25">
      <c r="A27" t="s">
        <v>3329</v>
      </c>
      <c r="B27" t="s">
        <v>6797</v>
      </c>
      <c r="C27" t="s">
        <v>6798</v>
      </c>
      <c r="D27" t="s">
        <v>3332</v>
      </c>
      <c r="E27" t="s">
        <v>6786</v>
      </c>
    </row>
    <row r="28" spans="1:5" x14ac:dyDescent="0.25">
      <c r="A28" t="s">
        <v>3329</v>
      </c>
      <c r="B28" t="s">
        <v>6799</v>
      </c>
      <c r="C28" t="s">
        <v>6800</v>
      </c>
      <c r="D28" t="s">
        <v>3332</v>
      </c>
      <c r="E28" t="s">
        <v>6786</v>
      </c>
    </row>
    <row r="29" spans="1:5" x14ac:dyDescent="0.25">
      <c r="A29" t="s">
        <v>3329</v>
      </c>
      <c r="B29" t="s">
        <v>6801</v>
      </c>
      <c r="C29" t="s">
        <v>6802</v>
      </c>
      <c r="D29" t="s">
        <v>3332</v>
      </c>
      <c r="E29" t="s">
        <v>6786</v>
      </c>
    </row>
    <row r="30" spans="1:5" x14ac:dyDescent="0.25">
      <c r="A30" t="s">
        <v>3329</v>
      </c>
      <c r="B30" t="s">
        <v>6803</v>
      </c>
      <c r="C30" t="s">
        <v>6804</v>
      </c>
      <c r="D30" t="s">
        <v>3332</v>
      </c>
      <c r="E30" t="s">
        <v>6772</v>
      </c>
    </row>
    <row r="31" spans="1:5" x14ac:dyDescent="0.25">
      <c r="A31" t="s">
        <v>3329</v>
      </c>
      <c r="B31" t="s">
        <v>6805</v>
      </c>
      <c r="C31" t="s">
        <v>6806</v>
      </c>
      <c r="D31" t="s">
        <v>3332</v>
      </c>
      <c r="E31" t="s">
        <v>6772</v>
      </c>
    </row>
    <row r="32" spans="1:5" x14ac:dyDescent="0.25">
      <c r="A32" t="s">
        <v>3329</v>
      </c>
      <c r="B32" t="s">
        <v>6807</v>
      </c>
      <c r="C32" t="s">
        <v>6808</v>
      </c>
      <c r="D32" t="s">
        <v>6745</v>
      </c>
      <c r="E32" t="s">
        <v>6809</v>
      </c>
    </row>
    <row r="33" spans="1:5" x14ac:dyDescent="0.25">
      <c r="A33" t="s">
        <v>3329</v>
      </c>
      <c r="B33" t="s">
        <v>6810</v>
      </c>
      <c r="C33" t="s">
        <v>6811</v>
      </c>
      <c r="D33" t="s">
        <v>3332</v>
      </c>
      <c r="E33" t="s">
        <v>6772</v>
      </c>
    </row>
    <row r="34" spans="1:5" x14ac:dyDescent="0.25">
      <c r="A34" t="s">
        <v>3329</v>
      </c>
      <c r="B34" t="s">
        <v>6812</v>
      </c>
      <c r="C34" t="s">
        <v>6813</v>
      </c>
      <c r="D34" t="s">
        <v>6745</v>
      </c>
      <c r="E34" t="s">
        <v>6814</v>
      </c>
    </row>
    <row r="35" spans="1:5" x14ac:dyDescent="0.25">
      <c r="A35" t="s">
        <v>3329</v>
      </c>
      <c r="B35" t="s">
        <v>6815</v>
      </c>
      <c r="C35" t="s">
        <v>6816</v>
      </c>
      <c r="D35" t="s">
        <v>6745</v>
      </c>
      <c r="E35" t="s">
        <v>6814</v>
      </c>
    </row>
    <row r="36" spans="1:5" x14ac:dyDescent="0.25">
      <c r="A36" t="s">
        <v>3329</v>
      </c>
      <c r="B36" t="s">
        <v>6817</v>
      </c>
      <c r="C36" t="s">
        <v>6818</v>
      </c>
      <c r="D36" t="s">
        <v>6745</v>
      </c>
      <c r="E36" t="s">
        <v>6814</v>
      </c>
    </row>
    <row r="37" spans="1:5" x14ac:dyDescent="0.25">
      <c r="A37" t="s">
        <v>3329</v>
      </c>
      <c r="B37" t="s">
        <v>6819</v>
      </c>
      <c r="C37" t="s">
        <v>6820</v>
      </c>
      <c r="D37" t="s">
        <v>6745</v>
      </c>
      <c r="E37" t="s">
        <v>6814</v>
      </c>
    </row>
    <row r="38" spans="1:5" x14ac:dyDescent="0.25">
      <c r="A38" t="s">
        <v>3329</v>
      </c>
      <c r="B38" t="s">
        <v>6821</v>
      </c>
      <c r="C38" t="s">
        <v>6822</v>
      </c>
      <c r="D38" t="s">
        <v>6745</v>
      </c>
      <c r="E38" t="s">
        <v>6814</v>
      </c>
    </row>
    <row r="39" spans="1:5" x14ac:dyDescent="0.25">
      <c r="A39" t="s">
        <v>3329</v>
      </c>
      <c r="B39" t="s">
        <v>6823</v>
      </c>
      <c r="C39" t="s">
        <v>6824</v>
      </c>
      <c r="D39" t="s">
        <v>6745</v>
      </c>
      <c r="E39" t="s">
        <v>6814</v>
      </c>
    </row>
    <row r="40" spans="1:5" x14ac:dyDescent="0.25">
      <c r="A40" t="s">
        <v>3329</v>
      </c>
      <c r="B40" t="s">
        <v>6825</v>
      </c>
      <c r="C40" t="s">
        <v>6826</v>
      </c>
      <c r="D40" t="s">
        <v>6745</v>
      </c>
      <c r="E40" t="s">
        <v>6814</v>
      </c>
    </row>
    <row r="41" spans="1:5" x14ac:dyDescent="0.25">
      <c r="A41" t="s">
        <v>3329</v>
      </c>
      <c r="B41" t="s">
        <v>6827</v>
      </c>
      <c r="C41" t="s">
        <v>6828</v>
      </c>
      <c r="D41" t="s">
        <v>6745</v>
      </c>
      <c r="E41" t="s">
        <v>6814</v>
      </c>
    </row>
    <row r="42" spans="1:5" x14ac:dyDescent="0.25">
      <c r="A42" t="s">
        <v>3329</v>
      </c>
      <c r="B42" t="s">
        <v>6829</v>
      </c>
      <c r="C42" t="s">
        <v>6830</v>
      </c>
      <c r="D42" t="s">
        <v>6745</v>
      </c>
      <c r="E42" t="s">
        <v>6814</v>
      </c>
    </row>
    <row r="43" spans="1:5" x14ac:dyDescent="0.25">
      <c r="A43" t="s">
        <v>3329</v>
      </c>
      <c r="B43" t="s">
        <v>6831</v>
      </c>
      <c r="C43" t="s">
        <v>6832</v>
      </c>
      <c r="D43" t="s">
        <v>6745</v>
      </c>
      <c r="E43" t="s">
        <v>6814</v>
      </c>
    </row>
    <row r="44" spans="1:5" x14ac:dyDescent="0.25">
      <c r="A44" t="s">
        <v>3329</v>
      </c>
      <c r="B44" t="s">
        <v>6833</v>
      </c>
      <c r="C44" t="s">
        <v>6834</v>
      </c>
      <c r="D44" t="s">
        <v>6745</v>
      </c>
      <c r="E44" t="s">
        <v>6814</v>
      </c>
    </row>
    <row r="45" spans="1:5" x14ac:dyDescent="0.25">
      <c r="A45" t="s">
        <v>3329</v>
      </c>
      <c r="B45" t="s">
        <v>6835</v>
      </c>
      <c r="C45" t="s">
        <v>6836</v>
      </c>
      <c r="D45" t="s">
        <v>6745</v>
      </c>
      <c r="E45" t="s">
        <v>6814</v>
      </c>
    </row>
    <row r="46" spans="1:5" x14ac:dyDescent="0.25">
      <c r="A46" t="s">
        <v>3329</v>
      </c>
      <c r="B46" t="s">
        <v>6837</v>
      </c>
      <c r="C46" t="s">
        <v>6838</v>
      </c>
      <c r="D46" t="s">
        <v>6745</v>
      </c>
      <c r="E46" t="s">
        <v>6814</v>
      </c>
    </row>
    <row r="47" spans="1:5" x14ac:dyDescent="0.25">
      <c r="A47" t="s">
        <v>3329</v>
      </c>
      <c r="B47" t="s">
        <v>6839</v>
      </c>
      <c r="C47" t="s">
        <v>6840</v>
      </c>
      <c r="D47" t="s">
        <v>6745</v>
      </c>
      <c r="E47" t="s">
        <v>6814</v>
      </c>
    </row>
    <row r="48" spans="1:5" x14ac:dyDescent="0.25">
      <c r="A48" t="s">
        <v>3329</v>
      </c>
      <c r="B48" t="s">
        <v>6841</v>
      </c>
      <c r="C48" t="s">
        <v>6842</v>
      </c>
      <c r="D48" t="s">
        <v>6745</v>
      </c>
      <c r="E48" t="s">
        <v>6814</v>
      </c>
    </row>
    <row r="49" spans="1:5" x14ac:dyDescent="0.25">
      <c r="A49" t="s">
        <v>3329</v>
      </c>
      <c r="B49" t="s">
        <v>6843</v>
      </c>
      <c r="C49" t="s">
        <v>6844</v>
      </c>
      <c r="D49" t="s">
        <v>6745</v>
      </c>
      <c r="E49" t="s">
        <v>6814</v>
      </c>
    </row>
    <row r="50" spans="1:5" x14ac:dyDescent="0.25">
      <c r="A50" t="s">
        <v>3329</v>
      </c>
      <c r="B50" t="s">
        <v>6845</v>
      </c>
      <c r="C50" t="s">
        <v>6846</v>
      </c>
      <c r="D50" t="s">
        <v>6745</v>
      </c>
      <c r="E50" t="s">
        <v>6814</v>
      </c>
    </row>
    <row r="51" spans="1:5" x14ac:dyDescent="0.25">
      <c r="A51" t="s">
        <v>3329</v>
      </c>
      <c r="B51" t="s">
        <v>6847</v>
      </c>
      <c r="C51" t="s">
        <v>6848</v>
      </c>
      <c r="D51" t="s">
        <v>6745</v>
      </c>
      <c r="E51" t="s">
        <v>6814</v>
      </c>
    </row>
    <row r="52" spans="1:5" x14ac:dyDescent="0.25">
      <c r="A52" t="s">
        <v>3329</v>
      </c>
      <c r="B52" t="s">
        <v>6849</v>
      </c>
      <c r="C52" t="s">
        <v>6850</v>
      </c>
      <c r="D52" t="s">
        <v>6745</v>
      </c>
      <c r="E52" t="s">
        <v>6814</v>
      </c>
    </row>
    <row r="53" spans="1:5" x14ac:dyDescent="0.25">
      <c r="A53" t="s">
        <v>3329</v>
      </c>
      <c r="B53" t="s">
        <v>6851</v>
      </c>
      <c r="C53" t="s">
        <v>6852</v>
      </c>
      <c r="D53" t="s">
        <v>6745</v>
      </c>
      <c r="E53" t="s">
        <v>6814</v>
      </c>
    </row>
    <row r="54" spans="1:5" x14ac:dyDescent="0.25">
      <c r="A54" t="s">
        <v>3329</v>
      </c>
      <c r="B54" t="s">
        <v>6853</v>
      </c>
      <c r="C54" t="s">
        <v>6854</v>
      </c>
      <c r="D54" t="s">
        <v>6745</v>
      </c>
      <c r="E54" t="s">
        <v>6814</v>
      </c>
    </row>
    <row r="55" spans="1:5" x14ac:dyDescent="0.25">
      <c r="A55" t="s">
        <v>3329</v>
      </c>
      <c r="B55" t="s">
        <v>6855</v>
      </c>
      <c r="C55" t="s">
        <v>6856</v>
      </c>
      <c r="D55" t="s">
        <v>6745</v>
      </c>
      <c r="E55" t="s">
        <v>6814</v>
      </c>
    </row>
    <row r="56" spans="1:5" x14ac:dyDescent="0.25">
      <c r="A56" t="s">
        <v>3329</v>
      </c>
      <c r="B56" t="s">
        <v>6857</v>
      </c>
      <c r="C56" t="s">
        <v>6858</v>
      </c>
      <c r="D56" t="s">
        <v>6745</v>
      </c>
      <c r="E56" t="s">
        <v>6814</v>
      </c>
    </row>
    <row r="57" spans="1:5" x14ac:dyDescent="0.25">
      <c r="A57" t="s">
        <v>3329</v>
      </c>
      <c r="B57" t="s">
        <v>6859</v>
      </c>
      <c r="C57" t="s">
        <v>6860</v>
      </c>
      <c r="D57" t="s">
        <v>6745</v>
      </c>
      <c r="E57" t="s">
        <v>6814</v>
      </c>
    </row>
    <row r="58" spans="1:5" x14ac:dyDescent="0.25">
      <c r="A58" t="s">
        <v>3329</v>
      </c>
      <c r="B58" t="s">
        <v>6861</v>
      </c>
      <c r="C58" t="s">
        <v>6862</v>
      </c>
      <c r="D58" t="s">
        <v>6745</v>
      </c>
      <c r="E58" t="s">
        <v>6814</v>
      </c>
    </row>
    <row r="59" spans="1:5" x14ac:dyDescent="0.25">
      <c r="A59" t="s">
        <v>3329</v>
      </c>
      <c r="B59" t="s">
        <v>6863</v>
      </c>
      <c r="C59" t="s">
        <v>6864</v>
      </c>
      <c r="D59" t="s">
        <v>6745</v>
      </c>
      <c r="E59" t="s">
        <v>6814</v>
      </c>
    </row>
    <row r="60" spans="1:5" x14ac:dyDescent="0.25">
      <c r="A60" t="s">
        <v>3329</v>
      </c>
      <c r="B60" t="s">
        <v>6865</v>
      </c>
      <c r="C60" t="s">
        <v>6866</v>
      </c>
      <c r="D60" t="s">
        <v>6745</v>
      </c>
      <c r="E60" t="s">
        <v>6814</v>
      </c>
    </row>
    <row r="61" spans="1:5" x14ac:dyDescent="0.25">
      <c r="A61" t="s">
        <v>3329</v>
      </c>
      <c r="B61" t="s">
        <v>6867</v>
      </c>
      <c r="C61" t="s">
        <v>6868</v>
      </c>
      <c r="D61" t="s">
        <v>6745</v>
      </c>
      <c r="E61" t="s">
        <v>6814</v>
      </c>
    </row>
    <row r="62" spans="1:5" x14ac:dyDescent="0.25">
      <c r="A62" t="s">
        <v>3329</v>
      </c>
      <c r="B62" t="s">
        <v>6869</v>
      </c>
      <c r="C62" t="s">
        <v>6870</v>
      </c>
      <c r="D62" t="s">
        <v>6745</v>
      </c>
      <c r="E62" t="s">
        <v>6814</v>
      </c>
    </row>
    <row r="63" spans="1:5" x14ac:dyDescent="0.25">
      <c r="A63" t="s">
        <v>3329</v>
      </c>
      <c r="B63" t="s">
        <v>6871</v>
      </c>
      <c r="C63" t="s">
        <v>6872</v>
      </c>
      <c r="D63" t="s">
        <v>6745</v>
      </c>
      <c r="E63" t="s">
        <v>6814</v>
      </c>
    </row>
    <row r="64" spans="1:5" x14ac:dyDescent="0.25">
      <c r="A64" t="s">
        <v>3329</v>
      </c>
      <c r="B64" t="s">
        <v>6873</v>
      </c>
      <c r="C64" t="s">
        <v>6874</v>
      </c>
      <c r="D64" t="s">
        <v>6745</v>
      </c>
      <c r="E64" t="s">
        <v>6814</v>
      </c>
    </row>
    <row r="65" spans="1:5" x14ac:dyDescent="0.25">
      <c r="A65" t="s">
        <v>3329</v>
      </c>
      <c r="B65" t="s">
        <v>6875</v>
      </c>
      <c r="C65" t="s">
        <v>6876</v>
      </c>
      <c r="D65" t="s">
        <v>6745</v>
      </c>
      <c r="E65" t="s">
        <v>6814</v>
      </c>
    </row>
    <row r="66" spans="1:5" x14ac:dyDescent="0.25">
      <c r="A66" t="s">
        <v>3329</v>
      </c>
      <c r="B66" t="s">
        <v>6877</v>
      </c>
      <c r="C66" t="s">
        <v>6878</v>
      </c>
      <c r="D66" t="s">
        <v>6745</v>
      </c>
      <c r="E66" t="s">
        <v>6814</v>
      </c>
    </row>
    <row r="67" spans="1:5" x14ac:dyDescent="0.25">
      <c r="A67" t="s">
        <v>3329</v>
      </c>
      <c r="B67" t="s">
        <v>6879</v>
      </c>
      <c r="C67" t="s">
        <v>6880</v>
      </c>
      <c r="D67" t="s">
        <v>6745</v>
      </c>
      <c r="E67" t="s">
        <v>6814</v>
      </c>
    </row>
    <row r="68" spans="1:5" x14ac:dyDescent="0.25">
      <c r="A68" t="s">
        <v>3329</v>
      </c>
      <c r="B68" t="s">
        <v>6881</v>
      </c>
      <c r="C68" t="s">
        <v>6882</v>
      </c>
      <c r="D68" t="s">
        <v>6745</v>
      </c>
      <c r="E68" t="s">
        <v>6814</v>
      </c>
    </row>
    <row r="69" spans="1:5" x14ac:dyDescent="0.25">
      <c r="A69" t="s">
        <v>3329</v>
      </c>
      <c r="B69" t="s">
        <v>6883</v>
      </c>
      <c r="C69" t="s">
        <v>6884</v>
      </c>
      <c r="D69" t="s">
        <v>6745</v>
      </c>
      <c r="E69" t="s">
        <v>6814</v>
      </c>
    </row>
    <row r="70" spans="1:5" x14ac:dyDescent="0.25">
      <c r="A70" t="s">
        <v>3329</v>
      </c>
      <c r="B70" t="s">
        <v>6885</v>
      </c>
      <c r="C70" t="s">
        <v>6886</v>
      </c>
      <c r="D70" t="s">
        <v>6745</v>
      </c>
      <c r="E70" t="s">
        <v>6814</v>
      </c>
    </row>
    <row r="71" spans="1:5" x14ac:dyDescent="0.25">
      <c r="A71" t="s">
        <v>3329</v>
      </c>
      <c r="B71" t="s">
        <v>6887</v>
      </c>
      <c r="C71" t="s">
        <v>6888</v>
      </c>
      <c r="D71" t="s">
        <v>6745</v>
      </c>
      <c r="E71" t="s">
        <v>6814</v>
      </c>
    </row>
    <row r="72" spans="1:5" x14ac:dyDescent="0.25">
      <c r="A72" t="s">
        <v>3329</v>
      </c>
      <c r="B72" t="s">
        <v>6889</v>
      </c>
      <c r="C72" t="s">
        <v>6890</v>
      </c>
      <c r="D72" t="s">
        <v>6745</v>
      </c>
      <c r="E72" t="s">
        <v>6814</v>
      </c>
    </row>
    <row r="73" spans="1:5" x14ac:dyDescent="0.25">
      <c r="A73" t="s">
        <v>3329</v>
      </c>
      <c r="B73" t="s">
        <v>6891</v>
      </c>
      <c r="C73" t="s">
        <v>6892</v>
      </c>
      <c r="D73" t="s">
        <v>6745</v>
      </c>
      <c r="E73" t="s">
        <v>6814</v>
      </c>
    </row>
    <row r="74" spans="1:5" x14ac:dyDescent="0.25">
      <c r="A74" t="s">
        <v>3329</v>
      </c>
      <c r="B74" t="s">
        <v>6893</v>
      </c>
      <c r="C74" t="s">
        <v>6894</v>
      </c>
      <c r="D74" t="s">
        <v>6745</v>
      </c>
      <c r="E74" t="s">
        <v>6814</v>
      </c>
    </row>
    <row r="75" spans="1:5" x14ac:dyDescent="0.25">
      <c r="A75" t="s">
        <v>3329</v>
      </c>
      <c r="B75" t="s">
        <v>6895</v>
      </c>
      <c r="C75" t="s">
        <v>6896</v>
      </c>
      <c r="D75" t="s">
        <v>6745</v>
      </c>
      <c r="E75" t="s">
        <v>6814</v>
      </c>
    </row>
    <row r="76" spans="1:5" x14ac:dyDescent="0.25">
      <c r="A76" t="s">
        <v>3329</v>
      </c>
      <c r="B76" t="s">
        <v>6897</v>
      </c>
      <c r="C76" t="s">
        <v>6898</v>
      </c>
      <c r="D76" t="s">
        <v>6745</v>
      </c>
      <c r="E76" t="s">
        <v>6814</v>
      </c>
    </row>
    <row r="77" spans="1:5" x14ac:dyDescent="0.25">
      <c r="A77" t="s">
        <v>3329</v>
      </c>
      <c r="B77" t="s">
        <v>6899</v>
      </c>
      <c r="C77" t="s">
        <v>6900</v>
      </c>
      <c r="D77" t="s">
        <v>6745</v>
      </c>
      <c r="E77" t="s">
        <v>6814</v>
      </c>
    </row>
    <row r="78" spans="1:5" x14ac:dyDescent="0.25">
      <c r="A78" t="s">
        <v>3329</v>
      </c>
      <c r="B78" t="s">
        <v>6901</v>
      </c>
      <c r="C78" t="s">
        <v>6902</v>
      </c>
      <c r="D78" t="s">
        <v>6745</v>
      </c>
      <c r="E78" t="s">
        <v>6814</v>
      </c>
    </row>
    <row r="79" spans="1:5" x14ac:dyDescent="0.25">
      <c r="A79" t="s">
        <v>3329</v>
      </c>
      <c r="B79" t="s">
        <v>6903</v>
      </c>
      <c r="C79" t="s">
        <v>6904</v>
      </c>
      <c r="D79" t="s">
        <v>6745</v>
      </c>
      <c r="E79" t="s">
        <v>6814</v>
      </c>
    </row>
    <row r="80" spans="1:5" x14ac:dyDescent="0.25">
      <c r="A80" t="s">
        <v>3329</v>
      </c>
      <c r="B80" t="s">
        <v>6905</v>
      </c>
      <c r="C80" t="s">
        <v>6906</v>
      </c>
    </row>
    <row r="82" spans="1:5" x14ac:dyDescent="0.25">
      <c r="A82" t="s">
        <v>6907</v>
      </c>
      <c r="B82" t="s">
        <v>6745</v>
      </c>
      <c r="C82" t="s">
        <v>6814</v>
      </c>
    </row>
    <row r="83" spans="1:5" x14ac:dyDescent="0.25">
      <c r="A83" t="s">
        <v>3329</v>
      </c>
      <c r="B83" t="s">
        <v>6908</v>
      </c>
      <c r="C83" t="s">
        <v>6909</v>
      </c>
    </row>
    <row r="85" spans="1:5" x14ac:dyDescent="0.25">
      <c r="B85" t="s">
        <v>6745</v>
      </c>
      <c r="C85" t="s">
        <v>6814</v>
      </c>
    </row>
    <row r="86" spans="1:5" x14ac:dyDescent="0.25">
      <c r="A86" t="s">
        <v>3329</v>
      </c>
      <c r="B86" t="s">
        <v>6910</v>
      </c>
      <c r="C86" t="s">
        <v>6911</v>
      </c>
      <c r="D86" t="s">
        <v>6745</v>
      </c>
      <c r="E86" t="s">
        <v>6814</v>
      </c>
    </row>
    <row r="87" spans="1:5" x14ac:dyDescent="0.25">
      <c r="A87" t="s">
        <v>3329</v>
      </c>
      <c r="B87" t="s">
        <v>6912</v>
      </c>
      <c r="C87" t="s">
        <v>6913</v>
      </c>
      <c r="D87" t="s">
        <v>6745</v>
      </c>
      <c r="E87" t="s">
        <v>6814</v>
      </c>
    </row>
    <row r="88" spans="1:5" x14ac:dyDescent="0.25">
      <c r="A88" t="s">
        <v>3329</v>
      </c>
      <c r="B88" t="s">
        <v>6914</v>
      </c>
      <c r="C88" t="s">
        <v>6915</v>
      </c>
      <c r="D88" t="s">
        <v>6745</v>
      </c>
      <c r="E88" t="s">
        <v>6814</v>
      </c>
    </row>
    <row r="89" spans="1:5" x14ac:dyDescent="0.25">
      <c r="A89" t="s">
        <v>3329</v>
      </c>
      <c r="B89" t="s">
        <v>6916</v>
      </c>
      <c r="C89" t="s">
        <v>6917</v>
      </c>
      <c r="D89" t="s">
        <v>6745</v>
      </c>
      <c r="E89" t="s">
        <v>6814</v>
      </c>
    </row>
    <row r="90" spans="1:5" x14ac:dyDescent="0.25">
      <c r="A90" t="s">
        <v>3329</v>
      </c>
      <c r="B90" t="s">
        <v>6918</v>
      </c>
      <c r="C90" t="s">
        <v>6919</v>
      </c>
      <c r="D90" t="s">
        <v>6745</v>
      </c>
      <c r="E90" t="s">
        <v>6814</v>
      </c>
    </row>
    <row r="91" spans="1:5" x14ac:dyDescent="0.25">
      <c r="A91" t="s">
        <v>3329</v>
      </c>
      <c r="B91" t="s">
        <v>6920</v>
      </c>
      <c r="C91" t="s">
        <v>6921</v>
      </c>
      <c r="D91" t="s">
        <v>6745</v>
      </c>
      <c r="E91" t="s">
        <v>6814</v>
      </c>
    </row>
    <row r="92" spans="1:5" x14ac:dyDescent="0.25">
      <c r="A92" t="s">
        <v>3329</v>
      </c>
      <c r="B92" t="s">
        <v>6922</v>
      </c>
      <c r="C92" t="s">
        <v>6923</v>
      </c>
      <c r="D92" t="s">
        <v>6745</v>
      </c>
      <c r="E92" t="s">
        <v>6814</v>
      </c>
    </row>
    <row r="93" spans="1:5" x14ac:dyDescent="0.25">
      <c r="A93" t="s">
        <v>3329</v>
      </c>
      <c r="B93" t="s">
        <v>6924</v>
      </c>
      <c r="C93" t="s">
        <v>6925</v>
      </c>
      <c r="D93" t="s">
        <v>6745</v>
      </c>
      <c r="E93" t="s">
        <v>6814</v>
      </c>
    </row>
    <row r="94" spans="1:5" x14ac:dyDescent="0.25">
      <c r="A94" t="s">
        <v>3329</v>
      </c>
      <c r="B94" t="s">
        <v>6926</v>
      </c>
      <c r="C94" t="s">
        <v>6927</v>
      </c>
      <c r="D94" t="s">
        <v>6745</v>
      </c>
      <c r="E94" t="s">
        <v>6814</v>
      </c>
    </row>
    <row r="95" spans="1:5" x14ac:dyDescent="0.25">
      <c r="A95" t="s">
        <v>3329</v>
      </c>
      <c r="B95" t="s">
        <v>6928</v>
      </c>
      <c r="C95" t="s">
        <v>6929</v>
      </c>
      <c r="D95" t="s">
        <v>6745</v>
      </c>
      <c r="E95" t="s">
        <v>6814</v>
      </c>
    </row>
    <row r="96" spans="1:5" x14ac:dyDescent="0.25">
      <c r="A96" t="s">
        <v>3329</v>
      </c>
      <c r="B96" t="s">
        <v>6930</v>
      </c>
      <c r="C96" t="s">
        <v>6931</v>
      </c>
      <c r="D96" t="s">
        <v>6745</v>
      </c>
      <c r="E96" t="s">
        <v>6814</v>
      </c>
    </row>
    <row r="97" spans="1:5" x14ac:dyDescent="0.25">
      <c r="A97" t="s">
        <v>3329</v>
      </c>
      <c r="B97" t="s">
        <v>6932</v>
      </c>
      <c r="C97" t="s">
        <v>6933</v>
      </c>
      <c r="D97" t="s">
        <v>6745</v>
      </c>
      <c r="E97" t="s">
        <v>6814</v>
      </c>
    </row>
    <row r="98" spans="1:5" x14ac:dyDescent="0.25">
      <c r="A98" t="s">
        <v>3329</v>
      </c>
      <c r="B98" t="s">
        <v>6934</v>
      </c>
      <c r="C98" t="s">
        <v>6935</v>
      </c>
      <c r="D98" t="s">
        <v>6745</v>
      </c>
      <c r="E98" t="s">
        <v>6814</v>
      </c>
    </row>
    <row r="99" spans="1:5" x14ac:dyDescent="0.25">
      <c r="A99" t="s">
        <v>3329</v>
      </c>
      <c r="B99" t="s">
        <v>6936</v>
      </c>
      <c r="C99" t="s">
        <v>6937</v>
      </c>
      <c r="D99" t="s">
        <v>6745</v>
      </c>
      <c r="E99" t="s">
        <v>6814</v>
      </c>
    </row>
    <row r="100" spans="1:5" x14ac:dyDescent="0.25">
      <c r="A100" t="s">
        <v>3329</v>
      </c>
      <c r="B100" t="s">
        <v>6938</v>
      </c>
      <c r="C100" t="s">
        <v>6939</v>
      </c>
      <c r="D100" t="s">
        <v>6745</v>
      </c>
      <c r="E100" t="s">
        <v>6814</v>
      </c>
    </row>
    <row r="101" spans="1:5" x14ac:dyDescent="0.25">
      <c r="A101" t="s">
        <v>3329</v>
      </c>
      <c r="B101" t="s">
        <v>6940</v>
      </c>
      <c r="C101" t="s">
        <v>6941</v>
      </c>
      <c r="D101" t="s">
        <v>6745</v>
      </c>
      <c r="E101" t="s">
        <v>6814</v>
      </c>
    </row>
    <row r="102" spans="1:5" x14ac:dyDescent="0.25">
      <c r="A102" t="s">
        <v>3329</v>
      </c>
      <c r="B102" t="s">
        <v>6942</v>
      </c>
      <c r="C102" t="s">
        <v>6943</v>
      </c>
      <c r="D102" t="s">
        <v>6745</v>
      </c>
      <c r="E102" t="s">
        <v>6814</v>
      </c>
    </row>
    <row r="103" spans="1:5" x14ac:dyDescent="0.25">
      <c r="A103" t="s">
        <v>3329</v>
      </c>
      <c r="B103" t="s">
        <v>6944</v>
      </c>
      <c r="C103" t="s">
        <v>6945</v>
      </c>
      <c r="D103" t="s">
        <v>6745</v>
      </c>
      <c r="E103" t="s">
        <v>6777</v>
      </c>
    </row>
    <row r="104" spans="1:5" x14ac:dyDescent="0.25">
      <c r="A104" t="s">
        <v>3329</v>
      </c>
      <c r="B104" t="s">
        <v>6946</v>
      </c>
      <c r="C104" t="s">
        <v>6947</v>
      </c>
      <c r="D104" t="s">
        <v>6745</v>
      </c>
      <c r="E104" t="s">
        <v>6777</v>
      </c>
    </row>
    <row r="105" spans="1:5" x14ac:dyDescent="0.25">
      <c r="A105" t="s">
        <v>3329</v>
      </c>
      <c r="B105" t="s">
        <v>6948</v>
      </c>
      <c r="C105" t="s">
        <v>6949</v>
      </c>
      <c r="D105" t="s">
        <v>6745</v>
      </c>
      <c r="E105" t="s">
        <v>6777</v>
      </c>
    </row>
    <row r="106" spans="1:5" x14ac:dyDescent="0.25">
      <c r="A106" t="s">
        <v>3329</v>
      </c>
      <c r="B106" t="s">
        <v>6950</v>
      </c>
      <c r="C106" t="s">
        <v>6951</v>
      </c>
      <c r="D106" t="s">
        <v>6745</v>
      </c>
      <c r="E106" t="s">
        <v>6777</v>
      </c>
    </row>
    <row r="107" spans="1:5" x14ac:dyDescent="0.25">
      <c r="A107" t="s">
        <v>3329</v>
      </c>
      <c r="B107" t="s">
        <v>6952</v>
      </c>
      <c r="C107" t="s">
        <v>6953</v>
      </c>
      <c r="D107" t="s">
        <v>6745</v>
      </c>
      <c r="E107" t="s">
        <v>6777</v>
      </c>
    </row>
    <row r="108" spans="1:5" x14ac:dyDescent="0.25">
      <c r="A108" t="s">
        <v>3329</v>
      </c>
      <c r="B108" t="s">
        <v>6954</v>
      </c>
      <c r="C108" t="s">
        <v>6955</v>
      </c>
      <c r="D108" t="s">
        <v>6745</v>
      </c>
      <c r="E108" t="s">
        <v>6814</v>
      </c>
    </row>
    <row r="109" spans="1:5" x14ac:dyDescent="0.25">
      <c r="A109" t="s">
        <v>3329</v>
      </c>
      <c r="B109" t="s">
        <v>6956</v>
      </c>
      <c r="C109" t="s">
        <v>6957</v>
      </c>
      <c r="D109" t="s">
        <v>6745</v>
      </c>
      <c r="E109" t="s">
        <v>6814</v>
      </c>
    </row>
    <row r="110" spans="1:5" x14ac:dyDescent="0.25">
      <c r="A110" t="s">
        <v>3329</v>
      </c>
      <c r="B110" t="s">
        <v>6958</v>
      </c>
      <c r="C110" t="s">
        <v>6959</v>
      </c>
      <c r="D110" t="s">
        <v>6745</v>
      </c>
      <c r="E110" t="s">
        <v>6814</v>
      </c>
    </row>
    <row r="111" spans="1:5" x14ac:dyDescent="0.25">
      <c r="A111" t="s">
        <v>3329</v>
      </c>
      <c r="B111" t="s">
        <v>6960</v>
      </c>
      <c r="C111" t="s">
        <v>6961</v>
      </c>
      <c r="D111" t="s">
        <v>6745</v>
      </c>
      <c r="E111" t="s">
        <v>6814</v>
      </c>
    </row>
    <row r="112" spans="1:5" x14ac:dyDescent="0.25">
      <c r="A112" t="s">
        <v>3329</v>
      </c>
      <c r="B112" t="s">
        <v>6962</v>
      </c>
      <c r="C112" t="s">
        <v>6963</v>
      </c>
      <c r="D112" t="s">
        <v>6745</v>
      </c>
      <c r="E112" t="s">
        <v>6814</v>
      </c>
    </row>
    <row r="113" spans="1:5" x14ac:dyDescent="0.25">
      <c r="A113" t="s">
        <v>3329</v>
      </c>
      <c r="B113" t="s">
        <v>6964</v>
      </c>
      <c r="C113" t="s">
        <v>6965</v>
      </c>
      <c r="D113" t="s">
        <v>6745</v>
      </c>
      <c r="E113" t="s">
        <v>6814</v>
      </c>
    </row>
    <row r="114" spans="1:5" x14ac:dyDescent="0.25">
      <c r="A114" t="s">
        <v>3329</v>
      </c>
      <c r="B114" t="s">
        <v>6966</v>
      </c>
      <c r="C114" t="s">
        <v>6967</v>
      </c>
      <c r="D114" t="s">
        <v>6745</v>
      </c>
      <c r="E114" t="s">
        <v>6814</v>
      </c>
    </row>
    <row r="115" spans="1:5" x14ac:dyDescent="0.25">
      <c r="A115" t="s">
        <v>3329</v>
      </c>
      <c r="B115" t="s">
        <v>6968</v>
      </c>
      <c r="C115" t="s">
        <v>6969</v>
      </c>
      <c r="D115" t="s">
        <v>6745</v>
      </c>
      <c r="E115" t="s">
        <v>6814</v>
      </c>
    </row>
    <row r="116" spans="1:5" x14ac:dyDescent="0.25">
      <c r="A116" t="s">
        <v>3329</v>
      </c>
      <c r="B116" t="s">
        <v>6970</v>
      </c>
      <c r="C116" t="s">
        <v>6971</v>
      </c>
      <c r="D116" t="s">
        <v>6745</v>
      </c>
      <c r="E116" t="s">
        <v>6814</v>
      </c>
    </row>
    <row r="117" spans="1:5" x14ac:dyDescent="0.25">
      <c r="A117" t="s">
        <v>3329</v>
      </c>
      <c r="B117" t="s">
        <v>6972</v>
      </c>
      <c r="C117" t="s">
        <v>6973</v>
      </c>
      <c r="D117" t="s">
        <v>6745</v>
      </c>
      <c r="E117" t="s">
        <v>6814</v>
      </c>
    </row>
    <row r="118" spans="1:5" x14ac:dyDescent="0.25">
      <c r="A118" t="s">
        <v>3329</v>
      </c>
      <c r="B118" t="s">
        <v>6974</v>
      </c>
      <c r="C118" t="s">
        <v>6975</v>
      </c>
      <c r="D118" t="s">
        <v>6745</v>
      </c>
      <c r="E118" t="s">
        <v>6814</v>
      </c>
    </row>
    <row r="119" spans="1:5" x14ac:dyDescent="0.25">
      <c r="A119" t="s">
        <v>3329</v>
      </c>
      <c r="B119" t="s">
        <v>6976</v>
      </c>
      <c r="C119" t="s">
        <v>6977</v>
      </c>
      <c r="D119" t="s">
        <v>6745</v>
      </c>
      <c r="E119" t="s">
        <v>6814</v>
      </c>
    </row>
    <row r="120" spans="1:5" x14ac:dyDescent="0.25">
      <c r="A120" t="s">
        <v>3329</v>
      </c>
      <c r="B120" t="s">
        <v>6978</v>
      </c>
      <c r="C120" t="s">
        <v>6979</v>
      </c>
      <c r="D120" t="s">
        <v>6745</v>
      </c>
      <c r="E120" t="s">
        <v>6814</v>
      </c>
    </row>
    <row r="121" spans="1:5" x14ac:dyDescent="0.25">
      <c r="A121" t="s">
        <v>3329</v>
      </c>
      <c r="B121" t="s">
        <v>6980</v>
      </c>
      <c r="C121" t="s">
        <v>6981</v>
      </c>
      <c r="D121" t="s">
        <v>6745</v>
      </c>
      <c r="E121" t="s">
        <v>6814</v>
      </c>
    </row>
    <row r="122" spans="1:5" x14ac:dyDescent="0.25">
      <c r="A122" t="s">
        <v>3329</v>
      </c>
      <c r="B122" t="s">
        <v>6982</v>
      </c>
      <c r="C122" t="s">
        <v>6983</v>
      </c>
      <c r="D122" t="s">
        <v>6745</v>
      </c>
      <c r="E122" t="s">
        <v>6814</v>
      </c>
    </row>
    <row r="123" spans="1:5" x14ac:dyDescent="0.25">
      <c r="A123" t="s">
        <v>3329</v>
      </c>
      <c r="B123" t="s">
        <v>6984</v>
      </c>
      <c r="C123" t="s">
        <v>6985</v>
      </c>
      <c r="D123" t="s">
        <v>6745</v>
      </c>
      <c r="E123" t="s">
        <v>6814</v>
      </c>
    </row>
    <row r="124" spans="1:5" x14ac:dyDescent="0.25">
      <c r="A124" t="s">
        <v>3329</v>
      </c>
      <c r="B124" t="s">
        <v>6986</v>
      </c>
      <c r="C124" t="s">
        <v>6987</v>
      </c>
      <c r="D124" t="s">
        <v>6745</v>
      </c>
      <c r="E124" t="s">
        <v>6814</v>
      </c>
    </row>
    <row r="125" spans="1:5" x14ac:dyDescent="0.25">
      <c r="A125" t="s">
        <v>3329</v>
      </c>
      <c r="B125" t="s">
        <v>6988</v>
      </c>
      <c r="C125" t="s">
        <v>6989</v>
      </c>
      <c r="D125" t="s">
        <v>6745</v>
      </c>
      <c r="E125" t="s">
        <v>6814</v>
      </c>
    </row>
    <row r="126" spans="1:5" x14ac:dyDescent="0.25">
      <c r="A126" t="s">
        <v>3329</v>
      </c>
      <c r="B126" t="s">
        <v>6990</v>
      </c>
      <c r="C126" t="s">
        <v>6991</v>
      </c>
      <c r="D126" t="s">
        <v>6745</v>
      </c>
      <c r="E126" t="s">
        <v>6814</v>
      </c>
    </row>
    <row r="127" spans="1:5" x14ac:dyDescent="0.25">
      <c r="A127" t="s">
        <v>3329</v>
      </c>
      <c r="B127" t="s">
        <v>6992</v>
      </c>
      <c r="C127" t="s">
        <v>6993</v>
      </c>
      <c r="D127" t="s">
        <v>6745</v>
      </c>
      <c r="E127" t="s">
        <v>6814</v>
      </c>
    </row>
    <row r="128" spans="1:5" x14ac:dyDescent="0.25">
      <c r="A128" t="s">
        <v>3329</v>
      </c>
      <c r="B128" t="s">
        <v>6994</v>
      </c>
      <c r="C128" t="s">
        <v>6995</v>
      </c>
      <c r="D128" t="s">
        <v>6745</v>
      </c>
      <c r="E128" t="s">
        <v>6814</v>
      </c>
    </row>
    <row r="129" spans="1:5" x14ac:dyDescent="0.25">
      <c r="A129" t="s">
        <v>3329</v>
      </c>
      <c r="B129" t="s">
        <v>6996</v>
      </c>
      <c r="C129" t="s">
        <v>6997</v>
      </c>
      <c r="D129" t="s">
        <v>6745</v>
      </c>
      <c r="E129" t="s">
        <v>6814</v>
      </c>
    </row>
    <row r="130" spans="1:5" x14ac:dyDescent="0.25">
      <c r="A130" t="s">
        <v>3329</v>
      </c>
      <c r="B130" t="s">
        <v>6998</v>
      </c>
      <c r="C130" t="s">
        <v>6999</v>
      </c>
      <c r="D130" t="s">
        <v>6745</v>
      </c>
      <c r="E130" t="s">
        <v>6814</v>
      </c>
    </row>
    <row r="131" spans="1:5" x14ac:dyDescent="0.25">
      <c r="A131" t="s">
        <v>3329</v>
      </c>
      <c r="B131" t="s">
        <v>7000</v>
      </c>
      <c r="C131" t="s">
        <v>7001</v>
      </c>
      <c r="D131" t="s">
        <v>6745</v>
      </c>
      <c r="E131" t="s">
        <v>6814</v>
      </c>
    </row>
    <row r="132" spans="1:5" x14ac:dyDescent="0.25">
      <c r="A132" t="s">
        <v>3329</v>
      </c>
      <c r="B132" t="s">
        <v>7002</v>
      </c>
      <c r="C132" t="s">
        <v>7003</v>
      </c>
      <c r="D132" t="s">
        <v>6745</v>
      </c>
      <c r="E132" t="s">
        <v>6777</v>
      </c>
    </row>
    <row r="133" spans="1:5" x14ac:dyDescent="0.25">
      <c r="A133" t="s">
        <v>3329</v>
      </c>
      <c r="B133" t="s">
        <v>7004</v>
      </c>
      <c r="C133" t="s">
        <v>7005</v>
      </c>
      <c r="D133" t="s">
        <v>3332</v>
      </c>
      <c r="E133" t="s">
        <v>6772</v>
      </c>
    </row>
    <row r="134" spans="1:5" x14ac:dyDescent="0.25">
      <c r="A134" t="s">
        <v>3329</v>
      </c>
      <c r="B134" t="s">
        <v>7006</v>
      </c>
      <c r="C134" t="s">
        <v>7007</v>
      </c>
      <c r="D134" t="s">
        <v>3332</v>
      </c>
      <c r="E134" t="s">
        <v>7008</v>
      </c>
    </row>
    <row r="135" spans="1:5" x14ac:dyDescent="0.25">
      <c r="A135" t="s">
        <v>3329</v>
      </c>
      <c r="B135" t="s">
        <v>7009</v>
      </c>
      <c r="C135" t="s">
        <v>7010</v>
      </c>
      <c r="D135" t="s">
        <v>3332</v>
      </c>
      <c r="E135" t="s">
        <v>6772</v>
      </c>
    </row>
    <row r="136" spans="1:5" x14ac:dyDescent="0.25">
      <c r="A136" t="s">
        <v>3329</v>
      </c>
      <c r="B136" t="s">
        <v>7011</v>
      </c>
      <c r="C136" t="s">
        <v>7012</v>
      </c>
      <c r="D136" t="s">
        <v>3332</v>
      </c>
      <c r="E136" t="s">
        <v>7013</v>
      </c>
    </row>
    <row r="137" spans="1:5" x14ac:dyDescent="0.25">
      <c r="A137" t="s">
        <v>3329</v>
      </c>
      <c r="B137" t="s">
        <v>7014</v>
      </c>
      <c r="C137" t="s">
        <v>7015</v>
      </c>
      <c r="D137" t="s">
        <v>3332</v>
      </c>
      <c r="E137" t="s">
        <v>6772</v>
      </c>
    </row>
    <row r="138" spans="1:5" x14ac:dyDescent="0.25">
      <c r="A138" t="s">
        <v>3329</v>
      </c>
      <c r="B138" t="s">
        <v>7016</v>
      </c>
      <c r="C138" t="s">
        <v>7017</v>
      </c>
      <c r="D138" t="s">
        <v>3332</v>
      </c>
      <c r="E138" t="s">
        <v>6772</v>
      </c>
    </row>
    <row r="139" spans="1:5" x14ac:dyDescent="0.25">
      <c r="A139" t="s">
        <v>3329</v>
      </c>
      <c r="B139" t="s">
        <v>7018</v>
      </c>
      <c r="C139" t="s">
        <v>7019</v>
      </c>
      <c r="D139" t="s">
        <v>3332</v>
      </c>
      <c r="E139" t="s">
        <v>6786</v>
      </c>
    </row>
    <row r="140" spans="1:5" x14ac:dyDescent="0.25">
      <c r="A140" t="s">
        <v>3329</v>
      </c>
      <c r="B140" t="s">
        <v>7020</v>
      </c>
      <c r="C140" t="s">
        <v>7021</v>
      </c>
      <c r="D140" t="s">
        <v>3332</v>
      </c>
      <c r="E140" t="s">
        <v>7008</v>
      </c>
    </row>
    <row r="141" spans="1:5" x14ac:dyDescent="0.25">
      <c r="A141" t="s">
        <v>3329</v>
      </c>
      <c r="B141" t="s">
        <v>7022</v>
      </c>
      <c r="C141" t="s">
        <v>7023</v>
      </c>
      <c r="D141" t="s">
        <v>3332</v>
      </c>
      <c r="E141" t="s">
        <v>7008</v>
      </c>
    </row>
    <row r="142" spans="1:5" x14ac:dyDescent="0.25">
      <c r="A142" t="s">
        <v>3329</v>
      </c>
      <c r="B142" t="s">
        <v>7024</v>
      </c>
      <c r="C142" t="s">
        <v>7025</v>
      </c>
      <c r="D142" t="s">
        <v>3332</v>
      </c>
      <c r="E142" t="s">
        <v>6772</v>
      </c>
    </row>
    <row r="143" spans="1:5" x14ac:dyDescent="0.25">
      <c r="A143" t="s">
        <v>3329</v>
      </c>
      <c r="B143" t="s">
        <v>7026</v>
      </c>
      <c r="C143" t="s">
        <v>7027</v>
      </c>
      <c r="D143" t="s">
        <v>3332</v>
      </c>
      <c r="E143" t="s">
        <v>6772</v>
      </c>
    </row>
    <row r="144" spans="1:5" x14ac:dyDescent="0.25">
      <c r="A144" t="s">
        <v>3329</v>
      </c>
      <c r="B144" t="s">
        <v>7028</v>
      </c>
      <c r="C144" t="s">
        <v>7029</v>
      </c>
      <c r="D144" t="s">
        <v>3332</v>
      </c>
      <c r="E144" t="s">
        <v>6772</v>
      </c>
    </row>
    <row r="145" spans="1:5" x14ac:dyDescent="0.25">
      <c r="A145" t="s">
        <v>3329</v>
      </c>
      <c r="B145" t="s">
        <v>7030</v>
      </c>
      <c r="C145" t="s">
        <v>7031</v>
      </c>
      <c r="D145" t="s">
        <v>3332</v>
      </c>
      <c r="E145" t="s">
        <v>6786</v>
      </c>
    </row>
    <row r="146" spans="1:5" x14ac:dyDescent="0.25">
      <c r="A146" t="s">
        <v>3329</v>
      </c>
      <c r="B146" t="s">
        <v>7032</v>
      </c>
      <c r="C146" t="s">
        <v>7033</v>
      </c>
      <c r="D146" t="s">
        <v>3332</v>
      </c>
      <c r="E146" t="s">
        <v>6786</v>
      </c>
    </row>
    <row r="147" spans="1:5" x14ac:dyDescent="0.25">
      <c r="A147" t="s">
        <v>3329</v>
      </c>
      <c r="B147" t="s">
        <v>7034</v>
      </c>
      <c r="C147" t="s">
        <v>7035</v>
      </c>
      <c r="D147" t="s">
        <v>3332</v>
      </c>
      <c r="E147" t="s">
        <v>6772</v>
      </c>
    </row>
    <row r="148" spans="1:5" x14ac:dyDescent="0.25">
      <c r="A148" t="s">
        <v>3329</v>
      </c>
      <c r="B148" t="s">
        <v>7036</v>
      </c>
      <c r="C148" t="s">
        <v>7037</v>
      </c>
      <c r="D148" t="s">
        <v>3332</v>
      </c>
      <c r="E148" t="s">
        <v>6786</v>
      </c>
    </row>
    <row r="149" spans="1:5" x14ac:dyDescent="0.25">
      <c r="A149" t="s">
        <v>3329</v>
      </c>
      <c r="B149" t="s">
        <v>7038</v>
      </c>
      <c r="C149" t="s">
        <v>7039</v>
      </c>
      <c r="D149" t="s">
        <v>3332</v>
      </c>
      <c r="E149" t="s">
        <v>6786</v>
      </c>
    </row>
    <row r="150" spans="1:5" x14ac:dyDescent="0.25">
      <c r="A150" t="s">
        <v>3329</v>
      </c>
      <c r="B150" t="s">
        <v>7040</v>
      </c>
      <c r="C150" t="s">
        <v>7041</v>
      </c>
      <c r="D150" t="s">
        <v>3332</v>
      </c>
      <c r="E150" t="s">
        <v>6772</v>
      </c>
    </row>
    <row r="151" spans="1:5" x14ac:dyDescent="0.25">
      <c r="A151" t="s">
        <v>3329</v>
      </c>
      <c r="B151" t="s">
        <v>7042</v>
      </c>
      <c r="C151" t="s">
        <v>7043</v>
      </c>
      <c r="D151" t="s">
        <v>3332</v>
      </c>
      <c r="E151" t="s">
        <v>6772</v>
      </c>
    </row>
    <row r="152" spans="1:5" x14ac:dyDescent="0.25">
      <c r="A152" t="s">
        <v>3329</v>
      </c>
      <c r="B152" t="s">
        <v>7044</v>
      </c>
      <c r="C152" t="s">
        <v>7045</v>
      </c>
      <c r="D152" t="s">
        <v>3332</v>
      </c>
      <c r="E152" t="s">
        <v>6772</v>
      </c>
    </row>
    <row r="153" spans="1:5" x14ac:dyDescent="0.25">
      <c r="A153" t="s">
        <v>3329</v>
      </c>
      <c r="B153" t="s">
        <v>7046</v>
      </c>
      <c r="C153" t="s">
        <v>7047</v>
      </c>
      <c r="D153" t="s">
        <v>3332</v>
      </c>
      <c r="E153" t="s">
        <v>6772</v>
      </c>
    </row>
    <row r="154" spans="1:5" x14ac:dyDescent="0.25">
      <c r="A154" t="s">
        <v>3329</v>
      </c>
      <c r="B154" t="s">
        <v>7048</v>
      </c>
      <c r="C154" t="s">
        <v>7049</v>
      </c>
      <c r="D154" t="s">
        <v>3332</v>
      </c>
      <c r="E154" t="s">
        <v>6772</v>
      </c>
    </row>
    <row r="155" spans="1:5" x14ac:dyDescent="0.25">
      <c r="A155" t="s">
        <v>3329</v>
      </c>
      <c r="B155" t="s">
        <v>7050</v>
      </c>
      <c r="C155" t="s">
        <v>7051</v>
      </c>
      <c r="D155" t="s">
        <v>3332</v>
      </c>
      <c r="E155" t="s">
        <v>6772</v>
      </c>
    </row>
    <row r="156" spans="1:5" x14ac:dyDescent="0.25">
      <c r="A156" t="s">
        <v>3329</v>
      </c>
      <c r="B156" t="s">
        <v>7052</v>
      </c>
      <c r="C156" t="s">
        <v>7053</v>
      </c>
      <c r="D156" t="s">
        <v>3332</v>
      </c>
      <c r="E156" t="s">
        <v>6772</v>
      </c>
    </row>
    <row r="157" spans="1:5" x14ac:dyDescent="0.25">
      <c r="A157" t="s">
        <v>3329</v>
      </c>
      <c r="B157" t="s">
        <v>7054</v>
      </c>
      <c r="C157" t="s">
        <v>7055</v>
      </c>
      <c r="D157" t="s">
        <v>3332</v>
      </c>
      <c r="E157" t="s">
        <v>6772</v>
      </c>
    </row>
    <row r="158" spans="1:5" x14ac:dyDescent="0.25">
      <c r="A158" t="s">
        <v>3329</v>
      </c>
      <c r="B158" t="s">
        <v>7056</v>
      </c>
      <c r="C158" t="s">
        <v>7057</v>
      </c>
      <c r="D158" t="s">
        <v>3332</v>
      </c>
      <c r="E158" t="s">
        <v>6772</v>
      </c>
    </row>
    <row r="159" spans="1:5" x14ac:dyDescent="0.25">
      <c r="A159" t="s">
        <v>3329</v>
      </c>
      <c r="B159" t="s">
        <v>7058</v>
      </c>
      <c r="C159" t="s">
        <v>7059</v>
      </c>
      <c r="D159" t="s">
        <v>3332</v>
      </c>
      <c r="E159" t="s">
        <v>6786</v>
      </c>
    </row>
    <row r="160" spans="1:5" x14ac:dyDescent="0.25">
      <c r="A160" t="s">
        <v>3329</v>
      </c>
      <c r="B160" t="s">
        <v>7060</v>
      </c>
      <c r="C160" t="s">
        <v>7061</v>
      </c>
      <c r="D160" t="s">
        <v>3332</v>
      </c>
      <c r="E160" t="s">
        <v>6786</v>
      </c>
    </row>
    <row r="161" spans="1:5" x14ac:dyDescent="0.25">
      <c r="A161" t="s">
        <v>3329</v>
      </c>
      <c r="B161" t="s">
        <v>7062</v>
      </c>
      <c r="C161" t="s">
        <v>7063</v>
      </c>
      <c r="D161" t="s">
        <v>3332</v>
      </c>
      <c r="E161" t="s">
        <v>6786</v>
      </c>
    </row>
    <row r="162" spans="1:5" x14ac:dyDescent="0.25">
      <c r="A162" t="s">
        <v>3329</v>
      </c>
      <c r="B162" t="s">
        <v>7064</v>
      </c>
      <c r="C162" t="s">
        <v>7065</v>
      </c>
      <c r="D162" t="s">
        <v>3332</v>
      </c>
      <c r="E162" t="s">
        <v>6786</v>
      </c>
    </row>
    <row r="163" spans="1:5" x14ac:dyDescent="0.25">
      <c r="A163" t="s">
        <v>3329</v>
      </c>
      <c r="B163" t="s">
        <v>7066</v>
      </c>
      <c r="C163" t="s">
        <v>7067</v>
      </c>
      <c r="D163" t="s">
        <v>3332</v>
      </c>
      <c r="E163" t="s">
        <v>6786</v>
      </c>
    </row>
    <row r="164" spans="1:5" x14ac:dyDescent="0.25">
      <c r="A164" t="s">
        <v>3329</v>
      </c>
      <c r="B164" t="s">
        <v>7068</v>
      </c>
      <c r="C164" t="s">
        <v>7069</v>
      </c>
      <c r="D164" t="s">
        <v>3332</v>
      </c>
      <c r="E164" t="s">
        <v>6786</v>
      </c>
    </row>
    <row r="165" spans="1:5" x14ac:dyDescent="0.25">
      <c r="A165" t="s">
        <v>3329</v>
      </c>
      <c r="B165" t="s">
        <v>7070</v>
      </c>
      <c r="C165" t="s">
        <v>7071</v>
      </c>
      <c r="D165" t="s">
        <v>3332</v>
      </c>
      <c r="E165" t="s">
        <v>6786</v>
      </c>
    </row>
    <row r="166" spans="1:5" x14ac:dyDescent="0.25">
      <c r="A166" t="s">
        <v>3329</v>
      </c>
      <c r="B166" t="s">
        <v>7072</v>
      </c>
      <c r="C166" t="s">
        <v>7073</v>
      </c>
      <c r="D166" t="s">
        <v>3332</v>
      </c>
      <c r="E166" t="s">
        <v>6786</v>
      </c>
    </row>
    <row r="167" spans="1:5" x14ac:dyDescent="0.25">
      <c r="A167" t="s">
        <v>3329</v>
      </c>
      <c r="B167" t="s">
        <v>7074</v>
      </c>
      <c r="C167" t="s">
        <v>7075</v>
      </c>
      <c r="D167" t="s">
        <v>3332</v>
      </c>
      <c r="E167" t="s">
        <v>7008</v>
      </c>
    </row>
    <row r="168" spans="1:5" x14ac:dyDescent="0.25">
      <c r="A168" t="s">
        <v>3329</v>
      </c>
      <c r="B168" t="s">
        <v>7076</v>
      </c>
      <c r="C168" t="s">
        <v>7077</v>
      </c>
      <c r="D168" t="s">
        <v>3332</v>
      </c>
      <c r="E168" t="s">
        <v>7008</v>
      </c>
    </row>
    <row r="169" spans="1:5" x14ac:dyDescent="0.25">
      <c r="A169" t="s">
        <v>3329</v>
      </c>
      <c r="B169" t="s">
        <v>7078</v>
      </c>
      <c r="C169" t="s">
        <v>7079</v>
      </c>
      <c r="D169" t="s">
        <v>3332</v>
      </c>
      <c r="E169" t="s">
        <v>7008</v>
      </c>
    </row>
    <row r="170" spans="1:5" x14ac:dyDescent="0.25">
      <c r="A170" t="s">
        <v>3329</v>
      </c>
      <c r="B170" t="s">
        <v>7080</v>
      </c>
      <c r="C170" t="s">
        <v>7081</v>
      </c>
      <c r="D170" t="s">
        <v>3332</v>
      </c>
      <c r="E170" t="s">
        <v>7008</v>
      </c>
    </row>
    <row r="171" spans="1:5" x14ac:dyDescent="0.25">
      <c r="A171" t="s">
        <v>3329</v>
      </c>
      <c r="B171" t="s">
        <v>7082</v>
      </c>
      <c r="C171" t="s">
        <v>7083</v>
      </c>
      <c r="D171" t="s">
        <v>3332</v>
      </c>
      <c r="E171" t="s">
        <v>7008</v>
      </c>
    </row>
    <row r="172" spans="1:5" x14ac:dyDescent="0.25">
      <c r="A172" t="s">
        <v>3329</v>
      </c>
      <c r="B172" t="s">
        <v>7084</v>
      </c>
      <c r="C172" t="s">
        <v>7085</v>
      </c>
      <c r="D172" t="s">
        <v>3332</v>
      </c>
      <c r="E172" t="s">
        <v>7008</v>
      </c>
    </row>
    <row r="173" spans="1:5" x14ac:dyDescent="0.25">
      <c r="A173" t="s">
        <v>3329</v>
      </c>
      <c r="B173" t="s">
        <v>7086</v>
      </c>
      <c r="C173" t="s">
        <v>7087</v>
      </c>
      <c r="D173" t="s">
        <v>3332</v>
      </c>
      <c r="E173" t="s">
        <v>7008</v>
      </c>
    </row>
    <row r="174" spans="1:5" x14ac:dyDescent="0.25">
      <c r="A174" t="s">
        <v>3329</v>
      </c>
      <c r="B174" t="s">
        <v>7088</v>
      </c>
      <c r="C174" t="s">
        <v>7089</v>
      </c>
      <c r="D174" t="s">
        <v>3332</v>
      </c>
      <c r="E174" t="s">
        <v>6772</v>
      </c>
    </row>
    <row r="175" spans="1:5" x14ac:dyDescent="0.25">
      <c r="A175" t="s">
        <v>3329</v>
      </c>
      <c r="B175" t="s">
        <v>7090</v>
      </c>
      <c r="C175" t="s">
        <v>7091</v>
      </c>
      <c r="D175" t="s">
        <v>3332</v>
      </c>
      <c r="E175" t="s">
        <v>7013</v>
      </c>
    </row>
    <row r="176" spans="1:5" x14ac:dyDescent="0.25">
      <c r="A176" t="s">
        <v>3329</v>
      </c>
      <c r="B176" t="s">
        <v>7092</v>
      </c>
      <c r="C176" t="s">
        <v>7093</v>
      </c>
      <c r="D176" t="s">
        <v>6745</v>
      </c>
      <c r="E176" t="s">
        <v>7094</v>
      </c>
    </row>
    <row r="177" spans="1:5" x14ac:dyDescent="0.25">
      <c r="A177" t="s">
        <v>3329</v>
      </c>
      <c r="B177" t="s">
        <v>7095</v>
      </c>
      <c r="C177" t="s">
        <v>7096</v>
      </c>
      <c r="D177" t="s">
        <v>6745</v>
      </c>
      <c r="E177" t="s">
        <v>6809</v>
      </c>
    </row>
    <row r="178" spans="1:5" x14ac:dyDescent="0.25">
      <c r="A178" t="s">
        <v>3329</v>
      </c>
      <c r="B178" t="s">
        <v>7097</v>
      </c>
      <c r="C178" t="s">
        <v>7098</v>
      </c>
      <c r="D178" t="s">
        <v>6745</v>
      </c>
      <c r="E178" t="s">
        <v>6809</v>
      </c>
    </row>
    <row r="179" spans="1:5" x14ac:dyDescent="0.25">
      <c r="A179" t="s">
        <v>3329</v>
      </c>
      <c r="B179" t="s">
        <v>7099</v>
      </c>
      <c r="C179" t="s">
        <v>7100</v>
      </c>
      <c r="D179" t="s">
        <v>6745</v>
      </c>
      <c r="E179" t="s">
        <v>6809</v>
      </c>
    </row>
    <row r="180" spans="1:5" x14ac:dyDescent="0.25">
      <c r="A180" t="s">
        <v>3329</v>
      </c>
      <c r="B180" t="s">
        <v>7101</v>
      </c>
      <c r="C180" t="s">
        <v>7102</v>
      </c>
      <c r="D180" t="s">
        <v>6745</v>
      </c>
      <c r="E180" t="s">
        <v>6809</v>
      </c>
    </row>
    <row r="181" spans="1:5" x14ac:dyDescent="0.25">
      <c r="A181" t="s">
        <v>3329</v>
      </c>
      <c r="B181" t="s">
        <v>7103</v>
      </c>
      <c r="C181" t="s">
        <v>7104</v>
      </c>
      <c r="D181" t="s">
        <v>6745</v>
      </c>
      <c r="E181" t="s">
        <v>6809</v>
      </c>
    </row>
    <row r="182" spans="1:5" x14ac:dyDescent="0.25">
      <c r="A182" t="s">
        <v>3329</v>
      </c>
      <c r="B182" t="s">
        <v>7105</v>
      </c>
      <c r="C182" t="s">
        <v>7106</v>
      </c>
      <c r="D182" t="s">
        <v>6745</v>
      </c>
      <c r="E182" t="s">
        <v>6809</v>
      </c>
    </row>
    <row r="183" spans="1:5" x14ac:dyDescent="0.25">
      <c r="A183" t="s">
        <v>3329</v>
      </c>
      <c r="B183" t="s">
        <v>7107</v>
      </c>
      <c r="C183" t="s">
        <v>7108</v>
      </c>
      <c r="D183" t="s">
        <v>6745</v>
      </c>
      <c r="E183" t="s">
        <v>7109</v>
      </c>
    </row>
    <row r="184" spans="1:5" x14ac:dyDescent="0.25">
      <c r="A184" t="s">
        <v>3329</v>
      </c>
      <c r="B184" t="s">
        <v>7110</v>
      </c>
      <c r="C184" t="s">
        <v>7111</v>
      </c>
      <c r="D184" t="s">
        <v>6745</v>
      </c>
      <c r="E184" t="s">
        <v>7109</v>
      </c>
    </row>
    <row r="185" spans="1:5" x14ac:dyDescent="0.25">
      <c r="A185" t="s">
        <v>3329</v>
      </c>
      <c r="B185" t="s">
        <v>7112</v>
      </c>
      <c r="C185" t="s">
        <v>7113</v>
      </c>
      <c r="D185" t="s">
        <v>6745</v>
      </c>
      <c r="E185" t="s">
        <v>7094</v>
      </c>
    </row>
    <row r="186" spans="1:5" x14ac:dyDescent="0.25">
      <c r="A186" t="s">
        <v>3329</v>
      </c>
      <c r="B186" t="s">
        <v>7114</v>
      </c>
      <c r="C186" t="s">
        <v>7115</v>
      </c>
      <c r="D186" t="s">
        <v>6745</v>
      </c>
      <c r="E186" t="s">
        <v>7094</v>
      </c>
    </row>
    <row r="187" spans="1:5" x14ac:dyDescent="0.25">
      <c r="A187" t="s">
        <v>3329</v>
      </c>
      <c r="B187" t="s">
        <v>7116</v>
      </c>
      <c r="C187" t="s">
        <v>7117</v>
      </c>
      <c r="D187" t="s">
        <v>6745</v>
      </c>
      <c r="E187" t="s">
        <v>7109</v>
      </c>
    </row>
    <row r="188" spans="1:5" x14ac:dyDescent="0.25">
      <c r="A188" t="s">
        <v>3329</v>
      </c>
      <c r="B188" t="s">
        <v>7118</v>
      </c>
      <c r="C188" t="s">
        <v>7119</v>
      </c>
      <c r="D188" t="s">
        <v>6745</v>
      </c>
      <c r="E188" t="s">
        <v>7109</v>
      </c>
    </row>
    <row r="189" spans="1:5" x14ac:dyDescent="0.25">
      <c r="A189" t="s">
        <v>3329</v>
      </c>
      <c r="B189" t="s">
        <v>7120</v>
      </c>
      <c r="C189" t="s">
        <v>7121</v>
      </c>
      <c r="D189" t="s">
        <v>6745</v>
      </c>
      <c r="E189" t="s">
        <v>7109</v>
      </c>
    </row>
    <row r="190" spans="1:5" x14ac:dyDescent="0.25">
      <c r="A190" t="s">
        <v>3329</v>
      </c>
      <c r="B190" t="s">
        <v>7122</v>
      </c>
      <c r="C190" t="s">
        <v>7123</v>
      </c>
      <c r="D190" t="s">
        <v>6745</v>
      </c>
      <c r="E190" t="s">
        <v>7094</v>
      </c>
    </row>
    <row r="191" spans="1:5" x14ac:dyDescent="0.25">
      <c r="A191" t="s">
        <v>3329</v>
      </c>
      <c r="B191" t="s">
        <v>7124</v>
      </c>
      <c r="C191" t="s">
        <v>7125</v>
      </c>
      <c r="D191" t="s">
        <v>3332</v>
      </c>
      <c r="E191" t="s">
        <v>7126</v>
      </c>
    </row>
    <row r="192" spans="1:5" x14ac:dyDescent="0.25">
      <c r="A192" t="s">
        <v>3329</v>
      </c>
      <c r="B192" t="s">
        <v>7127</v>
      </c>
      <c r="C192" t="s">
        <v>7128</v>
      </c>
      <c r="D192" t="s">
        <v>6745</v>
      </c>
      <c r="E192" t="s">
        <v>7013</v>
      </c>
    </row>
    <row r="193" spans="1:5" x14ac:dyDescent="0.25">
      <c r="A193" t="s">
        <v>3329</v>
      </c>
      <c r="B193" t="s">
        <v>7129</v>
      </c>
      <c r="C193" t="s">
        <v>7130</v>
      </c>
      <c r="D193" t="s">
        <v>6745</v>
      </c>
      <c r="E193" t="s">
        <v>7013</v>
      </c>
    </row>
    <row r="194" spans="1:5" x14ac:dyDescent="0.25">
      <c r="A194" t="s">
        <v>3329</v>
      </c>
      <c r="B194" t="s">
        <v>7131</v>
      </c>
      <c r="C194" t="s">
        <v>7132</v>
      </c>
      <c r="D194" t="s">
        <v>6745</v>
      </c>
      <c r="E194" t="s">
        <v>7013</v>
      </c>
    </row>
    <row r="195" spans="1:5" x14ac:dyDescent="0.25">
      <c r="A195" t="s">
        <v>3329</v>
      </c>
      <c r="B195" t="s">
        <v>7133</v>
      </c>
      <c r="C195" t="s">
        <v>7134</v>
      </c>
      <c r="D195" t="s">
        <v>6745</v>
      </c>
      <c r="E195" t="s">
        <v>7013</v>
      </c>
    </row>
    <row r="196" spans="1:5" x14ac:dyDescent="0.25">
      <c r="A196" t="s">
        <v>3329</v>
      </c>
      <c r="B196" t="s">
        <v>7135</v>
      </c>
      <c r="C196" t="s">
        <v>7136</v>
      </c>
      <c r="D196" t="s">
        <v>6745</v>
      </c>
      <c r="E196" t="s">
        <v>6809</v>
      </c>
    </row>
    <row r="197" spans="1:5" x14ac:dyDescent="0.25">
      <c r="A197" t="s">
        <v>3329</v>
      </c>
      <c r="B197" t="s">
        <v>7137</v>
      </c>
      <c r="C197" t="s">
        <v>7138</v>
      </c>
      <c r="D197" t="s">
        <v>6745</v>
      </c>
      <c r="E197" t="s">
        <v>6809</v>
      </c>
    </row>
    <row r="198" spans="1:5" x14ac:dyDescent="0.25">
      <c r="A198" t="s">
        <v>3329</v>
      </c>
      <c r="B198" t="s">
        <v>7139</v>
      </c>
      <c r="C198" t="s">
        <v>7140</v>
      </c>
      <c r="D198" t="s">
        <v>6745</v>
      </c>
      <c r="E198" t="s">
        <v>6777</v>
      </c>
    </row>
    <row r="199" spans="1:5" x14ac:dyDescent="0.25">
      <c r="A199" t="s">
        <v>3329</v>
      </c>
      <c r="B199" t="s">
        <v>7141</v>
      </c>
      <c r="C199" t="s">
        <v>7142</v>
      </c>
      <c r="D199" t="s">
        <v>6745</v>
      </c>
      <c r="E199" t="s">
        <v>6777</v>
      </c>
    </row>
    <row r="200" spans="1:5" x14ac:dyDescent="0.25">
      <c r="A200" t="s">
        <v>3329</v>
      </c>
      <c r="B200" t="s">
        <v>7143</v>
      </c>
      <c r="C200" t="s">
        <v>7144</v>
      </c>
      <c r="D200" t="s">
        <v>6745</v>
      </c>
      <c r="E200" t="s">
        <v>6809</v>
      </c>
    </row>
    <row r="201" spans="1:5" x14ac:dyDescent="0.25">
      <c r="A201" t="s">
        <v>3329</v>
      </c>
      <c r="B201" t="s">
        <v>7145</v>
      </c>
      <c r="C201" t="s">
        <v>7146</v>
      </c>
      <c r="D201" t="s">
        <v>6745</v>
      </c>
      <c r="E201" t="s">
        <v>6777</v>
      </c>
    </row>
    <row r="202" spans="1:5" x14ac:dyDescent="0.25">
      <c r="A202" t="s">
        <v>3329</v>
      </c>
      <c r="B202" t="s">
        <v>7147</v>
      </c>
      <c r="C202" t="s">
        <v>7148</v>
      </c>
      <c r="D202" t="s">
        <v>6745</v>
      </c>
      <c r="E202" t="s">
        <v>6777</v>
      </c>
    </row>
    <row r="203" spans="1:5" x14ac:dyDescent="0.25">
      <c r="A203" t="s">
        <v>3329</v>
      </c>
      <c r="B203" t="s">
        <v>7149</v>
      </c>
      <c r="C203" t="s">
        <v>7150</v>
      </c>
      <c r="D203" t="s">
        <v>6745</v>
      </c>
      <c r="E203" t="s">
        <v>6777</v>
      </c>
    </row>
    <row r="204" spans="1:5" x14ac:dyDescent="0.25">
      <c r="A204" t="s">
        <v>3329</v>
      </c>
      <c r="B204" t="s">
        <v>7151</v>
      </c>
      <c r="C204" t="s">
        <v>7152</v>
      </c>
      <c r="D204" t="s">
        <v>6745</v>
      </c>
      <c r="E204" t="s">
        <v>6777</v>
      </c>
    </row>
    <row r="205" spans="1:5" x14ac:dyDescent="0.25">
      <c r="A205" t="s">
        <v>3329</v>
      </c>
      <c r="B205" t="s">
        <v>7153</v>
      </c>
      <c r="C205" t="s">
        <v>7154</v>
      </c>
      <c r="D205" t="s">
        <v>6745</v>
      </c>
      <c r="E205" t="s">
        <v>7155</v>
      </c>
    </row>
    <row r="206" spans="1:5" x14ac:dyDescent="0.25">
      <c r="A206" t="s">
        <v>3329</v>
      </c>
      <c r="B206" t="s">
        <v>7156</v>
      </c>
      <c r="C206" t="s">
        <v>7157</v>
      </c>
      <c r="D206" t="s">
        <v>6745</v>
      </c>
      <c r="E206" t="s">
        <v>7155</v>
      </c>
    </row>
    <row r="207" spans="1:5" x14ac:dyDescent="0.25">
      <c r="A207" t="s">
        <v>3329</v>
      </c>
      <c r="B207" t="s">
        <v>7158</v>
      </c>
      <c r="C207" t="s">
        <v>7159</v>
      </c>
      <c r="D207" t="s">
        <v>6745</v>
      </c>
      <c r="E207" t="s">
        <v>7155</v>
      </c>
    </row>
    <row r="208" spans="1:5" x14ac:dyDescent="0.25">
      <c r="A208" t="s">
        <v>3329</v>
      </c>
      <c r="B208" t="s">
        <v>7160</v>
      </c>
      <c r="C208" t="s">
        <v>7161</v>
      </c>
      <c r="D208" t="s">
        <v>6745</v>
      </c>
      <c r="E208" t="s">
        <v>7155</v>
      </c>
    </row>
    <row r="209" spans="1:5" x14ac:dyDescent="0.25">
      <c r="A209" t="s">
        <v>3329</v>
      </c>
      <c r="B209" t="s">
        <v>7162</v>
      </c>
      <c r="C209" t="s">
        <v>7163</v>
      </c>
      <c r="D209" t="s">
        <v>6745</v>
      </c>
      <c r="E209" t="s">
        <v>7155</v>
      </c>
    </row>
    <row r="210" spans="1:5" x14ac:dyDescent="0.25">
      <c r="A210" t="s">
        <v>3329</v>
      </c>
      <c r="B210" t="s">
        <v>7164</v>
      </c>
      <c r="C210" t="s">
        <v>7165</v>
      </c>
      <c r="D210" t="s">
        <v>6745</v>
      </c>
      <c r="E210" t="s">
        <v>7155</v>
      </c>
    </row>
    <row r="211" spans="1:5" x14ac:dyDescent="0.25">
      <c r="A211" t="s">
        <v>3329</v>
      </c>
      <c r="B211" t="s">
        <v>7166</v>
      </c>
      <c r="C211" t="s">
        <v>7167</v>
      </c>
      <c r="D211" t="s">
        <v>6745</v>
      </c>
      <c r="E211" t="s">
        <v>7155</v>
      </c>
    </row>
    <row r="212" spans="1:5" x14ac:dyDescent="0.25">
      <c r="A212" t="s">
        <v>3329</v>
      </c>
      <c r="B212" t="s">
        <v>7168</v>
      </c>
      <c r="C212" t="s">
        <v>7169</v>
      </c>
      <c r="D212" t="s">
        <v>6745</v>
      </c>
      <c r="E212" t="s">
        <v>7155</v>
      </c>
    </row>
    <row r="213" spans="1:5" x14ac:dyDescent="0.25">
      <c r="A213" t="s">
        <v>3329</v>
      </c>
      <c r="B213" t="s">
        <v>7170</v>
      </c>
      <c r="C213" t="s">
        <v>7171</v>
      </c>
      <c r="D213" t="s">
        <v>6745</v>
      </c>
      <c r="E213" t="s">
        <v>7155</v>
      </c>
    </row>
    <row r="214" spans="1:5" x14ac:dyDescent="0.25">
      <c r="A214" t="s">
        <v>3329</v>
      </c>
      <c r="B214" t="s">
        <v>7172</v>
      </c>
      <c r="C214" t="s">
        <v>7173</v>
      </c>
      <c r="D214" t="s">
        <v>6745</v>
      </c>
      <c r="E214" t="s">
        <v>7155</v>
      </c>
    </row>
    <row r="215" spans="1:5" x14ac:dyDescent="0.25">
      <c r="A215" t="s">
        <v>3329</v>
      </c>
      <c r="B215" t="s">
        <v>7174</v>
      </c>
      <c r="C215" t="s">
        <v>7175</v>
      </c>
      <c r="D215" t="s">
        <v>6745</v>
      </c>
      <c r="E215" t="s">
        <v>6777</v>
      </c>
    </row>
    <row r="216" spans="1:5" x14ac:dyDescent="0.25">
      <c r="A216" t="s">
        <v>3329</v>
      </c>
      <c r="B216" t="s">
        <v>7176</v>
      </c>
      <c r="C216" t="s">
        <v>7177</v>
      </c>
      <c r="D216" t="s">
        <v>6745</v>
      </c>
      <c r="E216" t="s">
        <v>7155</v>
      </c>
    </row>
    <row r="217" spans="1:5" x14ac:dyDescent="0.25">
      <c r="A217" t="s">
        <v>3329</v>
      </c>
      <c r="B217" t="s">
        <v>7178</v>
      </c>
      <c r="C217" t="s">
        <v>7179</v>
      </c>
      <c r="D217" t="s">
        <v>6745</v>
      </c>
      <c r="E217" t="s">
        <v>7155</v>
      </c>
    </row>
    <row r="218" spans="1:5" x14ac:dyDescent="0.25">
      <c r="A218" t="s">
        <v>3329</v>
      </c>
      <c r="B218" t="s">
        <v>7180</v>
      </c>
      <c r="C218" t="s">
        <v>7181</v>
      </c>
      <c r="D218" t="s">
        <v>6745</v>
      </c>
      <c r="E218" t="s">
        <v>7094</v>
      </c>
    </row>
    <row r="219" spans="1:5" x14ac:dyDescent="0.25">
      <c r="A219" t="s">
        <v>3329</v>
      </c>
      <c r="B219" t="s">
        <v>7182</v>
      </c>
      <c r="C219" t="s">
        <v>7183</v>
      </c>
      <c r="D219" t="s">
        <v>6745</v>
      </c>
      <c r="E219" t="s">
        <v>6777</v>
      </c>
    </row>
    <row r="220" spans="1:5" x14ac:dyDescent="0.25">
      <c r="A220" t="s">
        <v>3329</v>
      </c>
      <c r="B220" t="s">
        <v>7184</v>
      </c>
      <c r="C220" t="s">
        <v>7185</v>
      </c>
      <c r="D220" t="s">
        <v>6745</v>
      </c>
      <c r="E220" t="s">
        <v>6777</v>
      </c>
    </row>
    <row r="221" spans="1:5" x14ac:dyDescent="0.25">
      <c r="A221" t="s">
        <v>3329</v>
      </c>
      <c r="B221" t="s">
        <v>7186</v>
      </c>
      <c r="C221" t="s">
        <v>7187</v>
      </c>
      <c r="D221" t="s">
        <v>6745</v>
      </c>
      <c r="E221" t="s">
        <v>6777</v>
      </c>
    </row>
    <row r="222" spans="1:5" x14ac:dyDescent="0.25">
      <c r="A222" t="s">
        <v>3329</v>
      </c>
      <c r="B222" t="s">
        <v>7188</v>
      </c>
      <c r="C222" t="s">
        <v>7189</v>
      </c>
      <c r="D222" t="s">
        <v>6745</v>
      </c>
      <c r="E222" t="s">
        <v>7094</v>
      </c>
    </row>
    <row r="223" spans="1:5" x14ac:dyDescent="0.25">
      <c r="A223" t="s">
        <v>3329</v>
      </c>
      <c r="B223" t="s">
        <v>7190</v>
      </c>
      <c r="C223" t="s">
        <v>7191</v>
      </c>
      <c r="D223" t="s">
        <v>6745</v>
      </c>
      <c r="E223" t="s">
        <v>7109</v>
      </c>
    </row>
    <row r="224" spans="1:5" x14ac:dyDescent="0.25">
      <c r="A224" t="s">
        <v>3329</v>
      </c>
      <c r="B224" t="s">
        <v>7192</v>
      </c>
      <c r="C224" t="s">
        <v>7193</v>
      </c>
      <c r="D224" t="s">
        <v>6745</v>
      </c>
      <c r="E224" t="s">
        <v>6809</v>
      </c>
    </row>
    <row r="225" spans="1:5" x14ac:dyDescent="0.25">
      <c r="A225" t="s">
        <v>3329</v>
      </c>
      <c r="B225" t="s">
        <v>7194</v>
      </c>
      <c r="C225" t="s">
        <v>7195</v>
      </c>
      <c r="D225" t="s">
        <v>6745</v>
      </c>
      <c r="E225" t="s">
        <v>7094</v>
      </c>
    </row>
    <row r="226" spans="1:5" x14ac:dyDescent="0.25">
      <c r="A226" t="s">
        <v>3329</v>
      </c>
      <c r="B226" t="s">
        <v>7196</v>
      </c>
      <c r="C226" t="s">
        <v>7197</v>
      </c>
      <c r="D226" t="s">
        <v>6745</v>
      </c>
      <c r="E226" t="s">
        <v>7109</v>
      </c>
    </row>
    <row r="227" spans="1:5" x14ac:dyDescent="0.25">
      <c r="A227" t="s">
        <v>3329</v>
      </c>
      <c r="B227" t="s">
        <v>7198</v>
      </c>
      <c r="C227" t="s">
        <v>7199</v>
      </c>
      <c r="D227" t="s">
        <v>6745</v>
      </c>
      <c r="E227" t="s">
        <v>7094</v>
      </c>
    </row>
    <row r="228" spans="1:5" x14ac:dyDescent="0.25">
      <c r="A228" t="s">
        <v>3329</v>
      </c>
      <c r="B228" t="s">
        <v>7200</v>
      </c>
      <c r="C228" t="s">
        <v>7201</v>
      </c>
      <c r="D228" t="s">
        <v>6745</v>
      </c>
      <c r="E228" t="s">
        <v>7094</v>
      </c>
    </row>
    <row r="229" spans="1:5" x14ac:dyDescent="0.25">
      <c r="A229" t="s">
        <v>3329</v>
      </c>
      <c r="B229" t="s">
        <v>7202</v>
      </c>
      <c r="C229" t="s">
        <v>7203</v>
      </c>
      <c r="D229" t="s">
        <v>6745</v>
      </c>
      <c r="E229" t="s">
        <v>7094</v>
      </c>
    </row>
    <row r="230" spans="1:5" x14ac:dyDescent="0.25">
      <c r="A230" t="s">
        <v>3329</v>
      </c>
      <c r="B230" t="s">
        <v>7204</v>
      </c>
      <c r="C230" t="s">
        <v>7205</v>
      </c>
      <c r="D230" t="s">
        <v>6745</v>
      </c>
      <c r="E230" t="s">
        <v>7094</v>
      </c>
    </row>
    <row r="231" spans="1:5" x14ac:dyDescent="0.25">
      <c r="A231" t="s">
        <v>3329</v>
      </c>
      <c r="B231" t="s">
        <v>7206</v>
      </c>
      <c r="C231" t="s">
        <v>7207</v>
      </c>
      <c r="D231" t="s">
        <v>6745</v>
      </c>
      <c r="E231" t="s">
        <v>7094</v>
      </c>
    </row>
    <row r="232" spans="1:5" x14ac:dyDescent="0.25">
      <c r="A232" t="s">
        <v>3329</v>
      </c>
      <c r="B232" t="s">
        <v>7208</v>
      </c>
      <c r="C232" t="s">
        <v>7209</v>
      </c>
      <c r="D232" t="s">
        <v>6745</v>
      </c>
      <c r="E232" t="s">
        <v>7094</v>
      </c>
    </row>
    <row r="233" spans="1:5" x14ac:dyDescent="0.25">
      <c r="A233" t="s">
        <v>3329</v>
      </c>
      <c r="B233" t="s">
        <v>7210</v>
      </c>
      <c r="C233" t="s">
        <v>7211</v>
      </c>
      <c r="D233" t="s">
        <v>6745</v>
      </c>
      <c r="E233" t="s">
        <v>7094</v>
      </c>
    </row>
    <row r="234" spans="1:5" x14ac:dyDescent="0.25">
      <c r="A234" t="s">
        <v>3329</v>
      </c>
      <c r="B234" t="s">
        <v>7212</v>
      </c>
      <c r="C234" t="s">
        <v>7213</v>
      </c>
      <c r="D234" t="s">
        <v>6745</v>
      </c>
      <c r="E234" t="s">
        <v>6809</v>
      </c>
    </row>
    <row r="235" spans="1:5" x14ac:dyDescent="0.25">
      <c r="A235" t="s">
        <v>3329</v>
      </c>
      <c r="B235" t="s">
        <v>7214</v>
      </c>
      <c r="C235" t="s">
        <v>7215</v>
      </c>
      <c r="D235" t="s">
        <v>6745</v>
      </c>
      <c r="E235" t="s">
        <v>6809</v>
      </c>
    </row>
    <row r="236" spans="1:5" x14ac:dyDescent="0.25">
      <c r="A236" t="s">
        <v>3329</v>
      </c>
      <c r="B236" t="s">
        <v>7216</v>
      </c>
      <c r="C236" t="s">
        <v>7217</v>
      </c>
      <c r="D236" t="s">
        <v>6745</v>
      </c>
      <c r="E236" t="s">
        <v>6777</v>
      </c>
    </row>
    <row r="237" spans="1:5" x14ac:dyDescent="0.25">
      <c r="A237" t="s">
        <v>3329</v>
      </c>
      <c r="B237" t="s">
        <v>7218</v>
      </c>
      <c r="C237" t="s">
        <v>7219</v>
      </c>
      <c r="D237" t="s">
        <v>6745</v>
      </c>
      <c r="E237" t="s">
        <v>6777</v>
      </c>
    </row>
    <row r="238" spans="1:5" x14ac:dyDescent="0.25">
      <c r="A238" t="s">
        <v>3329</v>
      </c>
      <c r="B238" t="s">
        <v>7220</v>
      </c>
      <c r="C238" t="s">
        <v>7221</v>
      </c>
      <c r="D238" t="s">
        <v>6745</v>
      </c>
      <c r="E238" t="s">
        <v>6777</v>
      </c>
    </row>
    <row r="239" spans="1:5" x14ac:dyDescent="0.25">
      <c r="A239" t="s">
        <v>3329</v>
      </c>
      <c r="B239" t="s">
        <v>7222</v>
      </c>
      <c r="C239" t="s">
        <v>7223</v>
      </c>
      <c r="D239" t="s">
        <v>6745</v>
      </c>
      <c r="E239" t="s">
        <v>6777</v>
      </c>
    </row>
    <row r="240" spans="1:5" x14ac:dyDescent="0.25">
      <c r="A240" t="s">
        <v>3329</v>
      </c>
      <c r="B240" t="s">
        <v>7224</v>
      </c>
      <c r="C240" t="s">
        <v>7225</v>
      </c>
      <c r="D240" t="s">
        <v>6745</v>
      </c>
      <c r="E240" t="s">
        <v>7109</v>
      </c>
    </row>
    <row r="241" spans="1:5" x14ac:dyDescent="0.25">
      <c r="A241" t="s">
        <v>3329</v>
      </c>
      <c r="B241" t="s">
        <v>7226</v>
      </c>
      <c r="C241" t="s">
        <v>7227</v>
      </c>
      <c r="D241" t="s">
        <v>6745</v>
      </c>
      <c r="E241" t="s">
        <v>7094</v>
      </c>
    </row>
    <row r="242" spans="1:5" x14ac:dyDescent="0.25">
      <c r="A242" t="s">
        <v>3329</v>
      </c>
      <c r="B242" t="s">
        <v>7228</v>
      </c>
      <c r="C242" t="s">
        <v>7229</v>
      </c>
      <c r="D242" t="s">
        <v>6745</v>
      </c>
      <c r="E242" t="s">
        <v>7094</v>
      </c>
    </row>
    <row r="243" spans="1:5" x14ac:dyDescent="0.25">
      <c r="A243" t="s">
        <v>3329</v>
      </c>
      <c r="B243" t="s">
        <v>7230</v>
      </c>
      <c r="C243" t="s">
        <v>7231</v>
      </c>
      <c r="D243" t="s">
        <v>6745</v>
      </c>
      <c r="E243" t="s">
        <v>7109</v>
      </c>
    </row>
    <row r="244" spans="1:5" x14ac:dyDescent="0.25">
      <c r="A244" t="s">
        <v>3329</v>
      </c>
      <c r="B244" t="s">
        <v>7232</v>
      </c>
      <c r="C244" t="s">
        <v>7233</v>
      </c>
      <c r="D244" t="s">
        <v>6745</v>
      </c>
      <c r="E244" t="s">
        <v>6809</v>
      </c>
    </row>
    <row r="245" spans="1:5" x14ac:dyDescent="0.25">
      <c r="A245" t="s">
        <v>3329</v>
      </c>
      <c r="B245" t="s">
        <v>7234</v>
      </c>
      <c r="C245" t="s">
        <v>7235</v>
      </c>
      <c r="D245" t="s">
        <v>6745</v>
      </c>
      <c r="E245" t="s">
        <v>6809</v>
      </c>
    </row>
    <row r="246" spans="1:5" x14ac:dyDescent="0.25">
      <c r="A246" t="s">
        <v>3329</v>
      </c>
      <c r="B246" t="s">
        <v>7236</v>
      </c>
      <c r="C246" t="s">
        <v>7237</v>
      </c>
      <c r="D246" t="s">
        <v>6745</v>
      </c>
      <c r="E246" t="s">
        <v>6809</v>
      </c>
    </row>
    <row r="247" spans="1:5" x14ac:dyDescent="0.25">
      <c r="A247" t="s">
        <v>3329</v>
      </c>
      <c r="B247" t="s">
        <v>7238</v>
      </c>
      <c r="C247" t="s">
        <v>7239</v>
      </c>
      <c r="D247" t="s">
        <v>6745</v>
      </c>
      <c r="E247" t="s">
        <v>6809</v>
      </c>
    </row>
    <row r="248" spans="1:5" x14ac:dyDescent="0.25">
      <c r="A248" t="s">
        <v>3329</v>
      </c>
      <c r="B248" t="s">
        <v>7240</v>
      </c>
      <c r="C248" t="s">
        <v>7241</v>
      </c>
      <c r="D248" t="s">
        <v>6745</v>
      </c>
      <c r="E248" t="s">
        <v>6777</v>
      </c>
    </row>
    <row r="249" spans="1:5" x14ac:dyDescent="0.25">
      <c r="A249" t="s">
        <v>3329</v>
      </c>
      <c r="B249" t="s">
        <v>7242</v>
      </c>
      <c r="C249" t="s">
        <v>7243</v>
      </c>
      <c r="D249" t="s">
        <v>6745</v>
      </c>
      <c r="E249" t="s">
        <v>6777</v>
      </c>
    </row>
    <row r="250" spans="1:5" x14ac:dyDescent="0.25">
      <c r="A250" t="s">
        <v>3329</v>
      </c>
      <c r="B250" t="s">
        <v>7244</v>
      </c>
      <c r="C250" t="s">
        <v>7245</v>
      </c>
      <c r="D250" t="s">
        <v>6745</v>
      </c>
      <c r="E250" t="s">
        <v>6777</v>
      </c>
    </row>
    <row r="251" spans="1:5" x14ac:dyDescent="0.25">
      <c r="A251" t="s">
        <v>3329</v>
      </c>
      <c r="B251" t="s">
        <v>7246</v>
      </c>
      <c r="C251" t="s">
        <v>7247</v>
      </c>
      <c r="D251" t="s">
        <v>6745</v>
      </c>
      <c r="E251" t="s">
        <v>6777</v>
      </c>
    </row>
    <row r="252" spans="1:5" x14ac:dyDescent="0.25">
      <c r="A252" t="s">
        <v>3329</v>
      </c>
      <c r="B252" t="s">
        <v>7248</v>
      </c>
      <c r="C252" t="s">
        <v>7249</v>
      </c>
      <c r="D252" t="s">
        <v>6745</v>
      </c>
      <c r="E252" t="s">
        <v>6777</v>
      </c>
    </row>
    <row r="253" spans="1:5" x14ac:dyDescent="0.25">
      <c r="A253" t="s">
        <v>3329</v>
      </c>
      <c r="B253" t="s">
        <v>7250</v>
      </c>
      <c r="C253" t="s">
        <v>7251</v>
      </c>
      <c r="D253" t="s">
        <v>6745</v>
      </c>
      <c r="E253" t="s">
        <v>7109</v>
      </c>
    </row>
    <row r="254" spans="1:5" x14ac:dyDescent="0.25">
      <c r="A254" t="s">
        <v>3329</v>
      </c>
      <c r="B254" t="s">
        <v>7252</v>
      </c>
      <c r="C254" t="s">
        <v>7253</v>
      </c>
      <c r="D254" t="s">
        <v>6745</v>
      </c>
      <c r="E254" t="s">
        <v>7109</v>
      </c>
    </row>
    <row r="255" spans="1:5" x14ac:dyDescent="0.25">
      <c r="A255" t="s">
        <v>3329</v>
      </c>
      <c r="B255" t="s">
        <v>7254</v>
      </c>
      <c r="C255" t="s">
        <v>7255</v>
      </c>
      <c r="D255" t="s">
        <v>6745</v>
      </c>
      <c r="E255" t="s">
        <v>7109</v>
      </c>
    </row>
    <row r="256" spans="1:5" x14ac:dyDescent="0.25">
      <c r="A256" t="s">
        <v>3329</v>
      </c>
      <c r="B256" t="s">
        <v>7256</v>
      </c>
      <c r="C256" t="s">
        <v>7257</v>
      </c>
      <c r="D256" t="s">
        <v>6745</v>
      </c>
      <c r="E256" t="s">
        <v>7155</v>
      </c>
    </row>
    <row r="257" spans="1:5" x14ac:dyDescent="0.25">
      <c r="A257" t="s">
        <v>3329</v>
      </c>
      <c r="B257" t="s">
        <v>7258</v>
      </c>
      <c r="C257" t="s">
        <v>7259</v>
      </c>
      <c r="D257" t="s">
        <v>6745</v>
      </c>
      <c r="E257" t="s">
        <v>7155</v>
      </c>
    </row>
    <row r="258" spans="1:5" x14ac:dyDescent="0.25">
      <c r="A258" t="s">
        <v>3329</v>
      </c>
      <c r="B258" t="s">
        <v>7260</v>
      </c>
      <c r="C258" t="s">
        <v>7261</v>
      </c>
      <c r="D258" t="s">
        <v>6745</v>
      </c>
      <c r="E258" t="s">
        <v>7155</v>
      </c>
    </row>
    <row r="259" spans="1:5" x14ac:dyDescent="0.25">
      <c r="A259" t="s">
        <v>3329</v>
      </c>
      <c r="B259" t="s">
        <v>7262</v>
      </c>
      <c r="C259" t="s">
        <v>7263</v>
      </c>
      <c r="D259" t="s">
        <v>6745</v>
      </c>
      <c r="E259" t="s">
        <v>7155</v>
      </c>
    </row>
    <row r="260" spans="1:5" x14ac:dyDescent="0.25">
      <c r="A260" t="s">
        <v>3329</v>
      </c>
      <c r="B260" t="s">
        <v>7264</v>
      </c>
      <c r="C260" t="s">
        <v>7265</v>
      </c>
      <c r="D260" t="s">
        <v>6745</v>
      </c>
      <c r="E260" t="s">
        <v>6809</v>
      </c>
    </row>
    <row r="261" spans="1:5" x14ac:dyDescent="0.25">
      <c r="A261" t="s">
        <v>3329</v>
      </c>
      <c r="B261" t="s">
        <v>7266</v>
      </c>
      <c r="C261" t="s">
        <v>7267</v>
      </c>
      <c r="D261" t="s">
        <v>6745</v>
      </c>
      <c r="E261" t="s">
        <v>7094</v>
      </c>
    </row>
    <row r="262" spans="1:5" x14ac:dyDescent="0.25">
      <c r="A262" t="s">
        <v>3329</v>
      </c>
      <c r="B262" t="s">
        <v>7268</v>
      </c>
      <c r="C262" t="s">
        <v>7269</v>
      </c>
      <c r="D262" t="s">
        <v>6745</v>
      </c>
      <c r="E262" t="s">
        <v>7094</v>
      </c>
    </row>
    <row r="263" spans="1:5" x14ac:dyDescent="0.25">
      <c r="A263" t="s">
        <v>3329</v>
      </c>
      <c r="B263" t="s">
        <v>7270</v>
      </c>
      <c r="C263" t="s">
        <v>7271</v>
      </c>
      <c r="D263" t="s">
        <v>6745</v>
      </c>
      <c r="E263" t="s">
        <v>7094</v>
      </c>
    </row>
    <row r="264" spans="1:5" x14ac:dyDescent="0.25">
      <c r="A264" t="s">
        <v>3329</v>
      </c>
      <c r="B264" t="s">
        <v>7272</v>
      </c>
      <c r="C264" t="s">
        <v>7273</v>
      </c>
      <c r="D264" t="s">
        <v>6745</v>
      </c>
      <c r="E264" t="s">
        <v>7094</v>
      </c>
    </row>
    <row r="265" spans="1:5" x14ac:dyDescent="0.25">
      <c r="A265" t="s">
        <v>3329</v>
      </c>
      <c r="B265" t="s">
        <v>7274</v>
      </c>
      <c r="C265" t="s">
        <v>7275</v>
      </c>
      <c r="D265" t="s">
        <v>6745</v>
      </c>
      <c r="E265" t="s">
        <v>7094</v>
      </c>
    </row>
    <row r="266" spans="1:5" x14ac:dyDescent="0.25">
      <c r="A266" t="s">
        <v>3329</v>
      </c>
      <c r="B266" t="s">
        <v>7276</v>
      </c>
      <c r="C266" t="s">
        <v>7277</v>
      </c>
      <c r="D266" t="s">
        <v>6745</v>
      </c>
      <c r="E266" t="s">
        <v>7094</v>
      </c>
    </row>
    <row r="267" spans="1:5" x14ac:dyDescent="0.25">
      <c r="A267" t="s">
        <v>3329</v>
      </c>
      <c r="B267" t="s">
        <v>7278</v>
      </c>
      <c r="C267" t="s">
        <v>7279</v>
      </c>
      <c r="D267" t="s">
        <v>6745</v>
      </c>
      <c r="E267" t="s">
        <v>7094</v>
      </c>
    </row>
    <row r="268" spans="1:5" x14ac:dyDescent="0.25">
      <c r="A268" t="s">
        <v>3329</v>
      </c>
      <c r="B268" t="s">
        <v>7280</v>
      </c>
      <c r="C268" t="s">
        <v>7281</v>
      </c>
      <c r="D268" t="s">
        <v>6745</v>
      </c>
      <c r="E268" t="s">
        <v>7094</v>
      </c>
    </row>
    <row r="269" spans="1:5" x14ac:dyDescent="0.25">
      <c r="A269" t="s">
        <v>3329</v>
      </c>
      <c r="B269" t="s">
        <v>7282</v>
      </c>
      <c r="C269" t="s">
        <v>7283</v>
      </c>
      <c r="D269" t="s">
        <v>6745</v>
      </c>
      <c r="E269" t="s">
        <v>7094</v>
      </c>
    </row>
    <row r="270" spans="1:5" x14ac:dyDescent="0.25">
      <c r="A270" t="s">
        <v>3329</v>
      </c>
      <c r="B270" t="s">
        <v>7284</v>
      </c>
      <c r="C270" t="s">
        <v>7285</v>
      </c>
      <c r="D270" t="s">
        <v>6745</v>
      </c>
      <c r="E270" t="s">
        <v>7094</v>
      </c>
    </row>
    <row r="271" spans="1:5" x14ac:dyDescent="0.25">
      <c r="A271" t="s">
        <v>3329</v>
      </c>
      <c r="B271" t="s">
        <v>7286</v>
      </c>
      <c r="C271" t="s">
        <v>7287</v>
      </c>
      <c r="D271" t="s">
        <v>6745</v>
      </c>
      <c r="E271" t="s">
        <v>7094</v>
      </c>
    </row>
    <row r="272" spans="1:5" x14ac:dyDescent="0.25">
      <c r="A272" t="s">
        <v>3329</v>
      </c>
      <c r="B272" t="s">
        <v>7288</v>
      </c>
      <c r="C272" t="s">
        <v>7289</v>
      </c>
      <c r="D272" t="s">
        <v>6745</v>
      </c>
      <c r="E272" t="s">
        <v>7094</v>
      </c>
    </row>
    <row r="273" spans="1:5" x14ac:dyDescent="0.25">
      <c r="A273" t="s">
        <v>3329</v>
      </c>
      <c r="B273" t="s">
        <v>7290</v>
      </c>
      <c r="C273" t="s">
        <v>7291</v>
      </c>
      <c r="D273" t="s">
        <v>6745</v>
      </c>
      <c r="E273" t="s">
        <v>7292</v>
      </c>
    </row>
    <row r="274" spans="1:5" x14ac:dyDescent="0.25">
      <c r="A274" t="s">
        <v>3329</v>
      </c>
      <c r="B274" t="s">
        <v>7293</v>
      </c>
      <c r="C274" t="s">
        <v>7294</v>
      </c>
      <c r="D274" t="s">
        <v>6745</v>
      </c>
      <c r="E274" t="s">
        <v>7295</v>
      </c>
    </row>
    <row r="275" spans="1:5" x14ac:dyDescent="0.25">
      <c r="A275" t="s">
        <v>3329</v>
      </c>
      <c r="B275" t="s">
        <v>7296</v>
      </c>
      <c r="C275" t="s">
        <v>7297</v>
      </c>
      <c r="D275" t="s">
        <v>6745</v>
      </c>
      <c r="E275" t="s">
        <v>7295</v>
      </c>
    </row>
    <row r="276" spans="1:5" x14ac:dyDescent="0.25">
      <c r="A276" t="s">
        <v>3329</v>
      </c>
      <c r="B276" t="s">
        <v>7298</v>
      </c>
      <c r="C276" t="s">
        <v>7299</v>
      </c>
      <c r="D276" t="s">
        <v>6745</v>
      </c>
      <c r="E276" t="s">
        <v>7295</v>
      </c>
    </row>
    <row r="277" spans="1:5" x14ac:dyDescent="0.25">
      <c r="A277" t="s">
        <v>3329</v>
      </c>
      <c r="B277" t="s">
        <v>7300</v>
      </c>
      <c r="C277" t="s">
        <v>7301</v>
      </c>
      <c r="D277" t="s">
        <v>6745</v>
      </c>
      <c r="E277" t="s">
        <v>7295</v>
      </c>
    </row>
    <row r="278" spans="1:5" x14ac:dyDescent="0.25">
      <c r="A278" t="s">
        <v>3329</v>
      </c>
      <c r="B278" t="s">
        <v>7302</v>
      </c>
      <c r="C278" t="s">
        <v>7303</v>
      </c>
      <c r="D278" t="s">
        <v>6745</v>
      </c>
      <c r="E278" t="s">
        <v>7295</v>
      </c>
    </row>
    <row r="279" spans="1:5" x14ac:dyDescent="0.25">
      <c r="A279" t="s">
        <v>3329</v>
      </c>
      <c r="B279" t="s">
        <v>7304</v>
      </c>
      <c r="C279" t="s">
        <v>7305</v>
      </c>
      <c r="D279" t="s">
        <v>6745</v>
      </c>
      <c r="E279" t="s">
        <v>7295</v>
      </c>
    </row>
    <row r="280" spans="1:5" x14ac:dyDescent="0.25">
      <c r="A280" t="s">
        <v>3329</v>
      </c>
      <c r="B280" t="s">
        <v>7306</v>
      </c>
      <c r="C280" t="s">
        <v>7307</v>
      </c>
      <c r="D280" t="s">
        <v>6745</v>
      </c>
      <c r="E280" t="s">
        <v>7295</v>
      </c>
    </row>
    <row r="281" spans="1:5" x14ac:dyDescent="0.25">
      <c r="A281" t="s">
        <v>3329</v>
      </c>
      <c r="B281" t="s">
        <v>7308</v>
      </c>
      <c r="C281" t="s">
        <v>7309</v>
      </c>
      <c r="D281" t="s">
        <v>6745</v>
      </c>
      <c r="E281" t="s">
        <v>7295</v>
      </c>
    </row>
    <row r="282" spans="1:5" x14ac:dyDescent="0.25">
      <c r="A282" t="s">
        <v>3329</v>
      </c>
      <c r="B282" t="s">
        <v>7310</v>
      </c>
      <c r="C282" t="s">
        <v>7311</v>
      </c>
      <c r="D282" t="s">
        <v>6745</v>
      </c>
      <c r="E282" t="s">
        <v>7295</v>
      </c>
    </row>
    <row r="283" spans="1:5" x14ac:dyDescent="0.25">
      <c r="A283" t="s">
        <v>3329</v>
      </c>
      <c r="B283" t="s">
        <v>7312</v>
      </c>
      <c r="C283" t="s">
        <v>7313</v>
      </c>
      <c r="D283" t="s">
        <v>6745</v>
      </c>
      <c r="E283" t="s">
        <v>7295</v>
      </c>
    </row>
    <row r="284" spans="1:5" x14ac:dyDescent="0.25">
      <c r="A284" t="s">
        <v>3329</v>
      </c>
      <c r="B284" t="s">
        <v>7314</v>
      </c>
      <c r="C284" t="s">
        <v>7315</v>
      </c>
      <c r="D284" t="s">
        <v>6745</v>
      </c>
      <c r="E284" t="s">
        <v>7295</v>
      </c>
    </row>
    <row r="285" spans="1:5" x14ac:dyDescent="0.25">
      <c r="A285" t="s">
        <v>3329</v>
      </c>
      <c r="B285" t="s">
        <v>7316</v>
      </c>
      <c r="C285" t="s">
        <v>7317</v>
      </c>
      <c r="D285" t="s">
        <v>6745</v>
      </c>
      <c r="E285" t="s">
        <v>7295</v>
      </c>
    </row>
    <row r="286" spans="1:5" x14ac:dyDescent="0.25">
      <c r="A286" t="s">
        <v>3329</v>
      </c>
      <c r="B286" t="s">
        <v>7318</v>
      </c>
      <c r="C286" t="s">
        <v>7319</v>
      </c>
      <c r="D286" t="s">
        <v>6745</v>
      </c>
      <c r="E286" t="s">
        <v>7295</v>
      </c>
    </row>
    <row r="287" spans="1:5" x14ac:dyDescent="0.25">
      <c r="A287" t="s">
        <v>3329</v>
      </c>
      <c r="B287" t="s">
        <v>7320</v>
      </c>
      <c r="C287" t="s">
        <v>7321</v>
      </c>
      <c r="D287" t="s">
        <v>6745</v>
      </c>
      <c r="E287" t="s">
        <v>7295</v>
      </c>
    </row>
    <row r="288" spans="1:5" x14ac:dyDescent="0.25">
      <c r="A288" t="s">
        <v>3329</v>
      </c>
      <c r="B288" t="s">
        <v>7322</v>
      </c>
      <c r="C288" t="s">
        <v>7323</v>
      </c>
      <c r="D288" t="s">
        <v>6745</v>
      </c>
      <c r="E288" t="s">
        <v>7295</v>
      </c>
    </row>
    <row r="289" spans="1:5" x14ac:dyDescent="0.25">
      <c r="A289" t="s">
        <v>3329</v>
      </c>
      <c r="B289" t="s">
        <v>7324</v>
      </c>
      <c r="C289" t="s">
        <v>7325</v>
      </c>
      <c r="D289" t="s">
        <v>6745</v>
      </c>
      <c r="E289" t="s">
        <v>7295</v>
      </c>
    </row>
    <row r="290" spans="1:5" x14ac:dyDescent="0.25">
      <c r="A290" t="s">
        <v>3329</v>
      </c>
      <c r="B290" t="s">
        <v>7326</v>
      </c>
      <c r="C290" t="s">
        <v>7327</v>
      </c>
      <c r="D290" t="s">
        <v>6745</v>
      </c>
      <c r="E290" t="s">
        <v>7094</v>
      </c>
    </row>
    <row r="291" spans="1:5" x14ac:dyDescent="0.25">
      <c r="A291" t="s">
        <v>3329</v>
      </c>
      <c r="B291" t="s">
        <v>7328</v>
      </c>
      <c r="C291" t="s">
        <v>7329</v>
      </c>
      <c r="D291" t="s">
        <v>6745</v>
      </c>
      <c r="E291" t="s">
        <v>7295</v>
      </c>
    </row>
    <row r="292" spans="1:5" x14ac:dyDescent="0.25">
      <c r="A292" t="s">
        <v>3329</v>
      </c>
      <c r="B292" t="s">
        <v>7330</v>
      </c>
      <c r="C292" t="s">
        <v>7331</v>
      </c>
      <c r="D292" t="s">
        <v>6745</v>
      </c>
      <c r="E292" t="s">
        <v>7295</v>
      </c>
    </row>
    <row r="293" spans="1:5" x14ac:dyDescent="0.25">
      <c r="A293" t="s">
        <v>3329</v>
      </c>
      <c r="B293" t="s">
        <v>7332</v>
      </c>
      <c r="C293" t="s">
        <v>7333</v>
      </c>
      <c r="D293" t="s">
        <v>6745</v>
      </c>
      <c r="E293" t="s">
        <v>7295</v>
      </c>
    </row>
    <row r="294" spans="1:5" x14ac:dyDescent="0.25">
      <c r="A294" t="s">
        <v>3329</v>
      </c>
      <c r="B294" t="s">
        <v>7334</v>
      </c>
      <c r="C294" t="s">
        <v>7335</v>
      </c>
      <c r="D294" t="s">
        <v>6745</v>
      </c>
      <c r="E294" t="s">
        <v>7295</v>
      </c>
    </row>
    <row r="295" spans="1:5" x14ac:dyDescent="0.25">
      <c r="A295" t="s">
        <v>3329</v>
      </c>
      <c r="B295" t="s">
        <v>7336</v>
      </c>
      <c r="C295" t="s">
        <v>7337</v>
      </c>
      <c r="D295" t="s">
        <v>6745</v>
      </c>
      <c r="E295" t="s">
        <v>7295</v>
      </c>
    </row>
    <row r="296" spans="1:5" x14ac:dyDescent="0.25">
      <c r="A296" t="s">
        <v>3329</v>
      </c>
      <c r="B296" t="s">
        <v>7338</v>
      </c>
      <c r="C296" t="s">
        <v>7339</v>
      </c>
      <c r="D296" t="s">
        <v>6745</v>
      </c>
      <c r="E296" t="s">
        <v>7295</v>
      </c>
    </row>
    <row r="297" spans="1:5" x14ac:dyDescent="0.25">
      <c r="A297" t="s">
        <v>3329</v>
      </c>
      <c r="B297" t="s">
        <v>7340</v>
      </c>
      <c r="C297" t="s">
        <v>7341</v>
      </c>
      <c r="D297" t="s">
        <v>6745</v>
      </c>
      <c r="E297" t="s">
        <v>7295</v>
      </c>
    </row>
    <row r="298" spans="1:5" x14ac:dyDescent="0.25">
      <c r="A298" t="s">
        <v>3329</v>
      </c>
      <c r="B298" t="s">
        <v>7342</v>
      </c>
      <c r="C298" t="s">
        <v>7343</v>
      </c>
      <c r="D298" t="s">
        <v>6745</v>
      </c>
      <c r="E298" t="s">
        <v>7295</v>
      </c>
    </row>
    <row r="299" spans="1:5" x14ac:dyDescent="0.25">
      <c r="A299" t="s">
        <v>3329</v>
      </c>
      <c r="B299" t="s">
        <v>7344</v>
      </c>
      <c r="C299" t="s">
        <v>7345</v>
      </c>
      <c r="D299" t="s">
        <v>6745</v>
      </c>
      <c r="E299" t="s">
        <v>7295</v>
      </c>
    </row>
    <row r="300" spans="1:5" x14ac:dyDescent="0.25">
      <c r="A300" t="s">
        <v>3329</v>
      </c>
      <c r="B300" t="s">
        <v>7346</v>
      </c>
      <c r="C300" t="s">
        <v>7347</v>
      </c>
      <c r="D300" t="s">
        <v>6745</v>
      </c>
      <c r="E300" t="s">
        <v>7295</v>
      </c>
    </row>
    <row r="301" spans="1:5" x14ac:dyDescent="0.25">
      <c r="A301" t="s">
        <v>3329</v>
      </c>
      <c r="B301" t="s">
        <v>7348</v>
      </c>
      <c r="C301" t="s">
        <v>7349</v>
      </c>
      <c r="D301" t="s">
        <v>6745</v>
      </c>
      <c r="E301" t="s">
        <v>7295</v>
      </c>
    </row>
    <row r="302" spans="1:5" x14ac:dyDescent="0.25">
      <c r="A302" t="s">
        <v>3329</v>
      </c>
      <c r="B302" t="s">
        <v>7350</v>
      </c>
      <c r="C302" t="s">
        <v>7351</v>
      </c>
      <c r="D302" t="s">
        <v>6745</v>
      </c>
      <c r="E302" t="s">
        <v>7295</v>
      </c>
    </row>
    <row r="303" spans="1:5" x14ac:dyDescent="0.25">
      <c r="A303" t="s">
        <v>3329</v>
      </c>
      <c r="B303" t="s">
        <v>7352</v>
      </c>
      <c r="C303" t="s">
        <v>7353</v>
      </c>
      <c r="D303" t="s">
        <v>6745</v>
      </c>
      <c r="E303" t="s">
        <v>7295</v>
      </c>
    </row>
    <row r="304" spans="1:5" x14ac:dyDescent="0.25">
      <c r="A304" t="s">
        <v>3329</v>
      </c>
      <c r="B304" t="s">
        <v>7354</v>
      </c>
      <c r="C304" t="s">
        <v>7355</v>
      </c>
      <c r="D304" t="s">
        <v>6745</v>
      </c>
      <c r="E304" t="s">
        <v>7295</v>
      </c>
    </row>
    <row r="305" spans="1:5" x14ac:dyDescent="0.25">
      <c r="A305" t="s">
        <v>3329</v>
      </c>
      <c r="B305" t="s">
        <v>7356</v>
      </c>
      <c r="C305" t="s">
        <v>7357</v>
      </c>
      <c r="D305" t="s">
        <v>6745</v>
      </c>
      <c r="E305" t="s">
        <v>7295</v>
      </c>
    </row>
    <row r="306" spans="1:5" x14ac:dyDescent="0.25">
      <c r="A306" t="s">
        <v>3329</v>
      </c>
      <c r="B306" t="s">
        <v>7358</v>
      </c>
      <c r="C306" t="s">
        <v>7359</v>
      </c>
      <c r="D306" t="s">
        <v>6745</v>
      </c>
      <c r="E306" t="s">
        <v>7295</v>
      </c>
    </row>
    <row r="307" spans="1:5" x14ac:dyDescent="0.25">
      <c r="A307" t="s">
        <v>3329</v>
      </c>
      <c r="B307" t="s">
        <v>7360</v>
      </c>
      <c r="C307" t="s">
        <v>7361</v>
      </c>
      <c r="D307" t="s">
        <v>6745</v>
      </c>
      <c r="E307" t="s">
        <v>7295</v>
      </c>
    </row>
    <row r="308" spans="1:5" x14ac:dyDescent="0.25">
      <c r="A308" t="s">
        <v>3329</v>
      </c>
      <c r="B308" t="s">
        <v>7362</v>
      </c>
      <c r="C308" t="s">
        <v>7363</v>
      </c>
      <c r="D308" t="s">
        <v>6745</v>
      </c>
      <c r="E308" t="s">
        <v>7295</v>
      </c>
    </row>
    <row r="309" spans="1:5" x14ac:dyDescent="0.25">
      <c r="A309" t="s">
        <v>3329</v>
      </c>
      <c r="B309" t="s">
        <v>7364</v>
      </c>
      <c r="C309" t="s">
        <v>7365</v>
      </c>
      <c r="D309" t="s">
        <v>6745</v>
      </c>
      <c r="E309" t="s">
        <v>7295</v>
      </c>
    </row>
    <row r="310" spans="1:5" x14ac:dyDescent="0.25">
      <c r="A310" t="s">
        <v>3329</v>
      </c>
      <c r="B310" t="s">
        <v>7366</v>
      </c>
      <c r="C310" t="s">
        <v>7367</v>
      </c>
      <c r="D310" t="s">
        <v>6745</v>
      </c>
      <c r="E310" t="s">
        <v>7295</v>
      </c>
    </row>
    <row r="311" spans="1:5" x14ac:dyDescent="0.25">
      <c r="A311" t="s">
        <v>3329</v>
      </c>
      <c r="B311" t="s">
        <v>7368</v>
      </c>
      <c r="C311" t="s">
        <v>7369</v>
      </c>
      <c r="D311" t="s">
        <v>6745</v>
      </c>
      <c r="E311" t="s">
        <v>7295</v>
      </c>
    </row>
    <row r="312" spans="1:5" x14ac:dyDescent="0.25">
      <c r="A312" t="s">
        <v>3329</v>
      </c>
      <c r="B312" t="s">
        <v>7370</v>
      </c>
      <c r="C312" t="s">
        <v>7371</v>
      </c>
      <c r="D312" t="s">
        <v>6745</v>
      </c>
      <c r="E312" t="s">
        <v>7295</v>
      </c>
    </row>
    <row r="313" spans="1:5" x14ac:dyDescent="0.25">
      <c r="A313" t="s">
        <v>3329</v>
      </c>
      <c r="B313" t="s">
        <v>7372</v>
      </c>
      <c r="C313" t="s">
        <v>7373</v>
      </c>
      <c r="D313" t="s">
        <v>6745</v>
      </c>
      <c r="E313" t="s">
        <v>7155</v>
      </c>
    </row>
    <row r="314" spans="1:5" x14ac:dyDescent="0.25">
      <c r="A314" t="s">
        <v>3329</v>
      </c>
      <c r="B314" t="s">
        <v>7374</v>
      </c>
      <c r="C314" t="s">
        <v>7375</v>
      </c>
      <c r="D314" t="s">
        <v>6745</v>
      </c>
      <c r="E314" t="s">
        <v>7155</v>
      </c>
    </row>
    <row r="315" spans="1:5" x14ac:dyDescent="0.25">
      <c r="A315" t="s">
        <v>3329</v>
      </c>
      <c r="B315" t="s">
        <v>7376</v>
      </c>
      <c r="C315" t="s">
        <v>7377</v>
      </c>
      <c r="D315" t="s">
        <v>6745</v>
      </c>
      <c r="E315" t="s">
        <v>7155</v>
      </c>
    </row>
    <row r="316" spans="1:5" x14ac:dyDescent="0.25">
      <c r="A316" t="s">
        <v>3329</v>
      </c>
      <c r="B316" t="s">
        <v>7378</v>
      </c>
      <c r="C316" t="s">
        <v>7379</v>
      </c>
      <c r="D316" t="s">
        <v>6745</v>
      </c>
      <c r="E316" t="s">
        <v>7155</v>
      </c>
    </row>
    <row r="317" spans="1:5" x14ac:dyDescent="0.25">
      <c r="A317" t="s">
        <v>3329</v>
      </c>
      <c r="B317" t="s">
        <v>7380</v>
      </c>
      <c r="C317" t="s">
        <v>7381</v>
      </c>
      <c r="D317" t="s">
        <v>6745</v>
      </c>
      <c r="E317" t="s">
        <v>7155</v>
      </c>
    </row>
    <row r="318" spans="1:5" x14ac:dyDescent="0.25">
      <c r="A318" t="s">
        <v>3329</v>
      </c>
      <c r="B318" t="s">
        <v>7382</v>
      </c>
      <c r="C318" t="s">
        <v>7383</v>
      </c>
      <c r="D318" t="s">
        <v>6745</v>
      </c>
      <c r="E318" t="s">
        <v>7155</v>
      </c>
    </row>
    <row r="319" spans="1:5" x14ac:dyDescent="0.25">
      <c r="A319" t="s">
        <v>3329</v>
      </c>
      <c r="B319" t="s">
        <v>7384</v>
      </c>
      <c r="C319" t="s">
        <v>7385</v>
      </c>
      <c r="D319" t="s">
        <v>6745</v>
      </c>
      <c r="E319" t="s">
        <v>7155</v>
      </c>
    </row>
    <row r="320" spans="1:5" x14ac:dyDescent="0.25">
      <c r="A320" t="s">
        <v>3329</v>
      </c>
      <c r="B320" t="s">
        <v>7386</v>
      </c>
      <c r="C320" t="s">
        <v>7387</v>
      </c>
      <c r="D320" t="s">
        <v>6745</v>
      </c>
      <c r="E320" t="s">
        <v>7155</v>
      </c>
    </row>
    <row r="321" spans="1:5" x14ac:dyDescent="0.25">
      <c r="A321" t="s">
        <v>3329</v>
      </c>
      <c r="B321" t="s">
        <v>7388</v>
      </c>
      <c r="C321" t="s">
        <v>7389</v>
      </c>
      <c r="D321" t="s">
        <v>6745</v>
      </c>
      <c r="E321" t="s">
        <v>6814</v>
      </c>
    </row>
    <row r="322" spans="1:5" x14ac:dyDescent="0.25">
      <c r="A322" t="s">
        <v>3329</v>
      </c>
      <c r="B322" t="s">
        <v>7390</v>
      </c>
      <c r="C322" t="s">
        <v>7391</v>
      </c>
      <c r="D322" t="s">
        <v>6745</v>
      </c>
      <c r="E322" t="s">
        <v>6814</v>
      </c>
    </row>
    <row r="323" spans="1:5" x14ac:dyDescent="0.25">
      <c r="A323" t="s">
        <v>3329</v>
      </c>
      <c r="B323" t="s">
        <v>7392</v>
      </c>
      <c r="C323" t="s">
        <v>7393</v>
      </c>
      <c r="D323" t="s">
        <v>6745</v>
      </c>
      <c r="E323" t="s">
        <v>6814</v>
      </c>
    </row>
    <row r="324" spans="1:5" x14ac:dyDescent="0.25">
      <c r="A324" t="s">
        <v>3329</v>
      </c>
      <c r="B324" t="s">
        <v>7394</v>
      </c>
      <c r="C324" t="s">
        <v>7395</v>
      </c>
      <c r="D324" t="s">
        <v>6745</v>
      </c>
      <c r="E324" t="s">
        <v>6814</v>
      </c>
    </row>
    <row r="325" spans="1:5" x14ac:dyDescent="0.25">
      <c r="A325" t="s">
        <v>3329</v>
      </c>
      <c r="B325" t="s">
        <v>7396</v>
      </c>
      <c r="C325" t="s">
        <v>7397</v>
      </c>
      <c r="D325" t="s">
        <v>6745</v>
      </c>
      <c r="E325" t="s">
        <v>6814</v>
      </c>
    </row>
    <row r="326" spans="1:5" x14ac:dyDescent="0.25">
      <c r="A326" t="s">
        <v>3329</v>
      </c>
      <c r="B326" t="s">
        <v>7398</v>
      </c>
      <c r="C326" t="s">
        <v>7399</v>
      </c>
      <c r="D326" t="s">
        <v>6745</v>
      </c>
      <c r="E326" t="s">
        <v>6814</v>
      </c>
    </row>
    <row r="327" spans="1:5" x14ac:dyDescent="0.25">
      <c r="A327" t="s">
        <v>3329</v>
      </c>
      <c r="B327" t="s">
        <v>7400</v>
      </c>
      <c r="C327" t="s">
        <v>7401</v>
      </c>
      <c r="D327" t="s">
        <v>6745</v>
      </c>
      <c r="E327" t="s">
        <v>6814</v>
      </c>
    </row>
    <row r="328" spans="1:5" x14ac:dyDescent="0.25">
      <c r="A328" t="s">
        <v>3329</v>
      </c>
      <c r="B328" t="s">
        <v>7402</v>
      </c>
      <c r="C328" t="s">
        <v>7403</v>
      </c>
      <c r="D328" t="s">
        <v>6745</v>
      </c>
      <c r="E328" t="s">
        <v>6814</v>
      </c>
    </row>
    <row r="329" spans="1:5" x14ac:dyDescent="0.25">
      <c r="A329" t="s">
        <v>3329</v>
      </c>
      <c r="B329" t="s">
        <v>7404</v>
      </c>
      <c r="C329" t="s">
        <v>7405</v>
      </c>
      <c r="D329" t="s">
        <v>6745</v>
      </c>
      <c r="E329" t="s">
        <v>6814</v>
      </c>
    </row>
    <row r="330" spans="1:5" x14ac:dyDescent="0.25">
      <c r="A330" t="s">
        <v>3329</v>
      </c>
      <c r="B330" t="s">
        <v>7406</v>
      </c>
      <c r="C330" t="s">
        <v>7407</v>
      </c>
      <c r="D330" t="s">
        <v>6745</v>
      </c>
      <c r="E330" t="s">
        <v>6814</v>
      </c>
    </row>
    <row r="331" spans="1:5" x14ac:dyDescent="0.25">
      <c r="A331" t="s">
        <v>3329</v>
      </c>
      <c r="B331" t="s">
        <v>7408</v>
      </c>
      <c r="C331" t="s">
        <v>7409</v>
      </c>
      <c r="D331" t="s">
        <v>6745</v>
      </c>
      <c r="E331" t="s">
        <v>6814</v>
      </c>
    </row>
    <row r="332" spans="1:5" x14ac:dyDescent="0.25">
      <c r="A332" t="s">
        <v>3329</v>
      </c>
      <c r="B332" t="s">
        <v>7410</v>
      </c>
      <c r="C332" t="s">
        <v>7411</v>
      </c>
      <c r="D332" t="s">
        <v>6745</v>
      </c>
      <c r="E332" t="s">
        <v>6814</v>
      </c>
    </row>
    <row r="333" spans="1:5" x14ac:dyDescent="0.25">
      <c r="A333" t="s">
        <v>3329</v>
      </c>
      <c r="B333" t="s">
        <v>7412</v>
      </c>
      <c r="C333" t="s">
        <v>7413</v>
      </c>
      <c r="D333" t="s">
        <v>6745</v>
      </c>
      <c r="E333" t="s">
        <v>6814</v>
      </c>
    </row>
    <row r="334" spans="1:5" x14ac:dyDescent="0.25">
      <c r="A334" t="s">
        <v>3329</v>
      </c>
      <c r="B334" t="s">
        <v>7414</v>
      </c>
      <c r="C334" t="s">
        <v>7415</v>
      </c>
      <c r="D334" t="s">
        <v>6745</v>
      </c>
      <c r="E334" t="s">
        <v>6814</v>
      </c>
    </row>
    <row r="335" spans="1:5" x14ac:dyDescent="0.25">
      <c r="A335" t="s">
        <v>3329</v>
      </c>
      <c r="B335" t="s">
        <v>7416</v>
      </c>
      <c r="C335" t="s">
        <v>7417</v>
      </c>
      <c r="D335" t="s">
        <v>6745</v>
      </c>
      <c r="E335" t="s">
        <v>6814</v>
      </c>
    </row>
    <row r="336" spans="1:5" x14ac:dyDescent="0.25">
      <c r="A336" t="s">
        <v>3329</v>
      </c>
      <c r="B336" t="s">
        <v>7418</v>
      </c>
      <c r="C336" t="s">
        <v>7419</v>
      </c>
      <c r="D336" t="s">
        <v>6745</v>
      </c>
      <c r="E336" t="s">
        <v>6814</v>
      </c>
    </row>
    <row r="337" spans="1:5" x14ac:dyDescent="0.25">
      <c r="A337" t="s">
        <v>3329</v>
      </c>
      <c r="B337" t="s">
        <v>7420</v>
      </c>
      <c r="C337" t="s">
        <v>7421</v>
      </c>
      <c r="D337" t="s">
        <v>6745</v>
      </c>
      <c r="E337" t="s">
        <v>6814</v>
      </c>
    </row>
    <row r="338" spans="1:5" x14ac:dyDescent="0.25">
      <c r="A338" t="s">
        <v>3329</v>
      </c>
      <c r="B338" t="s">
        <v>7422</v>
      </c>
      <c r="C338" t="s">
        <v>7423</v>
      </c>
      <c r="D338" t="s">
        <v>6745</v>
      </c>
      <c r="E338" t="s">
        <v>6814</v>
      </c>
    </row>
    <row r="339" spans="1:5" x14ac:dyDescent="0.25">
      <c r="A339" t="s">
        <v>3329</v>
      </c>
      <c r="B339" t="s">
        <v>7424</v>
      </c>
      <c r="C339" t="s">
        <v>7425</v>
      </c>
      <c r="D339" t="s">
        <v>6745</v>
      </c>
      <c r="E339" t="s">
        <v>6814</v>
      </c>
    </row>
    <row r="340" spans="1:5" x14ac:dyDescent="0.25">
      <c r="A340" t="s">
        <v>3329</v>
      </c>
      <c r="B340" t="s">
        <v>7426</v>
      </c>
      <c r="C340" t="s">
        <v>7427</v>
      </c>
      <c r="D340" t="s">
        <v>6745</v>
      </c>
      <c r="E340" t="s">
        <v>6814</v>
      </c>
    </row>
    <row r="341" spans="1:5" x14ac:dyDescent="0.25">
      <c r="A341" t="s">
        <v>3329</v>
      </c>
      <c r="B341" t="s">
        <v>7428</v>
      </c>
      <c r="C341" t="s">
        <v>7429</v>
      </c>
      <c r="D341" t="s">
        <v>6745</v>
      </c>
      <c r="E341" t="s">
        <v>6814</v>
      </c>
    </row>
    <row r="342" spans="1:5" x14ac:dyDescent="0.25">
      <c r="A342" t="s">
        <v>3329</v>
      </c>
      <c r="B342" t="s">
        <v>7430</v>
      </c>
      <c r="C342" t="s">
        <v>7431</v>
      </c>
      <c r="D342" t="s">
        <v>6745</v>
      </c>
      <c r="E342" t="s">
        <v>6814</v>
      </c>
    </row>
    <row r="343" spans="1:5" x14ac:dyDescent="0.25">
      <c r="A343" t="s">
        <v>3329</v>
      </c>
      <c r="B343" t="s">
        <v>7432</v>
      </c>
      <c r="C343" t="s">
        <v>7433</v>
      </c>
      <c r="D343" t="s">
        <v>6745</v>
      </c>
      <c r="E343" t="s">
        <v>6814</v>
      </c>
    </row>
    <row r="344" spans="1:5" x14ac:dyDescent="0.25">
      <c r="A344" t="s">
        <v>3329</v>
      </c>
      <c r="B344" t="s">
        <v>7434</v>
      </c>
      <c r="C344" t="s">
        <v>7435</v>
      </c>
      <c r="D344" t="s">
        <v>6745</v>
      </c>
      <c r="E344" t="s">
        <v>6814</v>
      </c>
    </row>
    <row r="345" spans="1:5" x14ac:dyDescent="0.25">
      <c r="A345" t="s">
        <v>3329</v>
      </c>
      <c r="B345" t="s">
        <v>7436</v>
      </c>
      <c r="C345" t="s">
        <v>7437</v>
      </c>
      <c r="D345" t="s">
        <v>6745</v>
      </c>
      <c r="E345" t="s">
        <v>6814</v>
      </c>
    </row>
    <row r="346" spans="1:5" x14ac:dyDescent="0.25">
      <c r="A346" t="s">
        <v>3329</v>
      </c>
      <c r="B346" t="s">
        <v>7438</v>
      </c>
      <c r="C346" t="s">
        <v>7439</v>
      </c>
      <c r="D346" t="s">
        <v>6745</v>
      </c>
      <c r="E346" t="s">
        <v>6814</v>
      </c>
    </row>
    <row r="347" spans="1:5" x14ac:dyDescent="0.25">
      <c r="A347" t="s">
        <v>3329</v>
      </c>
      <c r="B347" t="s">
        <v>7440</v>
      </c>
      <c r="C347" t="s">
        <v>7441</v>
      </c>
      <c r="D347" t="s">
        <v>6745</v>
      </c>
      <c r="E347" t="s">
        <v>7094</v>
      </c>
    </row>
    <row r="348" spans="1:5" x14ac:dyDescent="0.25">
      <c r="A348" t="s">
        <v>3329</v>
      </c>
      <c r="B348" t="s">
        <v>7442</v>
      </c>
      <c r="C348" t="s">
        <v>7443</v>
      </c>
      <c r="D348" t="s">
        <v>6745</v>
      </c>
      <c r="E348" t="s">
        <v>6814</v>
      </c>
    </row>
    <row r="349" spans="1:5" x14ac:dyDescent="0.25">
      <c r="A349" t="s">
        <v>3329</v>
      </c>
      <c r="B349" t="s">
        <v>7444</v>
      </c>
      <c r="C349" t="s">
        <v>7445</v>
      </c>
      <c r="D349" t="s">
        <v>6745</v>
      </c>
      <c r="E349" t="s">
        <v>6814</v>
      </c>
    </row>
    <row r="350" spans="1:5" x14ac:dyDescent="0.25">
      <c r="A350" t="s">
        <v>3329</v>
      </c>
      <c r="B350" t="s">
        <v>7446</v>
      </c>
      <c r="C350" t="s">
        <v>7447</v>
      </c>
      <c r="D350" t="s">
        <v>6745</v>
      </c>
      <c r="E350" t="s">
        <v>6814</v>
      </c>
    </row>
    <row r="351" spans="1:5" x14ac:dyDescent="0.25">
      <c r="A351" t="s">
        <v>3329</v>
      </c>
      <c r="B351" t="s">
        <v>7448</v>
      </c>
      <c r="C351" t="s">
        <v>7449</v>
      </c>
      <c r="D351" t="s">
        <v>6745</v>
      </c>
      <c r="E351" t="s">
        <v>6814</v>
      </c>
    </row>
    <row r="352" spans="1:5" x14ac:dyDescent="0.25">
      <c r="A352" t="s">
        <v>3329</v>
      </c>
      <c r="B352" t="s">
        <v>7450</v>
      </c>
      <c r="C352" t="s">
        <v>7451</v>
      </c>
      <c r="D352" t="s">
        <v>6745</v>
      </c>
      <c r="E352" t="s">
        <v>6814</v>
      </c>
    </row>
    <row r="353" spans="1:5" x14ac:dyDescent="0.25">
      <c r="A353" t="s">
        <v>3329</v>
      </c>
      <c r="B353" t="s">
        <v>7452</v>
      </c>
      <c r="C353" t="s">
        <v>7453</v>
      </c>
      <c r="D353" t="s">
        <v>6745</v>
      </c>
      <c r="E353" t="s">
        <v>6814</v>
      </c>
    </row>
    <row r="354" spans="1:5" x14ac:dyDescent="0.25">
      <c r="A354" t="s">
        <v>3329</v>
      </c>
      <c r="B354" t="s">
        <v>7454</v>
      </c>
      <c r="C354" t="s">
        <v>7455</v>
      </c>
      <c r="D354" t="s">
        <v>6745</v>
      </c>
      <c r="E354" t="s">
        <v>6814</v>
      </c>
    </row>
    <row r="355" spans="1:5" x14ac:dyDescent="0.25">
      <c r="A355" t="s">
        <v>3329</v>
      </c>
      <c r="B355" t="s">
        <v>7456</v>
      </c>
      <c r="C355" t="s">
        <v>7457</v>
      </c>
      <c r="D355" t="s">
        <v>6745</v>
      </c>
      <c r="E355" t="s">
        <v>6814</v>
      </c>
    </row>
    <row r="356" spans="1:5" x14ac:dyDescent="0.25">
      <c r="A356" t="s">
        <v>3329</v>
      </c>
      <c r="B356" t="s">
        <v>7458</v>
      </c>
      <c r="C356" t="s">
        <v>7459</v>
      </c>
      <c r="D356" t="s">
        <v>6745</v>
      </c>
      <c r="E356" t="s">
        <v>6814</v>
      </c>
    </row>
    <row r="357" spans="1:5" x14ac:dyDescent="0.25">
      <c r="A357" t="s">
        <v>3329</v>
      </c>
      <c r="B357" t="s">
        <v>7460</v>
      </c>
      <c r="C357" t="s">
        <v>7461</v>
      </c>
      <c r="D357" t="s">
        <v>6745</v>
      </c>
      <c r="E357" t="s">
        <v>6814</v>
      </c>
    </row>
    <row r="358" spans="1:5" x14ac:dyDescent="0.25">
      <c r="A358" t="s">
        <v>3329</v>
      </c>
      <c r="B358" t="s">
        <v>7462</v>
      </c>
      <c r="C358" t="s">
        <v>7463</v>
      </c>
      <c r="D358" t="s">
        <v>6745</v>
      </c>
      <c r="E358" t="s">
        <v>6814</v>
      </c>
    </row>
    <row r="359" spans="1:5" x14ac:dyDescent="0.25">
      <c r="A359" t="s">
        <v>3329</v>
      </c>
      <c r="B359" t="s">
        <v>7464</v>
      </c>
      <c r="C359" t="s">
        <v>7465</v>
      </c>
      <c r="D359" t="s">
        <v>6745</v>
      </c>
      <c r="E359" t="s">
        <v>6814</v>
      </c>
    </row>
    <row r="360" spans="1:5" x14ac:dyDescent="0.25">
      <c r="A360" t="s">
        <v>3329</v>
      </c>
      <c r="B360" t="s">
        <v>7466</v>
      </c>
      <c r="C360" t="s">
        <v>7467</v>
      </c>
      <c r="D360" t="s">
        <v>6745</v>
      </c>
      <c r="E360" t="s">
        <v>6814</v>
      </c>
    </row>
    <row r="361" spans="1:5" x14ac:dyDescent="0.25">
      <c r="A361" t="s">
        <v>3329</v>
      </c>
      <c r="B361" t="s">
        <v>7468</v>
      </c>
      <c r="C361" t="s">
        <v>7469</v>
      </c>
      <c r="D361" t="s">
        <v>6745</v>
      </c>
      <c r="E361" t="s">
        <v>6814</v>
      </c>
    </row>
    <row r="362" spans="1:5" x14ac:dyDescent="0.25">
      <c r="A362" t="s">
        <v>3329</v>
      </c>
      <c r="B362" t="s">
        <v>7470</v>
      </c>
      <c r="C362" t="s">
        <v>7471</v>
      </c>
      <c r="D362" t="s">
        <v>6745</v>
      </c>
      <c r="E362" t="s">
        <v>6814</v>
      </c>
    </row>
    <row r="363" spans="1:5" x14ac:dyDescent="0.25">
      <c r="A363" t="s">
        <v>3329</v>
      </c>
      <c r="B363" t="s">
        <v>7472</v>
      </c>
      <c r="C363" t="s">
        <v>7473</v>
      </c>
      <c r="D363" t="s">
        <v>6745</v>
      </c>
      <c r="E363" t="s">
        <v>6814</v>
      </c>
    </row>
    <row r="364" spans="1:5" x14ac:dyDescent="0.25">
      <c r="A364" t="s">
        <v>3329</v>
      </c>
      <c r="B364" t="s">
        <v>7474</v>
      </c>
      <c r="C364" t="s">
        <v>7475</v>
      </c>
      <c r="D364" t="s">
        <v>6745</v>
      </c>
      <c r="E364" t="s">
        <v>6814</v>
      </c>
    </row>
    <row r="365" spans="1:5" x14ac:dyDescent="0.25">
      <c r="A365" t="s">
        <v>3329</v>
      </c>
      <c r="B365" t="s">
        <v>7476</v>
      </c>
      <c r="C365" t="s">
        <v>7477</v>
      </c>
      <c r="D365" t="s">
        <v>6745</v>
      </c>
      <c r="E365" t="s">
        <v>6814</v>
      </c>
    </row>
    <row r="366" spans="1:5" x14ac:dyDescent="0.25">
      <c r="A366" t="s">
        <v>3329</v>
      </c>
      <c r="B366" t="s">
        <v>7478</v>
      </c>
      <c r="C366" t="s">
        <v>7479</v>
      </c>
      <c r="D366" t="s">
        <v>6745</v>
      </c>
      <c r="E366" t="s">
        <v>6814</v>
      </c>
    </row>
    <row r="367" spans="1:5" x14ac:dyDescent="0.25">
      <c r="A367" t="s">
        <v>3329</v>
      </c>
      <c r="B367" t="s">
        <v>7480</v>
      </c>
      <c r="C367" t="s">
        <v>7481</v>
      </c>
      <c r="D367" t="s">
        <v>6745</v>
      </c>
      <c r="E367" t="s">
        <v>6814</v>
      </c>
    </row>
    <row r="368" spans="1:5" x14ac:dyDescent="0.25">
      <c r="A368" t="s">
        <v>3329</v>
      </c>
      <c r="B368" t="s">
        <v>7482</v>
      </c>
      <c r="C368" t="s">
        <v>7483</v>
      </c>
      <c r="D368" t="s">
        <v>6745</v>
      </c>
      <c r="E368" t="s">
        <v>6814</v>
      </c>
    </row>
    <row r="369" spans="1:5" x14ac:dyDescent="0.25">
      <c r="A369" t="s">
        <v>3329</v>
      </c>
      <c r="B369" t="s">
        <v>7484</v>
      </c>
      <c r="C369" t="s">
        <v>7485</v>
      </c>
      <c r="D369" t="s">
        <v>6745</v>
      </c>
      <c r="E369" t="s">
        <v>6814</v>
      </c>
    </row>
    <row r="370" spans="1:5" x14ac:dyDescent="0.25">
      <c r="A370" t="s">
        <v>3329</v>
      </c>
      <c r="B370" t="s">
        <v>7486</v>
      </c>
      <c r="C370" t="s">
        <v>7487</v>
      </c>
      <c r="D370" t="s">
        <v>6745</v>
      </c>
      <c r="E370" t="s">
        <v>6814</v>
      </c>
    </row>
    <row r="371" spans="1:5" x14ac:dyDescent="0.25">
      <c r="A371" t="s">
        <v>3329</v>
      </c>
      <c r="B371" t="s">
        <v>7488</v>
      </c>
      <c r="C371" t="s">
        <v>7489</v>
      </c>
      <c r="D371" t="s">
        <v>6745</v>
      </c>
      <c r="E371" t="s">
        <v>6814</v>
      </c>
    </row>
    <row r="372" spans="1:5" x14ac:dyDescent="0.25">
      <c r="A372" t="s">
        <v>3329</v>
      </c>
      <c r="B372" t="s">
        <v>7490</v>
      </c>
      <c r="C372" t="s">
        <v>7491</v>
      </c>
      <c r="D372" t="s">
        <v>6745</v>
      </c>
      <c r="E372" t="s">
        <v>6814</v>
      </c>
    </row>
    <row r="373" spans="1:5" x14ac:dyDescent="0.25">
      <c r="A373" t="s">
        <v>3329</v>
      </c>
      <c r="B373" t="s">
        <v>7492</v>
      </c>
      <c r="C373" t="s">
        <v>7493</v>
      </c>
      <c r="D373" t="s">
        <v>6745</v>
      </c>
      <c r="E373" t="s">
        <v>6814</v>
      </c>
    </row>
    <row r="374" spans="1:5" x14ac:dyDescent="0.25">
      <c r="A374" t="s">
        <v>3329</v>
      </c>
      <c r="B374" t="s">
        <v>7494</v>
      </c>
      <c r="C374" t="s">
        <v>7495</v>
      </c>
      <c r="D374" t="s">
        <v>6745</v>
      </c>
      <c r="E374" t="s">
        <v>6814</v>
      </c>
    </row>
    <row r="375" spans="1:5" x14ac:dyDescent="0.25">
      <c r="A375" t="s">
        <v>3329</v>
      </c>
      <c r="B375" t="s">
        <v>7496</v>
      </c>
      <c r="C375" t="s">
        <v>7497</v>
      </c>
      <c r="D375" t="s">
        <v>6745</v>
      </c>
      <c r="E375" t="s">
        <v>6814</v>
      </c>
    </row>
    <row r="376" spans="1:5" x14ac:dyDescent="0.25">
      <c r="A376" t="s">
        <v>3329</v>
      </c>
      <c r="B376" t="s">
        <v>7498</v>
      </c>
      <c r="C376" t="s">
        <v>7499</v>
      </c>
      <c r="D376" t="s">
        <v>6745</v>
      </c>
      <c r="E376" t="s">
        <v>6814</v>
      </c>
    </row>
    <row r="377" spans="1:5" x14ac:dyDescent="0.25">
      <c r="A377" t="s">
        <v>3329</v>
      </c>
      <c r="B377" t="s">
        <v>7500</v>
      </c>
      <c r="C377" t="s">
        <v>7501</v>
      </c>
      <c r="D377" t="s">
        <v>6745</v>
      </c>
      <c r="E377" t="s">
        <v>6814</v>
      </c>
    </row>
    <row r="378" spans="1:5" x14ac:dyDescent="0.25">
      <c r="A378" t="s">
        <v>3329</v>
      </c>
      <c r="B378" t="s">
        <v>7502</v>
      </c>
      <c r="C378" t="s">
        <v>7503</v>
      </c>
      <c r="D378" t="s">
        <v>6745</v>
      </c>
      <c r="E378" t="s">
        <v>6814</v>
      </c>
    </row>
    <row r="379" spans="1:5" x14ac:dyDescent="0.25">
      <c r="A379" t="s">
        <v>3329</v>
      </c>
      <c r="B379" t="s">
        <v>7504</v>
      </c>
      <c r="C379" t="s">
        <v>7505</v>
      </c>
      <c r="D379" t="s">
        <v>6745</v>
      </c>
      <c r="E379" t="s">
        <v>6814</v>
      </c>
    </row>
    <row r="380" spans="1:5" x14ac:dyDescent="0.25">
      <c r="A380" t="s">
        <v>3329</v>
      </c>
      <c r="B380" t="s">
        <v>7506</v>
      </c>
      <c r="C380" t="s">
        <v>7507</v>
      </c>
      <c r="D380" t="s">
        <v>6745</v>
      </c>
      <c r="E380" t="s">
        <v>6814</v>
      </c>
    </row>
    <row r="381" spans="1:5" x14ac:dyDescent="0.25">
      <c r="A381" t="s">
        <v>3329</v>
      </c>
      <c r="B381" t="s">
        <v>7508</v>
      </c>
      <c r="C381" t="s">
        <v>7509</v>
      </c>
      <c r="D381" t="s">
        <v>6745</v>
      </c>
      <c r="E381" t="s">
        <v>6814</v>
      </c>
    </row>
    <row r="382" spans="1:5" x14ac:dyDescent="0.25">
      <c r="A382" t="s">
        <v>3329</v>
      </c>
      <c r="B382" t="s">
        <v>7510</v>
      </c>
      <c r="C382" t="s">
        <v>7511</v>
      </c>
      <c r="D382" t="s">
        <v>6745</v>
      </c>
      <c r="E382" t="s">
        <v>6814</v>
      </c>
    </row>
    <row r="383" spans="1:5" x14ac:dyDescent="0.25">
      <c r="A383" t="s">
        <v>3329</v>
      </c>
      <c r="B383" t="s">
        <v>7512</v>
      </c>
      <c r="C383" t="s">
        <v>7513</v>
      </c>
      <c r="D383" t="s">
        <v>6745</v>
      </c>
      <c r="E383" t="s">
        <v>6814</v>
      </c>
    </row>
    <row r="384" spans="1:5" x14ac:dyDescent="0.25">
      <c r="A384" t="s">
        <v>3329</v>
      </c>
      <c r="B384" t="s">
        <v>7514</v>
      </c>
      <c r="C384" t="s">
        <v>7515</v>
      </c>
      <c r="D384" t="s">
        <v>6745</v>
      </c>
      <c r="E384" t="s">
        <v>6814</v>
      </c>
    </row>
    <row r="385" spans="1:5" x14ac:dyDescent="0.25">
      <c r="A385" t="s">
        <v>3329</v>
      </c>
      <c r="B385" t="s">
        <v>7516</v>
      </c>
      <c r="C385" t="s">
        <v>7517</v>
      </c>
      <c r="D385" t="s">
        <v>6745</v>
      </c>
      <c r="E385" t="s">
        <v>6814</v>
      </c>
    </row>
    <row r="386" spans="1:5" x14ac:dyDescent="0.25">
      <c r="A386" t="s">
        <v>3329</v>
      </c>
      <c r="B386" t="s">
        <v>7518</v>
      </c>
      <c r="C386" t="s">
        <v>7519</v>
      </c>
      <c r="D386" t="s">
        <v>6745</v>
      </c>
      <c r="E386" t="s">
        <v>6814</v>
      </c>
    </row>
    <row r="387" spans="1:5" x14ac:dyDescent="0.25">
      <c r="A387" t="s">
        <v>3329</v>
      </c>
      <c r="B387" t="s">
        <v>7520</v>
      </c>
      <c r="C387" t="s">
        <v>7521</v>
      </c>
      <c r="D387" t="s">
        <v>6745</v>
      </c>
      <c r="E387" t="s">
        <v>6814</v>
      </c>
    </row>
    <row r="388" spans="1:5" x14ac:dyDescent="0.25">
      <c r="A388" t="s">
        <v>3329</v>
      </c>
      <c r="B388" t="s">
        <v>7522</v>
      </c>
      <c r="C388" t="s">
        <v>7523</v>
      </c>
      <c r="D388" t="s">
        <v>6745</v>
      </c>
      <c r="E388" t="s">
        <v>6814</v>
      </c>
    </row>
    <row r="389" spans="1:5" x14ac:dyDescent="0.25">
      <c r="A389" t="s">
        <v>3329</v>
      </c>
      <c r="B389" t="s">
        <v>7524</v>
      </c>
      <c r="C389" t="s">
        <v>7525</v>
      </c>
      <c r="D389" t="s">
        <v>6745</v>
      </c>
      <c r="E389" t="s">
        <v>6814</v>
      </c>
    </row>
    <row r="390" spans="1:5" x14ac:dyDescent="0.25">
      <c r="A390" t="s">
        <v>3329</v>
      </c>
      <c r="B390" t="s">
        <v>7526</v>
      </c>
      <c r="C390" t="s">
        <v>7527</v>
      </c>
      <c r="D390" t="s">
        <v>6745</v>
      </c>
      <c r="E390" t="s">
        <v>6814</v>
      </c>
    </row>
    <row r="391" spans="1:5" x14ac:dyDescent="0.25">
      <c r="A391" t="s">
        <v>3329</v>
      </c>
      <c r="B391" t="s">
        <v>7528</v>
      </c>
      <c r="C391" t="s">
        <v>7529</v>
      </c>
      <c r="D391" t="s">
        <v>6745</v>
      </c>
      <c r="E391" t="s">
        <v>6814</v>
      </c>
    </row>
    <row r="392" spans="1:5" x14ac:dyDescent="0.25">
      <c r="A392" t="s">
        <v>3329</v>
      </c>
      <c r="B392" t="s">
        <v>7530</v>
      </c>
      <c r="C392" t="s">
        <v>7531</v>
      </c>
      <c r="D392" t="s">
        <v>6745</v>
      </c>
      <c r="E392" t="s">
        <v>6814</v>
      </c>
    </row>
    <row r="393" spans="1:5" x14ac:dyDescent="0.25">
      <c r="A393" t="s">
        <v>3329</v>
      </c>
      <c r="B393" t="s">
        <v>7532</v>
      </c>
      <c r="C393" t="s">
        <v>7533</v>
      </c>
      <c r="D393" t="s">
        <v>6745</v>
      </c>
      <c r="E393" t="s">
        <v>6814</v>
      </c>
    </row>
    <row r="394" spans="1:5" x14ac:dyDescent="0.25">
      <c r="A394" t="s">
        <v>3329</v>
      </c>
      <c r="B394" t="s">
        <v>7534</v>
      </c>
      <c r="C394" t="s">
        <v>7535</v>
      </c>
      <c r="D394" t="s">
        <v>6745</v>
      </c>
      <c r="E394" t="s">
        <v>6814</v>
      </c>
    </row>
    <row r="395" spans="1:5" x14ac:dyDescent="0.25">
      <c r="A395" t="s">
        <v>3329</v>
      </c>
      <c r="B395" t="s">
        <v>7536</v>
      </c>
      <c r="C395" t="s">
        <v>7537</v>
      </c>
      <c r="D395" t="s">
        <v>6745</v>
      </c>
      <c r="E395" t="s">
        <v>6814</v>
      </c>
    </row>
    <row r="396" spans="1:5" x14ac:dyDescent="0.25">
      <c r="A396" t="s">
        <v>3329</v>
      </c>
      <c r="B396" t="s">
        <v>7538</v>
      </c>
      <c r="C396" t="s">
        <v>7539</v>
      </c>
      <c r="D396" t="s">
        <v>6745</v>
      </c>
      <c r="E396" t="s">
        <v>6814</v>
      </c>
    </row>
    <row r="397" spans="1:5" x14ac:dyDescent="0.25">
      <c r="A397" t="s">
        <v>3329</v>
      </c>
      <c r="B397" t="s">
        <v>7540</v>
      </c>
      <c r="C397" t="s">
        <v>7541</v>
      </c>
      <c r="D397" t="s">
        <v>6745</v>
      </c>
      <c r="E397" t="s">
        <v>6814</v>
      </c>
    </row>
    <row r="398" spans="1:5" x14ac:dyDescent="0.25">
      <c r="A398" t="s">
        <v>3329</v>
      </c>
      <c r="B398" t="s">
        <v>7542</v>
      </c>
      <c r="C398" t="s">
        <v>7543</v>
      </c>
      <c r="D398" t="s">
        <v>6745</v>
      </c>
      <c r="E398" t="s">
        <v>6814</v>
      </c>
    </row>
    <row r="399" spans="1:5" x14ac:dyDescent="0.25">
      <c r="A399" t="s">
        <v>3329</v>
      </c>
      <c r="B399" t="s">
        <v>7544</v>
      </c>
      <c r="C399" t="s">
        <v>7545</v>
      </c>
      <c r="D399" t="s">
        <v>6745</v>
      </c>
      <c r="E399" t="s">
        <v>6814</v>
      </c>
    </row>
    <row r="400" spans="1:5" x14ac:dyDescent="0.25">
      <c r="A400" t="s">
        <v>3329</v>
      </c>
      <c r="B400" t="s">
        <v>7546</v>
      </c>
      <c r="C400" t="s">
        <v>7547</v>
      </c>
      <c r="D400" t="s">
        <v>6745</v>
      </c>
      <c r="E400" t="s">
        <v>6814</v>
      </c>
    </row>
    <row r="401" spans="1:5" x14ac:dyDescent="0.25">
      <c r="A401" t="s">
        <v>3329</v>
      </c>
      <c r="B401" t="s">
        <v>7548</v>
      </c>
      <c r="C401" t="s">
        <v>7549</v>
      </c>
      <c r="D401" t="s">
        <v>6745</v>
      </c>
      <c r="E401" t="s">
        <v>6814</v>
      </c>
    </row>
    <row r="402" spans="1:5" x14ac:dyDescent="0.25">
      <c r="A402" t="s">
        <v>3329</v>
      </c>
      <c r="B402" t="s">
        <v>7550</v>
      </c>
      <c r="C402" t="s">
        <v>7551</v>
      </c>
      <c r="D402" t="s">
        <v>6745</v>
      </c>
      <c r="E402" t="s">
        <v>6814</v>
      </c>
    </row>
    <row r="403" spans="1:5" x14ac:dyDescent="0.25">
      <c r="A403" t="s">
        <v>3329</v>
      </c>
      <c r="B403" t="s">
        <v>7552</v>
      </c>
      <c r="C403" t="s">
        <v>7553</v>
      </c>
      <c r="D403" t="s">
        <v>6745</v>
      </c>
      <c r="E403" t="s">
        <v>6814</v>
      </c>
    </row>
    <row r="404" spans="1:5" x14ac:dyDescent="0.25">
      <c r="A404" t="s">
        <v>3329</v>
      </c>
      <c r="B404" t="s">
        <v>7554</v>
      </c>
      <c r="C404" t="s">
        <v>7555</v>
      </c>
      <c r="D404" t="s">
        <v>6745</v>
      </c>
      <c r="E404" t="s">
        <v>6814</v>
      </c>
    </row>
    <row r="405" spans="1:5" x14ac:dyDescent="0.25">
      <c r="A405" t="s">
        <v>3329</v>
      </c>
      <c r="B405" t="s">
        <v>7556</v>
      </c>
      <c r="C405" t="s">
        <v>7557</v>
      </c>
      <c r="D405" t="s">
        <v>6745</v>
      </c>
      <c r="E405" t="s">
        <v>6814</v>
      </c>
    </row>
    <row r="406" spans="1:5" x14ac:dyDescent="0.25">
      <c r="A406" t="s">
        <v>3329</v>
      </c>
      <c r="B406" t="s">
        <v>7558</v>
      </c>
      <c r="C406" t="s">
        <v>7559</v>
      </c>
      <c r="D406" t="s">
        <v>6745</v>
      </c>
      <c r="E406" t="s">
        <v>6814</v>
      </c>
    </row>
    <row r="407" spans="1:5" x14ac:dyDescent="0.25">
      <c r="A407" t="s">
        <v>3329</v>
      </c>
      <c r="B407" t="s">
        <v>7560</v>
      </c>
      <c r="C407" t="s">
        <v>7561</v>
      </c>
      <c r="D407" t="s">
        <v>6745</v>
      </c>
      <c r="E407" t="s">
        <v>6814</v>
      </c>
    </row>
    <row r="408" spans="1:5" x14ac:dyDescent="0.25">
      <c r="A408" t="s">
        <v>3329</v>
      </c>
      <c r="B408" t="s">
        <v>7562</v>
      </c>
      <c r="C408" t="s">
        <v>7563</v>
      </c>
      <c r="D408" t="s">
        <v>6745</v>
      </c>
      <c r="E408" t="s">
        <v>6814</v>
      </c>
    </row>
    <row r="409" spans="1:5" x14ac:dyDescent="0.25">
      <c r="A409" t="s">
        <v>3329</v>
      </c>
      <c r="B409" t="s">
        <v>7564</v>
      </c>
      <c r="C409" t="s">
        <v>7565</v>
      </c>
      <c r="D409" t="s">
        <v>6745</v>
      </c>
      <c r="E409" t="s">
        <v>6814</v>
      </c>
    </row>
    <row r="410" spans="1:5" x14ac:dyDescent="0.25">
      <c r="A410" t="s">
        <v>3329</v>
      </c>
      <c r="B410" t="s">
        <v>7566</v>
      </c>
      <c r="C410" t="s">
        <v>7567</v>
      </c>
      <c r="D410" t="s">
        <v>6745</v>
      </c>
      <c r="E410" t="s">
        <v>6814</v>
      </c>
    </row>
    <row r="411" spans="1:5" x14ac:dyDescent="0.25">
      <c r="A411" t="s">
        <v>3329</v>
      </c>
      <c r="B411" t="s">
        <v>7568</v>
      </c>
      <c r="C411" t="s">
        <v>7569</v>
      </c>
      <c r="D411" t="s">
        <v>6745</v>
      </c>
      <c r="E411" t="s">
        <v>6814</v>
      </c>
    </row>
    <row r="412" spans="1:5" x14ac:dyDescent="0.25">
      <c r="A412" t="s">
        <v>3329</v>
      </c>
      <c r="B412" t="s">
        <v>7570</v>
      </c>
      <c r="C412" t="s">
        <v>7571</v>
      </c>
      <c r="D412" t="s">
        <v>6745</v>
      </c>
      <c r="E412" t="s">
        <v>6814</v>
      </c>
    </row>
    <row r="413" spans="1:5" x14ac:dyDescent="0.25">
      <c r="A413" t="s">
        <v>3329</v>
      </c>
      <c r="B413" t="s">
        <v>7572</v>
      </c>
      <c r="C413" t="s">
        <v>7573</v>
      </c>
      <c r="D413" t="s">
        <v>6745</v>
      </c>
      <c r="E413" t="s">
        <v>6814</v>
      </c>
    </row>
    <row r="414" spans="1:5" x14ac:dyDescent="0.25">
      <c r="A414" t="s">
        <v>3329</v>
      </c>
      <c r="B414" t="s">
        <v>7574</v>
      </c>
      <c r="C414" t="s">
        <v>7575</v>
      </c>
      <c r="D414" t="s">
        <v>6745</v>
      </c>
      <c r="E414" t="s">
        <v>6814</v>
      </c>
    </row>
    <row r="415" spans="1:5" x14ac:dyDescent="0.25">
      <c r="A415" t="s">
        <v>3329</v>
      </c>
      <c r="B415" t="s">
        <v>7576</v>
      </c>
      <c r="C415" t="s">
        <v>7577</v>
      </c>
      <c r="D415" t="s">
        <v>6745</v>
      </c>
      <c r="E415" t="s">
        <v>6814</v>
      </c>
    </row>
    <row r="416" spans="1:5" x14ac:dyDescent="0.25">
      <c r="A416" t="s">
        <v>3329</v>
      </c>
      <c r="B416" t="s">
        <v>7578</v>
      </c>
      <c r="C416" t="s">
        <v>7579</v>
      </c>
      <c r="D416" t="s">
        <v>6745</v>
      </c>
      <c r="E416" t="s">
        <v>6814</v>
      </c>
    </row>
    <row r="417" spans="1:5" x14ac:dyDescent="0.25">
      <c r="A417" t="s">
        <v>3329</v>
      </c>
      <c r="B417" t="s">
        <v>7580</v>
      </c>
      <c r="C417" t="s">
        <v>7581</v>
      </c>
      <c r="D417" t="s">
        <v>6745</v>
      </c>
      <c r="E417" t="s">
        <v>6814</v>
      </c>
    </row>
    <row r="418" spans="1:5" x14ac:dyDescent="0.25">
      <c r="A418" t="s">
        <v>3329</v>
      </c>
      <c r="B418" t="s">
        <v>7582</v>
      </c>
      <c r="C418" t="s">
        <v>7583</v>
      </c>
      <c r="D418" t="s">
        <v>6745</v>
      </c>
      <c r="E418" t="s">
        <v>6814</v>
      </c>
    </row>
    <row r="419" spans="1:5" x14ac:dyDescent="0.25">
      <c r="A419" t="s">
        <v>3329</v>
      </c>
      <c r="B419" t="s">
        <v>7584</v>
      </c>
      <c r="C419" t="s">
        <v>7585</v>
      </c>
      <c r="D419" t="s">
        <v>6745</v>
      </c>
      <c r="E419" t="s">
        <v>6814</v>
      </c>
    </row>
    <row r="420" spans="1:5" x14ac:dyDescent="0.25">
      <c r="A420" t="s">
        <v>3329</v>
      </c>
      <c r="B420" t="s">
        <v>7586</v>
      </c>
      <c r="C420" t="s">
        <v>7587</v>
      </c>
      <c r="D420" t="s">
        <v>6745</v>
      </c>
      <c r="E420" t="s">
        <v>6814</v>
      </c>
    </row>
    <row r="421" spans="1:5" x14ac:dyDescent="0.25">
      <c r="A421" t="s">
        <v>3329</v>
      </c>
      <c r="B421" t="s">
        <v>7588</v>
      </c>
      <c r="C421" t="s">
        <v>7589</v>
      </c>
      <c r="D421" t="s">
        <v>6745</v>
      </c>
      <c r="E421" t="s">
        <v>6814</v>
      </c>
    </row>
    <row r="422" spans="1:5" x14ac:dyDescent="0.25">
      <c r="A422" t="s">
        <v>3329</v>
      </c>
      <c r="B422" t="s">
        <v>7590</v>
      </c>
      <c r="C422" t="s">
        <v>7591</v>
      </c>
      <c r="D422" t="s">
        <v>6745</v>
      </c>
      <c r="E422" t="s">
        <v>6814</v>
      </c>
    </row>
    <row r="423" spans="1:5" x14ac:dyDescent="0.25">
      <c r="A423" t="s">
        <v>3329</v>
      </c>
      <c r="B423" t="s">
        <v>7592</v>
      </c>
      <c r="C423" t="s">
        <v>7593</v>
      </c>
      <c r="D423" t="s">
        <v>6745</v>
      </c>
      <c r="E423" t="s">
        <v>6814</v>
      </c>
    </row>
    <row r="424" spans="1:5" x14ac:dyDescent="0.25">
      <c r="A424" t="s">
        <v>3329</v>
      </c>
      <c r="B424" t="s">
        <v>7594</v>
      </c>
      <c r="C424" t="s">
        <v>7595</v>
      </c>
      <c r="D424" t="s">
        <v>6745</v>
      </c>
      <c r="E424" t="s">
        <v>6814</v>
      </c>
    </row>
    <row r="425" spans="1:5" x14ac:dyDescent="0.25">
      <c r="A425" t="s">
        <v>3329</v>
      </c>
      <c r="B425" t="s">
        <v>7596</v>
      </c>
      <c r="C425" t="s">
        <v>7597</v>
      </c>
      <c r="D425" t="s">
        <v>6745</v>
      </c>
      <c r="E425" t="s">
        <v>6814</v>
      </c>
    </row>
    <row r="426" spans="1:5" x14ac:dyDescent="0.25">
      <c r="A426" t="s">
        <v>3329</v>
      </c>
      <c r="B426" t="s">
        <v>7598</v>
      </c>
      <c r="C426" t="s">
        <v>7599</v>
      </c>
      <c r="D426" t="s">
        <v>6745</v>
      </c>
      <c r="E426" t="s">
        <v>6814</v>
      </c>
    </row>
    <row r="427" spans="1:5" x14ac:dyDescent="0.25">
      <c r="A427" t="s">
        <v>3329</v>
      </c>
      <c r="B427" t="s">
        <v>7600</v>
      </c>
      <c r="C427" t="s">
        <v>7601</v>
      </c>
      <c r="D427" t="s">
        <v>6745</v>
      </c>
      <c r="E427" t="s">
        <v>6814</v>
      </c>
    </row>
    <row r="428" spans="1:5" x14ac:dyDescent="0.25">
      <c r="A428" t="s">
        <v>3329</v>
      </c>
      <c r="B428" t="s">
        <v>7602</v>
      </c>
      <c r="C428" t="s">
        <v>7603</v>
      </c>
      <c r="D428" t="s">
        <v>6745</v>
      </c>
      <c r="E428" t="s">
        <v>6814</v>
      </c>
    </row>
    <row r="429" spans="1:5" x14ac:dyDescent="0.25">
      <c r="A429" t="s">
        <v>3329</v>
      </c>
      <c r="B429" t="s">
        <v>7604</v>
      </c>
      <c r="C429" t="s">
        <v>7605</v>
      </c>
      <c r="D429" t="s">
        <v>6745</v>
      </c>
      <c r="E429" t="s">
        <v>6814</v>
      </c>
    </row>
    <row r="430" spans="1:5" x14ac:dyDescent="0.25">
      <c r="A430" t="s">
        <v>3329</v>
      </c>
      <c r="B430" t="s">
        <v>7606</v>
      </c>
      <c r="C430" t="s">
        <v>7607</v>
      </c>
      <c r="D430" t="s">
        <v>6745</v>
      </c>
      <c r="E430" t="s">
        <v>6814</v>
      </c>
    </row>
    <row r="431" spans="1:5" x14ac:dyDescent="0.25">
      <c r="A431" t="s">
        <v>3329</v>
      </c>
      <c r="B431" t="s">
        <v>7608</v>
      </c>
      <c r="C431" t="s">
        <v>7609</v>
      </c>
      <c r="D431" t="s">
        <v>6745</v>
      </c>
      <c r="E431" t="s">
        <v>6814</v>
      </c>
    </row>
    <row r="432" spans="1:5" x14ac:dyDescent="0.25">
      <c r="A432" t="s">
        <v>3329</v>
      </c>
      <c r="B432" t="s">
        <v>7610</v>
      </c>
      <c r="C432" t="s">
        <v>7611</v>
      </c>
      <c r="D432" t="s">
        <v>6745</v>
      </c>
      <c r="E432" t="s">
        <v>6814</v>
      </c>
    </row>
    <row r="433" spans="1:5" x14ac:dyDescent="0.25">
      <c r="A433" t="s">
        <v>3329</v>
      </c>
      <c r="B433" t="s">
        <v>7612</v>
      </c>
      <c r="C433" t="s">
        <v>7613</v>
      </c>
      <c r="D433" t="s">
        <v>6745</v>
      </c>
      <c r="E433" t="s">
        <v>6814</v>
      </c>
    </row>
    <row r="434" spans="1:5" x14ac:dyDescent="0.25">
      <c r="A434" t="s">
        <v>3329</v>
      </c>
      <c r="B434" t="s">
        <v>7614</v>
      </c>
      <c r="C434" t="s">
        <v>7615</v>
      </c>
      <c r="D434" t="s">
        <v>6745</v>
      </c>
      <c r="E434" t="s">
        <v>6814</v>
      </c>
    </row>
    <row r="435" spans="1:5" x14ac:dyDescent="0.25">
      <c r="A435" t="s">
        <v>3329</v>
      </c>
      <c r="B435" t="s">
        <v>7616</v>
      </c>
      <c r="C435" t="s">
        <v>7617</v>
      </c>
      <c r="D435" t="s">
        <v>3332</v>
      </c>
      <c r="E435" t="s">
        <v>7126</v>
      </c>
    </row>
    <row r="436" spans="1:5" x14ac:dyDescent="0.25">
      <c r="A436" t="s">
        <v>3329</v>
      </c>
      <c r="B436" t="s">
        <v>7618</v>
      </c>
      <c r="C436" t="s">
        <v>7619</v>
      </c>
      <c r="D436" t="s">
        <v>6745</v>
      </c>
      <c r="E436" t="s">
        <v>7013</v>
      </c>
    </row>
    <row r="437" spans="1:5" x14ac:dyDescent="0.25">
      <c r="A437" t="s">
        <v>3329</v>
      </c>
      <c r="B437" t="s">
        <v>7620</v>
      </c>
      <c r="C437" t="s">
        <v>7621</v>
      </c>
      <c r="D437" t="s">
        <v>6745</v>
      </c>
      <c r="E437" t="s">
        <v>6809</v>
      </c>
    </row>
    <row r="438" spans="1:5" x14ac:dyDescent="0.25">
      <c r="A438" t="s">
        <v>3329</v>
      </c>
      <c r="B438" t="s">
        <v>7622</v>
      </c>
      <c r="C438" t="s">
        <v>7623</v>
      </c>
      <c r="D438" t="s">
        <v>6745</v>
      </c>
      <c r="E438" t="s">
        <v>6777</v>
      </c>
    </row>
    <row r="439" spans="1:5" x14ac:dyDescent="0.25">
      <c r="A439" t="s">
        <v>3329</v>
      </c>
      <c r="B439" t="s">
        <v>7624</v>
      </c>
      <c r="C439" t="s">
        <v>7625</v>
      </c>
      <c r="D439" t="s">
        <v>6745</v>
      </c>
      <c r="E439" t="s">
        <v>6777</v>
      </c>
    </row>
    <row r="440" spans="1:5" x14ac:dyDescent="0.25">
      <c r="A440" t="s">
        <v>3329</v>
      </c>
      <c r="B440" t="s">
        <v>7626</v>
      </c>
      <c r="C440" t="s">
        <v>7627</v>
      </c>
      <c r="D440" t="s">
        <v>6745</v>
      </c>
      <c r="E440" t="s">
        <v>6777</v>
      </c>
    </row>
    <row r="441" spans="1:5" x14ac:dyDescent="0.25">
      <c r="A441" t="s">
        <v>3329</v>
      </c>
      <c r="B441" t="s">
        <v>7628</v>
      </c>
      <c r="C441" t="s">
        <v>7629</v>
      </c>
      <c r="D441" t="s">
        <v>6745</v>
      </c>
      <c r="E441" t="s">
        <v>6777</v>
      </c>
    </row>
    <row r="442" spans="1:5" x14ac:dyDescent="0.25">
      <c r="A442" t="s">
        <v>3329</v>
      </c>
      <c r="B442" t="s">
        <v>7630</v>
      </c>
      <c r="C442" t="s">
        <v>7631</v>
      </c>
      <c r="D442" t="s">
        <v>6745</v>
      </c>
      <c r="E442" t="s">
        <v>6777</v>
      </c>
    </row>
    <row r="443" spans="1:5" x14ac:dyDescent="0.25">
      <c r="A443" t="s">
        <v>3329</v>
      </c>
      <c r="B443" t="s">
        <v>7632</v>
      </c>
      <c r="C443" t="s">
        <v>7633</v>
      </c>
      <c r="D443" t="s">
        <v>6745</v>
      </c>
      <c r="E443" t="s">
        <v>6777</v>
      </c>
    </row>
    <row r="444" spans="1:5" x14ac:dyDescent="0.25">
      <c r="A444" t="s">
        <v>3329</v>
      </c>
      <c r="B444" t="s">
        <v>7634</v>
      </c>
      <c r="C444" t="s">
        <v>7635</v>
      </c>
      <c r="D444" t="s">
        <v>6745</v>
      </c>
      <c r="E444" t="s">
        <v>6777</v>
      </c>
    </row>
    <row r="445" spans="1:5" x14ac:dyDescent="0.25">
      <c r="A445" t="s">
        <v>3329</v>
      </c>
      <c r="B445" t="s">
        <v>7636</v>
      </c>
      <c r="C445" t="s">
        <v>7637</v>
      </c>
      <c r="D445" t="s">
        <v>6745</v>
      </c>
      <c r="E445" t="s">
        <v>6777</v>
      </c>
    </row>
    <row r="446" spans="1:5" x14ac:dyDescent="0.25">
      <c r="A446" t="s">
        <v>3329</v>
      </c>
      <c r="B446" t="s">
        <v>7638</v>
      </c>
      <c r="C446" t="s">
        <v>7639</v>
      </c>
      <c r="D446" t="s">
        <v>6745</v>
      </c>
      <c r="E446" t="s">
        <v>6777</v>
      </c>
    </row>
    <row r="447" spans="1:5" x14ac:dyDescent="0.25">
      <c r="A447" t="s">
        <v>3329</v>
      </c>
      <c r="B447" t="s">
        <v>7640</v>
      </c>
      <c r="C447" t="s">
        <v>7641</v>
      </c>
      <c r="D447" t="s">
        <v>6745</v>
      </c>
      <c r="E447" t="s">
        <v>6777</v>
      </c>
    </row>
    <row r="448" spans="1:5" x14ac:dyDescent="0.25">
      <c r="A448" t="s">
        <v>3329</v>
      </c>
      <c r="B448" t="s">
        <v>7642</v>
      </c>
      <c r="C448" t="s">
        <v>7643</v>
      </c>
      <c r="D448" t="s">
        <v>6745</v>
      </c>
      <c r="E448" t="s">
        <v>6777</v>
      </c>
    </row>
    <row r="449" spans="1:5" x14ac:dyDescent="0.25">
      <c r="A449" t="s">
        <v>3329</v>
      </c>
      <c r="B449" t="s">
        <v>7644</v>
      </c>
      <c r="C449" t="s">
        <v>7645</v>
      </c>
      <c r="D449" t="s">
        <v>6745</v>
      </c>
      <c r="E449" t="s">
        <v>6814</v>
      </c>
    </row>
    <row r="450" spans="1:5" x14ac:dyDescent="0.25">
      <c r="A450" t="s">
        <v>3329</v>
      </c>
      <c r="B450" t="s">
        <v>7646</v>
      </c>
      <c r="C450" t="s">
        <v>7647</v>
      </c>
      <c r="D450" t="s">
        <v>6745</v>
      </c>
      <c r="E450" t="s">
        <v>6777</v>
      </c>
    </row>
    <row r="451" spans="1:5" x14ac:dyDescent="0.25">
      <c r="A451" t="s">
        <v>3329</v>
      </c>
      <c r="B451" t="s">
        <v>7648</v>
      </c>
      <c r="C451" t="s">
        <v>7649</v>
      </c>
      <c r="D451" t="s">
        <v>6745</v>
      </c>
      <c r="E451" t="s">
        <v>6777</v>
      </c>
    </row>
    <row r="452" spans="1:5" x14ac:dyDescent="0.25">
      <c r="A452" t="s">
        <v>3329</v>
      </c>
      <c r="B452" t="s">
        <v>7650</v>
      </c>
      <c r="C452" t="s">
        <v>7651</v>
      </c>
      <c r="D452" t="s">
        <v>6745</v>
      </c>
      <c r="E452" t="s">
        <v>6777</v>
      </c>
    </row>
    <row r="453" spans="1:5" x14ac:dyDescent="0.25">
      <c r="A453" t="s">
        <v>3329</v>
      </c>
      <c r="B453" t="s">
        <v>7652</v>
      </c>
      <c r="C453" t="s">
        <v>7653</v>
      </c>
      <c r="D453" t="s">
        <v>6745</v>
      </c>
      <c r="E453" t="s">
        <v>6777</v>
      </c>
    </row>
    <row r="454" spans="1:5" x14ac:dyDescent="0.25">
      <c r="A454" t="s">
        <v>3329</v>
      </c>
      <c r="B454" t="s">
        <v>7654</v>
      </c>
      <c r="C454" t="s">
        <v>7655</v>
      </c>
      <c r="D454" t="s">
        <v>6745</v>
      </c>
      <c r="E454" t="s">
        <v>6814</v>
      </c>
    </row>
    <row r="455" spans="1:5" x14ac:dyDescent="0.25">
      <c r="A455" t="s">
        <v>3329</v>
      </c>
      <c r="B455" t="s">
        <v>7656</v>
      </c>
      <c r="C455" t="s">
        <v>7657</v>
      </c>
      <c r="D455" t="s">
        <v>6745</v>
      </c>
      <c r="E455" t="s">
        <v>6814</v>
      </c>
    </row>
    <row r="456" spans="1:5" x14ac:dyDescent="0.25">
      <c r="A456" t="s">
        <v>3329</v>
      </c>
      <c r="B456" t="s">
        <v>7658</v>
      </c>
      <c r="C456" t="s">
        <v>7659</v>
      </c>
      <c r="D456" t="s">
        <v>6745</v>
      </c>
      <c r="E456" t="s">
        <v>6814</v>
      </c>
    </row>
    <row r="457" spans="1:5" x14ac:dyDescent="0.25">
      <c r="A457" t="s">
        <v>3329</v>
      </c>
      <c r="B457" t="s">
        <v>7660</v>
      </c>
      <c r="C457" t="s">
        <v>7661</v>
      </c>
      <c r="D457" t="s">
        <v>6745</v>
      </c>
      <c r="E457" t="s">
        <v>7155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16D3-3CD5-45F9-9F4A-5107949E7DE4}">
  <dimension ref="A3:C20"/>
  <sheetViews>
    <sheetView workbookViewId="0">
      <selection activeCell="A3" sqref="A3"/>
    </sheetView>
  </sheetViews>
  <sheetFormatPr baseColWidth="10" defaultRowHeight="15" x14ac:dyDescent="0.25"/>
  <cols>
    <col min="1" max="1" width="21" bestFit="1" customWidth="1"/>
  </cols>
  <sheetData>
    <row r="3" spans="1:3" x14ac:dyDescent="0.25">
      <c r="A3" s="5"/>
      <c r="B3" s="6"/>
      <c r="C3" s="7"/>
    </row>
    <row r="4" spans="1:3" x14ac:dyDescent="0.25">
      <c r="A4" s="8"/>
      <c r="B4" s="9"/>
      <c r="C4" s="10"/>
    </row>
    <row r="5" spans="1:3" x14ac:dyDescent="0.25">
      <c r="A5" s="8"/>
      <c r="B5" s="9"/>
      <c r="C5" s="10"/>
    </row>
    <row r="6" spans="1:3" x14ac:dyDescent="0.25">
      <c r="A6" s="8"/>
      <c r="B6" s="9"/>
      <c r="C6" s="10"/>
    </row>
    <row r="7" spans="1:3" x14ac:dyDescent="0.25">
      <c r="A7" s="8"/>
      <c r="B7" s="9"/>
      <c r="C7" s="10"/>
    </row>
    <row r="8" spans="1:3" x14ac:dyDescent="0.25">
      <c r="A8" s="8"/>
      <c r="B8" s="9"/>
      <c r="C8" s="10"/>
    </row>
    <row r="9" spans="1:3" x14ac:dyDescent="0.25">
      <c r="A9" s="8"/>
      <c r="B9" s="9"/>
      <c r="C9" s="10"/>
    </row>
    <row r="10" spans="1:3" x14ac:dyDescent="0.25">
      <c r="A10" s="8"/>
      <c r="B10" s="9"/>
      <c r="C10" s="10"/>
    </row>
    <row r="11" spans="1:3" x14ac:dyDescent="0.25">
      <c r="A11" s="8"/>
      <c r="B11" s="9"/>
      <c r="C11" s="10"/>
    </row>
    <row r="12" spans="1:3" x14ac:dyDescent="0.25">
      <c r="A12" s="8"/>
      <c r="B12" s="9"/>
      <c r="C12" s="10"/>
    </row>
    <row r="13" spans="1:3" x14ac:dyDescent="0.25">
      <c r="A13" s="8"/>
      <c r="B13" s="9"/>
      <c r="C13" s="10"/>
    </row>
    <row r="14" spans="1:3" x14ac:dyDescent="0.25">
      <c r="A14" s="8"/>
      <c r="B14" s="9"/>
      <c r="C14" s="10"/>
    </row>
    <row r="15" spans="1:3" x14ac:dyDescent="0.25">
      <c r="A15" s="8"/>
      <c r="B15" s="9"/>
      <c r="C15" s="10"/>
    </row>
    <row r="16" spans="1:3" x14ac:dyDescent="0.25">
      <c r="A16" s="8"/>
      <c r="B16" s="9"/>
      <c r="C16" s="10"/>
    </row>
    <row r="17" spans="1:3" x14ac:dyDescent="0.25">
      <c r="A17" s="8"/>
      <c r="B17" s="9"/>
      <c r="C17" s="10"/>
    </row>
    <row r="18" spans="1:3" x14ac:dyDescent="0.25">
      <c r="A18" s="8"/>
      <c r="B18" s="9"/>
      <c r="C18" s="10"/>
    </row>
    <row r="19" spans="1:3" x14ac:dyDescent="0.25">
      <c r="A19" s="8"/>
      <c r="B19" s="9"/>
      <c r="C19" s="10"/>
    </row>
    <row r="20" spans="1:3" x14ac:dyDescent="0.25">
      <c r="A20" s="11"/>
      <c r="B20" s="12"/>
      <c r="C20" s="1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A0DE1-30D0-49E5-9F84-80A21AA49CF7}">
  <dimension ref="A1:E110"/>
  <sheetViews>
    <sheetView workbookViewId="0">
      <selection sqref="A1:E110"/>
    </sheetView>
  </sheetViews>
  <sheetFormatPr baseColWidth="10" defaultRowHeight="15" x14ac:dyDescent="0.25"/>
  <cols>
    <col min="1" max="1" width="8.85546875" bestFit="1" customWidth="1"/>
    <col min="2" max="2" width="16.28515625" bestFit="1" customWidth="1"/>
    <col min="3" max="3" width="50.85546875" bestFit="1" customWidth="1"/>
    <col min="4" max="4" width="13.7109375" bestFit="1" customWidth="1"/>
    <col min="5" max="5" width="7.5703125" bestFit="1" customWidth="1"/>
  </cols>
  <sheetData>
    <row r="1" spans="1:5" x14ac:dyDescent="0.25">
      <c r="A1" t="s">
        <v>3324</v>
      </c>
      <c r="B1" t="s">
        <v>3325</v>
      </c>
      <c r="C1" t="s">
        <v>3326</v>
      </c>
      <c r="D1" t="s">
        <v>3327</v>
      </c>
      <c r="E1" t="s">
        <v>3328</v>
      </c>
    </row>
    <row r="2" spans="1:5" x14ac:dyDescent="0.25">
      <c r="A2" t="s">
        <v>3329</v>
      </c>
      <c r="B2" t="s">
        <v>7662</v>
      </c>
      <c r="C2" t="s">
        <v>7663</v>
      </c>
      <c r="D2" t="s">
        <v>3332</v>
      </c>
      <c r="E2" t="s">
        <v>7664</v>
      </c>
    </row>
    <row r="3" spans="1:5" x14ac:dyDescent="0.25">
      <c r="A3" t="s">
        <v>3329</v>
      </c>
      <c r="B3" t="s">
        <v>7665</v>
      </c>
      <c r="C3" t="s">
        <v>7666</v>
      </c>
      <c r="D3" t="s">
        <v>3332</v>
      </c>
      <c r="E3" t="s">
        <v>7664</v>
      </c>
    </row>
    <row r="4" spans="1:5" x14ac:dyDescent="0.25">
      <c r="A4" t="s">
        <v>3329</v>
      </c>
      <c r="B4" t="s">
        <v>7667</v>
      </c>
      <c r="C4" t="s">
        <v>7668</v>
      </c>
      <c r="D4" t="s">
        <v>3332</v>
      </c>
      <c r="E4" t="s">
        <v>7664</v>
      </c>
    </row>
    <row r="5" spans="1:5" x14ac:dyDescent="0.25">
      <c r="A5" t="s">
        <v>3329</v>
      </c>
      <c r="B5" t="s">
        <v>7669</v>
      </c>
      <c r="C5" t="s">
        <v>7670</v>
      </c>
      <c r="D5" t="s">
        <v>3332</v>
      </c>
      <c r="E5" t="s">
        <v>7664</v>
      </c>
    </row>
    <row r="6" spans="1:5" x14ac:dyDescent="0.25">
      <c r="A6" t="s">
        <v>3329</v>
      </c>
      <c r="B6" t="s">
        <v>7671</v>
      </c>
      <c r="C6" t="s">
        <v>7672</v>
      </c>
      <c r="D6" t="s">
        <v>3332</v>
      </c>
      <c r="E6" t="s">
        <v>7664</v>
      </c>
    </row>
    <row r="7" spans="1:5" x14ac:dyDescent="0.25">
      <c r="A7" t="s">
        <v>3329</v>
      </c>
      <c r="B7" t="s">
        <v>7673</v>
      </c>
      <c r="C7" t="s">
        <v>7674</v>
      </c>
      <c r="D7" t="s">
        <v>3332</v>
      </c>
      <c r="E7" t="s">
        <v>7664</v>
      </c>
    </row>
    <row r="8" spans="1:5" x14ac:dyDescent="0.25">
      <c r="A8" t="s">
        <v>3329</v>
      </c>
      <c r="B8" t="s">
        <v>7675</v>
      </c>
      <c r="C8" t="s">
        <v>7676</v>
      </c>
      <c r="D8" t="s">
        <v>3332</v>
      </c>
      <c r="E8" t="s">
        <v>7664</v>
      </c>
    </row>
    <row r="9" spans="1:5" x14ac:dyDescent="0.25">
      <c r="A9" t="s">
        <v>3329</v>
      </c>
      <c r="B9" t="s">
        <v>7677</v>
      </c>
      <c r="C9" t="s">
        <v>7678</v>
      </c>
      <c r="D9" t="s">
        <v>3332</v>
      </c>
      <c r="E9" t="s">
        <v>7664</v>
      </c>
    </row>
    <row r="10" spans="1:5" x14ac:dyDescent="0.25">
      <c r="A10" t="s">
        <v>3329</v>
      </c>
      <c r="B10" t="s">
        <v>7679</v>
      </c>
      <c r="C10" t="s">
        <v>7680</v>
      </c>
      <c r="D10" t="s">
        <v>3332</v>
      </c>
      <c r="E10" t="s">
        <v>7664</v>
      </c>
    </row>
    <row r="11" spans="1:5" x14ac:dyDescent="0.25">
      <c r="A11" t="s">
        <v>3329</v>
      </c>
      <c r="B11" t="s">
        <v>7681</v>
      </c>
      <c r="C11" t="s">
        <v>7682</v>
      </c>
      <c r="D11" t="s">
        <v>3332</v>
      </c>
      <c r="E11" t="s">
        <v>7664</v>
      </c>
    </row>
    <row r="12" spans="1:5" x14ac:dyDescent="0.25">
      <c r="A12" t="s">
        <v>3329</v>
      </c>
      <c r="B12" t="s">
        <v>7683</v>
      </c>
      <c r="C12" t="s">
        <v>7684</v>
      </c>
      <c r="D12" t="s">
        <v>3332</v>
      </c>
      <c r="E12" t="s">
        <v>7664</v>
      </c>
    </row>
    <row r="13" spans="1:5" x14ac:dyDescent="0.25">
      <c r="A13" t="s">
        <v>3329</v>
      </c>
      <c r="B13" t="s">
        <v>7685</v>
      </c>
      <c r="C13" t="s">
        <v>7686</v>
      </c>
      <c r="D13" t="s">
        <v>3332</v>
      </c>
      <c r="E13" t="s">
        <v>7664</v>
      </c>
    </row>
    <row r="14" spans="1:5" x14ac:dyDescent="0.25">
      <c r="A14" t="s">
        <v>3329</v>
      </c>
      <c r="B14" t="s">
        <v>7687</v>
      </c>
      <c r="C14" t="s">
        <v>7688</v>
      </c>
      <c r="D14" t="s">
        <v>3332</v>
      </c>
      <c r="E14" t="s">
        <v>7664</v>
      </c>
    </row>
    <row r="15" spans="1:5" x14ac:dyDescent="0.25">
      <c r="A15" t="s">
        <v>3329</v>
      </c>
      <c r="B15" t="s">
        <v>7689</v>
      </c>
      <c r="C15" t="s">
        <v>7690</v>
      </c>
      <c r="D15" t="s">
        <v>3332</v>
      </c>
      <c r="E15" t="s">
        <v>7664</v>
      </c>
    </row>
    <row r="16" spans="1:5" x14ac:dyDescent="0.25">
      <c r="A16" t="s">
        <v>3329</v>
      </c>
      <c r="B16" t="s">
        <v>7691</v>
      </c>
      <c r="C16" t="s">
        <v>7692</v>
      </c>
      <c r="D16" t="s">
        <v>3332</v>
      </c>
      <c r="E16" t="s">
        <v>7664</v>
      </c>
    </row>
    <row r="17" spans="1:5" x14ac:dyDescent="0.25">
      <c r="A17" t="s">
        <v>3329</v>
      </c>
      <c r="B17" t="s">
        <v>7693</v>
      </c>
      <c r="C17" t="s">
        <v>7694</v>
      </c>
      <c r="D17" t="s">
        <v>3332</v>
      </c>
      <c r="E17" t="s">
        <v>7664</v>
      </c>
    </row>
    <row r="18" spans="1:5" x14ac:dyDescent="0.25">
      <c r="A18" t="s">
        <v>3329</v>
      </c>
      <c r="B18" t="s">
        <v>7695</v>
      </c>
      <c r="C18" t="s">
        <v>7696</v>
      </c>
      <c r="D18" t="s">
        <v>3332</v>
      </c>
      <c r="E18" t="s">
        <v>7664</v>
      </c>
    </row>
    <row r="19" spans="1:5" x14ac:dyDescent="0.25">
      <c r="A19" t="s">
        <v>3329</v>
      </c>
      <c r="B19" t="s">
        <v>7697</v>
      </c>
      <c r="C19" t="s">
        <v>7698</v>
      </c>
      <c r="D19" t="s">
        <v>6745</v>
      </c>
      <c r="E19" t="s">
        <v>7699</v>
      </c>
    </row>
    <row r="20" spans="1:5" x14ac:dyDescent="0.25">
      <c r="A20" t="s">
        <v>3329</v>
      </c>
      <c r="B20" t="s">
        <v>7700</v>
      </c>
      <c r="C20" t="s">
        <v>7701</v>
      </c>
      <c r="D20" t="s">
        <v>3332</v>
      </c>
      <c r="E20" t="s">
        <v>7699</v>
      </c>
    </row>
    <row r="21" spans="1:5" x14ac:dyDescent="0.25">
      <c r="A21" t="s">
        <v>3329</v>
      </c>
      <c r="B21" t="s">
        <v>7702</v>
      </c>
      <c r="C21" t="s">
        <v>7703</v>
      </c>
      <c r="D21" t="s">
        <v>3332</v>
      </c>
      <c r="E21" t="s">
        <v>7704</v>
      </c>
    </row>
    <row r="22" spans="1:5" x14ac:dyDescent="0.25">
      <c r="A22" t="s">
        <v>3329</v>
      </c>
      <c r="B22" t="s">
        <v>7705</v>
      </c>
      <c r="C22" t="s">
        <v>7706</v>
      </c>
      <c r="D22" t="s">
        <v>3332</v>
      </c>
      <c r="E22" t="s">
        <v>7704</v>
      </c>
    </row>
    <row r="23" spans="1:5" x14ac:dyDescent="0.25">
      <c r="A23" t="s">
        <v>3329</v>
      </c>
      <c r="B23" t="s">
        <v>7707</v>
      </c>
      <c r="C23" t="s">
        <v>7708</v>
      </c>
      <c r="D23" t="s">
        <v>3332</v>
      </c>
      <c r="E23" t="s">
        <v>7704</v>
      </c>
    </row>
    <row r="24" spans="1:5" x14ac:dyDescent="0.25">
      <c r="A24" t="s">
        <v>3329</v>
      </c>
      <c r="B24" t="s">
        <v>7709</v>
      </c>
      <c r="C24" t="s">
        <v>7710</v>
      </c>
      <c r="D24" t="s">
        <v>3332</v>
      </c>
      <c r="E24" t="s">
        <v>7704</v>
      </c>
    </row>
    <row r="25" spans="1:5" x14ac:dyDescent="0.25">
      <c r="A25" t="s">
        <v>3329</v>
      </c>
      <c r="B25" t="s">
        <v>7711</v>
      </c>
      <c r="C25" t="s">
        <v>7712</v>
      </c>
      <c r="D25" t="s">
        <v>3332</v>
      </c>
      <c r="E25" t="s">
        <v>7704</v>
      </c>
    </row>
    <row r="26" spans="1:5" x14ac:dyDescent="0.25">
      <c r="A26" t="s">
        <v>3329</v>
      </c>
      <c r="B26" t="s">
        <v>7713</v>
      </c>
      <c r="C26" t="s">
        <v>7714</v>
      </c>
      <c r="D26" t="s">
        <v>6745</v>
      </c>
      <c r="E26" t="s">
        <v>7704</v>
      </c>
    </row>
    <row r="27" spans="1:5" x14ac:dyDescent="0.25">
      <c r="A27" t="s">
        <v>3329</v>
      </c>
      <c r="B27" t="s">
        <v>7715</v>
      </c>
      <c r="C27" t="s">
        <v>7716</v>
      </c>
      <c r="D27" t="s">
        <v>3332</v>
      </c>
      <c r="E27" t="s">
        <v>7704</v>
      </c>
    </row>
    <row r="28" spans="1:5" x14ac:dyDescent="0.25">
      <c r="A28" t="s">
        <v>3329</v>
      </c>
      <c r="B28" t="s">
        <v>7717</v>
      </c>
      <c r="C28" t="s">
        <v>7718</v>
      </c>
      <c r="D28" t="s">
        <v>3332</v>
      </c>
      <c r="E28" t="s">
        <v>7704</v>
      </c>
    </row>
    <row r="29" spans="1:5" x14ac:dyDescent="0.25">
      <c r="A29" t="s">
        <v>3329</v>
      </c>
      <c r="B29" t="s">
        <v>7719</v>
      </c>
      <c r="C29" t="s">
        <v>7720</v>
      </c>
      <c r="D29" t="s">
        <v>6745</v>
      </c>
      <c r="E29" t="s">
        <v>7704</v>
      </c>
    </row>
    <row r="30" spans="1:5" x14ac:dyDescent="0.25">
      <c r="A30" t="s">
        <v>3329</v>
      </c>
      <c r="B30" t="s">
        <v>7721</v>
      </c>
      <c r="C30" t="s">
        <v>7722</v>
      </c>
      <c r="D30" t="s">
        <v>6745</v>
      </c>
      <c r="E30" t="s">
        <v>7704</v>
      </c>
    </row>
    <row r="31" spans="1:5" x14ac:dyDescent="0.25">
      <c r="A31" t="s">
        <v>3329</v>
      </c>
      <c r="B31" t="s">
        <v>7723</v>
      </c>
      <c r="C31" t="s">
        <v>7724</v>
      </c>
      <c r="D31" t="s">
        <v>6745</v>
      </c>
      <c r="E31" t="s">
        <v>7704</v>
      </c>
    </row>
    <row r="32" spans="1:5" x14ac:dyDescent="0.25">
      <c r="A32" t="s">
        <v>3329</v>
      </c>
      <c r="B32" t="s">
        <v>7725</v>
      </c>
      <c r="C32" t="s">
        <v>7726</v>
      </c>
      <c r="D32" t="s">
        <v>6745</v>
      </c>
      <c r="E32" t="s">
        <v>7704</v>
      </c>
    </row>
    <row r="33" spans="1:5" x14ac:dyDescent="0.25">
      <c r="A33" t="s">
        <v>3329</v>
      </c>
      <c r="B33" t="s">
        <v>7727</v>
      </c>
      <c r="C33" t="s">
        <v>7728</v>
      </c>
      <c r="D33" t="s">
        <v>6745</v>
      </c>
      <c r="E33" t="s">
        <v>7704</v>
      </c>
    </row>
    <row r="34" spans="1:5" x14ac:dyDescent="0.25">
      <c r="A34" t="s">
        <v>3329</v>
      </c>
      <c r="B34" t="s">
        <v>7729</v>
      </c>
      <c r="C34" t="s">
        <v>7730</v>
      </c>
      <c r="D34" t="s">
        <v>6745</v>
      </c>
      <c r="E34" t="s">
        <v>7704</v>
      </c>
    </row>
    <row r="35" spans="1:5" x14ac:dyDescent="0.25">
      <c r="A35" t="s">
        <v>3329</v>
      </c>
      <c r="B35" t="s">
        <v>7731</v>
      </c>
      <c r="C35" t="s">
        <v>7732</v>
      </c>
      <c r="D35" t="s">
        <v>6745</v>
      </c>
      <c r="E35" t="s">
        <v>7704</v>
      </c>
    </row>
    <row r="36" spans="1:5" x14ac:dyDescent="0.25">
      <c r="A36" t="s">
        <v>3329</v>
      </c>
      <c r="B36" t="s">
        <v>7733</v>
      </c>
      <c r="C36" t="s">
        <v>7734</v>
      </c>
      <c r="D36" t="s">
        <v>6745</v>
      </c>
      <c r="E36" t="s">
        <v>7704</v>
      </c>
    </row>
    <row r="37" spans="1:5" x14ac:dyDescent="0.25">
      <c r="A37" t="s">
        <v>3329</v>
      </c>
      <c r="B37" t="s">
        <v>7735</v>
      </c>
      <c r="C37" t="s">
        <v>7736</v>
      </c>
      <c r="D37" t="s">
        <v>6745</v>
      </c>
      <c r="E37" t="s">
        <v>7704</v>
      </c>
    </row>
    <row r="38" spans="1:5" x14ac:dyDescent="0.25">
      <c r="A38" t="s">
        <v>3329</v>
      </c>
      <c r="B38" t="s">
        <v>7737</v>
      </c>
      <c r="C38" t="s">
        <v>7738</v>
      </c>
      <c r="D38" t="s">
        <v>6745</v>
      </c>
      <c r="E38" t="s">
        <v>7704</v>
      </c>
    </row>
    <row r="39" spans="1:5" x14ac:dyDescent="0.25">
      <c r="A39" t="s">
        <v>3329</v>
      </c>
      <c r="B39" t="s">
        <v>7739</v>
      </c>
      <c r="C39" t="s">
        <v>7740</v>
      </c>
      <c r="D39" t="s">
        <v>6745</v>
      </c>
      <c r="E39" t="s">
        <v>7704</v>
      </c>
    </row>
    <row r="40" spans="1:5" x14ac:dyDescent="0.25">
      <c r="A40" t="s">
        <v>3329</v>
      </c>
      <c r="B40" t="s">
        <v>7741</v>
      </c>
      <c r="C40" t="s">
        <v>7742</v>
      </c>
      <c r="D40" t="s">
        <v>6745</v>
      </c>
      <c r="E40" t="s">
        <v>7704</v>
      </c>
    </row>
    <row r="41" spans="1:5" x14ac:dyDescent="0.25">
      <c r="A41" t="s">
        <v>3329</v>
      </c>
      <c r="B41" t="s">
        <v>7743</v>
      </c>
      <c r="C41" t="s">
        <v>7744</v>
      </c>
      <c r="D41" t="s">
        <v>6745</v>
      </c>
      <c r="E41" t="s">
        <v>7704</v>
      </c>
    </row>
    <row r="42" spans="1:5" x14ac:dyDescent="0.25">
      <c r="A42" t="s">
        <v>3329</v>
      </c>
      <c r="B42" t="s">
        <v>7745</v>
      </c>
      <c r="C42" t="s">
        <v>7746</v>
      </c>
      <c r="D42" t="s">
        <v>6745</v>
      </c>
      <c r="E42" t="s">
        <v>7704</v>
      </c>
    </row>
    <row r="43" spans="1:5" x14ac:dyDescent="0.25">
      <c r="A43" t="s">
        <v>3329</v>
      </c>
      <c r="B43" t="s">
        <v>7747</v>
      </c>
      <c r="C43" t="s">
        <v>7748</v>
      </c>
      <c r="D43" t="s">
        <v>6745</v>
      </c>
      <c r="E43" t="s">
        <v>7704</v>
      </c>
    </row>
    <row r="44" spans="1:5" x14ac:dyDescent="0.25">
      <c r="A44" t="s">
        <v>3329</v>
      </c>
      <c r="B44" t="s">
        <v>7749</v>
      </c>
      <c r="C44" t="s">
        <v>7750</v>
      </c>
      <c r="D44" t="s">
        <v>6745</v>
      </c>
      <c r="E44" t="s">
        <v>7704</v>
      </c>
    </row>
    <row r="45" spans="1:5" x14ac:dyDescent="0.25">
      <c r="A45" t="s">
        <v>3329</v>
      </c>
      <c r="B45" t="s">
        <v>7751</v>
      </c>
      <c r="C45" t="s">
        <v>7752</v>
      </c>
      <c r="D45" t="s">
        <v>6745</v>
      </c>
      <c r="E45" t="s">
        <v>7704</v>
      </c>
    </row>
    <row r="46" spans="1:5" x14ac:dyDescent="0.25">
      <c r="A46" t="s">
        <v>3329</v>
      </c>
      <c r="B46" t="s">
        <v>7753</v>
      </c>
      <c r="C46" t="s">
        <v>7754</v>
      </c>
      <c r="D46" t="s">
        <v>6745</v>
      </c>
      <c r="E46" t="s">
        <v>7704</v>
      </c>
    </row>
    <row r="47" spans="1:5" x14ac:dyDescent="0.25">
      <c r="A47" t="s">
        <v>3329</v>
      </c>
      <c r="B47" t="s">
        <v>7755</v>
      </c>
      <c r="C47" t="s">
        <v>7756</v>
      </c>
      <c r="D47" t="s">
        <v>6745</v>
      </c>
      <c r="E47" t="s">
        <v>7704</v>
      </c>
    </row>
    <row r="48" spans="1:5" x14ac:dyDescent="0.25">
      <c r="A48" t="s">
        <v>3329</v>
      </c>
      <c r="B48" t="s">
        <v>7757</v>
      </c>
      <c r="C48" t="s">
        <v>7758</v>
      </c>
      <c r="D48" t="s">
        <v>6745</v>
      </c>
      <c r="E48" t="s">
        <v>7704</v>
      </c>
    </row>
    <row r="49" spans="1:5" x14ac:dyDescent="0.25">
      <c r="A49" t="s">
        <v>3329</v>
      </c>
      <c r="B49" t="s">
        <v>7759</v>
      </c>
      <c r="C49" t="s">
        <v>7760</v>
      </c>
      <c r="D49" t="s">
        <v>6745</v>
      </c>
      <c r="E49" t="s">
        <v>7704</v>
      </c>
    </row>
    <row r="50" spans="1:5" x14ac:dyDescent="0.25">
      <c r="A50" t="s">
        <v>3329</v>
      </c>
      <c r="B50" t="s">
        <v>7761</v>
      </c>
      <c r="C50" t="s">
        <v>7762</v>
      </c>
      <c r="D50" t="s">
        <v>6745</v>
      </c>
      <c r="E50" t="s">
        <v>7704</v>
      </c>
    </row>
    <row r="51" spans="1:5" x14ac:dyDescent="0.25">
      <c r="A51" t="s">
        <v>3329</v>
      </c>
      <c r="B51" t="s">
        <v>7763</v>
      </c>
      <c r="C51" t="s">
        <v>7764</v>
      </c>
      <c r="D51" t="s">
        <v>6745</v>
      </c>
      <c r="E51" t="s">
        <v>7704</v>
      </c>
    </row>
    <row r="52" spans="1:5" x14ac:dyDescent="0.25">
      <c r="A52" t="s">
        <v>3329</v>
      </c>
      <c r="B52" t="s">
        <v>7765</v>
      </c>
      <c r="C52" t="s">
        <v>7766</v>
      </c>
      <c r="D52" t="s">
        <v>6745</v>
      </c>
      <c r="E52" t="s">
        <v>7704</v>
      </c>
    </row>
    <row r="53" spans="1:5" x14ac:dyDescent="0.25">
      <c r="A53" t="s">
        <v>3329</v>
      </c>
      <c r="B53" t="s">
        <v>7767</v>
      </c>
      <c r="C53" t="s">
        <v>7768</v>
      </c>
      <c r="D53" t="s">
        <v>6745</v>
      </c>
      <c r="E53" t="s">
        <v>7704</v>
      </c>
    </row>
    <row r="54" spans="1:5" x14ac:dyDescent="0.25">
      <c r="A54" t="s">
        <v>3329</v>
      </c>
      <c r="B54" t="s">
        <v>7769</v>
      </c>
      <c r="C54" t="s">
        <v>7770</v>
      </c>
      <c r="D54" t="s">
        <v>6745</v>
      </c>
      <c r="E54" t="s">
        <v>7704</v>
      </c>
    </row>
    <row r="55" spans="1:5" x14ac:dyDescent="0.25">
      <c r="A55" t="s">
        <v>3329</v>
      </c>
      <c r="B55" t="s">
        <v>7771</v>
      </c>
      <c r="C55" t="s">
        <v>7772</v>
      </c>
      <c r="D55" t="s">
        <v>6745</v>
      </c>
      <c r="E55" t="s">
        <v>7704</v>
      </c>
    </row>
    <row r="56" spans="1:5" x14ac:dyDescent="0.25">
      <c r="A56" t="s">
        <v>3329</v>
      </c>
      <c r="B56" t="s">
        <v>7773</v>
      </c>
      <c r="C56" t="s">
        <v>7774</v>
      </c>
      <c r="D56" t="s">
        <v>6745</v>
      </c>
      <c r="E56" t="s">
        <v>7704</v>
      </c>
    </row>
    <row r="57" spans="1:5" x14ac:dyDescent="0.25">
      <c r="A57" t="s">
        <v>3329</v>
      </c>
      <c r="B57" t="s">
        <v>7775</v>
      </c>
      <c r="C57" t="s">
        <v>7776</v>
      </c>
      <c r="D57" t="s">
        <v>6745</v>
      </c>
      <c r="E57" t="s">
        <v>7704</v>
      </c>
    </row>
    <row r="58" spans="1:5" x14ac:dyDescent="0.25">
      <c r="A58" t="s">
        <v>3329</v>
      </c>
      <c r="B58" t="s">
        <v>7777</v>
      </c>
      <c r="C58" t="s">
        <v>7778</v>
      </c>
      <c r="D58" t="s">
        <v>6745</v>
      </c>
      <c r="E58" t="s">
        <v>7704</v>
      </c>
    </row>
    <row r="59" spans="1:5" x14ac:dyDescent="0.25">
      <c r="A59" t="s">
        <v>3329</v>
      </c>
      <c r="B59" t="s">
        <v>7779</v>
      </c>
      <c r="C59" t="s">
        <v>7780</v>
      </c>
      <c r="D59" t="s">
        <v>6745</v>
      </c>
      <c r="E59" t="s">
        <v>7704</v>
      </c>
    </row>
    <row r="60" spans="1:5" x14ac:dyDescent="0.25">
      <c r="A60" t="s">
        <v>3329</v>
      </c>
      <c r="B60" t="s">
        <v>7781</v>
      </c>
      <c r="C60" t="s">
        <v>7782</v>
      </c>
      <c r="D60" t="s">
        <v>6745</v>
      </c>
      <c r="E60" t="s">
        <v>7704</v>
      </c>
    </row>
    <row r="61" spans="1:5" x14ac:dyDescent="0.25">
      <c r="A61" t="s">
        <v>3329</v>
      </c>
      <c r="B61" t="s">
        <v>7783</v>
      </c>
      <c r="C61" t="s">
        <v>7784</v>
      </c>
      <c r="D61" t="s">
        <v>6745</v>
      </c>
      <c r="E61" t="s">
        <v>7704</v>
      </c>
    </row>
    <row r="62" spans="1:5" x14ac:dyDescent="0.25">
      <c r="A62" t="s">
        <v>3329</v>
      </c>
      <c r="B62" t="s">
        <v>7785</v>
      </c>
      <c r="C62" t="s">
        <v>7786</v>
      </c>
      <c r="D62" t="s">
        <v>6745</v>
      </c>
      <c r="E62" t="s">
        <v>7704</v>
      </c>
    </row>
    <row r="63" spans="1:5" x14ac:dyDescent="0.25">
      <c r="A63" t="s">
        <v>3329</v>
      </c>
      <c r="B63" t="s">
        <v>7787</v>
      </c>
      <c r="C63" t="s">
        <v>7788</v>
      </c>
      <c r="D63" t="s">
        <v>3332</v>
      </c>
      <c r="E63" t="s">
        <v>7704</v>
      </c>
    </row>
    <row r="64" spans="1:5" x14ac:dyDescent="0.25">
      <c r="A64" t="s">
        <v>3329</v>
      </c>
      <c r="B64" t="s">
        <v>7789</v>
      </c>
      <c r="C64" t="s">
        <v>7790</v>
      </c>
      <c r="D64" t="s">
        <v>3332</v>
      </c>
      <c r="E64" t="s">
        <v>7704</v>
      </c>
    </row>
    <row r="65" spans="1:5" x14ac:dyDescent="0.25">
      <c r="A65" t="s">
        <v>3329</v>
      </c>
      <c r="B65" t="s">
        <v>7791</v>
      </c>
      <c r="C65" t="s">
        <v>7792</v>
      </c>
      <c r="D65" t="s">
        <v>3332</v>
      </c>
      <c r="E65" t="s">
        <v>7704</v>
      </c>
    </row>
    <row r="66" spans="1:5" x14ac:dyDescent="0.25">
      <c r="A66" t="s">
        <v>3329</v>
      </c>
      <c r="B66" t="s">
        <v>7793</v>
      </c>
      <c r="C66" t="s">
        <v>7794</v>
      </c>
      <c r="D66" t="s">
        <v>3332</v>
      </c>
      <c r="E66" t="s">
        <v>7704</v>
      </c>
    </row>
    <row r="67" spans="1:5" x14ac:dyDescent="0.25">
      <c r="A67" t="s">
        <v>3329</v>
      </c>
      <c r="B67" t="s">
        <v>7795</v>
      </c>
      <c r="C67" t="s">
        <v>7796</v>
      </c>
      <c r="D67" t="s">
        <v>3332</v>
      </c>
      <c r="E67" t="s">
        <v>7704</v>
      </c>
    </row>
    <row r="68" spans="1:5" x14ac:dyDescent="0.25">
      <c r="A68" t="s">
        <v>3329</v>
      </c>
      <c r="B68" t="s">
        <v>7797</v>
      </c>
      <c r="C68" t="s">
        <v>7798</v>
      </c>
      <c r="D68" t="s">
        <v>3332</v>
      </c>
      <c r="E68" t="s">
        <v>7704</v>
      </c>
    </row>
    <row r="69" spans="1:5" x14ac:dyDescent="0.25">
      <c r="A69" t="s">
        <v>3329</v>
      </c>
      <c r="B69" t="s">
        <v>7799</v>
      </c>
      <c r="C69" t="s">
        <v>7800</v>
      </c>
      <c r="D69" t="s">
        <v>3332</v>
      </c>
      <c r="E69" t="s">
        <v>7704</v>
      </c>
    </row>
    <row r="70" spans="1:5" x14ac:dyDescent="0.25">
      <c r="A70" t="s">
        <v>3329</v>
      </c>
      <c r="B70" t="s">
        <v>7801</v>
      </c>
      <c r="C70" t="s">
        <v>7802</v>
      </c>
      <c r="D70" t="s">
        <v>3332</v>
      </c>
      <c r="E70" t="s">
        <v>7704</v>
      </c>
    </row>
    <row r="71" spans="1:5" x14ac:dyDescent="0.25">
      <c r="A71" t="s">
        <v>3329</v>
      </c>
      <c r="B71" t="s">
        <v>7803</v>
      </c>
      <c r="C71" t="s">
        <v>7804</v>
      </c>
      <c r="D71" t="s">
        <v>3332</v>
      </c>
      <c r="E71" t="s">
        <v>7704</v>
      </c>
    </row>
    <row r="72" spans="1:5" x14ac:dyDescent="0.25">
      <c r="A72" t="s">
        <v>3329</v>
      </c>
      <c r="B72" t="s">
        <v>7805</v>
      </c>
      <c r="C72" t="s">
        <v>7806</v>
      </c>
      <c r="D72" t="s">
        <v>3332</v>
      </c>
      <c r="E72" t="s">
        <v>7704</v>
      </c>
    </row>
    <row r="73" spans="1:5" x14ac:dyDescent="0.25">
      <c r="A73" t="s">
        <v>3329</v>
      </c>
      <c r="B73" t="s">
        <v>7807</v>
      </c>
      <c r="C73" t="s">
        <v>7808</v>
      </c>
      <c r="D73" t="s">
        <v>3332</v>
      </c>
      <c r="E73" t="s">
        <v>7704</v>
      </c>
    </row>
    <row r="74" spans="1:5" x14ac:dyDescent="0.25">
      <c r="A74" t="s">
        <v>3329</v>
      </c>
      <c r="B74" t="s">
        <v>7809</v>
      </c>
      <c r="C74" t="s">
        <v>7810</v>
      </c>
      <c r="D74" t="s">
        <v>3332</v>
      </c>
      <c r="E74" t="s">
        <v>7704</v>
      </c>
    </row>
    <row r="75" spans="1:5" x14ac:dyDescent="0.25">
      <c r="A75" t="s">
        <v>3329</v>
      </c>
      <c r="B75" t="s">
        <v>7811</v>
      </c>
      <c r="C75" t="s">
        <v>7812</v>
      </c>
      <c r="D75" t="s">
        <v>3332</v>
      </c>
      <c r="E75" t="s">
        <v>7704</v>
      </c>
    </row>
    <row r="76" spans="1:5" x14ac:dyDescent="0.25">
      <c r="A76" t="s">
        <v>3329</v>
      </c>
      <c r="B76" t="s">
        <v>7813</v>
      </c>
      <c r="C76" t="s">
        <v>7814</v>
      </c>
      <c r="D76" t="s">
        <v>3332</v>
      </c>
      <c r="E76" t="s">
        <v>7704</v>
      </c>
    </row>
    <row r="77" spans="1:5" x14ac:dyDescent="0.25">
      <c r="A77" t="s">
        <v>3329</v>
      </c>
      <c r="B77" t="s">
        <v>7815</v>
      </c>
      <c r="C77" t="s">
        <v>7816</v>
      </c>
      <c r="D77" t="s">
        <v>3332</v>
      </c>
      <c r="E77" t="s">
        <v>7704</v>
      </c>
    </row>
    <row r="78" spans="1:5" x14ac:dyDescent="0.25">
      <c r="A78" t="s">
        <v>3329</v>
      </c>
      <c r="B78" t="s">
        <v>7817</v>
      </c>
      <c r="C78" t="s">
        <v>7818</v>
      </c>
      <c r="D78" t="s">
        <v>3332</v>
      </c>
      <c r="E78" t="s">
        <v>7704</v>
      </c>
    </row>
    <row r="79" spans="1:5" x14ac:dyDescent="0.25">
      <c r="A79" t="s">
        <v>3329</v>
      </c>
      <c r="B79" t="s">
        <v>7819</v>
      </c>
      <c r="C79" t="s">
        <v>7820</v>
      </c>
      <c r="D79" t="s">
        <v>6745</v>
      </c>
      <c r="E79" t="s">
        <v>7704</v>
      </c>
    </row>
    <row r="80" spans="1:5" x14ac:dyDescent="0.25">
      <c r="A80" t="s">
        <v>3329</v>
      </c>
      <c r="B80" t="s">
        <v>7821</v>
      </c>
      <c r="C80" t="s">
        <v>7822</v>
      </c>
      <c r="D80" t="s">
        <v>6745</v>
      </c>
      <c r="E80" t="s">
        <v>7704</v>
      </c>
    </row>
    <row r="81" spans="1:5" x14ac:dyDescent="0.25">
      <c r="A81" t="s">
        <v>3329</v>
      </c>
      <c r="B81" t="s">
        <v>7823</v>
      </c>
      <c r="C81" t="s">
        <v>7824</v>
      </c>
      <c r="D81" t="s">
        <v>6745</v>
      </c>
      <c r="E81" t="s">
        <v>7704</v>
      </c>
    </row>
    <row r="82" spans="1:5" x14ac:dyDescent="0.25">
      <c r="A82" t="s">
        <v>3329</v>
      </c>
      <c r="B82" t="s">
        <v>7825</v>
      </c>
      <c r="C82" t="s">
        <v>7826</v>
      </c>
      <c r="D82" t="s">
        <v>6745</v>
      </c>
      <c r="E82" t="s">
        <v>7704</v>
      </c>
    </row>
    <row r="83" spans="1:5" x14ac:dyDescent="0.25">
      <c r="A83" t="s">
        <v>3329</v>
      </c>
      <c r="B83" t="s">
        <v>7827</v>
      </c>
      <c r="C83" t="s">
        <v>7828</v>
      </c>
      <c r="D83" t="s">
        <v>6745</v>
      </c>
      <c r="E83" t="s">
        <v>7704</v>
      </c>
    </row>
    <row r="84" spans="1:5" x14ac:dyDescent="0.25">
      <c r="A84" t="s">
        <v>3329</v>
      </c>
      <c r="B84" t="s">
        <v>7829</v>
      </c>
      <c r="C84" t="s">
        <v>7830</v>
      </c>
      <c r="D84" t="s">
        <v>6745</v>
      </c>
      <c r="E84" t="s">
        <v>7704</v>
      </c>
    </row>
    <row r="85" spans="1:5" x14ac:dyDescent="0.25">
      <c r="A85" t="s">
        <v>3329</v>
      </c>
      <c r="B85" t="s">
        <v>7831</v>
      </c>
      <c r="C85" t="s">
        <v>7832</v>
      </c>
      <c r="D85" t="s">
        <v>6745</v>
      </c>
      <c r="E85" t="s">
        <v>7704</v>
      </c>
    </row>
    <row r="86" spans="1:5" x14ac:dyDescent="0.25">
      <c r="A86" t="s">
        <v>3329</v>
      </c>
      <c r="B86" t="s">
        <v>7833</v>
      </c>
      <c r="C86" t="s">
        <v>7834</v>
      </c>
      <c r="D86" t="s">
        <v>6745</v>
      </c>
      <c r="E86" t="s">
        <v>7704</v>
      </c>
    </row>
    <row r="87" spans="1:5" x14ac:dyDescent="0.25">
      <c r="A87" t="s">
        <v>3329</v>
      </c>
      <c r="B87" t="s">
        <v>7835</v>
      </c>
      <c r="C87" t="s">
        <v>7836</v>
      </c>
      <c r="D87" t="s">
        <v>6745</v>
      </c>
      <c r="E87" t="s">
        <v>7704</v>
      </c>
    </row>
    <row r="88" spans="1:5" x14ac:dyDescent="0.25">
      <c r="A88" t="s">
        <v>3329</v>
      </c>
      <c r="B88" t="s">
        <v>7837</v>
      </c>
      <c r="C88" t="s">
        <v>7838</v>
      </c>
      <c r="D88" t="s">
        <v>6745</v>
      </c>
      <c r="E88" t="s">
        <v>7704</v>
      </c>
    </row>
    <row r="89" spans="1:5" x14ac:dyDescent="0.25">
      <c r="A89" t="s">
        <v>3329</v>
      </c>
      <c r="B89" t="s">
        <v>7839</v>
      </c>
      <c r="C89" t="s">
        <v>7840</v>
      </c>
      <c r="D89" t="s">
        <v>6745</v>
      </c>
      <c r="E89" t="s">
        <v>7704</v>
      </c>
    </row>
    <row r="90" spans="1:5" x14ac:dyDescent="0.25">
      <c r="A90" t="s">
        <v>3329</v>
      </c>
      <c r="B90" t="s">
        <v>7841</v>
      </c>
      <c r="C90" t="s">
        <v>7842</v>
      </c>
      <c r="D90" t="s">
        <v>6745</v>
      </c>
      <c r="E90" t="s">
        <v>7704</v>
      </c>
    </row>
    <row r="91" spans="1:5" x14ac:dyDescent="0.25">
      <c r="A91" t="s">
        <v>3329</v>
      </c>
      <c r="B91" t="s">
        <v>7843</v>
      </c>
      <c r="C91" t="s">
        <v>7844</v>
      </c>
      <c r="D91" t="s">
        <v>3332</v>
      </c>
      <c r="E91" t="s">
        <v>7704</v>
      </c>
    </row>
    <row r="92" spans="1:5" x14ac:dyDescent="0.25">
      <c r="A92" t="s">
        <v>3329</v>
      </c>
      <c r="B92" t="s">
        <v>7845</v>
      </c>
      <c r="C92" t="s">
        <v>7846</v>
      </c>
      <c r="D92" t="s">
        <v>3332</v>
      </c>
      <c r="E92" t="s">
        <v>7704</v>
      </c>
    </row>
    <row r="93" spans="1:5" x14ac:dyDescent="0.25">
      <c r="A93" t="s">
        <v>3329</v>
      </c>
      <c r="B93" t="s">
        <v>7847</v>
      </c>
      <c r="C93" t="s">
        <v>7848</v>
      </c>
      <c r="D93" t="s">
        <v>3332</v>
      </c>
      <c r="E93" t="s">
        <v>7704</v>
      </c>
    </row>
    <row r="94" spans="1:5" x14ac:dyDescent="0.25">
      <c r="A94" t="s">
        <v>3329</v>
      </c>
      <c r="B94" t="s">
        <v>7849</v>
      </c>
      <c r="C94" t="s">
        <v>7850</v>
      </c>
      <c r="D94" t="s">
        <v>3332</v>
      </c>
      <c r="E94" t="s">
        <v>7704</v>
      </c>
    </row>
    <row r="95" spans="1:5" x14ac:dyDescent="0.25">
      <c r="A95" t="s">
        <v>3329</v>
      </c>
      <c r="B95" t="s">
        <v>7851</v>
      </c>
      <c r="C95" t="s">
        <v>7852</v>
      </c>
      <c r="D95" t="s">
        <v>3332</v>
      </c>
      <c r="E95" t="s">
        <v>7704</v>
      </c>
    </row>
    <row r="96" spans="1:5" x14ac:dyDescent="0.25">
      <c r="A96" t="s">
        <v>3329</v>
      </c>
      <c r="B96" t="s">
        <v>7853</v>
      </c>
      <c r="C96" t="s">
        <v>7854</v>
      </c>
      <c r="D96" t="s">
        <v>3332</v>
      </c>
      <c r="E96" t="s">
        <v>7704</v>
      </c>
    </row>
    <row r="97" spans="1:5" x14ac:dyDescent="0.25">
      <c r="A97" t="s">
        <v>3329</v>
      </c>
      <c r="B97" t="s">
        <v>7855</v>
      </c>
      <c r="C97" t="s">
        <v>7856</v>
      </c>
      <c r="D97" t="s">
        <v>3332</v>
      </c>
      <c r="E97" t="s">
        <v>7704</v>
      </c>
    </row>
    <row r="98" spans="1:5" x14ac:dyDescent="0.25">
      <c r="A98" t="s">
        <v>3329</v>
      </c>
      <c r="B98" t="s">
        <v>7857</v>
      </c>
      <c r="C98" t="s">
        <v>7858</v>
      </c>
      <c r="D98" t="s">
        <v>3332</v>
      </c>
      <c r="E98" t="s">
        <v>7704</v>
      </c>
    </row>
    <row r="99" spans="1:5" x14ac:dyDescent="0.25">
      <c r="A99" t="s">
        <v>3329</v>
      </c>
      <c r="B99" t="s">
        <v>7859</v>
      </c>
      <c r="C99" t="s">
        <v>7860</v>
      </c>
      <c r="D99" t="s">
        <v>3332</v>
      </c>
      <c r="E99" t="s">
        <v>7704</v>
      </c>
    </row>
    <row r="100" spans="1:5" x14ac:dyDescent="0.25">
      <c r="A100" t="s">
        <v>3329</v>
      </c>
      <c r="B100" t="s">
        <v>7861</v>
      </c>
      <c r="C100" t="s">
        <v>7862</v>
      </c>
      <c r="D100" t="s">
        <v>3332</v>
      </c>
      <c r="E100" t="s">
        <v>7704</v>
      </c>
    </row>
    <row r="101" spans="1:5" x14ac:dyDescent="0.25">
      <c r="A101" t="s">
        <v>3329</v>
      </c>
      <c r="B101" t="s">
        <v>7863</v>
      </c>
      <c r="C101" t="s">
        <v>7864</v>
      </c>
      <c r="D101" t="s">
        <v>3332</v>
      </c>
      <c r="E101" t="s">
        <v>7704</v>
      </c>
    </row>
    <row r="102" spans="1:5" x14ac:dyDescent="0.25">
      <c r="A102" t="s">
        <v>3329</v>
      </c>
      <c r="B102" t="s">
        <v>7865</v>
      </c>
      <c r="C102" t="s">
        <v>7866</v>
      </c>
      <c r="D102" t="s">
        <v>3332</v>
      </c>
      <c r="E102" t="s">
        <v>7704</v>
      </c>
    </row>
    <row r="103" spans="1:5" x14ac:dyDescent="0.25">
      <c r="A103" t="s">
        <v>3329</v>
      </c>
      <c r="B103" t="s">
        <v>7867</v>
      </c>
      <c r="C103" t="s">
        <v>7868</v>
      </c>
      <c r="D103" t="s">
        <v>3332</v>
      </c>
      <c r="E103" t="s">
        <v>7704</v>
      </c>
    </row>
    <row r="104" spans="1:5" x14ac:dyDescent="0.25">
      <c r="A104" t="s">
        <v>3329</v>
      </c>
      <c r="B104" t="s">
        <v>7869</v>
      </c>
      <c r="C104" t="s">
        <v>7870</v>
      </c>
      <c r="D104" t="s">
        <v>3332</v>
      </c>
      <c r="E104" t="s">
        <v>7704</v>
      </c>
    </row>
    <row r="105" spans="1:5" x14ac:dyDescent="0.25">
      <c r="A105" t="s">
        <v>3329</v>
      </c>
      <c r="B105" t="s">
        <v>7871</v>
      </c>
      <c r="C105" t="s">
        <v>7872</v>
      </c>
      <c r="D105" t="s">
        <v>3332</v>
      </c>
      <c r="E105" t="s">
        <v>7704</v>
      </c>
    </row>
    <row r="106" spans="1:5" x14ac:dyDescent="0.25">
      <c r="A106" t="s">
        <v>3329</v>
      </c>
      <c r="B106" t="s">
        <v>7873</v>
      </c>
      <c r="C106" t="s">
        <v>7874</v>
      </c>
      <c r="D106" t="s">
        <v>3332</v>
      </c>
      <c r="E106" t="s">
        <v>7704</v>
      </c>
    </row>
    <row r="107" spans="1:5" x14ac:dyDescent="0.25">
      <c r="A107" t="s">
        <v>3329</v>
      </c>
      <c r="B107" t="s">
        <v>7875</v>
      </c>
      <c r="C107" t="s">
        <v>7876</v>
      </c>
      <c r="D107" t="s">
        <v>3332</v>
      </c>
      <c r="E107" t="s">
        <v>7704</v>
      </c>
    </row>
    <row r="108" spans="1:5" x14ac:dyDescent="0.25">
      <c r="A108" t="s">
        <v>3329</v>
      </c>
      <c r="B108" t="s">
        <v>7877</v>
      </c>
      <c r="C108" t="s">
        <v>7878</v>
      </c>
      <c r="D108" t="s">
        <v>3332</v>
      </c>
      <c r="E108" t="s">
        <v>7704</v>
      </c>
    </row>
    <row r="109" spans="1:5" x14ac:dyDescent="0.25">
      <c r="A109" t="s">
        <v>3329</v>
      </c>
      <c r="B109" t="s">
        <v>7879</v>
      </c>
      <c r="C109" t="s">
        <v>7880</v>
      </c>
      <c r="D109" t="s">
        <v>3332</v>
      </c>
      <c r="E109" t="s">
        <v>7704</v>
      </c>
    </row>
    <row r="110" spans="1:5" x14ac:dyDescent="0.25">
      <c r="A110" t="s">
        <v>3329</v>
      </c>
      <c r="B110" t="s">
        <v>7881</v>
      </c>
      <c r="C110" t="s">
        <v>7882</v>
      </c>
      <c r="D110" t="s">
        <v>3332</v>
      </c>
      <c r="E110" t="s">
        <v>7704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09E5E-E400-4A17-AAC7-E624C8C2625B}">
  <dimension ref="A3:C20"/>
  <sheetViews>
    <sheetView workbookViewId="0">
      <selection activeCell="A3" sqref="A3"/>
    </sheetView>
  </sheetViews>
  <sheetFormatPr baseColWidth="10" defaultRowHeight="15" x14ac:dyDescent="0.25"/>
  <cols>
    <col min="1" max="1" width="50.85546875" bestFit="1" customWidth="1"/>
  </cols>
  <sheetData>
    <row r="3" spans="1:3" x14ac:dyDescent="0.25">
      <c r="A3" s="5"/>
      <c r="B3" s="6"/>
      <c r="C3" s="7"/>
    </row>
    <row r="4" spans="1:3" x14ac:dyDescent="0.25">
      <c r="A4" s="8"/>
      <c r="B4" s="9"/>
      <c r="C4" s="10"/>
    </row>
    <row r="5" spans="1:3" x14ac:dyDescent="0.25">
      <c r="A5" s="8"/>
      <c r="B5" s="9"/>
      <c r="C5" s="10"/>
    </row>
    <row r="6" spans="1:3" x14ac:dyDescent="0.25">
      <c r="A6" s="8"/>
      <c r="B6" s="9"/>
      <c r="C6" s="10"/>
    </row>
    <row r="7" spans="1:3" x14ac:dyDescent="0.25">
      <c r="A7" s="8"/>
      <c r="B7" s="9"/>
      <c r="C7" s="10"/>
    </row>
    <row r="8" spans="1:3" x14ac:dyDescent="0.25">
      <c r="A8" s="8"/>
      <c r="B8" s="9"/>
      <c r="C8" s="10"/>
    </row>
    <row r="9" spans="1:3" x14ac:dyDescent="0.25">
      <c r="A9" s="8"/>
      <c r="B9" s="9"/>
      <c r="C9" s="10"/>
    </row>
    <row r="10" spans="1:3" x14ac:dyDescent="0.25">
      <c r="A10" s="8"/>
      <c r="B10" s="9"/>
      <c r="C10" s="10"/>
    </row>
    <row r="11" spans="1:3" x14ac:dyDescent="0.25">
      <c r="A11" s="8"/>
      <c r="B11" s="9"/>
      <c r="C11" s="10"/>
    </row>
    <row r="12" spans="1:3" x14ac:dyDescent="0.25">
      <c r="A12" s="8"/>
      <c r="B12" s="9"/>
      <c r="C12" s="10"/>
    </row>
    <row r="13" spans="1:3" x14ac:dyDescent="0.25">
      <c r="A13" s="8"/>
      <c r="B13" s="9"/>
      <c r="C13" s="10"/>
    </row>
    <row r="14" spans="1:3" x14ac:dyDescent="0.25">
      <c r="A14" s="8"/>
      <c r="B14" s="9"/>
      <c r="C14" s="10"/>
    </row>
    <row r="15" spans="1:3" x14ac:dyDescent="0.25">
      <c r="A15" s="8"/>
      <c r="B15" s="9"/>
      <c r="C15" s="10"/>
    </row>
    <row r="16" spans="1:3" x14ac:dyDescent="0.25">
      <c r="A16" s="8"/>
      <c r="B16" s="9"/>
      <c r="C16" s="10"/>
    </row>
    <row r="17" spans="1:3" x14ac:dyDescent="0.25">
      <c r="A17" s="8"/>
      <c r="B17" s="9"/>
      <c r="C17" s="10"/>
    </row>
    <row r="18" spans="1:3" x14ac:dyDescent="0.25">
      <c r="A18" s="8"/>
      <c r="B18" s="9"/>
      <c r="C18" s="10"/>
    </row>
    <row r="19" spans="1:3" x14ac:dyDescent="0.25">
      <c r="A19" s="8"/>
      <c r="B19" s="9"/>
      <c r="C19" s="10"/>
    </row>
    <row r="20" spans="1:3" x14ac:dyDescent="0.25">
      <c r="A20" s="11"/>
      <c r="B20" s="12"/>
      <c r="C20" s="1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27BF9-6EE0-41DB-9431-189F6539D7DC}">
  <dimension ref="A3:A115"/>
  <sheetViews>
    <sheetView workbookViewId="0">
      <selection activeCell="A3" sqref="A3"/>
    </sheetView>
  </sheetViews>
  <sheetFormatPr baseColWidth="10" defaultRowHeight="15" x14ac:dyDescent="0.25"/>
  <cols>
    <col min="1" max="1" width="54.7109375" bestFit="1" customWidth="1"/>
  </cols>
  <sheetData>
    <row r="3" spans="1:1" x14ac:dyDescent="0.25">
      <c r="A3" s="14" t="s">
        <v>13094</v>
      </c>
    </row>
    <row r="4" spans="1:1" x14ac:dyDescent="0.25">
      <c r="A4" s="15" t="s">
        <v>6745</v>
      </c>
    </row>
    <row r="5" spans="1:1" x14ac:dyDescent="0.25">
      <c r="A5" s="16" t="s">
        <v>7698</v>
      </c>
    </row>
    <row r="6" spans="1:1" x14ac:dyDescent="0.25">
      <c r="A6" s="16" t="s">
        <v>7840</v>
      </c>
    </row>
    <row r="7" spans="1:1" x14ac:dyDescent="0.25">
      <c r="A7" s="16" t="s">
        <v>7842</v>
      </c>
    </row>
    <row r="8" spans="1:1" x14ac:dyDescent="0.25">
      <c r="A8" s="16" t="s">
        <v>7822</v>
      </c>
    </row>
    <row r="9" spans="1:1" x14ac:dyDescent="0.25">
      <c r="A9" s="16" t="s">
        <v>7838</v>
      </c>
    </row>
    <row r="10" spans="1:1" x14ac:dyDescent="0.25">
      <c r="A10" s="16" t="s">
        <v>7834</v>
      </c>
    </row>
    <row r="11" spans="1:1" x14ac:dyDescent="0.25">
      <c r="A11" s="16" t="s">
        <v>7830</v>
      </c>
    </row>
    <row r="12" spans="1:1" x14ac:dyDescent="0.25">
      <c r="A12" s="16" t="s">
        <v>7826</v>
      </c>
    </row>
    <row r="13" spans="1:1" x14ac:dyDescent="0.25">
      <c r="A13" s="16" t="s">
        <v>7820</v>
      </c>
    </row>
    <row r="14" spans="1:1" x14ac:dyDescent="0.25">
      <c r="A14" s="16" t="s">
        <v>7836</v>
      </c>
    </row>
    <row r="15" spans="1:1" x14ac:dyDescent="0.25">
      <c r="A15" s="16" t="s">
        <v>7832</v>
      </c>
    </row>
    <row r="16" spans="1:1" x14ac:dyDescent="0.25">
      <c r="A16" s="16" t="s">
        <v>7828</v>
      </c>
    </row>
    <row r="17" spans="1:1" x14ac:dyDescent="0.25">
      <c r="A17" s="16" t="s">
        <v>7824</v>
      </c>
    </row>
    <row r="18" spans="1:1" x14ac:dyDescent="0.25">
      <c r="A18" s="16" t="s">
        <v>7730</v>
      </c>
    </row>
    <row r="19" spans="1:1" x14ac:dyDescent="0.25">
      <c r="A19" s="16" t="s">
        <v>7744</v>
      </c>
    </row>
    <row r="20" spans="1:1" x14ac:dyDescent="0.25">
      <c r="A20" s="16" t="s">
        <v>7740</v>
      </c>
    </row>
    <row r="21" spans="1:1" x14ac:dyDescent="0.25">
      <c r="A21" s="16" t="s">
        <v>7714</v>
      </c>
    </row>
    <row r="22" spans="1:1" x14ac:dyDescent="0.25">
      <c r="A22" s="16" t="s">
        <v>7786</v>
      </c>
    </row>
    <row r="23" spans="1:1" x14ac:dyDescent="0.25">
      <c r="A23" s="16" t="s">
        <v>7784</v>
      </c>
    </row>
    <row r="24" spans="1:1" x14ac:dyDescent="0.25">
      <c r="A24" s="16" t="s">
        <v>7726</v>
      </c>
    </row>
    <row r="25" spans="1:1" x14ac:dyDescent="0.25">
      <c r="A25" s="16" t="s">
        <v>7722</v>
      </c>
    </row>
    <row r="26" spans="1:1" x14ac:dyDescent="0.25">
      <c r="A26" s="16" t="s">
        <v>7724</v>
      </c>
    </row>
    <row r="27" spans="1:1" x14ac:dyDescent="0.25">
      <c r="A27" s="16" t="s">
        <v>7736</v>
      </c>
    </row>
    <row r="28" spans="1:1" x14ac:dyDescent="0.25">
      <c r="A28" s="16" t="s">
        <v>7738</v>
      </c>
    </row>
    <row r="29" spans="1:1" x14ac:dyDescent="0.25">
      <c r="A29" s="16" t="s">
        <v>7732</v>
      </c>
    </row>
    <row r="30" spans="1:1" x14ac:dyDescent="0.25">
      <c r="A30" s="16" t="s">
        <v>7734</v>
      </c>
    </row>
    <row r="31" spans="1:1" x14ac:dyDescent="0.25">
      <c r="A31" s="16" t="s">
        <v>7764</v>
      </c>
    </row>
    <row r="32" spans="1:1" x14ac:dyDescent="0.25">
      <c r="A32" s="16" t="s">
        <v>7772</v>
      </c>
    </row>
    <row r="33" spans="1:1" x14ac:dyDescent="0.25">
      <c r="A33" s="16" t="s">
        <v>7762</v>
      </c>
    </row>
    <row r="34" spans="1:1" x14ac:dyDescent="0.25">
      <c r="A34" s="16" t="s">
        <v>7760</v>
      </c>
    </row>
    <row r="35" spans="1:1" x14ac:dyDescent="0.25">
      <c r="A35" s="16" t="s">
        <v>7746</v>
      </c>
    </row>
    <row r="36" spans="1:1" x14ac:dyDescent="0.25">
      <c r="A36" s="16" t="s">
        <v>7742</v>
      </c>
    </row>
    <row r="37" spans="1:1" x14ac:dyDescent="0.25">
      <c r="A37" s="16" t="s">
        <v>7778</v>
      </c>
    </row>
    <row r="38" spans="1:1" x14ac:dyDescent="0.25">
      <c r="A38" s="16" t="s">
        <v>7782</v>
      </c>
    </row>
    <row r="39" spans="1:1" x14ac:dyDescent="0.25">
      <c r="A39" s="16" t="s">
        <v>7774</v>
      </c>
    </row>
    <row r="40" spans="1:1" x14ac:dyDescent="0.25">
      <c r="A40" s="16" t="s">
        <v>7770</v>
      </c>
    </row>
    <row r="41" spans="1:1" x14ac:dyDescent="0.25">
      <c r="A41" s="16" t="s">
        <v>7766</v>
      </c>
    </row>
    <row r="42" spans="1:1" x14ac:dyDescent="0.25">
      <c r="A42" s="16" t="s">
        <v>7758</v>
      </c>
    </row>
    <row r="43" spans="1:1" x14ac:dyDescent="0.25">
      <c r="A43" s="16" t="s">
        <v>7756</v>
      </c>
    </row>
    <row r="44" spans="1:1" x14ac:dyDescent="0.25">
      <c r="A44" s="16" t="s">
        <v>7750</v>
      </c>
    </row>
    <row r="45" spans="1:1" x14ac:dyDescent="0.25">
      <c r="A45" s="16" t="s">
        <v>7752</v>
      </c>
    </row>
    <row r="46" spans="1:1" x14ac:dyDescent="0.25">
      <c r="A46" s="16" t="s">
        <v>7728</v>
      </c>
    </row>
    <row r="47" spans="1:1" x14ac:dyDescent="0.25">
      <c r="A47" s="16" t="s">
        <v>7720</v>
      </c>
    </row>
    <row r="48" spans="1:1" x14ac:dyDescent="0.25">
      <c r="A48" s="16" t="s">
        <v>7776</v>
      </c>
    </row>
    <row r="49" spans="1:1" x14ac:dyDescent="0.25">
      <c r="A49" s="16" t="s">
        <v>7780</v>
      </c>
    </row>
    <row r="50" spans="1:1" x14ac:dyDescent="0.25">
      <c r="A50" s="16" t="s">
        <v>7768</v>
      </c>
    </row>
    <row r="51" spans="1:1" x14ac:dyDescent="0.25">
      <c r="A51" s="16" t="s">
        <v>7754</v>
      </c>
    </row>
    <row r="52" spans="1:1" x14ac:dyDescent="0.25">
      <c r="A52" s="16" t="s">
        <v>7748</v>
      </c>
    </row>
    <row r="53" spans="1:1" x14ac:dyDescent="0.25">
      <c r="A53" s="15" t="s">
        <v>3332</v>
      </c>
    </row>
    <row r="54" spans="1:1" x14ac:dyDescent="0.25">
      <c r="A54" s="16" t="s">
        <v>7701</v>
      </c>
    </row>
    <row r="55" spans="1:1" x14ac:dyDescent="0.25">
      <c r="A55" s="16" t="s">
        <v>7696</v>
      </c>
    </row>
    <row r="56" spans="1:1" x14ac:dyDescent="0.25">
      <c r="A56" s="16" t="s">
        <v>7694</v>
      </c>
    </row>
    <row r="57" spans="1:1" x14ac:dyDescent="0.25">
      <c r="A57" s="16" t="s">
        <v>7692</v>
      </c>
    </row>
    <row r="58" spans="1:1" x14ac:dyDescent="0.25">
      <c r="A58" s="16" t="s">
        <v>7690</v>
      </c>
    </row>
    <row r="59" spans="1:1" x14ac:dyDescent="0.25">
      <c r="A59" s="16" t="s">
        <v>7688</v>
      </c>
    </row>
    <row r="60" spans="1:1" x14ac:dyDescent="0.25">
      <c r="A60" s="16" t="s">
        <v>7686</v>
      </c>
    </row>
    <row r="61" spans="1:1" x14ac:dyDescent="0.25">
      <c r="A61" s="16" t="s">
        <v>7684</v>
      </c>
    </row>
    <row r="62" spans="1:1" x14ac:dyDescent="0.25">
      <c r="A62" s="16" t="s">
        <v>7682</v>
      </c>
    </row>
    <row r="63" spans="1:1" x14ac:dyDescent="0.25">
      <c r="A63" s="16" t="s">
        <v>7680</v>
      </c>
    </row>
    <row r="64" spans="1:1" x14ac:dyDescent="0.25">
      <c r="A64" s="16" t="s">
        <v>7678</v>
      </c>
    </row>
    <row r="65" spans="1:1" x14ac:dyDescent="0.25">
      <c r="A65" s="16" t="s">
        <v>7676</v>
      </c>
    </row>
    <row r="66" spans="1:1" x14ac:dyDescent="0.25">
      <c r="A66" s="16" t="s">
        <v>7674</v>
      </c>
    </row>
    <row r="67" spans="1:1" x14ac:dyDescent="0.25">
      <c r="A67" s="16" t="s">
        <v>7672</v>
      </c>
    </row>
    <row r="68" spans="1:1" x14ac:dyDescent="0.25">
      <c r="A68" s="16" t="s">
        <v>7670</v>
      </c>
    </row>
    <row r="69" spans="1:1" x14ac:dyDescent="0.25">
      <c r="A69" s="16" t="s">
        <v>7668</v>
      </c>
    </row>
    <row r="70" spans="1:1" x14ac:dyDescent="0.25">
      <c r="A70" s="16" t="s">
        <v>7666</v>
      </c>
    </row>
    <row r="71" spans="1:1" x14ac:dyDescent="0.25">
      <c r="A71" s="16" t="s">
        <v>7663</v>
      </c>
    </row>
    <row r="72" spans="1:1" x14ac:dyDescent="0.25">
      <c r="A72" s="16" t="s">
        <v>7806</v>
      </c>
    </row>
    <row r="73" spans="1:1" x14ac:dyDescent="0.25">
      <c r="A73" s="16" t="s">
        <v>7798</v>
      </c>
    </row>
    <row r="74" spans="1:1" x14ac:dyDescent="0.25">
      <c r="A74" s="16" t="s">
        <v>7712</v>
      </c>
    </row>
    <row r="75" spans="1:1" x14ac:dyDescent="0.25">
      <c r="A75" s="16" t="s">
        <v>7794</v>
      </c>
    </row>
    <row r="76" spans="1:1" x14ac:dyDescent="0.25">
      <c r="A76" s="16" t="s">
        <v>7706</v>
      </c>
    </row>
    <row r="77" spans="1:1" x14ac:dyDescent="0.25">
      <c r="A77" s="16" t="s">
        <v>7710</v>
      </c>
    </row>
    <row r="78" spans="1:1" x14ac:dyDescent="0.25">
      <c r="A78" s="16" t="s">
        <v>7703</v>
      </c>
    </row>
    <row r="79" spans="1:1" x14ac:dyDescent="0.25">
      <c r="A79" s="16" t="s">
        <v>7708</v>
      </c>
    </row>
    <row r="80" spans="1:1" x14ac:dyDescent="0.25">
      <c r="A80" s="16" t="s">
        <v>7814</v>
      </c>
    </row>
    <row r="81" spans="1:1" x14ac:dyDescent="0.25">
      <c r="A81" s="16" t="s">
        <v>7792</v>
      </c>
    </row>
    <row r="82" spans="1:1" x14ac:dyDescent="0.25">
      <c r="A82" s="16" t="s">
        <v>7788</v>
      </c>
    </row>
    <row r="83" spans="1:1" x14ac:dyDescent="0.25">
      <c r="A83" s="16" t="s">
        <v>7790</v>
      </c>
    </row>
    <row r="84" spans="1:1" x14ac:dyDescent="0.25">
      <c r="A84" s="16" t="s">
        <v>7800</v>
      </c>
    </row>
    <row r="85" spans="1:1" x14ac:dyDescent="0.25">
      <c r="A85" s="16" t="s">
        <v>7802</v>
      </c>
    </row>
    <row r="86" spans="1:1" x14ac:dyDescent="0.25">
      <c r="A86" s="16" t="s">
        <v>7856</v>
      </c>
    </row>
    <row r="87" spans="1:1" x14ac:dyDescent="0.25">
      <c r="A87" s="16" t="s">
        <v>7808</v>
      </c>
    </row>
    <row r="88" spans="1:1" x14ac:dyDescent="0.25">
      <c r="A88" s="16" t="s">
        <v>7878</v>
      </c>
    </row>
    <row r="89" spans="1:1" x14ac:dyDescent="0.25">
      <c r="A89" s="16" t="s">
        <v>7874</v>
      </c>
    </row>
    <row r="90" spans="1:1" x14ac:dyDescent="0.25">
      <c r="A90" s="16" t="s">
        <v>7882</v>
      </c>
    </row>
    <row r="91" spans="1:1" x14ac:dyDescent="0.25">
      <c r="A91" s="16" t="s">
        <v>7804</v>
      </c>
    </row>
    <row r="92" spans="1:1" x14ac:dyDescent="0.25">
      <c r="A92" s="16" t="s">
        <v>7796</v>
      </c>
    </row>
    <row r="93" spans="1:1" x14ac:dyDescent="0.25">
      <c r="A93" s="16" t="s">
        <v>7870</v>
      </c>
    </row>
    <row r="94" spans="1:1" x14ac:dyDescent="0.25">
      <c r="A94" s="16" t="s">
        <v>7880</v>
      </c>
    </row>
    <row r="95" spans="1:1" x14ac:dyDescent="0.25">
      <c r="A95" s="16" t="s">
        <v>7716</v>
      </c>
    </row>
    <row r="96" spans="1:1" x14ac:dyDescent="0.25">
      <c r="A96" s="16" t="s">
        <v>7860</v>
      </c>
    </row>
    <row r="97" spans="1:1" x14ac:dyDescent="0.25">
      <c r="A97" s="16" t="s">
        <v>7858</v>
      </c>
    </row>
    <row r="98" spans="1:1" x14ac:dyDescent="0.25">
      <c r="A98" s="16" t="s">
        <v>7854</v>
      </c>
    </row>
    <row r="99" spans="1:1" x14ac:dyDescent="0.25">
      <c r="A99" s="16" t="s">
        <v>7850</v>
      </c>
    </row>
    <row r="100" spans="1:1" x14ac:dyDescent="0.25">
      <c r="A100" s="16" t="s">
        <v>7846</v>
      </c>
    </row>
    <row r="101" spans="1:1" x14ac:dyDescent="0.25">
      <c r="A101" s="16" t="s">
        <v>7818</v>
      </c>
    </row>
    <row r="102" spans="1:1" x14ac:dyDescent="0.25">
      <c r="A102" s="16" t="s">
        <v>7866</v>
      </c>
    </row>
    <row r="103" spans="1:1" x14ac:dyDescent="0.25">
      <c r="A103" s="16" t="s">
        <v>7862</v>
      </c>
    </row>
    <row r="104" spans="1:1" x14ac:dyDescent="0.25">
      <c r="A104" s="16" t="s">
        <v>7864</v>
      </c>
    </row>
    <row r="105" spans="1:1" x14ac:dyDescent="0.25">
      <c r="A105" s="16" t="s">
        <v>7816</v>
      </c>
    </row>
    <row r="106" spans="1:1" x14ac:dyDescent="0.25">
      <c r="A106" s="16" t="s">
        <v>7718</v>
      </c>
    </row>
    <row r="107" spans="1:1" x14ac:dyDescent="0.25">
      <c r="A107" s="16" t="s">
        <v>7876</v>
      </c>
    </row>
    <row r="108" spans="1:1" x14ac:dyDescent="0.25">
      <c r="A108" s="16" t="s">
        <v>7872</v>
      </c>
    </row>
    <row r="109" spans="1:1" x14ac:dyDescent="0.25">
      <c r="A109" s="16" t="s">
        <v>7868</v>
      </c>
    </row>
    <row r="110" spans="1:1" x14ac:dyDescent="0.25">
      <c r="A110" s="16" t="s">
        <v>7812</v>
      </c>
    </row>
    <row r="111" spans="1:1" x14ac:dyDescent="0.25">
      <c r="A111" s="16" t="s">
        <v>7810</v>
      </c>
    </row>
    <row r="112" spans="1:1" x14ac:dyDescent="0.25">
      <c r="A112" s="16" t="s">
        <v>7852</v>
      </c>
    </row>
    <row r="113" spans="1:1" x14ac:dyDescent="0.25">
      <c r="A113" s="16" t="s">
        <v>7848</v>
      </c>
    </row>
    <row r="114" spans="1:1" x14ac:dyDescent="0.25">
      <c r="A114" s="16" t="s">
        <v>7844</v>
      </c>
    </row>
    <row r="115" spans="1:1" x14ac:dyDescent="0.25">
      <c r="A115" s="15" t="s">
        <v>13096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A4B21-A629-4838-91A4-BDABA695F617}">
  <dimension ref="A1:E110"/>
  <sheetViews>
    <sheetView workbookViewId="0">
      <selection sqref="A1:E110"/>
    </sheetView>
  </sheetViews>
  <sheetFormatPr baseColWidth="10" defaultRowHeight="15" x14ac:dyDescent="0.25"/>
  <cols>
    <col min="1" max="1" width="8.85546875" bestFit="1" customWidth="1"/>
    <col min="2" max="2" width="16.28515625" bestFit="1" customWidth="1"/>
    <col min="3" max="3" width="50.85546875" bestFit="1" customWidth="1"/>
    <col min="4" max="4" width="13.7109375" bestFit="1" customWidth="1"/>
    <col min="5" max="5" width="7.5703125" bestFit="1" customWidth="1"/>
  </cols>
  <sheetData>
    <row r="1" spans="1:5" x14ac:dyDescent="0.25">
      <c r="A1" t="s">
        <v>3324</v>
      </c>
      <c r="B1" t="s">
        <v>3325</v>
      </c>
      <c r="C1" t="s">
        <v>3326</v>
      </c>
      <c r="D1" t="s">
        <v>3327</v>
      </c>
      <c r="E1" t="s">
        <v>3328</v>
      </c>
    </row>
    <row r="2" spans="1:5" x14ac:dyDescent="0.25">
      <c r="A2" t="s">
        <v>3329</v>
      </c>
      <c r="B2" t="s">
        <v>7662</v>
      </c>
      <c r="C2" t="s">
        <v>7663</v>
      </c>
      <c r="D2" t="s">
        <v>3332</v>
      </c>
      <c r="E2" t="s">
        <v>7664</v>
      </c>
    </row>
    <row r="3" spans="1:5" x14ac:dyDescent="0.25">
      <c r="A3" t="s">
        <v>3329</v>
      </c>
      <c r="B3" t="s">
        <v>7665</v>
      </c>
      <c r="C3" t="s">
        <v>7666</v>
      </c>
      <c r="D3" t="s">
        <v>3332</v>
      </c>
      <c r="E3" t="s">
        <v>7664</v>
      </c>
    </row>
    <row r="4" spans="1:5" x14ac:dyDescent="0.25">
      <c r="A4" t="s">
        <v>3329</v>
      </c>
      <c r="B4" t="s">
        <v>7667</v>
      </c>
      <c r="C4" t="s">
        <v>7668</v>
      </c>
      <c r="D4" t="s">
        <v>3332</v>
      </c>
      <c r="E4" t="s">
        <v>7664</v>
      </c>
    </row>
    <row r="5" spans="1:5" x14ac:dyDescent="0.25">
      <c r="A5" t="s">
        <v>3329</v>
      </c>
      <c r="B5" t="s">
        <v>7669</v>
      </c>
      <c r="C5" t="s">
        <v>7670</v>
      </c>
      <c r="D5" t="s">
        <v>3332</v>
      </c>
      <c r="E5" t="s">
        <v>7664</v>
      </c>
    </row>
    <row r="6" spans="1:5" x14ac:dyDescent="0.25">
      <c r="A6" t="s">
        <v>3329</v>
      </c>
      <c r="B6" t="s">
        <v>7671</v>
      </c>
      <c r="C6" t="s">
        <v>7672</v>
      </c>
      <c r="D6" t="s">
        <v>3332</v>
      </c>
      <c r="E6" t="s">
        <v>7664</v>
      </c>
    </row>
    <row r="7" spans="1:5" x14ac:dyDescent="0.25">
      <c r="A7" t="s">
        <v>3329</v>
      </c>
      <c r="B7" t="s">
        <v>7673</v>
      </c>
      <c r="C7" t="s">
        <v>7674</v>
      </c>
      <c r="D7" t="s">
        <v>3332</v>
      </c>
      <c r="E7" t="s">
        <v>7664</v>
      </c>
    </row>
    <row r="8" spans="1:5" x14ac:dyDescent="0.25">
      <c r="A8" t="s">
        <v>3329</v>
      </c>
      <c r="B8" t="s">
        <v>7675</v>
      </c>
      <c r="C8" t="s">
        <v>7676</v>
      </c>
      <c r="D8" t="s">
        <v>3332</v>
      </c>
      <c r="E8" t="s">
        <v>7664</v>
      </c>
    </row>
    <row r="9" spans="1:5" x14ac:dyDescent="0.25">
      <c r="A9" t="s">
        <v>3329</v>
      </c>
      <c r="B9" t="s">
        <v>7677</v>
      </c>
      <c r="C9" t="s">
        <v>7678</v>
      </c>
      <c r="D9" t="s">
        <v>3332</v>
      </c>
      <c r="E9" t="s">
        <v>7664</v>
      </c>
    </row>
    <row r="10" spans="1:5" x14ac:dyDescent="0.25">
      <c r="A10" t="s">
        <v>3329</v>
      </c>
      <c r="B10" t="s">
        <v>7679</v>
      </c>
      <c r="C10" t="s">
        <v>7680</v>
      </c>
      <c r="D10" t="s">
        <v>3332</v>
      </c>
      <c r="E10" t="s">
        <v>7664</v>
      </c>
    </row>
    <row r="11" spans="1:5" x14ac:dyDescent="0.25">
      <c r="A11" t="s">
        <v>3329</v>
      </c>
      <c r="B11" t="s">
        <v>7681</v>
      </c>
      <c r="C11" t="s">
        <v>7682</v>
      </c>
      <c r="D11" t="s">
        <v>3332</v>
      </c>
      <c r="E11" t="s">
        <v>7664</v>
      </c>
    </row>
    <row r="12" spans="1:5" x14ac:dyDescent="0.25">
      <c r="A12" t="s">
        <v>3329</v>
      </c>
      <c r="B12" t="s">
        <v>7683</v>
      </c>
      <c r="C12" t="s">
        <v>7684</v>
      </c>
      <c r="D12" t="s">
        <v>3332</v>
      </c>
      <c r="E12" t="s">
        <v>7664</v>
      </c>
    </row>
    <row r="13" spans="1:5" x14ac:dyDescent="0.25">
      <c r="A13" t="s">
        <v>3329</v>
      </c>
      <c r="B13" t="s">
        <v>7685</v>
      </c>
      <c r="C13" t="s">
        <v>7686</v>
      </c>
      <c r="D13" t="s">
        <v>3332</v>
      </c>
      <c r="E13" t="s">
        <v>7664</v>
      </c>
    </row>
    <row r="14" spans="1:5" x14ac:dyDescent="0.25">
      <c r="A14" t="s">
        <v>3329</v>
      </c>
      <c r="B14" t="s">
        <v>7687</v>
      </c>
      <c r="C14" t="s">
        <v>7688</v>
      </c>
      <c r="D14" t="s">
        <v>3332</v>
      </c>
      <c r="E14" t="s">
        <v>7664</v>
      </c>
    </row>
    <row r="15" spans="1:5" x14ac:dyDescent="0.25">
      <c r="A15" t="s">
        <v>3329</v>
      </c>
      <c r="B15" t="s">
        <v>7689</v>
      </c>
      <c r="C15" t="s">
        <v>7690</v>
      </c>
      <c r="D15" t="s">
        <v>3332</v>
      </c>
      <c r="E15" t="s">
        <v>7664</v>
      </c>
    </row>
    <row r="16" spans="1:5" x14ac:dyDescent="0.25">
      <c r="A16" t="s">
        <v>3329</v>
      </c>
      <c r="B16" t="s">
        <v>7691</v>
      </c>
      <c r="C16" t="s">
        <v>7692</v>
      </c>
      <c r="D16" t="s">
        <v>3332</v>
      </c>
      <c r="E16" t="s">
        <v>7664</v>
      </c>
    </row>
    <row r="17" spans="1:5" x14ac:dyDescent="0.25">
      <c r="A17" t="s">
        <v>3329</v>
      </c>
      <c r="B17" t="s">
        <v>7693</v>
      </c>
      <c r="C17" t="s">
        <v>7694</v>
      </c>
      <c r="D17" t="s">
        <v>3332</v>
      </c>
      <c r="E17" t="s">
        <v>7664</v>
      </c>
    </row>
    <row r="18" spans="1:5" x14ac:dyDescent="0.25">
      <c r="A18" t="s">
        <v>3329</v>
      </c>
      <c r="B18" t="s">
        <v>7695</v>
      </c>
      <c r="C18" t="s">
        <v>7696</v>
      </c>
      <c r="D18" t="s">
        <v>3332</v>
      </c>
      <c r="E18" t="s">
        <v>7664</v>
      </c>
    </row>
    <row r="19" spans="1:5" x14ac:dyDescent="0.25">
      <c r="A19" t="s">
        <v>3329</v>
      </c>
      <c r="B19" t="s">
        <v>7697</v>
      </c>
      <c r="C19" t="s">
        <v>7698</v>
      </c>
      <c r="D19" t="s">
        <v>6745</v>
      </c>
      <c r="E19" t="s">
        <v>7699</v>
      </c>
    </row>
    <row r="20" spans="1:5" x14ac:dyDescent="0.25">
      <c r="A20" t="s">
        <v>3329</v>
      </c>
      <c r="B20" t="s">
        <v>7700</v>
      </c>
      <c r="C20" t="s">
        <v>7701</v>
      </c>
      <c r="D20" t="s">
        <v>3332</v>
      </c>
      <c r="E20" t="s">
        <v>7699</v>
      </c>
    </row>
    <row r="21" spans="1:5" x14ac:dyDescent="0.25">
      <c r="A21" t="s">
        <v>3329</v>
      </c>
      <c r="B21" t="s">
        <v>7702</v>
      </c>
      <c r="C21" t="s">
        <v>7703</v>
      </c>
      <c r="D21" t="s">
        <v>3332</v>
      </c>
      <c r="E21" t="s">
        <v>7704</v>
      </c>
    </row>
    <row r="22" spans="1:5" x14ac:dyDescent="0.25">
      <c r="A22" t="s">
        <v>3329</v>
      </c>
      <c r="B22" t="s">
        <v>7705</v>
      </c>
      <c r="C22" t="s">
        <v>7706</v>
      </c>
      <c r="D22" t="s">
        <v>3332</v>
      </c>
      <c r="E22" t="s">
        <v>7704</v>
      </c>
    </row>
    <row r="23" spans="1:5" x14ac:dyDescent="0.25">
      <c r="A23" t="s">
        <v>3329</v>
      </c>
      <c r="B23" t="s">
        <v>7707</v>
      </c>
      <c r="C23" t="s">
        <v>7708</v>
      </c>
      <c r="D23" t="s">
        <v>3332</v>
      </c>
      <c r="E23" t="s">
        <v>7704</v>
      </c>
    </row>
    <row r="24" spans="1:5" x14ac:dyDescent="0.25">
      <c r="A24" t="s">
        <v>3329</v>
      </c>
      <c r="B24" t="s">
        <v>7709</v>
      </c>
      <c r="C24" t="s">
        <v>7710</v>
      </c>
      <c r="D24" t="s">
        <v>3332</v>
      </c>
      <c r="E24" t="s">
        <v>7704</v>
      </c>
    </row>
    <row r="25" spans="1:5" x14ac:dyDescent="0.25">
      <c r="A25" t="s">
        <v>3329</v>
      </c>
      <c r="B25" t="s">
        <v>7711</v>
      </c>
      <c r="C25" t="s">
        <v>7712</v>
      </c>
      <c r="D25" t="s">
        <v>3332</v>
      </c>
      <c r="E25" t="s">
        <v>7704</v>
      </c>
    </row>
    <row r="26" spans="1:5" x14ac:dyDescent="0.25">
      <c r="A26" t="s">
        <v>3329</v>
      </c>
      <c r="B26" t="s">
        <v>7713</v>
      </c>
      <c r="C26" t="s">
        <v>7714</v>
      </c>
      <c r="D26" t="s">
        <v>6745</v>
      </c>
      <c r="E26" t="s">
        <v>7704</v>
      </c>
    </row>
    <row r="27" spans="1:5" x14ac:dyDescent="0.25">
      <c r="A27" t="s">
        <v>3329</v>
      </c>
      <c r="B27" t="s">
        <v>7715</v>
      </c>
      <c r="C27" t="s">
        <v>7716</v>
      </c>
      <c r="D27" t="s">
        <v>3332</v>
      </c>
      <c r="E27" t="s">
        <v>7704</v>
      </c>
    </row>
    <row r="28" spans="1:5" x14ac:dyDescent="0.25">
      <c r="A28" t="s">
        <v>3329</v>
      </c>
      <c r="B28" t="s">
        <v>7717</v>
      </c>
      <c r="C28" t="s">
        <v>7718</v>
      </c>
      <c r="D28" t="s">
        <v>3332</v>
      </c>
      <c r="E28" t="s">
        <v>7704</v>
      </c>
    </row>
    <row r="29" spans="1:5" x14ac:dyDescent="0.25">
      <c r="A29" t="s">
        <v>3329</v>
      </c>
      <c r="B29" t="s">
        <v>7719</v>
      </c>
      <c r="C29" t="s">
        <v>7720</v>
      </c>
      <c r="D29" t="s">
        <v>6745</v>
      </c>
      <c r="E29" t="s">
        <v>7704</v>
      </c>
    </row>
    <row r="30" spans="1:5" x14ac:dyDescent="0.25">
      <c r="A30" t="s">
        <v>3329</v>
      </c>
      <c r="B30" t="s">
        <v>7721</v>
      </c>
      <c r="C30" t="s">
        <v>7722</v>
      </c>
      <c r="D30" t="s">
        <v>6745</v>
      </c>
      <c r="E30" t="s">
        <v>7704</v>
      </c>
    </row>
    <row r="31" spans="1:5" x14ac:dyDescent="0.25">
      <c r="A31" t="s">
        <v>3329</v>
      </c>
      <c r="B31" t="s">
        <v>7723</v>
      </c>
      <c r="C31" t="s">
        <v>7724</v>
      </c>
      <c r="D31" t="s">
        <v>6745</v>
      </c>
      <c r="E31" t="s">
        <v>7704</v>
      </c>
    </row>
    <row r="32" spans="1:5" x14ac:dyDescent="0.25">
      <c r="A32" t="s">
        <v>3329</v>
      </c>
      <c r="B32" t="s">
        <v>7725</v>
      </c>
      <c r="C32" t="s">
        <v>7726</v>
      </c>
      <c r="D32" t="s">
        <v>6745</v>
      </c>
      <c r="E32" t="s">
        <v>7704</v>
      </c>
    </row>
    <row r="33" spans="1:5" x14ac:dyDescent="0.25">
      <c r="A33" t="s">
        <v>3329</v>
      </c>
      <c r="B33" t="s">
        <v>7727</v>
      </c>
      <c r="C33" t="s">
        <v>7728</v>
      </c>
      <c r="D33" t="s">
        <v>6745</v>
      </c>
      <c r="E33" t="s">
        <v>7704</v>
      </c>
    </row>
    <row r="34" spans="1:5" x14ac:dyDescent="0.25">
      <c r="A34" t="s">
        <v>3329</v>
      </c>
      <c r="B34" t="s">
        <v>7729</v>
      </c>
      <c r="C34" t="s">
        <v>7730</v>
      </c>
      <c r="D34" t="s">
        <v>6745</v>
      </c>
      <c r="E34" t="s">
        <v>7704</v>
      </c>
    </row>
    <row r="35" spans="1:5" x14ac:dyDescent="0.25">
      <c r="A35" t="s">
        <v>3329</v>
      </c>
      <c r="B35" t="s">
        <v>7731</v>
      </c>
      <c r="C35" t="s">
        <v>7732</v>
      </c>
      <c r="D35" t="s">
        <v>6745</v>
      </c>
      <c r="E35" t="s">
        <v>7704</v>
      </c>
    </row>
    <row r="36" spans="1:5" x14ac:dyDescent="0.25">
      <c r="A36" t="s">
        <v>3329</v>
      </c>
      <c r="B36" t="s">
        <v>7733</v>
      </c>
      <c r="C36" t="s">
        <v>7734</v>
      </c>
      <c r="D36" t="s">
        <v>6745</v>
      </c>
      <c r="E36" t="s">
        <v>7704</v>
      </c>
    </row>
    <row r="37" spans="1:5" x14ac:dyDescent="0.25">
      <c r="A37" t="s">
        <v>3329</v>
      </c>
      <c r="B37" t="s">
        <v>7735</v>
      </c>
      <c r="C37" t="s">
        <v>7736</v>
      </c>
      <c r="D37" t="s">
        <v>6745</v>
      </c>
      <c r="E37" t="s">
        <v>7704</v>
      </c>
    </row>
    <row r="38" spans="1:5" x14ac:dyDescent="0.25">
      <c r="A38" t="s">
        <v>3329</v>
      </c>
      <c r="B38" t="s">
        <v>7737</v>
      </c>
      <c r="C38" t="s">
        <v>7738</v>
      </c>
      <c r="D38" t="s">
        <v>6745</v>
      </c>
      <c r="E38" t="s">
        <v>7704</v>
      </c>
    </row>
    <row r="39" spans="1:5" x14ac:dyDescent="0.25">
      <c r="A39" t="s">
        <v>3329</v>
      </c>
      <c r="B39" t="s">
        <v>7739</v>
      </c>
      <c r="C39" t="s">
        <v>7740</v>
      </c>
      <c r="D39" t="s">
        <v>6745</v>
      </c>
      <c r="E39" t="s">
        <v>7704</v>
      </c>
    </row>
    <row r="40" spans="1:5" x14ac:dyDescent="0.25">
      <c r="A40" t="s">
        <v>3329</v>
      </c>
      <c r="B40" t="s">
        <v>7741</v>
      </c>
      <c r="C40" t="s">
        <v>7742</v>
      </c>
      <c r="D40" t="s">
        <v>6745</v>
      </c>
      <c r="E40" t="s">
        <v>7704</v>
      </c>
    </row>
    <row r="41" spans="1:5" x14ac:dyDescent="0.25">
      <c r="A41" t="s">
        <v>3329</v>
      </c>
      <c r="B41" t="s">
        <v>7743</v>
      </c>
      <c r="C41" t="s">
        <v>7744</v>
      </c>
      <c r="D41" t="s">
        <v>6745</v>
      </c>
      <c r="E41" t="s">
        <v>7704</v>
      </c>
    </row>
    <row r="42" spans="1:5" x14ac:dyDescent="0.25">
      <c r="A42" t="s">
        <v>3329</v>
      </c>
      <c r="B42" t="s">
        <v>7745</v>
      </c>
      <c r="C42" t="s">
        <v>7746</v>
      </c>
      <c r="D42" t="s">
        <v>6745</v>
      </c>
      <c r="E42" t="s">
        <v>7704</v>
      </c>
    </row>
    <row r="43" spans="1:5" x14ac:dyDescent="0.25">
      <c r="A43" t="s">
        <v>3329</v>
      </c>
      <c r="B43" t="s">
        <v>7747</v>
      </c>
      <c r="C43" t="s">
        <v>7748</v>
      </c>
      <c r="D43" t="s">
        <v>6745</v>
      </c>
      <c r="E43" t="s">
        <v>7704</v>
      </c>
    </row>
    <row r="44" spans="1:5" x14ac:dyDescent="0.25">
      <c r="A44" t="s">
        <v>3329</v>
      </c>
      <c r="B44" t="s">
        <v>7749</v>
      </c>
      <c r="C44" t="s">
        <v>7750</v>
      </c>
      <c r="D44" t="s">
        <v>6745</v>
      </c>
      <c r="E44" t="s">
        <v>7704</v>
      </c>
    </row>
    <row r="45" spans="1:5" x14ac:dyDescent="0.25">
      <c r="A45" t="s">
        <v>3329</v>
      </c>
      <c r="B45" t="s">
        <v>7751</v>
      </c>
      <c r="C45" t="s">
        <v>7752</v>
      </c>
      <c r="D45" t="s">
        <v>6745</v>
      </c>
      <c r="E45" t="s">
        <v>7704</v>
      </c>
    </row>
    <row r="46" spans="1:5" x14ac:dyDescent="0.25">
      <c r="A46" t="s">
        <v>3329</v>
      </c>
      <c r="B46" t="s">
        <v>7753</v>
      </c>
      <c r="C46" t="s">
        <v>7754</v>
      </c>
      <c r="D46" t="s">
        <v>6745</v>
      </c>
      <c r="E46" t="s">
        <v>7704</v>
      </c>
    </row>
    <row r="47" spans="1:5" x14ac:dyDescent="0.25">
      <c r="A47" t="s">
        <v>3329</v>
      </c>
      <c r="B47" t="s">
        <v>7755</v>
      </c>
      <c r="C47" t="s">
        <v>7756</v>
      </c>
      <c r="D47" t="s">
        <v>6745</v>
      </c>
      <c r="E47" t="s">
        <v>7704</v>
      </c>
    </row>
    <row r="48" spans="1:5" x14ac:dyDescent="0.25">
      <c r="A48" t="s">
        <v>3329</v>
      </c>
      <c r="B48" t="s">
        <v>7757</v>
      </c>
      <c r="C48" t="s">
        <v>7758</v>
      </c>
      <c r="D48" t="s">
        <v>6745</v>
      </c>
      <c r="E48" t="s">
        <v>7704</v>
      </c>
    </row>
    <row r="49" spans="1:5" x14ac:dyDescent="0.25">
      <c r="A49" t="s">
        <v>3329</v>
      </c>
      <c r="B49" t="s">
        <v>7759</v>
      </c>
      <c r="C49" t="s">
        <v>7760</v>
      </c>
      <c r="D49" t="s">
        <v>6745</v>
      </c>
      <c r="E49" t="s">
        <v>7704</v>
      </c>
    </row>
    <row r="50" spans="1:5" x14ac:dyDescent="0.25">
      <c r="A50" t="s">
        <v>3329</v>
      </c>
      <c r="B50" t="s">
        <v>7761</v>
      </c>
      <c r="C50" t="s">
        <v>7762</v>
      </c>
      <c r="D50" t="s">
        <v>6745</v>
      </c>
      <c r="E50" t="s">
        <v>7704</v>
      </c>
    </row>
    <row r="51" spans="1:5" x14ac:dyDescent="0.25">
      <c r="A51" t="s">
        <v>3329</v>
      </c>
      <c r="B51" t="s">
        <v>7763</v>
      </c>
      <c r="C51" t="s">
        <v>7764</v>
      </c>
      <c r="D51" t="s">
        <v>6745</v>
      </c>
      <c r="E51" t="s">
        <v>7704</v>
      </c>
    </row>
    <row r="52" spans="1:5" x14ac:dyDescent="0.25">
      <c r="A52" t="s">
        <v>3329</v>
      </c>
      <c r="B52" t="s">
        <v>7765</v>
      </c>
      <c r="C52" t="s">
        <v>7766</v>
      </c>
      <c r="D52" t="s">
        <v>6745</v>
      </c>
      <c r="E52" t="s">
        <v>7704</v>
      </c>
    </row>
    <row r="53" spans="1:5" x14ac:dyDescent="0.25">
      <c r="A53" t="s">
        <v>3329</v>
      </c>
      <c r="B53" t="s">
        <v>7767</v>
      </c>
      <c r="C53" t="s">
        <v>7768</v>
      </c>
      <c r="D53" t="s">
        <v>6745</v>
      </c>
      <c r="E53" t="s">
        <v>7704</v>
      </c>
    </row>
    <row r="54" spans="1:5" x14ac:dyDescent="0.25">
      <c r="A54" t="s">
        <v>3329</v>
      </c>
      <c r="B54" t="s">
        <v>7769</v>
      </c>
      <c r="C54" t="s">
        <v>7770</v>
      </c>
      <c r="D54" t="s">
        <v>6745</v>
      </c>
      <c r="E54" t="s">
        <v>7704</v>
      </c>
    </row>
    <row r="55" spans="1:5" x14ac:dyDescent="0.25">
      <c r="A55" t="s">
        <v>3329</v>
      </c>
      <c r="B55" t="s">
        <v>7771</v>
      </c>
      <c r="C55" t="s">
        <v>7772</v>
      </c>
      <c r="D55" t="s">
        <v>6745</v>
      </c>
      <c r="E55" t="s">
        <v>7704</v>
      </c>
    </row>
    <row r="56" spans="1:5" x14ac:dyDescent="0.25">
      <c r="A56" t="s">
        <v>3329</v>
      </c>
      <c r="B56" t="s">
        <v>7773</v>
      </c>
      <c r="C56" t="s">
        <v>7774</v>
      </c>
      <c r="D56" t="s">
        <v>6745</v>
      </c>
      <c r="E56" t="s">
        <v>7704</v>
      </c>
    </row>
    <row r="57" spans="1:5" x14ac:dyDescent="0.25">
      <c r="A57" t="s">
        <v>3329</v>
      </c>
      <c r="B57" t="s">
        <v>7775</v>
      </c>
      <c r="C57" t="s">
        <v>7776</v>
      </c>
      <c r="D57" t="s">
        <v>6745</v>
      </c>
      <c r="E57" t="s">
        <v>7704</v>
      </c>
    </row>
    <row r="58" spans="1:5" x14ac:dyDescent="0.25">
      <c r="A58" t="s">
        <v>3329</v>
      </c>
      <c r="B58" t="s">
        <v>7777</v>
      </c>
      <c r="C58" t="s">
        <v>7778</v>
      </c>
      <c r="D58" t="s">
        <v>6745</v>
      </c>
      <c r="E58" t="s">
        <v>7704</v>
      </c>
    </row>
    <row r="59" spans="1:5" x14ac:dyDescent="0.25">
      <c r="A59" t="s">
        <v>3329</v>
      </c>
      <c r="B59" t="s">
        <v>7779</v>
      </c>
      <c r="C59" t="s">
        <v>7780</v>
      </c>
      <c r="D59" t="s">
        <v>6745</v>
      </c>
      <c r="E59" t="s">
        <v>7704</v>
      </c>
    </row>
    <row r="60" spans="1:5" x14ac:dyDescent="0.25">
      <c r="A60" t="s">
        <v>3329</v>
      </c>
      <c r="B60" t="s">
        <v>7781</v>
      </c>
      <c r="C60" t="s">
        <v>7782</v>
      </c>
      <c r="D60" t="s">
        <v>6745</v>
      </c>
      <c r="E60" t="s">
        <v>7704</v>
      </c>
    </row>
    <row r="61" spans="1:5" x14ac:dyDescent="0.25">
      <c r="A61" t="s">
        <v>3329</v>
      </c>
      <c r="B61" t="s">
        <v>7783</v>
      </c>
      <c r="C61" t="s">
        <v>7784</v>
      </c>
      <c r="D61" t="s">
        <v>6745</v>
      </c>
      <c r="E61" t="s">
        <v>7704</v>
      </c>
    </row>
    <row r="62" spans="1:5" x14ac:dyDescent="0.25">
      <c r="A62" t="s">
        <v>3329</v>
      </c>
      <c r="B62" t="s">
        <v>7785</v>
      </c>
      <c r="C62" t="s">
        <v>7786</v>
      </c>
      <c r="D62" t="s">
        <v>6745</v>
      </c>
      <c r="E62" t="s">
        <v>7704</v>
      </c>
    </row>
    <row r="63" spans="1:5" x14ac:dyDescent="0.25">
      <c r="A63" t="s">
        <v>3329</v>
      </c>
      <c r="B63" t="s">
        <v>7787</v>
      </c>
      <c r="C63" t="s">
        <v>7788</v>
      </c>
      <c r="D63" t="s">
        <v>3332</v>
      </c>
      <c r="E63" t="s">
        <v>7704</v>
      </c>
    </row>
    <row r="64" spans="1:5" x14ac:dyDescent="0.25">
      <c r="A64" t="s">
        <v>3329</v>
      </c>
      <c r="B64" t="s">
        <v>7789</v>
      </c>
      <c r="C64" t="s">
        <v>7790</v>
      </c>
      <c r="D64" t="s">
        <v>3332</v>
      </c>
      <c r="E64" t="s">
        <v>7704</v>
      </c>
    </row>
    <row r="65" spans="1:5" x14ac:dyDescent="0.25">
      <c r="A65" t="s">
        <v>3329</v>
      </c>
      <c r="B65" t="s">
        <v>7791</v>
      </c>
      <c r="C65" t="s">
        <v>7792</v>
      </c>
      <c r="D65" t="s">
        <v>3332</v>
      </c>
      <c r="E65" t="s">
        <v>7704</v>
      </c>
    </row>
    <row r="66" spans="1:5" x14ac:dyDescent="0.25">
      <c r="A66" t="s">
        <v>3329</v>
      </c>
      <c r="B66" t="s">
        <v>7793</v>
      </c>
      <c r="C66" t="s">
        <v>7794</v>
      </c>
      <c r="D66" t="s">
        <v>3332</v>
      </c>
      <c r="E66" t="s">
        <v>7704</v>
      </c>
    </row>
    <row r="67" spans="1:5" x14ac:dyDescent="0.25">
      <c r="A67" t="s">
        <v>3329</v>
      </c>
      <c r="B67" t="s">
        <v>7795</v>
      </c>
      <c r="C67" t="s">
        <v>7796</v>
      </c>
      <c r="D67" t="s">
        <v>3332</v>
      </c>
      <c r="E67" t="s">
        <v>7704</v>
      </c>
    </row>
    <row r="68" spans="1:5" x14ac:dyDescent="0.25">
      <c r="A68" t="s">
        <v>3329</v>
      </c>
      <c r="B68" t="s">
        <v>7797</v>
      </c>
      <c r="C68" t="s">
        <v>7798</v>
      </c>
      <c r="D68" t="s">
        <v>3332</v>
      </c>
      <c r="E68" t="s">
        <v>7704</v>
      </c>
    </row>
    <row r="69" spans="1:5" x14ac:dyDescent="0.25">
      <c r="A69" t="s">
        <v>3329</v>
      </c>
      <c r="B69" t="s">
        <v>7799</v>
      </c>
      <c r="C69" t="s">
        <v>7800</v>
      </c>
      <c r="D69" t="s">
        <v>3332</v>
      </c>
      <c r="E69" t="s">
        <v>7704</v>
      </c>
    </row>
    <row r="70" spans="1:5" x14ac:dyDescent="0.25">
      <c r="A70" t="s">
        <v>3329</v>
      </c>
      <c r="B70" t="s">
        <v>7801</v>
      </c>
      <c r="C70" t="s">
        <v>7802</v>
      </c>
      <c r="D70" t="s">
        <v>3332</v>
      </c>
      <c r="E70" t="s">
        <v>7704</v>
      </c>
    </row>
    <row r="71" spans="1:5" x14ac:dyDescent="0.25">
      <c r="A71" t="s">
        <v>3329</v>
      </c>
      <c r="B71" t="s">
        <v>7803</v>
      </c>
      <c r="C71" t="s">
        <v>7804</v>
      </c>
      <c r="D71" t="s">
        <v>3332</v>
      </c>
      <c r="E71" t="s">
        <v>7704</v>
      </c>
    </row>
    <row r="72" spans="1:5" x14ac:dyDescent="0.25">
      <c r="A72" t="s">
        <v>3329</v>
      </c>
      <c r="B72" t="s">
        <v>7805</v>
      </c>
      <c r="C72" t="s">
        <v>7806</v>
      </c>
      <c r="D72" t="s">
        <v>3332</v>
      </c>
      <c r="E72" t="s">
        <v>7704</v>
      </c>
    </row>
    <row r="73" spans="1:5" x14ac:dyDescent="0.25">
      <c r="A73" t="s">
        <v>3329</v>
      </c>
      <c r="B73" t="s">
        <v>7807</v>
      </c>
      <c r="C73" t="s">
        <v>7808</v>
      </c>
      <c r="D73" t="s">
        <v>3332</v>
      </c>
      <c r="E73" t="s">
        <v>7704</v>
      </c>
    </row>
    <row r="74" spans="1:5" x14ac:dyDescent="0.25">
      <c r="A74" t="s">
        <v>3329</v>
      </c>
      <c r="B74" t="s">
        <v>7809</v>
      </c>
      <c r="C74" t="s">
        <v>7810</v>
      </c>
      <c r="D74" t="s">
        <v>3332</v>
      </c>
      <c r="E74" t="s">
        <v>7704</v>
      </c>
    </row>
    <row r="75" spans="1:5" x14ac:dyDescent="0.25">
      <c r="A75" t="s">
        <v>3329</v>
      </c>
      <c r="B75" t="s">
        <v>7811</v>
      </c>
      <c r="C75" t="s">
        <v>7812</v>
      </c>
      <c r="D75" t="s">
        <v>3332</v>
      </c>
      <c r="E75" t="s">
        <v>7704</v>
      </c>
    </row>
    <row r="76" spans="1:5" x14ac:dyDescent="0.25">
      <c r="A76" t="s">
        <v>3329</v>
      </c>
      <c r="B76" t="s">
        <v>7813</v>
      </c>
      <c r="C76" t="s">
        <v>7814</v>
      </c>
      <c r="D76" t="s">
        <v>3332</v>
      </c>
      <c r="E76" t="s">
        <v>7704</v>
      </c>
    </row>
    <row r="77" spans="1:5" x14ac:dyDescent="0.25">
      <c r="A77" t="s">
        <v>3329</v>
      </c>
      <c r="B77" t="s">
        <v>7815</v>
      </c>
      <c r="C77" t="s">
        <v>7816</v>
      </c>
      <c r="D77" t="s">
        <v>3332</v>
      </c>
      <c r="E77" t="s">
        <v>7704</v>
      </c>
    </row>
    <row r="78" spans="1:5" x14ac:dyDescent="0.25">
      <c r="A78" t="s">
        <v>3329</v>
      </c>
      <c r="B78" t="s">
        <v>7817</v>
      </c>
      <c r="C78" t="s">
        <v>7818</v>
      </c>
      <c r="D78" t="s">
        <v>3332</v>
      </c>
      <c r="E78" t="s">
        <v>7704</v>
      </c>
    </row>
    <row r="79" spans="1:5" x14ac:dyDescent="0.25">
      <c r="A79" t="s">
        <v>3329</v>
      </c>
      <c r="B79" t="s">
        <v>7819</v>
      </c>
      <c r="C79" t="s">
        <v>7820</v>
      </c>
      <c r="D79" t="s">
        <v>6745</v>
      </c>
      <c r="E79" t="s">
        <v>7704</v>
      </c>
    </row>
    <row r="80" spans="1:5" x14ac:dyDescent="0.25">
      <c r="A80" t="s">
        <v>3329</v>
      </c>
      <c r="B80" t="s">
        <v>7821</v>
      </c>
      <c r="C80" t="s">
        <v>7822</v>
      </c>
      <c r="D80" t="s">
        <v>6745</v>
      </c>
      <c r="E80" t="s">
        <v>7704</v>
      </c>
    </row>
    <row r="81" spans="1:5" x14ac:dyDescent="0.25">
      <c r="A81" t="s">
        <v>3329</v>
      </c>
      <c r="B81" t="s">
        <v>7823</v>
      </c>
      <c r="C81" t="s">
        <v>7824</v>
      </c>
      <c r="D81" t="s">
        <v>6745</v>
      </c>
      <c r="E81" t="s">
        <v>7704</v>
      </c>
    </row>
    <row r="82" spans="1:5" x14ac:dyDescent="0.25">
      <c r="A82" t="s">
        <v>3329</v>
      </c>
      <c r="B82" t="s">
        <v>7825</v>
      </c>
      <c r="C82" t="s">
        <v>7826</v>
      </c>
      <c r="D82" t="s">
        <v>6745</v>
      </c>
      <c r="E82" t="s">
        <v>7704</v>
      </c>
    </row>
    <row r="83" spans="1:5" x14ac:dyDescent="0.25">
      <c r="A83" t="s">
        <v>3329</v>
      </c>
      <c r="B83" t="s">
        <v>7827</v>
      </c>
      <c r="C83" t="s">
        <v>7828</v>
      </c>
      <c r="D83" t="s">
        <v>6745</v>
      </c>
      <c r="E83" t="s">
        <v>7704</v>
      </c>
    </row>
    <row r="84" spans="1:5" x14ac:dyDescent="0.25">
      <c r="A84" t="s">
        <v>3329</v>
      </c>
      <c r="B84" t="s">
        <v>7829</v>
      </c>
      <c r="C84" t="s">
        <v>7830</v>
      </c>
      <c r="D84" t="s">
        <v>6745</v>
      </c>
      <c r="E84" t="s">
        <v>7704</v>
      </c>
    </row>
    <row r="85" spans="1:5" x14ac:dyDescent="0.25">
      <c r="A85" t="s">
        <v>3329</v>
      </c>
      <c r="B85" t="s">
        <v>7831</v>
      </c>
      <c r="C85" t="s">
        <v>7832</v>
      </c>
      <c r="D85" t="s">
        <v>6745</v>
      </c>
      <c r="E85" t="s">
        <v>7704</v>
      </c>
    </row>
    <row r="86" spans="1:5" x14ac:dyDescent="0.25">
      <c r="A86" t="s">
        <v>3329</v>
      </c>
      <c r="B86" t="s">
        <v>7833</v>
      </c>
      <c r="C86" t="s">
        <v>7834</v>
      </c>
      <c r="D86" t="s">
        <v>6745</v>
      </c>
      <c r="E86" t="s">
        <v>7704</v>
      </c>
    </row>
    <row r="87" spans="1:5" x14ac:dyDescent="0.25">
      <c r="A87" t="s">
        <v>3329</v>
      </c>
      <c r="B87" t="s">
        <v>7835</v>
      </c>
      <c r="C87" t="s">
        <v>7836</v>
      </c>
      <c r="D87" t="s">
        <v>6745</v>
      </c>
      <c r="E87" t="s">
        <v>7704</v>
      </c>
    </row>
    <row r="88" spans="1:5" x14ac:dyDescent="0.25">
      <c r="A88" t="s">
        <v>3329</v>
      </c>
      <c r="B88" t="s">
        <v>7837</v>
      </c>
      <c r="C88" t="s">
        <v>7838</v>
      </c>
      <c r="D88" t="s">
        <v>6745</v>
      </c>
      <c r="E88" t="s">
        <v>7704</v>
      </c>
    </row>
    <row r="89" spans="1:5" x14ac:dyDescent="0.25">
      <c r="A89" t="s">
        <v>3329</v>
      </c>
      <c r="B89" t="s">
        <v>7839</v>
      </c>
      <c r="C89" t="s">
        <v>7840</v>
      </c>
      <c r="D89" t="s">
        <v>6745</v>
      </c>
      <c r="E89" t="s">
        <v>7704</v>
      </c>
    </row>
    <row r="90" spans="1:5" x14ac:dyDescent="0.25">
      <c r="A90" t="s">
        <v>3329</v>
      </c>
      <c r="B90" t="s">
        <v>7841</v>
      </c>
      <c r="C90" t="s">
        <v>7842</v>
      </c>
      <c r="D90" t="s">
        <v>6745</v>
      </c>
      <c r="E90" t="s">
        <v>7704</v>
      </c>
    </row>
    <row r="91" spans="1:5" x14ac:dyDescent="0.25">
      <c r="A91" t="s">
        <v>3329</v>
      </c>
      <c r="B91" t="s">
        <v>7843</v>
      </c>
      <c r="C91" t="s">
        <v>7844</v>
      </c>
      <c r="D91" t="s">
        <v>3332</v>
      </c>
      <c r="E91" t="s">
        <v>7704</v>
      </c>
    </row>
    <row r="92" spans="1:5" x14ac:dyDescent="0.25">
      <c r="A92" t="s">
        <v>3329</v>
      </c>
      <c r="B92" t="s">
        <v>7845</v>
      </c>
      <c r="C92" t="s">
        <v>7846</v>
      </c>
      <c r="D92" t="s">
        <v>3332</v>
      </c>
      <c r="E92" t="s">
        <v>7704</v>
      </c>
    </row>
    <row r="93" spans="1:5" x14ac:dyDescent="0.25">
      <c r="A93" t="s">
        <v>3329</v>
      </c>
      <c r="B93" t="s">
        <v>7847</v>
      </c>
      <c r="C93" t="s">
        <v>7848</v>
      </c>
      <c r="D93" t="s">
        <v>3332</v>
      </c>
      <c r="E93" t="s">
        <v>7704</v>
      </c>
    </row>
    <row r="94" spans="1:5" x14ac:dyDescent="0.25">
      <c r="A94" t="s">
        <v>3329</v>
      </c>
      <c r="B94" t="s">
        <v>7849</v>
      </c>
      <c r="C94" t="s">
        <v>7850</v>
      </c>
      <c r="D94" t="s">
        <v>3332</v>
      </c>
      <c r="E94" t="s">
        <v>7704</v>
      </c>
    </row>
    <row r="95" spans="1:5" x14ac:dyDescent="0.25">
      <c r="A95" t="s">
        <v>3329</v>
      </c>
      <c r="B95" t="s">
        <v>7851</v>
      </c>
      <c r="C95" t="s">
        <v>7852</v>
      </c>
      <c r="D95" t="s">
        <v>3332</v>
      </c>
      <c r="E95" t="s">
        <v>7704</v>
      </c>
    </row>
    <row r="96" spans="1:5" x14ac:dyDescent="0.25">
      <c r="A96" t="s">
        <v>3329</v>
      </c>
      <c r="B96" t="s">
        <v>7853</v>
      </c>
      <c r="C96" t="s">
        <v>7854</v>
      </c>
      <c r="D96" t="s">
        <v>3332</v>
      </c>
      <c r="E96" t="s">
        <v>7704</v>
      </c>
    </row>
    <row r="97" spans="1:5" x14ac:dyDescent="0.25">
      <c r="A97" t="s">
        <v>3329</v>
      </c>
      <c r="B97" t="s">
        <v>7855</v>
      </c>
      <c r="C97" t="s">
        <v>7856</v>
      </c>
      <c r="D97" t="s">
        <v>3332</v>
      </c>
      <c r="E97" t="s">
        <v>7704</v>
      </c>
    </row>
    <row r="98" spans="1:5" x14ac:dyDescent="0.25">
      <c r="A98" t="s">
        <v>3329</v>
      </c>
      <c r="B98" t="s">
        <v>7857</v>
      </c>
      <c r="C98" t="s">
        <v>7858</v>
      </c>
      <c r="D98" t="s">
        <v>3332</v>
      </c>
      <c r="E98" t="s">
        <v>7704</v>
      </c>
    </row>
    <row r="99" spans="1:5" x14ac:dyDescent="0.25">
      <c r="A99" t="s">
        <v>3329</v>
      </c>
      <c r="B99" t="s">
        <v>7859</v>
      </c>
      <c r="C99" t="s">
        <v>7860</v>
      </c>
      <c r="D99" t="s">
        <v>3332</v>
      </c>
      <c r="E99" t="s">
        <v>7704</v>
      </c>
    </row>
    <row r="100" spans="1:5" x14ac:dyDescent="0.25">
      <c r="A100" t="s">
        <v>3329</v>
      </c>
      <c r="B100" t="s">
        <v>7861</v>
      </c>
      <c r="C100" t="s">
        <v>7862</v>
      </c>
      <c r="D100" t="s">
        <v>3332</v>
      </c>
      <c r="E100" t="s">
        <v>7704</v>
      </c>
    </row>
    <row r="101" spans="1:5" x14ac:dyDescent="0.25">
      <c r="A101" t="s">
        <v>3329</v>
      </c>
      <c r="B101" t="s">
        <v>7863</v>
      </c>
      <c r="C101" t="s">
        <v>7864</v>
      </c>
      <c r="D101" t="s">
        <v>3332</v>
      </c>
      <c r="E101" t="s">
        <v>7704</v>
      </c>
    </row>
    <row r="102" spans="1:5" x14ac:dyDescent="0.25">
      <c r="A102" t="s">
        <v>3329</v>
      </c>
      <c r="B102" t="s">
        <v>7865</v>
      </c>
      <c r="C102" t="s">
        <v>7866</v>
      </c>
      <c r="D102" t="s">
        <v>3332</v>
      </c>
      <c r="E102" t="s">
        <v>7704</v>
      </c>
    </row>
    <row r="103" spans="1:5" x14ac:dyDescent="0.25">
      <c r="A103" t="s">
        <v>3329</v>
      </c>
      <c r="B103" t="s">
        <v>7867</v>
      </c>
      <c r="C103" t="s">
        <v>7868</v>
      </c>
      <c r="D103" t="s">
        <v>3332</v>
      </c>
      <c r="E103" t="s">
        <v>7704</v>
      </c>
    </row>
    <row r="104" spans="1:5" x14ac:dyDescent="0.25">
      <c r="A104" t="s">
        <v>3329</v>
      </c>
      <c r="B104" t="s">
        <v>7869</v>
      </c>
      <c r="C104" t="s">
        <v>7870</v>
      </c>
      <c r="D104" t="s">
        <v>3332</v>
      </c>
      <c r="E104" t="s">
        <v>7704</v>
      </c>
    </row>
    <row r="105" spans="1:5" x14ac:dyDescent="0.25">
      <c r="A105" t="s">
        <v>3329</v>
      </c>
      <c r="B105" t="s">
        <v>7871</v>
      </c>
      <c r="C105" t="s">
        <v>7872</v>
      </c>
      <c r="D105" t="s">
        <v>3332</v>
      </c>
      <c r="E105" t="s">
        <v>7704</v>
      </c>
    </row>
    <row r="106" spans="1:5" x14ac:dyDescent="0.25">
      <c r="A106" t="s">
        <v>3329</v>
      </c>
      <c r="B106" t="s">
        <v>7873</v>
      </c>
      <c r="C106" t="s">
        <v>7874</v>
      </c>
      <c r="D106" t="s">
        <v>3332</v>
      </c>
      <c r="E106" t="s">
        <v>7704</v>
      </c>
    </row>
    <row r="107" spans="1:5" x14ac:dyDescent="0.25">
      <c r="A107" t="s">
        <v>3329</v>
      </c>
      <c r="B107" t="s">
        <v>7875</v>
      </c>
      <c r="C107" t="s">
        <v>7876</v>
      </c>
      <c r="D107" t="s">
        <v>3332</v>
      </c>
      <c r="E107" t="s">
        <v>7704</v>
      </c>
    </row>
    <row r="108" spans="1:5" x14ac:dyDescent="0.25">
      <c r="A108" t="s">
        <v>3329</v>
      </c>
      <c r="B108" t="s">
        <v>7877</v>
      </c>
      <c r="C108" t="s">
        <v>7878</v>
      </c>
      <c r="D108" t="s">
        <v>3332</v>
      </c>
      <c r="E108" t="s">
        <v>7704</v>
      </c>
    </row>
    <row r="109" spans="1:5" x14ac:dyDescent="0.25">
      <c r="A109" t="s">
        <v>3329</v>
      </c>
      <c r="B109" t="s">
        <v>7879</v>
      </c>
      <c r="C109" t="s">
        <v>7880</v>
      </c>
      <c r="D109" t="s">
        <v>3332</v>
      </c>
      <c r="E109" t="s">
        <v>7704</v>
      </c>
    </row>
    <row r="110" spans="1:5" x14ac:dyDescent="0.25">
      <c r="A110" t="s">
        <v>3329</v>
      </c>
      <c r="B110" t="s">
        <v>7881</v>
      </c>
      <c r="C110" t="s">
        <v>7882</v>
      </c>
      <c r="D110" t="s">
        <v>3332</v>
      </c>
      <c r="E110" t="s">
        <v>7704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087A3-AC4C-4217-B399-37E2D796C9C7}">
  <dimension ref="A3:A7"/>
  <sheetViews>
    <sheetView workbookViewId="0">
      <selection activeCell="A3" sqref="A3"/>
    </sheetView>
  </sheetViews>
  <sheetFormatPr baseColWidth="10" defaultRowHeight="15" x14ac:dyDescent="0.25"/>
  <cols>
    <col min="1" max="1" width="21" bestFit="1" customWidth="1"/>
  </cols>
  <sheetData>
    <row r="3" spans="1:1" x14ac:dyDescent="0.25">
      <c r="A3" s="14" t="s">
        <v>13094</v>
      </c>
    </row>
    <row r="4" spans="1:1" x14ac:dyDescent="0.25">
      <c r="A4" s="15" t="s">
        <v>3332</v>
      </c>
    </row>
    <row r="5" spans="1:1" x14ac:dyDescent="0.25">
      <c r="A5" s="16" t="s">
        <v>7885</v>
      </c>
    </row>
    <row r="6" spans="1:1" x14ac:dyDescent="0.25">
      <c r="A6" s="16" t="s">
        <v>7892</v>
      </c>
    </row>
    <row r="7" spans="1:1" x14ac:dyDescent="0.25">
      <c r="A7" s="15" t="s">
        <v>13096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2E17D-C9F4-4137-BB8E-86654E73D2E9}">
  <dimension ref="A1:E19"/>
  <sheetViews>
    <sheetView workbookViewId="0">
      <selection sqref="A1:E19"/>
    </sheetView>
  </sheetViews>
  <sheetFormatPr baseColWidth="10" defaultRowHeight="15" x14ac:dyDescent="0.25"/>
  <cols>
    <col min="1" max="1" width="8.85546875" bestFit="1" customWidth="1"/>
    <col min="2" max="2" width="16.28515625" bestFit="1" customWidth="1"/>
    <col min="3" max="3" width="18.140625" bestFit="1" customWidth="1"/>
    <col min="4" max="4" width="13.7109375" bestFit="1" customWidth="1"/>
    <col min="5" max="5" width="7.5703125" bestFit="1" customWidth="1"/>
  </cols>
  <sheetData>
    <row r="1" spans="1:5" x14ac:dyDescent="0.25">
      <c r="A1" t="s">
        <v>3324</v>
      </c>
      <c r="B1" t="s">
        <v>3325</v>
      </c>
      <c r="C1" t="s">
        <v>3326</v>
      </c>
      <c r="D1" t="s">
        <v>3327</v>
      </c>
      <c r="E1" t="s">
        <v>3328</v>
      </c>
    </row>
    <row r="2" spans="1:5" x14ac:dyDescent="0.25">
      <c r="A2" t="s">
        <v>3329</v>
      </c>
      <c r="B2" t="s">
        <v>7883</v>
      </c>
      <c r="C2" t="s">
        <v>7884</v>
      </c>
      <c r="D2" t="s">
        <v>3332</v>
      </c>
      <c r="E2" t="s">
        <v>7885</v>
      </c>
    </row>
    <row r="3" spans="1:5" x14ac:dyDescent="0.25">
      <c r="A3" t="s">
        <v>3329</v>
      </c>
      <c r="B3" t="s">
        <v>7886</v>
      </c>
      <c r="C3" t="s">
        <v>7887</v>
      </c>
      <c r="D3" t="s">
        <v>3332</v>
      </c>
      <c r="E3" t="s">
        <v>7885</v>
      </c>
    </row>
    <row r="4" spans="1:5" x14ac:dyDescent="0.25">
      <c r="A4" t="s">
        <v>3329</v>
      </c>
      <c r="B4" t="s">
        <v>7888</v>
      </c>
      <c r="C4" t="s">
        <v>7889</v>
      </c>
      <c r="D4" t="s">
        <v>3332</v>
      </c>
      <c r="E4" t="s">
        <v>7885</v>
      </c>
    </row>
    <row r="5" spans="1:5" x14ac:dyDescent="0.25">
      <c r="A5" t="s">
        <v>3329</v>
      </c>
      <c r="B5" t="s">
        <v>7890</v>
      </c>
      <c r="C5" t="s">
        <v>7891</v>
      </c>
      <c r="D5" t="s">
        <v>3332</v>
      </c>
      <c r="E5" t="s">
        <v>7892</v>
      </c>
    </row>
    <row r="6" spans="1:5" x14ac:dyDescent="0.25">
      <c r="A6" t="s">
        <v>3329</v>
      </c>
      <c r="B6" t="s">
        <v>7893</v>
      </c>
      <c r="C6" t="s">
        <v>7894</v>
      </c>
      <c r="D6" t="s">
        <v>3332</v>
      </c>
      <c r="E6" t="s">
        <v>7892</v>
      </c>
    </row>
    <row r="7" spans="1:5" x14ac:dyDescent="0.25">
      <c r="A7" t="s">
        <v>3329</v>
      </c>
      <c r="B7" t="s">
        <v>7895</v>
      </c>
      <c r="C7" t="s">
        <v>7896</v>
      </c>
      <c r="D7" t="s">
        <v>3332</v>
      </c>
      <c r="E7" t="s">
        <v>7892</v>
      </c>
    </row>
    <row r="8" spans="1:5" x14ac:dyDescent="0.25">
      <c r="A8" t="s">
        <v>3329</v>
      </c>
      <c r="B8" t="s">
        <v>7897</v>
      </c>
      <c r="C8" t="s">
        <v>7898</v>
      </c>
      <c r="D8" t="s">
        <v>3332</v>
      </c>
      <c r="E8" t="s">
        <v>7892</v>
      </c>
    </row>
    <row r="9" spans="1:5" x14ac:dyDescent="0.25">
      <c r="A9" t="s">
        <v>3329</v>
      </c>
      <c r="B9" t="s">
        <v>7899</v>
      </c>
      <c r="C9" t="s">
        <v>7900</v>
      </c>
      <c r="D9" t="s">
        <v>3332</v>
      </c>
      <c r="E9" t="s">
        <v>7892</v>
      </c>
    </row>
    <row r="10" spans="1:5" x14ac:dyDescent="0.25">
      <c r="A10" t="s">
        <v>3329</v>
      </c>
      <c r="B10" t="s">
        <v>7901</v>
      </c>
      <c r="C10" t="s">
        <v>7902</v>
      </c>
      <c r="D10" t="s">
        <v>3332</v>
      </c>
      <c r="E10" t="s">
        <v>7892</v>
      </c>
    </row>
    <row r="11" spans="1:5" x14ac:dyDescent="0.25">
      <c r="A11" t="s">
        <v>3329</v>
      </c>
      <c r="B11" t="s">
        <v>7903</v>
      </c>
      <c r="C11" t="s">
        <v>7904</v>
      </c>
      <c r="D11" t="s">
        <v>3332</v>
      </c>
      <c r="E11" t="s">
        <v>7892</v>
      </c>
    </row>
    <row r="12" spans="1:5" x14ac:dyDescent="0.25">
      <c r="A12" t="s">
        <v>3329</v>
      </c>
      <c r="B12" t="s">
        <v>7905</v>
      </c>
      <c r="C12" t="s">
        <v>7906</v>
      </c>
      <c r="D12" t="s">
        <v>3332</v>
      </c>
      <c r="E12" t="s">
        <v>7892</v>
      </c>
    </row>
    <row r="13" spans="1:5" x14ac:dyDescent="0.25">
      <c r="A13" t="s">
        <v>3329</v>
      </c>
      <c r="B13" t="s">
        <v>7907</v>
      </c>
      <c r="C13" t="s">
        <v>7908</v>
      </c>
      <c r="D13" t="s">
        <v>3332</v>
      </c>
      <c r="E13" t="s">
        <v>7892</v>
      </c>
    </row>
    <row r="14" spans="1:5" x14ac:dyDescent="0.25">
      <c r="A14" t="s">
        <v>3329</v>
      </c>
      <c r="B14" t="s">
        <v>7909</v>
      </c>
      <c r="C14" t="s">
        <v>7910</v>
      </c>
      <c r="D14" t="s">
        <v>3332</v>
      </c>
      <c r="E14" t="s">
        <v>7892</v>
      </c>
    </row>
    <row r="15" spans="1:5" x14ac:dyDescent="0.25">
      <c r="A15" t="s">
        <v>3329</v>
      </c>
      <c r="B15" t="s">
        <v>7911</v>
      </c>
      <c r="C15" t="s">
        <v>7912</v>
      </c>
      <c r="D15" t="s">
        <v>3332</v>
      </c>
      <c r="E15" t="s">
        <v>7892</v>
      </c>
    </row>
    <row r="16" spans="1:5" x14ac:dyDescent="0.25">
      <c r="A16" t="s">
        <v>3329</v>
      </c>
      <c r="B16" t="s">
        <v>7913</v>
      </c>
      <c r="C16" t="s">
        <v>7914</v>
      </c>
      <c r="D16" t="s">
        <v>3332</v>
      </c>
      <c r="E16" t="s">
        <v>7892</v>
      </c>
    </row>
    <row r="17" spans="1:5" x14ac:dyDescent="0.25">
      <c r="A17" t="s">
        <v>3329</v>
      </c>
      <c r="B17" t="s">
        <v>7915</v>
      </c>
      <c r="C17" t="s">
        <v>7916</v>
      </c>
      <c r="D17" t="s">
        <v>3332</v>
      </c>
      <c r="E17" t="s">
        <v>7892</v>
      </c>
    </row>
    <row r="18" spans="1:5" x14ac:dyDescent="0.25">
      <c r="A18" t="s">
        <v>3329</v>
      </c>
      <c r="B18" t="s">
        <v>7917</v>
      </c>
      <c r="C18" t="s">
        <v>7918</v>
      </c>
      <c r="D18" t="s">
        <v>3332</v>
      </c>
      <c r="E18" t="s">
        <v>7892</v>
      </c>
    </row>
    <row r="19" spans="1:5" x14ac:dyDescent="0.25">
      <c r="A19" t="s">
        <v>3329</v>
      </c>
      <c r="B19" t="s">
        <v>7919</v>
      </c>
      <c r="C19" t="s">
        <v>7920</v>
      </c>
      <c r="D19" t="s">
        <v>3332</v>
      </c>
      <c r="E19" t="s">
        <v>7885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257B5-04E2-4D35-88C5-EF5088B3D0FC}">
  <dimension ref="A3:A18"/>
  <sheetViews>
    <sheetView workbookViewId="0">
      <selection activeCell="A3" sqref="A3"/>
    </sheetView>
  </sheetViews>
  <sheetFormatPr baseColWidth="10" defaultRowHeight="15" x14ac:dyDescent="0.25"/>
  <cols>
    <col min="1" max="1" width="37" bestFit="1" customWidth="1"/>
  </cols>
  <sheetData>
    <row r="3" spans="1:1" x14ac:dyDescent="0.25">
      <c r="A3" s="14" t="s">
        <v>13094</v>
      </c>
    </row>
    <row r="4" spans="1:1" x14ac:dyDescent="0.25">
      <c r="A4" s="15" t="s">
        <v>3329</v>
      </c>
    </row>
    <row r="5" spans="1:1" x14ac:dyDescent="0.25">
      <c r="A5" s="16" t="s">
        <v>7935</v>
      </c>
    </row>
    <row r="6" spans="1:1" x14ac:dyDescent="0.25">
      <c r="A6" s="16" t="s">
        <v>7933</v>
      </c>
    </row>
    <row r="7" spans="1:1" x14ac:dyDescent="0.25">
      <c r="A7" s="16" t="s">
        <v>7931</v>
      </c>
    </row>
    <row r="8" spans="1:1" x14ac:dyDescent="0.25">
      <c r="A8" s="16" t="s">
        <v>7929</v>
      </c>
    </row>
    <row r="9" spans="1:1" x14ac:dyDescent="0.25">
      <c r="A9" s="16" t="s">
        <v>7922</v>
      </c>
    </row>
    <row r="10" spans="1:1" x14ac:dyDescent="0.25">
      <c r="A10" s="16" t="s">
        <v>7927</v>
      </c>
    </row>
    <row r="11" spans="1:1" x14ac:dyDescent="0.25">
      <c r="A11" s="16" t="s">
        <v>7925</v>
      </c>
    </row>
    <row r="12" spans="1:1" x14ac:dyDescent="0.25">
      <c r="A12" s="16" t="s">
        <v>7947</v>
      </c>
    </row>
    <row r="13" spans="1:1" x14ac:dyDescent="0.25">
      <c r="A13" s="16" t="s">
        <v>7945</v>
      </c>
    </row>
    <row r="14" spans="1:1" x14ac:dyDescent="0.25">
      <c r="A14" s="16" t="s">
        <v>7943</v>
      </c>
    </row>
    <row r="15" spans="1:1" x14ac:dyDescent="0.25">
      <c r="A15" s="16" t="s">
        <v>7941</v>
      </c>
    </row>
    <row r="16" spans="1:1" x14ac:dyDescent="0.25">
      <c r="A16" s="16" t="s">
        <v>7939</v>
      </c>
    </row>
    <row r="17" spans="1:1" x14ac:dyDescent="0.25">
      <c r="A17" s="16" t="s">
        <v>7937</v>
      </c>
    </row>
    <row r="18" spans="1:1" x14ac:dyDescent="0.25">
      <c r="A18" s="15" t="s">
        <v>13096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BC47B-D001-41B3-9F05-EDC4E95495B4}">
  <dimension ref="A1:E14"/>
  <sheetViews>
    <sheetView workbookViewId="0">
      <selection sqref="A1:E14"/>
    </sheetView>
  </sheetViews>
  <sheetFormatPr baseColWidth="10" defaultRowHeight="15" x14ac:dyDescent="0.25"/>
  <cols>
    <col min="1" max="1" width="8.85546875" bestFit="1" customWidth="1"/>
    <col min="2" max="2" width="17.28515625" bestFit="1" customWidth="1"/>
    <col min="3" max="3" width="33.28515625" bestFit="1" customWidth="1"/>
    <col min="4" max="4" width="13.7109375" bestFit="1" customWidth="1"/>
    <col min="5" max="5" width="7.5703125" bestFit="1" customWidth="1"/>
  </cols>
  <sheetData>
    <row r="1" spans="1:5" x14ac:dyDescent="0.25">
      <c r="A1" t="s">
        <v>3324</v>
      </c>
      <c r="B1" t="s">
        <v>3325</v>
      </c>
      <c r="C1" t="s">
        <v>3326</v>
      </c>
      <c r="D1" t="s">
        <v>3327</v>
      </c>
      <c r="E1" t="s">
        <v>3328</v>
      </c>
    </row>
    <row r="2" spans="1:5" x14ac:dyDescent="0.25">
      <c r="A2" t="s">
        <v>3329</v>
      </c>
      <c r="B2" t="s">
        <v>7921</v>
      </c>
      <c r="C2" t="s">
        <v>7922</v>
      </c>
      <c r="D2" t="s">
        <v>3332</v>
      </c>
      <c r="E2" t="s">
        <v>7923</v>
      </c>
    </row>
    <row r="3" spans="1:5" x14ac:dyDescent="0.25">
      <c r="A3" t="s">
        <v>3329</v>
      </c>
      <c r="B3" t="s">
        <v>7924</v>
      </c>
      <c r="C3" t="s">
        <v>7925</v>
      </c>
      <c r="D3" t="s">
        <v>3332</v>
      </c>
      <c r="E3" t="s">
        <v>7923</v>
      </c>
    </row>
    <row r="4" spans="1:5" x14ac:dyDescent="0.25">
      <c r="A4" t="s">
        <v>3329</v>
      </c>
      <c r="B4" t="s">
        <v>7926</v>
      </c>
      <c r="C4" t="s">
        <v>7927</v>
      </c>
      <c r="D4" t="s">
        <v>3332</v>
      </c>
      <c r="E4" t="s">
        <v>7923</v>
      </c>
    </row>
    <row r="5" spans="1:5" x14ac:dyDescent="0.25">
      <c r="A5" t="s">
        <v>3329</v>
      </c>
      <c r="B5" t="s">
        <v>7928</v>
      </c>
      <c r="C5" t="s">
        <v>7929</v>
      </c>
      <c r="D5" t="s">
        <v>3332</v>
      </c>
      <c r="E5" t="s">
        <v>7923</v>
      </c>
    </row>
    <row r="6" spans="1:5" x14ac:dyDescent="0.25">
      <c r="A6" t="s">
        <v>3329</v>
      </c>
      <c r="B6" t="s">
        <v>7930</v>
      </c>
      <c r="C6" t="s">
        <v>7931</v>
      </c>
      <c r="D6" t="s">
        <v>3332</v>
      </c>
      <c r="E6" t="s">
        <v>7923</v>
      </c>
    </row>
    <row r="7" spans="1:5" x14ac:dyDescent="0.25">
      <c r="A7" t="s">
        <v>3329</v>
      </c>
      <c r="B7" t="s">
        <v>7932</v>
      </c>
      <c r="C7" t="s">
        <v>7933</v>
      </c>
      <c r="D7" t="s">
        <v>3332</v>
      </c>
      <c r="E7" t="s">
        <v>7923</v>
      </c>
    </row>
    <row r="8" spans="1:5" x14ac:dyDescent="0.25">
      <c r="A8" t="s">
        <v>3329</v>
      </c>
      <c r="B8" t="s">
        <v>7934</v>
      </c>
      <c r="C8" t="s">
        <v>7935</v>
      </c>
      <c r="D8" t="s">
        <v>3332</v>
      </c>
      <c r="E8" t="s">
        <v>7923</v>
      </c>
    </row>
    <row r="9" spans="1:5" x14ac:dyDescent="0.25">
      <c r="A9" t="s">
        <v>3329</v>
      </c>
      <c r="B9" t="s">
        <v>7936</v>
      </c>
      <c r="C9" t="s">
        <v>7937</v>
      </c>
      <c r="D9" t="s">
        <v>3332</v>
      </c>
      <c r="E9" t="s">
        <v>7923</v>
      </c>
    </row>
    <row r="10" spans="1:5" x14ac:dyDescent="0.25">
      <c r="A10" t="s">
        <v>3329</v>
      </c>
      <c r="B10" t="s">
        <v>7938</v>
      </c>
      <c r="C10" t="s">
        <v>7939</v>
      </c>
      <c r="D10" t="s">
        <v>3332</v>
      </c>
      <c r="E10" t="s">
        <v>7923</v>
      </c>
    </row>
    <row r="11" spans="1:5" x14ac:dyDescent="0.25">
      <c r="A11" t="s">
        <v>3329</v>
      </c>
      <c r="B11" t="s">
        <v>7940</v>
      </c>
      <c r="C11" t="s">
        <v>7941</v>
      </c>
      <c r="D11" t="s">
        <v>3332</v>
      </c>
      <c r="E11" t="s">
        <v>7923</v>
      </c>
    </row>
    <row r="12" spans="1:5" x14ac:dyDescent="0.25">
      <c r="A12" t="s">
        <v>3329</v>
      </c>
      <c r="B12" t="s">
        <v>7942</v>
      </c>
      <c r="C12" t="s">
        <v>7943</v>
      </c>
      <c r="D12" t="s">
        <v>3332</v>
      </c>
      <c r="E12" t="s">
        <v>7923</v>
      </c>
    </row>
    <row r="13" spans="1:5" x14ac:dyDescent="0.25">
      <c r="A13" t="s">
        <v>3329</v>
      </c>
      <c r="B13" t="s">
        <v>7944</v>
      </c>
      <c r="C13" t="s">
        <v>7945</v>
      </c>
      <c r="D13" t="s">
        <v>3332</v>
      </c>
      <c r="E13" t="s">
        <v>7923</v>
      </c>
    </row>
    <row r="14" spans="1:5" x14ac:dyDescent="0.25">
      <c r="A14" t="s">
        <v>3329</v>
      </c>
      <c r="B14" t="s">
        <v>7946</v>
      </c>
      <c r="C14" t="s">
        <v>7947</v>
      </c>
      <c r="D14" t="s">
        <v>3332</v>
      </c>
      <c r="E14" t="s">
        <v>7923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2D10B-B317-4C7C-8FE4-62F774D56122}">
  <dimension ref="A3:C20"/>
  <sheetViews>
    <sheetView workbookViewId="0">
      <selection activeCell="A3" sqref="A3"/>
    </sheetView>
  </sheetViews>
  <sheetFormatPr baseColWidth="10" defaultRowHeight="15" x14ac:dyDescent="0.25"/>
  <cols>
    <col min="1" max="1" width="21" bestFit="1" customWidth="1"/>
  </cols>
  <sheetData>
    <row r="3" spans="1:3" x14ac:dyDescent="0.25">
      <c r="A3" s="5"/>
      <c r="B3" s="6"/>
      <c r="C3" s="7"/>
    </row>
    <row r="4" spans="1:3" x14ac:dyDescent="0.25">
      <c r="A4" s="8"/>
      <c r="B4" s="9"/>
      <c r="C4" s="10"/>
    </row>
    <row r="5" spans="1:3" x14ac:dyDescent="0.25">
      <c r="A5" s="8"/>
      <c r="B5" s="9"/>
      <c r="C5" s="10"/>
    </row>
    <row r="6" spans="1:3" x14ac:dyDescent="0.25">
      <c r="A6" s="8"/>
      <c r="B6" s="9"/>
      <c r="C6" s="10"/>
    </row>
    <row r="7" spans="1:3" x14ac:dyDescent="0.25">
      <c r="A7" s="8"/>
      <c r="B7" s="9"/>
      <c r="C7" s="10"/>
    </row>
    <row r="8" spans="1:3" x14ac:dyDescent="0.25">
      <c r="A8" s="8"/>
      <c r="B8" s="9"/>
      <c r="C8" s="10"/>
    </row>
    <row r="9" spans="1:3" x14ac:dyDescent="0.25">
      <c r="A9" s="8"/>
      <c r="B9" s="9"/>
      <c r="C9" s="10"/>
    </row>
    <row r="10" spans="1:3" x14ac:dyDescent="0.25">
      <c r="A10" s="8"/>
      <c r="B10" s="9"/>
      <c r="C10" s="10"/>
    </row>
    <row r="11" spans="1:3" x14ac:dyDescent="0.25">
      <c r="A11" s="8"/>
      <c r="B11" s="9"/>
      <c r="C11" s="10"/>
    </row>
    <row r="12" spans="1:3" x14ac:dyDescent="0.25">
      <c r="A12" s="8"/>
      <c r="B12" s="9"/>
      <c r="C12" s="10"/>
    </row>
    <row r="13" spans="1:3" x14ac:dyDescent="0.25">
      <c r="A13" s="8"/>
      <c r="B13" s="9"/>
      <c r="C13" s="10"/>
    </row>
    <row r="14" spans="1:3" x14ac:dyDescent="0.25">
      <c r="A14" s="8"/>
      <c r="B14" s="9"/>
      <c r="C14" s="10"/>
    </row>
    <row r="15" spans="1:3" x14ac:dyDescent="0.25">
      <c r="A15" s="8"/>
      <c r="B15" s="9"/>
      <c r="C15" s="10"/>
    </row>
    <row r="16" spans="1:3" x14ac:dyDescent="0.25">
      <c r="A16" s="8"/>
      <c r="B16" s="9"/>
      <c r="C16" s="10"/>
    </row>
    <row r="17" spans="1:3" x14ac:dyDescent="0.25">
      <c r="A17" s="8"/>
      <c r="B17" s="9"/>
      <c r="C17" s="10"/>
    </row>
    <row r="18" spans="1:3" x14ac:dyDescent="0.25">
      <c r="A18" s="8"/>
      <c r="B18" s="9"/>
      <c r="C18" s="10"/>
    </row>
    <row r="19" spans="1:3" x14ac:dyDescent="0.25">
      <c r="A19" s="8"/>
      <c r="B19" s="9"/>
      <c r="C19" s="10"/>
    </row>
    <row r="20" spans="1:3" x14ac:dyDescent="0.25">
      <c r="A20" s="11"/>
      <c r="B20" s="12"/>
      <c r="C20" s="1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C6D6-BB5A-4A9C-A665-693F323D2BA1}">
  <dimension ref="A1:C933"/>
  <sheetViews>
    <sheetView workbookViewId="0">
      <selection sqref="A1:XFD1048576"/>
    </sheetView>
  </sheetViews>
  <sheetFormatPr baseColWidth="10" defaultRowHeight="15" x14ac:dyDescent="0.25"/>
  <cols>
    <col min="1" max="1" width="6.28515625" bestFit="1" customWidth="1"/>
    <col min="2" max="2" width="10" bestFit="1" customWidth="1"/>
    <col min="3" max="3" width="41.28515625" bestFit="1" customWidth="1"/>
  </cols>
  <sheetData>
    <row r="1" spans="1:3" x14ac:dyDescent="0.25">
      <c r="A1" t="s">
        <v>3324</v>
      </c>
      <c r="B1" t="s">
        <v>0</v>
      </c>
      <c r="C1" t="s">
        <v>7948</v>
      </c>
    </row>
    <row r="2" spans="1:3" x14ac:dyDescent="0.25">
      <c r="A2" t="s">
        <v>7949</v>
      </c>
      <c r="B2" t="str">
        <f>"10000000"</f>
        <v>10000000</v>
      </c>
      <c r="C2" t="s">
        <v>7950</v>
      </c>
    </row>
    <row r="3" spans="1:3" x14ac:dyDescent="0.25">
      <c r="A3" t="s">
        <v>7949</v>
      </c>
      <c r="B3" t="str">
        <f>"11000000"</f>
        <v>11000000</v>
      </c>
      <c r="C3" t="s">
        <v>7951</v>
      </c>
    </row>
    <row r="4" spans="1:3" x14ac:dyDescent="0.25">
      <c r="A4" t="s">
        <v>7949</v>
      </c>
      <c r="B4" t="str">
        <f>"11100000"</f>
        <v>11100000</v>
      </c>
      <c r="C4" t="s">
        <v>7952</v>
      </c>
    </row>
    <row r="5" spans="1:3" x14ac:dyDescent="0.25">
      <c r="A5" t="s">
        <v>7949</v>
      </c>
      <c r="B5" t="str">
        <f>"11110000"</f>
        <v>11110000</v>
      </c>
      <c r="C5" t="s">
        <v>7953</v>
      </c>
    </row>
    <row r="6" spans="1:3" x14ac:dyDescent="0.25">
      <c r="A6" t="s">
        <v>7949</v>
      </c>
      <c r="B6" t="str">
        <f>"11120000"</f>
        <v>11120000</v>
      </c>
      <c r="C6" t="s">
        <v>7954</v>
      </c>
    </row>
    <row r="7" spans="1:3" x14ac:dyDescent="0.25">
      <c r="A7" t="s">
        <v>7949</v>
      </c>
      <c r="B7" t="str">
        <f>"11170000"</f>
        <v>11170000</v>
      </c>
      <c r="C7" t="s">
        <v>7955</v>
      </c>
    </row>
    <row r="8" spans="1:3" x14ac:dyDescent="0.25">
      <c r="A8" t="s">
        <v>7949</v>
      </c>
      <c r="B8" t="str">
        <f>"11171000"</f>
        <v>11171000</v>
      </c>
      <c r="C8" t="s">
        <v>7956</v>
      </c>
    </row>
    <row r="9" spans="1:3" x14ac:dyDescent="0.25">
      <c r="A9" t="s">
        <v>7949</v>
      </c>
      <c r="B9" t="str">
        <f>"11175000"</f>
        <v>11175000</v>
      </c>
      <c r="C9" t="s">
        <v>7957</v>
      </c>
    </row>
    <row r="10" spans="1:3" x14ac:dyDescent="0.25">
      <c r="A10" t="s">
        <v>7949</v>
      </c>
      <c r="B10" t="str">
        <f>"11190000"</f>
        <v>11190000</v>
      </c>
      <c r="C10" t="s">
        <v>7958</v>
      </c>
    </row>
    <row r="11" spans="1:3" x14ac:dyDescent="0.25">
      <c r="A11" t="s">
        <v>7949</v>
      </c>
      <c r="B11" t="str">
        <f>"11200000"</f>
        <v>11200000</v>
      </c>
      <c r="C11" t="s">
        <v>7959</v>
      </c>
    </row>
    <row r="12" spans="1:3" x14ac:dyDescent="0.25">
      <c r="A12" t="s">
        <v>7949</v>
      </c>
      <c r="B12" t="str">
        <f>"11210000"</f>
        <v>11210000</v>
      </c>
      <c r="C12" t="s">
        <v>7960</v>
      </c>
    </row>
    <row r="13" spans="1:3" x14ac:dyDescent="0.25">
      <c r="A13" t="s">
        <v>7949</v>
      </c>
      <c r="B13" t="str">
        <f>"11220000"</f>
        <v>11220000</v>
      </c>
      <c r="C13" t="s">
        <v>7961</v>
      </c>
    </row>
    <row r="14" spans="1:3" x14ac:dyDescent="0.25">
      <c r="A14" t="s">
        <v>7949</v>
      </c>
      <c r="B14" t="str">
        <f>"11230000"</f>
        <v>11230000</v>
      </c>
      <c r="C14" t="s">
        <v>7962</v>
      </c>
    </row>
    <row r="15" spans="1:3" x14ac:dyDescent="0.25">
      <c r="A15" t="s">
        <v>7949</v>
      </c>
      <c r="B15" t="str">
        <f>"11300000"</f>
        <v>11300000</v>
      </c>
      <c r="C15" t="s">
        <v>7963</v>
      </c>
    </row>
    <row r="16" spans="1:3" x14ac:dyDescent="0.25">
      <c r="A16" t="s">
        <v>7949</v>
      </c>
      <c r="B16" t="str">
        <f>"11400000"</f>
        <v>11400000</v>
      </c>
      <c r="C16" t="s">
        <v>7964</v>
      </c>
    </row>
    <row r="17" spans="1:3" x14ac:dyDescent="0.25">
      <c r="A17" t="s">
        <v>7949</v>
      </c>
      <c r="B17" t="str">
        <f>"11500000"</f>
        <v>11500000</v>
      </c>
      <c r="C17" t="s">
        <v>7965</v>
      </c>
    </row>
    <row r="18" spans="1:3" x14ac:dyDescent="0.25">
      <c r="A18" t="s">
        <v>7949</v>
      </c>
      <c r="B18" t="str">
        <f>"11510000"</f>
        <v>11510000</v>
      </c>
      <c r="C18" t="s">
        <v>7966</v>
      </c>
    </row>
    <row r="19" spans="1:3" x14ac:dyDescent="0.25">
      <c r="A19" t="s">
        <v>7949</v>
      </c>
      <c r="B19" t="str">
        <f>"11520000"</f>
        <v>11520000</v>
      </c>
      <c r="C19" t="s">
        <v>7967</v>
      </c>
    </row>
    <row r="20" spans="1:3" x14ac:dyDescent="0.25">
      <c r="A20" t="s">
        <v>7949</v>
      </c>
      <c r="B20" t="str">
        <f>"11550000"</f>
        <v>11550000</v>
      </c>
      <c r="C20" t="s">
        <v>7968</v>
      </c>
    </row>
    <row r="21" spans="1:3" x14ac:dyDescent="0.25">
      <c r="A21" t="s">
        <v>7949</v>
      </c>
      <c r="B21" t="str">
        <f>"11600000"</f>
        <v>11600000</v>
      </c>
      <c r="C21" t="s">
        <v>7969</v>
      </c>
    </row>
    <row r="22" spans="1:3" x14ac:dyDescent="0.25">
      <c r="A22" t="s">
        <v>7949</v>
      </c>
      <c r="B22" t="str">
        <f>"11610000"</f>
        <v>11610000</v>
      </c>
      <c r="C22" t="s">
        <v>7970</v>
      </c>
    </row>
    <row r="23" spans="1:3" x14ac:dyDescent="0.25">
      <c r="A23" t="s">
        <v>7949</v>
      </c>
      <c r="B23" t="str">
        <f>"11690000"</f>
        <v>11690000</v>
      </c>
      <c r="C23" t="s">
        <v>7971</v>
      </c>
    </row>
    <row r="24" spans="1:3" x14ac:dyDescent="0.25">
      <c r="A24" t="s">
        <v>7949</v>
      </c>
      <c r="B24" t="str">
        <f>"11800000"</f>
        <v>11800000</v>
      </c>
      <c r="C24" t="s">
        <v>7972</v>
      </c>
    </row>
    <row r="25" spans="1:3" x14ac:dyDescent="0.25">
      <c r="A25" t="s">
        <v>7949</v>
      </c>
      <c r="B25" t="str">
        <f>"11810000"</f>
        <v>11810000</v>
      </c>
      <c r="C25" t="s">
        <v>7973</v>
      </c>
    </row>
    <row r="26" spans="1:3" x14ac:dyDescent="0.25">
      <c r="A26" t="s">
        <v>7949</v>
      </c>
      <c r="B26" t="str">
        <f>"11890000"</f>
        <v>11890000</v>
      </c>
      <c r="C26" t="s">
        <v>7973</v>
      </c>
    </row>
    <row r="27" spans="1:3" x14ac:dyDescent="0.25">
      <c r="A27" t="s">
        <v>7949</v>
      </c>
      <c r="B27" t="str">
        <f>"11900000"</f>
        <v>11900000</v>
      </c>
      <c r="C27" t="s">
        <v>7974</v>
      </c>
    </row>
    <row r="28" spans="1:3" x14ac:dyDescent="0.25">
      <c r="A28" t="s">
        <v>7949</v>
      </c>
      <c r="B28" t="str">
        <f>"11910000"</f>
        <v>11910000</v>
      </c>
      <c r="C28" t="s">
        <v>7975</v>
      </c>
    </row>
    <row r="29" spans="1:3" x14ac:dyDescent="0.25">
      <c r="A29" t="s">
        <v>7949</v>
      </c>
      <c r="B29" t="str">
        <f>"11990000"</f>
        <v>11990000</v>
      </c>
      <c r="C29" t="s">
        <v>7976</v>
      </c>
    </row>
    <row r="30" spans="1:3" x14ac:dyDescent="0.25">
      <c r="A30" t="s">
        <v>7949</v>
      </c>
      <c r="B30" t="str">
        <f>"13000000"</f>
        <v>13000000</v>
      </c>
      <c r="C30" t="s">
        <v>7977</v>
      </c>
    </row>
    <row r="31" spans="1:3" x14ac:dyDescent="0.25">
      <c r="A31" t="s">
        <v>7949</v>
      </c>
      <c r="B31" t="str">
        <f>"13100000"</f>
        <v>13100000</v>
      </c>
      <c r="C31" t="s">
        <v>7978</v>
      </c>
    </row>
    <row r="32" spans="1:3" x14ac:dyDescent="0.25">
      <c r="A32" t="s">
        <v>7949</v>
      </c>
      <c r="B32" t="str">
        <f>"13110000"</f>
        <v>13110000</v>
      </c>
      <c r="C32" t="s">
        <v>7979</v>
      </c>
    </row>
    <row r="33" spans="1:3" x14ac:dyDescent="0.25">
      <c r="A33" t="s">
        <v>7949</v>
      </c>
      <c r="B33" t="str">
        <f>"13190000"</f>
        <v>13190000</v>
      </c>
      <c r="C33" t="s">
        <v>7980</v>
      </c>
    </row>
    <row r="34" spans="1:3" x14ac:dyDescent="0.25">
      <c r="A34" t="s">
        <v>7949</v>
      </c>
      <c r="B34" t="str">
        <f>"13500000"</f>
        <v>13500000</v>
      </c>
      <c r="C34" t="s">
        <v>7981</v>
      </c>
    </row>
    <row r="35" spans="1:3" x14ac:dyDescent="0.25">
      <c r="A35" t="s">
        <v>7949</v>
      </c>
      <c r="B35" t="str">
        <f>"13510000"</f>
        <v>13510000</v>
      </c>
      <c r="C35" t="s">
        <v>7982</v>
      </c>
    </row>
    <row r="36" spans="1:3" x14ac:dyDescent="0.25">
      <c r="A36" t="s">
        <v>7949</v>
      </c>
      <c r="B36" t="str">
        <f>"13520000"</f>
        <v>13520000</v>
      </c>
      <c r="C36" t="s">
        <v>7983</v>
      </c>
    </row>
    <row r="37" spans="1:3" x14ac:dyDescent="0.25">
      <c r="A37" t="s">
        <v>7949</v>
      </c>
      <c r="B37" t="str">
        <f>"13540000"</f>
        <v>13540000</v>
      </c>
      <c r="C37" t="s">
        <v>7984</v>
      </c>
    </row>
    <row r="38" spans="1:3" x14ac:dyDescent="0.25">
      <c r="A38" t="s">
        <v>7949</v>
      </c>
      <c r="B38" t="str">
        <f>"13550000"</f>
        <v>13550000</v>
      </c>
      <c r="C38" t="s">
        <v>7985</v>
      </c>
    </row>
    <row r="39" spans="1:3" x14ac:dyDescent="0.25">
      <c r="A39" t="s">
        <v>7949</v>
      </c>
      <c r="B39" t="str">
        <f>"13560000"</f>
        <v>13560000</v>
      </c>
      <c r="C39" t="s">
        <v>7986</v>
      </c>
    </row>
    <row r="40" spans="1:3" x14ac:dyDescent="0.25">
      <c r="A40" t="s">
        <v>7949</v>
      </c>
      <c r="B40" t="str">
        <f>"13580000"</f>
        <v>13580000</v>
      </c>
      <c r="C40" t="s">
        <v>7987</v>
      </c>
    </row>
    <row r="41" spans="1:3" x14ac:dyDescent="0.25">
      <c r="A41" t="s">
        <v>7949</v>
      </c>
      <c r="B41" t="str">
        <f>"14000000"</f>
        <v>14000000</v>
      </c>
      <c r="C41" t="s">
        <v>7988</v>
      </c>
    </row>
    <row r="42" spans="1:3" x14ac:dyDescent="0.25">
      <c r="A42" t="s">
        <v>7949</v>
      </c>
      <c r="B42" t="str">
        <f>"14100000"</f>
        <v>14100000</v>
      </c>
      <c r="C42" t="s">
        <v>7989</v>
      </c>
    </row>
    <row r="43" spans="1:3" x14ac:dyDescent="0.25">
      <c r="A43" t="s">
        <v>7949</v>
      </c>
      <c r="B43" t="str">
        <f>"14800000"</f>
        <v>14800000</v>
      </c>
      <c r="C43" t="s">
        <v>7990</v>
      </c>
    </row>
    <row r="44" spans="1:3" x14ac:dyDescent="0.25">
      <c r="A44" t="s">
        <v>7949</v>
      </c>
      <c r="B44" t="str">
        <f>"14810000"</f>
        <v>14810000</v>
      </c>
      <c r="C44" t="s">
        <v>7991</v>
      </c>
    </row>
    <row r="45" spans="1:3" x14ac:dyDescent="0.25">
      <c r="A45" t="s">
        <v>7949</v>
      </c>
      <c r="B45" t="str">
        <f>"14820000"</f>
        <v>14820000</v>
      </c>
      <c r="C45" t="s">
        <v>7992</v>
      </c>
    </row>
    <row r="46" spans="1:3" x14ac:dyDescent="0.25">
      <c r="A46" t="s">
        <v>7949</v>
      </c>
      <c r="B46" t="str">
        <f>"14830000"</f>
        <v>14830000</v>
      </c>
      <c r="C46" t="s">
        <v>7993</v>
      </c>
    </row>
    <row r="47" spans="1:3" x14ac:dyDescent="0.25">
      <c r="A47" t="s">
        <v>7949</v>
      </c>
      <c r="B47" t="str">
        <f>"14840000"</f>
        <v>14840000</v>
      </c>
      <c r="C47" t="s">
        <v>7994</v>
      </c>
    </row>
    <row r="48" spans="1:3" x14ac:dyDescent="0.25">
      <c r="A48" t="s">
        <v>7949</v>
      </c>
      <c r="B48" t="str">
        <f>"14850000"</f>
        <v>14850000</v>
      </c>
      <c r="C48" t="s">
        <v>7995</v>
      </c>
    </row>
    <row r="49" spans="1:3" x14ac:dyDescent="0.25">
      <c r="A49" t="s">
        <v>7949</v>
      </c>
      <c r="B49" t="str">
        <f>"14860000"</f>
        <v>14860000</v>
      </c>
      <c r="C49" t="s">
        <v>7996</v>
      </c>
    </row>
    <row r="50" spans="1:3" x14ac:dyDescent="0.25">
      <c r="A50" t="s">
        <v>7949</v>
      </c>
      <c r="B50" t="str">
        <f>"14870000"</f>
        <v>14870000</v>
      </c>
      <c r="C50" t="s">
        <v>7997</v>
      </c>
    </row>
    <row r="51" spans="1:3" x14ac:dyDescent="0.25">
      <c r="A51" t="s">
        <v>7949</v>
      </c>
      <c r="B51" t="str">
        <f>"14880000"</f>
        <v>14880000</v>
      </c>
      <c r="C51" t="s">
        <v>7998</v>
      </c>
    </row>
    <row r="52" spans="1:3" x14ac:dyDescent="0.25">
      <c r="A52" t="s">
        <v>7949</v>
      </c>
      <c r="B52" t="str">
        <f>"15000000"</f>
        <v>15000000</v>
      </c>
      <c r="C52" t="s">
        <v>7999</v>
      </c>
    </row>
    <row r="53" spans="1:3" x14ac:dyDescent="0.25">
      <c r="A53" t="s">
        <v>7949</v>
      </c>
      <c r="B53" t="str">
        <f>"15100000"</f>
        <v>15100000</v>
      </c>
      <c r="C53" t="s">
        <v>8000</v>
      </c>
    </row>
    <row r="54" spans="1:3" x14ac:dyDescent="0.25">
      <c r="A54" t="s">
        <v>7949</v>
      </c>
      <c r="B54" t="str">
        <f>"15110000"</f>
        <v>15110000</v>
      </c>
      <c r="C54" t="s">
        <v>8001</v>
      </c>
    </row>
    <row r="55" spans="1:3" x14ac:dyDescent="0.25">
      <c r="A55" t="s">
        <v>7949</v>
      </c>
      <c r="B55" t="str">
        <f>"15120000"</f>
        <v>15120000</v>
      </c>
      <c r="C55" t="s">
        <v>8002</v>
      </c>
    </row>
    <row r="56" spans="1:3" x14ac:dyDescent="0.25">
      <c r="A56" t="s">
        <v>7949</v>
      </c>
      <c r="B56" t="str">
        <f>"15130000"</f>
        <v>15130000</v>
      </c>
      <c r="C56" t="s">
        <v>8003</v>
      </c>
    </row>
    <row r="57" spans="1:3" x14ac:dyDescent="0.25">
      <c r="A57" t="s">
        <v>7949</v>
      </c>
      <c r="B57" t="str">
        <f>"15140000"</f>
        <v>15140000</v>
      </c>
      <c r="C57" t="s">
        <v>8004</v>
      </c>
    </row>
    <row r="58" spans="1:3" x14ac:dyDescent="0.25">
      <c r="A58" t="s">
        <v>7949</v>
      </c>
      <c r="B58" t="str">
        <f>"15150000"</f>
        <v>15150000</v>
      </c>
      <c r="C58" t="s">
        <v>8005</v>
      </c>
    </row>
    <row r="59" spans="1:3" x14ac:dyDescent="0.25">
      <c r="A59" t="s">
        <v>7949</v>
      </c>
      <c r="B59" t="str">
        <f>"15160000"</f>
        <v>15160000</v>
      </c>
      <c r="C59" t="s">
        <v>8006</v>
      </c>
    </row>
    <row r="60" spans="1:3" x14ac:dyDescent="0.25">
      <c r="A60" t="s">
        <v>7949</v>
      </c>
      <c r="B60" t="str">
        <f>"15180000"</f>
        <v>15180000</v>
      </c>
      <c r="C60" t="s">
        <v>8007</v>
      </c>
    </row>
    <row r="61" spans="1:3" x14ac:dyDescent="0.25">
      <c r="A61" t="s">
        <v>7949</v>
      </c>
      <c r="B61" t="str">
        <f>"15500000"</f>
        <v>15500000</v>
      </c>
      <c r="C61" t="s">
        <v>8008</v>
      </c>
    </row>
    <row r="62" spans="1:3" x14ac:dyDescent="0.25">
      <c r="A62" t="s">
        <v>7949</v>
      </c>
      <c r="B62" t="str">
        <f>"15510000"</f>
        <v>15510000</v>
      </c>
      <c r="C62" t="s">
        <v>8009</v>
      </c>
    </row>
    <row r="63" spans="1:3" x14ac:dyDescent="0.25">
      <c r="A63" t="s">
        <v>7949</v>
      </c>
      <c r="B63" t="str">
        <f>"15520000"</f>
        <v>15520000</v>
      </c>
      <c r="C63" t="s">
        <v>8010</v>
      </c>
    </row>
    <row r="64" spans="1:3" x14ac:dyDescent="0.25">
      <c r="A64" t="s">
        <v>7949</v>
      </c>
      <c r="B64" t="str">
        <f>"15550000"</f>
        <v>15550000</v>
      </c>
      <c r="C64" t="s">
        <v>8011</v>
      </c>
    </row>
    <row r="65" spans="1:3" x14ac:dyDescent="0.25">
      <c r="A65" t="s">
        <v>7949</v>
      </c>
      <c r="B65" t="str">
        <f>"15580000"</f>
        <v>15580000</v>
      </c>
      <c r="C65" t="s">
        <v>8012</v>
      </c>
    </row>
    <row r="66" spans="1:3" x14ac:dyDescent="0.25">
      <c r="A66" t="s">
        <v>7949</v>
      </c>
      <c r="B66" t="str">
        <f>"16000000"</f>
        <v>16000000</v>
      </c>
      <c r="C66" t="s">
        <v>8013</v>
      </c>
    </row>
    <row r="67" spans="1:3" x14ac:dyDescent="0.25">
      <c r="A67" t="s">
        <v>7949</v>
      </c>
      <c r="B67" t="str">
        <f>"16010000"</f>
        <v>16010000</v>
      </c>
      <c r="C67" t="s">
        <v>8014</v>
      </c>
    </row>
    <row r="68" spans="1:3" x14ac:dyDescent="0.25">
      <c r="A68" t="s">
        <v>7949</v>
      </c>
      <c r="B68" t="str">
        <f>"16050000"</f>
        <v>16050000</v>
      </c>
      <c r="C68" t="s">
        <v>8015</v>
      </c>
    </row>
    <row r="69" spans="1:3" x14ac:dyDescent="0.25">
      <c r="A69" t="s">
        <v>7949</v>
      </c>
      <c r="B69" t="str">
        <f>"17000000"</f>
        <v>17000000</v>
      </c>
      <c r="C69" t="s">
        <v>8016</v>
      </c>
    </row>
    <row r="70" spans="1:3" x14ac:dyDescent="0.25">
      <c r="A70" t="s">
        <v>7949</v>
      </c>
      <c r="B70" t="str">
        <f>"17100000"</f>
        <v>17100000</v>
      </c>
      <c r="C70" t="s">
        <v>8017</v>
      </c>
    </row>
    <row r="71" spans="1:3" x14ac:dyDescent="0.25">
      <c r="A71" t="s">
        <v>7949</v>
      </c>
      <c r="B71" t="str">
        <f>"17200000"</f>
        <v>17200000</v>
      </c>
      <c r="C71" t="s">
        <v>8018</v>
      </c>
    </row>
    <row r="72" spans="1:3" x14ac:dyDescent="0.25">
      <c r="A72" t="s">
        <v>7949</v>
      </c>
      <c r="B72" t="str">
        <f>"20000000"</f>
        <v>20000000</v>
      </c>
      <c r="C72" t="s">
        <v>8019</v>
      </c>
    </row>
    <row r="73" spans="1:3" x14ac:dyDescent="0.25">
      <c r="A73" t="s">
        <v>7949</v>
      </c>
      <c r="B73" t="str">
        <f>"21000000"</f>
        <v>21000000</v>
      </c>
      <c r="C73" t="s">
        <v>8020</v>
      </c>
    </row>
    <row r="74" spans="1:3" x14ac:dyDescent="0.25">
      <c r="A74" t="s">
        <v>7949</v>
      </c>
      <c r="B74" t="str">
        <f>"21100000"</f>
        <v>21100000</v>
      </c>
      <c r="C74" t="s">
        <v>8021</v>
      </c>
    </row>
    <row r="75" spans="1:3" x14ac:dyDescent="0.25">
      <c r="A75" t="s">
        <v>7949</v>
      </c>
      <c r="B75" t="str">
        <f>"21110000"</f>
        <v>21110000</v>
      </c>
      <c r="C75" t="s">
        <v>8022</v>
      </c>
    </row>
    <row r="76" spans="1:3" x14ac:dyDescent="0.25">
      <c r="A76" t="s">
        <v>7949</v>
      </c>
      <c r="B76" t="str">
        <f>"21120000"</f>
        <v>21120000</v>
      </c>
      <c r="C76" t="s">
        <v>8023</v>
      </c>
    </row>
    <row r="77" spans="1:3" x14ac:dyDescent="0.25">
      <c r="A77" t="s">
        <v>7949</v>
      </c>
      <c r="B77" t="str">
        <f>"21130000"</f>
        <v>21130000</v>
      </c>
      <c r="C77" t="s">
        <v>8024</v>
      </c>
    </row>
    <row r="78" spans="1:3" x14ac:dyDescent="0.25">
      <c r="A78" t="s">
        <v>7949</v>
      </c>
      <c r="B78" t="str">
        <f>"21140000"</f>
        <v>21140000</v>
      </c>
      <c r="C78" t="s">
        <v>8025</v>
      </c>
    </row>
    <row r="79" spans="1:3" x14ac:dyDescent="0.25">
      <c r="A79" t="s">
        <v>7949</v>
      </c>
      <c r="B79" t="str">
        <f>"21160000"</f>
        <v>21160000</v>
      </c>
      <c r="C79" t="s">
        <v>8026</v>
      </c>
    </row>
    <row r="80" spans="1:3" x14ac:dyDescent="0.25">
      <c r="A80" t="s">
        <v>7949</v>
      </c>
      <c r="B80" t="str">
        <f>"21170000"</f>
        <v>21170000</v>
      </c>
      <c r="C80" t="s">
        <v>8027</v>
      </c>
    </row>
    <row r="81" spans="1:3" x14ac:dyDescent="0.25">
      <c r="A81" t="s">
        <v>7949</v>
      </c>
      <c r="B81" t="str">
        <f>"21180000"</f>
        <v>21180000</v>
      </c>
      <c r="C81" t="s">
        <v>8028</v>
      </c>
    </row>
    <row r="82" spans="1:3" x14ac:dyDescent="0.25">
      <c r="A82" t="s">
        <v>7949</v>
      </c>
      <c r="B82" t="str">
        <f>"21200000"</f>
        <v>21200000</v>
      </c>
      <c r="C82" t="s">
        <v>8029</v>
      </c>
    </row>
    <row r="83" spans="1:3" x14ac:dyDescent="0.25">
      <c r="A83" t="s">
        <v>7949</v>
      </c>
      <c r="B83" t="str">
        <f>"21210000"</f>
        <v>21210000</v>
      </c>
      <c r="C83" t="s">
        <v>8030</v>
      </c>
    </row>
    <row r="84" spans="1:3" x14ac:dyDescent="0.25">
      <c r="A84" t="s">
        <v>7949</v>
      </c>
      <c r="B84" t="str">
        <f>"21250000"</f>
        <v>21250000</v>
      </c>
      <c r="C84" t="s">
        <v>8031</v>
      </c>
    </row>
    <row r="85" spans="1:3" x14ac:dyDescent="0.25">
      <c r="A85" t="s">
        <v>7949</v>
      </c>
      <c r="B85" t="str">
        <f>"21280000"</f>
        <v>21280000</v>
      </c>
      <c r="C85" t="s">
        <v>8032</v>
      </c>
    </row>
    <row r="86" spans="1:3" x14ac:dyDescent="0.25">
      <c r="A86" t="s">
        <v>7949</v>
      </c>
      <c r="B86" t="str">
        <f>"21300000"</f>
        <v>21300000</v>
      </c>
      <c r="C86" t="s">
        <v>8033</v>
      </c>
    </row>
    <row r="87" spans="1:3" x14ac:dyDescent="0.25">
      <c r="A87" t="s">
        <v>7949</v>
      </c>
      <c r="B87" t="str">
        <f>"22000000"</f>
        <v>22000000</v>
      </c>
      <c r="C87" t="s">
        <v>8034</v>
      </c>
    </row>
    <row r="88" spans="1:3" x14ac:dyDescent="0.25">
      <c r="A88" t="s">
        <v>7949</v>
      </c>
      <c r="B88" t="str">
        <f>"22100000"</f>
        <v>22100000</v>
      </c>
      <c r="C88" t="s">
        <v>8035</v>
      </c>
    </row>
    <row r="89" spans="1:3" x14ac:dyDescent="0.25">
      <c r="A89" t="s">
        <v>7949</v>
      </c>
      <c r="B89" t="str">
        <f>"22200000"</f>
        <v>22200000</v>
      </c>
      <c r="C89" t="s">
        <v>8036</v>
      </c>
    </row>
    <row r="90" spans="1:3" x14ac:dyDescent="0.25">
      <c r="A90" t="s">
        <v>7949</v>
      </c>
      <c r="B90" t="str">
        <f>"22300000"</f>
        <v>22300000</v>
      </c>
      <c r="C90" t="s">
        <v>8037</v>
      </c>
    </row>
    <row r="91" spans="1:3" x14ac:dyDescent="0.25">
      <c r="A91" t="s">
        <v>7949</v>
      </c>
      <c r="B91" t="str">
        <f>"22800000"</f>
        <v>22800000</v>
      </c>
      <c r="C91" t="s">
        <v>8038</v>
      </c>
    </row>
    <row r="92" spans="1:3" x14ac:dyDescent="0.25">
      <c r="A92" t="s">
        <v>7949</v>
      </c>
      <c r="B92" t="str">
        <f>"22850000"</f>
        <v>22850000</v>
      </c>
      <c r="C92" t="s">
        <v>8039</v>
      </c>
    </row>
    <row r="93" spans="1:3" x14ac:dyDescent="0.25">
      <c r="A93" t="s">
        <v>7949</v>
      </c>
      <c r="B93" t="str">
        <f>"23000000"</f>
        <v>23000000</v>
      </c>
      <c r="C93" t="s">
        <v>8040</v>
      </c>
    </row>
    <row r="94" spans="1:3" x14ac:dyDescent="0.25">
      <c r="A94" t="s">
        <v>7949</v>
      </c>
      <c r="B94" t="str">
        <f>"23100000"</f>
        <v>23100000</v>
      </c>
      <c r="C94" t="s">
        <v>8041</v>
      </c>
    </row>
    <row r="95" spans="1:3" x14ac:dyDescent="0.25">
      <c r="A95" t="s">
        <v>7949</v>
      </c>
      <c r="B95" t="str">
        <f>"23110000"</f>
        <v>23110000</v>
      </c>
      <c r="C95" t="s">
        <v>8042</v>
      </c>
    </row>
    <row r="96" spans="1:3" x14ac:dyDescent="0.25">
      <c r="A96" t="s">
        <v>7949</v>
      </c>
      <c r="B96" t="str">
        <f>"23120000"</f>
        <v>23120000</v>
      </c>
      <c r="C96" t="s">
        <v>8043</v>
      </c>
    </row>
    <row r="97" spans="1:3" x14ac:dyDescent="0.25">
      <c r="A97" t="s">
        <v>7949</v>
      </c>
      <c r="B97" t="str">
        <f>"23130000"</f>
        <v>23130000</v>
      </c>
      <c r="C97" t="s">
        <v>8044</v>
      </c>
    </row>
    <row r="98" spans="1:3" x14ac:dyDescent="0.25">
      <c r="A98" t="s">
        <v>7949</v>
      </c>
      <c r="B98" t="str">
        <f>"23140000"</f>
        <v>23140000</v>
      </c>
      <c r="C98" t="s">
        <v>8045</v>
      </c>
    </row>
    <row r="99" spans="1:3" x14ac:dyDescent="0.25">
      <c r="A99" t="s">
        <v>7949</v>
      </c>
      <c r="B99" t="str">
        <f>"23160000"</f>
        <v>23160000</v>
      </c>
      <c r="C99" t="s">
        <v>8046</v>
      </c>
    </row>
    <row r="100" spans="1:3" x14ac:dyDescent="0.25">
      <c r="A100" t="s">
        <v>7949</v>
      </c>
      <c r="B100" t="str">
        <f>"23180000"</f>
        <v>23180000</v>
      </c>
      <c r="C100" t="s">
        <v>8047</v>
      </c>
    </row>
    <row r="101" spans="1:3" x14ac:dyDescent="0.25">
      <c r="A101" t="s">
        <v>7949</v>
      </c>
      <c r="B101" t="str">
        <f>"23200000"</f>
        <v>23200000</v>
      </c>
      <c r="C101" t="s">
        <v>8048</v>
      </c>
    </row>
    <row r="102" spans="1:3" x14ac:dyDescent="0.25">
      <c r="A102" t="s">
        <v>7949</v>
      </c>
      <c r="B102" t="str">
        <f>"23210000"</f>
        <v>23210000</v>
      </c>
      <c r="C102" t="s">
        <v>8049</v>
      </c>
    </row>
    <row r="103" spans="1:3" x14ac:dyDescent="0.25">
      <c r="A103" t="s">
        <v>7949</v>
      </c>
      <c r="B103" t="str">
        <f>"23211000"</f>
        <v>23211000</v>
      </c>
      <c r="C103" t="s">
        <v>8050</v>
      </c>
    </row>
    <row r="104" spans="1:3" x14ac:dyDescent="0.25">
      <c r="A104" t="s">
        <v>7949</v>
      </c>
      <c r="B104" t="str">
        <f>"23214000"</f>
        <v>23214000</v>
      </c>
      <c r="C104" t="s">
        <v>8051</v>
      </c>
    </row>
    <row r="105" spans="1:3" x14ac:dyDescent="0.25">
      <c r="A105" t="s">
        <v>7949</v>
      </c>
      <c r="B105" t="str">
        <f>"23218000"</f>
        <v>23218000</v>
      </c>
      <c r="C105" t="s">
        <v>8052</v>
      </c>
    </row>
    <row r="106" spans="1:3" x14ac:dyDescent="0.25">
      <c r="A106" t="s">
        <v>7949</v>
      </c>
      <c r="B106" t="str">
        <f>"23230000"</f>
        <v>23230000</v>
      </c>
      <c r="C106" t="s">
        <v>8053</v>
      </c>
    </row>
    <row r="107" spans="1:3" x14ac:dyDescent="0.25">
      <c r="A107" t="s">
        <v>7949</v>
      </c>
      <c r="B107" t="str">
        <f>"23250000"</f>
        <v>23250000</v>
      </c>
      <c r="C107" t="s">
        <v>8054</v>
      </c>
    </row>
    <row r="108" spans="1:3" x14ac:dyDescent="0.25">
      <c r="A108" t="s">
        <v>7949</v>
      </c>
      <c r="B108" t="str">
        <f>"23270000"</f>
        <v>23270000</v>
      </c>
      <c r="C108" t="s">
        <v>8055</v>
      </c>
    </row>
    <row r="109" spans="1:3" x14ac:dyDescent="0.25">
      <c r="A109" t="s">
        <v>7949</v>
      </c>
      <c r="B109" t="str">
        <f>"23280000"</f>
        <v>23280000</v>
      </c>
      <c r="C109" t="s">
        <v>8056</v>
      </c>
    </row>
    <row r="110" spans="1:3" x14ac:dyDescent="0.25">
      <c r="A110" t="s">
        <v>7949</v>
      </c>
      <c r="B110" t="str">
        <f>"23300000"</f>
        <v>23300000</v>
      </c>
      <c r="C110" t="s">
        <v>8057</v>
      </c>
    </row>
    <row r="111" spans="1:3" x14ac:dyDescent="0.25">
      <c r="A111" t="s">
        <v>7949</v>
      </c>
      <c r="B111" t="str">
        <f>"23310000"</f>
        <v>23310000</v>
      </c>
      <c r="C111" t="s">
        <v>8058</v>
      </c>
    </row>
    <row r="112" spans="1:3" x14ac:dyDescent="0.25">
      <c r="A112" t="s">
        <v>7949</v>
      </c>
      <c r="B112" t="str">
        <f>"23320000"</f>
        <v>23320000</v>
      </c>
      <c r="C112" t="s">
        <v>8059</v>
      </c>
    </row>
    <row r="113" spans="1:3" x14ac:dyDescent="0.25">
      <c r="A113" t="s">
        <v>7949</v>
      </c>
      <c r="B113" t="str">
        <f>"23321000"</f>
        <v>23321000</v>
      </c>
      <c r="C113" t="s">
        <v>8060</v>
      </c>
    </row>
    <row r="114" spans="1:3" x14ac:dyDescent="0.25">
      <c r="A114" t="s">
        <v>7949</v>
      </c>
      <c r="B114" t="str">
        <f>"23324000"</f>
        <v>23324000</v>
      </c>
      <c r="C114" t="s">
        <v>8061</v>
      </c>
    </row>
    <row r="115" spans="1:3" x14ac:dyDescent="0.25">
      <c r="A115" t="s">
        <v>7949</v>
      </c>
      <c r="B115" t="str">
        <f>"23330000"</f>
        <v>23330000</v>
      </c>
      <c r="C115" t="s">
        <v>8062</v>
      </c>
    </row>
    <row r="116" spans="1:3" x14ac:dyDescent="0.25">
      <c r="A116" t="s">
        <v>7949</v>
      </c>
      <c r="B116" t="str">
        <f>"23380000"</f>
        <v>23380000</v>
      </c>
      <c r="C116" t="s">
        <v>8063</v>
      </c>
    </row>
    <row r="117" spans="1:3" x14ac:dyDescent="0.25">
      <c r="A117" t="s">
        <v>7949</v>
      </c>
      <c r="B117" t="str">
        <f>"23400000"</f>
        <v>23400000</v>
      </c>
      <c r="C117" t="s">
        <v>8064</v>
      </c>
    </row>
    <row r="118" spans="1:3" x14ac:dyDescent="0.25">
      <c r="A118" t="s">
        <v>7949</v>
      </c>
      <c r="B118" t="str">
        <f>"23500000"</f>
        <v>23500000</v>
      </c>
      <c r="C118" t="s">
        <v>8065</v>
      </c>
    </row>
    <row r="119" spans="1:3" x14ac:dyDescent="0.25">
      <c r="A119" t="s">
        <v>7949</v>
      </c>
      <c r="B119" t="str">
        <f>"23510000"</f>
        <v>23510000</v>
      </c>
      <c r="C119" t="s">
        <v>8066</v>
      </c>
    </row>
    <row r="120" spans="1:3" x14ac:dyDescent="0.25">
      <c r="A120" t="s">
        <v>7949</v>
      </c>
      <c r="B120" t="str">
        <f>"23520000"</f>
        <v>23520000</v>
      </c>
      <c r="C120" t="s">
        <v>8067</v>
      </c>
    </row>
    <row r="121" spans="1:3" x14ac:dyDescent="0.25">
      <c r="A121" t="s">
        <v>7949</v>
      </c>
      <c r="B121" t="str">
        <f>"23550000"</f>
        <v>23550000</v>
      </c>
      <c r="C121" t="s">
        <v>8068</v>
      </c>
    </row>
    <row r="122" spans="1:3" x14ac:dyDescent="0.25">
      <c r="A122" t="s">
        <v>7949</v>
      </c>
      <c r="B122" t="str">
        <f>"23560000"</f>
        <v>23560000</v>
      </c>
      <c r="C122" t="s">
        <v>8069</v>
      </c>
    </row>
    <row r="123" spans="1:3" x14ac:dyDescent="0.25">
      <c r="A123" t="s">
        <v>7949</v>
      </c>
      <c r="B123" t="str">
        <f>"23580000"</f>
        <v>23580000</v>
      </c>
      <c r="C123" t="s">
        <v>8070</v>
      </c>
    </row>
    <row r="124" spans="1:3" x14ac:dyDescent="0.25">
      <c r="A124" t="s">
        <v>7949</v>
      </c>
      <c r="B124" t="str">
        <f>"23800000"</f>
        <v>23800000</v>
      </c>
      <c r="C124" t="s">
        <v>8071</v>
      </c>
    </row>
    <row r="125" spans="1:3" x14ac:dyDescent="0.25">
      <c r="A125" t="s">
        <v>7949</v>
      </c>
      <c r="B125" t="str">
        <f>"23900000"</f>
        <v>23900000</v>
      </c>
      <c r="C125" t="s">
        <v>8072</v>
      </c>
    </row>
    <row r="126" spans="1:3" x14ac:dyDescent="0.25">
      <c r="A126" t="s">
        <v>7949</v>
      </c>
      <c r="B126" t="str">
        <f>"23920000"</f>
        <v>23920000</v>
      </c>
      <c r="C126" t="s">
        <v>8073</v>
      </c>
    </row>
    <row r="127" spans="1:3" x14ac:dyDescent="0.25">
      <c r="A127" t="s">
        <v>7949</v>
      </c>
      <c r="B127" t="str">
        <f>"23930000"</f>
        <v>23930000</v>
      </c>
      <c r="C127" t="s">
        <v>8074</v>
      </c>
    </row>
    <row r="128" spans="1:3" x14ac:dyDescent="0.25">
      <c r="A128" t="s">
        <v>7949</v>
      </c>
      <c r="B128" t="str">
        <f>"23940000"</f>
        <v>23940000</v>
      </c>
      <c r="C128" t="s">
        <v>8075</v>
      </c>
    </row>
    <row r="129" spans="1:3" x14ac:dyDescent="0.25">
      <c r="A129" t="s">
        <v>7949</v>
      </c>
      <c r="B129" t="str">
        <f>"23950000"</f>
        <v>23950000</v>
      </c>
      <c r="C129" t="s">
        <v>8076</v>
      </c>
    </row>
    <row r="130" spans="1:3" x14ac:dyDescent="0.25">
      <c r="A130" t="s">
        <v>7949</v>
      </c>
      <c r="B130" t="str">
        <f>"23970000"</f>
        <v>23970000</v>
      </c>
      <c r="C130" t="s">
        <v>8077</v>
      </c>
    </row>
    <row r="131" spans="1:3" x14ac:dyDescent="0.25">
      <c r="A131" t="s">
        <v>7949</v>
      </c>
      <c r="B131" t="str">
        <f>"23980000"</f>
        <v>23980000</v>
      </c>
      <c r="C131" t="s">
        <v>8078</v>
      </c>
    </row>
    <row r="132" spans="1:3" x14ac:dyDescent="0.25">
      <c r="A132" t="s">
        <v>7949</v>
      </c>
      <c r="B132" t="str">
        <f>"24100000"</f>
        <v>24100000</v>
      </c>
      <c r="C132" t="s">
        <v>8079</v>
      </c>
    </row>
    <row r="133" spans="1:3" x14ac:dyDescent="0.25">
      <c r="A133" t="s">
        <v>7949</v>
      </c>
      <c r="B133" t="str">
        <f>"24110000"</f>
        <v>24110000</v>
      </c>
      <c r="C133" t="s">
        <v>8080</v>
      </c>
    </row>
    <row r="134" spans="1:3" x14ac:dyDescent="0.25">
      <c r="A134" t="s">
        <v>7949</v>
      </c>
      <c r="B134" t="str">
        <f>"24150000"</f>
        <v>24150000</v>
      </c>
      <c r="C134" t="s">
        <v>8081</v>
      </c>
    </row>
    <row r="135" spans="1:3" x14ac:dyDescent="0.25">
      <c r="A135" t="s">
        <v>7949</v>
      </c>
      <c r="B135" t="str">
        <f>"24160000"</f>
        <v>24160000</v>
      </c>
      <c r="C135" t="s">
        <v>7994</v>
      </c>
    </row>
    <row r="136" spans="1:3" x14ac:dyDescent="0.25">
      <c r="A136" t="s">
        <v>7949</v>
      </c>
      <c r="B136" t="str">
        <f>"24180000"</f>
        <v>24180000</v>
      </c>
      <c r="C136" t="s">
        <v>8082</v>
      </c>
    </row>
    <row r="137" spans="1:3" x14ac:dyDescent="0.25">
      <c r="A137" t="s">
        <v>7949</v>
      </c>
      <c r="B137" t="str">
        <f>"24800000"</f>
        <v>24800000</v>
      </c>
      <c r="C137" t="s">
        <v>8083</v>
      </c>
    </row>
    <row r="138" spans="1:3" x14ac:dyDescent="0.25">
      <c r="A138" t="s">
        <v>7949</v>
      </c>
      <c r="B138" t="str">
        <f>"24810000"</f>
        <v>24810000</v>
      </c>
      <c r="C138" t="s">
        <v>8084</v>
      </c>
    </row>
    <row r="139" spans="1:3" x14ac:dyDescent="0.25">
      <c r="A139" t="s">
        <v>7949</v>
      </c>
      <c r="B139" t="str">
        <f>"24811000"</f>
        <v>24811000</v>
      </c>
      <c r="C139" t="s">
        <v>8085</v>
      </c>
    </row>
    <row r="140" spans="1:3" x14ac:dyDescent="0.25">
      <c r="A140" t="s">
        <v>7949</v>
      </c>
      <c r="B140" t="str">
        <f>"24813000"</f>
        <v>24813000</v>
      </c>
      <c r="C140" t="s">
        <v>8086</v>
      </c>
    </row>
    <row r="141" spans="1:3" x14ac:dyDescent="0.25">
      <c r="A141" t="s">
        <v>7949</v>
      </c>
      <c r="B141" t="str">
        <f>"24818000"</f>
        <v>24818000</v>
      </c>
      <c r="C141" t="s">
        <v>8087</v>
      </c>
    </row>
    <row r="142" spans="1:3" x14ac:dyDescent="0.25">
      <c r="A142" t="s">
        <v>7949</v>
      </c>
      <c r="B142" t="str">
        <f>"24830000"</f>
        <v>24830000</v>
      </c>
      <c r="C142" t="s">
        <v>8088</v>
      </c>
    </row>
    <row r="143" spans="1:3" x14ac:dyDescent="0.25">
      <c r="A143" t="s">
        <v>7949</v>
      </c>
      <c r="B143" t="str">
        <f>"24860000"</f>
        <v>24860000</v>
      </c>
      <c r="C143" t="s">
        <v>8089</v>
      </c>
    </row>
    <row r="144" spans="1:3" x14ac:dyDescent="0.25">
      <c r="A144" t="s">
        <v>7949</v>
      </c>
      <c r="B144" t="str">
        <f>"24861000"</f>
        <v>24861000</v>
      </c>
      <c r="C144" t="s">
        <v>8090</v>
      </c>
    </row>
    <row r="145" spans="1:3" x14ac:dyDescent="0.25">
      <c r="A145" t="s">
        <v>7949</v>
      </c>
      <c r="B145" t="str">
        <f>"24862000"</f>
        <v>24862000</v>
      </c>
      <c r="C145" t="s">
        <v>8091</v>
      </c>
    </row>
    <row r="146" spans="1:3" x14ac:dyDescent="0.25">
      <c r="A146" t="s">
        <v>7949</v>
      </c>
      <c r="B146" t="str">
        <f>"24864000"</f>
        <v>24864000</v>
      </c>
      <c r="C146" t="s">
        <v>8092</v>
      </c>
    </row>
    <row r="147" spans="1:3" x14ac:dyDescent="0.25">
      <c r="A147" t="s">
        <v>7949</v>
      </c>
      <c r="B147" t="str">
        <f>"24864100"</f>
        <v>24864100</v>
      </c>
      <c r="C147" t="s">
        <v>8093</v>
      </c>
    </row>
    <row r="148" spans="1:3" x14ac:dyDescent="0.25">
      <c r="A148" t="s">
        <v>7949</v>
      </c>
      <c r="B148" t="str">
        <f>"24864200"</f>
        <v>24864200</v>
      </c>
      <c r="C148" t="s">
        <v>8094</v>
      </c>
    </row>
    <row r="149" spans="1:3" x14ac:dyDescent="0.25">
      <c r="A149" t="s">
        <v>7949</v>
      </c>
      <c r="B149" t="str">
        <f>"24864300"</f>
        <v>24864300</v>
      </c>
      <c r="C149" t="s">
        <v>8095</v>
      </c>
    </row>
    <row r="150" spans="1:3" x14ac:dyDescent="0.25">
      <c r="A150" t="s">
        <v>7949</v>
      </c>
      <c r="B150" t="str">
        <f>"24870000"</f>
        <v>24870000</v>
      </c>
      <c r="C150" t="s">
        <v>8096</v>
      </c>
    </row>
    <row r="151" spans="1:3" x14ac:dyDescent="0.25">
      <c r="A151" t="s">
        <v>7949</v>
      </c>
      <c r="B151" t="str">
        <f>"24880000"</f>
        <v>24880000</v>
      </c>
      <c r="C151" t="s">
        <v>8097</v>
      </c>
    </row>
    <row r="152" spans="1:3" x14ac:dyDescent="0.25">
      <c r="A152" t="s">
        <v>7949</v>
      </c>
      <c r="B152" t="str">
        <f>"25100000"</f>
        <v>25100000</v>
      </c>
      <c r="C152" t="s">
        <v>8098</v>
      </c>
    </row>
    <row r="153" spans="1:3" x14ac:dyDescent="0.25">
      <c r="A153" t="s">
        <v>7949</v>
      </c>
      <c r="B153" t="str">
        <f>"25110000"</f>
        <v>25110000</v>
      </c>
      <c r="C153" t="s">
        <v>8099</v>
      </c>
    </row>
    <row r="154" spans="1:3" x14ac:dyDescent="0.25">
      <c r="A154" t="s">
        <v>7949</v>
      </c>
      <c r="B154" t="str">
        <f>"25800000"</f>
        <v>25800000</v>
      </c>
      <c r="C154" t="s">
        <v>8100</v>
      </c>
    </row>
    <row r="155" spans="1:3" x14ac:dyDescent="0.25">
      <c r="A155" t="s">
        <v>7949</v>
      </c>
      <c r="B155" t="str">
        <f>"25810000"</f>
        <v>25810000</v>
      </c>
      <c r="C155" t="s">
        <v>8101</v>
      </c>
    </row>
    <row r="156" spans="1:3" x14ac:dyDescent="0.25">
      <c r="A156" t="s">
        <v>7949</v>
      </c>
      <c r="B156" t="str">
        <f>"25880000"</f>
        <v>25880000</v>
      </c>
      <c r="C156" t="s">
        <v>8102</v>
      </c>
    </row>
    <row r="157" spans="1:3" x14ac:dyDescent="0.25">
      <c r="A157" t="s">
        <v>7949</v>
      </c>
      <c r="B157" t="str">
        <f>"27000000"</f>
        <v>27000000</v>
      </c>
      <c r="C157" t="s">
        <v>8103</v>
      </c>
    </row>
    <row r="158" spans="1:3" x14ac:dyDescent="0.25">
      <c r="A158" t="s">
        <v>7949</v>
      </c>
      <c r="B158" t="str">
        <f>"27100000"</f>
        <v>27100000</v>
      </c>
      <c r="C158" t="s">
        <v>8104</v>
      </c>
    </row>
    <row r="159" spans="1:3" x14ac:dyDescent="0.25">
      <c r="A159" t="s">
        <v>7949</v>
      </c>
      <c r="B159" t="str">
        <f>"27200000"</f>
        <v>27200000</v>
      </c>
      <c r="C159" t="s">
        <v>8105</v>
      </c>
    </row>
    <row r="160" spans="1:3" x14ac:dyDescent="0.25">
      <c r="A160" t="s">
        <v>7949</v>
      </c>
      <c r="B160" t="str">
        <f>"28000000"</f>
        <v>28000000</v>
      </c>
      <c r="C160" t="s">
        <v>8106</v>
      </c>
    </row>
    <row r="161" spans="1:3" x14ac:dyDescent="0.25">
      <c r="A161" t="s">
        <v>7949</v>
      </c>
      <c r="B161" t="str">
        <f>"28100000"</f>
        <v>28100000</v>
      </c>
      <c r="C161" t="s">
        <v>8107</v>
      </c>
    </row>
    <row r="162" spans="1:3" x14ac:dyDescent="0.25">
      <c r="A162" t="s">
        <v>7949</v>
      </c>
      <c r="B162" t="str">
        <f>"28110000"</f>
        <v>28110000</v>
      </c>
      <c r="C162" t="s">
        <v>8108</v>
      </c>
    </row>
    <row r="163" spans="1:3" x14ac:dyDescent="0.25">
      <c r="A163" t="s">
        <v>7949</v>
      </c>
      <c r="B163" t="str">
        <f>"28111000"</f>
        <v>28111000</v>
      </c>
      <c r="C163" t="s">
        <v>8109</v>
      </c>
    </row>
    <row r="164" spans="1:3" x14ac:dyDescent="0.25">
      <c r="A164" t="s">
        <v>7949</v>
      </c>
      <c r="B164" t="str">
        <f>"28112000"</f>
        <v>28112000</v>
      </c>
      <c r="C164" t="s">
        <v>8110</v>
      </c>
    </row>
    <row r="165" spans="1:3" x14ac:dyDescent="0.25">
      <c r="A165" t="s">
        <v>7949</v>
      </c>
      <c r="B165" t="str">
        <f>"28113000"</f>
        <v>28113000</v>
      </c>
      <c r="C165" t="s">
        <v>8111</v>
      </c>
    </row>
    <row r="166" spans="1:3" x14ac:dyDescent="0.25">
      <c r="A166" t="s">
        <v>7949</v>
      </c>
      <c r="B166" t="str">
        <f>"28114000"</f>
        <v>28114000</v>
      </c>
      <c r="C166" t="s">
        <v>8112</v>
      </c>
    </row>
    <row r="167" spans="1:3" x14ac:dyDescent="0.25">
      <c r="A167" t="s">
        <v>7949</v>
      </c>
      <c r="B167" t="str">
        <f>"28116000"</f>
        <v>28116000</v>
      </c>
      <c r="C167" t="s">
        <v>8113</v>
      </c>
    </row>
    <row r="168" spans="1:3" x14ac:dyDescent="0.25">
      <c r="A168" t="s">
        <v>7949</v>
      </c>
      <c r="B168" t="str">
        <f>"28117000"</f>
        <v>28117000</v>
      </c>
      <c r="C168" t="s">
        <v>8114</v>
      </c>
    </row>
    <row r="169" spans="1:3" x14ac:dyDescent="0.25">
      <c r="A169" t="s">
        <v>7949</v>
      </c>
      <c r="B169" t="str">
        <f>"28118000"</f>
        <v>28118000</v>
      </c>
      <c r="C169" t="s">
        <v>8115</v>
      </c>
    </row>
    <row r="170" spans="1:3" x14ac:dyDescent="0.25">
      <c r="A170" t="s">
        <v>7949</v>
      </c>
      <c r="B170" t="str">
        <f>"28120000"</f>
        <v>28120000</v>
      </c>
      <c r="C170" t="s">
        <v>8116</v>
      </c>
    </row>
    <row r="171" spans="1:3" x14ac:dyDescent="0.25">
      <c r="A171" t="s">
        <v>7949</v>
      </c>
      <c r="B171" t="str">
        <f>"28121000"</f>
        <v>28121000</v>
      </c>
      <c r="C171" t="s">
        <v>8117</v>
      </c>
    </row>
    <row r="172" spans="1:3" x14ac:dyDescent="0.25">
      <c r="A172" t="s">
        <v>7949</v>
      </c>
      <c r="B172" t="str">
        <f>"28125000"</f>
        <v>28125000</v>
      </c>
      <c r="C172" t="s">
        <v>8118</v>
      </c>
    </row>
    <row r="173" spans="1:3" x14ac:dyDescent="0.25">
      <c r="A173" t="s">
        <v>7949</v>
      </c>
      <c r="B173" t="str">
        <f>"28128000"</f>
        <v>28128000</v>
      </c>
      <c r="C173" t="s">
        <v>8119</v>
      </c>
    </row>
    <row r="174" spans="1:3" x14ac:dyDescent="0.25">
      <c r="A174" t="s">
        <v>7949</v>
      </c>
      <c r="B174" t="str">
        <f>"28130000"</f>
        <v>28130000</v>
      </c>
      <c r="C174" t="s">
        <v>8120</v>
      </c>
    </row>
    <row r="175" spans="1:3" x14ac:dyDescent="0.25">
      <c r="A175" t="s">
        <v>7949</v>
      </c>
      <c r="B175" t="str">
        <f>"28210000"</f>
        <v>28210000</v>
      </c>
      <c r="C175" t="s">
        <v>8121</v>
      </c>
    </row>
    <row r="176" spans="1:3" x14ac:dyDescent="0.25">
      <c r="A176" t="s">
        <v>7949</v>
      </c>
      <c r="B176" t="str">
        <f>"28220000"</f>
        <v>28220000</v>
      </c>
      <c r="C176" t="s">
        <v>8122</v>
      </c>
    </row>
    <row r="177" spans="1:3" x14ac:dyDescent="0.25">
      <c r="A177" t="s">
        <v>7949</v>
      </c>
      <c r="B177" t="str">
        <f>"28230000"</f>
        <v>28230000</v>
      </c>
      <c r="C177" t="s">
        <v>8123</v>
      </c>
    </row>
    <row r="178" spans="1:3" x14ac:dyDescent="0.25">
      <c r="A178" t="s">
        <v>7949</v>
      </c>
      <c r="B178" t="str">
        <f>"28280000"</f>
        <v>28280000</v>
      </c>
      <c r="C178" t="s">
        <v>8124</v>
      </c>
    </row>
    <row r="179" spans="1:3" x14ac:dyDescent="0.25">
      <c r="A179" t="s">
        <v>7949</v>
      </c>
      <c r="B179" t="str">
        <f>"28300000"</f>
        <v>28300000</v>
      </c>
      <c r="C179" t="s">
        <v>8125</v>
      </c>
    </row>
    <row r="180" spans="1:3" x14ac:dyDescent="0.25">
      <c r="A180" t="s">
        <v>7949</v>
      </c>
      <c r="B180" t="str">
        <f>"28310000"</f>
        <v>28310000</v>
      </c>
      <c r="C180" t="s">
        <v>8126</v>
      </c>
    </row>
    <row r="181" spans="1:3" x14ac:dyDescent="0.25">
      <c r="A181" t="s">
        <v>7949</v>
      </c>
      <c r="B181" t="str">
        <f>"28311000"</f>
        <v>28311000</v>
      </c>
      <c r="C181" t="s">
        <v>8127</v>
      </c>
    </row>
    <row r="182" spans="1:3" x14ac:dyDescent="0.25">
      <c r="A182" t="s">
        <v>7949</v>
      </c>
      <c r="B182" t="str">
        <f>"28312000"</f>
        <v>28312000</v>
      </c>
      <c r="C182" t="s">
        <v>8128</v>
      </c>
    </row>
    <row r="183" spans="1:3" x14ac:dyDescent="0.25">
      <c r="A183" t="s">
        <v>7949</v>
      </c>
      <c r="B183" t="str">
        <f>"28313000"</f>
        <v>28313000</v>
      </c>
      <c r="C183" t="s">
        <v>8129</v>
      </c>
    </row>
    <row r="184" spans="1:3" x14ac:dyDescent="0.25">
      <c r="A184" t="s">
        <v>7949</v>
      </c>
      <c r="B184" t="str">
        <f>"28314000"</f>
        <v>28314000</v>
      </c>
      <c r="C184" t="s">
        <v>8130</v>
      </c>
    </row>
    <row r="185" spans="1:3" x14ac:dyDescent="0.25">
      <c r="A185" t="s">
        <v>7949</v>
      </c>
      <c r="B185" t="str">
        <f>"28316000"</f>
        <v>28316000</v>
      </c>
      <c r="C185" t="s">
        <v>8131</v>
      </c>
    </row>
    <row r="186" spans="1:3" x14ac:dyDescent="0.25">
      <c r="A186" t="s">
        <v>7949</v>
      </c>
      <c r="B186" t="str">
        <f>"28318000"</f>
        <v>28318000</v>
      </c>
      <c r="C186" t="s">
        <v>8132</v>
      </c>
    </row>
    <row r="187" spans="1:3" x14ac:dyDescent="0.25">
      <c r="A187" t="s">
        <v>7949</v>
      </c>
      <c r="B187" t="str">
        <f>"28320000"</f>
        <v>28320000</v>
      </c>
      <c r="C187" t="s">
        <v>8133</v>
      </c>
    </row>
    <row r="188" spans="1:3" x14ac:dyDescent="0.25">
      <c r="A188" t="s">
        <v>7949</v>
      </c>
      <c r="B188" t="str">
        <f>"28321000"</f>
        <v>28321000</v>
      </c>
      <c r="C188" t="s">
        <v>8134</v>
      </c>
    </row>
    <row r="189" spans="1:3" x14ac:dyDescent="0.25">
      <c r="A189" t="s">
        <v>7949</v>
      </c>
      <c r="B189" t="str">
        <f>"28322000"</f>
        <v>28322000</v>
      </c>
      <c r="C189" t="s">
        <v>8135</v>
      </c>
    </row>
    <row r="190" spans="1:3" x14ac:dyDescent="0.25">
      <c r="A190" t="s">
        <v>7949</v>
      </c>
      <c r="B190" t="str">
        <f>"28323000"</f>
        <v>28323000</v>
      </c>
      <c r="C190" t="s">
        <v>8136</v>
      </c>
    </row>
    <row r="191" spans="1:3" x14ac:dyDescent="0.25">
      <c r="A191" t="s">
        <v>7949</v>
      </c>
      <c r="B191" t="str">
        <f>"28325000"</f>
        <v>28325000</v>
      </c>
      <c r="C191" t="s">
        <v>8137</v>
      </c>
    </row>
    <row r="192" spans="1:3" x14ac:dyDescent="0.25">
      <c r="A192" t="s">
        <v>7949</v>
      </c>
      <c r="B192" t="str">
        <f>"28327000"</f>
        <v>28327000</v>
      </c>
      <c r="C192" t="s">
        <v>8138</v>
      </c>
    </row>
    <row r="193" spans="1:3" x14ac:dyDescent="0.25">
      <c r="A193" t="s">
        <v>7949</v>
      </c>
      <c r="B193" t="str">
        <f>"28328000"</f>
        <v>28328000</v>
      </c>
      <c r="C193" t="s">
        <v>8139</v>
      </c>
    </row>
    <row r="194" spans="1:3" x14ac:dyDescent="0.25">
      <c r="A194" t="s">
        <v>7949</v>
      </c>
      <c r="B194" t="str">
        <f>"28330000"</f>
        <v>28330000</v>
      </c>
      <c r="C194" t="s">
        <v>8140</v>
      </c>
    </row>
    <row r="195" spans="1:3" x14ac:dyDescent="0.25">
      <c r="A195" t="s">
        <v>7949</v>
      </c>
      <c r="B195" t="str">
        <f>"28331000"</f>
        <v>28331000</v>
      </c>
      <c r="C195" t="s">
        <v>8141</v>
      </c>
    </row>
    <row r="196" spans="1:3" x14ac:dyDescent="0.25">
      <c r="A196" t="s">
        <v>7949</v>
      </c>
      <c r="B196" t="str">
        <f>"28332000"</f>
        <v>28332000</v>
      </c>
      <c r="C196" t="s">
        <v>8142</v>
      </c>
    </row>
    <row r="197" spans="1:3" x14ac:dyDescent="0.25">
      <c r="A197" t="s">
        <v>7949</v>
      </c>
      <c r="B197" t="str">
        <f>"28333000"</f>
        <v>28333000</v>
      </c>
      <c r="C197" t="s">
        <v>8143</v>
      </c>
    </row>
    <row r="198" spans="1:3" x14ac:dyDescent="0.25">
      <c r="A198" t="s">
        <v>7949</v>
      </c>
      <c r="B198" t="str">
        <f>"28338000"</f>
        <v>28338000</v>
      </c>
      <c r="C198" t="s">
        <v>8144</v>
      </c>
    </row>
    <row r="199" spans="1:3" x14ac:dyDescent="0.25">
      <c r="A199" t="s">
        <v>7949</v>
      </c>
      <c r="B199" t="str">
        <f>"28340000"</f>
        <v>28340000</v>
      </c>
      <c r="C199" t="s">
        <v>8145</v>
      </c>
    </row>
    <row r="200" spans="1:3" x14ac:dyDescent="0.25">
      <c r="A200" t="s">
        <v>7949</v>
      </c>
      <c r="B200" t="str">
        <f>"28350000"</f>
        <v>28350000</v>
      </c>
      <c r="C200" t="s">
        <v>8146</v>
      </c>
    </row>
    <row r="201" spans="1:3" x14ac:dyDescent="0.25">
      <c r="A201" t="s">
        <v>7949</v>
      </c>
      <c r="B201" t="str">
        <f>"28351000"</f>
        <v>28351000</v>
      </c>
      <c r="C201" t="s">
        <v>8147</v>
      </c>
    </row>
    <row r="202" spans="1:3" x14ac:dyDescent="0.25">
      <c r="A202" t="s">
        <v>7949</v>
      </c>
      <c r="B202" t="str">
        <f>"28352000"</f>
        <v>28352000</v>
      </c>
      <c r="C202" t="s">
        <v>8148</v>
      </c>
    </row>
    <row r="203" spans="1:3" x14ac:dyDescent="0.25">
      <c r="A203" t="s">
        <v>7949</v>
      </c>
      <c r="B203" t="str">
        <f>"28355000"</f>
        <v>28355000</v>
      </c>
      <c r="C203" t="s">
        <v>8149</v>
      </c>
    </row>
    <row r="204" spans="1:3" x14ac:dyDescent="0.25">
      <c r="A204" t="s">
        <v>7949</v>
      </c>
      <c r="B204" t="str">
        <f>"28356000"</f>
        <v>28356000</v>
      </c>
      <c r="C204" t="s">
        <v>8150</v>
      </c>
    </row>
    <row r="205" spans="1:3" x14ac:dyDescent="0.25">
      <c r="A205" t="s">
        <v>7949</v>
      </c>
      <c r="B205" t="str">
        <f>"28358000"</f>
        <v>28358000</v>
      </c>
      <c r="C205" t="s">
        <v>8151</v>
      </c>
    </row>
    <row r="206" spans="1:3" x14ac:dyDescent="0.25">
      <c r="A206" t="s">
        <v>7949</v>
      </c>
      <c r="B206" t="str">
        <f>"28380000"</f>
        <v>28380000</v>
      </c>
      <c r="C206" t="s">
        <v>8152</v>
      </c>
    </row>
    <row r="207" spans="1:3" x14ac:dyDescent="0.25">
      <c r="A207" t="s">
        <v>7949</v>
      </c>
      <c r="B207" t="str">
        <f>"29000000"</f>
        <v>29000000</v>
      </c>
      <c r="C207" t="s">
        <v>8153</v>
      </c>
    </row>
    <row r="208" spans="1:3" x14ac:dyDescent="0.25">
      <c r="A208" t="s">
        <v>7949</v>
      </c>
      <c r="B208" t="str">
        <f>"29200000"</f>
        <v>29200000</v>
      </c>
      <c r="C208" t="s">
        <v>8154</v>
      </c>
    </row>
    <row r="209" spans="1:3" x14ac:dyDescent="0.25">
      <c r="A209" t="s">
        <v>7949</v>
      </c>
      <c r="B209" t="str">
        <f>"29300000"</f>
        <v>29300000</v>
      </c>
      <c r="C209" t="s">
        <v>8155</v>
      </c>
    </row>
    <row r="210" spans="1:3" x14ac:dyDescent="0.25">
      <c r="A210" t="s">
        <v>7949</v>
      </c>
      <c r="B210" t="str">
        <f>"29410000"</f>
        <v>29410000</v>
      </c>
      <c r="C210" t="s">
        <v>8156</v>
      </c>
    </row>
    <row r="211" spans="1:3" x14ac:dyDescent="0.25">
      <c r="A211" t="s">
        <v>7949</v>
      </c>
      <c r="B211" t="str">
        <f>"29480000"</f>
        <v>29480000</v>
      </c>
      <c r="C211" t="s">
        <v>8157</v>
      </c>
    </row>
    <row r="212" spans="1:3" x14ac:dyDescent="0.25">
      <c r="A212" t="s">
        <v>7949</v>
      </c>
      <c r="B212" t="str">
        <f>"29510000"</f>
        <v>29510000</v>
      </c>
      <c r="C212" t="s">
        <v>8158</v>
      </c>
    </row>
    <row r="213" spans="1:3" x14ac:dyDescent="0.25">
      <c r="A213" t="s">
        <v>7949</v>
      </c>
      <c r="B213" t="str">
        <f>"29580000"</f>
        <v>29580000</v>
      </c>
      <c r="C213" t="s">
        <v>8159</v>
      </c>
    </row>
    <row r="214" spans="1:3" x14ac:dyDescent="0.25">
      <c r="A214" t="s">
        <v>7949</v>
      </c>
      <c r="B214" t="str">
        <f>"30000000"</f>
        <v>30000000</v>
      </c>
      <c r="C214" t="s">
        <v>8160</v>
      </c>
    </row>
    <row r="215" spans="1:3" x14ac:dyDescent="0.25">
      <c r="A215" t="s">
        <v>7949</v>
      </c>
      <c r="B215" t="str">
        <f>"31000000"</f>
        <v>31000000</v>
      </c>
      <c r="C215" t="s">
        <v>8161</v>
      </c>
    </row>
    <row r="216" spans="1:3" x14ac:dyDescent="0.25">
      <c r="A216" t="s">
        <v>7949</v>
      </c>
      <c r="B216" t="str">
        <f>"31100000"</f>
        <v>31100000</v>
      </c>
      <c r="C216" t="s">
        <v>8162</v>
      </c>
    </row>
    <row r="217" spans="1:3" x14ac:dyDescent="0.25">
      <c r="A217" t="s">
        <v>7949</v>
      </c>
      <c r="B217" t="str">
        <f>"31110000"</f>
        <v>31110000</v>
      </c>
      <c r="C217" t="s">
        <v>8163</v>
      </c>
    </row>
    <row r="218" spans="1:3" x14ac:dyDescent="0.25">
      <c r="A218" t="s">
        <v>7949</v>
      </c>
      <c r="B218" t="str">
        <f>"31120000"</f>
        <v>31120000</v>
      </c>
      <c r="C218" t="s">
        <v>8164</v>
      </c>
    </row>
    <row r="219" spans="1:3" x14ac:dyDescent="0.25">
      <c r="A219" t="s">
        <v>7949</v>
      </c>
      <c r="B219" t="str">
        <f>"31160000"</f>
        <v>31160000</v>
      </c>
      <c r="C219" t="s">
        <v>8165</v>
      </c>
    </row>
    <row r="220" spans="1:3" x14ac:dyDescent="0.25">
      <c r="A220" t="s">
        <v>7949</v>
      </c>
      <c r="B220" t="str">
        <f>"31180000"</f>
        <v>31180000</v>
      </c>
      <c r="C220" t="s">
        <v>8166</v>
      </c>
    </row>
    <row r="221" spans="1:3" x14ac:dyDescent="0.25">
      <c r="A221" t="s">
        <v>7949</v>
      </c>
      <c r="B221" t="str">
        <f>"31200000"</f>
        <v>31200000</v>
      </c>
      <c r="C221" t="s">
        <v>8167</v>
      </c>
    </row>
    <row r="222" spans="1:3" x14ac:dyDescent="0.25">
      <c r="A222" t="s">
        <v>7949</v>
      </c>
      <c r="B222" t="str">
        <f>"31210000"</f>
        <v>31210000</v>
      </c>
      <c r="C222" t="s">
        <v>8168</v>
      </c>
    </row>
    <row r="223" spans="1:3" x14ac:dyDescent="0.25">
      <c r="A223" t="s">
        <v>7949</v>
      </c>
      <c r="B223" t="str">
        <f>"31211000"</f>
        <v>31211000</v>
      </c>
      <c r="C223" t="s">
        <v>8169</v>
      </c>
    </row>
    <row r="224" spans="1:3" x14ac:dyDescent="0.25">
      <c r="A224" t="s">
        <v>7949</v>
      </c>
      <c r="B224" t="str">
        <f>"31212000"</f>
        <v>31212000</v>
      </c>
      <c r="C224" t="s">
        <v>8170</v>
      </c>
    </row>
    <row r="225" spans="1:3" x14ac:dyDescent="0.25">
      <c r="A225" t="s">
        <v>7949</v>
      </c>
      <c r="B225" t="str">
        <f>"31220000"</f>
        <v>31220000</v>
      </c>
      <c r="C225" t="s">
        <v>8167</v>
      </c>
    </row>
    <row r="226" spans="1:3" x14ac:dyDescent="0.25">
      <c r="A226" t="s">
        <v>7949</v>
      </c>
      <c r="B226" t="str">
        <f>"31221000"</f>
        <v>31221000</v>
      </c>
      <c r="C226" t="s">
        <v>8171</v>
      </c>
    </row>
    <row r="227" spans="1:3" x14ac:dyDescent="0.25">
      <c r="A227" t="s">
        <v>7949</v>
      </c>
      <c r="B227" t="str">
        <f>"31222000"</f>
        <v>31222000</v>
      </c>
      <c r="C227" t="s">
        <v>8172</v>
      </c>
    </row>
    <row r="228" spans="1:3" x14ac:dyDescent="0.25">
      <c r="A228" t="s">
        <v>7949</v>
      </c>
      <c r="B228" t="str">
        <f>"31223000"</f>
        <v>31223000</v>
      </c>
      <c r="C228" t="s">
        <v>8173</v>
      </c>
    </row>
    <row r="229" spans="1:3" x14ac:dyDescent="0.25">
      <c r="A229" t="s">
        <v>7949</v>
      </c>
      <c r="B229" t="str">
        <f>"31224000"</f>
        <v>31224000</v>
      </c>
      <c r="C229" t="s">
        <v>8174</v>
      </c>
    </row>
    <row r="230" spans="1:3" x14ac:dyDescent="0.25">
      <c r="A230" t="s">
        <v>7949</v>
      </c>
      <c r="B230" t="str">
        <f>"31225000"</f>
        <v>31225000</v>
      </c>
      <c r="C230" t="s">
        <v>8175</v>
      </c>
    </row>
    <row r="231" spans="1:3" x14ac:dyDescent="0.25">
      <c r="A231" t="s">
        <v>7949</v>
      </c>
      <c r="B231" t="str">
        <f>"31226000"</f>
        <v>31226000</v>
      </c>
      <c r="C231" t="s">
        <v>8176</v>
      </c>
    </row>
    <row r="232" spans="1:3" x14ac:dyDescent="0.25">
      <c r="A232" t="s">
        <v>7949</v>
      </c>
      <c r="B232" t="str">
        <f>"31227000"</f>
        <v>31227000</v>
      </c>
      <c r="C232" t="s">
        <v>8177</v>
      </c>
    </row>
    <row r="233" spans="1:3" x14ac:dyDescent="0.25">
      <c r="A233" t="s">
        <v>7949</v>
      </c>
      <c r="B233" t="str">
        <f>"31230000"</f>
        <v>31230000</v>
      </c>
      <c r="C233" t="s">
        <v>8178</v>
      </c>
    </row>
    <row r="234" spans="1:3" x14ac:dyDescent="0.25">
      <c r="A234" t="s">
        <v>7949</v>
      </c>
      <c r="B234" t="str">
        <f>"31231000"</f>
        <v>31231000</v>
      </c>
      <c r="C234" t="s">
        <v>8179</v>
      </c>
    </row>
    <row r="235" spans="1:3" x14ac:dyDescent="0.25">
      <c r="A235" t="s">
        <v>7949</v>
      </c>
      <c r="B235" t="str">
        <f>"31232000"</f>
        <v>31232000</v>
      </c>
      <c r="C235" t="s">
        <v>8180</v>
      </c>
    </row>
    <row r="236" spans="1:3" x14ac:dyDescent="0.25">
      <c r="A236" t="s">
        <v>7949</v>
      </c>
      <c r="B236" t="str">
        <f>"31233000"</f>
        <v>31233000</v>
      </c>
      <c r="C236" t="s">
        <v>8181</v>
      </c>
    </row>
    <row r="237" spans="1:3" x14ac:dyDescent="0.25">
      <c r="A237" t="s">
        <v>7949</v>
      </c>
      <c r="B237" t="str">
        <f>"31260000"</f>
        <v>31260000</v>
      </c>
      <c r="C237" t="s">
        <v>8182</v>
      </c>
    </row>
    <row r="238" spans="1:3" x14ac:dyDescent="0.25">
      <c r="A238" t="s">
        <v>7949</v>
      </c>
      <c r="B238" t="str">
        <f>"31280000"</f>
        <v>31280000</v>
      </c>
      <c r="C238" t="s">
        <v>8183</v>
      </c>
    </row>
    <row r="239" spans="1:3" x14ac:dyDescent="0.25">
      <c r="A239" t="s">
        <v>7949</v>
      </c>
      <c r="B239" t="str">
        <f>"31300000"</f>
        <v>31300000</v>
      </c>
      <c r="C239" t="s">
        <v>8184</v>
      </c>
    </row>
    <row r="240" spans="1:3" x14ac:dyDescent="0.25">
      <c r="A240" t="s">
        <v>7949</v>
      </c>
      <c r="B240" t="str">
        <f>"31310000"</f>
        <v>31310000</v>
      </c>
      <c r="C240" t="s">
        <v>8185</v>
      </c>
    </row>
    <row r="241" spans="1:3" x14ac:dyDescent="0.25">
      <c r="A241" t="s">
        <v>7949</v>
      </c>
      <c r="B241" t="str">
        <f>"31311000"</f>
        <v>31311000</v>
      </c>
      <c r="C241" t="s">
        <v>8186</v>
      </c>
    </row>
    <row r="242" spans="1:3" x14ac:dyDescent="0.25">
      <c r="A242" t="s">
        <v>7949</v>
      </c>
      <c r="B242" t="str">
        <f>"31312000"</f>
        <v>31312000</v>
      </c>
      <c r="C242" t="s">
        <v>8187</v>
      </c>
    </row>
    <row r="243" spans="1:3" x14ac:dyDescent="0.25">
      <c r="A243" t="s">
        <v>7949</v>
      </c>
      <c r="B243" t="str">
        <f>"31317000"</f>
        <v>31317000</v>
      </c>
      <c r="C243" t="s">
        <v>8188</v>
      </c>
    </row>
    <row r="244" spans="1:3" x14ac:dyDescent="0.25">
      <c r="A244" t="s">
        <v>7949</v>
      </c>
      <c r="B244" t="str">
        <f>"31340000"</f>
        <v>31340000</v>
      </c>
      <c r="C244" t="s">
        <v>8189</v>
      </c>
    </row>
    <row r="245" spans="1:3" x14ac:dyDescent="0.25">
      <c r="A245" t="s">
        <v>7949</v>
      </c>
      <c r="B245" t="str">
        <f>"31341000"</f>
        <v>31341000</v>
      </c>
      <c r="C245" t="s">
        <v>8190</v>
      </c>
    </row>
    <row r="246" spans="1:3" x14ac:dyDescent="0.25">
      <c r="A246" t="s">
        <v>7949</v>
      </c>
      <c r="B246" t="str">
        <f>"31342000"</f>
        <v>31342000</v>
      </c>
      <c r="C246" t="s">
        <v>8191</v>
      </c>
    </row>
    <row r="247" spans="1:3" x14ac:dyDescent="0.25">
      <c r="A247" t="s">
        <v>7949</v>
      </c>
      <c r="B247" t="str">
        <f>"31343000"</f>
        <v>31343000</v>
      </c>
      <c r="C247" t="s">
        <v>8192</v>
      </c>
    </row>
    <row r="248" spans="1:3" x14ac:dyDescent="0.25">
      <c r="A248" t="s">
        <v>7949</v>
      </c>
      <c r="B248" t="str">
        <f>"31380000"</f>
        <v>31380000</v>
      </c>
      <c r="C248" t="s">
        <v>8193</v>
      </c>
    </row>
    <row r="249" spans="1:3" x14ac:dyDescent="0.25">
      <c r="A249" t="s">
        <v>7949</v>
      </c>
      <c r="B249" t="str">
        <f>"31400000"</f>
        <v>31400000</v>
      </c>
      <c r="C249" t="s">
        <v>8194</v>
      </c>
    </row>
    <row r="250" spans="1:3" x14ac:dyDescent="0.25">
      <c r="A250" t="s">
        <v>7949</v>
      </c>
      <c r="B250" t="str">
        <f>"31410000"</f>
        <v>31410000</v>
      </c>
      <c r="C250" t="s">
        <v>8195</v>
      </c>
    </row>
    <row r="251" spans="1:3" x14ac:dyDescent="0.25">
      <c r="A251" t="s">
        <v>7949</v>
      </c>
      <c r="B251" t="str">
        <f>"31411000"</f>
        <v>31411000</v>
      </c>
      <c r="C251" t="s">
        <v>8196</v>
      </c>
    </row>
    <row r="252" spans="1:3" x14ac:dyDescent="0.25">
      <c r="A252" t="s">
        <v>7949</v>
      </c>
      <c r="B252" t="str">
        <f>"31412000"</f>
        <v>31412000</v>
      </c>
      <c r="C252" t="s">
        <v>8197</v>
      </c>
    </row>
    <row r="253" spans="1:3" x14ac:dyDescent="0.25">
      <c r="A253" t="s">
        <v>7949</v>
      </c>
      <c r="B253" t="str">
        <f>"31450000"</f>
        <v>31450000</v>
      </c>
      <c r="C253" t="s">
        <v>8198</v>
      </c>
    </row>
    <row r="254" spans="1:3" x14ac:dyDescent="0.25">
      <c r="A254" t="s">
        <v>7949</v>
      </c>
      <c r="B254" t="str">
        <f>"31451000"</f>
        <v>31451000</v>
      </c>
      <c r="C254" t="s">
        <v>8199</v>
      </c>
    </row>
    <row r="255" spans="1:3" x14ac:dyDescent="0.25">
      <c r="A255" t="s">
        <v>7949</v>
      </c>
      <c r="B255" t="str">
        <f>"31452000"</f>
        <v>31452000</v>
      </c>
      <c r="C255" t="s">
        <v>8200</v>
      </c>
    </row>
    <row r="256" spans="1:3" x14ac:dyDescent="0.25">
      <c r="A256" t="s">
        <v>7949</v>
      </c>
      <c r="B256" t="str">
        <f>"31453000"</f>
        <v>31453000</v>
      </c>
      <c r="C256" t="s">
        <v>8201</v>
      </c>
    </row>
    <row r="257" spans="1:3" x14ac:dyDescent="0.25">
      <c r="A257" t="s">
        <v>7949</v>
      </c>
      <c r="B257" t="str">
        <f>"31480000"</f>
        <v>31480000</v>
      </c>
      <c r="C257" t="s">
        <v>8202</v>
      </c>
    </row>
    <row r="258" spans="1:3" x14ac:dyDescent="0.25">
      <c r="A258" t="s">
        <v>7949</v>
      </c>
      <c r="B258" t="str">
        <f>"31500000"</f>
        <v>31500000</v>
      </c>
      <c r="C258" t="s">
        <v>8203</v>
      </c>
    </row>
    <row r="259" spans="1:3" x14ac:dyDescent="0.25">
      <c r="A259" t="s">
        <v>7949</v>
      </c>
      <c r="B259" t="str">
        <f>"31510000"</f>
        <v>31510000</v>
      </c>
      <c r="C259" t="s">
        <v>8204</v>
      </c>
    </row>
    <row r="260" spans="1:3" x14ac:dyDescent="0.25">
      <c r="A260" t="s">
        <v>7949</v>
      </c>
      <c r="B260" t="str">
        <f>"31520000"</f>
        <v>31520000</v>
      </c>
      <c r="C260" t="s">
        <v>8205</v>
      </c>
    </row>
    <row r="261" spans="1:3" x14ac:dyDescent="0.25">
      <c r="A261" t="s">
        <v>7949</v>
      </c>
      <c r="B261" t="str">
        <f>"31560000"</f>
        <v>31560000</v>
      </c>
      <c r="C261" t="s">
        <v>8206</v>
      </c>
    </row>
    <row r="262" spans="1:3" x14ac:dyDescent="0.25">
      <c r="A262" t="s">
        <v>7949</v>
      </c>
      <c r="B262" t="str">
        <f>"31580000"</f>
        <v>31580000</v>
      </c>
      <c r="C262" t="s">
        <v>8207</v>
      </c>
    </row>
    <row r="263" spans="1:3" x14ac:dyDescent="0.25">
      <c r="A263" t="s">
        <v>7949</v>
      </c>
      <c r="B263" t="str">
        <f>"34000000"</f>
        <v>34000000</v>
      </c>
      <c r="C263" t="s">
        <v>8208</v>
      </c>
    </row>
    <row r="264" spans="1:3" x14ac:dyDescent="0.25">
      <c r="A264" t="s">
        <v>7949</v>
      </c>
      <c r="B264" t="str">
        <f>"34100000"</f>
        <v>34100000</v>
      </c>
      <c r="C264" t="s">
        <v>8209</v>
      </c>
    </row>
    <row r="265" spans="1:3" x14ac:dyDescent="0.25">
      <c r="A265" t="s">
        <v>7949</v>
      </c>
      <c r="B265" t="str">
        <f>"34110000"</f>
        <v>34110000</v>
      </c>
      <c r="C265" t="s">
        <v>8210</v>
      </c>
    </row>
    <row r="266" spans="1:3" x14ac:dyDescent="0.25">
      <c r="A266" t="s">
        <v>7949</v>
      </c>
      <c r="B266" t="str">
        <f>"34130000"</f>
        <v>34130000</v>
      </c>
      <c r="C266" t="s">
        <v>8211</v>
      </c>
    </row>
    <row r="267" spans="1:3" x14ac:dyDescent="0.25">
      <c r="A267" t="s">
        <v>7949</v>
      </c>
      <c r="B267" t="str">
        <f>"34170000"</f>
        <v>34170000</v>
      </c>
      <c r="C267" t="s">
        <v>8212</v>
      </c>
    </row>
    <row r="268" spans="1:3" x14ac:dyDescent="0.25">
      <c r="A268" t="s">
        <v>7949</v>
      </c>
      <c r="B268" t="str">
        <f>"34180000"</f>
        <v>34180000</v>
      </c>
      <c r="C268" t="s">
        <v>8213</v>
      </c>
    </row>
    <row r="269" spans="1:3" x14ac:dyDescent="0.25">
      <c r="A269" t="s">
        <v>7949</v>
      </c>
      <c r="B269" t="str">
        <f>"34200000"</f>
        <v>34200000</v>
      </c>
      <c r="C269" t="s">
        <v>8214</v>
      </c>
    </row>
    <row r="270" spans="1:3" x14ac:dyDescent="0.25">
      <c r="A270" t="s">
        <v>7949</v>
      </c>
      <c r="B270" t="str">
        <f>"34210000"</f>
        <v>34210000</v>
      </c>
      <c r="C270" t="s">
        <v>8215</v>
      </c>
    </row>
    <row r="271" spans="1:3" x14ac:dyDescent="0.25">
      <c r="A271" t="s">
        <v>7949</v>
      </c>
      <c r="B271" t="str">
        <f>"34210001"</f>
        <v>34210001</v>
      </c>
      <c r="C271" t="s">
        <v>8216</v>
      </c>
    </row>
    <row r="272" spans="1:3" x14ac:dyDescent="0.25">
      <c r="A272" t="s">
        <v>7949</v>
      </c>
      <c r="B272" t="str">
        <f>"34211000"</f>
        <v>34211000</v>
      </c>
      <c r="C272" t="s">
        <v>8217</v>
      </c>
    </row>
    <row r="273" spans="1:3" x14ac:dyDescent="0.25">
      <c r="A273" t="s">
        <v>7949</v>
      </c>
      <c r="B273" t="str">
        <f>"34212000"</f>
        <v>34212000</v>
      </c>
      <c r="C273" t="s">
        <v>8218</v>
      </c>
    </row>
    <row r="274" spans="1:3" x14ac:dyDescent="0.25">
      <c r="A274" t="s">
        <v>7949</v>
      </c>
      <c r="B274" t="str">
        <f>"34230000"</f>
        <v>34230000</v>
      </c>
      <c r="C274" t="s">
        <v>8219</v>
      </c>
    </row>
    <row r="275" spans="1:3" x14ac:dyDescent="0.25">
      <c r="A275" t="s">
        <v>7949</v>
      </c>
      <c r="B275" t="str">
        <f>"34240000"</f>
        <v>34240000</v>
      </c>
      <c r="C275" t="s">
        <v>8220</v>
      </c>
    </row>
    <row r="276" spans="1:3" x14ac:dyDescent="0.25">
      <c r="A276" t="s">
        <v>7949</v>
      </c>
      <c r="B276" t="str">
        <f>"34250000"</f>
        <v>34250000</v>
      </c>
      <c r="C276" t="s">
        <v>8221</v>
      </c>
    </row>
    <row r="277" spans="1:3" x14ac:dyDescent="0.25">
      <c r="A277" t="s">
        <v>7949</v>
      </c>
      <c r="B277" t="str">
        <f>"34251000"</f>
        <v>34251000</v>
      </c>
      <c r="C277" t="s">
        <v>8222</v>
      </c>
    </row>
    <row r="278" spans="1:3" x14ac:dyDescent="0.25">
      <c r="A278" t="s">
        <v>7949</v>
      </c>
      <c r="B278" t="str">
        <f>"34251700"</f>
        <v>34251700</v>
      </c>
      <c r="C278" t="s">
        <v>8223</v>
      </c>
    </row>
    <row r="279" spans="1:3" x14ac:dyDescent="0.25">
      <c r="A279" t="s">
        <v>7949</v>
      </c>
      <c r="B279" t="s">
        <v>8224</v>
      </c>
      <c r="C279" t="s">
        <v>8225</v>
      </c>
    </row>
    <row r="280" spans="1:3" x14ac:dyDescent="0.25">
      <c r="A280" t="s">
        <v>7949</v>
      </c>
      <c r="B280" t="s">
        <v>8226</v>
      </c>
      <c r="C280" t="s">
        <v>8227</v>
      </c>
    </row>
    <row r="281" spans="1:3" x14ac:dyDescent="0.25">
      <c r="A281" t="s">
        <v>7949</v>
      </c>
      <c r="B281" t="str">
        <f>"34270000"</f>
        <v>34270000</v>
      </c>
      <c r="C281" t="s">
        <v>8228</v>
      </c>
    </row>
    <row r="282" spans="1:3" x14ac:dyDescent="0.25">
      <c r="A282" t="s">
        <v>7949</v>
      </c>
      <c r="B282" t="str">
        <f>"34271000"</f>
        <v>34271000</v>
      </c>
      <c r="C282" t="s">
        <v>8229</v>
      </c>
    </row>
    <row r="283" spans="1:3" x14ac:dyDescent="0.25">
      <c r="A283" t="s">
        <v>7949</v>
      </c>
      <c r="B283" t="str">
        <f>"34272000"</f>
        <v>34272000</v>
      </c>
      <c r="C283" t="s">
        <v>8230</v>
      </c>
    </row>
    <row r="284" spans="1:3" x14ac:dyDescent="0.25">
      <c r="A284" t="s">
        <v>7949</v>
      </c>
      <c r="B284" t="str">
        <f>"34280000"</f>
        <v>34280000</v>
      </c>
      <c r="C284" t="s">
        <v>8231</v>
      </c>
    </row>
    <row r="285" spans="1:3" x14ac:dyDescent="0.25">
      <c r="A285" t="s">
        <v>7949</v>
      </c>
      <c r="B285" t="str">
        <f>"34300000"</f>
        <v>34300000</v>
      </c>
      <c r="C285" t="s">
        <v>8232</v>
      </c>
    </row>
    <row r="286" spans="1:3" x14ac:dyDescent="0.25">
      <c r="A286" t="s">
        <v>7949</v>
      </c>
      <c r="B286" t="str">
        <f>"34310000"</f>
        <v>34310000</v>
      </c>
      <c r="C286" t="s">
        <v>8233</v>
      </c>
    </row>
    <row r="287" spans="1:3" x14ac:dyDescent="0.25">
      <c r="A287" t="s">
        <v>7949</v>
      </c>
      <c r="B287" t="str">
        <f>"34320000"</f>
        <v>34320000</v>
      </c>
      <c r="C287" t="s">
        <v>8234</v>
      </c>
    </row>
    <row r="288" spans="1:3" x14ac:dyDescent="0.25">
      <c r="A288" t="s">
        <v>7949</v>
      </c>
      <c r="B288" t="str">
        <f>"34330000"</f>
        <v>34330000</v>
      </c>
      <c r="C288" t="s">
        <v>8235</v>
      </c>
    </row>
    <row r="289" spans="1:3" x14ac:dyDescent="0.25">
      <c r="A289" t="s">
        <v>7949</v>
      </c>
      <c r="B289" t="str">
        <f>"34380000"</f>
        <v>34380000</v>
      </c>
      <c r="C289" t="s">
        <v>8236</v>
      </c>
    </row>
    <row r="290" spans="1:3" x14ac:dyDescent="0.25">
      <c r="A290" t="s">
        <v>7949</v>
      </c>
      <c r="B290" t="str">
        <f>"34500000"</f>
        <v>34500000</v>
      </c>
      <c r="C290" t="s">
        <v>8237</v>
      </c>
    </row>
    <row r="291" spans="1:3" x14ac:dyDescent="0.25">
      <c r="A291" t="s">
        <v>7949</v>
      </c>
      <c r="B291" t="str">
        <f>"34510000"</f>
        <v>34510000</v>
      </c>
      <c r="C291" t="s">
        <v>8238</v>
      </c>
    </row>
    <row r="292" spans="1:3" x14ac:dyDescent="0.25">
      <c r="A292" t="s">
        <v>7949</v>
      </c>
      <c r="B292" t="str">
        <f>"34511000"</f>
        <v>34511000</v>
      </c>
      <c r="C292" t="s">
        <v>8239</v>
      </c>
    </row>
    <row r="293" spans="1:3" x14ac:dyDescent="0.25">
      <c r="A293" t="s">
        <v>7949</v>
      </c>
      <c r="B293" t="str">
        <f>"34512000"</f>
        <v>34512000</v>
      </c>
      <c r="C293" t="s">
        <v>8240</v>
      </c>
    </row>
    <row r="294" spans="1:3" x14ac:dyDescent="0.25">
      <c r="A294" t="s">
        <v>7949</v>
      </c>
      <c r="B294" t="str">
        <f>"34513000"</f>
        <v>34513000</v>
      </c>
      <c r="C294" t="s">
        <v>8241</v>
      </c>
    </row>
    <row r="295" spans="1:3" x14ac:dyDescent="0.25">
      <c r="A295" t="s">
        <v>7949</v>
      </c>
      <c r="B295" t="str">
        <f>"34530000"</f>
        <v>34530000</v>
      </c>
      <c r="C295" t="s">
        <v>8242</v>
      </c>
    </row>
    <row r="296" spans="1:3" x14ac:dyDescent="0.25">
      <c r="A296" t="s">
        <v>7949</v>
      </c>
      <c r="B296" t="str">
        <f>"34550000"</f>
        <v>34550000</v>
      </c>
      <c r="C296" t="s">
        <v>8243</v>
      </c>
    </row>
    <row r="297" spans="1:3" x14ac:dyDescent="0.25">
      <c r="A297" t="s">
        <v>7949</v>
      </c>
      <c r="B297" t="str">
        <f>"34551000"</f>
        <v>34551000</v>
      </c>
      <c r="C297" t="s">
        <v>8244</v>
      </c>
    </row>
    <row r="298" spans="1:3" x14ac:dyDescent="0.25">
      <c r="A298" t="s">
        <v>7949</v>
      </c>
      <c r="B298" t="str">
        <f>"34551020"</f>
        <v>34551020</v>
      </c>
      <c r="C298" t="s">
        <v>8245</v>
      </c>
    </row>
    <row r="299" spans="1:3" x14ac:dyDescent="0.25">
      <c r="A299" t="s">
        <v>7949</v>
      </c>
      <c r="B299" t="str">
        <f>"34552000"</f>
        <v>34552000</v>
      </c>
      <c r="C299" t="s">
        <v>8246</v>
      </c>
    </row>
    <row r="300" spans="1:3" x14ac:dyDescent="0.25">
      <c r="A300" t="s">
        <v>7949</v>
      </c>
      <c r="B300" t="str">
        <f>"34552007"</f>
        <v>34552007</v>
      </c>
      <c r="C300" t="s">
        <v>8247</v>
      </c>
    </row>
    <row r="301" spans="1:3" x14ac:dyDescent="0.25">
      <c r="A301" t="s">
        <v>7949</v>
      </c>
      <c r="B301" t="str">
        <f>"345520101"</f>
        <v>345520101</v>
      </c>
      <c r="C301" t="s">
        <v>8248</v>
      </c>
    </row>
    <row r="302" spans="1:3" x14ac:dyDescent="0.25">
      <c r="A302" t="s">
        <v>7949</v>
      </c>
      <c r="B302" t="str">
        <f>"34552010"</f>
        <v>34552010</v>
      </c>
      <c r="C302" t="s">
        <v>8249</v>
      </c>
    </row>
    <row r="303" spans="1:3" x14ac:dyDescent="0.25">
      <c r="A303" t="s">
        <v>7949</v>
      </c>
      <c r="B303" t="str">
        <f>"34552011"</f>
        <v>34552011</v>
      </c>
      <c r="C303" t="s">
        <v>8250</v>
      </c>
    </row>
    <row r="304" spans="1:3" x14ac:dyDescent="0.25">
      <c r="A304" t="s">
        <v>7949</v>
      </c>
      <c r="B304" t="str">
        <f>"34552012"</f>
        <v>34552012</v>
      </c>
      <c r="C304" t="s">
        <v>8251</v>
      </c>
    </row>
    <row r="305" spans="1:3" x14ac:dyDescent="0.25">
      <c r="A305" t="s">
        <v>7949</v>
      </c>
      <c r="B305" t="str">
        <f>"34552013"</f>
        <v>34552013</v>
      </c>
      <c r="C305" t="s">
        <v>8252</v>
      </c>
    </row>
    <row r="306" spans="1:3" x14ac:dyDescent="0.25">
      <c r="A306" t="s">
        <v>7949</v>
      </c>
      <c r="B306" t="str">
        <f>"34552014"</f>
        <v>34552014</v>
      </c>
      <c r="C306" t="s">
        <v>8253</v>
      </c>
    </row>
    <row r="307" spans="1:3" x14ac:dyDescent="0.25">
      <c r="A307" t="s">
        <v>7949</v>
      </c>
      <c r="B307" t="str">
        <f>"34552015"</f>
        <v>34552015</v>
      </c>
      <c r="C307" t="s">
        <v>8254</v>
      </c>
    </row>
    <row r="308" spans="1:3" x14ac:dyDescent="0.25">
      <c r="A308" t="s">
        <v>7949</v>
      </c>
      <c r="B308" t="str">
        <f>"34552016"</f>
        <v>34552016</v>
      </c>
      <c r="C308" t="s">
        <v>8255</v>
      </c>
    </row>
    <row r="309" spans="1:3" x14ac:dyDescent="0.25">
      <c r="A309" t="s">
        <v>7949</v>
      </c>
      <c r="B309" t="str">
        <f>"34552018"</f>
        <v>34552018</v>
      </c>
      <c r="C309" t="s">
        <v>8256</v>
      </c>
    </row>
    <row r="310" spans="1:3" x14ac:dyDescent="0.25">
      <c r="A310" t="s">
        <v>7949</v>
      </c>
      <c r="B310" t="str">
        <f>"34552020"</f>
        <v>34552020</v>
      </c>
      <c r="C310" t="s">
        <v>8257</v>
      </c>
    </row>
    <row r="311" spans="1:3" x14ac:dyDescent="0.25">
      <c r="A311" t="s">
        <v>7949</v>
      </c>
      <c r="B311" t="str">
        <f>"34552021"</f>
        <v>34552021</v>
      </c>
      <c r="C311" t="s">
        <v>8258</v>
      </c>
    </row>
    <row r="312" spans="1:3" x14ac:dyDescent="0.25">
      <c r="A312" t="s">
        <v>7949</v>
      </c>
      <c r="B312" t="str">
        <f>"34560000"</f>
        <v>34560000</v>
      </c>
      <c r="C312" t="s">
        <v>8259</v>
      </c>
    </row>
    <row r="313" spans="1:3" x14ac:dyDescent="0.25">
      <c r="A313" t="s">
        <v>7949</v>
      </c>
      <c r="B313" t="str">
        <f>"34580000"</f>
        <v>34580000</v>
      </c>
      <c r="C313" t="s">
        <v>8260</v>
      </c>
    </row>
    <row r="314" spans="1:3" x14ac:dyDescent="0.25">
      <c r="A314" t="s">
        <v>7949</v>
      </c>
      <c r="B314" t="str">
        <f>"34600000"</f>
        <v>34600000</v>
      </c>
      <c r="C314" t="s">
        <v>8261</v>
      </c>
    </row>
    <row r="315" spans="1:3" x14ac:dyDescent="0.25">
      <c r="A315" t="s">
        <v>7949</v>
      </c>
      <c r="B315" t="str">
        <f>"34610000"</f>
        <v>34610000</v>
      </c>
      <c r="C315" t="s">
        <v>8262</v>
      </c>
    </row>
    <row r="316" spans="1:3" x14ac:dyDescent="0.25">
      <c r="A316" t="s">
        <v>7949</v>
      </c>
      <c r="B316" t="str">
        <f>"34620000"</f>
        <v>34620000</v>
      </c>
      <c r="C316" t="s">
        <v>8263</v>
      </c>
    </row>
    <row r="317" spans="1:3" x14ac:dyDescent="0.25">
      <c r="A317" t="s">
        <v>7949</v>
      </c>
      <c r="B317" t="str">
        <f>"34630000"</f>
        <v>34630000</v>
      </c>
      <c r="C317" t="s">
        <v>8264</v>
      </c>
    </row>
    <row r="318" spans="1:3" x14ac:dyDescent="0.25">
      <c r="A318" t="s">
        <v>7949</v>
      </c>
      <c r="B318" t="str">
        <f>"34640000"</f>
        <v>34640000</v>
      </c>
      <c r="C318" t="s">
        <v>8265</v>
      </c>
    </row>
    <row r="319" spans="1:3" x14ac:dyDescent="0.25">
      <c r="A319" t="s">
        <v>7949</v>
      </c>
      <c r="B319" t="str">
        <f>"34670000"</f>
        <v>34670000</v>
      </c>
      <c r="C319" t="s">
        <v>8266</v>
      </c>
    </row>
    <row r="320" spans="1:3" x14ac:dyDescent="0.25">
      <c r="A320" t="s">
        <v>7949</v>
      </c>
      <c r="B320" t="str">
        <f>"34680000"</f>
        <v>34680000</v>
      </c>
      <c r="C320" t="s">
        <v>8267</v>
      </c>
    </row>
    <row r="321" spans="1:3" x14ac:dyDescent="0.25">
      <c r="A321" t="s">
        <v>7949</v>
      </c>
      <c r="B321" t="str">
        <f>"34800000"</f>
        <v>34800000</v>
      </c>
      <c r="C321" t="s">
        <v>8268</v>
      </c>
    </row>
    <row r="322" spans="1:3" x14ac:dyDescent="0.25">
      <c r="A322" t="s">
        <v>7949</v>
      </c>
      <c r="B322" t="str">
        <f>"34810000"</f>
        <v>34810000</v>
      </c>
      <c r="C322" t="s">
        <v>8269</v>
      </c>
    </row>
    <row r="323" spans="1:3" x14ac:dyDescent="0.25">
      <c r="A323" t="s">
        <v>7949</v>
      </c>
      <c r="B323" t="str">
        <f>"34820000"</f>
        <v>34820000</v>
      </c>
      <c r="C323" t="s">
        <v>8270</v>
      </c>
    </row>
    <row r="324" spans="1:3" x14ac:dyDescent="0.25">
      <c r="A324" t="s">
        <v>7949</v>
      </c>
      <c r="B324" t="str">
        <f>"34870000"</f>
        <v>34870000</v>
      </c>
      <c r="C324" t="s">
        <v>8271</v>
      </c>
    </row>
    <row r="325" spans="1:3" x14ac:dyDescent="0.25">
      <c r="A325" t="s">
        <v>7949</v>
      </c>
      <c r="B325" t="str">
        <f>"34880000"</f>
        <v>34880000</v>
      </c>
      <c r="C325" t="s">
        <v>8272</v>
      </c>
    </row>
    <row r="326" spans="1:3" x14ac:dyDescent="0.25">
      <c r="A326" t="s">
        <v>7949</v>
      </c>
      <c r="B326" t="str">
        <f>"34880001"</f>
        <v>34880001</v>
      </c>
      <c r="C326" t="s">
        <v>8273</v>
      </c>
    </row>
    <row r="327" spans="1:3" x14ac:dyDescent="0.25">
      <c r="A327" t="s">
        <v>7949</v>
      </c>
      <c r="B327" t="str">
        <f>"34900000"</f>
        <v>34900000</v>
      </c>
      <c r="C327" t="s">
        <v>8274</v>
      </c>
    </row>
    <row r="328" spans="1:3" x14ac:dyDescent="0.25">
      <c r="A328" t="s">
        <v>7949</v>
      </c>
      <c r="B328" t="str">
        <f>"34910000"</f>
        <v>34910000</v>
      </c>
      <c r="C328" t="s">
        <v>8275</v>
      </c>
    </row>
    <row r="329" spans="1:3" x14ac:dyDescent="0.25">
      <c r="A329" t="s">
        <v>7949</v>
      </c>
      <c r="B329" t="str">
        <f>"34930000"</f>
        <v>34930000</v>
      </c>
      <c r="C329" t="s">
        <v>8276</v>
      </c>
    </row>
    <row r="330" spans="1:3" x14ac:dyDescent="0.25">
      <c r="A330" t="s">
        <v>7949</v>
      </c>
      <c r="B330" t="str">
        <f>"34950000"</f>
        <v>34950000</v>
      </c>
      <c r="C330" t="s">
        <v>8277</v>
      </c>
    </row>
    <row r="331" spans="1:3" x14ac:dyDescent="0.25">
      <c r="A331" t="s">
        <v>7949</v>
      </c>
      <c r="B331" t="str">
        <f>"34970000"</f>
        <v>34970000</v>
      </c>
      <c r="C331" t="s">
        <v>8278</v>
      </c>
    </row>
    <row r="332" spans="1:3" x14ac:dyDescent="0.25">
      <c r="A332" t="s">
        <v>7949</v>
      </c>
      <c r="B332" t="str">
        <f>"35000000"</f>
        <v>35000000</v>
      </c>
      <c r="C332" t="s">
        <v>8279</v>
      </c>
    </row>
    <row r="333" spans="1:3" x14ac:dyDescent="0.25">
      <c r="A333" t="s">
        <v>7949</v>
      </c>
      <c r="B333" t="str">
        <f>"35010000"</f>
        <v>35010000</v>
      </c>
      <c r="C333" t="s">
        <v>8280</v>
      </c>
    </row>
    <row r="334" spans="1:3" x14ac:dyDescent="0.25">
      <c r="A334" t="s">
        <v>7949</v>
      </c>
      <c r="B334" t="str">
        <f>"35020000"</f>
        <v>35020000</v>
      </c>
      <c r="C334" t="s">
        <v>8281</v>
      </c>
    </row>
    <row r="335" spans="1:3" x14ac:dyDescent="0.25">
      <c r="A335" t="s">
        <v>7949</v>
      </c>
      <c r="B335" t="str">
        <f>"35040000"</f>
        <v>35040000</v>
      </c>
      <c r="C335" t="s">
        <v>8085</v>
      </c>
    </row>
    <row r="336" spans="1:3" x14ac:dyDescent="0.25">
      <c r="A336" t="s">
        <v>7949</v>
      </c>
      <c r="B336" t="str">
        <f>"35060000"</f>
        <v>35060000</v>
      </c>
      <c r="C336" t="s">
        <v>8282</v>
      </c>
    </row>
    <row r="337" spans="1:3" x14ac:dyDescent="0.25">
      <c r="A337" t="s">
        <v>7949</v>
      </c>
      <c r="B337" t="str">
        <f>"35061000"</f>
        <v>35061000</v>
      </c>
      <c r="C337" t="s">
        <v>8283</v>
      </c>
    </row>
    <row r="338" spans="1:3" x14ac:dyDescent="0.25">
      <c r="A338" t="s">
        <v>7949</v>
      </c>
      <c r="B338" t="str">
        <f>"35062000"</f>
        <v>35062000</v>
      </c>
      <c r="C338" t="s">
        <v>8284</v>
      </c>
    </row>
    <row r="339" spans="1:3" x14ac:dyDescent="0.25">
      <c r="A339" t="s">
        <v>7949</v>
      </c>
      <c r="B339" t="str">
        <f>"35080000"</f>
        <v>35080000</v>
      </c>
      <c r="C339" t="s">
        <v>8285</v>
      </c>
    </row>
    <row r="340" spans="1:3" x14ac:dyDescent="0.25">
      <c r="A340" t="s">
        <v>7949</v>
      </c>
      <c r="B340" t="str">
        <f>"37000000"</f>
        <v>37000000</v>
      </c>
      <c r="C340" t="s">
        <v>8286</v>
      </c>
    </row>
    <row r="341" spans="1:3" x14ac:dyDescent="0.25">
      <c r="A341" t="s">
        <v>7949</v>
      </c>
      <c r="B341" t="str">
        <f>"37010000"</f>
        <v>37010000</v>
      </c>
      <c r="C341" t="s">
        <v>8287</v>
      </c>
    </row>
    <row r="342" spans="1:3" x14ac:dyDescent="0.25">
      <c r="A342" t="s">
        <v>7949</v>
      </c>
      <c r="B342" t="str">
        <f>"37020000"</f>
        <v>37020000</v>
      </c>
      <c r="C342" t="s">
        <v>8288</v>
      </c>
    </row>
    <row r="343" spans="1:3" x14ac:dyDescent="0.25">
      <c r="A343" t="s">
        <v>7949</v>
      </c>
      <c r="B343" t="str">
        <f>"39000000"</f>
        <v>39000000</v>
      </c>
      <c r="C343" t="str">
        <f>"3497"</f>
        <v>3497</v>
      </c>
    </row>
    <row r="344" spans="1:3" x14ac:dyDescent="0.25">
      <c r="A344" t="s">
        <v>7949</v>
      </c>
      <c r="B344" t="str">
        <f>"39100000"</f>
        <v>39100000</v>
      </c>
      <c r="C344" t="s">
        <v>8289</v>
      </c>
    </row>
    <row r="345" spans="1:3" x14ac:dyDescent="0.25">
      <c r="A345" t="s">
        <v>7949</v>
      </c>
      <c r="B345" t="str">
        <f>"39110000"</f>
        <v>39110000</v>
      </c>
      <c r="C345" t="s">
        <v>8290</v>
      </c>
    </row>
    <row r="346" spans="1:3" x14ac:dyDescent="0.25">
      <c r="A346" t="s">
        <v>7949</v>
      </c>
      <c r="B346" t="str">
        <f>"39120000"</f>
        <v>39120000</v>
      </c>
      <c r="C346" t="s">
        <v>8291</v>
      </c>
    </row>
    <row r="347" spans="1:3" x14ac:dyDescent="0.25">
      <c r="A347" t="s">
        <v>7949</v>
      </c>
      <c r="B347" t="str">
        <f>"39130000"</f>
        <v>39130000</v>
      </c>
      <c r="C347" t="s">
        <v>8292</v>
      </c>
    </row>
    <row r="348" spans="1:3" x14ac:dyDescent="0.25">
      <c r="A348" t="s">
        <v>7949</v>
      </c>
      <c r="B348" t="str">
        <f>"39140000"</f>
        <v>39140000</v>
      </c>
      <c r="C348" t="s">
        <v>8293</v>
      </c>
    </row>
    <row r="349" spans="1:3" x14ac:dyDescent="0.25">
      <c r="A349" t="s">
        <v>7949</v>
      </c>
      <c r="B349" t="str">
        <f>"39150000"</f>
        <v>39150000</v>
      </c>
      <c r="C349" t="s">
        <v>8294</v>
      </c>
    </row>
    <row r="350" spans="1:3" x14ac:dyDescent="0.25">
      <c r="A350" t="s">
        <v>7949</v>
      </c>
      <c r="B350" t="str">
        <f>"39400000"</f>
        <v>39400000</v>
      </c>
      <c r="C350" t="s">
        <v>8295</v>
      </c>
    </row>
    <row r="351" spans="1:3" x14ac:dyDescent="0.25">
      <c r="A351" t="s">
        <v>7949</v>
      </c>
      <c r="B351" t="str">
        <f>"39410000"</f>
        <v>39410000</v>
      </c>
      <c r="C351" t="s">
        <v>8296</v>
      </c>
    </row>
    <row r="352" spans="1:3" x14ac:dyDescent="0.25">
      <c r="A352" t="s">
        <v>7949</v>
      </c>
      <c r="B352" t="str">
        <f>"39420000"</f>
        <v>39420000</v>
      </c>
      <c r="C352" t="s">
        <v>8297</v>
      </c>
    </row>
    <row r="353" spans="1:3" x14ac:dyDescent="0.25">
      <c r="A353" t="s">
        <v>7949</v>
      </c>
      <c r="B353" t="str">
        <f>"39430000"</f>
        <v>39430000</v>
      </c>
      <c r="C353" t="s">
        <v>8298</v>
      </c>
    </row>
    <row r="354" spans="1:3" x14ac:dyDescent="0.25">
      <c r="A354" t="s">
        <v>7949</v>
      </c>
      <c r="B354" t="str">
        <f>"39460000"</f>
        <v>39460000</v>
      </c>
      <c r="C354" t="s">
        <v>8299</v>
      </c>
    </row>
    <row r="355" spans="1:3" x14ac:dyDescent="0.25">
      <c r="A355" t="s">
        <v>7949</v>
      </c>
      <c r="B355" t="str">
        <f>"39480000"</f>
        <v>39480000</v>
      </c>
      <c r="C355" t="s">
        <v>8300</v>
      </c>
    </row>
    <row r="356" spans="1:3" x14ac:dyDescent="0.25">
      <c r="A356" t="s">
        <v>7949</v>
      </c>
      <c r="B356" t="str">
        <f>"39500000"</f>
        <v>39500000</v>
      </c>
      <c r="C356" t="s">
        <v>8301</v>
      </c>
    </row>
    <row r="357" spans="1:3" x14ac:dyDescent="0.25">
      <c r="A357" t="s">
        <v>7949</v>
      </c>
      <c r="B357" t="str">
        <f>"40000000"</f>
        <v>40000000</v>
      </c>
      <c r="C357" t="s">
        <v>8302</v>
      </c>
    </row>
    <row r="358" spans="1:3" x14ac:dyDescent="0.25">
      <c r="A358" t="s">
        <v>7949</v>
      </c>
      <c r="B358" t="str">
        <f>"411100079"</f>
        <v>411100079</v>
      </c>
      <c r="C358" t="s">
        <v>80</v>
      </c>
    </row>
    <row r="359" spans="1:3" x14ac:dyDescent="0.25">
      <c r="A359" t="s">
        <v>7949</v>
      </c>
      <c r="B359" t="str">
        <f>"411100938"</f>
        <v>411100938</v>
      </c>
      <c r="C359" t="s">
        <v>935</v>
      </c>
    </row>
    <row r="360" spans="1:3" x14ac:dyDescent="0.25">
      <c r="A360" t="s">
        <v>7949</v>
      </c>
      <c r="B360" t="str">
        <f>"411101175"</f>
        <v>411101175</v>
      </c>
      <c r="C360" t="s">
        <v>8303</v>
      </c>
    </row>
    <row r="361" spans="1:3" x14ac:dyDescent="0.25">
      <c r="A361" t="s">
        <v>7949</v>
      </c>
      <c r="B361" t="str">
        <f>"411101483"</f>
        <v>411101483</v>
      </c>
      <c r="C361" t="s">
        <v>1480</v>
      </c>
    </row>
    <row r="362" spans="1:3" x14ac:dyDescent="0.25">
      <c r="A362" t="s">
        <v>7949</v>
      </c>
      <c r="B362" t="str">
        <f>"411101490"</f>
        <v>411101490</v>
      </c>
      <c r="C362" t="s">
        <v>1487</v>
      </c>
    </row>
    <row r="363" spans="1:3" x14ac:dyDescent="0.25">
      <c r="A363" t="s">
        <v>7949</v>
      </c>
      <c r="B363" t="str">
        <f>"411101599"</f>
        <v>411101599</v>
      </c>
      <c r="C363" t="s">
        <v>1595</v>
      </c>
    </row>
    <row r="364" spans="1:3" x14ac:dyDescent="0.25">
      <c r="A364" t="s">
        <v>7949</v>
      </c>
      <c r="B364" t="str">
        <f>"411101688"</f>
        <v>411101688</v>
      </c>
      <c r="C364" t="s">
        <v>1684</v>
      </c>
    </row>
    <row r="365" spans="1:3" x14ac:dyDescent="0.25">
      <c r="A365" t="s">
        <v>7949</v>
      </c>
      <c r="B365" t="str">
        <f>"411101725"</f>
        <v>411101725</v>
      </c>
      <c r="C365" t="s">
        <v>8304</v>
      </c>
    </row>
    <row r="366" spans="1:3" x14ac:dyDescent="0.25">
      <c r="A366" t="s">
        <v>7949</v>
      </c>
      <c r="B366" t="str">
        <f>"44110000"</f>
        <v>44110000</v>
      </c>
      <c r="C366" t="s">
        <v>8305</v>
      </c>
    </row>
    <row r="367" spans="1:3" x14ac:dyDescent="0.25">
      <c r="A367" t="s">
        <v>7949</v>
      </c>
      <c r="B367" t="str">
        <f>"44110001"</f>
        <v>44110001</v>
      </c>
      <c r="C367" t="s">
        <v>8306</v>
      </c>
    </row>
    <row r="368" spans="1:3" x14ac:dyDescent="0.25">
      <c r="A368" t="s">
        <v>7949</v>
      </c>
      <c r="B368" t="str">
        <f>"44110002"</f>
        <v>44110002</v>
      </c>
      <c r="C368" t="s">
        <v>8307</v>
      </c>
    </row>
    <row r="369" spans="1:3" x14ac:dyDescent="0.25">
      <c r="A369" t="s">
        <v>7949</v>
      </c>
      <c r="B369" t="str">
        <f>"44110003"</f>
        <v>44110003</v>
      </c>
      <c r="C369" t="s">
        <v>8308</v>
      </c>
    </row>
    <row r="370" spans="1:3" x14ac:dyDescent="0.25">
      <c r="A370" t="s">
        <v>7949</v>
      </c>
      <c r="B370" t="str">
        <f>"44110004"</f>
        <v>44110004</v>
      </c>
      <c r="C370" t="s">
        <v>8309</v>
      </c>
    </row>
    <row r="371" spans="1:3" x14ac:dyDescent="0.25">
      <c r="A371" t="s">
        <v>7949</v>
      </c>
      <c r="B371" t="str">
        <f>"44111000"</f>
        <v>44111000</v>
      </c>
      <c r="C371" t="s">
        <v>8310</v>
      </c>
    </row>
    <row r="372" spans="1:3" x14ac:dyDescent="0.25">
      <c r="A372" t="s">
        <v>7949</v>
      </c>
      <c r="B372" t="str">
        <f>"44118000"</f>
        <v>44118000</v>
      </c>
      <c r="C372" t="s">
        <v>8311</v>
      </c>
    </row>
    <row r="373" spans="1:3" x14ac:dyDescent="0.25">
      <c r="A373" t="s">
        <v>7949</v>
      </c>
      <c r="B373" t="str">
        <f>"44119000"</f>
        <v>44119000</v>
      </c>
      <c r="C373" t="s">
        <v>8312</v>
      </c>
    </row>
    <row r="374" spans="1:3" x14ac:dyDescent="0.25">
      <c r="A374" t="s">
        <v>7949</v>
      </c>
      <c r="B374" t="str">
        <f>"44130000"</f>
        <v>44130000</v>
      </c>
      <c r="C374" t="s">
        <v>8313</v>
      </c>
    </row>
    <row r="375" spans="1:3" x14ac:dyDescent="0.25">
      <c r="A375" t="s">
        <v>7949</v>
      </c>
      <c r="B375" t="str">
        <f>"44150000"</f>
        <v>44150000</v>
      </c>
      <c r="C375" t="s">
        <v>8314</v>
      </c>
    </row>
    <row r="376" spans="1:3" x14ac:dyDescent="0.25">
      <c r="A376" t="s">
        <v>7949</v>
      </c>
      <c r="B376" t="str">
        <f>"44151000"</f>
        <v>44151000</v>
      </c>
      <c r="C376" t="s">
        <v>8315</v>
      </c>
    </row>
    <row r="377" spans="1:3" x14ac:dyDescent="0.25">
      <c r="A377" t="s">
        <v>7949</v>
      </c>
      <c r="B377" t="str">
        <f>"44151601"</f>
        <v>44151601</v>
      </c>
      <c r="C377" t="s">
        <v>8316</v>
      </c>
    </row>
    <row r="378" spans="1:3" x14ac:dyDescent="0.25">
      <c r="A378" t="s">
        <v>7949</v>
      </c>
      <c r="B378" t="str">
        <f>"44151602"</f>
        <v>44151602</v>
      </c>
      <c r="C378" t="s">
        <v>8317</v>
      </c>
    </row>
    <row r="379" spans="1:3" x14ac:dyDescent="0.25">
      <c r="A379" t="s">
        <v>7949</v>
      </c>
      <c r="B379" t="str">
        <f>"44151603"</f>
        <v>44151603</v>
      </c>
      <c r="C379" t="s">
        <v>8318</v>
      </c>
    </row>
    <row r="380" spans="1:3" x14ac:dyDescent="0.25">
      <c r="A380" t="s">
        <v>7949</v>
      </c>
      <c r="B380" t="str">
        <f>"44151604"</f>
        <v>44151604</v>
      </c>
      <c r="C380" t="s">
        <v>8319</v>
      </c>
    </row>
    <row r="381" spans="1:3" x14ac:dyDescent="0.25">
      <c r="A381" t="s">
        <v>7949</v>
      </c>
      <c r="B381" t="str">
        <f>"44151605"</f>
        <v>44151605</v>
      </c>
      <c r="C381" t="s">
        <v>8320</v>
      </c>
    </row>
    <row r="382" spans="1:3" x14ac:dyDescent="0.25">
      <c r="A382" t="s">
        <v>7949</v>
      </c>
      <c r="B382" t="str">
        <f>"44151606"</f>
        <v>44151606</v>
      </c>
      <c r="C382" t="s">
        <v>8321</v>
      </c>
    </row>
    <row r="383" spans="1:3" x14ac:dyDescent="0.25">
      <c r="A383" t="s">
        <v>7949</v>
      </c>
      <c r="B383" t="str">
        <f>"44151607"</f>
        <v>44151607</v>
      </c>
      <c r="C383" t="s">
        <v>8322</v>
      </c>
    </row>
    <row r="384" spans="1:3" x14ac:dyDescent="0.25">
      <c r="A384" t="s">
        <v>7949</v>
      </c>
      <c r="B384" t="str">
        <f>"44152000"</f>
        <v>44152000</v>
      </c>
      <c r="C384" t="s">
        <v>8323</v>
      </c>
    </row>
    <row r="385" spans="1:3" x14ac:dyDescent="0.25">
      <c r="A385" t="s">
        <v>7949</v>
      </c>
      <c r="B385" t="str">
        <f>"44170000"</f>
        <v>44170000</v>
      </c>
      <c r="C385" t="s">
        <v>8324</v>
      </c>
    </row>
    <row r="386" spans="1:3" x14ac:dyDescent="0.25">
      <c r="A386" t="s">
        <v>7949</v>
      </c>
      <c r="B386" t="str">
        <f>"44170001"</f>
        <v>44170001</v>
      </c>
      <c r="C386" t="s">
        <v>8325</v>
      </c>
    </row>
    <row r="387" spans="1:3" x14ac:dyDescent="0.25">
      <c r="A387" t="s">
        <v>7949</v>
      </c>
      <c r="B387" t="str">
        <f>"44180000"</f>
        <v>44180000</v>
      </c>
      <c r="C387" t="s">
        <v>8326</v>
      </c>
    </row>
    <row r="388" spans="1:3" x14ac:dyDescent="0.25">
      <c r="A388" t="s">
        <v>7949</v>
      </c>
      <c r="B388" t="str">
        <f>"44200000"</f>
        <v>44200000</v>
      </c>
      <c r="C388" t="s">
        <v>8327</v>
      </c>
    </row>
    <row r="389" spans="1:3" x14ac:dyDescent="0.25">
      <c r="A389" t="s">
        <v>7949</v>
      </c>
      <c r="B389" t="str">
        <f>"44210000"</f>
        <v>44210000</v>
      </c>
      <c r="C389" t="s">
        <v>8328</v>
      </c>
    </row>
    <row r="390" spans="1:3" x14ac:dyDescent="0.25">
      <c r="A390" t="s">
        <v>7949</v>
      </c>
      <c r="B390" t="str">
        <f>"44250000"</f>
        <v>44250000</v>
      </c>
      <c r="C390" t="s">
        <v>8329</v>
      </c>
    </row>
    <row r="391" spans="1:3" x14ac:dyDescent="0.25">
      <c r="A391" t="s">
        <v>7949</v>
      </c>
      <c r="B391" t="str">
        <f>"44270000"</f>
        <v>44270000</v>
      </c>
      <c r="C391" t="s">
        <v>8330</v>
      </c>
    </row>
    <row r="392" spans="1:3" x14ac:dyDescent="0.25">
      <c r="A392" t="s">
        <v>7949</v>
      </c>
      <c r="B392" t="str">
        <f>"44280000"</f>
        <v>44280000</v>
      </c>
      <c r="C392" t="s">
        <v>8331</v>
      </c>
    </row>
    <row r="393" spans="1:3" x14ac:dyDescent="0.25">
      <c r="A393" t="s">
        <v>7949</v>
      </c>
      <c r="B393" t="str">
        <f>"44300000"</f>
        <v>44300000</v>
      </c>
      <c r="C393" t="s">
        <v>8332</v>
      </c>
    </row>
    <row r="394" spans="1:3" x14ac:dyDescent="0.25">
      <c r="A394" t="s">
        <v>7949</v>
      </c>
      <c r="B394" t="str">
        <f>"44320000"</f>
        <v>44320000</v>
      </c>
      <c r="C394" t="s">
        <v>8333</v>
      </c>
    </row>
    <row r="395" spans="1:3" x14ac:dyDescent="0.25">
      <c r="A395" t="s">
        <v>7949</v>
      </c>
      <c r="B395" t="str">
        <f>"44320001"</f>
        <v>44320001</v>
      </c>
      <c r="C395" t="s">
        <v>8334</v>
      </c>
    </row>
    <row r="396" spans="1:3" x14ac:dyDescent="0.25">
      <c r="A396" t="s">
        <v>7949</v>
      </c>
      <c r="B396" t="str">
        <f>"44320002"</f>
        <v>44320002</v>
      </c>
      <c r="C396" t="s">
        <v>8335</v>
      </c>
    </row>
    <row r="397" spans="1:3" x14ac:dyDescent="0.25">
      <c r="A397" t="s">
        <v>7949</v>
      </c>
      <c r="B397" t="str">
        <f>"44320003"</f>
        <v>44320003</v>
      </c>
      <c r="C397" t="s">
        <v>8336</v>
      </c>
    </row>
    <row r="398" spans="1:3" x14ac:dyDescent="0.25">
      <c r="A398" t="s">
        <v>7949</v>
      </c>
      <c r="B398" t="str">
        <f>"44320004"</f>
        <v>44320004</v>
      </c>
      <c r="C398" t="s">
        <v>8337</v>
      </c>
    </row>
    <row r="399" spans="1:3" x14ac:dyDescent="0.25">
      <c r="A399" t="s">
        <v>7949</v>
      </c>
      <c r="B399" t="str">
        <f>"44410000"</f>
        <v>44410000</v>
      </c>
      <c r="C399" t="s">
        <v>8338</v>
      </c>
    </row>
    <row r="400" spans="1:3" x14ac:dyDescent="0.25">
      <c r="A400" t="s">
        <v>7949</v>
      </c>
      <c r="B400" t="str">
        <f>"44410001"</f>
        <v>44410001</v>
      </c>
      <c r="C400" t="s">
        <v>8339</v>
      </c>
    </row>
    <row r="401" spans="1:3" x14ac:dyDescent="0.25">
      <c r="A401" t="s">
        <v>7949</v>
      </c>
      <c r="B401" t="str">
        <f>"44410002"</f>
        <v>44410002</v>
      </c>
      <c r="C401" t="s">
        <v>8340</v>
      </c>
    </row>
    <row r="402" spans="1:3" x14ac:dyDescent="0.25">
      <c r="A402" t="s">
        <v>7949</v>
      </c>
      <c r="B402" t="str">
        <f>"44430000"</f>
        <v>44430000</v>
      </c>
      <c r="C402" t="s">
        <v>8341</v>
      </c>
    </row>
    <row r="403" spans="1:3" x14ac:dyDescent="0.25">
      <c r="A403" t="s">
        <v>7949</v>
      </c>
      <c r="B403" t="str">
        <f>"44480000"</f>
        <v>44480000</v>
      </c>
      <c r="C403" t="s">
        <v>8342</v>
      </c>
    </row>
    <row r="404" spans="1:3" x14ac:dyDescent="0.25">
      <c r="A404" t="s">
        <v>7949</v>
      </c>
      <c r="B404" t="str">
        <f>"44510000"</f>
        <v>44510000</v>
      </c>
      <c r="C404" t="s">
        <v>8343</v>
      </c>
    </row>
    <row r="405" spans="1:3" x14ac:dyDescent="0.25">
      <c r="A405" t="s">
        <v>7949</v>
      </c>
      <c r="B405" t="str">
        <f>"44520000"</f>
        <v>44520000</v>
      </c>
      <c r="C405" t="s">
        <v>8344</v>
      </c>
    </row>
    <row r="406" spans="1:3" x14ac:dyDescent="0.25">
      <c r="A406" t="s">
        <v>7949</v>
      </c>
      <c r="B406" t="str">
        <f>"44520001"</f>
        <v>44520001</v>
      </c>
      <c r="C406" t="s">
        <v>8345</v>
      </c>
    </row>
    <row r="407" spans="1:3" x14ac:dyDescent="0.25">
      <c r="A407" t="s">
        <v>7949</v>
      </c>
      <c r="B407" t="str">
        <f>"44520002"</f>
        <v>44520002</v>
      </c>
      <c r="C407" t="s">
        <v>8346</v>
      </c>
    </row>
    <row r="408" spans="1:3" x14ac:dyDescent="0.25">
      <c r="A408" t="s">
        <v>7949</v>
      </c>
      <c r="B408" t="str">
        <f>"44522000"</f>
        <v>44522000</v>
      </c>
      <c r="C408" t="s">
        <v>8347</v>
      </c>
    </row>
    <row r="409" spans="1:3" x14ac:dyDescent="0.25">
      <c r="A409" t="s">
        <v>7949</v>
      </c>
      <c r="B409" t="str">
        <f>"44525000"</f>
        <v>44525000</v>
      </c>
      <c r="C409" t="s">
        <v>8348</v>
      </c>
    </row>
    <row r="410" spans="1:3" x14ac:dyDescent="0.25">
      <c r="A410" t="s">
        <v>7949</v>
      </c>
      <c r="B410" t="str">
        <f>"44530000"</f>
        <v>44530000</v>
      </c>
      <c r="C410" t="s">
        <v>8349</v>
      </c>
    </row>
    <row r="411" spans="1:3" x14ac:dyDescent="0.25">
      <c r="A411" t="s">
        <v>7949</v>
      </c>
      <c r="B411" t="str">
        <f>"44550000"</f>
        <v>44550000</v>
      </c>
      <c r="C411" t="s">
        <v>8350</v>
      </c>
    </row>
    <row r="412" spans="1:3" x14ac:dyDescent="0.25">
      <c r="A412" t="s">
        <v>7949</v>
      </c>
      <c r="B412" t="str">
        <f>"44550001"</f>
        <v>44550001</v>
      </c>
      <c r="C412" t="s">
        <v>8351</v>
      </c>
    </row>
    <row r="413" spans="1:3" x14ac:dyDescent="0.25">
      <c r="A413" t="s">
        <v>7949</v>
      </c>
      <c r="B413" t="str">
        <f>"44550004"</f>
        <v>44550004</v>
      </c>
      <c r="C413" t="s">
        <v>8352</v>
      </c>
    </row>
    <row r="414" spans="1:3" x14ac:dyDescent="0.25">
      <c r="A414" t="s">
        <v>7949</v>
      </c>
      <c r="B414" t="str">
        <f>"44550020"</f>
        <v>44550020</v>
      </c>
      <c r="C414" t="s">
        <v>8353</v>
      </c>
    </row>
    <row r="415" spans="1:3" x14ac:dyDescent="0.25">
      <c r="A415" t="s">
        <v>7949</v>
      </c>
      <c r="B415" t="str">
        <f>"44560000"</f>
        <v>44560000</v>
      </c>
      <c r="C415" t="s">
        <v>8354</v>
      </c>
    </row>
    <row r="416" spans="1:3" x14ac:dyDescent="0.25">
      <c r="A416" t="s">
        <v>7949</v>
      </c>
      <c r="B416" t="str">
        <f>"44570000"</f>
        <v>44570000</v>
      </c>
      <c r="C416" t="s">
        <v>8355</v>
      </c>
    </row>
    <row r="417" spans="1:3" x14ac:dyDescent="0.25">
      <c r="A417" t="s">
        <v>7949</v>
      </c>
      <c r="B417" t="str">
        <f>"44580001"</f>
        <v>44580001</v>
      </c>
      <c r="C417" t="s">
        <v>8356</v>
      </c>
    </row>
    <row r="418" spans="1:3" x14ac:dyDescent="0.25">
      <c r="A418" t="s">
        <v>7949</v>
      </c>
      <c r="B418" t="str">
        <f>"44580002"</f>
        <v>44580002</v>
      </c>
      <c r="C418" t="s">
        <v>8357</v>
      </c>
    </row>
    <row r="419" spans="1:3" x14ac:dyDescent="0.25">
      <c r="A419" t="s">
        <v>7949</v>
      </c>
      <c r="B419" t="str">
        <f>"44580003"</f>
        <v>44580003</v>
      </c>
      <c r="C419" t="s">
        <v>8358</v>
      </c>
    </row>
    <row r="420" spans="1:3" x14ac:dyDescent="0.25">
      <c r="A420" t="s">
        <v>7949</v>
      </c>
      <c r="B420" t="str">
        <f>"44630000"</f>
        <v>44630000</v>
      </c>
      <c r="C420" t="s">
        <v>8359</v>
      </c>
    </row>
    <row r="421" spans="1:3" x14ac:dyDescent="0.25">
      <c r="A421" t="s">
        <v>7949</v>
      </c>
      <c r="B421" t="str">
        <f>"44650000"</f>
        <v>44650000</v>
      </c>
      <c r="C421" t="s">
        <v>8360</v>
      </c>
    </row>
    <row r="422" spans="1:3" x14ac:dyDescent="0.25">
      <c r="A422" t="s">
        <v>7949</v>
      </c>
      <c r="B422" t="str">
        <f>"44880000"</f>
        <v>44880000</v>
      </c>
      <c r="C422" t="s">
        <v>8361</v>
      </c>
    </row>
    <row r="423" spans="1:3" x14ac:dyDescent="0.25">
      <c r="A423" t="s">
        <v>7949</v>
      </c>
      <c r="B423" t="str">
        <f>"44880001"</f>
        <v>44880001</v>
      </c>
      <c r="C423" t="s">
        <v>8362</v>
      </c>
    </row>
    <row r="424" spans="1:3" x14ac:dyDescent="0.25">
      <c r="A424" t="s">
        <v>7949</v>
      </c>
      <c r="B424" t="str">
        <f>"44880002"</f>
        <v>44880002</v>
      </c>
      <c r="C424" t="s">
        <v>8363</v>
      </c>
    </row>
    <row r="425" spans="1:3" x14ac:dyDescent="0.25">
      <c r="A425" t="s">
        <v>7949</v>
      </c>
      <c r="B425" t="str">
        <f>"44930000"</f>
        <v>44930000</v>
      </c>
      <c r="C425" t="s">
        <v>8364</v>
      </c>
    </row>
    <row r="426" spans="1:3" x14ac:dyDescent="0.25">
      <c r="A426" t="s">
        <v>7949</v>
      </c>
      <c r="B426" t="str">
        <f>"44970000"</f>
        <v>44970000</v>
      </c>
      <c r="C426" t="s">
        <v>8365</v>
      </c>
    </row>
    <row r="427" spans="1:3" x14ac:dyDescent="0.25">
      <c r="A427" t="s">
        <v>7949</v>
      </c>
      <c r="B427" t="str">
        <f>"45060000"</f>
        <v>45060000</v>
      </c>
      <c r="C427" t="s">
        <v>8366</v>
      </c>
    </row>
    <row r="428" spans="1:3" x14ac:dyDescent="0.25">
      <c r="A428" t="s">
        <v>7949</v>
      </c>
      <c r="B428" t="str">
        <f>"47010000"</f>
        <v>47010000</v>
      </c>
      <c r="C428" t="s">
        <v>8367</v>
      </c>
    </row>
    <row r="429" spans="1:3" x14ac:dyDescent="0.25">
      <c r="A429" t="s">
        <v>7949</v>
      </c>
      <c r="B429" t="str">
        <f>"47020000"</f>
        <v>47020000</v>
      </c>
      <c r="C429" t="s">
        <v>8368</v>
      </c>
    </row>
    <row r="430" spans="1:3" x14ac:dyDescent="0.25">
      <c r="A430" t="s">
        <v>7949</v>
      </c>
      <c r="B430" t="str">
        <f>"51112000"</f>
        <v>51112000</v>
      </c>
      <c r="C430" t="s">
        <v>8369</v>
      </c>
    </row>
    <row r="431" spans="1:3" x14ac:dyDescent="0.25">
      <c r="A431" t="s">
        <v>7949</v>
      </c>
      <c r="B431" t="str">
        <f>"51150000"</f>
        <v>51150000</v>
      </c>
      <c r="C431" t="s">
        <v>8370</v>
      </c>
    </row>
    <row r="432" spans="1:3" x14ac:dyDescent="0.25">
      <c r="A432" t="s">
        <v>7949</v>
      </c>
      <c r="B432" t="str">
        <f>"51410000"</f>
        <v>51410000</v>
      </c>
      <c r="C432" t="s">
        <v>8371</v>
      </c>
    </row>
    <row r="433" spans="1:3" x14ac:dyDescent="0.25">
      <c r="A433" t="s">
        <v>7949</v>
      </c>
      <c r="B433" t="str">
        <f>"51410001"</f>
        <v>51410001</v>
      </c>
      <c r="C433" t="s">
        <v>8372</v>
      </c>
    </row>
    <row r="434" spans="1:3" x14ac:dyDescent="0.25">
      <c r="A434" t="s">
        <v>7949</v>
      </c>
      <c r="B434" t="str">
        <f>"51410002"</f>
        <v>51410002</v>
      </c>
      <c r="C434" t="s">
        <v>8373</v>
      </c>
    </row>
    <row r="435" spans="1:3" x14ac:dyDescent="0.25">
      <c r="A435" t="s">
        <v>7949</v>
      </c>
      <c r="B435" t="str">
        <f>"51410003"</f>
        <v>51410003</v>
      </c>
      <c r="C435" t="s">
        <v>8374</v>
      </c>
    </row>
    <row r="436" spans="1:3" x14ac:dyDescent="0.25">
      <c r="A436" t="s">
        <v>7949</v>
      </c>
      <c r="B436" t="str">
        <f>"51410004"</f>
        <v>51410004</v>
      </c>
      <c r="C436" t="s">
        <v>8375</v>
      </c>
    </row>
    <row r="437" spans="1:3" x14ac:dyDescent="0.25">
      <c r="A437" t="s">
        <v>7949</v>
      </c>
      <c r="B437" t="str">
        <f>"51410005"</f>
        <v>51410005</v>
      </c>
      <c r="C437" t="s">
        <v>8376</v>
      </c>
    </row>
    <row r="438" spans="1:3" x14ac:dyDescent="0.25">
      <c r="A438" t="s">
        <v>7949</v>
      </c>
      <c r="B438" t="str">
        <f>"51410006"</f>
        <v>51410006</v>
      </c>
      <c r="C438" t="s">
        <v>8377</v>
      </c>
    </row>
    <row r="439" spans="1:3" x14ac:dyDescent="0.25">
      <c r="A439" t="s">
        <v>7949</v>
      </c>
      <c r="B439" t="str">
        <f>"51420000"</f>
        <v>51420000</v>
      </c>
      <c r="C439" t="s">
        <v>8378</v>
      </c>
    </row>
    <row r="440" spans="1:3" x14ac:dyDescent="0.25">
      <c r="A440" t="s">
        <v>7949</v>
      </c>
      <c r="B440" t="str">
        <f>"51430000"</f>
        <v>51430000</v>
      </c>
      <c r="C440" t="s">
        <v>8379</v>
      </c>
    </row>
    <row r="441" spans="1:3" x14ac:dyDescent="0.25">
      <c r="A441" t="s">
        <v>7949</v>
      </c>
      <c r="B441" t="str">
        <f>"51460000"</f>
        <v>51460000</v>
      </c>
      <c r="C441" t="s">
        <v>8380</v>
      </c>
    </row>
    <row r="442" spans="1:3" x14ac:dyDescent="0.25">
      <c r="A442" t="s">
        <v>7949</v>
      </c>
      <c r="B442" t="str">
        <f>"51480000"</f>
        <v>51480000</v>
      </c>
      <c r="C442" t="s">
        <v>8381</v>
      </c>
    </row>
    <row r="443" spans="1:3" x14ac:dyDescent="0.25">
      <c r="A443" t="s">
        <v>7949</v>
      </c>
      <c r="B443" t="str">
        <f>"51600000"</f>
        <v>51600000</v>
      </c>
      <c r="C443" t="s">
        <v>8382</v>
      </c>
    </row>
    <row r="444" spans="1:3" x14ac:dyDescent="0.25">
      <c r="A444" t="s">
        <v>7949</v>
      </c>
      <c r="B444" t="str">
        <f>"51610000"</f>
        <v>51610000</v>
      </c>
      <c r="C444" t="s">
        <v>8383</v>
      </c>
    </row>
    <row r="445" spans="1:3" x14ac:dyDescent="0.25">
      <c r="A445" t="s">
        <v>7949</v>
      </c>
      <c r="B445" t="str">
        <f>"51610001"</f>
        <v>51610001</v>
      </c>
      <c r="C445" t="s">
        <v>8384</v>
      </c>
    </row>
    <row r="446" spans="1:3" x14ac:dyDescent="0.25">
      <c r="A446" t="s">
        <v>7949</v>
      </c>
      <c r="B446" t="str">
        <f>"51650000"</f>
        <v>51650000</v>
      </c>
      <c r="C446" t="s">
        <v>8385</v>
      </c>
    </row>
    <row r="447" spans="1:3" x14ac:dyDescent="0.25">
      <c r="A447" t="s">
        <v>7949</v>
      </c>
      <c r="B447" t="str">
        <f>"55000000"</f>
        <v>55000000</v>
      </c>
      <c r="C447" t="s">
        <v>8386</v>
      </c>
    </row>
    <row r="448" spans="1:3" x14ac:dyDescent="0.25">
      <c r="A448" t="s">
        <v>7949</v>
      </c>
      <c r="B448" t="str">
        <f>"55200000"</f>
        <v>55200000</v>
      </c>
      <c r="C448" t="s">
        <v>8387</v>
      </c>
    </row>
    <row r="449" spans="1:3" x14ac:dyDescent="0.25">
      <c r="A449" t="s">
        <v>7949</v>
      </c>
      <c r="B449" t="str">
        <f>"55201000"</f>
        <v>55201000</v>
      </c>
      <c r="C449" t="s">
        <v>8388</v>
      </c>
    </row>
    <row r="450" spans="1:3" x14ac:dyDescent="0.25">
      <c r="A450" t="s">
        <v>7949</v>
      </c>
      <c r="B450" t="str">
        <f>"55300000"</f>
        <v>55300000</v>
      </c>
      <c r="C450" t="s">
        <v>8389</v>
      </c>
    </row>
    <row r="451" spans="1:3" x14ac:dyDescent="0.25">
      <c r="A451" t="s">
        <v>7949</v>
      </c>
      <c r="B451" t="str">
        <f>"55300001"</f>
        <v>55300001</v>
      </c>
      <c r="C451" t="s">
        <v>8390</v>
      </c>
    </row>
    <row r="452" spans="1:3" x14ac:dyDescent="0.25">
      <c r="A452" t="s">
        <v>7949</v>
      </c>
      <c r="B452" t="str">
        <f>"55300002"</f>
        <v>55300002</v>
      </c>
      <c r="C452" t="s">
        <v>8391</v>
      </c>
    </row>
    <row r="453" spans="1:3" x14ac:dyDescent="0.25">
      <c r="A453" t="s">
        <v>7949</v>
      </c>
      <c r="B453" t="str">
        <f>"55400000"</f>
        <v>55400000</v>
      </c>
      <c r="C453" t="s">
        <v>8392</v>
      </c>
    </row>
    <row r="454" spans="1:3" x14ac:dyDescent="0.25">
      <c r="A454" t="s">
        <v>7949</v>
      </c>
      <c r="B454" t="str">
        <f>"55410000"</f>
        <v>55410000</v>
      </c>
      <c r="C454" t="s">
        <v>8392</v>
      </c>
    </row>
    <row r="455" spans="1:3" x14ac:dyDescent="0.25">
      <c r="A455" t="s">
        <v>7949</v>
      </c>
      <c r="B455" t="str">
        <f>"55480000"</f>
        <v>55480000</v>
      </c>
      <c r="C455" t="s">
        <v>8393</v>
      </c>
    </row>
    <row r="456" spans="1:3" x14ac:dyDescent="0.25">
      <c r="A456" t="s">
        <v>7949</v>
      </c>
      <c r="B456" t="str">
        <f>"59000000"</f>
        <v>59000000</v>
      </c>
      <c r="C456" t="s">
        <v>8394</v>
      </c>
    </row>
    <row r="457" spans="1:3" x14ac:dyDescent="0.25">
      <c r="A457" t="s">
        <v>7949</v>
      </c>
      <c r="B457" t="str">
        <f>"60000000"</f>
        <v>60000000</v>
      </c>
      <c r="C457" t="s">
        <v>8395</v>
      </c>
    </row>
    <row r="458" spans="1:3" x14ac:dyDescent="0.25">
      <c r="A458" t="s">
        <v>7949</v>
      </c>
      <c r="B458" t="str">
        <f>"61000000"</f>
        <v>61000000</v>
      </c>
      <c r="C458" t="s">
        <v>8396</v>
      </c>
    </row>
    <row r="459" spans="1:3" x14ac:dyDescent="0.25">
      <c r="A459" t="s">
        <v>7949</v>
      </c>
      <c r="B459" t="str">
        <f>"61100000"</f>
        <v>61100000</v>
      </c>
      <c r="C459" t="s">
        <v>8397</v>
      </c>
    </row>
    <row r="460" spans="1:3" x14ac:dyDescent="0.25">
      <c r="A460" t="s">
        <v>7949</v>
      </c>
      <c r="B460" t="str">
        <f>"61100001"</f>
        <v>61100001</v>
      </c>
      <c r="C460" t="s">
        <v>8398</v>
      </c>
    </row>
    <row r="461" spans="1:3" x14ac:dyDescent="0.25">
      <c r="A461" t="s">
        <v>7949</v>
      </c>
      <c r="B461" t="str">
        <f>"61100002"</f>
        <v>61100002</v>
      </c>
      <c r="C461" t="s">
        <v>8399</v>
      </c>
    </row>
    <row r="462" spans="1:3" x14ac:dyDescent="0.25">
      <c r="A462" t="s">
        <v>7949</v>
      </c>
      <c r="B462" t="str">
        <f>"61110000"</f>
        <v>61110000</v>
      </c>
      <c r="C462" t="s">
        <v>8400</v>
      </c>
    </row>
    <row r="463" spans="1:3" x14ac:dyDescent="0.25">
      <c r="A463" t="s">
        <v>7949</v>
      </c>
      <c r="B463" t="str">
        <f>"61110201"</f>
        <v>61110201</v>
      </c>
      <c r="C463" t="s">
        <v>8401</v>
      </c>
    </row>
    <row r="464" spans="1:3" x14ac:dyDescent="0.25">
      <c r="A464" t="s">
        <v>7949</v>
      </c>
      <c r="B464" t="str">
        <f>"61111000"</f>
        <v>61111000</v>
      </c>
      <c r="C464" t="s">
        <v>8402</v>
      </c>
    </row>
    <row r="465" spans="1:3" x14ac:dyDescent="0.25">
      <c r="A465" t="s">
        <v>7949</v>
      </c>
      <c r="B465" t="str">
        <f>"61120000"</f>
        <v>61120000</v>
      </c>
      <c r="C465" t="s">
        <v>8403</v>
      </c>
    </row>
    <row r="466" spans="1:3" x14ac:dyDescent="0.25">
      <c r="A466" t="s">
        <v>7949</v>
      </c>
      <c r="B466" t="str">
        <f>"61120001"</f>
        <v>61120001</v>
      </c>
      <c r="C466" t="s">
        <v>8404</v>
      </c>
    </row>
    <row r="467" spans="1:3" x14ac:dyDescent="0.25">
      <c r="A467" t="s">
        <v>7949</v>
      </c>
      <c r="B467" t="str">
        <f>"61120002"</f>
        <v>61120002</v>
      </c>
      <c r="C467" t="s">
        <v>8405</v>
      </c>
    </row>
    <row r="468" spans="1:3" x14ac:dyDescent="0.25">
      <c r="A468" t="s">
        <v>7949</v>
      </c>
      <c r="B468" t="str">
        <f>"61120003"</f>
        <v>61120003</v>
      </c>
      <c r="C468" t="s">
        <v>8401</v>
      </c>
    </row>
    <row r="469" spans="1:3" x14ac:dyDescent="0.25">
      <c r="A469" t="s">
        <v>7949</v>
      </c>
      <c r="B469" t="str">
        <f>"61120004"</f>
        <v>61120004</v>
      </c>
      <c r="C469" t="s">
        <v>8406</v>
      </c>
    </row>
    <row r="470" spans="1:3" x14ac:dyDescent="0.25">
      <c r="A470" t="s">
        <v>7949</v>
      </c>
      <c r="B470" t="str">
        <f>"61120005"</f>
        <v>61120005</v>
      </c>
      <c r="C470" t="s">
        <v>8407</v>
      </c>
    </row>
    <row r="471" spans="1:3" x14ac:dyDescent="0.25">
      <c r="A471" t="s">
        <v>7949</v>
      </c>
      <c r="B471" t="str">
        <f>"61140000"</f>
        <v>61140000</v>
      </c>
      <c r="C471" t="s">
        <v>8408</v>
      </c>
    </row>
    <row r="472" spans="1:3" x14ac:dyDescent="0.25">
      <c r="A472" t="s">
        <v>7949</v>
      </c>
      <c r="B472" t="str">
        <f>"61180000"</f>
        <v>61180000</v>
      </c>
      <c r="C472" t="s">
        <v>8409</v>
      </c>
    </row>
    <row r="473" spans="1:3" x14ac:dyDescent="0.25">
      <c r="A473" t="s">
        <v>7949</v>
      </c>
      <c r="B473" t="str">
        <f>"61190000"</f>
        <v>61190000</v>
      </c>
      <c r="C473" t="s">
        <v>8410</v>
      </c>
    </row>
    <row r="474" spans="1:3" x14ac:dyDescent="0.25">
      <c r="A474" t="s">
        <v>7949</v>
      </c>
      <c r="B474" t="str">
        <f>"61200000"</f>
        <v>61200000</v>
      </c>
      <c r="C474" t="s">
        <v>8411</v>
      </c>
    </row>
    <row r="475" spans="1:3" x14ac:dyDescent="0.25">
      <c r="A475" t="s">
        <v>7949</v>
      </c>
      <c r="B475" t="str">
        <f>"61210000"</f>
        <v>61210000</v>
      </c>
      <c r="C475" t="s">
        <v>8412</v>
      </c>
    </row>
    <row r="476" spans="1:3" x14ac:dyDescent="0.25">
      <c r="A476" t="s">
        <v>7949</v>
      </c>
      <c r="B476" t="str">
        <f>"61211000"</f>
        <v>61211000</v>
      </c>
      <c r="C476" t="s">
        <v>8413</v>
      </c>
    </row>
    <row r="477" spans="1:3" x14ac:dyDescent="0.25">
      <c r="A477" t="s">
        <v>7949</v>
      </c>
      <c r="B477" t="str">
        <f>"61212000"</f>
        <v>61212000</v>
      </c>
      <c r="C477" t="s">
        <v>8414</v>
      </c>
    </row>
    <row r="478" spans="1:3" x14ac:dyDescent="0.25">
      <c r="A478" t="s">
        <v>7949</v>
      </c>
      <c r="B478" t="str">
        <f>"61220000"</f>
        <v>61220000</v>
      </c>
      <c r="C478" t="s">
        <v>8415</v>
      </c>
    </row>
    <row r="479" spans="1:3" x14ac:dyDescent="0.25">
      <c r="A479" t="s">
        <v>7949</v>
      </c>
      <c r="B479" t="str">
        <f>"61221000"</f>
        <v>61221000</v>
      </c>
      <c r="C479" t="s">
        <v>8416</v>
      </c>
    </row>
    <row r="480" spans="1:3" x14ac:dyDescent="0.25">
      <c r="A480" t="s">
        <v>7949</v>
      </c>
      <c r="B480" t="str">
        <f>"61222000"</f>
        <v>61222000</v>
      </c>
      <c r="C480" t="s">
        <v>8417</v>
      </c>
    </row>
    <row r="481" spans="1:3" x14ac:dyDescent="0.25">
      <c r="A481" t="s">
        <v>7949</v>
      </c>
      <c r="B481" t="str">
        <f>"61223000"</f>
        <v>61223000</v>
      </c>
      <c r="C481" t="s">
        <v>8418</v>
      </c>
    </row>
    <row r="482" spans="1:3" x14ac:dyDescent="0.25">
      <c r="A482" t="s">
        <v>7949</v>
      </c>
      <c r="B482" t="str">
        <f>"61224000"</f>
        <v>61224000</v>
      </c>
      <c r="C482" t="s">
        <v>8419</v>
      </c>
    </row>
    <row r="483" spans="1:3" x14ac:dyDescent="0.25">
      <c r="A483" t="s">
        <v>7949</v>
      </c>
      <c r="B483" t="str">
        <f>"61225000"</f>
        <v>61225000</v>
      </c>
      <c r="C483" t="s">
        <v>8420</v>
      </c>
    </row>
    <row r="484" spans="1:3" x14ac:dyDescent="0.25">
      <c r="A484" t="s">
        <v>7949</v>
      </c>
      <c r="B484" t="str">
        <f>"61226000"</f>
        <v>61226000</v>
      </c>
      <c r="C484" t="s">
        <v>8421</v>
      </c>
    </row>
    <row r="485" spans="1:3" x14ac:dyDescent="0.25">
      <c r="A485" t="s">
        <v>7949</v>
      </c>
      <c r="B485" t="str">
        <f>"61227000"</f>
        <v>61227000</v>
      </c>
      <c r="C485" t="s">
        <v>8422</v>
      </c>
    </row>
    <row r="486" spans="1:3" x14ac:dyDescent="0.25">
      <c r="A486" t="s">
        <v>7949</v>
      </c>
      <c r="B486" t="str">
        <f>"61230000"</f>
        <v>61230000</v>
      </c>
      <c r="C486" t="s">
        <v>8423</v>
      </c>
    </row>
    <row r="487" spans="1:3" x14ac:dyDescent="0.25">
      <c r="A487" t="s">
        <v>7949</v>
      </c>
      <c r="B487" t="str">
        <f>"61231000"</f>
        <v>61231000</v>
      </c>
      <c r="C487" t="s">
        <v>8424</v>
      </c>
    </row>
    <row r="488" spans="1:3" x14ac:dyDescent="0.25">
      <c r="A488" t="s">
        <v>7949</v>
      </c>
      <c r="B488" t="str">
        <f>"61232000"</f>
        <v>61232000</v>
      </c>
      <c r="C488" t="s">
        <v>8425</v>
      </c>
    </row>
    <row r="489" spans="1:3" x14ac:dyDescent="0.25">
      <c r="A489" t="s">
        <v>7949</v>
      </c>
      <c r="B489" t="str">
        <f>"61233000"</f>
        <v>61233000</v>
      </c>
      <c r="C489" t="s">
        <v>8426</v>
      </c>
    </row>
    <row r="490" spans="1:3" x14ac:dyDescent="0.25">
      <c r="A490" t="s">
        <v>7949</v>
      </c>
      <c r="B490" t="str">
        <f>"61240000"</f>
        <v>61240000</v>
      </c>
      <c r="C490" t="s">
        <v>8427</v>
      </c>
    </row>
    <row r="491" spans="1:3" x14ac:dyDescent="0.25">
      <c r="A491" t="s">
        <v>7949</v>
      </c>
      <c r="B491" t="str">
        <f>"61241000"</f>
        <v>61241000</v>
      </c>
      <c r="C491" t="s">
        <v>8428</v>
      </c>
    </row>
    <row r="492" spans="1:3" x14ac:dyDescent="0.25">
      <c r="A492" t="s">
        <v>7949</v>
      </c>
      <c r="B492" t="str">
        <f>"61242000"</f>
        <v>61242000</v>
      </c>
      <c r="C492" t="s">
        <v>8429</v>
      </c>
    </row>
    <row r="493" spans="1:3" x14ac:dyDescent="0.25">
      <c r="A493" t="s">
        <v>7949</v>
      </c>
      <c r="B493" t="str">
        <f>"61243000"</f>
        <v>61243000</v>
      </c>
      <c r="C493" t="s">
        <v>8430</v>
      </c>
    </row>
    <row r="494" spans="1:3" x14ac:dyDescent="0.25">
      <c r="A494" t="s">
        <v>7949</v>
      </c>
      <c r="B494" t="str">
        <f>"61250000"</f>
        <v>61250000</v>
      </c>
      <c r="C494" t="s">
        <v>8431</v>
      </c>
    </row>
    <row r="495" spans="1:3" x14ac:dyDescent="0.25">
      <c r="A495" t="s">
        <v>7949</v>
      </c>
      <c r="B495" t="str">
        <f>"61250010"</f>
        <v>61250010</v>
      </c>
      <c r="C495" t="s">
        <v>2855</v>
      </c>
    </row>
    <row r="496" spans="1:3" x14ac:dyDescent="0.25">
      <c r="A496" t="s">
        <v>7949</v>
      </c>
      <c r="B496" t="str">
        <f>"61251000"</f>
        <v>61251000</v>
      </c>
      <c r="C496" t="s">
        <v>8432</v>
      </c>
    </row>
    <row r="497" spans="1:3" x14ac:dyDescent="0.25">
      <c r="A497" t="s">
        <v>7949</v>
      </c>
      <c r="B497" t="str">
        <f>"61251001"</f>
        <v>61251001</v>
      </c>
      <c r="C497" t="s">
        <v>8433</v>
      </c>
    </row>
    <row r="498" spans="1:3" x14ac:dyDescent="0.25">
      <c r="A498" t="s">
        <v>7949</v>
      </c>
      <c r="B498" t="str">
        <f>"61251002"</f>
        <v>61251002</v>
      </c>
      <c r="C498" t="s">
        <v>8434</v>
      </c>
    </row>
    <row r="499" spans="1:3" x14ac:dyDescent="0.25">
      <c r="A499" t="s">
        <v>7949</v>
      </c>
      <c r="B499" t="str">
        <f>"61252000"</f>
        <v>61252000</v>
      </c>
      <c r="C499" t="s">
        <v>8435</v>
      </c>
    </row>
    <row r="500" spans="1:3" x14ac:dyDescent="0.25">
      <c r="A500" t="s">
        <v>7949</v>
      </c>
      <c r="B500" t="str">
        <f>"61253000"</f>
        <v>61253000</v>
      </c>
      <c r="C500" t="s">
        <v>8436</v>
      </c>
    </row>
    <row r="501" spans="1:3" x14ac:dyDescent="0.25">
      <c r="A501" t="s">
        <v>7949</v>
      </c>
      <c r="B501" t="str">
        <f>"61254000"</f>
        <v>61254000</v>
      </c>
      <c r="C501" t="s">
        <v>8422</v>
      </c>
    </row>
    <row r="502" spans="1:3" x14ac:dyDescent="0.25">
      <c r="A502" t="s">
        <v>7949</v>
      </c>
      <c r="B502" t="str">
        <f>"61255000"</f>
        <v>61255000</v>
      </c>
      <c r="C502" t="s">
        <v>8437</v>
      </c>
    </row>
    <row r="503" spans="1:3" x14ac:dyDescent="0.25">
      <c r="A503" t="s">
        <v>7949</v>
      </c>
      <c r="B503" t="str">
        <f>"61260000"</f>
        <v>61260000</v>
      </c>
      <c r="C503" t="s">
        <v>8438</v>
      </c>
    </row>
    <row r="504" spans="1:3" x14ac:dyDescent="0.25">
      <c r="A504" t="s">
        <v>7949</v>
      </c>
      <c r="B504" t="str">
        <f>"61261000"</f>
        <v>61261000</v>
      </c>
      <c r="C504" t="s">
        <v>8439</v>
      </c>
    </row>
    <row r="505" spans="1:3" x14ac:dyDescent="0.25">
      <c r="A505" t="s">
        <v>7949</v>
      </c>
      <c r="B505" t="str">
        <f>"61262000"</f>
        <v>61262000</v>
      </c>
      <c r="C505" t="s">
        <v>8440</v>
      </c>
    </row>
    <row r="506" spans="1:3" x14ac:dyDescent="0.25">
      <c r="A506" t="s">
        <v>7949</v>
      </c>
      <c r="B506" t="str">
        <f>"61263000"</f>
        <v>61263000</v>
      </c>
      <c r="C506" t="s">
        <v>8441</v>
      </c>
    </row>
    <row r="507" spans="1:3" x14ac:dyDescent="0.25">
      <c r="A507" t="s">
        <v>7949</v>
      </c>
      <c r="B507" t="str">
        <f>"61264000"</f>
        <v>61264000</v>
      </c>
      <c r="C507" t="s">
        <v>8442</v>
      </c>
    </row>
    <row r="508" spans="1:3" x14ac:dyDescent="0.25">
      <c r="A508" t="s">
        <v>7949</v>
      </c>
      <c r="B508" t="str">
        <f>"61280000"</f>
        <v>61280000</v>
      </c>
      <c r="C508" t="s">
        <v>8443</v>
      </c>
    </row>
    <row r="509" spans="1:3" x14ac:dyDescent="0.25">
      <c r="A509" t="s">
        <v>7949</v>
      </c>
      <c r="B509" t="str">
        <f>"61281000"</f>
        <v>61281000</v>
      </c>
      <c r="C509" t="s">
        <v>8444</v>
      </c>
    </row>
    <row r="510" spans="1:3" x14ac:dyDescent="0.25">
      <c r="A510" t="s">
        <v>7949</v>
      </c>
      <c r="B510" t="str">
        <f>"61290000"</f>
        <v>61290000</v>
      </c>
      <c r="C510" t="s">
        <v>8445</v>
      </c>
    </row>
    <row r="511" spans="1:3" x14ac:dyDescent="0.25">
      <c r="A511" t="s">
        <v>7949</v>
      </c>
      <c r="B511" t="str">
        <f>"61291000"</f>
        <v>61291000</v>
      </c>
      <c r="C511" t="s">
        <v>8446</v>
      </c>
    </row>
    <row r="512" spans="1:3" x14ac:dyDescent="0.25">
      <c r="A512" t="s">
        <v>7949</v>
      </c>
      <c r="B512" t="str">
        <f>"61292000"</f>
        <v>61292000</v>
      </c>
      <c r="C512" t="s">
        <v>8447</v>
      </c>
    </row>
    <row r="513" spans="1:3" x14ac:dyDescent="0.25">
      <c r="A513" t="s">
        <v>7949</v>
      </c>
      <c r="B513" t="str">
        <f>"61293000"</f>
        <v>61293000</v>
      </c>
      <c r="C513" t="s">
        <v>8448</v>
      </c>
    </row>
    <row r="514" spans="1:3" x14ac:dyDescent="0.25">
      <c r="A514" t="s">
        <v>7949</v>
      </c>
      <c r="B514" t="str">
        <f>"61295000"</f>
        <v>61295000</v>
      </c>
      <c r="C514" t="s">
        <v>8449</v>
      </c>
    </row>
    <row r="515" spans="1:3" x14ac:dyDescent="0.25">
      <c r="A515" t="s">
        <v>7949</v>
      </c>
      <c r="B515" t="str">
        <f>"61296000"</f>
        <v>61296000</v>
      </c>
      <c r="C515" t="s">
        <v>8450</v>
      </c>
    </row>
    <row r="516" spans="1:3" x14ac:dyDescent="0.25">
      <c r="A516" t="s">
        <v>7949</v>
      </c>
      <c r="B516" t="str">
        <f>"61298000"</f>
        <v>61298000</v>
      </c>
      <c r="C516" t="s">
        <v>8451</v>
      </c>
    </row>
    <row r="517" spans="1:3" x14ac:dyDescent="0.25">
      <c r="A517" t="s">
        <v>7949</v>
      </c>
      <c r="B517" t="str">
        <f>"61310000"</f>
        <v>61310000</v>
      </c>
      <c r="C517" t="s">
        <v>8452</v>
      </c>
    </row>
    <row r="518" spans="1:3" x14ac:dyDescent="0.25">
      <c r="A518" t="s">
        <v>7949</v>
      </c>
      <c r="B518" t="str">
        <f>"61311000"</f>
        <v>61311000</v>
      </c>
      <c r="C518" t="s">
        <v>8453</v>
      </c>
    </row>
    <row r="519" spans="1:3" x14ac:dyDescent="0.25">
      <c r="A519" t="s">
        <v>7949</v>
      </c>
      <c r="B519" t="str">
        <f>"61312000"</f>
        <v>61312000</v>
      </c>
      <c r="C519" t="s">
        <v>8454</v>
      </c>
    </row>
    <row r="520" spans="1:3" x14ac:dyDescent="0.25">
      <c r="A520" t="s">
        <v>7949</v>
      </c>
      <c r="B520" t="str">
        <f>"61313000"</f>
        <v>61313000</v>
      </c>
      <c r="C520" t="s">
        <v>8455</v>
      </c>
    </row>
    <row r="521" spans="1:3" x14ac:dyDescent="0.25">
      <c r="A521" t="s">
        <v>7949</v>
      </c>
      <c r="B521" t="str">
        <f>"61314000"</f>
        <v>61314000</v>
      </c>
      <c r="C521" t="s">
        <v>8456</v>
      </c>
    </row>
    <row r="522" spans="1:3" x14ac:dyDescent="0.25">
      <c r="A522" t="s">
        <v>7949</v>
      </c>
      <c r="B522" t="str">
        <f>"61315000"</f>
        <v>61315000</v>
      </c>
      <c r="C522" t="s">
        <v>8457</v>
      </c>
    </row>
    <row r="523" spans="1:3" x14ac:dyDescent="0.25">
      <c r="A523" t="s">
        <v>7949</v>
      </c>
      <c r="B523" t="str">
        <f>"61316000"</f>
        <v>61316000</v>
      </c>
      <c r="C523" t="s">
        <v>8458</v>
      </c>
    </row>
    <row r="524" spans="1:3" x14ac:dyDescent="0.25">
      <c r="A524" t="s">
        <v>7949</v>
      </c>
      <c r="B524" t="str">
        <f>"61317000"</f>
        <v>61317000</v>
      </c>
      <c r="C524" t="s">
        <v>8459</v>
      </c>
    </row>
    <row r="525" spans="1:3" x14ac:dyDescent="0.25">
      <c r="A525" t="s">
        <v>7949</v>
      </c>
      <c r="B525" t="str">
        <f>"61318000"</f>
        <v>61318000</v>
      </c>
      <c r="C525" t="s">
        <v>8460</v>
      </c>
    </row>
    <row r="526" spans="1:3" x14ac:dyDescent="0.25">
      <c r="A526" t="s">
        <v>7949</v>
      </c>
      <c r="B526" t="str">
        <f>"61320000"</f>
        <v>61320000</v>
      </c>
      <c r="C526" t="s">
        <v>8461</v>
      </c>
    </row>
    <row r="527" spans="1:3" x14ac:dyDescent="0.25">
      <c r="A527" t="s">
        <v>7949</v>
      </c>
      <c r="B527" t="str">
        <f>"61321000"</f>
        <v>61321000</v>
      </c>
      <c r="C527" t="s">
        <v>8462</v>
      </c>
    </row>
    <row r="528" spans="1:3" x14ac:dyDescent="0.25">
      <c r="A528" t="s">
        <v>7949</v>
      </c>
      <c r="B528" t="str">
        <f>"61330000"</f>
        <v>61330000</v>
      </c>
      <c r="C528" t="s">
        <v>8463</v>
      </c>
    </row>
    <row r="529" spans="1:3" x14ac:dyDescent="0.25">
      <c r="A529" t="s">
        <v>7949</v>
      </c>
      <c r="B529" t="str">
        <f>"61331000"</f>
        <v>61331000</v>
      </c>
      <c r="C529" t="s">
        <v>8464</v>
      </c>
    </row>
    <row r="530" spans="1:3" x14ac:dyDescent="0.25">
      <c r="A530" t="s">
        <v>7949</v>
      </c>
      <c r="B530" t="str">
        <f>"61332000"</f>
        <v>61332000</v>
      </c>
      <c r="C530" t="s">
        <v>8465</v>
      </c>
    </row>
    <row r="531" spans="1:3" x14ac:dyDescent="0.25">
      <c r="A531" t="s">
        <v>7949</v>
      </c>
      <c r="B531" t="str">
        <f>"61335000"</f>
        <v>61335000</v>
      </c>
      <c r="C531" t="s">
        <v>8466</v>
      </c>
    </row>
    <row r="532" spans="1:3" x14ac:dyDescent="0.25">
      <c r="A532" t="s">
        <v>7949</v>
      </c>
      <c r="B532" t="str">
        <f>"61340000"</f>
        <v>61340000</v>
      </c>
      <c r="C532" t="s">
        <v>8467</v>
      </c>
    </row>
    <row r="533" spans="1:3" x14ac:dyDescent="0.25">
      <c r="A533" t="s">
        <v>7949</v>
      </c>
      <c r="B533" t="str">
        <f>"61341000"</f>
        <v>61341000</v>
      </c>
      <c r="C533" t="s">
        <v>8468</v>
      </c>
    </row>
    <row r="534" spans="1:3" x14ac:dyDescent="0.25">
      <c r="A534" t="s">
        <v>7949</v>
      </c>
      <c r="B534" t="str">
        <f>"61343000"</f>
        <v>61343000</v>
      </c>
      <c r="C534" t="s">
        <v>8469</v>
      </c>
    </row>
    <row r="535" spans="1:3" x14ac:dyDescent="0.25">
      <c r="A535" t="s">
        <v>7949</v>
      </c>
      <c r="B535" t="str">
        <f>"61345000"</f>
        <v>61345000</v>
      </c>
      <c r="C535" t="s">
        <v>8470</v>
      </c>
    </row>
    <row r="536" spans="1:3" x14ac:dyDescent="0.25">
      <c r="A536" t="s">
        <v>7949</v>
      </c>
      <c r="B536" t="str">
        <f>"61348000"</f>
        <v>61348000</v>
      </c>
      <c r="C536" t="s">
        <v>8471</v>
      </c>
    </row>
    <row r="537" spans="1:3" x14ac:dyDescent="0.25">
      <c r="A537" t="s">
        <v>7949</v>
      </c>
      <c r="B537" t="str">
        <f>"61350000"</f>
        <v>61350000</v>
      </c>
      <c r="C537" t="s">
        <v>8472</v>
      </c>
    </row>
    <row r="538" spans="1:3" x14ac:dyDescent="0.25">
      <c r="A538" t="s">
        <v>7949</v>
      </c>
      <c r="B538" t="str">
        <f>"61351000"</f>
        <v>61351000</v>
      </c>
      <c r="C538" t="s">
        <v>8473</v>
      </c>
    </row>
    <row r="539" spans="1:3" x14ac:dyDescent="0.25">
      <c r="A539" t="s">
        <v>7949</v>
      </c>
      <c r="B539" t="str">
        <f>"61352000"</f>
        <v>61352000</v>
      </c>
      <c r="C539" t="s">
        <v>8474</v>
      </c>
    </row>
    <row r="540" spans="1:3" x14ac:dyDescent="0.25">
      <c r="A540" t="s">
        <v>7949</v>
      </c>
      <c r="B540" t="str">
        <f>"61353000"</f>
        <v>61353000</v>
      </c>
      <c r="C540" t="s">
        <v>8475</v>
      </c>
    </row>
    <row r="541" spans="1:3" x14ac:dyDescent="0.25">
      <c r="A541" t="s">
        <v>7949</v>
      </c>
      <c r="B541" t="str">
        <f>"61360000"</f>
        <v>61360000</v>
      </c>
      <c r="C541" t="s">
        <v>8476</v>
      </c>
    </row>
    <row r="542" spans="1:3" x14ac:dyDescent="0.25">
      <c r="A542" t="s">
        <v>7949</v>
      </c>
      <c r="B542" t="str">
        <f>"61361000"</f>
        <v>61361000</v>
      </c>
      <c r="C542" t="s">
        <v>8477</v>
      </c>
    </row>
    <row r="543" spans="1:3" x14ac:dyDescent="0.25">
      <c r="A543" t="s">
        <v>7949</v>
      </c>
      <c r="B543" t="str">
        <f>"61365000"</f>
        <v>61365000</v>
      </c>
      <c r="C543" t="s">
        <v>8478</v>
      </c>
    </row>
    <row r="544" spans="1:3" x14ac:dyDescent="0.25">
      <c r="A544" t="s">
        <v>7949</v>
      </c>
      <c r="B544" t="str">
        <f>"61365001"</f>
        <v>61365001</v>
      </c>
      <c r="C544" t="s">
        <v>8479</v>
      </c>
    </row>
    <row r="545" spans="1:3" x14ac:dyDescent="0.25">
      <c r="A545" t="s">
        <v>7949</v>
      </c>
      <c r="B545" t="str">
        <f>"61367000"</f>
        <v>61367000</v>
      </c>
      <c r="C545" t="s">
        <v>8480</v>
      </c>
    </row>
    <row r="546" spans="1:3" x14ac:dyDescent="0.25">
      <c r="A546" t="s">
        <v>7949</v>
      </c>
      <c r="B546" t="str">
        <f>"61370000"</f>
        <v>61370000</v>
      </c>
      <c r="C546" t="s">
        <v>8481</v>
      </c>
    </row>
    <row r="547" spans="1:3" x14ac:dyDescent="0.25">
      <c r="A547" t="s">
        <v>7949</v>
      </c>
      <c r="B547" t="str">
        <f>"61371000"</f>
        <v>61371000</v>
      </c>
      <c r="C547" t="s">
        <v>8482</v>
      </c>
    </row>
    <row r="548" spans="1:3" x14ac:dyDescent="0.25">
      <c r="A548" t="s">
        <v>7949</v>
      </c>
      <c r="B548" t="str">
        <f>"61378000"</f>
        <v>61378000</v>
      </c>
      <c r="C548" t="s">
        <v>8483</v>
      </c>
    </row>
    <row r="549" spans="1:3" x14ac:dyDescent="0.25">
      <c r="A549" t="s">
        <v>7949</v>
      </c>
      <c r="B549" t="str">
        <f>"61410000"</f>
        <v>61410000</v>
      </c>
      <c r="C549" t="s">
        <v>8484</v>
      </c>
    </row>
    <row r="550" spans="1:3" x14ac:dyDescent="0.25">
      <c r="A550" t="s">
        <v>7949</v>
      </c>
      <c r="B550" t="str">
        <f>"61411000"</f>
        <v>61411000</v>
      </c>
      <c r="C550" t="s">
        <v>8485</v>
      </c>
    </row>
    <row r="551" spans="1:3" x14ac:dyDescent="0.25">
      <c r="A551" t="s">
        <v>7949</v>
      </c>
      <c r="B551" t="str">
        <f>"61413000"</f>
        <v>61413000</v>
      </c>
      <c r="C551" t="s">
        <v>8486</v>
      </c>
    </row>
    <row r="552" spans="1:3" x14ac:dyDescent="0.25">
      <c r="A552" t="s">
        <v>7949</v>
      </c>
      <c r="B552" t="str">
        <f>"61415000"</f>
        <v>61415000</v>
      </c>
      <c r="C552" t="s">
        <v>8487</v>
      </c>
    </row>
    <row r="553" spans="1:3" x14ac:dyDescent="0.25">
      <c r="A553" t="s">
        <v>7949</v>
      </c>
      <c r="B553" t="str">
        <f>"61416000"</f>
        <v>61416000</v>
      </c>
      <c r="C553" t="s">
        <v>8488</v>
      </c>
    </row>
    <row r="554" spans="1:3" x14ac:dyDescent="0.25">
      <c r="A554" t="s">
        <v>7949</v>
      </c>
      <c r="B554" t="str">
        <f>"61420000"</f>
        <v>61420000</v>
      </c>
      <c r="C554" t="s">
        <v>8489</v>
      </c>
    </row>
    <row r="555" spans="1:3" x14ac:dyDescent="0.25">
      <c r="A555" t="s">
        <v>7949</v>
      </c>
      <c r="B555" t="str">
        <f>"61421000"</f>
        <v>61421000</v>
      </c>
      <c r="C555" t="s">
        <v>8490</v>
      </c>
    </row>
    <row r="556" spans="1:3" x14ac:dyDescent="0.25">
      <c r="A556" t="s">
        <v>7949</v>
      </c>
      <c r="B556" t="str">
        <f>"61425000"</f>
        <v>61425000</v>
      </c>
      <c r="C556" t="s">
        <v>8491</v>
      </c>
    </row>
    <row r="557" spans="1:3" x14ac:dyDescent="0.25">
      <c r="A557" t="s">
        <v>7949</v>
      </c>
      <c r="B557" t="str">
        <f>"61426000"</f>
        <v>61426000</v>
      </c>
      <c r="C557" t="s">
        <v>8492</v>
      </c>
    </row>
    <row r="558" spans="1:3" x14ac:dyDescent="0.25">
      <c r="A558" t="s">
        <v>7949</v>
      </c>
      <c r="B558" t="str">
        <f>"61428000"</f>
        <v>61428000</v>
      </c>
      <c r="C558" t="s">
        <v>8493</v>
      </c>
    </row>
    <row r="559" spans="1:3" x14ac:dyDescent="0.25">
      <c r="A559" t="s">
        <v>7949</v>
      </c>
      <c r="B559" t="str">
        <f>"61430000"</f>
        <v>61430000</v>
      </c>
      <c r="C559" t="s">
        <v>8494</v>
      </c>
    </row>
    <row r="560" spans="1:3" x14ac:dyDescent="0.25">
      <c r="A560" t="s">
        <v>7949</v>
      </c>
      <c r="B560" t="str">
        <f>"61431000"</f>
        <v>61431000</v>
      </c>
      <c r="C560" t="s">
        <v>8495</v>
      </c>
    </row>
    <row r="561" spans="1:3" x14ac:dyDescent="0.25">
      <c r="A561" t="s">
        <v>7949</v>
      </c>
      <c r="B561" t="str">
        <f>"61432000"</f>
        <v>61432000</v>
      </c>
      <c r="C561" t="s">
        <v>8496</v>
      </c>
    </row>
    <row r="562" spans="1:3" x14ac:dyDescent="0.25">
      <c r="A562" t="s">
        <v>7949</v>
      </c>
      <c r="B562" t="str">
        <f>"61433000"</f>
        <v>61433000</v>
      </c>
      <c r="C562" t="s">
        <v>8497</v>
      </c>
    </row>
    <row r="563" spans="1:3" x14ac:dyDescent="0.25">
      <c r="A563" t="s">
        <v>7949</v>
      </c>
      <c r="B563" t="str">
        <f>"61434000"</f>
        <v>61434000</v>
      </c>
      <c r="C563" t="s">
        <v>8498</v>
      </c>
    </row>
    <row r="564" spans="1:3" x14ac:dyDescent="0.25">
      <c r="A564" t="s">
        <v>7949</v>
      </c>
      <c r="B564" t="str">
        <f>"61435000"</f>
        <v>61435000</v>
      </c>
      <c r="C564" t="s">
        <v>8499</v>
      </c>
    </row>
    <row r="565" spans="1:3" x14ac:dyDescent="0.25">
      <c r="A565" t="s">
        <v>7949</v>
      </c>
      <c r="B565" t="str">
        <f>"61435100"</f>
        <v>61435100</v>
      </c>
      <c r="C565" t="s">
        <v>8500</v>
      </c>
    </row>
    <row r="566" spans="1:3" x14ac:dyDescent="0.25">
      <c r="A566" t="s">
        <v>7949</v>
      </c>
      <c r="B566" t="str">
        <f>"61435200"</f>
        <v>61435200</v>
      </c>
      <c r="C566" t="s">
        <v>8501</v>
      </c>
    </row>
    <row r="567" spans="1:3" x14ac:dyDescent="0.25">
      <c r="A567" t="s">
        <v>7949</v>
      </c>
      <c r="B567" t="str">
        <f>"61436000"</f>
        <v>61436000</v>
      </c>
      <c r="C567" t="s">
        <v>8502</v>
      </c>
    </row>
    <row r="568" spans="1:3" x14ac:dyDescent="0.25">
      <c r="A568" t="s">
        <v>7949</v>
      </c>
      <c r="B568" t="str">
        <f>"61436100"</f>
        <v>61436100</v>
      </c>
      <c r="C568" t="s">
        <v>8503</v>
      </c>
    </row>
    <row r="569" spans="1:3" x14ac:dyDescent="0.25">
      <c r="A569" t="s">
        <v>7949</v>
      </c>
      <c r="B569" t="str">
        <f>"61440000"</f>
        <v>61440000</v>
      </c>
      <c r="C569" t="s">
        <v>8504</v>
      </c>
    </row>
    <row r="570" spans="1:3" x14ac:dyDescent="0.25">
      <c r="A570" t="s">
        <v>7949</v>
      </c>
      <c r="B570" t="str">
        <f>"61441000"</f>
        <v>61441000</v>
      </c>
      <c r="C570" t="s">
        <v>8505</v>
      </c>
    </row>
    <row r="571" spans="1:3" x14ac:dyDescent="0.25">
      <c r="A571" t="s">
        <v>7949</v>
      </c>
      <c r="B571" t="str">
        <f>"61442000"</f>
        <v>61442000</v>
      </c>
      <c r="C571" t="s">
        <v>8506</v>
      </c>
    </row>
    <row r="572" spans="1:3" x14ac:dyDescent="0.25">
      <c r="A572" t="s">
        <v>7949</v>
      </c>
      <c r="B572" t="str">
        <f>"61443000"</f>
        <v>61443000</v>
      </c>
      <c r="C572" t="s">
        <v>8507</v>
      </c>
    </row>
    <row r="573" spans="1:3" x14ac:dyDescent="0.25">
      <c r="A573" t="s">
        <v>7949</v>
      </c>
      <c r="B573" t="str">
        <f>"61444000"</f>
        <v>61444000</v>
      </c>
      <c r="C573" t="s">
        <v>8508</v>
      </c>
    </row>
    <row r="574" spans="1:3" x14ac:dyDescent="0.25">
      <c r="A574" t="s">
        <v>7949</v>
      </c>
      <c r="B574" t="str">
        <f>"61446000"</f>
        <v>61446000</v>
      </c>
      <c r="C574" t="s">
        <v>8509</v>
      </c>
    </row>
    <row r="575" spans="1:3" x14ac:dyDescent="0.25">
      <c r="A575" t="s">
        <v>7949</v>
      </c>
      <c r="B575" t="str">
        <f>"61447000"</f>
        <v>61447000</v>
      </c>
      <c r="C575" t="s">
        <v>8510</v>
      </c>
    </row>
    <row r="576" spans="1:3" x14ac:dyDescent="0.25">
      <c r="A576" t="s">
        <v>7949</v>
      </c>
      <c r="B576" t="str">
        <f>"61448000"</f>
        <v>61448000</v>
      </c>
      <c r="C576" t="s">
        <v>8511</v>
      </c>
    </row>
    <row r="577" spans="1:3" x14ac:dyDescent="0.25">
      <c r="A577" t="s">
        <v>7949</v>
      </c>
      <c r="B577" t="str">
        <f>"61450000"</f>
        <v>61450000</v>
      </c>
      <c r="C577" t="s">
        <v>8512</v>
      </c>
    </row>
    <row r="578" spans="1:3" x14ac:dyDescent="0.25">
      <c r="A578" t="s">
        <v>7949</v>
      </c>
      <c r="B578" t="str">
        <f>"61451000"</f>
        <v>61451000</v>
      </c>
      <c r="C578" t="s">
        <v>8512</v>
      </c>
    </row>
    <row r="579" spans="1:3" x14ac:dyDescent="0.25">
      <c r="A579" t="s">
        <v>7949</v>
      </c>
      <c r="B579" t="str">
        <f>"61452000"</f>
        <v>61452000</v>
      </c>
      <c r="C579" t="s">
        <v>8513</v>
      </c>
    </row>
    <row r="580" spans="1:3" x14ac:dyDescent="0.25">
      <c r="A580" t="s">
        <v>7949</v>
      </c>
      <c r="B580" t="str">
        <f>"61455000"</f>
        <v>61455000</v>
      </c>
      <c r="C580" t="s">
        <v>8514</v>
      </c>
    </row>
    <row r="581" spans="1:3" x14ac:dyDescent="0.25">
      <c r="A581" t="s">
        <v>7949</v>
      </c>
      <c r="B581" t="str">
        <f>"61456000"</f>
        <v>61456000</v>
      </c>
      <c r="C581" t="s">
        <v>8515</v>
      </c>
    </row>
    <row r="582" spans="1:3" x14ac:dyDescent="0.25">
      <c r="A582" t="s">
        <v>7949</v>
      </c>
      <c r="B582" t="str">
        <f>"61457000"</f>
        <v>61457000</v>
      </c>
      <c r="C582" t="s">
        <v>8516</v>
      </c>
    </row>
    <row r="583" spans="1:3" x14ac:dyDescent="0.25">
      <c r="A583" t="s">
        <v>7949</v>
      </c>
      <c r="B583" t="str">
        <f>"61460000"</f>
        <v>61460000</v>
      </c>
      <c r="C583" t="s">
        <v>8517</v>
      </c>
    </row>
    <row r="584" spans="1:3" x14ac:dyDescent="0.25">
      <c r="A584" t="s">
        <v>7949</v>
      </c>
      <c r="B584" t="str">
        <f>"61461000"</f>
        <v>61461000</v>
      </c>
      <c r="C584" t="s">
        <v>8518</v>
      </c>
    </row>
    <row r="585" spans="1:3" x14ac:dyDescent="0.25">
      <c r="A585" t="s">
        <v>7949</v>
      </c>
      <c r="B585" t="str">
        <f>"61462000"</f>
        <v>61462000</v>
      </c>
      <c r="C585" t="s">
        <v>8519</v>
      </c>
    </row>
    <row r="586" spans="1:3" x14ac:dyDescent="0.25">
      <c r="A586" t="s">
        <v>7949</v>
      </c>
      <c r="B586" t="str">
        <f>"61463000"</f>
        <v>61463000</v>
      </c>
      <c r="C586" t="s">
        <v>8520</v>
      </c>
    </row>
    <row r="587" spans="1:3" x14ac:dyDescent="0.25">
      <c r="A587" t="s">
        <v>7949</v>
      </c>
      <c r="B587" t="str">
        <f>"61470000"</f>
        <v>61470000</v>
      </c>
      <c r="C587" t="s">
        <v>8516</v>
      </c>
    </row>
    <row r="588" spans="1:3" x14ac:dyDescent="0.25">
      <c r="A588" t="s">
        <v>7949</v>
      </c>
      <c r="B588" t="str">
        <f>"61471000"</f>
        <v>61471000</v>
      </c>
      <c r="C588" t="s">
        <v>8521</v>
      </c>
    </row>
    <row r="589" spans="1:3" x14ac:dyDescent="0.25">
      <c r="A589" t="s">
        <v>7949</v>
      </c>
      <c r="B589" t="str">
        <f>"61472000"</f>
        <v>61472000</v>
      </c>
      <c r="C589" t="s">
        <v>8522</v>
      </c>
    </row>
    <row r="590" spans="1:3" x14ac:dyDescent="0.25">
      <c r="A590" t="s">
        <v>7949</v>
      </c>
      <c r="B590" t="str">
        <f>"61473000"</f>
        <v>61473000</v>
      </c>
      <c r="C590" t="s">
        <v>8523</v>
      </c>
    </row>
    <row r="591" spans="1:3" x14ac:dyDescent="0.25">
      <c r="A591" t="s">
        <v>7949</v>
      </c>
      <c r="B591" t="str">
        <f>"61480000"</f>
        <v>61480000</v>
      </c>
      <c r="C591" t="s">
        <v>8524</v>
      </c>
    </row>
    <row r="592" spans="1:3" x14ac:dyDescent="0.25">
      <c r="A592" t="s">
        <v>7949</v>
      </c>
      <c r="B592" t="str">
        <f>"61490000"</f>
        <v>61490000</v>
      </c>
      <c r="C592" t="s">
        <v>8525</v>
      </c>
    </row>
    <row r="593" spans="1:3" x14ac:dyDescent="0.25">
      <c r="A593" t="s">
        <v>7949</v>
      </c>
      <c r="B593" t="str">
        <f>"61600000"</f>
        <v>61600000</v>
      </c>
      <c r="C593" t="s">
        <v>8526</v>
      </c>
    </row>
    <row r="594" spans="1:3" x14ac:dyDescent="0.25">
      <c r="A594" t="s">
        <v>7949</v>
      </c>
      <c r="B594" t="str">
        <f>"61610000"</f>
        <v>61610000</v>
      </c>
      <c r="C594" t="s">
        <v>8527</v>
      </c>
    </row>
    <row r="595" spans="1:3" x14ac:dyDescent="0.25">
      <c r="A595" t="s">
        <v>7949</v>
      </c>
      <c r="B595" t="str">
        <f>"61610001"</f>
        <v>61610001</v>
      </c>
      <c r="C595" t="s">
        <v>8528</v>
      </c>
    </row>
    <row r="596" spans="1:3" x14ac:dyDescent="0.25">
      <c r="A596" t="s">
        <v>7949</v>
      </c>
      <c r="B596" t="str">
        <f>"61611000"</f>
        <v>61611000</v>
      </c>
      <c r="C596" t="s">
        <v>8529</v>
      </c>
    </row>
    <row r="597" spans="1:3" x14ac:dyDescent="0.25">
      <c r="A597" t="s">
        <v>7949</v>
      </c>
      <c r="B597" t="str">
        <f>"61612000"</f>
        <v>61612000</v>
      </c>
      <c r="C597" t="s">
        <v>8530</v>
      </c>
    </row>
    <row r="598" spans="1:3" x14ac:dyDescent="0.25">
      <c r="A598" t="s">
        <v>7949</v>
      </c>
      <c r="B598" t="str">
        <f>"61615000"</f>
        <v>61615000</v>
      </c>
      <c r="C598" t="s">
        <v>8531</v>
      </c>
    </row>
    <row r="599" spans="1:3" x14ac:dyDescent="0.25">
      <c r="A599" t="s">
        <v>7949</v>
      </c>
      <c r="B599" t="str">
        <f>"61650000"</f>
        <v>61650000</v>
      </c>
      <c r="C599" t="s">
        <v>8532</v>
      </c>
    </row>
    <row r="600" spans="1:3" x14ac:dyDescent="0.25">
      <c r="A600" t="s">
        <v>7949</v>
      </c>
      <c r="B600" t="str">
        <f>"61670000"</f>
        <v>61670000</v>
      </c>
      <c r="C600" t="s">
        <v>8533</v>
      </c>
    </row>
    <row r="601" spans="1:3" x14ac:dyDescent="0.25">
      <c r="A601" t="s">
        <v>7949</v>
      </c>
      <c r="B601" t="str">
        <f>"61671000"</f>
        <v>61671000</v>
      </c>
      <c r="C601" t="s">
        <v>8534</v>
      </c>
    </row>
    <row r="602" spans="1:3" x14ac:dyDescent="0.25">
      <c r="A602" t="s">
        <v>7949</v>
      </c>
      <c r="B602" t="str">
        <f>"61673000"</f>
        <v>61673000</v>
      </c>
      <c r="C602" t="s">
        <v>8535</v>
      </c>
    </row>
    <row r="603" spans="1:3" x14ac:dyDescent="0.25">
      <c r="A603" t="s">
        <v>7949</v>
      </c>
      <c r="B603" t="str">
        <f>"61678000"</f>
        <v>61678000</v>
      </c>
      <c r="C603" t="s">
        <v>8536</v>
      </c>
    </row>
    <row r="604" spans="1:3" x14ac:dyDescent="0.25">
      <c r="A604" t="s">
        <v>7949</v>
      </c>
      <c r="B604" t="str">
        <f>"61680000"</f>
        <v>61680000</v>
      </c>
      <c r="C604" t="s">
        <v>8537</v>
      </c>
    </row>
    <row r="605" spans="1:3" x14ac:dyDescent="0.25">
      <c r="A605" t="s">
        <v>7949</v>
      </c>
      <c r="B605" t="str">
        <f>"61700000"</f>
        <v>61700000</v>
      </c>
      <c r="C605" t="s">
        <v>8538</v>
      </c>
    </row>
    <row r="606" spans="1:3" x14ac:dyDescent="0.25">
      <c r="A606" t="s">
        <v>7949</v>
      </c>
      <c r="B606" t="str">
        <f>"61710000"</f>
        <v>61710000</v>
      </c>
      <c r="C606" t="s">
        <v>8539</v>
      </c>
    </row>
    <row r="607" spans="1:3" x14ac:dyDescent="0.25">
      <c r="A607" t="s">
        <v>7949</v>
      </c>
      <c r="B607" t="str">
        <f>"61711000"</f>
        <v>61711000</v>
      </c>
      <c r="C607" t="s">
        <v>8540</v>
      </c>
    </row>
    <row r="608" spans="1:3" x14ac:dyDescent="0.25">
      <c r="A608" t="s">
        <v>7949</v>
      </c>
      <c r="B608" t="str">
        <f>"61711100"</f>
        <v>61711100</v>
      </c>
      <c r="C608" t="s">
        <v>8541</v>
      </c>
    </row>
    <row r="609" spans="1:3" x14ac:dyDescent="0.25">
      <c r="A609" t="s">
        <v>7949</v>
      </c>
      <c r="B609" t="str">
        <f>"61711800"</f>
        <v>61711800</v>
      </c>
      <c r="C609" t="s">
        <v>8542</v>
      </c>
    </row>
    <row r="610" spans="1:3" x14ac:dyDescent="0.25">
      <c r="A610" t="s">
        <v>7949</v>
      </c>
      <c r="B610" t="str">
        <f>"61711900"</f>
        <v>61711900</v>
      </c>
      <c r="C610" t="s">
        <v>8543</v>
      </c>
    </row>
    <row r="611" spans="1:3" x14ac:dyDescent="0.25">
      <c r="A611" t="s">
        <v>7949</v>
      </c>
      <c r="B611" t="str">
        <f>"61712000"</f>
        <v>61712000</v>
      </c>
      <c r="C611" t="s">
        <v>8544</v>
      </c>
    </row>
    <row r="612" spans="1:3" x14ac:dyDescent="0.25">
      <c r="A612" t="s">
        <v>7949</v>
      </c>
      <c r="B612" t="str">
        <f>"61712400"</f>
        <v>61712400</v>
      </c>
      <c r="C612" t="s">
        <v>8545</v>
      </c>
    </row>
    <row r="613" spans="1:3" x14ac:dyDescent="0.25">
      <c r="A613" t="s">
        <v>7949</v>
      </c>
      <c r="B613" t="str">
        <f>"61713000"</f>
        <v>61713000</v>
      </c>
      <c r="C613" t="s">
        <v>8546</v>
      </c>
    </row>
    <row r="614" spans="1:3" x14ac:dyDescent="0.25">
      <c r="A614" t="s">
        <v>7949</v>
      </c>
      <c r="B614" t="str">
        <f>"61713001"</f>
        <v>61713001</v>
      </c>
      <c r="C614" t="s">
        <v>8547</v>
      </c>
    </row>
    <row r="615" spans="1:3" x14ac:dyDescent="0.25">
      <c r="A615" t="s">
        <v>7949</v>
      </c>
      <c r="B615" t="str">
        <f>"61713002"</f>
        <v>61713002</v>
      </c>
      <c r="C615" t="s">
        <v>8548</v>
      </c>
    </row>
    <row r="616" spans="1:3" x14ac:dyDescent="0.25">
      <c r="A616" t="s">
        <v>7949</v>
      </c>
      <c r="B616" t="str">
        <f>"61713003"</f>
        <v>61713003</v>
      </c>
      <c r="C616" t="s">
        <v>8549</v>
      </c>
    </row>
    <row r="617" spans="1:3" x14ac:dyDescent="0.25">
      <c r="A617" t="s">
        <v>7949</v>
      </c>
      <c r="B617" t="str">
        <f>"61713200"</f>
        <v>61713200</v>
      </c>
      <c r="C617" t="s">
        <v>8550</v>
      </c>
    </row>
    <row r="618" spans="1:3" x14ac:dyDescent="0.25">
      <c r="A618" t="s">
        <v>7949</v>
      </c>
      <c r="B618" t="str">
        <f>"61713400"</f>
        <v>61713400</v>
      </c>
      <c r="C618" t="s">
        <v>8551</v>
      </c>
    </row>
    <row r="619" spans="1:3" x14ac:dyDescent="0.25">
      <c r="A619" t="s">
        <v>7949</v>
      </c>
      <c r="B619" t="str">
        <f>"61714000"</f>
        <v>61714000</v>
      </c>
      <c r="C619" t="s">
        <v>8552</v>
      </c>
    </row>
    <row r="620" spans="1:3" x14ac:dyDescent="0.25">
      <c r="A620" t="s">
        <v>7949</v>
      </c>
      <c r="B620" t="str">
        <f>"61715000"</f>
        <v>61715000</v>
      </c>
      <c r="C620" t="s">
        <v>8553</v>
      </c>
    </row>
    <row r="621" spans="1:3" x14ac:dyDescent="0.25">
      <c r="A621" t="s">
        <v>7949</v>
      </c>
      <c r="B621" t="str">
        <f>"61740000"</f>
        <v>61740000</v>
      </c>
      <c r="C621" t="s">
        <v>8554</v>
      </c>
    </row>
    <row r="622" spans="1:3" x14ac:dyDescent="0.25">
      <c r="A622" t="s">
        <v>7949</v>
      </c>
      <c r="B622" t="str">
        <f>"61741000"</f>
        <v>61741000</v>
      </c>
      <c r="C622" t="s">
        <v>8555</v>
      </c>
    </row>
    <row r="623" spans="1:3" x14ac:dyDescent="0.25">
      <c r="A623" t="s">
        <v>7949</v>
      </c>
      <c r="B623" t="str">
        <f>"61741010"</f>
        <v>61741010</v>
      </c>
      <c r="C623" t="s">
        <v>8556</v>
      </c>
    </row>
    <row r="624" spans="1:3" x14ac:dyDescent="0.25">
      <c r="A624" t="s">
        <v>7949</v>
      </c>
      <c r="B624" t="str">
        <f>"61741020"</f>
        <v>61741020</v>
      </c>
      <c r="C624" t="s">
        <v>8557</v>
      </c>
    </row>
    <row r="625" spans="1:3" x14ac:dyDescent="0.25">
      <c r="A625" t="s">
        <v>7949</v>
      </c>
      <c r="B625" t="str">
        <f>"61741030"</f>
        <v>61741030</v>
      </c>
      <c r="C625" t="s">
        <v>8557</v>
      </c>
    </row>
    <row r="626" spans="1:3" x14ac:dyDescent="0.25">
      <c r="A626" t="s">
        <v>7949</v>
      </c>
      <c r="B626" t="str">
        <f>"61742000"</f>
        <v>61742000</v>
      </c>
      <c r="C626" t="s">
        <v>8558</v>
      </c>
    </row>
    <row r="627" spans="1:3" x14ac:dyDescent="0.25">
      <c r="A627" t="s">
        <v>7949</v>
      </c>
      <c r="B627" t="str">
        <f>"61743000"</f>
        <v>61743000</v>
      </c>
      <c r="C627" t="s">
        <v>8559</v>
      </c>
    </row>
    <row r="628" spans="1:3" x14ac:dyDescent="0.25">
      <c r="A628" t="s">
        <v>7949</v>
      </c>
      <c r="B628" t="str">
        <f>"61743001"</f>
        <v>61743001</v>
      </c>
      <c r="C628" t="s">
        <v>8560</v>
      </c>
    </row>
    <row r="629" spans="1:3" x14ac:dyDescent="0.25">
      <c r="A629" t="s">
        <v>7949</v>
      </c>
      <c r="B629" t="str">
        <f>"61743002"</f>
        <v>61743002</v>
      </c>
      <c r="C629" t="s">
        <v>8561</v>
      </c>
    </row>
    <row r="630" spans="1:3" x14ac:dyDescent="0.25">
      <c r="A630" t="s">
        <v>7949</v>
      </c>
      <c r="B630" t="str">
        <f>"61744000"</f>
        <v>61744000</v>
      </c>
      <c r="C630" t="s">
        <v>8562</v>
      </c>
    </row>
    <row r="631" spans="1:3" x14ac:dyDescent="0.25">
      <c r="A631" t="s">
        <v>7949</v>
      </c>
      <c r="B631" t="str">
        <f>"61745000"</f>
        <v>61745000</v>
      </c>
      <c r="C631" t="s">
        <v>8563</v>
      </c>
    </row>
    <row r="632" spans="1:3" x14ac:dyDescent="0.25">
      <c r="A632" t="s">
        <v>7949</v>
      </c>
      <c r="B632" t="str">
        <f>"61760000"</f>
        <v>61760000</v>
      </c>
      <c r="C632" t="s">
        <v>8564</v>
      </c>
    </row>
    <row r="633" spans="1:3" x14ac:dyDescent="0.25">
      <c r="A633" t="s">
        <v>7949</v>
      </c>
      <c r="B633" t="str">
        <f>"61761000"</f>
        <v>61761000</v>
      </c>
      <c r="C633" t="s">
        <v>8565</v>
      </c>
    </row>
    <row r="634" spans="1:3" x14ac:dyDescent="0.25">
      <c r="A634" t="s">
        <v>7949</v>
      </c>
      <c r="B634" t="str">
        <f>"61762000"</f>
        <v>61762000</v>
      </c>
      <c r="C634" t="s">
        <v>8566</v>
      </c>
    </row>
    <row r="635" spans="1:3" x14ac:dyDescent="0.25">
      <c r="A635" t="s">
        <v>7949</v>
      </c>
      <c r="B635" t="str">
        <f>"61763000"</f>
        <v>61763000</v>
      </c>
      <c r="C635" t="s">
        <v>8567</v>
      </c>
    </row>
    <row r="636" spans="1:3" x14ac:dyDescent="0.25">
      <c r="A636" t="s">
        <v>7949</v>
      </c>
      <c r="B636" t="str">
        <f>"61764000"</f>
        <v>61764000</v>
      </c>
      <c r="C636" t="s">
        <v>8568</v>
      </c>
    </row>
    <row r="637" spans="1:3" x14ac:dyDescent="0.25">
      <c r="A637" t="s">
        <v>7949</v>
      </c>
      <c r="B637" t="str">
        <f>"61765000"</f>
        <v>61765000</v>
      </c>
      <c r="C637" t="s">
        <v>8569</v>
      </c>
    </row>
    <row r="638" spans="1:3" x14ac:dyDescent="0.25">
      <c r="A638" t="s">
        <v>7949</v>
      </c>
      <c r="B638" t="str">
        <f>"61766000"</f>
        <v>61766000</v>
      </c>
      <c r="C638" t="s">
        <v>8570</v>
      </c>
    </row>
    <row r="639" spans="1:3" x14ac:dyDescent="0.25">
      <c r="A639" t="s">
        <v>7949</v>
      </c>
      <c r="B639" t="str">
        <f>"61768000"</f>
        <v>61768000</v>
      </c>
      <c r="C639" t="s">
        <v>8571</v>
      </c>
    </row>
    <row r="640" spans="1:3" x14ac:dyDescent="0.25">
      <c r="A640" t="s">
        <v>7949</v>
      </c>
      <c r="B640" t="str">
        <f>"61770000"</f>
        <v>61770000</v>
      </c>
      <c r="C640" t="s">
        <v>8572</v>
      </c>
    </row>
    <row r="641" spans="1:3" x14ac:dyDescent="0.25">
      <c r="A641" t="s">
        <v>7949</v>
      </c>
      <c r="B641" t="str">
        <f>"61771000"</f>
        <v>61771000</v>
      </c>
      <c r="C641" t="s">
        <v>8540</v>
      </c>
    </row>
    <row r="642" spans="1:3" x14ac:dyDescent="0.25">
      <c r="A642" t="s">
        <v>7949</v>
      </c>
      <c r="B642" t="str">
        <f>"61774000"</f>
        <v>61774000</v>
      </c>
      <c r="C642" t="s">
        <v>8573</v>
      </c>
    </row>
    <row r="643" spans="1:3" x14ac:dyDescent="0.25">
      <c r="A643" t="s">
        <v>7949</v>
      </c>
      <c r="B643" t="str">
        <f>"61780000"</f>
        <v>61780000</v>
      </c>
      <c r="C643" t="s">
        <v>8574</v>
      </c>
    </row>
    <row r="644" spans="1:3" x14ac:dyDescent="0.25">
      <c r="A644" t="s">
        <v>7949</v>
      </c>
      <c r="B644" t="str">
        <f>"61800000"</f>
        <v>61800000</v>
      </c>
      <c r="C644" t="s">
        <v>8575</v>
      </c>
    </row>
    <row r="645" spans="1:3" x14ac:dyDescent="0.25">
      <c r="A645" t="s">
        <v>7949</v>
      </c>
      <c r="B645" t="str">
        <f>"61810000"</f>
        <v>61810000</v>
      </c>
      <c r="C645" t="s">
        <v>8576</v>
      </c>
    </row>
    <row r="646" spans="1:3" x14ac:dyDescent="0.25">
      <c r="A646" t="s">
        <v>7949</v>
      </c>
      <c r="B646" t="str">
        <f>"61820000"</f>
        <v>61820000</v>
      </c>
      <c r="C646" t="s">
        <v>8577</v>
      </c>
    </row>
    <row r="647" spans="1:3" x14ac:dyDescent="0.25">
      <c r="A647" t="s">
        <v>7949</v>
      </c>
      <c r="B647" t="str">
        <f>"61830000"</f>
        <v>61830000</v>
      </c>
      <c r="C647" t="s">
        <v>8578</v>
      </c>
    </row>
    <row r="648" spans="1:3" x14ac:dyDescent="0.25">
      <c r="A648" t="s">
        <v>7949</v>
      </c>
      <c r="B648" t="str">
        <f>"61850000"</f>
        <v>61850000</v>
      </c>
      <c r="C648" t="s">
        <v>8579</v>
      </c>
    </row>
    <row r="649" spans="1:3" x14ac:dyDescent="0.25">
      <c r="A649" t="s">
        <v>7949</v>
      </c>
      <c r="B649" t="str">
        <f>"61860000"</f>
        <v>61860000</v>
      </c>
      <c r="C649" t="s">
        <v>8580</v>
      </c>
    </row>
    <row r="650" spans="1:3" x14ac:dyDescent="0.25">
      <c r="A650" t="s">
        <v>7949</v>
      </c>
      <c r="B650" t="str">
        <f>"61870000"</f>
        <v>61870000</v>
      </c>
      <c r="C650" t="s">
        <v>8581</v>
      </c>
    </row>
    <row r="651" spans="1:3" x14ac:dyDescent="0.25">
      <c r="A651" t="s">
        <v>7949</v>
      </c>
      <c r="B651" t="str">
        <f>"61880000"</f>
        <v>61880000</v>
      </c>
      <c r="C651" t="s">
        <v>8582</v>
      </c>
    </row>
    <row r="652" spans="1:3" x14ac:dyDescent="0.25">
      <c r="A652" t="s">
        <v>7949</v>
      </c>
      <c r="B652" t="str">
        <f>"61900000"</f>
        <v>61900000</v>
      </c>
      <c r="C652" t="s">
        <v>8583</v>
      </c>
    </row>
    <row r="653" spans="1:3" x14ac:dyDescent="0.25">
      <c r="A653" t="s">
        <v>7949</v>
      </c>
      <c r="B653" t="str">
        <f>"61910000"</f>
        <v>61910000</v>
      </c>
      <c r="C653" t="s">
        <v>8584</v>
      </c>
    </row>
    <row r="654" spans="1:3" x14ac:dyDescent="0.25">
      <c r="A654" t="s">
        <v>7949</v>
      </c>
      <c r="B654" t="str">
        <f>"61911000"</f>
        <v>61911000</v>
      </c>
      <c r="C654" t="s">
        <v>8585</v>
      </c>
    </row>
    <row r="655" spans="1:3" x14ac:dyDescent="0.25">
      <c r="A655" t="s">
        <v>7949</v>
      </c>
      <c r="B655" t="str">
        <f>"61912000"</f>
        <v>61912000</v>
      </c>
      <c r="C655" t="s">
        <v>8586</v>
      </c>
    </row>
    <row r="656" spans="1:3" x14ac:dyDescent="0.25">
      <c r="A656" t="s">
        <v>7949</v>
      </c>
      <c r="B656" t="str">
        <f>"61920000"</f>
        <v>61920000</v>
      </c>
      <c r="C656" t="s">
        <v>8587</v>
      </c>
    </row>
    <row r="657" spans="1:3" x14ac:dyDescent="0.25">
      <c r="A657" t="s">
        <v>7949</v>
      </c>
      <c r="B657" t="str">
        <f>"61921000"</f>
        <v>61921000</v>
      </c>
      <c r="C657" t="s">
        <v>8588</v>
      </c>
    </row>
    <row r="658" spans="1:3" x14ac:dyDescent="0.25">
      <c r="A658" t="s">
        <v>7949</v>
      </c>
      <c r="B658" t="str">
        <f>"61922000"</f>
        <v>61922000</v>
      </c>
      <c r="C658" t="s">
        <v>8589</v>
      </c>
    </row>
    <row r="659" spans="1:3" x14ac:dyDescent="0.25">
      <c r="A659" t="s">
        <v>7949</v>
      </c>
      <c r="B659" t="str">
        <f>"61923000"</f>
        <v>61923000</v>
      </c>
      <c r="C659" t="s">
        <v>8590</v>
      </c>
    </row>
    <row r="660" spans="1:3" x14ac:dyDescent="0.25">
      <c r="A660" t="s">
        <v>7949</v>
      </c>
      <c r="B660" t="str">
        <f>"61928000"</f>
        <v>61928000</v>
      </c>
      <c r="C660" t="s">
        <v>8591</v>
      </c>
    </row>
    <row r="661" spans="1:3" x14ac:dyDescent="0.25">
      <c r="A661" t="s">
        <v>7949</v>
      </c>
      <c r="B661" t="str">
        <f>"61930000"</f>
        <v>61930000</v>
      </c>
      <c r="C661" t="s">
        <v>8592</v>
      </c>
    </row>
    <row r="662" spans="1:3" x14ac:dyDescent="0.25">
      <c r="A662" t="s">
        <v>7949</v>
      </c>
      <c r="B662" t="str">
        <f>"61931000"</f>
        <v>61931000</v>
      </c>
      <c r="C662" t="s">
        <v>8593</v>
      </c>
    </row>
    <row r="663" spans="1:3" x14ac:dyDescent="0.25">
      <c r="A663" t="s">
        <v>7949</v>
      </c>
      <c r="B663" t="str">
        <f>"61932000"</f>
        <v>61932000</v>
      </c>
      <c r="C663" t="s">
        <v>8594</v>
      </c>
    </row>
    <row r="664" spans="1:3" x14ac:dyDescent="0.25">
      <c r="A664" t="s">
        <v>7949</v>
      </c>
      <c r="B664" t="str">
        <f>"61933000"</f>
        <v>61933000</v>
      </c>
      <c r="C664" t="s">
        <v>8595</v>
      </c>
    </row>
    <row r="665" spans="1:3" x14ac:dyDescent="0.25">
      <c r="A665" t="s">
        <v>7949</v>
      </c>
      <c r="B665" t="str">
        <f>"61934000"</f>
        <v>61934000</v>
      </c>
      <c r="C665" t="s">
        <v>8596</v>
      </c>
    </row>
    <row r="666" spans="1:3" x14ac:dyDescent="0.25">
      <c r="A666" t="s">
        <v>7949</v>
      </c>
      <c r="B666" t="str">
        <f>"61935000"</f>
        <v>61935000</v>
      </c>
      <c r="C666" t="s">
        <v>8597</v>
      </c>
    </row>
    <row r="667" spans="1:3" x14ac:dyDescent="0.25">
      <c r="A667" t="s">
        <v>7949</v>
      </c>
      <c r="B667" t="str">
        <f>"61938000"</f>
        <v>61938000</v>
      </c>
      <c r="C667" t="s">
        <v>8598</v>
      </c>
    </row>
    <row r="668" spans="1:3" x14ac:dyDescent="0.25">
      <c r="A668" t="s">
        <v>7949</v>
      </c>
      <c r="B668" t="str">
        <f>"61940000"</f>
        <v>61940000</v>
      </c>
      <c r="C668" t="s">
        <v>8599</v>
      </c>
    </row>
    <row r="669" spans="1:3" x14ac:dyDescent="0.25">
      <c r="A669" t="s">
        <v>7949</v>
      </c>
      <c r="B669" t="str">
        <f>"61942000"</f>
        <v>61942000</v>
      </c>
      <c r="C669" t="s">
        <v>8600</v>
      </c>
    </row>
    <row r="670" spans="1:3" x14ac:dyDescent="0.25">
      <c r="A670" t="s">
        <v>7949</v>
      </c>
      <c r="B670" t="str">
        <f>"61943000"</f>
        <v>61943000</v>
      </c>
      <c r="C670" t="s">
        <v>8601</v>
      </c>
    </row>
    <row r="671" spans="1:3" x14ac:dyDescent="0.25">
      <c r="A671" t="s">
        <v>7949</v>
      </c>
      <c r="B671" t="str">
        <f>"61950000"</f>
        <v>61950000</v>
      </c>
      <c r="C671" t="s">
        <v>8602</v>
      </c>
    </row>
    <row r="672" spans="1:3" x14ac:dyDescent="0.25">
      <c r="A672" t="s">
        <v>7949</v>
      </c>
      <c r="B672" t="str">
        <f>"61955000"</f>
        <v>61955000</v>
      </c>
      <c r="C672" t="s">
        <v>8603</v>
      </c>
    </row>
    <row r="673" spans="1:3" x14ac:dyDescent="0.25">
      <c r="A673" t="s">
        <v>7949</v>
      </c>
      <c r="B673" t="str">
        <f>"61957000"</f>
        <v>61957000</v>
      </c>
      <c r="C673" t="s">
        <v>8604</v>
      </c>
    </row>
    <row r="674" spans="1:3" x14ac:dyDescent="0.25">
      <c r="A674" t="s">
        <v>7949</v>
      </c>
      <c r="B674" t="str">
        <f>"61960000"</f>
        <v>61960000</v>
      </c>
      <c r="C674" t="s">
        <v>8605</v>
      </c>
    </row>
    <row r="675" spans="1:3" x14ac:dyDescent="0.25">
      <c r="A675" t="s">
        <v>7949</v>
      </c>
      <c r="B675" t="str">
        <f>"61961000"</f>
        <v>61961000</v>
      </c>
      <c r="C675" t="s">
        <v>8606</v>
      </c>
    </row>
    <row r="676" spans="1:3" x14ac:dyDescent="0.25">
      <c r="A676" t="s">
        <v>7949</v>
      </c>
      <c r="B676" t="str">
        <f>"61964000"</f>
        <v>61964000</v>
      </c>
      <c r="C676" t="s">
        <v>8607</v>
      </c>
    </row>
    <row r="677" spans="1:3" x14ac:dyDescent="0.25">
      <c r="A677" t="s">
        <v>7949</v>
      </c>
      <c r="B677" t="str">
        <f>"61980000"</f>
        <v>61980000</v>
      </c>
      <c r="C677" t="s">
        <v>8608</v>
      </c>
    </row>
    <row r="678" spans="1:3" x14ac:dyDescent="0.25">
      <c r="A678" t="s">
        <v>7949</v>
      </c>
      <c r="B678" t="str">
        <f>"61981000"</f>
        <v>61981000</v>
      </c>
      <c r="C678" t="s">
        <v>8609</v>
      </c>
    </row>
    <row r="679" spans="1:3" x14ac:dyDescent="0.25">
      <c r="A679" t="s">
        <v>7949</v>
      </c>
      <c r="B679" t="str">
        <f>"61984000"</f>
        <v>61984000</v>
      </c>
      <c r="C679" t="s">
        <v>8610</v>
      </c>
    </row>
    <row r="680" spans="1:3" x14ac:dyDescent="0.25">
      <c r="A680" t="s">
        <v>7949</v>
      </c>
      <c r="B680" t="str">
        <f>"63000000"</f>
        <v>63000000</v>
      </c>
      <c r="C680" t="s">
        <v>8611</v>
      </c>
    </row>
    <row r="681" spans="1:3" x14ac:dyDescent="0.25">
      <c r="A681" t="s">
        <v>7949</v>
      </c>
      <c r="B681" t="str">
        <f>"63100000"</f>
        <v>63100000</v>
      </c>
      <c r="C681" t="s">
        <v>8612</v>
      </c>
    </row>
    <row r="682" spans="1:3" x14ac:dyDescent="0.25">
      <c r="A682" t="s">
        <v>7949</v>
      </c>
      <c r="B682" t="str">
        <f>"63110000"</f>
        <v>63110000</v>
      </c>
      <c r="C682" t="s">
        <v>8613</v>
      </c>
    </row>
    <row r="683" spans="1:3" x14ac:dyDescent="0.25">
      <c r="A683" t="s">
        <v>7949</v>
      </c>
      <c r="B683" t="str">
        <f>"63111000"</f>
        <v>63111000</v>
      </c>
      <c r="C683" t="s">
        <v>8520</v>
      </c>
    </row>
    <row r="684" spans="1:3" x14ac:dyDescent="0.25">
      <c r="A684" t="s">
        <v>7949</v>
      </c>
      <c r="B684" t="str">
        <f>"63113000"</f>
        <v>63113000</v>
      </c>
      <c r="C684" t="s">
        <v>8614</v>
      </c>
    </row>
    <row r="685" spans="1:3" x14ac:dyDescent="0.25">
      <c r="A685" t="s">
        <v>7949</v>
      </c>
      <c r="B685" t="str">
        <f>"63114000"</f>
        <v>63114000</v>
      </c>
      <c r="C685" t="s">
        <v>8615</v>
      </c>
    </row>
    <row r="686" spans="1:3" x14ac:dyDescent="0.25">
      <c r="A686" t="s">
        <v>7949</v>
      </c>
      <c r="B686" t="str">
        <f>"63115000"</f>
        <v>63115000</v>
      </c>
      <c r="C686" t="s">
        <v>8616</v>
      </c>
    </row>
    <row r="687" spans="1:3" x14ac:dyDescent="0.25">
      <c r="A687" t="s">
        <v>7949</v>
      </c>
      <c r="B687" t="str">
        <f>"63118000"</f>
        <v>63118000</v>
      </c>
      <c r="C687" t="s">
        <v>8617</v>
      </c>
    </row>
    <row r="688" spans="1:3" x14ac:dyDescent="0.25">
      <c r="A688" t="s">
        <v>7949</v>
      </c>
      <c r="B688" t="str">
        <f>"63180000"</f>
        <v>63180000</v>
      </c>
      <c r="C688" t="s">
        <v>8618</v>
      </c>
    </row>
    <row r="689" spans="1:3" x14ac:dyDescent="0.25">
      <c r="A689" t="s">
        <v>7949</v>
      </c>
      <c r="B689" t="str">
        <f>"63300000"</f>
        <v>63300000</v>
      </c>
      <c r="C689" t="s">
        <v>8619</v>
      </c>
    </row>
    <row r="690" spans="1:3" x14ac:dyDescent="0.25">
      <c r="A690" t="s">
        <v>7949</v>
      </c>
      <c r="B690" t="str">
        <f>"63310000"</f>
        <v>63310000</v>
      </c>
      <c r="C690" t="s">
        <v>8620</v>
      </c>
    </row>
    <row r="691" spans="1:3" x14ac:dyDescent="0.25">
      <c r="A691" t="s">
        <v>7949</v>
      </c>
      <c r="B691" t="str">
        <f>"63380000"</f>
        <v>63380000</v>
      </c>
      <c r="C691" t="s">
        <v>8621</v>
      </c>
    </row>
    <row r="692" spans="1:3" x14ac:dyDescent="0.25">
      <c r="A692" t="s">
        <v>7949</v>
      </c>
      <c r="B692" t="str">
        <f>"63800000"</f>
        <v>63800000</v>
      </c>
      <c r="C692" t="s">
        <v>8622</v>
      </c>
    </row>
    <row r="693" spans="1:3" x14ac:dyDescent="0.25">
      <c r="A693" t="s">
        <v>7949</v>
      </c>
      <c r="B693" t="str">
        <f>"63820000"</f>
        <v>63820000</v>
      </c>
      <c r="C693" t="s">
        <v>8623</v>
      </c>
    </row>
    <row r="694" spans="1:3" x14ac:dyDescent="0.25">
      <c r="A694" t="s">
        <v>7949</v>
      </c>
      <c r="B694" t="str">
        <f>"63850000"</f>
        <v>63850000</v>
      </c>
      <c r="C694" t="s">
        <v>8624</v>
      </c>
    </row>
    <row r="695" spans="1:3" x14ac:dyDescent="0.25">
      <c r="A695" t="s">
        <v>7949</v>
      </c>
      <c r="B695" t="str">
        <f>"63860000"</f>
        <v>63860000</v>
      </c>
      <c r="C695" t="s">
        <v>8625</v>
      </c>
    </row>
    <row r="696" spans="1:3" x14ac:dyDescent="0.25">
      <c r="A696" t="s">
        <v>7949</v>
      </c>
      <c r="B696" t="str">
        <f>"63880000"</f>
        <v>63880000</v>
      </c>
      <c r="C696" t="s">
        <v>8626</v>
      </c>
    </row>
    <row r="697" spans="1:3" x14ac:dyDescent="0.25">
      <c r="A697" t="s">
        <v>7949</v>
      </c>
      <c r="B697" t="str">
        <f>"63900000"</f>
        <v>63900000</v>
      </c>
      <c r="C697" t="s">
        <v>8627</v>
      </c>
    </row>
    <row r="698" spans="1:3" x14ac:dyDescent="0.25">
      <c r="A698" t="s">
        <v>7949</v>
      </c>
      <c r="B698" t="str">
        <f>"63910000"</f>
        <v>63910000</v>
      </c>
      <c r="C698" t="s">
        <v>8628</v>
      </c>
    </row>
    <row r="699" spans="1:3" x14ac:dyDescent="0.25">
      <c r="A699" t="s">
        <v>7949</v>
      </c>
      <c r="B699" t="str">
        <f>"63920000"</f>
        <v>63920000</v>
      </c>
      <c r="C699" t="s">
        <v>8629</v>
      </c>
    </row>
    <row r="700" spans="1:3" x14ac:dyDescent="0.25">
      <c r="A700" t="s">
        <v>7949</v>
      </c>
      <c r="B700" t="str">
        <f>"63930000"</f>
        <v>63930000</v>
      </c>
      <c r="C700" t="s">
        <v>8630</v>
      </c>
    </row>
    <row r="701" spans="1:3" x14ac:dyDescent="0.25">
      <c r="A701" t="s">
        <v>7949</v>
      </c>
      <c r="B701" t="str">
        <f>"63937000"</f>
        <v>63937000</v>
      </c>
      <c r="C701" t="s">
        <v>8630</v>
      </c>
    </row>
    <row r="702" spans="1:3" x14ac:dyDescent="0.25">
      <c r="A702" t="s">
        <v>7949</v>
      </c>
      <c r="B702" t="str">
        <f>"63940000"</f>
        <v>63940000</v>
      </c>
      <c r="C702" t="s">
        <v>8631</v>
      </c>
    </row>
    <row r="703" spans="1:3" x14ac:dyDescent="0.25">
      <c r="A703" t="s">
        <v>7949</v>
      </c>
      <c r="B703" t="str">
        <f>"63960000"</f>
        <v>63960000</v>
      </c>
      <c r="C703" t="s">
        <v>8632</v>
      </c>
    </row>
    <row r="704" spans="1:3" x14ac:dyDescent="0.25">
      <c r="A704" t="s">
        <v>7949</v>
      </c>
      <c r="B704" t="str">
        <f>"63980000"</f>
        <v>63980000</v>
      </c>
      <c r="C704" t="s">
        <v>8633</v>
      </c>
    </row>
    <row r="705" spans="1:3" x14ac:dyDescent="0.25">
      <c r="A705" t="s">
        <v>7949</v>
      </c>
      <c r="B705" t="str">
        <f>"65000000"</f>
        <v>65000000</v>
      </c>
      <c r="C705" t="s">
        <v>8634</v>
      </c>
    </row>
    <row r="706" spans="1:3" x14ac:dyDescent="0.25">
      <c r="A706" t="s">
        <v>7949</v>
      </c>
      <c r="B706" t="str">
        <f>"65100000"</f>
        <v>65100000</v>
      </c>
      <c r="C706" t="s">
        <v>8635</v>
      </c>
    </row>
    <row r="707" spans="1:3" x14ac:dyDescent="0.25">
      <c r="A707" t="s">
        <v>7949</v>
      </c>
      <c r="B707" t="str">
        <f>"65120000"</f>
        <v>65120000</v>
      </c>
      <c r="C707" t="s">
        <v>8636</v>
      </c>
    </row>
    <row r="708" spans="1:3" x14ac:dyDescent="0.25">
      <c r="A708" t="s">
        <v>7949</v>
      </c>
      <c r="B708" t="str">
        <f>"65130000"</f>
        <v>65130000</v>
      </c>
      <c r="C708" t="s">
        <v>8637</v>
      </c>
    </row>
    <row r="709" spans="1:3" x14ac:dyDescent="0.25">
      <c r="A709" t="s">
        <v>7949</v>
      </c>
      <c r="B709" t="str">
        <f>"65140000"</f>
        <v>65140000</v>
      </c>
      <c r="C709" t="s">
        <v>8638</v>
      </c>
    </row>
    <row r="710" spans="1:3" x14ac:dyDescent="0.25">
      <c r="A710" t="s">
        <v>7949</v>
      </c>
      <c r="B710" t="str">
        <f>"65180000"</f>
        <v>65180000</v>
      </c>
      <c r="C710" t="s">
        <v>8639</v>
      </c>
    </row>
    <row r="711" spans="1:3" x14ac:dyDescent="0.25">
      <c r="A711" t="s">
        <v>7949</v>
      </c>
      <c r="B711" t="str">
        <f>"65600000"</f>
        <v>65600000</v>
      </c>
      <c r="C711" t="s">
        <v>8640</v>
      </c>
    </row>
    <row r="712" spans="1:3" x14ac:dyDescent="0.25">
      <c r="A712" t="s">
        <v>7949</v>
      </c>
      <c r="B712" t="str">
        <f>"65610000"</f>
        <v>65610000</v>
      </c>
      <c r="C712" t="s">
        <v>8641</v>
      </c>
    </row>
    <row r="713" spans="1:3" x14ac:dyDescent="0.25">
      <c r="A713" t="s">
        <v>7949</v>
      </c>
      <c r="B713" t="str">
        <f>"65680000"</f>
        <v>65680000</v>
      </c>
      <c r="C713" t="s">
        <v>8642</v>
      </c>
    </row>
    <row r="714" spans="1:3" x14ac:dyDescent="0.25">
      <c r="A714" t="s">
        <v>7949</v>
      </c>
      <c r="B714" t="str">
        <f>"65800000"</f>
        <v>65800000</v>
      </c>
      <c r="C714" t="s">
        <v>8643</v>
      </c>
    </row>
    <row r="715" spans="1:3" x14ac:dyDescent="0.25">
      <c r="A715" t="s">
        <v>7949</v>
      </c>
      <c r="B715" t="str">
        <f>"65800001"</f>
        <v>65800001</v>
      </c>
      <c r="C715" t="s">
        <v>8644</v>
      </c>
    </row>
    <row r="716" spans="1:3" x14ac:dyDescent="0.25">
      <c r="A716" t="s">
        <v>7949</v>
      </c>
      <c r="B716" t="str">
        <f>"65810000"</f>
        <v>65810000</v>
      </c>
      <c r="C716" t="s">
        <v>8645</v>
      </c>
    </row>
    <row r="717" spans="1:3" x14ac:dyDescent="0.25">
      <c r="A717" t="s">
        <v>7949</v>
      </c>
      <c r="B717" t="str">
        <f>"65811000"</f>
        <v>65811000</v>
      </c>
      <c r="C717" t="s">
        <v>8646</v>
      </c>
    </row>
    <row r="718" spans="1:3" x14ac:dyDescent="0.25">
      <c r="A718" t="s">
        <v>7949</v>
      </c>
      <c r="B718" t="str">
        <f>"65812000"</f>
        <v>65812000</v>
      </c>
      <c r="C718" t="s">
        <v>8647</v>
      </c>
    </row>
    <row r="719" spans="1:3" x14ac:dyDescent="0.25">
      <c r="A719" t="s">
        <v>7949</v>
      </c>
      <c r="B719" t="str">
        <f>"65820000"</f>
        <v>65820000</v>
      </c>
      <c r="C719" t="s">
        <v>8648</v>
      </c>
    </row>
    <row r="720" spans="1:3" x14ac:dyDescent="0.25">
      <c r="A720" t="s">
        <v>7949</v>
      </c>
      <c r="B720" t="str">
        <f>"65830000"</f>
        <v>65830000</v>
      </c>
      <c r="C720" t="s">
        <v>8649</v>
      </c>
    </row>
    <row r="721" spans="1:3" x14ac:dyDescent="0.25">
      <c r="A721" t="s">
        <v>7949</v>
      </c>
      <c r="B721" t="str">
        <f>"65831000"</f>
        <v>65831000</v>
      </c>
      <c r="C721" t="s">
        <v>8650</v>
      </c>
    </row>
    <row r="722" spans="1:3" x14ac:dyDescent="0.25">
      <c r="A722" t="s">
        <v>7949</v>
      </c>
      <c r="B722" t="str">
        <f>"65833000"</f>
        <v>65833000</v>
      </c>
      <c r="C722" t="s">
        <v>8651</v>
      </c>
    </row>
    <row r="723" spans="1:3" x14ac:dyDescent="0.25">
      <c r="A723" t="s">
        <v>7949</v>
      </c>
      <c r="B723" t="str">
        <f>"65850000"</f>
        <v>65850000</v>
      </c>
      <c r="C723" t="s">
        <v>8652</v>
      </c>
    </row>
    <row r="724" spans="1:3" x14ac:dyDescent="0.25">
      <c r="A724" t="s">
        <v>7949</v>
      </c>
      <c r="B724" t="str">
        <f>"65860000"</f>
        <v>65860000</v>
      </c>
      <c r="C724" t="s">
        <v>8653</v>
      </c>
    </row>
    <row r="725" spans="1:3" x14ac:dyDescent="0.25">
      <c r="A725" t="s">
        <v>7949</v>
      </c>
      <c r="B725" t="str">
        <f>"65861000"</f>
        <v>65861000</v>
      </c>
      <c r="C725" t="s">
        <v>8519</v>
      </c>
    </row>
    <row r="726" spans="1:3" x14ac:dyDescent="0.25">
      <c r="A726" t="s">
        <v>7949</v>
      </c>
      <c r="B726" t="str">
        <f>"65862000"</f>
        <v>65862000</v>
      </c>
      <c r="C726" t="s">
        <v>8654</v>
      </c>
    </row>
    <row r="727" spans="1:3" x14ac:dyDescent="0.25">
      <c r="A727" t="s">
        <v>7949</v>
      </c>
      <c r="B727" t="str">
        <f>"65863000"</f>
        <v>65863000</v>
      </c>
      <c r="C727" t="s">
        <v>8655</v>
      </c>
    </row>
    <row r="728" spans="1:3" x14ac:dyDescent="0.25">
      <c r="A728" t="s">
        <v>7949</v>
      </c>
      <c r="B728" t="str">
        <f>"65880000"</f>
        <v>65880000</v>
      </c>
      <c r="C728" t="s">
        <v>8656</v>
      </c>
    </row>
    <row r="729" spans="1:3" x14ac:dyDescent="0.25">
      <c r="A729" t="s">
        <v>7949</v>
      </c>
      <c r="B729" t="str">
        <f>"65900000"</f>
        <v>65900000</v>
      </c>
      <c r="C729" t="s">
        <v>8657</v>
      </c>
    </row>
    <row r="730" spans="1:3" x14ac:dyDescent="0.25">
      <c r="A730" t="s">
        <v>7949</v>
      </c>
      <c r="B730" t="str">
        <f>"65910000"</f>
        <v>65910000</v>
      </c>
      <c r="C730" t="s">
        <v>8658</v>
      </c>
    </row>
    <row r="731" spans="1:3" x14ac:dyDescent="0.25">
      <c r="A731" t="s">
        <v>7949</v>
      </c>
      <c r="B731" t="str">
        <f>"65911000"</f>
        <v>65911000</v>
      </c>
      <c r="C731" t="s">
        <v>8659</v>
      </c>
    </row>
    <row r="732" spans="1:3" x14ac:dyDescent="0.25">
      <c r="A732" t="s">
        <v>7949</v>
      </c>
      <c r="B732" t="str">
        <f>"65912000"</f>
        <v>65912000</v>
      </c>
      <c r="C732" t="s">
        <v>8660</v>
      </c>
    </row>
    <row r="733" spans="1:3" x14ac:dyDescent="0.25">
      <c r="A733" t="s">
        <v>7949</v>
      </c>
      <c r="B733" t="str">
        <f>"65913000"</f>
        <v>65913000</v>
      </c>
      <c r="C733" t="s">
        <v>8661</v>
      </c>
    </row>
    <row r="734" spans="1:3" x14ac:dyDescent="0.25">
      <c r="A734" t="s">
        <v>7949</v>
      </c>
      <c r="B734" t="str">
        <f>"65940000"</f>
        <v>65940000</v>
      </c>
      <c r="C734" t="s">
        <v>8662</v>
      </c>
    </row>
    <row r="735" spans="1:3" x14ac:dyDescent="0.25">
      <c r="A735" t="s">
        <v>7949</v>
      </c>
      <c r="B735" t="str">
        <f>"65941000"</f>
        <v>65941000</v>
      </c>
      <c r="C735" t="s">
        <v>8663</v>
      </c>
    </row>
    <row r="736" spans="1:3" x14ac:dyDescent="0.25">
      <c r="A736" t="s">
        <v>7949</v>
      </c>
      <c r="B736" t="str">
        <f>"65942000"</f>
        <v>65942000</v>
      </c>
      <c r="C736" t="s">
        <v>8664</v>
      </c>
    </row>
    <row r="737" spans="1:3" x14ac:dyDescent="0.25">
      <c r="A737" t="s">
        <v>7949</v>
      </c>
      <c r="B737" t="str">
        <f>"65944000"</f>
        <v>65944000</v>
      </c>
      <c r="C737" t="s">
        <v>8665</v>
      </c>
    </row>
    <row r="738" spans="1:3" x14ac:dyDescent="0.25">
      <c r="A738" t="s">
        <v>7949</v>
      </c>
      <c r="B738" t="str">
        <f>"65945000"</f>
        <v>65945000</v>
      </c>
      <c r="C738" t="s">
        <v>8666</v>
      </c>
    </row>
    <row r="739" spans="1:3" x14ac:dyDescent="0.25">
      <c r="A739" t="s">
        <v>7949</v>
      </c>
      <c r="B739" t="str">
        <f>"65946000"</f>
        <v>65946000</v>
      </c>
      <c r="C739" t="s">
        <v>8667</v>
      </c>
    </row>
    <row r="740" spans="1:3" x14ac:dyDescent="0.25">
      <c r="A740" t="s">
        <v>7949</v>
      </c>
      <c r="B740" t="str">
        <f>"65950000"</f>
        <v>65950000</v>
      </c>
      <c r="C740" t="s">
        <v>8668</v>
      </c>
    </row>
    <row r="741" spans="1:3" x14ac:dyDescent="0.25">
      <c r="A741" t="s">
        <v>7949</v>
      </c>
      <c r="B741" t="str">
        <f>"65955000"</f>
        <v>65955000</v>
      </c>
      <c r="C741" t="s">
        <v>8669</v>
      </c>
    </row>
    <row r="742" spans="1:3" x14ac:dyDescent="0.25">
      <c r="A742" t="s">
        <v>7949</v>
      </c>
      <c r="B742" t="str">
        <f>"65957000"</f>
        <v>65957000</v>
      </c>
      <c r="C742" t="s">
        <v>8670</v>
      </c>
    </row>
    <row r="743" spans="1:3" x14ac:dyDescent="0.25">
      <c r="A743" t="s">
        <v>7949</v>
      </c>
      <c r="B743" t="str">
        <f>"65960000"</f>
        <v>65960000</v>
      </c>
      <c r="C743" t="s">
        <v>8671</v>
      </c>
    </row>
    <row r="744" spans="1:3" x14ac:dyDescent="0.25">
      <c r="A744" t="s">
        <v>7949</v>
      </c>
      <c r="B744" t="str">
        <f>"65962000"</f>
        <v>65962000</v>
      </c>
      <c r="C744" t="s">
        <v>8672</v>
      </c>
    </row>
    <row r="745" spans="1:3" x14ac:dyDescent="0.25">
      <c r="A745" t="s">
        <v>7949</v>
      </c>
      <c r="B745" t="str">
        <f>"65963000"</f>
        <v>65963000</v>
      </c>
      <c r="C745" t="s">
        <v>8673</v>
      </c>
    </row>
    <row r="746" spans="1:3" x14ac:dyDescent="0.25">
      <c r="A746" t="s">
        <v>7949</v>
      </c>
      <c r="B746" t="str">
        <f>"65980000"</f>
        <v>65980000</v>
      </c>
      <c r="C746" t="s">
        <v>8674</v>
      </c>
    </row>
    <row r="747" spans="1:3" x14ac:dyDescent="0.25">
      <c r="A747" t="s">
        <v>7949</v>
      </c>
      <c r="B747" t="str">
        <f>"66600000"</f>
        <v>66600000</v>
      </c>
      <c r="C747" t="s">
        <v>8675</v>
      </c>
    </row>
    <row r="748" spans="1:3" x14ac:dyDescent="0.25">
      <c r="A748" t="s">
        <v>7949</v>
      </c>
      <c r="B748" t="str">
        <f>"67000000"</f>
        <v>67000000</v>
      </c>
      <c r="C748" t="s">
        <v>8676</v>
      </c>
    </row>
    <row r="749" spans="1:3" x14ac:dyDescent="0.25">
      <c r="A749" t="s">
        <v>7949</v>
      </c>
      <c r="B749" t="str">
        <f>"67010000"</f>
        <v>67010000</v>
      </c>
      <c r="C749" t="s">
        <v>8677</v>
      </c>
    </row>
    <row r="750" spans="1:3" x14ac:dyDescent="0.25">
      <c r="A750" t="s">
        <v>7949</v>
      </c>
      <c r="B750" t="str">
        <f>"67050000"</f>
        <v>67050000</v>
      </c>
      <c r="C750" t="s">
        <v>8678</v>
      </c>
    </row>
    <row r="751" spans="1:3" x14ac:dyDescent="0.25">
      <c r="A751" t="s">
        <v>7949</v>
      </c>
      <c r="B751" t="str">
        <f>"67051000"</f>
        <v>67051000</v>
      </c>
      <c r="C751" t="s">
        <v>8679</v>
      </c>
    </row>
    <row r="752" spans="1:3" x14ac:dyDescent="0.25">
      <c r="A752" t="s">
        <v>7949</v>
      </c>
      <c r="B752" t="str">
        <f>"67052000"</f>
        <v>67052000</v>
      </c>
      <c r="C752" t="s">
        <v>8680</v>
      </c>
    </row>
    <row r="753" spans="1:3" x14ac:dyDescent="0.25">
      <c r="A753" t="s">
        <v>7949</v>
      </c>
      <c r="B753" t="str">
        <f>"67080000"</f>
        <v>67080000</v>
      </c>
      <c r="C753" t="s">
        <v>8681</v>
      </c>
    </row>
    <row r="754" spans="1:3" x14ac:dyDescent="0.25">
      <c r="A754" t="s">
        <v>7949</v>
      </c>
      <c r="B754" t="str">
        <f>"70000000"</f>
        <v>70000000</v>
      </c>
      <c r="C754" t="s">
        <v>8682</v>
      </c>
    </row>
    <row r="755" spans="1:3" x14ac:dyDescent="0.25">
      <c r="A755" t="s">
        <v>7949</v>
      </c>
      <c r="B755" t="str">
        <f>"71000000"</f>
        <v>71000000</v>
      </c>
      <c r="C755" t="s">
        <v>8683</v>
      </c>
    </row>
    <row r="756" spans="1:3" x14ac:dyDescent="0.25">
      <c r="A756" t="s">
        <v>7949</v>
      </c>
      <c r="B756" t="str">
        <f>"71100000"</f>
        <v>71100000</v>
      </c>
      <c r="C756" t="s">
        <v>8684</v>
      </c>
    </row>
    <row r="757" spans="1:3" x14ac:dyDescent="0.25">
      <c r="A757" t="s">
        <v>7949</v>
      </c>
      <c r="B757" t="str">
        <f>"71110000"</f>
        <v>71110000</v>
      </c>
      <c r="C757" t="s">
        <v>8684</v>
      </c>
    </row>
    <row r="758" spans="1:3" x14ac:dyDescent="0.25">
      <c r="A758" t="s">
        <v>7949</v>
      </c>
      <c r="B758" t="str">
        <f>"71130000"</f>
        <v>71130000</v>
      </c>
      <c r="C758" t="s">
        <v>8685</v>
      </c>
    </row>
    <row r="759" spans="1:3" x14ac:dyDescent="0.25">
      <c r="A759" t="s">
        <v>7949</v>
      </c>
      <c r="B759" t="str">
        <f>"71180000"</f>
        <v>71180000</v>
      </c>
      <c r="C759" t="s">
        <v>8686</v>
      </c>
    </row>
    <row r="760" spans="1:3" x14ac:dyDescent="0.25">
      <c r="A760" t="s">
        <v>7949</v>
      </c>
      <c r="B760" t="str">
        <f>"71190000"</f>
        <v>71190000</v>
      </c>
      <c r="C760" t="s">
        <v>8687</v>
      </c>
    </row>
    <row r="761" spans="1:3" x14ac:dyDescent="0.25">
      <c r="A761" t="s">
        <v>7949</v>
      </c>
      <c r="B761" t="str">
        <f>"71200000"</f>
        <v>71200000</v>
      </c>
      <c r="C761" t="s">
        <v>8688</v>
      </c>
    </row>
    <row r="762" spans="1:3" x14ac:dyDescent="0.25">
      <c r="A762" t="s">
        <v>7949</v>
      </c>
      <c r="B762" t="str">
        <f>"71210000"</f>
        <v>71210000</v>
      </c>
      <c r="C762" t="s">
        <v>8689</v>
      </c>
    </row>
    <row r="763" spans="1:3" x14ac:dyDescent="0.25">
      <c r="A763" t="s">
        <v>7949</v>
      </c>
      <c r="B763" t="str">
        <f>"71211000"</f>
        <v>71211000</v>
      </c>
      <c r="C763" t="s">
        <v>8690</v>
      </c>
    </row>
    <row r="764" spans="1:3" x14ac:dyDescent="0.25">
      <c r="A764" t="s">
        <v>7949</v>
      </c>
      <c r="B764" t="str">
        <f>"71212000"</f>
        <v>71212000</v>
      </c>
      <c r="C764" t="s">
        <v>8691</v>
      </c>
    </row>
    <row r="765" spans="1:3" x14ac:dyDescent="0.25">
      <c r="A765" t="s">
        <v>7949</v>
      </c>
      <c r="B765" t="str">
        <f>"71217000"</f>
        <v>71217000</v>
      </c>
      <c r="C765" t="s">
        <v>8692</v>
      </c>
    </row>
    <row r="766" spans="1:3" x14ac:dyDescent="0.25">
      <c r="A766" t="s">
        <v>7949</v>
      </c>
      <c r="B766" t="str">
        <f>"71220000"</f>
        <v>71220000</v>
      </c>
      <c r="C766" t="s">
        <v>8693</v>
      </c>
    </row>
    <row r="767" spans="1:3" x14ac:dyDescent="0.25">
      <c r="A767" t="s">
        <v>7949</v>
      </c>
      <c r="B767" t="str">
        <f>"71221000"</f>
        <v>71221000</v>
      </c>
      <c r="C767" t="s">
        <v>8690</v>
      </c>
    </row>
    <row r="768" spans="1:3" x14ac:dyDescent="0.25">
      <c r="A768" t="s">
        <v>7949</v>
      </c>
      <c r="B768" t="str">
        <f>"71222000"</f>
        <v>71222000</v>
      </c>
      <c r="C768" t="s">
        <v>8691</v>
      </c>
    </row>
    <row r="769" spans="1:3" x14ac:dyDescent="0.25">
      <c r="A769" t="s">
        <v>7949</v>
      </c>
      <c r="B769" t="str">
        <f>"71240000"</f>
        <v>71240000</v>
      </c>
      <c r="C769" t="s">
        <v>8694</v>
      </c>
    </row>
    <row r="770" spans="1:3" x14ac:dyDescent="0.25">
      <c r="A770" t="s">
        <v>7949</v>
      </c>
      <c r="B770" t="str">
        <f>"71241000"</f>
        <v>71241000</v>
      </c>
      <c r="C770" t="s">
        <v>8695</v>
      </c>
    </row>
    <row r="771" spans="1:3" x14ac:dyDescent="0.25">
      <c r="A771" t="s">
        <v>7949</v>
      </c>
      <c r="B771" t="str">
        <f>"71242000"</f>
        <v>71242000</v>
      </c>
      <c r="C771" t="s">
        <v>8696</v>
      </c>
    </row>
    <row r="772" spans="1:3" x14ac:dyDescent="0.25">
      <c r="A772" t="s">
        <v>7949</v>
      </c>
      <c r="B772" t="str">
        <f>"71243000"</f>
        <v>71243000</v>
      </c>
      <c r="C772" t="s">
        <v>8697</v>
      </c>
    </row>
    <row r="773" spans="1:3" x14ac:dyDescent="0.25">
      <c r="A773" t="s">
        <v>7949</v>
      </c>
      <c r="B773" t="str">
        <f>"71250000"</f>
        <v>71250000</v>
      </c>
      <c r="C773" t="s">
        <v>8698</v>
      </c>
    </row>
    <row r="774" spans="1:3" x14ac:dyDescent="0.25">
      <c r="A774" t="s">
        <v>7949</v>
      </c>
      <c r="B774" t="str">
        <f>"71251000"</f>
        <v>71251000</v>
      </c>
      <c r="C774" t="s">
        <v>8695</v>
      </c>
    </row>
    <row r="775" spans="1:3" x14ac:dyDescent="0.25">
      <c r="A775" t="s">
        <v>7949</v>
      </c>
      <c r="B775" t="str">
        <f>"71252000"</f>
        <v>71252000</v>
      </c>
      <c r="C775" t="s">
        <v>8696</v>
      </c>
    </row>
    <row r="776" spans="1:3" x14ac:dyDescent="0.25">
      <c r="A776" t="s">
        <v>7949</v>
      </c>
      <c r="B776" t="str">
        <f>"71253000"</f>
        <v>71253000</v>
      </c>
      <c r="C776" t="s">
        <v>8699</v>
      </c>
    </row>
    <row r="777" spans="1:3" x14ac:dyDescent="0.25">
      <c r="A777" t="s">
        <v>7949</v>
      </c>
      <c r="B777" t="str">
        <f>"71260000"</f>
        <v>71260000</v>
      </c>
      <c r="C777" t="s">
        <v>8700</v>
      </c>
    </row>
    <row r="778" spans="1:3" x14ac:dyDescent="0.25">
      <c r="A778" t="s">
        <v>7949</v>
      </c>
      <c r="B778" t="str">
        <f>"71270000"</f>
        <v>71270000</v>
      </c>
      <c r="C778" t="s">
        <v>8701</v>
      </c>
    </row>
    <row r="779" spans="1:3" x14ac:dyDescent="0.25">
      <c r="A779" t="s">
        <v>7949</v>
      </c>
      <c r="B779" t="str">
        <f>"71271000"</f>
        <v>71271000</v>
      </c>
      <c r="C779" t="s">
        <v>8702</v>
      </c>
    </row>
    <row r="780" spans="1:3" x14ac:dyDescent="0.25">
      <c r="A780" t="s">
        <v>7949</v>
      </c>
      <c r="B780" t="str">
        <f>"71272000"</f>
        <v>71272000</v>
      </c>
      <c r="C780" t="s">
        <v>8703</v>
      </c>
    </row>
    <row r="781" spans="1:3" x14ac:dyDescent="0.25">
      <c r="A781" t="s">
        <v>7949</v>
      </c>
      <c r="B781" t="str">
        <f>"71273000"</f>
        <v>71273000</v>
      </c>
      <c r="C781" t="s">
        <v>8704</v>
      </c>
    </row>
    <row r="782" spans="1:3" x14ac:dyDescent="0.25">
      <c r="A782" t="s">
        <v>7949</v>
      </c>
      <c r="B782" t="str">
        <f>"71275000"</f>
        <v>71275000</v>
      </c>
      <c r="C782" t="s">
        <v>8705</v>
      </c>
    </row>
    <row r="783" spans="1:3" x14ac:dyDescent="0.25">
      <c r="A783" t="s">
        <v>7949</v>
      </c>
      <c r="B783" t="str">
        <f>"71276000"</f>
        <v>71276000</v>
      </c>
      <c r="C783" t="s">
        <v>8706</v>
      </c>
    </row>
    <row r="784" spans="1:3" x14ac:dyDescent="0.25">
      <c r="A784" t="s">
        <v>7949</v>
      </c>
      <c r="B784" t="str">
        <f>"71278000"</f>
        <v>71278000</v>
      </c>
      <c r="C784" t="s">
        <v>8707</v>
      </c>
    </row>
    <row r="785" spans="1:3" x14ac:dyDescent="0.25">
      <c r="A785" t="s">
        <v>7949</v>
      </c>
      <c r="B785" t="str">
        <f>"71280000"</f>
        <v>71280000</v>
      </c>
      <c r="C785" t="s">
        <v>8708</v>
      </c>
    </row>
    <row r="786" spans="1:3" x14ac:dyDescent="0.25">
      <c r="A786" t="s">
        <v>7949</v>
      </c>
      <c r="B786" t="str">
        <f>"71290000"</f>
        <v>71290000</v>
      </c>
      <c r="C786" t="s">
        <v>8687</v>
      </c>
    </row>
    <row r="787" spans="1:3" x14ac:dyDescent="0.25">
      <c r="A787" t="s">
        <v>7949</v>
      </c>
      <c r="B787" t="str">
        <f>"71291000"</f>
        <v>71291000</v>
      </c>
      <c r="C787" t="s">
        <v>8709</v>
      </c>
    </row>
    <row r="788" spans="1:3" x14ac:dyDescent="0.25">
      <c r="A788" t="s">
        <v>7949</v>
      </c>
      <c r="B788" t="str">
        <f>"71292000"</f>
        <v>71292000</v>
      </c>
      <c r="C788" t="s">
        <v>8710</v>
      </c>
    </row>
    <row r="789" spans="1:3" x14ac:dyDescent="0.25">
      <c r="A789" t="s">
        <v>7949</v>
      </c>
      <c r="B789" t="str">
        <f>"71294000"</f>
        <v>71294000</v>
      </c>
      <c r="C789" t="s">
        <v>8711</v>
      </c>
    </row>
    <row r="790" spans="1:3" x14ac:dyDescent="0.25">
      <c r="A790" t="s">
        <v>7949</v>
      </c>
      <c r="B790" t="str">
        <f>"71295000"</f>
        <v>71295000</v>
      </c>
      <c r="C790" t="s">
        <v>8712</v>
      </c>
    </row>
    <row r="791" spans="1:3" x14ac:dyDescent="0.25">
      <c r="A791" t="s">
        <v>7949</v>
      </c>
      <c r="B791" t="str">
        <f>"71298000"</f>
        <v>71298000</v>
      </c>
      <c r="C791" t="s">
        <v>8713</v>
      </c>
    </row>
    <row r="792" spans="1:3" x14ac:dyDescent="0.25">
      <c r="A792" t="s">
        <v>7949</v>
      </c>
      <c r="B792" t="str">
        <f>"71300000"</f>
        <v>71300000</v>
      </c>
      <c r="C792" t="s">
        <v>8714</v>
      </c>
    </row>
    <row r="793" spans="1:3" x14ac:dyDescent="0.25">
      <c r="A793" t="s">
        <v>7949</v>
      </c>
      <c r="B793" t="str">
        <f>"71310000"</f>
        <v>71310000</v>
      </c>
      <c r="C793" t="s">
        <v>8715</v>
      </c>
    </row>
    <row r="794" spans="1:3" x14ac:dyDescent="0.25">
      <c r="A794" t="s">
        <v>7949</v>
      </c>
      <c r="B794" t="str">
        <f>"71311000"</f>
        <v>71311000</v>
      </c>
      <c r="C794" t="s">
        <v>8716</v>
      </c>
    </row>
    <row r="795" spans="1:3" x14ac:dyDescent="0.25">
      <c r="A795" t="s">
        <v>7949</v>
      </c>
      <c r="B795" t="str">
        <f>"71312000"</f>
        <v>71312000</v>
      </c>
      <c r="C795" t="s">
        <v>8717</v>
      </c>
    </row>
    <row r="796" spans="1:3" x14ac:dyDescent="0.25">
      <c r="A796" t="s">
        <v>7949</v>
      </c>
      <c r="B796" t="str">
        <f>"71317000"</f>
        <v>71317000</v>
      </c>
      <c r="C796" t="s">
        <v>8718</v>
      </c>
    </row>
    <row r="797" spans="1:3" x14ac:dyDescent="0.25">
      <c r="A797" t="s">
        <v>7949</v>
      </c>
      <c r="B797" t="str">
        <f>"71320000"</f>
        <v>71320000</v>
      </c>
      <c r="C797" t="s">
        <v>8719</v>
      </c>
    </row>
    <row r="798" spans="1:3" x14ac:dyDescent="0.25">
      <c r="A798" t="s">
        <v>7949</v>
      </c>
      <c r="B798" t="str">
        <f>"71321000"</f>
        <v>71321000</v>
      </c>
      <c r="C798" t="s">
        <v>8720</v>
      </c>
    </row>
    <row r="799" spans="1:3" x14ac:dyDescent="0.25">
      <c r="A799" t="s">
        <v>7949</v>
      </c>
      <c r="B799" t="str">
        <f>"71322000"</f>
        <v>71322000</v>
      </c>
      <c r="C799" t="s">
        <v>8721</v>
      </c>
    </row>
    <row r="800" spans="1:3" x14ac:dyDescent="0.25">
      <c r="A800" t="s">
        <v>7949</v>
      </c>
      <c r="B800" t="str">
        <f>"71327000"</f>
        <v>71327000</v>
      </c>
      <c r="C800" t="s">
        <v>8722</v>
      </c>
    </row>
    <row r="801" spans="1:3" x14ac:dyDescent="0.25">
      <c r="A801" t="s">
        <v>7949</v>
      </c>
      <c r="B801" t="str">
        <f>"71340000"</f>
        <v>71340000</v>
      </c>
      <c r="C801" t="s">
        <v>8723</v>
      </c>
    </row>
    <row r="802" spans="1:3" x14ac:dyDescent="0.25">
      <c r="A802" t="s">
        <v>7949</v>
      </c>
      <c r="B802" t="str">
        <f>"71341000"</f>
        <v>71341000</v>
      </c>
      <c r="C802" t="s">
        <v>8724</v>
      </c>
    </row>
    <row r="803" spans="1:3" x14ac:dyDescent="0.25">
      <c r="A803" t="s">
        <v>7949</v>
      </c>
      <c r="B803" t="str">
        <f>"71342000"</f>
        <v>71342000</v>
      </c>
      <c r="C803" t="s">
        <v>8725</v>
      </c>
    </row>
    <row r="804" spans="1:3" x14ac:dyDescent="0.25">
      <c r="A804" t="s">
        <v>7949</v>
      </c>
      <c r="B804" t="str">
        <f>"71343000"</f>
        <v>71343000</v>
      </c>
      <c r="C804" t="s">
        <v>8726</v>
      </c>
    </row>
    <row r="805" spans="1:3" x14ac:dyDescent="0.25">
      <c r="A805" t="s">
        <v>7949</v>
      </c>
      <c r="B805" t="str">
        <f>"71400000"</f>
        <v>71400000</v>
      </c>
      <c r="C805" t="s">
        <v>8727</v>
      </c>
    </row>
    <row r="806" spans="1:3" x14ac:dyDescent="0.25">
      <c r="A806" t="s">
        <v>7949</v>
      </c>
      <c r="B806" t="str">
        <f>"71410000"</f>
        <v>71410000</v>
      </c>
      <c r="C806" t="s">
        <v>8728</v>
      </c>
    </row>
    <row r="807" spans="1:3" x14ac:dyDescent="0.25">
      <c r="A807" t="s">
        <v>7949</v>
      </c>
      <c r="B807" t="str">
        <f>"71420000"</f>
        <v>71420000</v>
      </c>
      <c r="C807" t="s">
        <v>8729</v>
      </c>
    </row>
    <row r="808" spans="1:3" x14ac:dyDescent="0.25">
      <c r="A808" t="s">
        <v>7949</v>
      </c>
      <c r="B808" t="str">
        <f>"71430000"</f>
        <v>71430000</v>
      </c>
      <c r="C808" t="s">
        <v>8730</v>
      </c>
    </row>
    <row r="809" spans="1:3" x14ac:dyDescent="0.25">
      <c r="A809" t="s">
        <v>7949</v>
      </c>
      <c r="B809" t="str">
        <f>"71480000"</f>
        <v>71480000</v>
      </c>
      <c r="C809" t="s">
        <v>8731</v>
      </c>
    </row>
    <row r="810" spans="1:3" x14ac:dyDescent="0.25">
      <c r="A810" t="s">
        <v>7949</v>
      </c>
      <c r="B810" t="str">
        <f>"71600000"</f>
        <v>71600000</v>
      </c>
      <c r="C810" t="s">
        <v>8732</v>
      </c>
    </row>
    <row r="811" spans="1:3" x14ac:dyDescent="0.25">
      <c r="A811" t="s">
        <v>7949</v>
      </c>
      <c r="B811" t="str">
        <f>"71610000"</f>
        <v>71610000</v>
      </c>
      <c r="C811" t="s">
        <v>8733</v>
      </c>
    </row>
    <row r="812" spans="1:3" x14ac:dyDescent="0.25">
      <c r="A812" t="s">
        <v>7949</v>
      </c>
      <c r="B812" t="str">
        <f>"71680000"</f>
        <v>71680000</v>
      </c>
      <c r="C812" t="s">
        <v>8734</v>
      </c>
    </row>
    <row r="813" spans="1:3" x14ac:dyDescent="0.25">
      <c r="A813" t="s">
        <v>7949</v>
      </c>
      <c r="B813" t="str">
        <f>"71800000"</f>
        <v>71800000</v>
      </c>
      <c r="C813" t="s">
        <v>8735</v>
      </c>
    </row>
    <row r="814" spans="1:3" x14ac:dyDescent="0.25">
      <c r="A814" t="s">
        <v>7949</v>
      </c>
      <c r="B814" t="str">
        <f>"71810000"</f>
        <v>71810000</v>
      </c>
      <c r="C814" t="s">
        <v>8736</v>
      </c>
    </row>
    <row r="815" spans="1:3" x14ac:dyDescent="0.25">
      <c r="A815" t="s">
        <v>7949</v>
      </c>
      <c r="B815" t="str">
        <f>"71820000"</f>
        <v>71820000</v>
      </c>
      <c r="C815" t="s">
        <v>8737</v>
      </c>
    </row>
    <row r="816" spans="1:3" x14ac:dyDescent="0.25">
      <c r="A816" t="s">
        <v>7949</v>
      </c>
      <c r="B816" t="str">
        <f>"71850000"</f>
        <v>71850000</v>
      </c>
      <c r="C816" t="s">
        <v>8738</v>
      </c>
    </row>
    <row r="817" spans="1:3" x14ac:dyDescent="0.25">
      <c r="A817" t="s">
        <v>7949</v>
      </c>
      <c r="B817" t="str">
        <f>"71860000"</f>
        <v>71860000</v>
      </c>
      <c r="C817" t="s">
        <v>8739</v>
      </c>
    </row>
    <row r="818" spans="1:3" x14ac:dyDescent="0.25">
      <c r="A818" t="s">
        <v>7949</v>
      </c>
      <c r="B818" t="str">
        <f>"71870000"</f>
        <v>71870000</v>
      </c>
      <c r="C818" t="s">
        <v>8740</v>
      </c>
    </row>
    <row r="819" spans="1:3" x14ac:dyDescent="0.25">
      <c r="A819" t="s">
        <v>7949</v>
      </c>
      <c r="B819" t="str">
        <f>"71880000"</f>
        <v>71880000</v>
      </c>
      <c r="C819" t="s">
        <v>8741</v>
      </c>
    </row>
    <row r="820" spans="1:3" x14ac:dyDescent="0.25">
      <c r="A820" t="s">
        <v>7949</v>
      </c>
      <c r="B820" t="str">
        <f>"71900000"</f>
        <v>71900000</v>
      </c>
      <c r="C820" t="s">
        <v>8742</v>
      </c>
    </row>
    <row r="821" spans="1:3" x14ac:dyDescent="0.25">
      <c r="A821" t="s">
        <v>7949</v>
      </c>
      <c r="B821" t="str">
        <f>"71910000"</f>
        <v>71910000</v>
      </c>
      <c r="C821" t="s">
        <v>8743</v>
      </c>
    </row>
    <row r="822" spans="1:3" x14ac:dyDescent="0.25">
      <c r="A822" t="s">
        <v>7949</v>
      </c>
      <c r="B822" t="str">
        <f>"71920000"</f>
        <v>71920000</v>
      </c>
      <c r="C822" t="s">
        <v>8744</v>
      </c>
    </row>
    <row r="823" spans="1:3" x14ac:dyDescent="0.25">
      <c r="A823" t="s">
        <v>7949</v>
      </c>
      <c r="B823" t="str">
        <f>"71930000"</f>
        <v>71930000</v>
      </c>
      <c r="C823" t="s">
        <v>8745</v>
      </c>
    </row>
    <row r="824" spans="1:3" x14ac:dyDescent="0.25">
      <c r="A824" t="s">
        <v>7949</v>
      </c>
      <c r="B824" t="str">
        <f>"71940000"</f>
        <v>71940000</v>
      </c>
      <c r="C824" t="s">
        <v>8746</v>
      </c>
    </row>
    <row r="825" spans="1:3" x14ac:dyDescent="0.25">
      <c r="A825" t="s">
        <v>7949</v>
      </c>
      <c r="B825" t="str">
        <f>"71950000"</f>
        <v>71950000</v>
      </c>
      <c r="C825" t="s">
        <v>8747</v>
      </c>
    </row>
    <row r="826" spans="1:3" x14ac:dyDescent="0.25">
      <c r="A826" t="s">
        <v>7949</v>
      </c>
      <c r="B826" t="str">
        <f>"71957000"</f>
        <v>71957000</v>
      </c>
      <c r="C826" t="s">
        <v>8748</v>
      </c>
    </row>
    <row r="827" spans="1:3" x14ac:dyDescent="0.25">
      <c r="A827" t="s">
        <v>7949</v>
      </c>
      <c r="B827" t="str">
        <f>"71960000"</f>
        <v>71960000</v>
      </c>
      <c r="C827" t="s">
        <v>8749</v>
      </c>
    </row>
    <row r="828" spans="1:3" x14ac:dyDescent="0.25">
      <c r="A828" t="s">
        <v>7949</v>
      </c>
      <c r="B828" t="str">
        <f>"71970000"</f>
        <v>71970000</v>
      </c>
      <c r="C828" t="s">
        <v>8750</v>
      </c>
    </row>
    <row r="829" spans="1:3" x14ac:dyDescent="0.25">
      <c r="A829" t="s">
        <v>7949</v>
      </c>
      <c r="B829" t="str">
        <f>"71971000"</f>
        <v>71971000</v>
      </c>
      <c r="C829" t="s">
        <v>8751</v>
      </c>
    </row>
    <row r="830" spans="1:3" x14ac:dyDescent="0.25">
      <c r="A830" t="s">
        <v>7949</v>
      </c>
      <c r="B830" t="str">
        <f>"71972000"</f>
        <v>71972000</v>
      </c>
      <c r="C830" t="s">
        <v>8752</v>
      </c>
    </row>
    <row r="831" spans="1:3" x14ac:dyDescent="0.25">
      <c r="A831" t="s">
        <v>7949</v>
      </c>
      <c r="B831" t="str">
        <f>"71973000"</f>
        <v>71973000</v>
      </c>
      <c r="C831" t="s">
        <v>8753</v>
      </c>
    </row>
    <row r="832" spans="1:3" x14ac:dyDescent="0.25">
      <c r="A832" t="s">
        <v>7949</v>
      </c>
      <c r="B832" t="str">
        <f>"71975000"</f>
        <v>71975000</v>
      </c>
      <c r="C832" t="s">
        <v>8754</v>
      </c>
    </row>
    <row r="833" spans="1:3" x14ac:dyDescent="0.25">
      <c r="A833" t="s">
        <v>7949</v>
      </c>
      <c r="B833" t="str">
        <f>"71976000"</f>
        <v>71976000</v>
      </c>
      <c r="C833" t="s">
        <v>8755</v>
      </c>
    </row>
    <row r="834" spans="1:3" x14ac:dyDescent="0.25">
      <c r="A834" t="s">
        <v>7949</v>
      </c>
      <c r="B834" t="str">
        <f>"71978000"</f>
        <v>71978000</v>
      </c>
      <c r="C834" t="s">
        <v>8756</v>
      </c>
    </row>
    <row r="835" spans="1:3" x14ac:dyDescent="0.25">
      <c r="A835" t="s">
        <v>7949</v>
      </c>
      <c r="B835" t="str">
        <f>"71980000"</f>
        <v>71980000</v>
      </c>
      <c r="C835" t="s">
        <v>8757</v>
      </c>
    </row>
    <row r="836" spans="1:3" x14ac:dyDescent="0.25">
      <c r="A836" t="s">
        <v>7949</v>
      </c>
      <c r="B836" t="str">
        <f>"71981000"</f>
        <v>71981000</v>
      </c>
      <c r="C836" t="s">
        <v>8758</v>
      </c>
    </row>
    <row r="837" spans="1:3" x14ac:dyDescent="0.25">
      <c r="A837" t="s">
        <v>7949</v>
      </c>
      <c r="B837" t="str">
        <f>"71984000"</f>
        <v>71984000</v>
      </c>
      <c r="C837" t="s">
        <v>8759</v>
      </c>
    </row>
    <row r="838" spans="1:3" x14ac:dyDescent="0.25">
      <c r="A838" t="s">
        <v>7949</v>
      </c>
      <c r="B838" t="str">
        <f>"73000000"</f>
        <v>73000000</v>
      </c>
      <c r="C838" t="s">
        <v>8760</v>
      </c>
    </row>
    <row r="839" spans="1:3" x14ac:dyDescent="0.25">
      <c r="A839" t="s">
        <v>7949</v>
      </c>
      <c r="B839" t="str">
        <f>"73100000"</f>
        <v>73100000</v>
      </c>
      <c r="C839" t="s">
        <v>8761</v>
      </c>
    </row>
    <row r="840" spans="1:3" x14ac:dyDescent="0.25">
      <c r="A840" t="s">
        <v>7949</v>
      </c>
      <c r="B840" t="str">
        <f>"73200000"</f>
        <v>73200000</v>
      </c>
      <c r="C840" t="s">
        <v>8762</v>
      </c>
    </row>
    <row r="841" spans="1:3" x14ac:dyDescent="0.25">
      <c r="A841" t="s">
        <v>7949</v>
      </c>
      <c r="B841" t="str">
        <f>"73210000"</f>
        <v>73210000</v>
      </c>
      <c r="C841" t="s">
        <v>8763</v>
      </c>
    </row>
    <row r="842" spans="1:3" x14ac:dyDescent="0.25">
      <c r="A842" t="s">
        <v>7949</v>
      </c>
      <c r="B842" t="str">
        <f>"73250000"</f>
        <v>73250000</v>
      </c>
      <c r="C842" t="s">
        <v>8764</v>
      </c>
    </row>
    <row r="843" spans="1:3" x14ac:dyDescent="0.25">
      <c r="A843" t="s">
        <v>7949</v>
      </c>
      <c r="B843" t="str">
        <f>"73280000"</f>
        <v>73280000</v>
      </c>
      <c r="C843" t="s">
        <v>8765</v>
      </c>
    </row>
    <row r="844" spans="1:3" x14ac:dyDescent="0.25">
      <c r="A844" t="s">
        <v>7949</v>
      </c>
      <c r="B844" t="str">
        <f>"73300000"</f>
        <v>73300000</v>
      </c>
      <c r="C844" t="s">
        <v>8766</v>
      </c>
    </row>
    <row r="845" spans="1:3" x14ac:dyDescent="0.25">
      <c r="A845" t="s">
        <v>7949</v>
      </c>
      <c r="B845" t="str">
        <f>"73310000"</f>
        <v>73310000</v>
      </c>
      <c r="C845" t="s">
        <v>8767</v>
      </c>
    </row>
    <row r="846" spans="1:3" x14ac:dyDescent="0.25">
      <c r="A846" t="s">
        <v>7949</v>
      </c>
      <c r="B846" t="str">
        <f>"73380000"</f>
        <v>73380000</v>
      </c>
      <c r="C846" t="s">
        <v>8768</v>
      </c>
    </row>
    <row r="847" spans="1:3" x14ac:dyDescent="0.25">
      <c r="A847" t="s">
        <v>7949</v>
      </c>
      <c r="B847" t="str">
        <f>"73800000"</f>
        <v>73800000</v>
      </c>
      <c r="C847" t="s">
        <v>8769</v>
      </c>
    </row>
    <row r="848" spans="1:3" x14ac:dyDescent="0.25">
      <c r="A848" t="s">
        <v>7949</v>
      </c>
      <c r="B848" t="str">
        <f>"73810000"</f>
        <v>73810000</v>
      </c>
      <c r="C848" t="s">
        <v>8770</v>
      </c>
    </row>
    <row r="849" spans="1:3" x14ac:dyDescent="0.25">
      <c r="A849" t="s">
        <v>7949</v>
      </c>
      <c r="B849" t="str">
        <f>"73811000"</f>
        <v>73811000</v>
      </c>
      <c r="C849" t="s">
        <v>8771</v>
      </c>
    </row>
    <row r="850" spans="1:3" x14ac:dyDescent="0.25">
      <c r="A850" t="s">
        <v>7949</v>
      </c>
      <c r="B850" t="str">
        <f>"73813000"</f>
        <v>73813000</v>
      </c>
      <c r="C850" t="s">
        <v>8772</v>
      </c>
    </row>
    <row r="851" spans="1:3" x14ac:dyDescent="0.25">
      <c r="A851" t="s">
        <v>7949</v>
      </c>
      <c r="B851" t="str">
        <f>"73830000"</f>
        <v>73830000</v>
      </c>
      <c r="C851" t="s">
        <v>8773</v>
      </c>
    </row>
    <row r="852" spans="1:3" x14ac:dyDescent="0.25">
      <c r="A852" t="s">
        <v>7949</v>
      </c>
      <c r="B852" t="str">
        <f>"73840000"</f>
        <v>73840000</v>
      </c>
      <c r="C852" t="s">
        <v>8774</v>
      </c>
    </row>
    <row r="853" spans="1:3" x14ac:dyDescent="0.25">
      <c r="A853" t="s">
        <v>7949</v>
      </c>
      <c r="B853" t="str">
        <f>"73850000"</f>
        <v>73850000</v>
      </c>
      <c r="C853" t="s">
        <v>8775</v>
      </c>
    </row>
    <row r="854" spans="1:3" x14ac:dyDescent="0.25">
      <c r="A854" t="s">
        <v>7949</v>
      </c>
      <c r="B854" t="str">
        <f>"73860000"</f>
        <v>73860000</v>
      </c>
      <c r="C854" t="s">
        <v>8776</v>
      </c>
    </row>
    <row r="855" spans="1:3" x14ac:dyDescent="0.25">
      <c r="A855" t="s">
        <v>7949</v>
      </c>
      <c r="B855" t="str">
        <f>"73880000"</f>
        <v>73880000</v>
      </c>
      <c r="C855" t="s">
        <v>8777</v>
      </c>
    </row>
    <row r="856" spans="1:3" x14ac:dyDescent="0.25">
      <c r="A856" t="s">
        <v>7949</v>
      </c>
      <c r="B856" t="str">
        <f>"73900000"</f>
        <v>73900000</v>
      </c>
      <c r="C856" t="s">
        <v>8778</v>
      </c>
    </row>
    <row r="857" spans="1:3" x14ac:dyDescent="0.25">
      <c r="A857" t="s">
        <v>7949</v>
      </c>
      <c r="B857" t="str">
        <f>"73910000"</f>
        <v>73910000</v>
      </c>
      <c r="C857" t="s">
        <v>8779</v>
      </c>
    </row>
    <row r="858" spans="1:3" x14ac:dyDescent="0.25">
      <c r="A858" t="s">
        <v>7949</v>
      </c>
      <c r="B858" t="str">
        <f>"73920000"</f>
        <v>73920000</v>
      </c>
      <c r="C858" t="s">
        <v>8746</v>
      </c>
    </row>
    <row r="859" spans="1:3" x14ac:dyDescent="0.25">
      <c r="A859" t="s">
        <v>7949</v>
      </c>
      <c r="B859" t="str">
        <f>"73930000"</f>
        <v>73930000</v>
      </c>
      <c r="C859" t="s">
        <v>8780</v>
      </c>
    </row>
    <row r="860" spans="1:3" x14ac:dyDescent="0.25">
      <c r="A860" t="s">
        <v>7949</v>
      </c>
      <c r="B860" t="str">
        <f>"73937000"</f>
        <v>73937000</v>
      </c>
      <c r="C860" t="s">
        <v>8780</v>
      </c>
    </row>
    <row r="861" spans="1:3" x14ac:dyDescent="0.25">
      <c r="A861" t="s">
        <v>7949</v>
      </c>
      <c r="B861" t="str">
        <f>"73940000"</f>
        <v>73940000</v>
      </c>
      <c r="C861" t="s">
        <v>8781</v>
      </c>
    </row>
    <row r="862" spans="1:3" x14ac:dyDescent="0.25">
      <c r="A862" t="s">
        <v>7949</v>
      </c>
      <c r="B862" t="str">
        <f>"73960000"</f>
        <v>73960000</v>
      </c>
      <c r="C862" t="s">
        <v>8782</v>
      </c>
    </row>
    <row r="863" spans="1:3" x14ac:dyDescent="0.25">
      <c r="A863" t="s">
        <v>7949</v>
      </c>
      <c r="B863" t="str">
        <f>"73970000"</f>
        <v>73970000</v>
      </c>
      <c r="C863" t="s">
        <v>8783</v>
      </c>
    </row>
    <row r="864" spans="1:3" x14ac:dyDescent="0.25">
      <c r="A864" t="s">
        <v>7949</v>
      </c>
      <c r="B864" t="str">
        <f>"73971000"</f>
        <v>73971000</v>
      </c>
      <c r="C864" t="s">
        <v>8784</v>
      </c>
    </row>
    <row r="865" spans="1:3" x14ac:dyDescent="0.25">
      <c r="A865" t="s">
        <v>7949</v>
      </c>
      <c r="B865" t="str">
        <f>"73973000"</f>
        <v>73973000</v>
      </c>
      <c r="C865" t="s">
        <v>8785</v>
      </c>
    </row>
    <row r="866" spans="1:3" x14ac:dyDescent="0.25">
      <c r="A866" t="s">
        <v>7949</v>
      </c>
      <c r="B866" t="str">
        <f>"73978000"</f>
        <v>73978000</v>
      </c>
      <c r="C866" t="s">
        <v>8786</v>
      </c>
    </row>
    <row r="867" spans="1:3" x14ac:dyDescent="0.25">
      <c r="A867" t="s">
        <v>7949</v>
      </c>
      <c r="B867" t="str">
        <f>"73980000"</f>
        <v>73980000</v>
      </c>
      <c r="C867" t="s">
        <v>8787</v>
      </c>
    </row>
    <row r="868" spans="1:3" x14ac:dyDescent="0.25">
      <c r="A868" t="s">
        <v>7949</v>
      </c>
      <c r="B868" t="str">
        <f>"75000000"</f>
        <v>75000000</v>
      </c>
      <c r="C868" t="s">
        <v>8788</v>
      </c>
    </row>
    <row r="869" spans="1:3" x14ac:dyDescent="0.25">
      <c r="A869" t="s">
        <v>7949</v>
      </c>
      <c r="B869" t="str">
        <f>"75100000"</f>
        <v>75100000</v>
      </c>
      <c r="C869" t="s">
        <v>8789</v>
      </c>
    </row>
    <row r="870" spans="1:3" x14ac:dyDescent="0.25">
      <c r="A870" t="s">
        <v>7949</v>
      </c>
      <c r="B870" t="str">
        <f>"75120000"</f>
        <v>75120000</v>
      </c>
      <c r="C870" t="s">
        <v>8790</v>
      </c>
    </row>
    <row r="871" spans="1:3" x14ac:dyDescent="0.25">
      <c r="A871" t="s">
        <v>7949</v>
      </c>
      <c r="B871" t="str">
        <f>"75130000"</f>
        <v>75130000</v>
      </c>
      <c r="C871" t="s">
        <v>8791</v>
      </c>
    </row>
    <row r="872" spans="1:3" x14ac:dyDescent="0.25">
      <c r="A872" t="s">
        <v>7949</v>
      </c>
      <c r="B872" t="str">
        <f>"75140000"</f>
        <v>75140000</v>
      </c>
      <c r="C872" t="s">
        <v>8792</v>
      </c>
    </row>
    <row r="873" spans="1:3" x14ac:dyDescent="0.25">
      <c r="A873" t="s">
        <v>7949</v>
      </c>
      <c r="B873" t="str">
        <f>"75180000"</f>
        <v>75180000</v>
      </c>
      <c r="C873" t="s">
        <v>8793</v>
      </c>
    </row>
    <row r="874" spans="1:3" x14ac:dyDescent="0.25">
      <c r="A874" t="s">
        <v>7949</v>
      </c>
      <c r="B874" t="str">
        <f>"75600000"</f>
        <v>75600000</v>
      </c>
      <c r="C874" t="s">
        <v>8794</v>
      </c>
    </row>
    <row r="875" spans="1:3" x14ac:dyDescent="0.25">
      <c r="A875" t="s">
        <v>7949</v>
      </c>
      <c r="B875" t="str">
        <f>"75610000"</f>
        <v>75610000</v>
      </c>
      <c r="C875" t="s">
        <v>8795</v>
      </c>
    </row>
    <row r="876" spans="1:3" x14ac:dyDescent="0.25">
      <c r="A876" t="s">
        <v>7949</v>
      </c>
      <c r="B876" t="str">
        <f>"75680000"</f>
        <v>75680000</v>
      </c>
      <c r="C876" t="s">
        <v>8796</v>
      </c>
    </row>
    <row r="877" spans="1:3" x14ac:dyDescent="0.25">
      <c r="A877" t="s">
        <v>7949</v>
      </c>
      <c r="B877" t="str">
        <f>"75700000"</f>
        <v>75700000</v>
      </c>
      <c r="C877" t="s">
        <v>8797</v>
      </c>
    </row>
    <row r="878" spans="1:3" x14ac:dyDescent="0.25">
      <c r="A878" t="s">
        <v>7949</v>
      </c>
      <c r="B878" t="str">
        <f>"75770000"</f>
        <v>75770000</v>
      </c>
      <c r="C878" t="s">
        <v>8798</v>
      </c>
    </row>
    <row r="879" spans="1:3" x14ac:dyDescent="0.25">
      <c r="A879" t="s">
        <v>7949</v>
      </c>
      <c r="B879" t="str">
        <f>"75780000"</f>
        <v>75780000</v>
      </c>
      <c r="C879" t="s">
        <v>8799</v>
      </c>
    </row>
    <row r="880" spans="1:3" x14ac:dyDescent="0.25">
      <c r="A880" t="s">
        <v>7949</v>
      </c>
      <c r="B880" t="str">
        <f>"75800000"</f>
        <v>75800000</v>
      </c>
      <c r="C880" t="s">
        <v>8800</v>
      </c>
    </row>
    <row r="881" spans="1:3" x14ac:dyDescent="0.25">
      <c r="A881" t="s">
        <v>7949</v>
      </c>
      <c r="B881" t="str">
        <f>"75810000"</f>
        <v>75810000</v>
      </c>
      <c r="C881" t="s">
        <v>8801</v>
      </c>
    </row>
    <row r="882" spans="1:3" x14ac:dyDescent="0.25">
      <c r="A882" t="s">
        <v>7949</v>
      </c>
      <c r="B882" t="str">
        <f>"75811000"</f>
        <v>75811000</v>
      </c>
      <c r="C882" t="s">
        <v>8802</v>
      </c>
    </row>
    <row r="883" spans="1:3" x14ac:dyDescent="0.25">
      <c r="A883" t="s">
        <v>7949</v>
      </c>
      <c r="B883" t="str">
        <f>"75812000"</f>
        <v>75812000</v>
      </c>
      <c r="C883" t="s">
        <v>8803</v>
      </c>
    </row>
    <row r="884" spans="1:3" x14ac:dyDescent="0.25">
      <c r="A884" t="s">
        <v>7949</v>
      </c>
      <c r="B884" t="str">
        <f>"75820000"</f>
        <v>75820000</v>
      </c>
      <c r="C884" t="s">
        <v>8804</v>
      </c>
    </row>
    <row r="885" spans="1:3" x14ac:dyDescent="0.25">
      <c r="A885" t="s">
        <v>7949</v>
      </c>
      <c r="B885" t="str">
        <f>"75830000"</f>
        <v>75830000</v>
      </c>
      <c r="C885" t="s">
        <v>8805</v>
      </c>
    </row>
    <row r="886" spans="1:3" x14ac:dyDescent="0.25">
      <c r="A886" t="s">
        <v>7949</v>
      </c>
      <c r="B886" t="str">
        <f>"75850000"</f>
        <v>75850000</v>
      </c>
      <c r="C886" t="s">
        <v>8806</v>
      </c>
    </row>
    <row r="887" spans="1:3" x14ac:dyDescent="0.25">
      <c r="A887" t="s">
        <v>7949</v>
      </c>
      <c r="B887" t="str">
        <f>"75860000"</f>
        <v>75860000</v>
      </c>
      <c r="C887" t="s">
        <v>8807</v>
      </c>
    </row>
    <row r="888" spans="1:3" x14ac:dyDescent="0.25">
      <c r="A888" t="s">
        <v>7949</v>
      </c>
      <c r="B888" t="str">
        <f>"75861000"</f>
        <v>75861000</v>
      </c>
      <c r="C888" t="s">
        <v>8519</v>
      </c>
    </row>
    <row r="889" spans="1:3" x14ac:dyDescent="0.25">
      <c r="A889" t="s">
        <v>7949</v>
      </c>
      <c r="B889" t="str">
        <f>"75862000"</f>
        <v>75862000</v>
      </c>
      <c r="C889" t="s">
        <v>8654</v>
      </c>
    </row>
    <row r="890" spans="1:3" x14ac:dyDescent="0.25">
      <c r="A890" t="s">
        <v>7949</v>
      </c>
      <c r="B890" t="str">
        <f>"75863000"</f>
        <v>75863000</v>
      </c>
      <c r="C890" t="s">
        <v>8655</v>
      </c>
    </row>
    <row r="891" spans="1:3" x14ac:dyDescent="0.25">
      <c r="A891" t="s">
        <v>7949</v>
      </c>
      <c r="B891" t="str">
        <f>"75880000"</f>
        <v>75880000</v>
      </c>
      <c r="C891" t="s">
        <v>8808</v>
      </c>
    </row>
    <row r="892" spans="1:3" x14ac:dyDescent="0.25">
      <c r="A892" t="s">
        <v>7949</v>
      </c>
      <c r="B892" t="str">
        <f>"75900000"</f>
        <v>75900000</v>
      </c>
      <c r="C892" t="s">
        <v>8809</v>
      </c>
    </row>
    <row r="893" spans="1:3" x14ac:dyDescent="0.25">
      <c r="A893" t="s">
        <v>7949</v>
      </c>
      <c r="B893" t="str">
        <f>"75910000"</f>
        <v>75910000</v>
      </c>
      <c r="C893" t="s">
        <v>8810</v>
      </c>
    </row>
    <row r="894" spans="1:3" x14ac:dyDescent="0.25">
      <c r="A894" t="s">
        <v>7949</v>
      </c>
      <c r="B894" t="str">
        <f>"75911000"</f>
        <v>75911000</v>
      </c>
      <c r="C894" t="s">
        <v>8811</v>
      </c>
    </row>
    <row r="895" spans="1:3" x14ac:dyDescent="0.25">
      <c r="A895" t="s">
        <v>7949</v>
      </c>
      <c r="B895" t="str">
        <f>"75912000"</f>
        <v>75912000</v>
      </c>
      <c r="C895" t="s">
        <v>8812</v>
      </c>
    </row>
    <row r="896" spans="1:3" x14ac:dyDescent="0.25">
      <c r="A896" t="s">
        <v>7949</v>
      </c>
      <c r="B896" t="str">
        <f>"75940000"</f>
        <v>75940000</v>
      </c>
      <c r="C896" t="s">
        <v>8813</v>
      </c>
    </row>
    <row r="897" spans="1:3" x14ac:dyDescent="0.25">
      <c r="A897" t="s">
        <v>7949</v>
      </c>
      <c r="B897" t="str">
        <f>"75941000"</f>
        <v>75941000</v>
      </c>
      <c r="C897" t="s">
        <v>8814</v>
      </c>
    </row>
    <row r="898" spans="1:3" x14ac:dyDescent="0.25">
      <c r="A898" t="s">
        <v>7949</v>
      </c>
      <c r="B898" t="str">
        <f>"75942000"</f>
        <v>75942000</v>
      </c>
      <c r="C898" t="s">
        <v>8815</v>
      </c>
    </row>
    <row r="899" spans="1:3" x14ac:dyDescent="0.25">
      <c r="A899" t="s">
        <v>7949</v>
      </c>
      <c r="B899" t="str">
        <f>"75944000"</f>
        <v>75944000</v>
      </c>
      <c r="C899" t="s">
        <v>8816</v>
      </c>
    </row>
    <row r="900" spans="1:3" x14ac:dyDescent="0.25">
      <c r="A900" t="s">
        <v>7949</v>
      </c>
      <c r="B900" t="str">
        <f>"75945000"</f>
        <v>75945000</v>
      </c>
      <c r="C900" t="s">
        <v>8817</v>
      </c>
    </row>
    <row r="901" spans="1:3" x14ac:dyDescent="0.25">
      <c r="A901" t="s">
        <v>7949</v>
      </c>
      <c r="B901" t="str">
        <f>"75946000"</f>
        <v>75946000</v>
      </c>
      <c r="C901" t="s">
        <v>8818</v>
      </c>
    </row>
    <row r="902" spans="1:3" x14ac:dyDescent="0.25">
      <c r="A902" t="s">
        <v>7949</v>
      </c>
      <c r="B902" t="str">
        <f>"75950000"</f>
        <v>75950000</v>
      </c>
      <c r="C902" t="s">
        <v>8819</v>
      </c>
    </row>
    <row r="903" spans="1:3" x14ac:dyDescent="0.25">
      <c r="A903" t="s">
        <v>7949</v>
      </c>
      <c r="B903" t="str">
        <f>"75955000"</f>
        <v>75955000</v>
      </c>
      <c r="C903" t="s">
        <v>8820</v>
      </c>
    </row>
    <row r="904" spans="1:3" x14ac:dyDescent="0.25">
      <c r="A904" t="s">
        <v>7949</v>
      </c>
      <c r="B904" t="str">
        <f>"75957000"</f>
        <v>75957000</v>
      </c>
      <c r="C904" t="s">
        <v>8821</v>
      </c>
    </row>
    <row r="905" spans="1:3" x14ac:dyDescent="0.25">
      <c r="A905" t="s">
        <v>7949</v>
      </c>
      <c r="B905" t="str">
        <f>"75960000"</f>
        <v>75960000</v>
      </c>
      <c r="C905" t="s">
        <v>8822</v>
      </c>
    </row>
    <row r="906" spans="1:3" x14ac:dyDescent="0.25">
      <c r="A906" t="s">
        <v>7949</v>
      </c>
      <c r="B906" t="str">
        <f>"75962000"</f>
        <v>75962000</v>
      </c>
      <c r="C906" t="s">
        <v>8823</v>
      </c>
    </row>
    <row r="907" spans="1:3" x14ac:dyDescent="0.25">
      <c r="A907" t="s">
        <v>7949</v>
      </c>
      <c r="B907" t="str">
        <f>"75963000"</f>
        <v>75963000</v>
      </c>
      <c r="C907" t="s">
        <v>8824</v>
      </c>
    </row>
    <row r="908" spans="1:3" x14ac:dyDescent="0.25">
      <c r="A908" t="s">
        <v>7949</v>
      </c>
      <c r="B908" t="str">
        <f>"75970000"</f>
        <v>75970000</v>
      </c>
      <c r="C908" t="s">
        <v>8825</v>
      </c>
    </row>
    <row r="909" spans="1:3" x14ac:dyDescent="0.25">
      <c r="A909" t="s">
        <v>7949</v>
      </c>
      <c r="B909" t="str">
        <f>"75980000"</f>
        <v>75980000</v>
      </c>
      <c r="C909" t="s">
        <v>8826</v>
      </c>
    </row>
    <row r="910" spans="1:3" x14ac:dyDescent="0.25">
      <c r="A910" t="s">
        <v>7949</v>
      </c>
      <c r="B910" t="str">
        <f>"78530000"</f>
        <v>78530000</v>
      </c>
      <c r="C910" t="s">
        <v>8827</v>
      </c>
    </row>
    <row r="911" spans="1:3" x14ac:dyDescent="0.25">
      <c r="A911" t="s">
        <v>7949</v>
      </c>
      <c r="B911" t="str">
        <f>"80000000"</f>
        <v>80000000</v>
      </c>
      <c r="C911" t="s">
        <v>8828</v>
      </c>
    </row>
    <row r="912" spans="1:3" x14ac:dyDescent="0.25">
      <c r="A912" t="s">
        <v>7949</v>
      </c>
      <c r="B912" t="str">
        <f>"81000000"</f>
        <v>81000000</v>
      </c>
      <c r="C912" t="s">
        <v>8829</v>
      </c>
    </row>
    <row r="913" spans="1:3" x14ac:dyDescent="0.25">
      <c r="A913" t="s">
        <v>7949</v>
      </c>
      <c r="B913" t="str">
        <f>"81100000"</f>
        <v>81100000</v>
      </c>
      <c r="C913" t="s">
        <v>8830</v>
      </c>
    </row>
    <row r="914" spans="1:3" x14ac:dyDescent="0.25">
      <c r="A914" t="s">
        <v>7949</v>
      </c>
      <c r="B914" t="str">
        <f>"81400000"</f>
        <v>81400000</v>
      </c>
      <c r="C914" t="s">
        <v>8831</v>
      </c>
    </row>
    <row r="915" spans="1:3" x14ac:dyDescent="0.25">
      <c r="A915" t="s">
        <v>7949</v>
      </c>
      <c r="B915" t="str">
        <f>"81700000"</f>
        <v>81700000</v>
      </c>
      <c r="C915" t="s">
        <v>8832</v>
      </c>
    </row>
    <row r="916" spans="1:3" x14ac:dyDescent="0.25">
      <c r="A916" t="s">
        <v>7949</v>
      </c>
      <c r="B916" t="str">
        <f>"81710000"</f>
        <v>81710000</v>
      </c>
      <c r="C916" t="s">
        <v>8833</v>
      </c>
    </row>
    <row r="917" spans="1:3" x14ac:dyDescent="0.25">
      <c r="A917" t="s">
        <v>7949</v>
      </c>
      <c r="B917" t="str">
        <f>"81790000"</f>
        <v>81790000</v>
      </c>
      <c r="C917" t="s">
        <v>8834</v>
      </c>
    </row>
    <row r="918" spans="1:3" x14ac:dyDescent="0.25">
      <c r="A918" t="s">
        <v>7949</v>
      </c>
      <c r="B918" t="str">
        <f>"83000000"</f>
        <v>83000000</v>
      </c>
      <c r="C918" t="s">
        <v>8835</v>
      </c>
    </row>
    <row r="919" spans="1:3" x14ac:dyDescent="0.25">
      <c r="A919" t="s">
        <v>7949</v>
      </c>
      <c r="B919" t="str">
        <f>"84000000"</f>
        <v>84000000</v>
      </c>
      <c r="C919" t="s">
        <v>8836</v>
      </c>
    </row>
    <row r="920" spans="1:3" x14ac:dyDescent="0.25">
      <c r="A920" t="s">
        <v>7949</v>
      </c>
      <c r="B920" t="str">
        <f>"85000000"</f>
        <v>85000000</v>
      </c>
      <c r="C920" t="s">
        <v>8837</v>
      </c>
    </row>
    <row r="921" spans="1:3" x14ac:dyDescent="0.25">
      <c r="A921" t="s">
        <v>7949</v>
      </c>
      <c r="B921" t="str">
        <f>"86000000"</f>
        <v>86000000</v>
      </c>
      <c r="C921" t="s">
        <v>8838</v>
      </c>
    </row>
    <row r="922" spans="1:3" x14ac:dyDescent="0.25">
      <c r="A922" t="s">
        <v>7949</v>
      </c>
      <c r="B922" t="str">
        <f>"88000000"</f>
        <v>88000000</v>
      </c>
      <c r="C922" t="s">
        <v>8839</v>
      </c>
    </row>
    <row r="923" spans="1:3" x14ac:dyDescent="0.25">
      <c r="A923" t="s">
        <v>7949</v>
      </c>
      <c r="B923" t="str">
        <f>"90000000"</f>
        <v>90000000</v>
      </c>
      <c r="C923" t="s">
        <v>8840</v>
      </c>
    </row>
    <row r="924" spans="1:3" x14ac:dyDescent="0.25">
      <c r="A924" t="s">
        <v>7949</v>
      </c>
      <c r="B924" t="str">
        <f>"91000000"</f>
        <v>91000000</v>
      </c>
      <c r="C924" t="s">
        <v>8841</v>
      </c>
    </row>
    <row r="925" spans="1:3" x14ac:dyDescent="0.25">
      <c r="A925" t="s">
        <v>7949</v>
      </c>
      <c r="B925" t="str">
        <f>"92000000"</f>
        <v>92000000</v>
      </c>
      <c r="C925" t="s">
        <v>8842</v>
      </c>
    </row>
    <row r="926" spans="1:3" x14ac:dyDescent="0.25">
      <c r="A926" t="s">
        <v>7949</v>
      </c>
      <c r="B926" t="str">
        <f>"93000000"</f>
        <v>93000000</v>
      </c>
      <c r="C926" t="s">
        <v>8843</v>
      </c>
    </row>
    <row r="927" spans="1:3" x14ac:dyDescent="0.25">
      <c r="A927" t="s">
        <v>7949</v>
      </c>
      <c r="B927" t="str">
        <f>"94000000"</f>
        <v>94000000</v>
      </c>
      <c r="C927" t="s">
        <v>8844</v>
      </c>
    </row>
    <row r="928" spans="1:3" x14ac:dyDescent="0.25">
      <c r="A928" t="s">
        <v>7949</v>
      </c>
      <c r="B928" t="str">
        <f>"95000000"</f>
        <v>95000000</v>
      </c>
      <c r="C928" t="s">
        <v>8845</v>
      </c>
    </row>
    <row r="929" spans="1:3" x14ac:dyDescent="0.25">
      <c r="A929" t="s">
        <v>7949</v>
      </c>
      <c r="B929" t="str">
        <f>"96000000"</f>
        <v>96000000</v>
      </c>
      <c r="C929" t="s">
        <v>8846</v>
      </c>
    </row>
    <row r="930" spans="1:3" x14ac:dyDescent="0.25">
      <c r="A930" t="s">
        <v>7949</v>
      </c>
      <c r="B930" t="str">
        <f>"97000000"</f>
        <v>97000000</v>
      </c>
      <c r="C930" t="s">
        <v>8847</v>
      </c>
    </row>
    <row r="931" spans="1:3" x14ac:dyDescent="0.25">
      <c r="A931" t="s">
        <v>7949</v>
      </c>
      <c r="B931" t="str">
        <f>"98000000"</f>
        <v>98000000</v>
      </c>
      <c r="C931" t="s">
        <v>8848</v>
      </c>
    </row>
    <row r="932" spans="1:3" x14ac:dyDescent="0.25">
      <c r="A932" t="s">
        <v>7949</v>
      </c>
      <c r="B932" t="str">
        <f>"99000000"</f>
        <v>99000000</v>
      </c>
      <c r="C932" t="s">
        <v>8849</v>
      </c>
    </row>
    <row r="933" spans="1:3" x14ac:dyDescent="0.25">
      <c r="A933" t="s">
        <v>7949</v>
      </c>
      <c r="B933" t="str">
        <f>"99999990"</f>
        <v>99999990</v>
      </c>
      <c r="C933" t="s">
        <v>8850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92B01-FF70-4833-8B05-18325AE31E1E}">
  <dimension ref="A3:C20"/>
  <sheetViews>
    <sheetView workbookViewId="0">
      <selection activeCell="A3" sqref="A3"/>
    </sheetView>
  </sheetViews>
  <sheetFormatPr baseColWidth="10" defaultRowHeight="15" x14ac:dyDescent="0.25"/>
  <cols>
    <col min="1" max="1" width="27.28515625" bestFit="1" customWidth="1"/>
  </cols>
  <sheetData>
    <row r="3" spans="1:3" x14ac:dyDescent="0.25">
      <c r="A3" s="5"/>
      <c r="B3" s="6"/>
      <c r="C3" s="7"/>
    </row>
    <row r="4" spans="1:3" x14ac:dyDescent="0.25">
      <c r="A4" s="8"/>
      <c r="B4" s="9"/>
      <c r="C4" s="10"/>
    </row>
    <row r="5" spans="1:3" x14ac:dyDescent="0.25">
      <c r="A5" s="8"/>
      <c r="B5" s="9"/>
      <c r="C5" s="10"/>
    </row>
    <row r="6" spans="1:3" x14ac:dyDescent="0.25">
      <c r="A6" s="8"/>
      <c r="B6" s="9"/>
      <c r="C6" s="10"/>
    </row>
    <row r="7" spans="1:3" x14ac:dyDescent="0.25">
      <c r="A7" s="8"/>
      <c r="B7" s="9"/>
      <c r="C7" s="10"/>
    </row>
    <row r="8" spans="1:3" x14ac:dyDescent="0.25">
      <c r="A8" s="8"/>
      <c r="B8" s="9"/>
      <c r="C8" s="10"/>
    </row>
    <row r="9" spans="1:3" x14ac:dyDescent="0.25">
      <c r="A9" s="8"/>
      <c r="B9" s="9"/>
      <c r="C9" s="10"/>
    </row>
    <row r="10" spans="1:3" x14ac:dyDescent="0.25">
      <c r="A10" s="8"/>
      <c r="B10" s="9"/>
      <c r="C10" s="10"/>
    </row>
    <row r="11" spans="1:3" x14ac:dyDescent="0.25">
      <c r="A11" s="8"/>
      <c r="B11" s="9"/>
      <c r="C11" s="10"/>
    </row>
    <row r="12" spans="1:3" x14ac:dyDescent="0.25">
      <c r="A12" s="8"/>
      <c r="B12" s="9"/>
      <c r="C12" s="10"/>
    </row>
    <row r="13" spans="1:3" x14ac:dyDescent="0.25">
      <c r="A13" s="8"/>
      <c r="B13" s="9"/>
      <c r="C13" s="10"/>
    </row>
    <row r="14" spans="1:3" x14ac:dyDescent="0.25">
      <c r="A14" s="8"/>
      <c r="B14" s="9"/>
      <c r="C14" s="10"/>
    </row>
    <row r="15" spans="1:3" x14ac:dyDescent="0.25">
      <c r="A15" s="8"/>
      <c r="B15" s="9"/>
      <c r="C15" s="10"/>
    </row>
    <row r="16" spans="1:3" x14ac:dyDescent="0.25">
      <c r="A16" s="8"/>
      <c r="B16" s="9"/>
      <c r="C16" s="10"/>
    </row>
    <row r="17" spans="1:3" x14ac:dyDescent="0.25">
      <c r="A17" s="8"/>
      <c r="B17" s="9"/>
      <c r="C17" s="10"/>
    </row>
    <row r="18" spans="1:3" x14ac:dyDescent="0.25">
      <c r="A18" s="8"/>
      <c r="B18" s="9"/>
      <c r="C18" s="10"/>
    </row>
    <row r="19" spans="1:3" x14ac:dyDescent="0.25">
      <c r="A19" s="8"/>
      <c r="B19" s="9"/>
      <c r="C19" s="10"/>
    </row>
    <row r="20" spans="1:3" x14ac:dyDescent="0.25">
      <c r="A20" s="11"/>
      <c r="B20" s="12"/>
      <c r="C20" s="1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B8EFC-1644-4E06-86CD-E1097684C9AB}">
  <dimension ref="A1:C15"/>
  <sheetViews>
    <sheetView workbookViewId="0">
      <selection sqref="A1:XFD1048576"/>
    </sheetView>
  </sheetViews>
  <sheetFormatPr baseColWidth="10" defaultRowHeight="15" x14ac:dyDescent="0.25"/>
  <cols>
    <col min="1" max="1" width="6.28515625" bestFit="1" customWidth="1"/>
    <col min="2" max="2" width="9" bestFit="1" customWidth="1"/>
    <col min="3" max="3" width="27.28515625" bestFit="1" customWidth="1"/>
  </cols>
  <sheetData>
    <row r="1" spans="1:3" x14ac:dyDescent="0.25">
      <c r="A1" t="s">
        <v>3324</v>
      </c>
      <c r="B1" t="s">
        <v>0</v>
      </c>
      <c r="C1" t="s">
        <v>8851</v>
      </c>
    </row>
    <row r="2" spans="1:3" x14ac:dyDescent="0.25">
      <c r="A2" t="s">
        <v>7949</v>
      </c>
      <c r="B2" t="str">
        <f>"00250121"</f>
        <v>00250121</v>
      </c>
      <c r="C2" t="s">
        <v>1332</v>
      </c>
    </row>
    <row r="3" spans="1:3" x14ac:dyDescent="0.25">
      <c r="A3" t="s">
        <v>7949</v>
      </c>
      <c r="B3" t="str">
        <f>"00250221"</f>
        <v>00250221</v>
      </c>
      <c r="C3" t="s">
        <v>1313</v>
      </c>
    </row>
    <row r="4" spans="1:3" x14ac:dyDescent="0.25">
      <c r="A4" t="s">
        <v>7949</v>
      </c>
      <c r="B4" t="str">
        <f>"00250321"</f>
        <v>00250321</v>
      </c>
      <c r="C4" t="s">
        <v>8852</v>
      </c>
    </row>
    <row r="5" spans="1:3" x14ac:dyDescent="0.25">
      <c r="A5" t="s">
        <v>7949</v>
      </c>
      <c r="B5" t="str">
        <f>"00250421"</f>
        <v>00250421</v>
      </c>
      <c r="C5" t="s">
        <v>2014</v>
      </c>
    </row>
    <row r="6" spans="1:3" x14ac:dyDescent="0.25">
      <c r="A6" t="s">
        <v>7949</v>
      </c>
      <c r="B6" t="str">
        <f>"00250521"</f>
        <v>00250521</v>
      </c>
      <c r="C6" t="s">
        <v>95</v>
      </c>
    </row>
    <row r="7" spans="1:3" x14ac:dyDescent="0.25">
      <c r="A7" t="s">
        <v>7949</v>
      </c>
      <c r="B7" t="str">
        <f>"00250621"</f>
        <v>00250621</v>
      </c>
      <c r="C7" t="s">
        <v>2089</v>
      </c>
    </row>
    <row r="8" spans="1:3" x14ac:dyDescent="0.25">
      <c r="A8" t="s">
        <v>7949</v>
      </c>
      <c r="B8" t="str">
        <f>"00250721"</f>
        <v>00250721</v>
      </c>
      <c r="C8" t="s">
        <v>2558</v>
      </c>
    </row>
    <row r="9" spans="1:3" x14ac:dyDescent="0.25">
      <c r="A9" t="s">
        <v>7949</v>
      </c>
      <c r="B9" t="str">
        <f>"00250821"</f>
        <v>00250821</v>
      </c>
      <c r="C9" t="s">
        <v>2094</v>
      </c>
    </row>
    <row r="10" spans="1:3" x14ac:dyDescent="0.25">
      <c r="A10" t="s">
        <v>7949</v>
      </c>
      <c r="B10" t="str">
        <f>"00250921"</f>
        <v>00250921</v>
      </c>
      <c r="C10" t="s">
        <v>2537</v>
      </c>
    </row>
    <row r="11" spans="1:3" x14ac:dyDescent="0.25">
      <c r="A11" t="s">
        <v>7949</v>
      </c>
      <c r="B11" t="str">
        <f>"00251021"</f>
        <v>00251021</v>
      </c>
      <c r="C11" t="s">
        <v>2606</v>
      </c>
    </row>
    <row r="12" spans="1:3" x14ac:dyDescent="0.25">
      <c r="A12" t="s">
        <v>7949</v>
      </c>
      <c r="B12" t="str">
        <f>"00251121"</f>
        <v>00251121</v>
      </c>
      <c r="C12" t="s">
        <v>8853</v>
      </c>
    </row>
    <row r="13" spans="1:3" x14ac:dyDescent="0.25">
      <c r="A13" t="s">
        <v>7949</v>
      </c>
      <c r="B13" t="str">
        <f>"00251221"</f>
        <v>00251221</v>
      </c>
      <c r="C13" t="s">
        <v>1666</v>
      </c>
    </row>
    <row r="14" spans="1:3" x14ac:dyDescent="0.25">
      <c r="A14" t="s">
        <v>7949</v>
      </c>
      <c r="B14" t="str">
        <f>"00251321"</f>
        <v>00251321</v>
      </c>
      <c r="C14" t="s">
        <v>1819</v>
      </c>
    </row>
    <row r="15" spans="1:3" x14ac:dyDescent="0.25">
      <c r="A15" t="s">
        <v>7949</v>
      </c>
      <c r="B15" t="str">
        <f>"00251421"</f>
        <v>00251421</v>
      </c>
      <c r="C15" t="s">
        <v>2682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96CC6-F379-489D-B155-0FE8BE0EA646}">
  <dimension ref="A3:A15"/>
  <sheetViews>
    <sheetView workbookViewId="0">
      <selection activeCell="A5" sqref="A5"/>
    </sheetView>
  </sheetViews>
  <sheetFormatPr baseColWidth="10" defaultRowHeight="15" x14ac:dyDescent="0.25"/>
  <cols>
    <col min="1" max="1" width="21" bestFit="1" customWidth="1"/>
  </cols>
  <sheetData>
    <row r="3" spans="1:1" x14ac:dyDescent="0.25">
      <c r="A3" s="14" t="s">
        <v>13094</v>
      </c>
    </row>
    <row r="4" spans="1:1" x14ac:dyDescent="0.25">
      <c r="A4" s="15" t="s">
        <v>13097</v>
      </c>
    </row>
    <row r="5" spans="1:1" x14ac:dyDescent="0.25">
      <c r="A5" s="16" t="s">
        <v>13098</v>
      </c>
    </row>
    <row r="6" spans="1:1" x14ac:dyDescent="0.25">
      <c r="A6" s="18" t="s">
        <v>13099</v>
      </c>
    </row>
    <row r="7" spans="1:1" x14ac:dyDescent="0.25">
      <c r="A7" s="19" t="s">
        <v>8865</v>
      </c>
    </row>
    <row r="8" spans="1:1" x14ac:dyDescent="0.25">
      <c r="A8" s="18" t="s">
        <v>13100</v>
      </c>
    </row>
    <row r="9" spans="1:1" x14ac:dyDescent="0.25">
      <c r="A9" s="19" t="s">
        <v>8868</v>
      </c>
    </row>
    <row r="10" spans="1:1" x14ac:dyDescent="0.25">
      <c r="A10" s="15" t="s">
        <v>13101</v>
      </c>
    </row>
    <row r="11" spans="1:1" x14ac:dyDescent="0.25">
      <c r="A11" s="15" t="s">
        <v>13102</v>
      </c>
    </row>
    <row r="12" spans="1:1" x14ac:dyDescent="0.25">
      <c r="A12" s="15" t="s">
        <v>13103</v>
      </c>
    </row>
    <row r="13" spans="1:1" x14ac:dyDescent="0.25">
      <c r="A13" s="15" t="s">
        <v>13104</v>
      </c>
    </row>
    <row r="14" spans="1:1" x14ac:dyDescent="0.25">
      <c r="A14" s="15" t="s">
        <v>13105</v>
      </c>
    </row>
    <row r="15" spans="1:1" x14ac:dyDescent="0.25">
      <c r="A15" s="15" t="s">
        <v>13096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7A0A2-E629-4D48-BEB9-600DEED4AE11}">
  <dimension ref="A1:J251"/>
  <sheetViews>
    <sheetView workbookViewId="0">
      <selection sqref="A1:J251"/>
    </sheetView>
  </sheetViews>
  <sheetFormatPr baseColWidth="10" defaultRowHeight="15" x14ac:dyDescent="0.25"/>
  <cols>
    <col min="1" max="1" width="22.42578125" bestFit="1" customWidth="1"/>
    <col min="2" max="2" width="4.42578125" bestFit="1" customWidth="1"/>
    <col min="3" max="3" width="14.85546875" bestFit="1" customWidth="1"/>
    <col min="4" max="4" width="11.7109375" bestFit="1" customWidth="1"/>
    <col min="5" max="5" width="19.5703125" bestFit="1" customWidth="1"/>
    <col min="6" max="6" width="10.7109375" bestFit="1" customWidth="1"/>
    <col min="7" max="7" width="8.5703125" bestFit="1" customWidth="1"/>
    <col min="8" max="8" width="36.85546875" bestFit="1" customWidth="1"/>
    <col min="9" max="9" width="34.7109375" bestFit="1" customWidth="1"/>
    <col min="10" max="10" width="12" bestFit="1" customWidth="1"/>
  </cols>
  <sheetData>
    <row r="1" spans="1:10" x14ac:dyDescent="0.25">
      <c r="A1" t="s">
        <v>3324</v>
      </c>
      <c r="B1" t="s">
        <v>8854</v>
      </c>
      <c r="C1" t="s">
        <v>8855</v>
      </c>
      <c r="D1" t="s">
        <v>8856</v>
      </c>
      <c r="E1" t="s">
        <v>8857</v>
      </c>
      <c r="F1" t="s">
        <v>8858</v>
      </c>
      <c r="G1" t="s">
        <v>8859</v>
      </c>
      <c r="H1" t="s">
        <v>8860</v>
      </c>
      <c r="I1" t="s">
        <v>8861</v>
      </c>
      <c r="J1" t="s">
        <v>8862</v>
      </c>
    </row>
    <row r="2" spans="1:10" x14ac:dyDescent="0.25">
      <c r="A2" t="s">
        <v>8863</v>
      </c>
      <c r="C2" t="s">
        <v>8864</v>
      </c>
      <c r="D2" t="s">
        <v>8865</v>
      </c>
      <c r="E2" t="s">
        <v>8866</v>
      </c>
      <c r="F2" s="1">
        <v>42318</v>
      </c>
      <c r="G2" t="str">
        <f>"102024"</f>
        <v>102024</v>
      </c>
      <c r="H2" t="s">
        <v>2020</v>
      </c>
      <c r="I2" t="s">
        <v>8867</v>
      </c>
      <c r="J2">
        <v>17055.3</v>
      </c>
    </row>
    <row r="3" spans="1:10" x14ac:dyDescent="0.25">
      <c r="A3" t="s">
        <v>8863</v>
      </c>
      <c r="C3" t="s">
        <v>8864</v>
      </c>
      <c r="D3" t="s">
        <v>8868</v>
      </c>
      <c r="E3" t="s">
        <v>8866</v>
      </c>
      <c r="F3" s="1">
        <v>42355</v>
      </c>
      <c r="G3" t="str">
        <f>"102024"</f>
        <v>102024</v>
      </c>
      <c r="H3" t="s">
        <v>2020</v>
      </c>
      <c r="I3" t="s">
        <v>8867</v>
      </c>
      <c r="J3">
        <v>18720</v>
      </c>
    </row>
    <row r="4" spans="1:10" x14ac:dyDescent="0.25">
      <c r="A4" t="s">
        <v>8863</v>
      </c>
      <c r="C4" t="s">
        <v>8864</v>
      </c>
      <c r="D4" t="s">
        <v>8869</v>
      </c>
      <c r="E4" t="s">
        <v>8866</v>
      </c>
      <c r="F4" s="1">
        <v>42397</v>
      </c>
      <c r="G4" t="str">
        <f>"102024"</f>
        <v>102024</v>
      </c>
      <c r="H4" t="s">
        <v>2020</v>
      </c>
      <c r="I4" t="s">
        <v>8867</v>
      </c>
      <c r="J4">
        <v>34139.879999999997</v>
      </c>
    </row>
    <row r="5" spans="1:10" x14ac:dyDescent="0.25">
      <c r="A5" t="s">
        <v>8863</v>
      </c>
      <c r="C5" t="s">
        <v>8864</v>
      </c>
      <c r="D5" t="s">
        <v>8870</v>
      </c>
      <c r="E5" t="s">
        <v>8866</v>
      </c>
      <c r="F5" s="1">
        <v>42482</v>
      </c>
      <c r="G5" t="str">
        <f>"102024"</f>
        <v>102024</v>
      </c>
      <c r="H5" t="s">
        <v>2020</v>
      </c>
      <c r="I5" t="s">
        <v>8867</v>
      </c>
      <c r="J5">
        <v>12480</v>
      </c>
    </row>
    <row r="6" spans="1:10" x14ac:dyDescent="0.25">
      <c r="A6" t="s">
        <v>8863</v>
      </c>
      <c r="C6" t="s">
        <v>8864</v>
      </c>
      <c r="D6" t="s">
        <v>8871</v>
      </c>
      <c r="E6" t="s">
        <v>8866</v>
      </c>
      <c r="F6" s="1">
        <v>42612</v>
      </c>
      <c r="G6" t="str">
        <f>"100220"</f>
        <v>100220</v>
      </c>
      <c r="H6" t="s">
        <v>218</v>
      </c>
      <c r="I6" t="s">
        <v>8867</v>
      </c>
      <c r="J6">
        <v>16671</v>
      </c>
    </row>
    <row r="7" spans="1:10" x14ac:dyDescent="0.25">
      <c r="A7" t="s">
        <v>8863</v>
      </c>
      <c r="C7" t="s">
        <v>8864</v>
      </c>
      <c r="D7" t="s">
        <v>8872</v>
      </c>
      <c r="E7" t="s">
        <v>8866</v>
      </c>
      <c r="F7" s="1">
        <v>43033</v>
      </c>
      <c r="G7" t="str">
        <f>"102141"</f>
        <v>102141</v>
      </c>
      <c r="H7" t="s">
        <v>2135</v>
      </c>
      <c r="I7" t="s">
        <v>8867</v>
      </c>
      <c r="J7">
        <v>31003.82</v>
      </c>
    </row>
    <row r="8" spans="1:10" x14ac:dyDescent="0.25">
      <c r="A8" t="s">
        <v>8863</v>
      </c>
      <c r="C8" t="s">
        <v>8864</v>
      </c>
      <c r="D8" t="s">
        <v>8873</v>
      </c>
      <c r="E8" t="s">
        <v>8866</v>
      </c>
      <c r="F8" s="1">
        <v>43153</v>
      </c>
      <c r="G8" t="str">
        <f>"100509"</f>
        <v>100509</v>
      </c>
      <c r="H8" t="s">
        <v>508</v>
      </c>
      <c r="I8" t="s">
        <v>8867</v>
      </c>
      <c r="J8">
        <v>5836.8</v>
      </c>
    </row>
    <row r="9" spans="1:10" x14ac:dyDescent="0.25">
      <c r="A9" t="s">
        <v>8863</v>
      </c>
      <c r="C9" t="s">
        <v>8864</v>
      </c>
      <c r="D9" t="s">
        <v>8874</v>
      </c>
      <c r="E9" t="s">
        <v>8866</v>
      </c>
      <c r="F9" s="1">
        <v>43370</v>
      </c>
      <c r="G9" t="str">
        <f>"100549"</f>
        <v>100549</v>
      </c>
      <c r="H9" t="s">
        <v>548</v>
      </c>
      <c r="I9" t="s">
        <v>8867</v>
      </c>
      <c r="J9">
        <v>39986.959999999999</v>
      </c>
    </row>
    <row r="10" spans="1:10" x14ac:dyDescent="0.25">
      <c r="A10" t="s">
        <v>8863</v>
      </c>
      <c r="C10" t="s">
        <v>8864</v>
      </c>
      <c r="D10" t="s">
        <v>8875</v>
      </c>
      <c r="E10" t="s">
        <v>8866</v>
      </c>
      <c r="F10" s="1">
        <v>43370</v>
      </c>
      <c r="G10" t="str">
        <f>"100549"</f>
        <v>100549</v>
      </c>
      <c r="H10" t="s">
        <v>548</v>
      </c>
      <c r="I10" t="s">
        <v>8867</v>
      </c>
      <c r="J10">
        <v>123786</v>
      </c>
    </row>
    <row r="11" spans="1:10" x14ac:dyDescent="0.25">
      <c r="A11" t="s">
        <v>8863</v>
      </c>
      <c r="C11" t="s">
        <v>8864</v>
      </c>
      <c r="D11" t="s">
        <v>8876</v>
      </c>
      <c r="E11" t="s">
        <v>8866</v>
      </c>
      <c r="F11" s="1">
        <v>43460</v>
      </c>
      <c r="G11" t="str">
        <f>"102276"</f>
        <v>102276</v>
      </c>
      <c r="H11" t="s">
        <v>2270</v>
      </c>
      <c r="I11" t="s">
        <v>8867</v>
      </c>
      <c r="J11">
        <v>9846.2999999999993</v>
      </c>
    </row>
    <row r="12" spans="1:10" x14ac:dyDescent="0.25">
      <c r="A12" t="s">
        <v>8863</v>
      </c>
      <c r="C12" t="s">
        <v>8864</v>
      </c>
      <c r="D12" t="s">
        <v>8877</v>
      </c>
      <c r="E12" t="s">
        <v>8866</v>
      </c>
      <c r="F12" s="1">
        <v>43528</v>
      </c>
      <c r="G12" t="str">
        <f>"100780"</f>
        <v>100780</v>
      </c>
      <c r="H12" t="s">
        <v>777</v>
      </c>
      <c r="I12" t="s">
        <v>8867</v>
      </c>
      <c r="J12">
        <v>69467.199999999997</v>
      </c>
    </row>
    <row r="13" spans="1:10" x14ac:dyDescent="0.25">
      <c r="A13" t="s">
        <v>8863</v>
      </c>
      <c r="C13" t="s">
        <v>8864</v>
      </c>
      <c r="D13" t="s">
        <v>8878</v>
      </c>
      <c r="E13" t="s">
        <v>8866</v>
      </c>
      <c r="F13" s="1">
        <v>43529</v>
      </c>
      <c r="G13" t="str">
        <f>"100780"</f>
        <v>100780</v>
      </c>
      <c r="H13" t="s">
        <v>777</v>
      </c>
      <c r="I13" t="s">
        <v>8867</v>
      </c>
      <c r="J13">
        <v>41736</v>
      </c>
    </row>
    <row r="14" spans="1:10" x14ac:dyDescent="0.25">
      <c r="A14" t="s">
        <v>8863</v>
      </c>
      <c r="C14" t="s">
        <v>8864</v>
      </c>
      <c r="D14" t="s">
        <v>8879</v>
      </c>
      <c r="E14" t="s">
        <v>8866</v>
      </c>
      <c r="F14" s="1">
        <v>43553</v>
      </c>
      <c r="G14" t="str">
        <f t="shared" ref="G14:G23" si="0">"100549"</f>
        <v>100549</v>
      </c>
      <c r="H14" t="s">
        <v>548</v>
      </c>
      <c r="I14" t="s">
        <v>8867</v>
      </c>
      <c r="J14">
        <v>135281.66</v>
      </c>
    </row>
    <row r="15" spans="1:10" x14ac:dyDescent="0.25">
      <c r="A15" t="s">
        <v>8863</v>
      </c>
      <c r="C15" t="s">
        <v>8864</v>
      </c>
      <c r="D15" t="s">
        <v>8880</v>
      </c>
      <c r="E15" t="s">
        <v>8866</v>
      </c>
      <c r="F15" s="1">
        <v>43558</v>
      </c>
      <c r="G15" t="str">
        <f t="shared" si="0"/>
        <v>100549</v>
      </c>
      <c r="H15" t="s">
        <v>548</v>
      </c>
      <c r="I15" t="s">
        <v>8867</v>
      </c>
      <c r="J15">
        <v>135281.66</v>
      </c>
    </row>
    <row r="16" spans="1:10" x14ac:dyDescent="0.25">
      <c r="A16" t="s">
        <v>8863</v>
      </c>
      <c r="C16" t="s">
        <v>8864</v>
      </c>
      <c r="D16" t="s">
        <v>8881</v>
      </c>
      <c r="E16" t="s">
        <v>8866</v>
      </c>
      <c r="F16" s="1">
        <v>43558</v>
      </c>
      <c r="G16" t="str">
        <f t="shared" si="0"/>
        <v>100549</v>
      </c>
      <c r="H16" t="s">
        <v>548</v>
      </c>
      <c r="I16" t="s">
        <v>8867</v>
      </c>
      <c r="J16">
        <v>135281.66</v>
      </c>
    </row>
    <row r="17" spans="1:10" x14ac:dyDescent="0.25">
      <c r="A17" t="s">
        <v>8863</v>
      </c>
      <c r="C17" t="s">
        <v>8864</v>
      </c>
      <c r="D17" t="s">
        <v>8882</v>
      </c>
      <c r="E17" t="s">
        <v>8866</v>
      </c>
      <c r="F17" s="1">
        <v>43559</v>
      </c>
      <c r="G17" t="str">
        <f t="shared" si="0"/>
        <v>100549</v>
      </c>
      <c r="H17" t="s">
        <v>548</v>
      </c>
      <c r="I17" t="s">
        <v>8867</v>
      </c>
      <c r="J17">
        <v>135281.66</v>
      </c>
    </row>
    <row r="18" spans="1:10" x14ac:dyDescent="0.25">
      <c r="A18" t="s">
        <v>8863</v>
      </c>
      <c r="C18" t="s">
        <v>8864</v>
      </c>
      <c r="D18" t="s">
        <v>8883</v>
      </c>
      <c r="E18" t="s">
        <v>8866</v>
      </c>
      <c r="F18" s="1">
        <v>43561</v>
      </c>
      <c r="G18" t="str">
        <f t="shared" si="0"/>
        <v>100549</v>
      </c>
      <c r="H18" t="s">
        <v>548</v>
      </c>
      <c r="I18" t="s">
        <v>8867</v>
      </c>
      <c r="J18">
        <v>135281.66</v>
      </c>
    </row>
    <row r="19" spans="1:10" x14ac:dyDescent="0.25">
      <c r="A19" t="s">
        <v>8863</v>
      </c>
      <c r="C19" t="s">
        <v>8864</v>
      </c>
      <c r="D19" t="s">
        <v>8884</v>
      </c>
      <c r="E19" t="s">
        <v>8866</v>
      </c>
      <c r="F19" s="1">
        <v>43570</v>
      </c>
      <c r="G19" t="str">
        <f t="shared" si="0"/>
        <v>100549</v>
      </c>
      <c r="H19" t="s">
        <v>548</v>
      </c>
      <c r="I19" t="s">
        <v>8867</v>
      </c>
      <c r="J19">
        <v>135281.66</v>
      </c>
    </row>
    <row r="20" spans="1:10" x14ac:dyDescent="0.25">
      <c r="A20" t="s">
        <v>8863</v>
      </c>
      <c r="C20" t="s">
        <v>8864</v>
      </c>
      <c r="D20" t="s">
        <v>8885</v>
      </c>
      <c r="E20" t="s">
        <v>8866</v>
      </c>
      <c r="F20" s="1">
        <v>43575</v>
      </c>
      <c r="G20" t="str">
        <f t="shared" si="0"/>
        <v>100549</v>
      </c>
      <c r="H20" t="s">
        <v>548</v>
      </c>
      <c r="I20" t="s">
        <v>8867</v>
      </c>
      <c r="J20">
        <v>135281.66</v>
      </c>
    </row>
    <row r="21" spans="1:10" x14ac:dyDescent="0.25">
      <c r="A21" t="s">
        <v>8863</v>
      </c>
      <c r="C21" t="s">
        <v>8864</v>
      </c>
      <c r="D21" t="s">
        <v>8886</v>
      </c>
      <c r="E21" t="s">
        <v>8866</v>
      </c>
      <c r="F21" s="1">
        <v>43575</v>
      </c>
      <c r="G21" t="str">
        <f t="shared" si="0"/>
        <v>100549</v>
      </c>
      <c r="H21" t="s">
        <v>548</v>
      </c>
      <c r="I21" t="s">
        <v>8867</v>
      </c>
      <c r="J21">
        <v>135281.66</v>
      </c>
    </row>
    <row r="22" spans="1:10" x14ac:dyDescent="0.25">
      <c r="A22" t="s">
        <v>8863</v>
      </c>
      <c r="C22" t="s">
        <v>8864</v>
      </c>
      <c r="D22" t="s">
        <v>8887</v>
      </c>
      <c r="E22" t="s">
        <v>8866</v>
      </c>
      <c r="F22" s="1">
        <v>43575</v>
      </c>
      <c r="G22" t="str">
        <f t="shared" si="0"/>
        <v>100549</v>
      </c>
      <c r="H22" t="s">
        <v>548</v>
      </c>
      <c r="I22" t="s">
        <v>8867</v>
      </c>
      <c r="J22">
        <v>135281.66</v>
      </c>
    </row>
    <row r="23" spans="1:10" x14ac:dyDescent="0.25">
      <c r="A23" t="s">
        <v>8863</v>
      </c>
      <c r="C23" t="s">
        <v>8864</v>
      </c>
      <c r="D23" t="s">
        <v>8888</v>
      </c>
      <c r="E23" t="s">
        <v>8866</v>
      </c>
      <c r="F23" s="1">
        <v>43575</v>
      </c>
      <c r="G23" t="str">
        <f t="shared" si="0"/>
        <v>100549</v>
      </c>
      <c r="H23" t="s">
        <v>548</v>
      </c>
      <c r="I23" t="s">
        <v>8867</v>
      </c>
      <c r="J23">
        <v>135281.66</v>
      </c>
    </row>
    <row r="24" spans="1:10" x14ac:dyDescent="0.25">
      <c r="A24" t="s">
        <v>8863</v>
      </c>
      <c r="C24" t="s">
        <v>8864</v>
      </c>
      <c r="D24" t="s">
        <v>8889</v>
      </c>
      <c r="E24" t="s">
        <v>8866</v>
      </c>
      <c r="F24" s="1">
        <v>43672</v>
      </c>
      <c r="G24" t="str">
        <f>"102715"</f>
        <v>102715</v>
      </c>
      <c r="H24" t="s">
        <v>2565</v>
      </c>
      <c r="I24" t="s">
        <v>8867</v>
      </c>
      <c r="J24">
        <v>873.52</v>
      </c>
    </row>
    <row r="25" spans="1:10" x14ac:dyDescent="0.25">
      <c r="A25" t="s">
        <v>8890</v>
      </c>
      <c r="C25" t="s">
        <v>8864</v>
      </c>
      <c r="D25" t="s">
        <v>8891</v>
      </c>
      <c r="E25" t="s">
        <v>8866</v>
      </c>
      <c r="F25" s="1">
        <v>43683</v>
      </c>
      <c r="G25" t="str">
        <f>"100549"</f>
        <v>100549</v>
      </c>
      <c r="H25" t="s">
        <v>548</v>
      </c>
      <c r="I25" t="s">
        <v>8867</v>
      </c>
      <c r="J25">
        <v>79016.45</v>
      </c>
    </row>
    <row r="26" spans="1:10" x14ac:dyDescent="0.25">
      <c r="A26" t="s">
        <v>8890</v>
      </c>
      <c r="C26" t="s">
        <v>8864</v>
      </c>
      <c r="D26" t="s">
        <v>8892</v>
      </c>
      <c r="E26" t="s">
        <v>8866</v>
      </c>
      <c r="F26" s="1">
        <v>43683</v>
      </c>
      <c r="G26" t="str">
        <f>"100549"</f>
        <v>100549</v>
      </c>
      <c r="H26" t="s">
        <v>548</v>
      </c>
      <c r="I26" t="s">
        <v>8867</v>
      </c>
      <c r="J26">
        <v>132437.76000000001</v>
      </c>
    </row>
    <row r="27" spans="1:10" x14ac:dyDescent="0.25">
      <c r="A27" t="s">
        <v>8890</v>
      </c>
      <c r="C27" t="s">
        <v>8864</v>
      </c>
      <c r="D27" t="s">
        <v>8893</v>
      </c>
      <c r="E27" t="s">
        <v>8866</v>
      </c>
      <c r="F27" s="1">
        <v>43683</v>
      </c>
      <c r="G27" t="str">
        <f>"100549"</f>
        <v>100549</v>
      </c>
      <c r="H27" t="s">
        <v>548</v>
      </c>
      <c r="I27" t="s">
        <v>8867</v>
      </c>
      <c r="J27">
        <v>115987.2</v>
      </c>
    </row>
    <row r="28" spans="1:10" x14ac:dyDescent="0.25">
      <c r="A28" t="s">
        <v>8894</v>
      </c>
      <c r="C28" t="s">
        <v>8864</v>
      </c>
      <c r="D28" t="s">
        <v>8895</v>
      </c>
      <c r="E28" t="s">
        <v>8866</v>
      </c>
      <c r="F28" s="1">
        <v>43683</v>
      </c>
      <c r="G28" t="str">
        <f>"100549"</f>
        <v>100549</v>
      </c>
      <c r="H28" t="s">
        <v>548</v>
      </c>
      <c r="I28" t="s">
        <v>8867</v>
      </c>
      <c r="J28">
        <v>138914.82</v>
      </c>
    </row>
    <row r="29" spans="1:10" x14ac:dyDescent="0.25">
      <c r="A29" t="s">
        <v>8863</v>
      </c>
      <c r="C29" t="s">
        <v>8864</v>
      </c>
      <c r="D29" t="s">
        <v>8896</v>
      </c>
      <c r="E29" t="s">
        <v>8866</v>
      </c>
      <c r="F29" s="1">
        <v>43686</v>
      </c>
      <c r="G29" t="str">
        <f>"102529"</f>
        <v>102529</v>
      </c>
      <c r="H29" t="s">
        <v>2418</v>
      </c>
      <c r="I29" t="s">
        <v>8867</v>
      </c>
      <c r="J29">
        <v>6814.36</v>
      </c>
    </row>
    <row r="30" spans="1:10" x14ac:dyDescent="0.25">
      <c r="A30" t="s">
        <v>8863</v>
      </c>
      <c r="C30" t="s">
        <v>8864</v>
      </c>
      <c r="D30" t="s">
        <v>8897</v>
      </c>
      <c r="E30" t="s">
        <v>8866</v>
      </c>
      <c r="F30" s="1">
        <v>43697</v>
      </c>
      <c r="G30" t="str">
        <f>"100549"</f>
        <v>100549</v>
      </c>
      <c r="H30" t="s">
        <v>548</v>
      </c>
      <c r="I30" t="s">
        <v>8867</v>
      </c>
      <c r="J30">
        <v>123786</v>
      </c>
    </row>
    <row r="31" spans="1:10" x14ac:dyDescent="0.25">
      <c r="A31" t="s">
        <v>8863</v>
      </c>
      <c r="C31" t="s">
        <v>8864</v>
      </c>
      <c r="D31" t="s">
        <v>8898</v>
      </c>
      <c r="E31" t="s">
        <v>8866</v>
      </c>
      <c r="F31" s="1">
        <v>43795</v>
      </c>
      <c r="G31" t="str">
        <f>"100061"</f>
        <v>100061</v>
      </c>
      <c r="H31" t="s">
        <v>62</v>
      </c>
      <c r="I31" t="s">
        <v>8867</v>
      </c>
      <c r="J31">
        <v>405.6</v>
      </c>
    </row>
    <row r="32" spans="1:10" x14ac:dyDescent="0.25">
      <c r="A32" t="s">
        <v>8863</v>
      </c>
      <c r="C32" t="s">
        <v>8864</v>
      </c>
      <c r="D32" t="s">
        <v>8899</v>
      </c>
      <c r="E32" t="s">
        <v>8866</v>
      </c>
      <c r="F32" s="1">
        <v>43797</v>
      </c>
      <c r="G32" t="str">
        <f>"102141"</f>
        <v>102141</v>
      </c>
      <c r="H32" t="s">
        <v>2135</v>
      </c>
      <c r="I32" t="s">
        <v>8867</v>
      </c>
      <c r="J32">
        <v>33374.699999999997</v>
      </c>
    </row>
    <row r="33" spans="1:10" x14ac:dyDescent="0.25">
      <c r="A33" t="s">
        <v>8900</v>
      </c>
      <c r="C33" t="s">
        <v>8901</v>
      </c>
      <c r="D33" t="s">
        <v>8902</v>
      </c>
      <c r="E33" t="s">
        <v>8903</v>
      </c>
      <c r="F33" s="1">
        <v>46077</v>
      </c>
      <c r="G33" t="str">
        <f>"120379"</f>
        <v>120379</v>
      </c>
      <c r="H33" t="s">
        <v>2806</v>
      </c>
      <c r="I33" t="s">
        <v>8904</v>
      </c>
      <c r="J33">
        <v>376992</v>
      </c>
    </row>
    <row r="34" spans="1:10" x14ac:dyDescent="0.25">
      <c r="A34" t="s">
        <v>8900</v>
      </c>
      <c r="C34" t="s">
        <v>8901</v>
      </c>
      <c r="D34" t="s">
        <v>8905</v>
      </c>
      <c r="F34" s="1">
        <v>46081</v>
      </c>
      <c r="G34" t="str">
        <f>"101720"</f>
        <v>101720</v>
      </c>
      <c r="H34" t="s">
        <v>1716</v>
      </c>
      <c r="I34" t="s">
        <v>8904</v>
      </c>
      <c r="J34">
        <v>2091.8000000000002</v>
      </c>
    </row>
    <row r="35" spans="1:10" x14ac:dyDescent="0.25">
      <c r="A35" t="s">
        <v>8863</v>
      </c>
      <c r="C35" t="s">
        <v>8864</v>
      </c>
      <c r="D35" t="s">
        <v>8906</v>
      </c>
      <c r="E35" t="s">
        <v>8907</v>
      </c>
      <c r="F35" s="1">
        <v>46113</v>
      </c>
      <c r="G35" t="str">
        <f>"102180"</f>
        <v>102180</v>
      </c>
      <c r="H35" t="s">
        <v>2172</v>
      </c>
      <c r="I35" t="s">
        <v>8904</v>
      </c>
      <c r="J35">
        <v>383234.4</v>
      </c>
    </row>
    <row r="36" spans="1:10" x14ac:dyDescent="0.25">
      <c r="A36" t="s">
        <v>8863</v>
      </c>
      <c r="C36" t="s">
        <v>8864</v>
      </c>
      <c r="D36" t="s">
        <v>8908</v>
      </c>
      <c r="E36" t="s">
        <v>8909</v>
      </c>
      <c r="F36" s="1">
        <v>46114</v>
      </c>
      <c r="G36" t="str">
        <f>"100113"</f>
        <v>100113</v>
      </c>
      <c r="H36" t="s">
        <v>114</v>
      </c>
      <c r="I36" t="s">
        <v>8904</v>
      </c>
      <c r="J36">
        <v>490.2</v>
      </c>
    </row>
    <row r="37" spans="1:10" x14ac:dyDescent="0.25">
      <c r="A37" t="s">
        <v>8863</v>
      </c>
      <c r="C37" t="s">
        <v>8864</v>
      </c>
      <c r="D37" t="s">
        <v>8910</v>
      </c>
      <c r="E37" t="s">
        <v>8909</v>
      </c>
      <c r="F37" s="1">
        <v>46114</v>
      </c>
      <c r="G37" t="str">
        <f>"1002873"</f>
        <v>1002873</v>
      </c>
      <c r="H37" t="s">
        <v>286</v>
      </c>
      <c r="I37" t="s">
        <v>8904</v>
      </c>
      <c r="J37">
        <v>3024</v>
      </c>
    </row>
    <row r="38" spans="1:10" x14ac:dyDescent="0.25">
      <c r="A38" t="s">
        <v>8863</v>
      </c>
      <c r="C38" t="s">
        <v>8864</v>
      </c>
      <c r="D38" t="s">
        <v>8911</v>
      </c>
      <c r="E38" t="s">
        <v>8909</v>
      </c>
      <c r="F38" s="1">
        <v>46114</v>
      </c>
      <c r="G38" t="str">
        <f>"1022723"</f>
        <v>1022723</v>
      </c>
      <c r="H38" t="s">
        <v>2266</v>
      </c>
      <c r="I38" t="s">
        <v>8904</v>
      </c>
      <c r="J38">
        <v>5381.8</v>
      </c>
    </row>
    <row r="39" spans="1:10" x14ac:dyDescent="0.25">
      <c r="A39" t="s">
        <v>8863</v>
      </c>
      <c r="C39" t="s">
        <v>8864</v>
      </c>
      <c r="D39" t="s">
        <v>8912</v>
      </c>
      <c r="E39" t="s">
        <v>8909</v>
      </c>
      <c r="F39" s="1">
        <v>46114</v>
      </c>
      <c r="G39" t="str">
        <f>"102871"</f>
        <v>102871</v>
      </c>
      <c r="H39" t="s">
        <v>2720</v>
      </c>
      <c r="I39" t="s">
        <v>8904</v>
      </c>
      <c r="J39">
        <v>1275.2</v>
      </c>
    </row>
    <row r="40" spans="1:10" x14ac:dyDescent="0.25">
      <c r="A40" t="s">
        <v>8863</v>
      </c>
      <c r="C40" t="s">
        <v>8864</v>
      </c>
      <c r="D40" t="s">
        <v>8913</v>
      </c>
      <c r="E40" t="s">
        <v>8909</v>
      </c>
      <c r="F40" s="1">
        <v>46114</v>
      </c>
      <c r="G40" t="str">
        <f>"102893"</f>
        <v>102893</v>
      </c>
      <c r="H40" t="s">
        <v>2742</v>
      </c>
      <c r="I40" t="s">
        <v>8904</v>
      </c>
      <c r="J40">
        <v>1814.4</v>
      </c>
    </row>
    <row r="41" spans="1:10" x14ac:dyDescent="0.25">
      <c r="A41" t="s">
        <v>8863</v>
      </c>
      <c r="C41" t="s">
        <v>8864</v>
      </c>
      <c r="D41" t="s">
        <v>8914</v>
      </c>
      <c r="E41" t="s">
        <v>8909</v>
      </c>
      <c r="F41" s="1">
        <v>46115</v>
      </c>
      <c r="G41" t="str">
        <f>"1002873"</f>
        <v>1002873</v>
      </c>
      <c r="H41" t="s">
        <v>286</v>
      </c>
      <c r="I41" t="s">
        <v>8904</v>
      </c>
      <c r="J41">
        <v>1209.5999999999999</v>
      </c>
    </row>
    <row r="42" spans="1:10" x14ac:dyDescent="0.25">
      <c r="A42" t="s">
        <v>8863</v>
      </c>
      <c r="C42" t="s">
        <v>8864</v>
      </c>
      <c r="D42" t="s">
        <v>8915</v>
      </c>
      <c r="E42" t="s">
        <v>8909</v>
      </c>
      <c r="F42" s="1">
        <v>46115</v>
      </c>
      <c r="G42" t="str">
        <f>"100527"</f>
        <v>100527</v>
      </c>
      <c r="H42" t="s">
        <v>526</v>
      </c>
      <c r="I42" t="s">
        <v>8904</v>
      </c>
      <c r="J42">
        <v>3024</v>
      </c>
    </row>
    <row r="43" spans="1:10" x14ac:dyDescent="0.25">
      <c r="A43" t="s">
        <v>8863</v>
      </c>
      <c r="C43" t="s">
        <v>8864</v>
      </c>
      <c r="D43" t="s">
        <v>8916</v>
      </c>
      <c r="E43" t="s">
        <v>8909</v>
      </c>
      <c r="F43" s="1">
        <v>46115</v>
      </c>
      <c r="G43" t="str">
        <f>"102602"</f>
        <v>102602</v>
      </c>
      <c r="H43" t="s">
        <v>2456</v>
      </c>
      <c r="I43" t="s">
        <v>8904</v>
      </c>
      <c r="J43">
        <v>2700</v>
      </c>
    </row>
    <row r="44" spans="1:10" x14ac:dyDescent="0.25">
      <c r="A44" t="s">
        <v>8863</v>
      </c>
      <c r="C44" t="s">
        <v>8864</v>
      </c>
      <c r="D44" t="s">
        <v>8917</v>
      </c>
      <c r="E44" t="s">
        <v>8909</v>
      </c>
      <c r="F44" s="1">
        <v>46115</v>
      </c>
      <c r="G44" t="str">
        <f>"120320"</f>
        <v>120320</v>
      </c>
      <c r="H44" t="s">
        <v>2795</v>
      </c>
      <c r="I44" t="s">
        <v>8904</v>
      </c>
      <c r="J44">
        <v>4236</v>
      </c>
    </row>
    <row r="45" spans="1:10" x14ac:dyDescent="0.25">
      <c r="A45" t="s">
        <v>8863</v>
      </c>
      <c r="C45" t="s">
        <v>8864</v>
      </c>
      <c r="D45" t="s">
        <v>8918</v>
      </c>
      <c r="E45" t="s">
        <v>8909</v>
      </c>
      <c r="F45" s="1">
        <v>46115</v>
      </c>
      <c r="G45" t="str">
        <f>"120400"</f>
        <v>120400</v>
      </c>
      <c r="H45" t="s">
        <v>2818</v>
      </c>
      <c r="I45" t="s">
        <v>8904</v>
      </c>
      <c r="J45">
        <v>4070</v>
      </c>
    </row>
    <row r="46" spans="1:10" x14ac:dyDescent="0.25">
      <c r="A46" t="s">
        <v>8863</v>
      </c>
      <c r="C46" t="s">
        <v>8864</v>
      </c>
      <c r="D46" t="s">
        <v>8919</v>
      </c>
      <c r="E46" t="s">
        <v>8909</v>
      </c>
      <c r="F46" s="1">
        <v>46118</v>
      </c>
      <c r="G46" t="str">
        <f>"100515"</f>
        <v>100515</v>
      </c>
      <c r="H46" t="s">
        <v>514</v>
      </c>
      <c r="I46" t="s">
        <v>8904</v>
      </c>
      <c r="J46">
        <v>4500</v>
      </c>
    </row>
    <row r="47" spans="1:10" x14ac:dyDescent="0.25">
      <c r="A47" t="s">
        <v>8863</v>
      </c>
      <c r="C47" t="s">
        <v>8864</v>
      </c>
      <c r="D47" t="s">
        <v>8920</v>
      </c>
      <c r="E47" t="s">
        <v>8921</v>
      </c>
      <c r="F47" s="1">
        <v>46118</v>
      </c>
      <c r="G47" t="str">
        <f>"100527"</f>
        <v>100527</v>
      </c>
      <c r="H47" t="s">
        <v>526</v>
      </c>
      <c r="I47" t="s">
        <v>8922</v>
      </c>
      <c r="J47">
        <v>0</v>
      </c>
    </row>
    <row r="48" spans="1:10" x14ac:dyDescent="0.25">
      <c r="A48" t="s">
        <v>8863</v>
      </c>
      <c r="C48" t="s">
        <v>8864</v>
      </c>
      <c r="D48" t="s">
        <v>8923</v>
      </c>
      <c r="E48" t="s">
        <v>8909</v>
      </c>
      <c r="F48" s="1">
        <v>46118</v>
      </c>
      <c r="G48" t="str">
        <f>"102444"</f>
        <v>102444</v>
      </c>
      <c r="H48" t="s">
        <v>2333</v>
      </c>
      <c r="I48" t="s">
        <v>8904</v>
      </c>
      <c r="J48">
        <v>3024</v>
      </c>
    </row>
    <row r="49" spans="1:10" x14ac:dyDescent="0.25">
      <c r="A49" t="s">
        <v>8863</v>
      </c>
      <c r="C49" t="s">
        <v>8864</v>
      </c>
      <c r="D49" t="s">
        <v>8924</v>
      </c>
      <c r="E49" t="s">
        <v>8925</v>
      </c>
      <c r="F49" s="1">
        <v>46119</v>
      </c>
      <c r="G49" t="str">
        <f>"102608"</f>
        <v>102608</v>
      </c>
      <c r="H49" t="s">
        <v>2462</v>
      </c>
      <c r="I49" t="s">
        <v>8904</v>
      </c>
      <c r="J49">
        <v>383998.98</v>
      </c>
    </row>
    <row r="50" spans="1:10" x14ac:dyDescent="0.25">
      <c r="A50" t="s">
        <v>8863</v>
      </c>
      <c r="C50" t="s">
        <v>8864</v>
      </c>
      <c r="D50" t="s">
        <v>8926</v>
      </c>
      <c r="E50" t="s">
        <v>8909</v>
      </c>
      <c r="F50" s="1">
        <v>46119</v>
      </c>
      <c r="G50" t="str">
        <f>"102935"</f>
        <v>102935</v>
      </c>
      <c r="H50" t="s">
        <v>2785</v>
      </c>
      <c r="I50" t="s">
        <v>8904</v>
      </c>
      <c r="J50">
        <v>9192</v>
      </c>
    </row>
    <row r="51" spans="1:10" x14ac:dyDescent="0.25">
      <c r="A51" t="s">
        <v>8863</v>
      </c>
      <c r="C51" t="s">
        <v>8864</v>
      </c>
      <c r="D51" t="s">
        <v>8927</v>
      </c>
      <c r="E51" t="s">
        <v>8909</v>
      </c>
      <c r="F51" s="1">
        <v>46119</v>
      </c>
      <c r="G51" t="str">
        <f>"102935"</f>
        <v>102935</v>
      </c>
      <c r="H51" t="s">
        <v>2785</v>
      </c>
      <c r="I51" t="s">
        <v>8904</v>
      </c>
      <c r="J51">
        <v>47283.4</v>
      </c>
    </row>
    <row r="52" spans="1:10" x14ac:dyDescent="0.25">
      <c r="A52" t="s">
        <v>8863</v>
      </c>
      <c r="C52" t="s">
        <v>8864</v>
      </c>
      <c r="D52" t="s">
        <v>8928</v>
      </c>
      <c r="E52" t="s">
        <v>8921</v>
      </c>
      <c r="F52" s="1">
        <v>46120</v>
      </c>
      <c r="G52" t="str">
        <f>"100527"</f>
        <v>100527</v>
      </c>
      <c r="H52" t="s">
        <v>526</v>
      </c>
      <c r="I52" t="s">
        <v>8922</v>
      </c>
      <c r="J52">
        <v>0</v>
      </c>
    </row>
    <row r="53" spans="1:10" x14ac:dyDescent="0.25">
      <c r="A53" t="s">
        <v>8863</v>
      </c>
      <c r="C53" t="s">
        <v>8864</v>
      </c>
      <c r="D53" t="s">
        <v>8929</v>
      </c>
      <c r="E53" t="s">
        <v>8909</v>
      </c>
      <c r="F53" s="1">
        <v>46120</v>
      </c>
      <c r="G53" t="str">
        <f>"102018"</f>
        <v>102018</v>
      </c>
      <c r="H53" t="s">
        <v>2014</v>
      </c>
      <c r="I53" t="s">
        <v>8904</v>
      </c>
      <c r="J53">
        <v>177170</v>
      </c>
    </row>
    <row r="54" spans="1:10" x14ac:dyDescent="0.25">
      <c r="A54" t="s">
        <v>8863</v>
      </c>
      <c r="C54" t="s">
        <v>8901</v>
      </c>
      <c r="D54" t="s">
        <v>8930</v>
      </c>
      <c r="E54" t="s">
        <v>8909</v>
      </c>
      <c r="F54" s="1">
        <v>46120</v>
      </c>
      <c r="G54" t="str">
        <f>"102169"</f>
        <v>102169</v>
      </c>
      <c r="H54" t="s">
        <v>2161</v>
      </c>
      <c r="I54" t="s">
        <v>8904</v>
      </c>
      <c r="J54">
        <v>4781</v>
      </c>
    </row>
    <row r="55" spans="1:10" x14ac:dyDescent="0.25">
      <c r="A55" t="s">
        <v>8863</v>
      </c>
      <c r="C55" t="s">
        <v>8864</v>
      </c>
      <c r="D55" t="s">
        <v>8931</v>
      </c>
      <c r="E55" t="s">
        <v>8909</v>
      </c>
      <c r="F55" s="1">
        <v>46120</v>
      </c>
      <c r="G55" t="str">
        <f>"102899"</f>
        <v>102899</v>
      </c>
      <c r="H55" t="s">
        <v>2749</v>
      </c>
      <c r="I55" t="s">
        <v>8904</v>
      </c>
      <c r="J55">
        <v>1063.5</v>
      </c>
    </row>
    <row r="56" spans="1:10" x14ac:dyDescent="0.25">
      <c r="A56" t="s">
        <v>8863</v>
      </c>
      <c r="C56" t="s">
        <v>8864</v>
      </c>
      <c r="D56" t="s">
        <v>8932</v>
      </c>
      <c r="E56" t="s">
        <v>8933</v>
      </c>
      <c r="F56" s="1">
        <v>46120</v>
      </c>
      <c r="G56" t="str">
        <f>"102935"</f>
        <v>102935</v>
      </c>
      <c r="H56" t="s">
        <v>2785</v>
      </c>
      <c r="I56" t="s">
        <v>8904</v>
      </c>
      <c r="J56">
        <v>36960</v>
      </c>
    </row>
    <row r="57" spans="1:10" x14ac:dyDescent="0.25">
      <c r="A57" t="s">
        <v>8863</v>
      </c>
      <c r="C57" t="s">
        <v>8864</v>
      </c>
      <c r="D57" t="s">
        <v>8934</v>
      </c>
      <c r="E57" t="s">
        <v>8909</v>
      </c>
      <c r="F57" s="1">
        <v>46121</v>
      </c>
      <c r="G57" t="str">
        <f>"1002873"</f>
        <v>1002873</v>
      </c>
      <c r="H57" t="s">
        <v>286</v>
      </c>
      <c r="I57" t="s">
        <v>8904</v>
      </c>
      <c r="J57">
        <v>1209.5999999999999</v>
      </c>
    </row>
    <row r="58" spans="1:10" x14ac:dyDescent="0.25">
      <c r="A58" t="s">
        <v>8863</v>
      </c>
      <c r="C58" t="s">
        <v>8864</v>
      </c>
      <c r="D58" t="s">
        <v>8935</v>
      </c>
      <c r="E58" t="s">
        <v>8907</v>
      </c>
      <c r="F58" s="1">
        <v>46121</v>
      </c>
      <c r="G58" t="str">
        <f>"102180"</f>
        <v>102180</v>
      </c>
      <c r="H58" t="s">
        <v>2172</v>
      </c>
      <c r="I58" t="s">
        <v>8904</v>
      </c>
      <c r="J58">
        <v>383234.4</v>
      </c>
    </row>
    <row r="59" spans="1:10" x14ac:dyDescent="0.25">
      <c r="A59" t="s">
        <v>8863</v>
      </c>
      <c r="C59" t="s">
        <v>8864</v>
      </c>
      <c r="D59" t="s">
        <v>8936</v>
      </c>
      <c r="E59" t="s">
        <v>8909</v>
      </c>
      <c r="F59" s="1">
        <v>46121</v>
      </c>
      <c r="G59" t="str">
        <f>"102526"</f>
        <v>102526</v>
      </c>
      <c r="H59" t="s">
        <v>2415</v>
      </c>
      <c r="I59" t="s">
        <v>8904</v>
      </c>
      <c r="J59">
        <v>1880</v>
      </c>
    </row>
    <row r="60" spans="1:10" x14ac:dyDescent="0.25">
      <c r="A60" t="s">
        <v>8863</v>
      </c>
      <c r="C60" t="s">
        <v>8864</v>
      </c>
      <c r="D60" t="s">
        <v>8937</v>
      </c>
      <c r="E60" t="s">
        <v>8909</v>
      </c>
      <c r="F60" s="1">
        <v>46121</v>
      </c>
      <c r="G60" t="str">
        <f>"102592"</f>
        <v>102592</v>
      </c>
      <c r="H60" t="s">
        <v>2446</v>
      </c>
      <c r="I60" t="s">
        <v>8904</v>
      </c>
      <c r="J60">
        <v>404103.6</v>
      </c>
    </row>
    <row r="61" spans="1:10" x14ac:dyDescent="0.25">
      <c r="A61" t="s">
        <v>8863</v>
      </c>
      <c r="C61" t="s">
        <v>8864</v>
      </c>
      <c r="D61" t="s">
        <v>8938</v>
      </c>
      <c r="E61" t="s">
        <v>8909</v>
      </c>
      <c r="F61" s="1">
        <v>46121</v>
      </c>
      <c r="G61" t="str">
        <f>"102798"</f>
        <v>102798</v>
      </c>
      <c r="H61" t="s">
        <v>2648</v>
      </c>
      <c r="I61" t="s">
        <v>8904</v>
      </c>
      <c r="J61">
        <v>15156</v>
      </c>
    </row>
    <row r="62" spans="1:10" x14ac:dyDescent="0.25">
      <c r="A62" t="s">
        <v>8863</v>
      </c>
      <c r="C62" t="s">
        <v>8864</v>
      </c>
      <c r="D62" t="s">
        <v>8939</v>
      </c>
      <c r="E62" t="s">
        <v>8909</v>
      </c>
      <c r="F62" s="1">
        <v>46122</v>
      </c>
      <c r="G62" t="str">
        <f>"100527"</f>
        <v>100527</v>
      </c>
      <c r="H62" t="s">
        <v>526</v>
      </c>
      <c r="I62" t="s">
        <v>8904</v>
      </c>
      <c r="J62">
        <v>1209.5999999999999</v>
      </c>
    </row>
    <row r="63" spans="1:10" x14ac:dyDescent="0.25">
      <c r="A63" t="s">
        <v>8863</v>
      </c>
      <c r="C63" t="s">
        <v>8864</v>
      </c>
      <c r="D63" t="s">
        <v>8940</v>
      </c>
      <c r="E63" t="s">
        <v>8909</v>
      </c>
      <c r="F63" s="1">
        <v>46122</v>
      </c>
      <c r="G63" t="str">
        <f>"100527"</f>
        <v>100527</v>
      </c>
      <c r="H63" t="s">
        <v>526</v>
      </c>
      <c r="I63" t="s">
        <v>8904</v>
      </c>
      <c r="J63">
        <v>1389.8</v>
      </c>
    </row>
    <row r="64" spans="1:10" x14ac:dyDescent="0.25">
      <c r="A64" t="s">
        <v>8863</v>
      </c>
      <c r="C64" t="s">
        <v>8864</v>
      </c>
      <c r="D64" t="s">
        <v>8941</v>
      </c>
      <c r="E64" t="s">
        <v>8909</v>
      </c>
      <c r="F64" s="1">
        <v>46122</v>
      </c>
      <c r="G64" t="str">
        <f>"102275"</f>
        <v>102275</v>
      </c>
      <c r="H64" t="s">
        <v>2269</v>
      </c>
      <c r="I64" t="s">
        <v>8904</v>
      </c>
      <c r="J64">
        <v>96552</v>
      </c>
    </row>
    <row r="65" spans="1:10" x14ac:dyDescent="0.25">
      <c r="A65" t="s">
        <v>8863</v>
      </c>
      <c r="C65" t="s">
        <v>8864</v>
      </c>
      <c r="D65" t="s">
        <v>8942</v>
      </c>
      <c r="E65" t="s">
        <v>8909</v>
      </c>
      <c r="F65" s="1">
        <v>46122</v>
      </c>
      <c r="G65" t="str">
        <f>"102714"</f>
        <v>102714</v>
      </c>
      <c r="H65" t="s">
        <v>2564</v>
      </c>
      <c r="I65" t="s">
        <v>8904</v>
      </c>
      <c r="J65">
        <v>8064</v>
      </c>
    </row>
    <row r="66" spans="1:10" x14ac:dyDescent="0.25">
      <c r="A66" t="s">
        <v>8863</v>
      </c>
      <c r="C66" t="s">
        <v>8864</v>
      </c>
      <c r="D66" t="s">
        <v>8943</v>
      </c>
      <c r="E66" t="s">
        <v>8909</v>
      </c>
      <c r="F66" s="1">
        <v>46122</v>
      </c>
      <c r="G66" t="str">
        <f>"102714"</f>
        <v>102714</v>
      </c>
      <c r="H66" t="s">
        <v>2564</v>
      </c>
      <c r="I66" t="s">
        <v>8904</v>
      </c>
      <c r="J66">
        <v>8064</v>
      </c>
    </row>
    <row r="67" spans="1:10" x14ac:dyDescent="0.25">
      <c r="A67" t="s">
        <v>8863</v>
      </c>
      <c r="C67" t="s">
        <v>8864</v>
      </c>
      <c r="D67" t="s">
        <v>8944</v>
      </c>
      <c r="E67" t="s">
        <v>8909</v>
      </c>
      <c r="F67" s="1">
        <v>46122</v>
      </c>
      <c r="G67" t="str">
        <f>"102714"</f>
        <v>102714</v>
      </c>
      <c r="H67" t="s">
        <v>2564</v>
      </c>
      <c r="I67" t="s">
        <v>8904</v>
      </c>
      <c r="J67">
        <v>8064</v>
      </c>
    </row>
    <row r="68" spans="1:10" x14ac:dyDescent="0.25">
      <c r="A68" t="s">
        <v>8863</v>
      </c>
      <c r="C68" t="s">
        <v>8864</v>
      </c>
      <c r="D68" t="s">
        <v>8945</v>
      </c>
      <c r="E68" t="s">
        <v>8909</v>
      </c>
      <c r="F68" s="1">
        <v>46122</v>
      </c>
      <c r="G68" t="str">
        <f>"120401"</f>
        <v>120401</v>
      </c>
      <c r="H68" t="s">
        <v>2819</v>
      </c>
      <c r="I68" t="s">
        <v>8904</v>
      </c>
      <c r="J68">
        <v>4838.3999999999996</v>
      </c>
    </row>
    <row r="69" spans="1:10" x14ac:dyDescent="0.25">
      <c r="A69" t="s">
        <v>8863</v>
      </c>
      <c r="C69" t="s">
        <v>8864</v>
      </c>
      <c r="D69" t="s">
        <v>8946</v>
      </c>
      <c r="E69" t="s">
        <v>8909</v>
      </c>
      <c r="F69" s="1">
        <v>46122</v>
      </c>
      <c r="G69" t="str">
        <f>"120401"</f>
        <v>120401</v>
      </c>
      <c r="H69" t="s">
        <v>2819</v>
      </c>
      <c r="I69" t="s">
        <v>8904</v>
      </c>
      <c r="J69">
        <v>4838.3999999999996</v>
      </c>
    </row>
    <row r="70" spans="1:10" x14ac:dyDescent="0.25">
      <c r="A70" t="s">
        <v>8863</v>
      </c>
      <c r="C70" t="s">
        <v>8864</v>
      </c>
      <c r="D70" t="s">
        <v>8947</v>
      </c>
      <c r="E70" t="s">
        <v>8909</v>
      </c>
      <c r="F70" s="1">
        <v>46123</v>
      </c>
      <c r="G70" t="str">
        <f>"100527"</f>
        <v>100527</v>
      </c>
      <c r="H70" t="s">
        <v>526</v>
      </c>
      <c r="I70" t="s">
        <v>8904</v>
      </c>
      <c r="J70">
        <v>2419.1999999999998</v>
      </c>
    </row>
    <row r="71" spans="1:10" x14ac:dyDescent="0.25">
      <c r="A71" t="s">
        <v>8863</v>
      </c>
      <c r="C71" t="s">
        <v>8864</v>
      </c>
      <c r="D71" t="s">
        <v>8948</v>
      </c>
      <c r="E71" t="s">
        <v>8909</v>
      </c>
      <c r="F71" s="1">
        <v>46123</v>
      </c>
      <c r="G71" t="str">
        <f>"102893"</f>
        <v>102893</v>
      </c>
      <c r="H71" t="s">
        <v>2742</v>
      </c>
      <c r="I71" t="s">
        <v>8904</v>
      </c>
      <c r="J71">
        <v>1814.4</v>
      </c>
    </row>
    <row r="72" spans="1:10" x14ac:dyDescent="0.25">
      <c r="A72" t="s">
        <v>8863</v>
      </c>
      <c r="C72" t="s">
        <v>8864</v>
      </c>
      <c r="D72" t="s">
        <v>8949</v>
      </c>
      <c r="E72" t="s">
        <v>8909</v>
      </c>
      <c r="F72" s="1">
        <v>46125</v>
      </c>
      <c r="G72" t="str">
        <f>"102444"</f>
        <v>102444</v>
      </c>
      <c r="H72" t="s">
        <v>2333</v>
      </c>
      <c r="I72" t="s">
        <v>8904</v>
      </c>
      <c r="J72">
        <v>3024</v>
      </c>
    </row>
    <row r="73" spans="1:10" x14ac:dyDescent="0.25">
      <c r="A73" t="s">
        <v>8863</v>
      </c>
      <c r="C73" t="s">
        <v>8864</v>
      </c>
      <c r="D73" t="s">
        <v>8950</v>
      </c>
      <c r="E73" t="s">
        <v>8909</v>
      </c>
      <c r="F73" s="1">
        <v>46125</v>
      </c>
      <c r="G73" t="str">
        <f>"102595"</f>
        <v>102595</v>
      </c>
      <c r="H73" t="s">
        <v>2449</v>
      </c>
      <c r="I73" t="s">
        <v>8904</v>
      </c>
      <c r="J73">
        <v>1814.4</v>
      </c>
    </row>
    <row r="74" spans="1:10" x14ac:dyDescent="0.25">
      <c r="A74" t="s">
        <v>8863</v>
      </c>
      <c r="C74" t="s">
        <v>8864</v>
      </c>
      <c r="D74" t="s">
        <v>8951</v>
      </c>
      <c r="E74" t="s">
        <v>8909</v>
      </c>
      <c r="F74" s="1">
        <v>46125</v>
      </c>
      <c r="G74" t="str">
        <f>"102681"</f>
        <v>102681</v>
      </c>
      <c r="H74" t="s">
        <v>2535</v>
      </c>
      <c r="I74" t="s">
        <v>8904</v>
      </c>
      <c r="J74">
        <v>4080</v>
      </c>
    </row>
    <row r="75" spans="1:10" x14ac:dyDescent="0.25">
      <c r="A75" t="s">
        <v>8863</v>
      </c>
      <c r="C75" t="s">
        <v>8864</v>
      </c>
      <c r="D75" t="s">
        <v>8952</v>
      </c>
      <c r="E75" t="s">
        <v>8909</v>
      </c>
      <c r="F75" s="1">
        <v>46125</v>
      </c>
      <c r="G75" t="str">
        <f>"102752"</f>
        <v>102752</v>
      </c>
      <c r="H75" t="s">
        <v>2602</v>
      </c>
      <c r="I75" t="s">
        <v>8904</v>
      </c>
      <c r="J75">
        <v>200032</v>
      </c>
    </row>
    <row r="76" spans="1:10" x14ac:dyDescent="0.25">
      <c r="A76" t="s">
        <v>8863</v>
      </c>
      <c r="C76" t="s">
        <v>8864</v>
      </c>
      <c r="D76" t="s">
        <v>8953</v>
      </c>
      <c r="E76" t="s">
        <v>8909</v>
      </c>
      <c r="F76" s="1">
        <v>46125</v>
      </c>
      <c r="G76" t="str">
        <f>"102765"</f>
        <v>102765</v>
      </c>
      <c r="H76" t="s">
        <v>2615</v>
      </c>
      <c r="I76" t="s">
        <v>8904</v>
      </c>
      <c r="J76">
        <v>834</v>
      </c>
    </row>
    <row r="77" spans="1:10" x14ac:dyDescent="0.25">
      <c r="A77" t="s">
        <v>8863</v>
      </c>
      <c r="C77" t="s">
        <v>8864</v>
      </c>
      <c r="D77" t="s">
        <v>8954</v>
      </c>
      <c r="E77" t="s">
        <v>8909</v>
      </c>
      <c r="F77" s="1">
        <v>46125</v>
      </c>
      <c r="G77" t="str">
        <f>"120401"</f>
        <v>120401</v>
      </c>
      <c r="H77" t="s">
        <v>2819</v>
      </c>
      <c r="I77" t="s">
        <v>8904</v>
      </c>
      <c r="J77">
        <v>3628.8</v>
      </c>
    </row>
    <row r="78" spans="1:10" x14ac:dyDescent="0.25">
      <c r="A78" t="s">
        <v>8863</v>
      </c>
      <c r="C78" t="s">
        <v>8864</v>
      </c>
      <c r="D78" t="s">
        <v>8955</v>
      </c>
      <c r="E78" t="s">
        <v>8909</v>
      </c>
      <c r="F78" s="1">
        <v>46126</v>
      </c>
      <c r="G78" t="str">
        <f>"1002873"</f>
        <v>1002873</v>
      </c>
      <c r="H78" t="s">
        <v>286</v>
      </c>
      <c r="I78" t="s">
        <v>8904</v>
      </c>
      <c r="J78">
        <v>6048</v>
      </c>
    </row>
    <row r="79" spans="1:10" x14ac:dyDescent="0.25">
      <c r="A79" t="s">
        <v>8863</v>
      </c>
      <c r="C79" t="s">
        <v>8864</v>
      </c>
      <c r="D79" t="s">
        <v>8956</v>
      </c>
      <c r="E79" t="s">
        <v>8909</v>
      </c>
      <c r="F79" s="1">
        <v>46126</v>
      </c>
      <c r="G79" t="str">
        <f>"1002873"</f>
        <v>1002873</v>
      </c>
      <c r="H79" t="s">
        <v>286</v>
      </c>
      <c r="I79" t="s">
        <v>8904</v>
      </c>
      <c r="J79">
        <v>6048</v>
      </c>
    </row>
    <row r="80" spans="1:10" x14ac:dyDescent="0.25">
      <c r="A80" t="s">
        <v>8863</v>
      </c>
      <c r="C80" t="s">
        <v>8864</v>
      </c>
      <c r="D80" t="s">
        <v>8957</v>
      </c>
      <c r="E80" t="s">
        <v>8909</v>
      </c>
      <c r="F80" s="1">
        <v>46126</v>
      </c>
      <c r="G80" t="str">
        <f>"100296"</f>
        <v>100296</v>
      </c>
      <c r="H80" t="s">
        <v>295</v>
      </c>
      <c r="I80" t="s">
        <v>8904</v>
      </c>
      <c r="J80">
        <v>12600</v>
      </c>
    </row>
    <row r="81" spans="1:10" x14ac:dyDescent="0.25">
      <c r="A81" t="s">
        <v>8863</v>
      </c>
      <c r="C81" t="s">
        <v>8864</v>
      </c>
      <c r="D81" t="s">
        <v>8958</v>
      </c>
      <c r="E81" t="s">
        <v>8909</v>
      </c>
      <c r="F81" s="1">
        <v>46126</v>
      </c>
      <c r="G81" t="str">
        <f>"102066"</f>
        <v>102066</v>
      </c>
      <c r="H81" t="s">
        <v>2061</v>
      </c>
      <c r="I81" t="s">
        <v>8904</v>
      </c>
      <c r="J81">
        <v>1791.3</v>
      </c>
    </row>
    <row r="82" spans="1:10" x14ac:dyDescent="0.25">
      <c r="A82" t="s">
        <v>8863</v>
      </c>
      <c r="C82" t="s">
        <v>8864</v>
      </c>
      <c r="D82" t="s">
        <v>8959</v>
      </c>
      <c r="E82" t="s">
        <v>8909</v>
      </c>
      <c r="F82" s="1">
        <v>46126</v>
      </c>
      <c r="G82" t="str">
        <f>"102275"</f>
        <v>102275</v>
      </c>
      <c r="H82" t="s">
        <v>2269</v>
      </c>
      <c r="I82" t="s">
        <v>8904</v>
      </c>
      <c r="J82">
        <v>11880</v>
      </c>
    </row>
    <row r="83" spans="1:10" x14ac:dyDescent="0.25">
      <c r="A83" t="s">
        <v>8863</v>
      </c>
      <c r="C83" t="s">
        <v>8864</v>
      </c>
      <c r="D83" t="s">
        <v>8960</v>
      </c>
      <c r="E83" t="s">
        <v>8907</v>
      </c>
      <c r="F83" s="1">
        <v>46126</v>
      </c>
      <c r="G83" t="str">
        <f>"120318"</f>
        <v>120318</v>
      </c>
      <c r="H83" t="s">
        <v>2793</v>
      </c>
      <c r="I83" t="s">
        <v>8904</v>
      </c>
      <c r="J83">
        <v>385131.6</v>
      </c>
    </row>
    <row r="84" spans="1:10" x14ac:dyDescent="0.25">
      <c r="A84" t="s">
        <v>8863</v>
      </c>
      <c r="C84" t="s">
        <v>8864</v>
      </c>
      <c r="D84" t="s">
        <v>8961</v>
      </c>
      <c r="E84" t="s">
        <v>8909</v>
      </c>
      <c r="F84" s="1">
        <v>46126</v>
      </c>
      <c r="G84" t="str">
        <f>"120401"</f>
        <v>120401</v>
      </c>
      <c r="H84" t="s">
        <v>2819</v>
      </c>
      <c r="I84" t="s">
        <v>8904</v>
      </c>
      <c r="J84">
        <v>3628.8</v>
      </c>
    </row>
    <row r="85" spans="1:10" x14ac:dyDescent="0.25">
      <c r="A85" t="s">
        <v>8863</v>
      </c>
      <c r="C85" t="s">
        <v>8864</v>
      </c>
      <c r="D85" t="s">
        <v>8962</v>
      </c>
      <c r="E85" t="s">
        <v>8909</v>
      </c>
      <c r="F85" s="1">
        <v>46127</v>
      </c>
      <c r="G85" t="str">
        <f>"100274"</f>
        <v>100274</v>
      </c>
      <c r="H85" t="s">
        <v>272</v>
      </c>
      <c r="I85" t="s">
        <v>8904</v>
      </c>
      <c r="J85">
        <v>28004.16</v>
      </c>
    </row>
    <row r="86" spans="1:10" x14ac:dyDescent="0.25">
      <c r="A86" t="s">
        <v>8863</v>
      </c>
      <c r="C86" t="s">
        <v>8864</v>
      </c>
      <c r="D86" t="s">
        <v>8963</v>
      </c>
      <c r="E86" t="s">
        <v>8909</v>
      </c>
      <c r="F86" s="1">
        <v>46127</v>
      </c>
      <c r="G86" t="str">
        <f>"102632"</f>
        <v>102632</v>
      </c>
      <c r="H86" t="s">
        <v>2486</v>
      </c>
      <c r="I86" t="s">
        <v>8904</v>
      </c>
      <c r="J86">
        <v>28080</v>
      </c>
    </row>
    <row r="87" spans="1:10" x14ac:dyDescent="0.25">
      <c r="A87" t="s">
        <v>8863</v>
      </c>
      <c r="C87" t="s">
        <v>8864</v>
      </c>
      <c r="D87" t="s">
        <v>8964</v>
      </c>
      <c r="E87" t="s">
        <v>8909</v>
      </c>
      <c r="F87" s="1">
        <v>46127</v>
      </c>
      <c r="G87" t="str">
        <f>"102913"</f>
        <v>102913</v>
      </c>
      <c r="H87" t="s">
        <v>2763</v>
      </c>
      <c r="I87" t="s">
        <v>8904</v>
      </c>
      <c r="J87">
        <v>383234.4</v>
      </c>
    </row>
    <row r="88" spans="1:10" x14ac:dyDescent="0.25">
      <c r="A88" t="s">
        <v>8863</v>
      </c>
      <c r="C88" t="s">
        <v>8864</v>
      </c>
      <c r="D88" t="s">
        <v>8965</v>
      </c>
      <c r="E88" t="s">
        <v>8909</v>
      </c>
      <c r="F88" s="1">
        <v>46127</v>
      </c>
      <c r="G88" t="str">
        <f>"102935"</f>
        <v>102935</v>
      </c>
      <c r="H88" t="s">
        <v>2785</v>
      </c>
      <c r="I88" t="s">
        <v>8904</v>
      </c>
      <c r="J88">
        <v>30180</v>
      </c>
    </row>
    <row r="89" spans="1:10" x14ac:dyDescent="0.25">
      <c r="A89" t="s">
        <v>8863</v>
      </c>
      <c r="C89" t="s">
        <v>8864</v>
      </c>
      <c r="D89" t="s">
        <v>8966</v>
      </c>
      <c r="E89" t="s">
        <v>8967</v>
      </c>
      <c r="F89" s="1">
        <v>46128</v>
      </c>
      <c r="G89" t="str">
        <f>"100099"</f>
        <v>100099</v>
      </c>
      <c r="H89" t="s">
        <v>100</v>
      </c>
      <c r="I89" t="s">
        <v>8904</v>
      </c>
      <c r="J89">
        <v>60000</v>
      </c>
    </row>
    <row r="90" spans="1:10" x14ac:dyDescent="0.25">
      <c r="A90" t="s">
        <v>8863</v>
      </c>
      <c r="C90" t="s">
        <v>8864</v>
      </c>
      <c r="D90" t="s">
        <v>8968</v>
      </c>
      <c r="E90" t="s">
        <v>8969</v>
      </c>
      <c r="F90" s="1">
        <v>46128</v>
      </c>
      <c r="G90" t="str">
        <f>"102740"</f>
        <v>102740</v>
      </c>
      <c r="H90" t="s">
        <v>2590</v>
      </c>
      <c r="I90" t="s">
        <v>8904</v>
      </c>
      <c r="J90">
        <v>396514.8</v>
      </c>
    </row>
    <row r="91" spans="1:10" x14ac:dyDescent="0.25">
      <c r="A91" t="s">
        <v>8863</v>
      </c>
      <c r="C91" t="s">
        <v>8864</v>
      </c>
      <c r="D91" t="s">
        <v>8970</v>
      </c>
      <c r="E91" t="s">
        <v>8909</v>
      </c>
      <c r="F91" s="1">
        <v>46128</v>
      </c>
      <c r="G91" t="str">
        <f>"102930"</f>
        <v>102930</v>
      </c>
      <c r="H91" t="s">
        <v>2780</v>
      </c>
      <c r="I91" t="s">
        <v>8904</v>
      </c>
      <c r="J91">
        <v>9619.2000000000007</v>
      </c>
    </row>
    <row r="92" spans="1:10" x14ac:dyDescent="0.25">
      <c r="A92" t="s">
        <v>8863</v>
      </c>
      <c r="C92" t="s">
        <v>8864</v>
      </c>
      <c r="D92" t="s">
        <v>8971</v>
      </c>
      <c r="E92" t="s">
        <v>8909</v>
      </c>
      <c r="F92" s="1">
        <v>46128</v>
      </c>
      <c r="G92" t="str">
        <f>"120401"</f>
        <v>120401</v>
      </c>
      <c r="H92" t="s">
        <v>2819</v>
      </c>
      <c r="I92" t="s">
        <v>8904</v>
      </c>
      <c r="J92">
        <v>6048</v>
      </c>
    </row>
    <row r="93" spans="1:10" x14ac:dyDescent="0.25">
      <c r="A93" t="s">
        <v>8863</v>
      </c>
      <c r="C93" t="s">
        <v>8864</v>
      </c>
      <c r="D93" t="s">
        <v>8972</v>
      </c>
      <c r="E93" t="s">
        <v>8909</v>
      </c>
      <c r="F93" s="1">
        <v>46129</v>
      </c>
      <c r="G93" t="str">
        <f>"100097"</f>
        <v>100097</v>
      </c>
      <c r="H93" t="s">
        <v>98</v>
      </c>
      <c r="I93" t="s">
        <v>8904</v>
      </c>
      <c r="J93">
        <v>1389.8</v>
      </c>
    </row>
    <row r="94" spans="1:10" x14ac:dyDescent="0.25">
      <c r="A94" t="s">
        <v>8863</v>
      </c>
      <c r="C94" t="s">
        <v>8864</v>
      </c>
      <c r="D94" t="s">
        <v>8973</v>
      </c>
      <c r="E94" t="s">
        <v>8909</v>
      </c>
      <c r="F94" s="1">
        <v>46129</v>
      </c>
      <c r="G94" t="str">
        <f>"1002873"</f>
        <v>1002873</v>
      </c>
      <c r="H94" t="s">
        <v>286</v>
      </c>
      <c r="I94" t="s">
        <v>8904</v>
      </c>
      <c r="J94">
        <v>2419.1999999999998</v>
      </c>
    </row>
    <row r="95" spans="1:10" x14ac:dyDescent="0.25">
      <c r="A95" t="s">
        <v>8863</v>
      </c>
      <c r="C95" t="s">
        <v>8864</v>
      </c>
      <c r="D95" t="s">
        <v>8974</v>
      </c>
      <c r="E95" t="s">
        <v>8909</v>
      </c>
      <c r="F95" s="1">
        <v>46129</v>
      </c>
      <c r="G95" t="str">
        <f>"100527"</f>
        <v>100527</v>
      </c>
      <c r="H95" t="s">
        <v>526</v>
      </c>
      <c r="I95" t="s">
        <v>8904</v>
      </c>
      <c r="J95">
        <v>2419.1999999999998</v>
      </c>
    </row>
    <row r="96" spans="1:10" x14ac:dyDescent="0.25">
      <c r="A96" t="s">
        <v>8863</v>
      </c>
      <c r="C96" t="s">
        <v>8864</v>
      </c>
      <c r="D96" t="s">
        <v>8975</v>
      </c>
      <c r="E96" t="s">
        <v>8909</v>
      </c>
      <c r="F96" s="1">
        <v>46129</v>
      </c>
      <c r="G96" t="str">
        <f>"102592"</f>
        <v>102592</v>
      </c>
      <c r="H96" t="s">
        <v>2446</v>
      </c>
      <c r="I96" t="s">
        <v>8904</v>
      </c>
      <c r="J96">
        <v>416302.59600000002</v>
      </c>
    </row>
    <row r="97" spans="1:10" x14ac:dyDescent="0.25">
      <c r="A97" t="s">
        <v>8863</v>
      </c>
      <c r="C97" t="s">
        <v>8864</v>
      </c>
      <c r="D97" t="s">
        <v>8976</v>
      </c>
      <c r="E97" t="s">
        <v>8909</v>
      </c>
      <c r="F97" s="1">
        <v>46129</v>
      </c>
      <c r="G97" t="str">
        <f>"102832"</f>
        <v>102832</v>
      </c>
      <c r="H97" t="s">
        <v>2682</v>
      </c>
      <c r="I97" t="s">
        <v>8904</v>
      </c>
      <c r="J97">
        <v>181361.16</v>
      </c>
    </row>
    <row r="98" spans="1:10" x14ac:dyDescent="0.25">
      <c r="A98" t="s">
        <v>8863</v>
      </c>
      <c r="C98" t="s">
        <v>8864</v>
      </c>
      <c r="D98" t="s">
        <v>8977</v>
      </c>
      <c r="E98" t="s">
        <v>8909</v>
      </c>
      <c r="F98" s="1">
        <v>46132</v>
      </c>
      <c r="G98" t="str">
        <f>"100094"</f>
        <v>100094</v>
      </c>
      <c r="H98" t="s">
        <v>95</v>
      </c>
      <c r="I98" t="s">
        <v>8904</v>
      </c>
      <c r="J98">
        <v>8675</v>
      </c>
    </row>
    <row r="99" spans="1:10" x14ac:dyDescent="0.25">
      <c r="A99" t="s">
        <v>8863</v>
      </c>
      <c r="C99" t="s">
        <v>8864</v>
      </c>
      <c r="D99" t="s">
        <v>8978</v>
      </c>
      <c r="E99" t="s">
        <v>8909</v>
      </c>
      <c r="F99" s="1">
        <v>46132</v>
      </c>
      <c r="G99" t="str">
        <f>"1002873"</f>
        <v>1002873</v>
      </c>
      <c r="H99" t="s">
        <v>286</v>
      </c>
      <c r="I99" t="s">
        <v>8904</v>
      </c>
      <c r="J99">
        <v>3024</v>
      </c>
    </row>
    <row r="100" spans="1:10" x14ac:dyDescent="0.25">
      <c r="A100" t="s">
        <v>8863</v>
      </c>
      <c r="C100" t="s">
        <v>8864</v>
      </c>
      <c r="D100" t="s">
        <v>8979</v>
      </c>
      <c r="E100" t="s">
        <v>8909</v>
      </c>
      <c r="F100" s="1">
        <v>46132</v>
      </c>
      <c r="G100" t="str">
        <f>"100291"</f>
        <v>100291</v>
      </c>
      <c r="H100" t="s">
        <v>290</v>
      </c>
      <c r="I100" t="s">
        <v>8904</v>
      </c>
      <c r="J100">
        <v>3625.85</v>
      </c>
    </row>
    <row r="101" spans="1:10" x14ac:dyDescent="0.25">
      <c r="A101" t="s">
        <v>8863</v>
      </c>
      <c r="C101" t="s">
        <v>8864</v>
      </c>
      <c r="D101" t="s">
        <v>8980</v>
      </c>
      <c r="E101" t="s">
        <v>8909</v>
      </c>
      <c r="F101" s="1">
        <v>46132</v>
      </c>
      <c r="G101" t="str">
        <f>"100296"</f>
        <v>100296</v>
      </c>
      <c r="H101" t="s">
        <v>295</v>
      </c>
      <c r="I101" t="s">
        <v>8904</v>
      </c>
      <c r="J101">
        <v>5100</v>
      </c>
    </row>
    <row r="102" spans="1:10" x14ac:dyDescent="0.25">
      <c r="A102" t="s">
        <v>8863</v>
      </c>
      <c r="C102" t="s">
        <v>8864</v>
      </c>
      <c r="D102" t="s">
        <v>8981</v>
      </c>
      <c r="E102" t="s">
        <v>8909</v>
      </c>
      <c r="F102" s="1">
        <v>46132</v>
      </c>
      <c r="G102" t="str">
        <f>"100527"</f>
        <v>100527</v>
      </c>
      <c r="H102" t="s">
        <v>526</v>
      </c>
      <c r="I102" t="s">
        <v>8904</v>
      </c>
      <c r="J102">
        <v>3024</v>
      </c>
    </row>
    <row r="103" spans="1:10" x14ac:dyDescent="0.25">
      <c r="A103" t="s">
        <v>8863</v>
      </c>
      <c r="C103" t="s">
        <v>8864</v>
      </c>
      <c r="D103" t="s">
        <v>8982</v>
      </c>
      <c r="E103" t="s">
        <v>8909</v>
      </c>
      <c r="F103" s="1">
        <v>46132</v>
      </c>
      <c r="G103" t="str">
        <f>"102275"</f>
        <v>102275</v>
      </c>
      <c r="H103" t="s">
        <v>2269</v>
      </c>
      <c r="I103" t="s">
        <v>8904</v>
      </c>
      <c r="J103">
        <v>100985.95</v>
      </c>
    </row>
    <row r="104" spans="1:10" x14ac:dyDescent="0.25">
      <c r="A104" t="s">
        <v>8863</v>
      </c>
      <c r="C104" t="s">
        <v>8864</v>
      </c>
      <c r="D104" t="s">
        <v>8983</v>
      </c>
      <c r="E104" t="s">
        <v>8969</v>
      </c>
      <c r="F104" s="1">
        <v>46132</v>
      </c>
      <c r="G104" t="str">
        <f>"102914"</f>
        <v>102914</v>
      </c>
      <c r="H104" t="s">
        <v>2764</v>
      </c>
      <c r="I104" t="s">
        <v>8904</v>
      </c>
      <c r="J104">
        <v>383234.4</v>
      </c>
    </row>
    <row r="105" spans="1:10" x14ac:dyDescent="0.25">
      <c r="A105" t="s">
        <v>8863</v>
      </c>
      <c r="C105" t="s">
        <v>8864</v>
      </c>
      <c r="D105" t="s">
        <v>8984</v>
      </c>
      <c r="E105" t="s">
        <v>8985</v>
      </c>
      <c r="F105" s="1">
        <v>46132</v>
      </c>
      <c r="G105" t="str">
        <f>"120317"</f>
        <v>120317</v>
      </c>
      <c r="H105" t="s">
        <v>2792</v>
      </c>
      <c r="I105" t="s">
        <v>8904</v>
      </c>
      <c r="J105">
        <v>28000</v>
      </c>
    </row>
    <row r="106" spans="1:10" x14ac:dyDescent="0.25">
      <c r="A106" t="s">
        <v>8863</v>
      </c>
      <c r="C106" t="s">
        <v>8864</v>
      </c>
      <c r="D106" t="s">
        <v>8986</v>
      </c>
      <c r="E106" t="s">
        <v>8909</v>
      </c>
      <c r="F106" s="1">
        <v>46132</v>
      </c>
      <c r="G106" t="str">
        <f>"120388"</f>
        <v>120388</v>
      </c>
      <c r="H106" t="s">
        <v>2815</v>
      </c>
      <c r="I106" t="s">
        <v>8904</v>
      </c>
      <c r="J106">
        <v>2132.319</v>
      </c>
    </row>
    <row r="107" spans="1:10" x14ac:dyDescent="0.25">
      <c r="A107" t="s">
        <v>8863</v>
      </c>
      <c r="C107" t="s">
        <v>8864</v>
      </c>
      <c r="D107" t="s">
        <v>8987</v>
      </c>
      <c r="E107" t="s">
        <v>8909</v>
      </c>
      <c r="F107" s="1">
        <v>46133</v>
      </c>
      <c r="G107" t="str">
        <f>"100502"</f>
        <v>100502</v>
      </c>
      <c r="H107" t="s">
        <v>501</v>
      </c>
      <c r="I107" t="s">
        <v>8904</v>
      </c>
      <c r="J107">
        <v>785</v>
      </c>
    </row>
    <row r="108" spans="1:10" x14ac:dyDescent="0.25">
      <c r="A108" t="s">
        <v>8863</v>
      </c>
      <c r="C108" t="s">
        <v>8864</v>
      </c>
      <c r="D108" t="s">
        <v>8988</v>
      </c>
      <c r="E108" t="s">
        <v>8989</v>
      </c>
      <c r="F108" s="1">
        <v>46133</v>
      </c>
      <c r="G108" t="str">
        <f>"102169"</f>
        <v>102169</v>
      </c>
      <c r="H108" t="s">
        <v>2161</v>
      </c>
      <c r="I108" t="s">
        <v>8904</v>
      </c>
      <c r="J108">
        <v>7950</v>
      </c>
    </row>
    <row r="109" spans="1:10" x14ac:dyDescent="0.25">
      <c r="A109" t="s">
        <v>8863</v>
      </c>
      <c r="C109" t="s">
        <v>8864</v>
      </c>
      <c r="D109" t="s">
        <v>8990</v>
      </c>
      <c r="E109" t="s">
        <v>8909</v>
      </c>
      <c r="F109" s="1">
        <v>46133</v>
      </c>
      <c r="G109" t="str">
        <f>"102444"</f>
        <v>102444</v>
      </c>
      <c r="H109" t="s">
        <v>2333</v>
      </c>
      <c r="I109" t="s">
        <v>8904</v>
      </c>
      <c r="J109">
        <v>3024</v>
      </c>
    </row>
    <row r="110" spans="1:10" x14ac:dyDescent="0.25">
      <c r="A110" t="s">
        <v>8863</v>
      </c>
      <c r="C110" t="s">
        <v>8864</v>
      </c>
      <c r="D110" t="s">
        <v>8991</v>
      </c>
      <c r="E110" t="s">
        <v>8992</v>
      </c>
      <c r="F110" s="1">
        <v>46133</v>
      </c>
      <c r="G110" t="str">
        <f>"102860"</f>
        <v>102860</v>
      </c>
      <c r="H110" t="s">
        <v>2709</v>
      </c>
      <c r="I110" t="s">
        <v>8904</v>
      </c>
      <c r="J110">
        <v>235831.32</v>
      </c>
    </row>
    <row r="111" spans="1:10" x14ac:dyDescent="0.25">
      <c r="A111" t="s">
        <v>8863</v>
      </c>
      <c r="C111" t="s">
        <v>8864</v>
      </c>
      <c r="D111" t="s">
        <v>8993</v>
      </c>
      <c r="E111" t="s">
        <v>8909</v>
      </c>
      <c r="F111" s="1">
        <v>46134</v>
      </c>
      <c r="G111" t="str">
        <f>"101581"</f>
        <v>101581</v>
      </c>
      <c r="H111" t="s">
        <v>1577</v>
      </c>
      <c r="I111" t="s">
        <v>8904</v>
      </c>
      <c r="J111">
        <v>1276.2</v>
      </c>
    </row>
    <row r="112" spans="1:10" x14ac:dyDescent="0.25">
      <c r="A112" t="s">
        <v>8863</v>
      </c>
      <c r="C112" t="s">
        <v>8864</v>
      </c>
      <c r="D112" t="s">
        <v>8994</v>
      </c>
      <c r="E112" t="s">
        <v>8909</v>
      </c>
      <c r="F112" s="1">
        <v>46135</v>
      </c>
      <c r="G112" t="str">
        <f>"101172"</f>
        <v>101172</v>
      </c>
      <c r="H112" t="s">
        <v>1169</v>
      </c>
      <c r="I112" t="s">
        <v>8904</v>
      </c>
      <c r="J112">
        <v>153912</v>
      </c>
    </row>
    <row r="113" spans="1:10" x14ac:dyDescent="0.25">
      <c r="A113" t="s">
        <v>8863</v>
      </c>
      <c r="C113" t="s">
        <v>8901</v>
      </c>
      <c r="D113" t="s">
        <v>8995</v>
      </c>
      <c r="E113" t="s">
        <v>8909</v>
      </c>
      <c r="F113" s="1">
        <v>46135</v>
      </c>
      <c r="G113" t="str">
        <f>"102229"</f>
        <v>102229</v>
      </c>
      <c r="H113" t="s">
        <v>2221</v>
      </c>
      <c r="I113" t="s">
        <v>8904</v>
      </c>
      <c r="J113">
        <v>3921.6</v>
      </c>
    </row>
    <row r="114" spans="1:10" x14ac:dyDescent="0.25">
      <c r="A114" t="s">
        <v>8863</v>
      </c>
      <c r="C114" t="s">
        <v>8901</v>
      </c>
      <c r="D114" t="s">
        <v>8996</v>
      </c>
      <c r="E114" t="s">
        <v>8997</v>
      </c>
      <c r="F114" s="1">
        <v>46135</v>
      </c>
      <c r="G114" t="str">
        <f>"102592"</f>
        <v>102592</v>
      </c>
      <c r="H114" t="s">
        <v>2446</v>
      </c>
      <c r="I114" t="s">
        <v>8904</v>
      </c>
      <c r="J114">
        <v>136450.53140000001</v>
      </c>
    </row>
    <row r="115" spans="1:10" x14ac:dyDescent="0.25">
      <c r="A115" t="s">
        <v>8890</v>
      </c>
      <c r="C115" t="s">
        <v>8864</v>
      </c>
      <c r="D115" t="s">
        <v>8998</v>
      </c>
      <c r="E115" t="s">
        <v>8999</v>
      </c>
      <c r="F115" s="1">
        <v>46135</v>
      </c>
      <c r="G115" t="str">
        <f>"102592"</f>
        <v>102592</v>
      </c>
      <c r="H115" t="s">
        <v>2446</v>
      </c>
      <c r="I115" t="s">
        <v>8904</v>
      </c>
      <c r="J115">
        <v>136450.53140000001</v>
      </c>
    </row>
    <row r="116" spans="1:10" x14ac:dyDescent="0.25">
      <c r="A116" t="s">
        <v>8863</v>
      </c>
      <c r="C116" t="s">
        <v>8864</v>
      </c>
      <c r="D116" t="s">
        <v>9000</v>
      </c>
      <c r="E116" t="s">
        <v>8909</v>
      </c>
      <c r="F116" s="1">
        <v>46135</v>
      </c>
      <c r="G116" t="str">
        <f>"102595"</f>
        <v>102595</v>
      </c>
      <c r="H116" t="s">
        <v>2449</v>
      </c>
      <c r="I116" t="s">
        <v>8904</v>
      </c>
      <c r="J116">
        <v>1814.4</v>
      </c>
    </row>
    <row r="117" spans="1:10" x14ac:dyDescent="0.25">
      <c r="A117" t="s">
        <v>8863</v>
      </c>
      <c r="C117" t="s">
        <v>8901</v>
      </c>
      <c r="D117" t="s">
        <v>9001</v>
      </c>
      <c r="E117" t="s">
        <v>9002</v>
      </c>
      <c r="F117" s="1">
        <v>46135</v>
      </c>
      <c r="G117" t="str">
        <f>"120317"</f>
        <v>120317</v>
      </c>
      <c r="H117" t="s">
        <v>2792</v>
      </c>
      <c r="I117" t="s">
        <v>8904</v>
      </c>
      <c r="J117">
        <v>28000</v>
      </c>
    </row>
    <row r="118" spans="1:10" x14ac:dyDescent="0.25">
      <c r="A118" t="s">
        <v>8863</v>
      </c>
      <c r="C118" t="s">
        <v>8901</v>
      </c>
      <c r="D118" t="s">
        <v>9003</v>
      </c>
      <c r="E118" t="s">
        <v>8909</v>
      </c>
      <c r="F118" s="1">
        <v>46136</v>
      </c>
      <c r="G118" t="str">
        <f>"101720"</f>
        <v>101720</v>
      </c>
      <c r="H118" t="s">
        <v>1716</v>
      </c>
      <c r="I118" t="s">
        <v>8904</v>
      </c>
      <c r="J118">
        <v>1391.2</v>
      </c>
    </row>
    <row r="119" spans="1:10" x14ac:dyDescent="0.25">
      <c r="A119" t="s">
        <v>8863</v>
      </c>
      <c r="C119" t="s">
        <v>8901</v>
      </c>
      <c r="D119" t="s">
        <v>9004</v>
      </c>
      <c r="E119" t="s">
        <v>9005</v>
      </c>
      <c r="F119" s="1">
        <v>46136</v>
      </c>
      <c r="G119" t="str">
        <f>"102592"</f>
        <v>102592</v>
      </c>
      <c r="H119" t="s">
        <v>2446</v>
      </c>
      <c r="I119" t="s">
        <v>8904</v>
      </c>
      <c r="J119">
        <v>404103.6</v>
      </c>
    </row>
    <row r="120" spans="1:10" x14ac:dyDescent="0.25">
      <c r="A120" t="s">
        <v>8863</v>
      </c>
      <c r="C120" t="s">
        <v>8901</v>
      </c>
      <c r="D120" t="s">
        <v>9006</v>
      </c>
      <c r="E120" t="s">
        <v>8909</v>
      </c>
      <c r="F120" s="1">
        <v>46136</v>
      </c>
      <c r="G120" t="str">
        <f>"102681"</f>
        <v>102681</v>
      </c>
      <c r="H120" t="s">
        <v>2535</v>
      </c>
      <c r="I120" t="s">
        <v>8904</v>
      </c>
      <c r="J120">
        <v>2232</v>
      </c>
    </row>
    <row r="121" spans="1:10" x14ac:dyDescent="0.25">
      <c r="A121" t="s">
        <v>8863</v>
      </c>
      <c r="C121" t="s">
        <v>8901</v>
      </c>
      <c r="D121" t="s">
        <v>9007</v>
      </c>
      <c r="E121" t="s">
        <v>8909</v>
      </c>
      <c r="F121" s="1">
        <v>46136</v>
      </c>
      <c r="G121" t="str">
        <f>"102798"</f>
        <v>102798</v>
      </c>
      <c r="H121" t="s">
        <v>2648</v>
      </c>
      <c r="I121" t="s">
        <v>8904</v>
      </c>
      <c r="J121">
        <v>15156</v>
      </c>
    </row>
    <row r="122" spans="1:10" x14ac:dyDescent="0.25">
      <c r="A122" t="s">
        <v>8863</v>
      </c>
      <c r="C122" t="s">
        <v>8901</v>
      </c>
      <c r="D122" t="s">
        <v>9008</v>
      </c>
      <c r="E122" t="s">
        <v>8909</v>
      </c>
      <c r="F122" s="1">
        <v>46136</v>
      </c>
      <c r="G122" t="str">
        <f>"102909"</f>
        <v>102909</v>
      </c>
      <c r="H122" t="s">
        <v>2759</v>
      </c>
      <c r="I122" t="s">
        <v>8904</v>
      </c>
      <c r="J122">
        <v>901</v>
      </c>
    </row>
    <row r="123" spans="1:10" x14ac:dyDescent="0.25">
      <c r="A123" t="s">
        <v>8863</v>
      </c>
      <c r="C123" t="s">
        <v>8901</v>
      </c>
      <c r="D123" t="s">
        <v>9009</v>
      </c>
      <c r="E123" t="s">
        <v>8909</v>
      </c>
      <c r="F123" s="1">
        <v>46136</v>
      </c>
      <c r="G123" t="str">
        <f>"120378"</f>
        <v>120378</v>
      </c>
      <c r="H123" t="s">
        <v>2805</v>
      </c>
      <c r="I123" t="s">
        <v>8904</v>
      </c>
      <c r="J123">
        <v>1470.6</v>
      </c>
    </row>
    <row r="124" spans="1:10" x14ac:dyDescent="0.25">
      <c r="A124" t="s">
        <v>8863</v>
      </c>
      <c r="C124" t="s">
        <v>8901</v>
      </c>
      <c r="D124" t="s">
        <v>9010</v>
      </c>
      <c r="E124" t="s">
        <v>8909</v>
      </c>
      <c r="F124" s="1">
        <v>46136</v>
      </c>
      <c r="G124" t="str">
        <f>"120401"</f>
        <v>120401</v>
      </c>
      <c r="H124" t="s">
        <v>2819</v>
      </c>
      <c r="I124" t="s">
        <v>8904</v>
      </c>
      <c r="J124">
        <v>3628.8</v>
      </c>
    </row>
    <row r="125" spans="1:10" x14ac:dyDescent="0.25">
      <c r="A125" t="s">
        <v>8863</v>
      </c>
      <c r="C125" t="s">
        <v>8901</v>
      </c>
      <c r="D125" t="s">
        <v>9011</v>
      </c>
      <c r="E125" t="s">
        <v>8909</v>
      </c>
      <c r="F125" s="1">
        <v>46137</v>
      </c>
      <c r="G125" t="str">
        <f>"102602"</f>
        <v>102602</v>
      </c>
      <c r="H125" t="s">
        <v>2456</v>
      </c>
      <c r="I125" t="s">
        <v>8904</v>
      </c>
      <c r="J125">
        <v>2700</v>
      </c>
    </row>
    <row r="126" spans="1:10" x14ac:dyDescent="0.25">
      <c r="A126" t="s">
        <v>8863</v>
      </c>
      <c r="C126" t="s">
        <v>8901</v>
      </c>
      <c r="D126" t="s">
        <v>9012</v>
      </c>
      <c r="E126" t="s">
        <v>9013</v>
      </c>
      <c r="F126" s="1">
        <v>46137</v>
      </c>
      <c r="G126" t="str">
        <f>"120317"</f>
        <v>120317</v>
      </c>
      <c r="H126" t="s">
        <v>2792</v>
      </c>
      <c r="I126" t="s">
        <v>8904</v>
      </c>
      <c r="J126">
        <v>1800</v>
      </c>
    </row>
    <row r="127" spans="1:10" x14ac:dyDescent="0.25">
      <c r="A127" t="s">
        <v>8863</v>
      </c>
      <c r="C127" t="s">
        <v>8901</v>
      </c>
      <c r="D127" t="s">
        <v>9014</v>
      </c>
      <c r="E127" t="s">
        <v>8909</v>
      </c>
      <c r="F127" s="1">
        <v>46139</v>
      </c>
      <c r="G127" t="str">
        <f>"100113"</f>
        <v>100113</v>
      </c>
      <c r="H127" t="s">
        <v>114</v>
      </c>
      <c r="I127" t="s">
        <v>8904</v>
      </c>
      <c r="J127">
        <v>785</v>
      </c>
    </row>
    <row r="128" spans="1:10" x14ac:dyDescent="0.25">
      <c r="A128" t="s">
        <v>8863</v>
      </c>
      <c r="C128" t="s">
        <v>8901</v>
      </c>
      <c r="D128" t="s">
        <v>9015</v>
      </c>
      <c r="E128" t="s">
        <v>8909</v>
      </c>
      <c r="F128" s="1">
        <v>46139</v>
      </c>
      <c r="G128" t="str">
        <f>"1002873"</f>
        <v>1002873</v>
      </c>
      <c r="H128" t="s">
        <v>286</v>
      </c>
      <c r="I128" t="s">
        <v>8904</v>
      </c>
      <c r="J128">
        <v>6048</v>
      </c>
    </row>
    <row r="129" spans="1:10" x14ac:dyDescent="0.25">
      <c r="A129" t="s">
        <v>8863</v>
      </c>
      <c r="C129" t="s">
        <v>8901</v>
      </c>
      <c r="D129" t="s">
        <v>9016</v>
      </c>
      <c r="E129" t="s">
        <v>8909</v>
      </c>
      <c r="F129" s="1">
        <v>46139</v>
      </c>
      <c r="G129" t="str">
        <f>"1002873"</f>
        <v>1002873</v>
      </c>
      <c r="H129" t="s">
        <v>286</v>
      </c>
      <c r="I129" t="s">
        <v>8904</v>
      </c>
      <c r="J129">
        <v>6048</v>
      </c>
    </row>
    <row r="130" spans="1:10" x14ac:dyDescent="0.25">
      <c r="A130" t="s">
        <v>8863</v>
      </c>
      <c r="C130" t="s">
        <v>8901</v>
      </c>
      <c r="D130" t="s">
        <v>9017</v>
      </c>
      <c r="E130" t="s">
        <v>8909</v>
      </c>
      <c r="F130" s="1">
        <v>46139</v>
      </c>
      <c r="G130" t="str">
        <f>"100323"</f>
        <v>100323</v>
      </c>
      <c r="H130" t="s">
        <v>322</v>
      </c>
      <c r="I130" t="s">
        <v>8904</v>
      </c>
      <c r="J130">
        <v>4655.6499999999996</v>
      </c>
    </row>
    <row r="131" spans="1:10" x14ac:dyDescent="0.25">
      <c r="A131" t="s">
        <v>8863</v>
      </c>
      <c r="C131" t="s">
        <v>8901</v>
      </c>
      <c r="D131" t="s">
        <v>9018</v>
      </c>
      <c r="E131" t="s">
        <v>8909</v>
      </c>
      <c r="F131" s="1">
        <v>46139</v>
      </c>
      <c r="G131" t="str">
        <f>"100527"</f>
        <v>100527</v>
      </c>
      <c r="H131" t="s">
        <v>526</v>
      </c>
      <c r="I131" t="s">
        <v>8904</v>
      </c>
      <c r="J131">
        <v>1814.4</v>
      </c>
    </row>
    <row r="132" spans="1:10" x14ac:dyDescent="0.25">
      <c r="A132" t="s">
        <v>8863</v>
      </c>
      <c r="C132" t="s">
        <v>8901</v>
      </c>
      <c r="D132" t="s">
        <v>9019</v>
      </c>
      <c r="E132" t="s">
        <v>8909</v>
      </c>
      <c r="F132" s="1">
        <v>46139</v>
      </c>
      <c r="G132" t="str">
        <f>"102444"</f>
        <v>102444</v>
      </c>
      <c r="H132" t="s">
        <v>2333</v>
      </c>
      <c r="I132" t="s">
        <v>8904</v>
      </c>
      <c r="J132">
        <v>6048</v>
      </c>
    </row>
    <row r="133" spans="1:10" x14ac:dyDescent="0.25">
      <c r="A133" t="s">
        <v>8863</v>
      </c>
      <c r="C133" t="s">
        <v>8901</v>
      </c>
      <c r="D133" t="s">
        <v>9020</v>
      </c>
      <c r="E133" t="s">
        <v>8909</v>
      </c>
      <c r="F133" s="1">
        <v>46139</v>
      </c>
      <c r="G133" t="str">
        <f>"102499"</f>
        <v>102499</v>
      </c>
      <c r="H133" t="s">
        <v>2388</v>
      </c>
      <c r="I133" t="s">
        <v>8904</v>
      </c>
      <c r="J133">
        <v>3024</v>
      </c>
    </row>
    <row r="134" spans="1:10" x14ac:dyDescent="0.25">
      <c r="A134" t="s">
        <v>8863</v>
      </c>
      <c r="C134" t="s">
        <v>8901</v>
      </c>
      <c r="D134" t="s">
        <v>9021</v>
      </c>
      <c r="E134" t="s">
        <v>8909</v>
      </c>
      <c r="F134" s="1">
        <v>46139</v>
      </c>
      <c r="G134" t="str">
        <f>"102595"</f>
        <v>102595</v>
      </c>
      <c r="H134" t="s">
        <v>2449</v>
      </c>
      <c r="I134" t="s">
        <v>8904</v>
      </c>
      <c r="J134">
        <v>3024</v>
      </c>
    </row>
    <row r="135" spans="1:10" x14ac:dyDescent="0.25">
      <c r="A135" t="s">
        <v>8863</v>
      </c>
      <c r="C135" t="s">
        <v>8901</v>
      </c>
      <c r="D135" t="s">
        <v>9022</v>
      </c>
      <c r="E135" t="s">
        <v>9023</v>
      </c>
      <c r="F135" s="1">
        <v>46139</v>
      </c>
      <c r="G135" t="str">
        <f>"102701"</f>
        <v>102701</v>
      </c>
      <c r="H135" t="s">
        <v>2555</v>
      </c>
      <c r="I135" t="s">
        <v>8904</v>
      </c>
      <c r="J135">
        <v>22770</v>
      </c>
    </row>
    <row r="136" spans="1:10" x14ac:dyDescent="0.25">
      <c r="A136" t="s">
        <v>8863</v>
      </c>
      <c r="C136" t="s">
        <v>8901</v>
      </c>
      <c r="D136" t="s">
        <v>9024</v>
      </c>
      <c r="E136" t="s">
        <v>8909</v>
      </c>
      <c r="F136" s="1">
        <v>46139</v>
      </c>
      <c r="G136" t="str">
        <f>"102798"</f>
        <v>102798</v>
      </c>
      <c r="H136" t="s">
        <v>2648</v>
      </c>
      <c r="I136" t="s">
        <v>8904</v>
      </c>
      <c r="J136">
        <v>15156</v>
      </c>
    </row>
    <row r="137" spans="1:10" x14ac:dyDescent="0.25">
      <c r="A137" t="s">
        <v>8863</v>
      </c>
      <c r="C137" t="s">
        <v>8901</v>
      </c>
      <c r="D137" t="s">
        <v>9025</v>
      </c>
      <c r="E137" t="s">
        <v>8909</v>
      </c>
      <c r="F137" s="1">
        <v>46139</v>
      </c>
      <c r="G137" t="str">
        <f>"102854"</f>
        <v>102854</v>
      </c>
      <c r="H137" t="s">
        <v>2703</v>
      </c>
      <c r="I137" t="s">
        <v>8904</v>
      </c>
      <c r="J137">
        <v>450.5</v>
      </c>
    </row>
    <row r="138" spans="1:10" x14ac:dyDescent="0.25">
      <c r="A138" t="s">
        <v>8863</v>
      </c>
      <c r="C138" t="s">
        <v>8901</v>
      </c>
      <c r="D138" t="s">
        <v>9026</v>
      </c>
      <c r="E138" t="s">
        <v>8909</v>
      </c>
      <c r="F138" s="1">
        <v>46139</v>
      </c>
      <c r="G138" t="str">
        <f>"102893"</f>
        <v>102893</v>
      </c>
      <c r="H138" t="s">
        <v>2742</v>
      </c>
      <c r="I138" t="s">
        <v>8904</v>
      </c>
      <c r="J138">
        <v>1814.4</v>
      </c>
    </row>
    <row r="139" spans="1:10" x14ac:dyDescent="0.25">
      <c r="A139" t="s">
        <v>8863</v>
      </c>
      <c r="C139" t="s">
        <v>8901</v>
      </c>
      <c r="D139" t="s">
        <v>9027</v>
      </c>
      <c r="E139" t="s">
        <v>8909</v>
      </c>
      <c r="F139" s="1">
        <v>46139</v>
      </c>
      <c r="G139" t="str">
        <f>"120401"</f>
        <v>120401</v>
      </c>
      <c r="H139" t="s">
        <v>2819</v>
      </c>
      <c r="I139" t="s">
        <v>8904</v>
      </c>
      <c r="J139">
        <v>6048</v>
      </c>
    </row>
    <row r="140" spans="1:10" x14ac:dyDescent="0.25">
      <c r="A140" t="s">
        <v>8863</v>
      </c>
      <c r="C140" t="s">
        <v>8901</v>
      </c>
      <c r="D140" t="s">
        <v>9028</v>
      </c>
      <c r="E140" t="s">
        <v>8909</v>
      </c>
      <c r="F140" s="1">
        <v>46139</v>
      </c>
      <c r="G140" t="str">
        <f>"120401"</f>
        <v>120401</v>
      </c>
      <c r="H140" t="s">
        <v>2819</v>
      </c>
      <c r="I140" t="s">
        <v>8904</v>
      </c>
      <c r="J140">
        <v>3628.8</v>
      </c>
    </row>
    <row r="141" spans="1:10" x14ac:dyDescent="0.25">
      <c r="A141" t="s">
        <v>8863</v>
      </c>
      <c r="C141" t="s">
        <v>8901</v>
      </c>
      <c r="D141" t="s">
        <v>9029</v>
      </c>
      <c r="E141" t="s">
        <v>8909</v>
      </c>
      <c r="F141" s="1">
        <v>46140</v>
      </c>
      <c r="G141" t="str">
        <f>"1002873"</f>
        <v>1002873</v>
      </c>
      <c r="H141" t="s">
        <v>286</v>
      </c>
      <c r="I141" t="s">
        <v>8904</v>
      </c>
      <c r="J141">
        <v>6048</v>
      </c>
    </row>
    <row r="142" spans="1:10" x14ac:dyDescent="0.25">
      <c r="A142" t="s">
        <v>8863</v>
      </c>
      <c r="C142" t="s">
        <v>8901</v>
      </c>
      <c r="D142" t="s">
        <v>9030</v>
      </c>
      <c r="E142" t="s">
        <v>9031</v>
      </c>
      <c r="F142" s="1">
        <v>46140</v>
      </c>
      <c r="G142" t="str">
        <f>"102608"</f>
        <v>102608</v>
      </c>
      <c r="H142" t="s">
        <v>2462</v>
      </c>
      <c r="I142" t="s">
        <v>8904</v>
      </c>
      <c r="J142">
        <v>1447682.4</v>
      </c>
    </row>
    <row r="143" spans="1:10" x14ac:dyDescent="0.25">
      <c r="A143" t="s">
        <v>8863</v>
      </c>
      <c r="C143" t="s">
        <v>8901</v>
      </c>
      <c r="D143" t="s">
        <v>9032</v>
      </c>
      <c r="E143" t="s">
        <v>8909</v>
      </c>
      <c r="F143" s="1">
        <v>46141</v>
      </c>
      <c r="G143" t="str">
        <f>"1002873"</f>
        <v>1002873</v>
      </c>
      <c r="H143" t="s">
        <v>286</v>
      </c>
      <c r="I143" t="s">
        <v>8904</v>
      </c>
      <c r="J143">
        <v>6048</v>
      </c>
    </row>
    <row r="144" spans="1:10" x14ac:dyDescent="0.25">
      <c r="A144" t="s">
        <v>8863</v>
      </c>
      <c r="C144" t="s">
        <v>8901</v>
      </c>
      <c r="D144" t="s">
        <v>9033</v>
      </c>
      <c r="E144" t="s">
        <v>8909</v>
      </c>
      <c r="F144" s="1">
        <v>46141</v>
      </c>
      <c r="G144" t="str">
        <f>"102499"</f>
        <v>102499</v>
      </c>
      <c r="H144" t="s">
        <v>2388</v>
      </c>
      <c r="I144" t="s">
        <v>8904</v>
      </c>
      <c r="J144">
        <v>3628.8</v>
      </c>
    </row>
    <row r="145" spans="1:10" x14ac:dyDescent="0.25">
      <c r="A145" t="s">
        <v>8863</v>
      </c>
      <c r="C145" t="s">
        <v>8901</v>
      </c>
      <c r="D145" t="s">
        <v>9034</v>
      </c>
      <c r="E145" t="s">
        <v>8909</v>
      </c>
      <c r="F145" s="1">
        <v>46141</v>
      </c>
      <c r="G145" t="str">
        <f>"102499"</f>
        <v>102499</v>
      </c>
      <c r="H145" t="s">
        <v>2388</v>
      </c>
      <c r="I145" t="s">
        <v>8904</v>
      </c>
      <c r="J145">
        <v>1209.5999999999999</v>
      </c>
    </row>
    <row r="146" spans="1:10" x14ac:dyDescent="0.25">
      <c r="A146" t="s">
        <v>8863</v>
      </c>
      <c r="C146" t="s">
        <v>8901</v>
      </c>
      <c r="D146" t="s">
        <v>9035</v>
      </c>
      <c r="E146" t="s">
        <v>8909</v>
      </c>
      <c r="F146" s="1">
        <v>46141</v>
      </c>
      <c r="G146" t="str">
        <f>"120401"</f>
        <v>120401</v>
      </c>
      <c r="H146" t="s">
        <v>2819</v>
      </c>
      <c r="I146" t="s">
        <v>8904</v>
      </c>
      <c r="J146">
        <v>3024</v>
      </c>
    </row>
    <row r="147" spans="1:10" x14ac:dyDescent="0.25">
      <c r="A147" t="s">
        <v>8863</v>
      </c>
      <c r="C147" t="s">
        <v>8901</v>
      </c>
      <c r="D147" t="s">
        <v>9036</v>
      </c>
      <c r="E147" t="s">
        <v>8909</v>
      </c>
      <c r="F147" s="1">
        <v>46141</v>
      </c>
      <c r="G147" t="str">
        <f>"120402"</f>
        <v>120402</v>
      </c>
      <c r="H147" t="s">
        <v>2820</v>
      </c>
      <c r="I147" t="s">
        <v>8904</v>
      </c>
      <c r="J147">
        <v>2676.2</v>
      </c>
    </row>
    <row r="148" spans="1:10" x14ac:dyDescent="0.25">
      <c r="A148" t="s">
        <v>8863</v>
      </c>
      <c r="C148" t="s">
        <v>8901</v>
      </c>
      <c r="D148" t="s">
        <v>9037</v>
      </c>
      <c r="E148" t="s">
        <v>8909</v>
      </c>
      <c r="F148" s="1">
        <v>46141</v>
      </c>
      <c r="G148" t="str">
        <f>"120404"</f>
        <v>120404</v>
      </c>
      <c r="H148" t="s">
        <v>2822</v>
      </c>
      <c r="I148" t="s">
        <v>8904</v>
      </c>
      <c r="J148">
        <v>6048</v>
      </c>
    </row>
    <row r="149" spans="1:10" x14ac:dyDescent="0.25">
      <c r="A149" t="s">
        <v>8863</v>
      </c>
      <c r="C149" t="s">
        <v>8901</v>
      </c>
      <c r="D149" t="s">
        <v>9038</v>
      </c>
      <c r="E149" t="s">
        <v>8909</v>
      </c>
      <c r="F149" s="1">
        <v>46141</v>
      </c>
      <c r="G149" t="str">
        <f>"120405"</f>
        <v>120405</v>
      </c>
      <c r="H149" t="s">
        <v>2823</v>
      </c>
      <c r="I149" t="s">
        <v>8904</v>
      </c>
      <c r="J149">
        <v>2703</v>
      </c>
    </row>
    <row r="150" spans="1:10" x14ac:dyDescent="0.25">
      <c r="A150" t="s">
        <v>8863</v>
      </c>
      <c r="C150" t="s">
        <v>8901</v>
      </c>
      <c r="D150" t="s">
        <v>9039</v>
      </c>
      <c r="E150" t="s">
        <v>8921</v>
      </c>
      <c r="F150" s="1">
        <v>46142</v>
      </c>
      <c r="G150" t="str">
        <f>"100527"</f>
        <v>100527</v>
      </c>
      <c r="H150" t="s">
        <v>526</v>
      </c>
      <c r="I150" t="s">
        <v>8922</v>
      </c>
      <c r="J150">
        <v>0</v>
      </c>
    </row>
    <row r="151" spans="1:10" x14ac:dyDescent="0.25">
      <c r="A151" t="s">
        <v>8863</v>
      </c>
      <c r="C151" t="s">
        <v>8901</v>
      </c>
      <c r="D151" t="s">
        <v>9040</v>
      </c>
      <c r="E151" t="s">
        <v>8909</v>
      </c>
      <c r="F151" s="1">
        <v>46142</v>
      </c>
      <c r="G151" t="str">
        <f>"102045"</f>
        <v>102045</v>
      </c>
      <c r="H151" t="s">
        <v>2040</v>
      </c>
      <c r="I151" t="s">
        <v>8904</v>
      </c>
      <c r="J151">
        <v>6840</v>
      </c>
    </row>
    <row r="152" spans="1:10" x14ac:dyDescent="0.25">
      <c r="A152" t="s">
        <v>8863</v>
      </c>
      <c r="C152" t="s">
        <v>8901</v>
      </c>
      <c r="D152" t="s">
        <v>9041</v>
      </c>
      <c r="E152" t="s">
        <v>8907</v>
      </c>
      <c r="F152" s="1">
        <v>46142</v>
      </c>
      <c r="G152" t="str">
        <f>"102180"</f>
        <v>102180</v>
      </c>
      <c r="H152" t="s">
        <v>2172</v>
      </c>
      <c r="I152" t="s">
        <v>8904</v>
      </c>
      <c r="J152">
        <v>383234.4</v>
      </c>
    </row>
    <row r="153" spans="1:10" x14ac:dyDescent="0.25">
      <c r="A153" t="s">
        <v>8863</v>
      </c>
      <c r="C153" t="s">
        <v>8864</v>
      </c>
      <c r="D153" t="s">
        <v>9042</v>
      </c>
      <c r="E153" t="s">
        <v>8909</v>
      </c>
      <c r="F153" s="1">
        <v>46142</v>
      </c>
      <c r="G153" t="str">
        <f>"102857"</f>
        <v>102857</v>
      </c>
      <c r="H153" t="s">
        <v>2706</v>
      </c>
      <c r="I153" t="s">
        <v>9043</v>
      </c>
      <c r="J153">
        <v>10500</v>
      </c>
    </row>
    <row r="154" spans="1:10" x14ac:dyDescent="0.25">
      <c r="A154" t="s">
        <v>8863</v>
      </c>
      <c r="C154" t="s">
        <v>8901</v>
      </c>
      <c r="D154" t="s">
        <v>9044</v>
      </c>
      <c r="E154" t="s">
        <v>8967</v>
      </c>
      <c r="F154" s="1">
        <v>46146</v>
      </c>
      <c r="G154" t="str">
        <f>"100507"</f>
        <v>100507</v>
      </c>
      <c r="H154" t="s">
        <v>506</v>
      </c>
      <c r="I154" t="s">
        <v>8904</v>
      </c>
      <c r="J154">
        <v>30030</v>
      </c>
    </row>
    <row r="155" spans="1:10" x14ac:dyDescent="0.25">
      <c r="A155" t="s">
        <v>8863</v>
      </c>
      <c r="C155" t="s">
        <v>8901</v>
      </c>
      <c r="D155" t="s">
        <v>9045</v>
      </c>
      <c r="E155" t="s">
        <v>8909</v>
      </c>
      <c r="F155" s="1">
        <v>46146</v>
      </c>
      <c r="G155" t="str">
        <f>"100527"</f>
        <v>100527</v>
      </c>
      <c r="H155" t="s">
        <v>526</v>
      </c>
      <c r="I155" t="s">
        <v>8904</v>
      </c>
      <c r="J155">
        <v>721.6</v>
      </c>
    </row>
    <row r="156" spans="1:10" x14ac:dyDescent="0.25">
      <c r="A156" t="s">
        <v>8863</v>
      </c>
      <c r="C156" t="s">
        <v>8901</v>
      </c>
      <c r="D156" t="s">
        <v>9046</v>
      </c>
      <c r="E156" t="s">
        <v>8907</v>
      </c>
      <c r="F156" s="1">
        <v>46146</v>
      </c>
      <c r="G156" t="str">
        <f>"101734"</f>
        <v>101734</v>
      </c>
      <c r="H156" t="s">
        <v>1730</v>
      </c>
      <c r="I156" t="s">
        <v>8904</v>
      </c>
      <c r="J156">
        <v>385878.6</v>
      </c>
    </row>
    <row r="157" spans="1:10" x14ac:dyDescent="0.25">
      <c r="A157" t="s">
        <v>8863</v>
      </c>
      <c r="C157" t="s">
        <v>8901</v>
      </c>
      <c r="D157" t="s">
        <v>9047</v>
      </c>
      <c r="E157" t="s">
        <v>8909</v>
      </c>
      <c r="F157" s="1">
        <v>46146</v>
      </c>
      <c r="G157" t="str">
        <f>"102832"</f>
        <v>102832</v>
      </c>
      <c r="H157" t="s">
        <v>2682</v>
      </c>
      <c r="I157" t="s">
        <v>8904</v>
      </c>
      <c r="J157">
        <v>155526.54</v>
      </c>
    </row>
    <row r="158" spans="1:10" x14ac:dyDescent="0.25">
      <c r="A158" t="s">
        <v>8863</v>
      </c>
      <c r="C158" t="s">
        <v>8901</v>
      </c>
      <c r="D158" t="s">
        <v>9048</v>
      </c>
      <c r="E158" t="s">
        <v>8909</v>
      </c>
      <c r="F158" s="1">
        <v>46147</v>
      </c>
      <c r="G158" t="str">
        <f>"100010"</f>
        <v>100010</v>
      </c>
      <c r="H158" t="s">
        <v>11</v>
      </c>
      <c r="I158" t="s">
        <v>8904</v>
      </c>
      <c r="J158">
        <v>810.9</v>
      </c>
    </row>
    <row r="159" spans="1:10" x14ac:dyDescent="0.25">
      <c r="A159" t="s">
        <v>8863</v>
      </c>
      <c r="C159" t="s">
        <v>8901</v>
      </c>
      <c r="D159" t="s">
        <v>9049</v>
      </c>
      <c r="E159" t="s">
        <v>8909</v>
      </c>
      <c r="F159" s="1">
        <v>46147</v>
      </c>
      <c r="G159" t="str">
        <f>"1002873"</f>
        <v>1002873</v>
      </c>
      <c r="H159" t="s">
        <v>286</v>
      </c>
      <c r="I159" t="s">
        <v>8904</v>
      </c>
      <c r="J159">
        <v>4838.3999999999996</v>
      </c>
    </row>
    <row r="160" spans="1:10" x14ac:dyDescent="0.25">
      <c r="A160" t="s">
        <v>8863</v>
      </c>
      <c r="C160" t="s">
        <v>8901</v>
      </c>
      <c r="D160" t="s">
        <v>9050</v>
      </c>
      <c r="E160" t="s">
        <v>8909</v>
      </c>
      <c r="F160" s="1">
        <v>46147</v>
      </c>
      <c r="G160" t="str">
        <f>"102208"</f>
        <v>102208</v>
      </c>
      <c r="H160" t="s">
        <v>2200</v>
      </c>
      <c r="I160" t="s">
        <v>8904</v>
      </c>
      <c r="J160">
        <v>5400</v>
      </c>
    </row>
    <row r="161" spans="1:10" x14ac:dyDescent="0.25">
      <c r="A161" t="s">
        <v>8863</v>
      </c>
      <c r="C161" t="s">
        <v>8901</v>
      </c>
      <c r="D161" t="s">
        <v>9051</v>
      </c>
      <c r="E161" t="s">
        <v>8909</v>
      </c>
      <c r="F161" s="1">
        <v>46147</v>
      </c>
      <c r="G161" t="str">
        <f>"102595"</f>
        <v>102595</v>
      </c>
      <c r="H161" t="s">
        <v>2449</v>
      </c>
      <c r="I161" t="s">
        <v>8904</v>
      </c>
      <c r="J161">
        <v>1814.4</v>
      </c>
    </row>
    <row r="162" spans="1:10" x14ac:dyDescent="0.25">
      <c r="A162" t="s">
        <v>8863</v>
      </c>
      <c r="C162" t="s">
        <v>8901</v>
      </c>
      <c r="D162" t="s">
        <v>9052</v>
      </c>
      <c r="E162" t="s">
        <v>8909</v>
      </c>
      <c r="F162" s="1">
        <v>46147</v>
      </c>
      <c r="G162" t="str">
        <f>"102798"</f>
        <v>102798</v>
      </c>
      <c r="H162" t="s">
        <v>2648</v>
      </c>
      <c r="I162" t="s">
        <v>8904</v>
      </c>
      <c r="J162">
        <v>1814.4</v>
      </c>
    </row>
    <row r="163" spans="1:10" x14ac:dyDescent="0.25">
      <c r="A163" t="s">
        <v>8863</v>
      </c>
      <c r="C163" t="s">
        <v>8901</v>
      </c>
      <c r="D163" t="s">
        <v>9053</v>
      </c>
      <c r="E163" t="s">
        <v>8909</v>
      </c>
      <c r="F163" s="1">
        <v>46147</v>
      </c>
      <c r="G163" t="str">
        <f>"102798"</f>
        <v>102798</v>
      </c>
      <c r="H163" t="s">
        <v>2648</v>
      </c>
      <c r="I163" t="s">
        <v>8904</v>
      </c>
      <c r="J163">
        <v>604.79999999999995</v>
      </c>
    </row>
    <row r="164" spans="1:10" x14ac:dyDescent="0.25">
      <c r="A164" t="s">
        <v>9054</v>
      </c>
      <c r="C164" t="s">
        <v>8901</v>
      </c>
      <c r="D164" t="s">
        <v>9055</v>
      </c>
      <c r="F164" s="1">
        <v>46148</v>
      </c>
      <c r="G164" t="str">
        <f>"100527"</f>
        <v>100527</v>
      </c>
      <c r="H164" t="s">
        <v>526</v>
      </c>
      <c r="I164" t="s">
        <v>8904</v>
      </c>
      <c r="J164">
        <v>9372</v>
      </c>
    </row>
    <row r="165" spans="1:10" x14ac:dyDescent="0.25">
      <c r="A165" t="s">
        <v>8863</v>
      </c>
      <c r="C165" t="s">
        <v>8901</v>
      </c>
      <c r="D165" t="s">
        <v>9056</v>
      </c>
      <c r="E165" t="s">
        <v>9057</v>
      </c>
      <c r="F165" s="1">
        <v>46148</v>
      </c>
      <c r="G165" t="str">
        <f>"102674"</f>
        <v>102674</v>
      </c>
      <c r="H165" t="s">
        <v>2528</v>
      </c>
      <c r="I165" t="s">
        <v>8904</v>
      </c>
      <c r="J165">
        <v>2597.2399999999998</v>
      </c>
    </row>
    <row r="166" spans="1:10" x14ac:dyDescent="0.25">
      <c r="A166" t="s">
        <v>8863</v>
      </c>
      <c r="C166" t="s">
        <v>8901</v>
      </c>
      <c r="D166" t="s">
        <v>9058</v>
      </c>
      <c r="E166" t="s">
        <v>8909</v>
      </c>
      <c r="F166" s="1">
        <v>46148</v>
      </c>
      <c r="G166" t="str">
        <f>"102933"</f>
        <v>102933</v>
      </c>
      <c r="H166" t="s">
        <v>2783</v>
      </c>
      <c r="I166" t="s">
        <v>8904</v>
      </c>
      <c r="J166">
        <v>28887.08</v>
      </c>
    </row>
    <row r="167" spans="1:10" x14ac:dyDescent="0.25">
      <c r="A167" t="s">
        <v>8863</v>
      </c>
      <c r="C167" t="s">
        <v>8901</v>
      </c>
      <c r="D167" t="s">
        <v>9059</v>
      </c>
      <c r="E167" t="s">
        <v>9060</v>
      </c>
      <c r="F167" s="1">
        <v>46148</v>
      </c>
      <c r="G167" t="str">
        <f>"120379"</f>
        <v>120379</v>
      </c>
      <c r="H167" t="s">
        <v>2806</v>
      </c>
      <c r="I167" t="s">
        <v>8904</v>
      </c>
      <c r="J167">
        <v>7150</v>
      </c>
    </row>
    <row r="168" spans="1:10" x14ac:dyDescent="0.25">
      <c r="A168" t="s">
        <v>8863</v>
      </c>
      <c r="C168" t="s">
        <v>8901</v>
      </c>
      <c r="D168" t="s">
        <v>9061</v>
      </c>
      <c r="E168" t="s">
        <v>9062</v>
      </c>
      <c r="F168" s="1">
        <v>46149</v>
      </c>
      <c r="G168" t="str">
        <f>"100527"</f>
        <v>100527</v>
      </c>
      <c r="H168" t="s">
        <v>526</v>
      </c>
      <c r="I168" t="s">
        <v>8922</v>
      </c>
      <c r="J168">
        <v>0</v>
      </c>
    </row>
    <row r="169" spans="1:10" x14ac:dyDescent="0.25">
      <c r="A169" t="s">
        <v>9054</v>
      </c>
      <c r="C169" t="s">
        <v>8901</v>
      </c>
      <c r="D169" t="s">
        <v>9063</v>
      </c>
      <c r="E169" t="s">
        <v>9064</v>
      </c>
      <c r="F169" s="1">
        <v>46149</v>
      </c>
      <c r="G169" t="str">
        <f>"102772"</f>
        <v>102772</v>
      </c>
      <c r="H169" t="s">
        <v>2622</v>
      </c>
      <c r="I169" t="s">
        <v>8904</v>
      </c>
      <c r="J169">
        <v>255528</v>
      </c>
    </row>
    <row r="170" spans="1:10" x14ac:dyDescent="0.25">
      <c r="A170" t="s">
        <v>8863</v>
      </c>
      <c r="C170" t="s">
        <v>8901</v>
      </c>
      <c r="D170" t="s">
        <v>9065</v>
      </c>
      <c r="E170" t="s">
        <v>8909</v>
      </c>
      <c r="F170" s="1">
        <v>46149</v>
      </c>
      <c r="G170" t="str">
        <f>"102784"</f>
        <v>102784</v>
      </c>
      <c r="H170" t="s">
        <v>2634</v>
      </c>
      <c r="I170" t="s">
        <v>8904</v>
      </c>
      <c r="J170">
        <v>3229.8</v>
      </c>
    </row>
    <row r="171" spans="1:10" x14ac:dyDescent="0.25">
      <c r="A171" t="s">
        <v>8863</v>
      </c>
      <c r="C171" t="s">
        <v>8901</v>
      </c>
      <c r="D171" t="s">
        <v>9066</v>
      </c>
      <c r="E171" t="s">
        <v>8909</v>
      </c>
      <c r="F171" s="1">
        <v>46149</v>
      </c>
      <c r="G171" t="str">
        <f>"102798"</f>
        <v>102798</v>
      </c>
      <c r="H171" t="s">
        <v>2648</v>
      </c>
      <c r="I171" t="s">
        <v>8904</v>
      </c>
      <c r="J171">
        <v>2138.4</v>
      </c>
    </row>
    <row r="172" spans="1:10" x14ac:dyDescent="0.25">
      <c r="A172" t="s">
        <v>8863</v>
      </c>
      <c r="C172" t="s">
        <v>8901</v>
      </c>
      <c r="D172" t="s">
        <v>9067</v>
      </c>
      <c r="E172" t="s">
        <v>8909</v>
      </c>
      <c r="F172" s="1">
        <v>46149</v>
      </c>
      <c r="G172" t="str">
        <f>"102893"</f>
        <v>102893</v>
      </c>
      <c r="H172" t="s">
        <v>2742</v>
      </c>
      <c r="I172" t="s">
        <v>8904</v>
      </c>
      <c r="J172">
        <v>2851.2</v>
      </c>
    </row>
    <row r="173" spans="1:10" x14ac:dyDescent="0.25">
      <c r="A173" t="s">
        <v>8863</v>
      </c>
      <c r="C173" t="s">
        <v>8901</v>
      </c>
      <c r="D173" t="s">
        <v>9068</v>
      </c>
      <c r="E173" t="s">
        <v>8907</v>
      </c>
      <c r="F173" s="1">
        <v>46149</v>
      </c>
      <c r="G173" t="str">
        <f>"102914"</f>
        <v>102914</v>
      </c>
      <c r="H173" t="s">
        <v>2764</v>
      </c>
      <c r="I173" t="s">
        <v>8904</v>
      </c>
      <c r="J173">
        <v>383234.4</v>
      </c>
    </row>
    <row r="174" spans="1:10" x14ac:dyDescent="0.25">
      <c r="A174" t="s">
        <v>8863</v>
      </c>
      <c r="C174" t="s">
        <v>8901</v>
      </c>
      <c r="D174" t="s">
        <v>9069</v>
      </c>
      <c r="E174" t="s">
        <v>8909</v>
      </c>
      <c r="F174" s="1">
        <v>46149</v>
      </c>
      <c r="G174" t="str">
        <f>"102933"</f>
        <v>102933</v>
      </c>
      <c r="H174" t="s">
        <v>2783</v>
      </c>
      <c r="I174" t="s">
        <v>8904</v>
      </c>
      <c r="J174">
        <v>1617</v>
      </c>
    </row>
    <row r="175" spans="1:10" x14ac:dyDescent="0.25">
      <c r="A175" t="s">
        <v>8863</v>
      </c>
      <c r="C175" t="s">
        <v>8901</v>
      </c>
      <c r="D175" t="s">
        <v>9070</v>
      </c>
      <c r="E175" t="s">
        <v>8907</v>
      </c>
      <c r="F175" s="1">
        <v>46150</v>
      </c>
      <c r="G175" t="str">
        <f>"102914"</f>
        <v>102914</v>
      </c>
      <c r="H175" t="s">
        <v>2764</v>
      </c>
      <c r="I175" t="s">
        <v>8904</v>
      </c>
      <c r="J175">
        <v>383234.4</v>
      </c>
    </row>
    <row r="176" spans="1:10" x14ac:dyDescent="0.25">
      <c r="A176" t="s">
        <v>8863</v>
      </c>
      <c r="C176" t="s">
        <v>8901</v>
      </c>
      <c r="D176" t="s">
        <v>9071</v>
      </c>
      <c r="E176" t="s">
        <v>9072</v>
      </c>
      <c r="F176" s="1">
        <v>46150</v>
      </c>
      <c r="G176" t="str">
        <f>"12167"</f>
        <v>12167</v>
      </c>
      <c r="H176" t="s">
        <v>2832</v>
      </c>
      <c r="I176" t="s">
        <v>8904</v>
      </c>
      <c r="J176">
        <v>2850</v>
      </c>
    </row>
    <row r="177" spans="1:10" x14ac:dyDescent="0.25">
      <c r="A177" t="s">
        <v>8863</v>
      </c>
      <c r="C177" t="s">
        <v>8901</v>
      </c>
      <c r="D177" t="s">
        <v>9073</v>
      </c>
      <c r="E177" t="s">
        <v>8909</v>
      </c>
      <c r="F177" s="1">
        <v>46151</v>
      </c>
      <c r="G177" t="str">
        <f>"1002873"</f>
        <v>1002873</v>
      </c>
      <c r="H177" t="s">
        <v>286</v>
      </c>
      <c r="I177" t="s">
        <v>8904</v>
      </c>
      <c r="J177">
        <v>1814.4</v>
      </c>
    </row>
    <row r="178" spans="1:10" x14ac:dyDescent="0.25">
      <c r="A178" t="s">
        <v>8863</v>
      </c>
      <c r="C178" t="s">
        <v>8901</v>
      </c>
      <c r="D178" t="s">
        <v>9074</v>
      </c>
      <c r="E178" t="s">
        <v>8909</v>
      </c>
      <c r="F178" s="1">
        <v>46151</v>
      </c>
      <c r="G178" t="str">
        <f>"100527"</f>
        <v>100527</v>
      </c>
      <c r="H178" t="s">
        <v>526</v>
      </c>
      <c r="I178" t="s">
        <v>8904</v>
      </c>
      <c r="J178">
        <v>7128</v>
      </c>
    </row>
    <row r="179" spans="1:10" x14ac:dyDescent="0.25">
      <c r="A179" t="s">
        <v>8863</v>
      </c>
      <c r="C179" t="s">
        <v>8901</v>
      </c>
      <c r="D179" t="s">
        <v>9075</v>
      </c>
      <c r="E179" t="s">
        <v>9076</v>
      </c>
      <c r="F179" s="1">
        <v>46153</v>
      </c>
      <c r="G179" t="str">
        <f>"102201"</f>
        <v>102201</v>
      </c>
      <c r="H179" t="s">
        <v>2193</v>
      </c>
      <c r="I179" t="s">
        <v>8904</v>
      </c>
      <c r="J179">
        <v>118069.08</v>
      </c>
    </row>
    <row r="180" spans="1:10" x14ac:dyDescent="0.25">
      <c r="A180" t="s">
        <v>8863</v>
      </c>
      <c r="C180" t="s">
        <v>8901</v>
      </c>
      <c r="D180" t="s">
        <v>9077</v>
      </c>
      <c r="E180" t="s">
        <v>8909</v>
      </c>
      <c r="F180" s="1">
        <v>46153</v>
      </c>
      <c r="G180" t="str">
        <f>"102552"</f>
        <v>102552</v>
      </c>
      <c r="H180" t="s">
        <v>2441</v>
      </c>
      <c r="I180" t="s">
        <v>8904</v>
      </c>
      <c r="J180">
        <v>22055.7012</v>
      </c>
    </row>
    <row r="181" spans="1:10" x14ac:dyDescent="0.25">
      <c r="A181" t="s">
        <v>8863</v>
      </c>
      <c r="C181" t="s">
        <v>8901</v>
      </c>
      <c r="D181" t="s">
        <v>9078</v>
      </c>
      <c r="E181" t="s">
        <v>8909</v>
      </c>
      <c r="F181" s="1">
        <v>46153</v>
      </c>
      <c r="G181" t="str">
        <f>"102602"</f>
        <v>102602</v>
      </c>
      <c r="H181" t="s">
        <v>2456</v>
      </c>
      <c r="I181" t="s">
        <v>8904</v>
      </c>
      <c r="J181">
        <v>14500</v>
      </c>
    </row>
    <row r="182" spans="1:10" x14ac:dyDescent="0.25">
      <c r="A182" t="s">
        <v>8863</v>
      </c>
      <c r="C182" t="s">
        <v>8901</v>
      </c>
      <c r="D182" t="s">
        <v>9079</v>
      </c>
      <c r="E182" t="s">
        <v>8909</v>
      </c>
      <c r="F182" s="1">
        <v>46154</v>
      </c>
      <c r="G182" t="str">
        <f>"102913"</f>
        <v>102913</v>
      </c>
      <c r="H182" t="s">
        <v>2763</v>
      </c>
      <c r="I182" t="s">
        <v>8904</v>
      </c>
      <c r="J182">
        <v>383234.4</v>
      </c>
    </row>
    <row r="183" spans="1:10" x14ac:dyDescent="0.25">
      <c r="A183" t="s">
        <v>8863</v>
      </c>
      <c r="C183" t="s">
        <v>8901</v>
      </c>
      <c r="D183" t="s">
        <v>9080</v>
      </c>
      <c r="E183" t="s">
        <v>8909</v>
      </c>
      <c r="F183" s="1">
        <v>46154</v>
      </c>
      <c r="G183" t="str">
        <f>"102930"</f>
        <v>102930</v>
      </c>
      <c r="H183" t="s">
        <v>2780</v>
      </c>
      <c r="I183" t="s">
        <v>8904</v>
      </c>
      <c r="J183">
        <v>7630</v>
      </c>
    </row>
    <row r="184" spans="1:10" x14ac:dyDescent="0.25">
      <c r="A184" t="s">
        <v>9054</v>
      </c>
      <c r="C184" t="s">
        <v>8901</v>
      </c>
      <c r="D184" t="s">
        <v>9081</v>
      </c>
      <c r="F184" s="1">
        <v>46155</v>
      </c>
      <c r="G184" t="str">
        <f>"100283"</f>
        <v>100283</v>
      </c>
      <c r="H184" t="s">
        <v>281</v>
      </c>
      <c r="I184" t="s">
        <v>8904</v>
      </c>
      <c r="J184">
        <v>21.27</v>
      </c>
    </row>
    <row r="185" spans="1:10" x14ac:dyDescent="0.25">
      <c r="A185" t="s">
        <v>8863</v>
      </c>
      <c r="C185" t="s">
        <v>8901</v>
      </c>
      <c r="D185" t="s">
        <v>9082</v>
      </c>
      <c r="E185" t="s">
        <v>8909</v>
      </c>
      <c r="F185" s="1">
        <v>46155</v>
      </c>
      <c r="G185" t="str">
        <f>"102650"</f>
        <v>102650</v>
      </c>
      <c r="H185" t="s">
        <v>2504</v>
      </c>
      <c r="I185" t="s">
        <v>8904</v>
      </c>
      <c r="J185">
        <v>2441.1</v>
      </c>
    </row>
    <row r="186" spans="1:10" x14ac:dyDescent="0.25">
      <c r="A186" t="s">
        <v>8894</v>
      </c>
      <c r="C186" t="s">
        <v>8901</v>
      </c>
      <c r="D186" t="s">
        <v>9083</v>
      </c>
      <c r="E186" t="s">
        <v>9084</v>
      </c>
      <c r="F186" s="1">
        <v>46155</v>
      </c>
      <c r="G186" t="str">
        <f>"102932"</f>
        <v>102932</v>
      </c>
      <c r="H186" t="s">
        <v>2782</v>
      </c>
      <c r="I186" t="s">
        <v>8904</v>
      </c>
      <c r="J186">
        <v>204674.78</v>
      </c>
    </row>
    <row r="187" spans="1:10" x14ac:dyDescent="0.25">
      <c r="A187" t="s">
        <v>8863</v>
      </c>
      <c r="C187" t="s">
        <v>8901</v>
      </c>
      <c r="D187" t="s">
        <v>9085</v>
      </c>
      <c r="E187" t="s">
        <v>8909</v>
      </c>
      <c r="F187" s="1">
        <v>46155</v>
      </c>
      <c r="G187" t="str">
        <f>"102935"</f>
        <v>102935</v>
      </c>
      <c r="H187" t="s">
        <v>2785</v>
      </c>
      <c r="I187" t="s">
        <v>8904</v>
      </c>
      <c r="J187">
        <v>14522.4</v>
      </c>
    </row>
    <row r="188" spans="1:10" x14ac:dyDescent="0.25">
      <c r="A188" t="s">
        <v>8863</v>
      </c>
      <c r="C188" t="s">
        <v>8901</v>
      </c>
      <c r="D188" t="s">
        <v>9086</v>
      </c>
      <c r="E188" t="s">
        <v>8909</v>
      </c>
      <c r="F188" s="1">
        <v>46155</v>
      </c>
      <c r="G188" t="str">
        <f>"120407"</f>
        <v>120407</v>
      </c>
      <c r="H188" t="s">
        <v>2825</v>
      </c>
      <c r="I188" t="s">
        <v>8904</v>
      </c>
      <c r="J188">
        <v>29520</v>
      </c>
    </row>
    <row r="189" spans="1:10" x14ac:dyDescent="0.25">
      <c r="A189" t="s">
        <v>8863</v>
      </c>
      <c r="C189" t="s">
        <v>8901</v>
      </c>
      <c r="D189" t="s">
        <v>9087</v>
      </c>
      <c r="E189" t="s">
        <v>8907</v>
      </c>
      <c r="F189" s="1">
        <v>46156</v>
      </c>
      <c r="G189" t="str">
        <f>"102740"</f>
        <v>102740</v>
      </c>
      <c r="H189" t="s">
        <v>2590</v>
      </c>
      <c r="I189" t="s">
        <v>8904</v>
      </c>
      <c r="J189">
        <v>396514.8</v>
      </c>
    </row>
    <row r="190" spans="1:10" x14ac:dyDescent="0.25">
      <c r="A190" t="s">
        <v>8863</v>
      </c>
      <c r="C190" t="s">
        <v>8901</v>
      </c>
      <c r="D190" t="s">
        <v>9088</v>
      </c>
      <c r="E190" t="s">
        <v>8909</v>
      </c>
      <c r="F190" s="1">
        <v>46157</v>
      </c>
      <c r="G190" t="str">
        <f>"1002873"</f>
        <v>1002873</v>
      </c>
      <c r="H190" t="s">
        <v>286</v>
      </c>
      <c r="I190" t="s">
        <v>8904</v>
      </c>
      <c r="J190">
        <v>3564</v>
      </c>
    </row>
    <row r="191" spans="1:10" x14ac:dyDescent="0.25">
      <c r="A191" t="s">
        <v>8863</v>
      </c>
      <c r="C191" t="s">
        <v>8901</v>
      </c>
      <c r="D191" t="s">
        <v>9089</v>
      </c>
      <c r="E191" t="s">
        <v>8909</v>
      </c>
      <c r="F191" s="1">
        <v>46157</v>
      </c>
      <c r="G191" t="str">
        <f>"1002873"</f>
        <v>1002873</v>
      </c>
      <c r="H191" t="s">
        <v>286</v>
      </c>
      <c r="I191" t="s">
        <v>8904</v>
      </c>
      <c r="J191">
        <v>3564</v>
      </c>
    </row>
    <row r="192" spans="1:10" x14ac:dyDescent="0.25">
      <c r="A192" t="s">
        <v>8863</v>
      </c>
      <c r="C192" t="s">
        <v>8901</v>
      </c>
      <c r="D192" t="s">
        <v>9090</v>
      </c>
      <c r="E192" t="s">
        <v>8909</v>
      </c>
      <c r="F192" s="1">
        <v>46157</v>
      </c>
      <c r="G192" t="str">
        <f>"100527"</f>
        <v>100527</v>
      </c>
      <c r="H192" t="s">
        <v>526</v>
      </c>
      <c r="I192" t="s">
        <v>8904</v>
      </c>
      <c r="J192">
        <v>1740</v>
      </c>
    </row>
    <row r="193" spans="1:10" x14ac:dyDescent="0.25">
      <c r="A193" t="s">
        <v>8863</v>
      </c>
      <c r="C193" t="s">
        <v>8864</v>
      </c>
      <c r="D193" t="s">
        <v>9091</v>
      </c>
      <c r="E193" t="s">
        <v>8909</v>
      </c>
      <c r="F193" s="1">
        <v>46157</v>
      </c>
      <c r="G193" t="str">
        <f>"102205"</f>
        <v>102205</v>
      </c>
      <c r="H193" t="s">
        <v>2197</v>
      </c>
      <c r="I193" t="s">
        <v>8904</v>
      </c>
      <c r="J193">
        <v>135008.016</v>
      </c>
    </row>
    <row r="194" spans="1:10" x14ac:dyDescent="0.25">
      <c r="A194" t="s">
        <v>8863</v>
      </c>
      <c r="C194" t="s">
        <v>8901</v>
      </c>
      <c r="D194" t="s">
        <v>9092</v>
      </c>
      <c r="E194" t="s">
        <v>8909</v>
      </c>
      <c r="F194" s="1">
        <v>46157</v>
      </c>
      <c r="G194" t="str">
        <f>"102595"</f>
        <v>102595</v>
      </c>
      <c r="H194" t="s">
        <v>2449</v>
      </c>
      <c r="I194" t="s">
        <v>8904</v>
      </c>
      <c r="J194">
        <v>1425.6</v>
      </c>
    </row>
    <row r="195" spans="1:10" x14ac:dyDescent="0.25">
      <c r="A195" t="s">
        <v>8863</v>
      </c>
      <c r="C195" t="s">
        <v>8901</v>
      </c>
      <c r="D195" t="s">
        <v>9093</v>
      </c>
      <c r="E195" t="s">
        <v>8909</v>
      </c>
      <c r="F195" s="1">
        <v>46157</v>
      </c>
      <c r="G195" t="str">
        <f>"102765"</f>
        <v>102765</v>
      </c>
      <c r="H195" t="s">
        <v>2615</v>
      </c>
      <c r="I195" t="s">
        <v>8904</v>
      </c>
      <c r="J195">
        <v>5761.8</v>
      </c>
    </row>
    <row r="196" spans="1:10" x14ac:dyDescent="0.25">
      <c r="A196" t="s">
        <v>8863</v>
      </c>
      <c r="C196" t="s">
        <v>8901</v>
      </c>
      <c r="D196" t="s">
        <v>9094</v>
      </c>
      <c r="E196" t="s">
        <v>8909</v>
      </c>
      <c r="F196" s="1">
        <v>46157</v>
      </c>
      <c r="G196" t="str">
        <f>"102798"</f>
        <v>102798</v>
      </c>
      <c r="H196" t="s">
        <v>2648</v>
      </c>
      <c r="I196" t="s">
        <v>8904</v>
      </c>
      <c r="J196">
        <v>107.5</v>
      </c>
    </row>
    <row r="197" spans="1:10" x14ac:dyDescent="0.25">
      <c r="A197" t="s">
        <v>8863</v>
      </c>
      <c r="C197" t="s">
        <v>8901</v>
      </c>
      <c r="D197" t="s">
        <v>9095</v>
      </c>
      <c r="E197" t="s">
        <v>8909</v>
      </c>
      <c r="F197" s="1">
        <v>46157</v>
      </c>
      <c r="G197" t="str">
        <f>"102893"</f>
        <v>102893</v>
      </c>
      <c r="H197" t="s">
        <v>2742</v>
      </c>
      <c r="I197" t="s">
        <v>8904</v>
      </c>
      <c r="J197">
        <v>2138.4</v>
      </c>
    </row>
    <row r="198" spans="1:10" x14ac:dyDescent="0.25">
      <c r="A198" t="s">
        <v>8863</v>
      </c>
      <c r="C198" t="s">
        <v>8901</v>
      </c>
      <c r="D198" t="s">
        <v>9096</v>
      </c>
      <c r="E198" t="s">
        <v>8907</v>
      </c>
      <c r="F198" s="1">
        <v>46160</v>
      </c>
      <c r="G198" t="str">
        <f>"102470"</f>
        <v>102470</v>
      </c>
      <c r="H198" t="s">
        <v>2359</v>
      </c>
      <c r="I198" t="s">
        <v>8904</v>
      </c>
      <c r="J198">
        <v>387028.8</v>
      </c>
    </row>
    <row r="199" spans="1:10" x14ac:dyDescent="0.25">
      <c r="A199" t="s">
        <v>8863</v>
      </c>
      <c r="C199" t="s">
        <v>8901</v>
      </c>
      <c r="D199" t="s">
        <v>9097</v>
      </c>
      <c r="E199" t="s">
        <v>8907</v>
      </c>
      <c r="F199" s="1">
        <v>46160</v>
      </c>
      <c r="G199" t="str">
        <f>"102913"</f>
        <v>102913</v>
      </c>
      <c r="H199" t="s">
        <v>2763</v>
      </c>
      <c r="I199" t="s">
        <v>8904</v>
      </c>
      <c r="J199">
        <v>383234.4</v>
      </c>
    </row>
    <row r="200" spans="1:10" x14ac:dyDescent="0.25">
      <c r="A200" t="s">
        <v>8863</v>
      </c>
      <c r="C200" t="s">
        <v>8901</v>
      </c>
      <c r="D200" t="s">
        <v>9098</v>
      </c>
      <c r="E200" t="s">
        <v>8909</v>
      </c>
      <c r="F200" s="1">
        <v>46161</v>
      </c>
      <c r="G200" t="str">
        <f>"100527"</f>
        <v>100527</v>
      </c>
      <c r="H200" t="s">
        <v>526</v>
      </c>
      <c r="I200" t="s">
        <v>8904</v>
      </c>
      <c r="J200">
        <v>960</v>
      </c>
    </row>
    <row r="201" spans="1:10" x14ac:dyDescent="0.25">
      <c r="A201" t="s">
        <v>8863</v>
      </c>
      <c r="C201" t="s">
        <v>8901</v>
      </c>
      <c r="D201" t="s">
        <v>9099</v>
      </c>
      <c r="E201" t="s">
        <v>8909</v>
      </c>
      <c r="F201" s="1">
        <v>46161</v>
      </c>
      <c r="G201" t="str">
        <f>"100527"</f>
        <v>100527</v>
      </c>
      <c r="H201" t="s">
        <v>526</v>
      </c>
      <c r="I201" t="s">
        <v>8904</v>
      </c>
      <c r="J201">
        <v>576.84</v>
      </c>
    </row>
    <row r="202" spans="1:10" x14ac:dyDescent="0.25">
      <c r="A202" t="s">
        <v>8863</v>
      </c>
      <c r="C202" t="s">
        <v>8901</v>
      </c>
      <c r="D202" t="s">
        <v>9100</v>
      </c>
      <c r="E202" t="s">
        <v>8909</v>
      </c>
      <c r="F202" s="1">
        <v>46161</v>
      </c>
      <c r="G202" t="str">
        <f>"100527"</f>
        <v>100527</v>
      </c>
      <c r="H202" t="s">
        <v>526</v>
      </c>
      <c r="I202" t="s">
        <v>8904</v>
      </c>
      <c r="J202">
        <v>712.8</v>
      </c>
    </row>
    <row r="203" spans="1:10" x14ac:dyDescent="0.25">
      <c r="A203" t="s">
        <v>8863</v>
      </c>
      <c r="C203" t="s">
        <v>8901</v>
      </c>
      <c r="D203" t="s">
        <v>9101</v>
      </c>
      <c r="E203" t="s">
        <v>9062</v>
      </c>
      <c r="F203" s="1">
        <v>46161</v>
      </c>
      <c r="G203" t="str">
        <f>"100527"</f>
        <v>100527</v>
      </c>
      <c r="H203" t="s">
        <v>526</v>
      </c>
      <c r="I203" t="s">
        <v>8922</v>
      </c>
      <c r="J203">
        <v>0</v>
      </c>
    </row>
    <row r="204" spans="1:10" x14ac:dyDescent="0.25">
      <c r="A204" t="s">
        <v>8863</v>
      </c>
      <c r="C204" t="s">
        <v>8901</v>
      </c>
      <c r="D204" t="s">
        <v>9102</v>
      </c>
      <c r="E204" t="s">
        <v>9005</v>
      </c>
      <c r="F204" s="1">
        <v>46161</v>
      </c>
      <c r="G204" t="str">
        <f>"102592"</f>
        <v>102592</v>
      </c>
      <c r="H204" t="s">
        <v>2446</v>
      </c>
      <c r="I204" t="s">
        <v>8904</v>
      </c>
      <c r="J204">
        <v>410260.57199999999</v>
      </c>
    </row>
    <row r="205" spans="1:10" x14ac:dyDescent="0.25">
      <c r="A205" t="s">
        <v>8863</v>
      </c>
      <c r="C205" t="s">
        <v>8901</v>
      </c>
      <c r="D205" t="s">
        <v>9103</v>
      </c>
      <c r="E205" t="s">
        <v>8907</v>
      </c>
      <c r="F205" s="1">
        <v>46161</v>
      </c>
      <c r="G205" t="str">
        <f>"102592"</f>
        <v>102592</v>
      </c>
      <c r="H205" t="s">
        <v>2446</v>
      </c>
      <c r="I205" t="s">
        <v>8904</v>
      </c>
      <c r="J205">
        <v>112716</v>
      </c>
    </row>
    <row r="206" spans="1:10" x14ac:dyDescent="0.25">
      <c r="A206" t="s">
        <v>8890</v>
      </c>
      <c r="C206" t="s">
        <v>8901</v>
      </c>
      <c r="D206" t="s">
        <v>9104</v>
      </c>
      <c r="E206" t="s">
        <v>9105</v>
      </c>
      <c r="F206" s="1">
        <v>46161</v>
      </c>
      <c r="G206" t="str">
        <f>"102608"</f>
        <v>102608</v>
      </c>
      <c r="H206" t="s">
        <v>2462</v>
      </c>
      <c r="I206" t="s">
        <v>8904</v>
      </c>
      <c r="J206">
        <v>110.36</v>
      </c>
    </row>
    <row r="207" spans="1:10" x14ac:dyDescent="0.25">
      <c r="A207" t="s">
        <v>8863</v>
      </c>
      <c r="C207" t="s">
        <v>8901</v>
      </c>
      <c r="D207" t="s">
        <v>9106</v>
      </c>
      <c r="E207" t="s">
        <v>8909</v>
      </c>
      <c r="F207" s="1">
        <v>46161</v>
      </c>
      <c r="G207" t="str">
        <f>"102893"</f>
        <v>102893</v>
      </c>
      <c r="H207" t="s">
        <v>2742</v>
      </c>
      <c r="I207" t="s">
        <v>8904</v>
      </c>
      <c r="J207">
        <v>3564</v>
      </c>
    </row>
    <row r="208" spans="1:10" x14ac:dyDescent="0.25">
      <c r="A208" t="s">
        <v>8890</v>
      </c>
      <c r="C208" t="s">
        <v>8901</v>
      </c>
      <c r="D208" t="s">
        <v>9107</v>
      </c>
      <c r="E208" t="s">
        <v>9108</v>
      </c>
      <c r="F208" s="1">
        <v>46161</v>
      </c>
      <c r="G208" t="str">
        <f>"102933"</f>
        <v>102933</v>
      </c>
      <c r="H208" t="s">
        <v>2783</v>
      </c>
      <c r="I208" t="s">
        <v>8904</v>
      </c>
      <c r="J208">
        <v>6737.78</v>
      </c>
    </row>
    <row r="209" spans="1:10" x14ac:dyDescent="0.25">
      <c r="A209" t="s">
        <v>8863</v>
      </c>
      <c r="C209" t="s">
        <v>8901</v>
      </c>
      <c r="D209" t="s">
        <v>9109</v>
      </c>
      <c r="E209" t="s">
        <v>8909</v>
      </c>
      <c r="F209" s="1">
        <v>46161</v>
      </c>
      <c r="G209" t="str">
        <f>"102935"</f>
        <v>102935</v>
      </c>
      <c r="H209" t="s">
        <v>2785</v>
      </c>
      <c r="I209" t="s">
        <v>8904</v>
      </c>
      <c r="J209">
        <v>6600</v>
      </c>
    </row>
    <row r="210" spans="1:10" x14ac:dyDescent="0.25">
      <c r="A210" t="s">
        <v>8863</v>
      </c>
      <c r="C210" t="s">
        <v>8901</v>
      </c>
      <c r="D210" t="s">
        <v>9110</v>
      </c>
      <c r="E210" t="s">
        <v>8909</v>
      </c>
      <c r="F210" s="1">
        <v>46162</v>
      </c>
      <c r="G210" t="str">
        <f>"100527"</f>
        <v>100527</v>
      </c>
      <c r="H210" t="s">
        <v>526</v>
      </c>
      <c r="I210" t="s">
        <v>8904</v>
      </c>
      <c r="J210">
        <v>5760</v>
      </c>
    </row>
    <row r="211" spans="1:10" x14ac:dyDescent="0.25">
      <c r="A211" t="s">
        <v>8863</v>
      </c>
      <c r="C211" t="s">
        <v>8901</v>
      </c>
      <c r="D211" t="s">
        <v>9111</v>
      </c>
      <c r="E211" t="s">
        <v>9112</v>
      </c>
      <c r="F211" s="1">
        <v>46162</v>
      </c>
      <c r="G211" t="str">
        <f>"101335"</f>
        <v>101335</v>
      </c>
      <c r="H211" t="s">
        <v>1332</v>
      </c>
      <c r="I211" t="s">
        <v>8904</v>
      </c>
      <c r="J211">
        <v>132601.5</v>
      </c>
    </row>
    <row r="212" spans="1:10" x14ac:dyDescent="0.25">
      <c r="A212" t="s">
        <v>8863</v>
      </c>
      <c r="C212" t="s">
        <v>8901</v>
      </c>
      <c r="D212" t="s">
        <v>9113</v>
      </c>
      <c r="E212" t="s">
        <v>8909</v>
      </c>
      <c r="F212" s="1">
        <v>46162</v>
      </c>
      <c r="G212" t="str">
        <f>"102252"</f>
        <v>102252</v>
      </c>
      <c r="H212" t="s">
        <v>2245</v>
      </c>
      <c r="I212" t="s">
        <v>8904</v>
      </c>
      <c r="J212">
        <v>32670</v>
      </c>
    </row>
    <row r="213" spans="1:10" x14ac:dyDescent="0.25">
      <c r="A213" t="s">
        <v>8863</v>
      </c>
      <c r="C213" t="s">
        <v>8901</v>
      </c>
      <c r="D213" t="s">
        <v>9114</v>
      </c>
      <c r="E213" t="s">
        <v>9057</v>
      </c>
      <c r="F213" s="1">
        <v>46162</v>
      </c>
      <c r="G213" t="str">
        <f>"102526"</f>
        <v>102526</v>
      </c>
      <c r="H213" t="s">
        <v>2415</v>
      </c>
      <c r="I213" t="s">
        <v>8904</v>
      </c>
      <c r="J213">
        <v>1872.56</v>
      </c>
    </row>
    <row r="214" spans="1:10" x14ac:dyDescent="0.25">
      <c r="A214" t="s">
        <v>8863</v>
      </c>
      <c r="C214" t="s">
        <v>8901</v>
      </c>
      <c r="D214" t="s">
        <v>9115</v>
      </c>
      <c r="E214" t="s">
        <v>9023</v>
      </c>
      <c r="F214" s="1">
        <v>46162</v>
      </c>
      <c r="G214" t="str">
        <f>"102701"</f>
        <v>102701</v>
      </c>
      <c r="H214" t="s">
        <v>2555</v>
      </c>
      <c r="I214" t="s">
        <v>8904</v>
      </c>
      <c r="J214">
        <v>21780</v>
      </c>
    </row>
    <row r="215" spans="1:10" x14ac:dyDescent="0.25">
      <c r="A215" t="s">
        <v>8863</v>
      </c>
      <c r="C215" t="s">
        <v>8901</v>
      </c>
      <c r="D215" t="s">
        <v>9116</v>
      </c>
      <c r="E215" t="s">
        <v>8907</v>
      </c>
      <c r="F215" s="1">
        <v>46162</v>
      </c>
      <c r="G215" t="str">
        <f>"102914"</f>
        <v>102914</v>
      </c>
      <c r="H215" t="s">
        <v>2764</v>
      </c>
      <c r="I215" t="s">
        <v>8904</v>
      </c>
      <c r="J215">
        <v>383234.4</v>
      </c>
    </row>
    <row r="216" spans="1:10" x14ac:dyDescent="0.25">
      <c r="A216" t="s">
        <v>8863</v>
      </c>
      <c r="C216" t="s">
        <v>8901</v>
      </c>
      <c r="D216" t="s">
        <v>9117</v>
      </c>
      <c r="E216" t="s">
        <v>9112</v>
      </c>
      <c r="F216" s="1">
        <v>46163</v>
      </c>
      <c r="G216" t="str">
        <f>"101335"</f>
        <v>101335</v>
      </c>
      <c r="H216" t="s">
        <v>1332</v>
      </c>
      <c r="I216" t="s">
        <v>8904</v>
      </c>
      <c r="J216">
        <v>132601.5</v>
      </c>
    </row>
    <row r="217" spans="1:10" x14ac:dyDescent="0.25">
      <c r="A217" t="s">
        <v>8863</v>
      </c>
      <c r="C217" t="s">
        <v>8901</v>
      </c>
      <c r="D217" t="s">
        <v>9118</v>
      </c>
      <c r="E217" t="s">
        <v>8907</v>
      </c>
      <c r="F217" s="1">
        <v>46163</v>
      </c>
      <c r="G217" t="str">
        <f>"102913"</f>
        <v>102913</v>
      </c>
      <c r="H217" t="s">
        <v>2763</v>
      </c>
      <c r="I217" t="s">
        <v>8904</v>
      </c>
      <c r="J217">
        <v>383234.4</v>
      </c>
    </row>
    <row r="218" spans="1:10" x14ac:dyDescent="0.25">
      <c r="A218" t="s">
        <v>9119</v>
      </c>
      <c r="C218" t="s">
        <v>8901</v>
      </c>
      <c r="D218" t="s">
        <v>9120</v>
      </c>
      <c r="E218" t="s">
        <v>9121</v>
      </c>
      <c r="F218" s="1">
        <v>46164</v>
      </c>
      <c r="G218" t="str">
        <f>"100055"</f>
        <v>100055</v>
      </c>
      <c r="H218" t="s">
        <v>56</v>
      </c>
      <c r="I218" t="s">
        <v>8904</v>
      </c>
      <c r="J218">
        <v>0</v>
      </c>
    </row>
    <row r="219" spans="1:10" x14ac:dyDescent="0.25">
      <c r="A219" t="s">
        <v>9119</v>
      </c>
      <c r="C219" t="s">
        <v>8901</v>
      </c>
      <c r="D219" t="s">
        <v>9122</v>
      </c>
      <c r="E219" t="s">
        <v>9121</v>
      </c>
      <c r="F219" s="1">
        <v>46164</v>
      </c>
      <c r="G219" t="str">
        <f>"100144"</f>
        <v>100144</v>
      </c>
      <c r="H219" t="s">
        <v>145</v>
      </c>
      <c r="I219" t="s">
        <v>8904</v>
      </c>
      <c r="J219">
        <v>0</v>
      </c>
    </row>
    <row r="220" spans="1:10" x14ac:dyDescent="0.25">
      <c r="A220" t="s">
        <v>9119</v>
      </c>
      <c r="C220" t="s">
        <v>8901</v>
      </c>
      <c r="D220" t="s">
        <v>9123</v>
      </c>
      <c r="E220" t="s">
        <v>9121</v>
      </c>
      <c r="F220" s="1">
        <v>46164</v>
      </c>
      <c r="G220" t="str">
        <f>"100149"</f>
        <v>100149</v>
      </c>
      <c r="H220" t="s">
        <v>150</v>
      </c>
      <c r="I220" t="s">
        <v>8904</v>
      </c>
      <c r="J220">
        <v>0</v>
      </c>
    </row>
    <row r="221" spans="1:10" x14ac:dyDescent="0.25">
      <c r="A221" t="s">
        <v>9119</v>
      </c>
      <c r="C221" t="s">
        <v>8901</v>
      </c>
      <c r="D221" t="s">
        <v>9124</v>
      </c>
      <c r="E221" t="s">
        <v>9121</v>
      </c>
      <c r="F221" s="1">
        <v>46164</v>
      </c>
      <c r="G221" t="str">
        <f>"100161"</f>
        <v>100161</v>
      </c>
      <c r="H221" t="s">
        <v>161</v>
      </c>
      <c r="I221" t="s">
        <v>8904</v>
      </c>
      <c r="J221">
        <v>0</v>
      </c>
    </row>
    <row r="222" spans="1:10" x14ac:dyDescent="0.25">
      <c r="A222" t="s">
        <v>9119</v>
      </c>
      <c r="C222" t="s">
        <v>8901</v>
      </c>
      <c r="D222" t="s">
        <v>9125</v>
      </c>
      <c r="E222" t="s">
        <v>9121</v>
      </c>
      <c r="F222" s="1">
        <v>46164</v>
      </c>
      <c r="G222" t="str">
        <f>"100165"</f>
        <v>100165</v>
      </c>
      <c r="H222" t="s">
        <v>165</v>
      </c>
      <c r="I222" t="s">
        <v>8904</v>
      </c>
      <c r="J222">
        <v>0</v>
      </c>
    </row>
    <row r="223" spans="1:10" x14ac:dyDescent="0.25">
      <c r="A223" t="s">
        <v>9119</v>
      </c>
      <c r="C223" t="s">
        <v>8901</v>
      </c>
      <c r="D223" t="s">
        <v>9126</v>
      </c>
      <c r="E223" t="s">
        <v>9121</v>
      </c>
      <c r="F223" s="1">
        <v>46164</v>
      </c>
      <c r="G223" t="str">
        <f>"100190"</f>
        <v>100190</v>
      </c>
      <c r="H223" t="s">
        <v>189</v>
      </c>
      <c r="I223" t="s">
        <v>8904</v>
      </c>
      <c r="J223">
        <v>0</v>
      </c>
    </row>
    <row r="224" spans="1:10" x14ac:dyDescent="0.25">
      <c r="A224" t="s">
        <v>9119</v>
      </c>
      <c r="C224" t="s">
        <v>8901</v>
      </c>
      <c r="D224" t="s">
        <v>9127</v>
      </c>
      <c r="E224" t="s">
        <v>9121</v>
      </c>
      <c r="F224" s="1">
        <v>46164</v>
      </c>
      <c r="G224" t="str">
        <f>"100193"</f>
        <v>100193</v>
      </c>
      <c r="H224" t="s">
        <v>192</v>
      </c>
      <c r="I224" t="s">
        <v>8904</v>
      </c>
      <c r="J224">
        <v>0</v>
      </c>
    </row>
    <row r="225" spans="1:10" x14ac:dyDescent="0.25">
      <c r="A225" t="s">
        <v>9119</v>
      </c>
      <c r="C225" t="s">
        <v>8901</v>
      </c>
      <c r="D225" t="s">
        <v>9128</v>
      </c>
      <c r="E225" t="s">
        <v>9121</v>
      </c>
      <c r="F225" s="1">
        <v>46164</v>
      </c>
      <c r="G225" t="str">
        <f>"100203"</f>
        <v>100203</v>
      </c>
      <c r="H225" t="s">
        <v>201</v>
      </c>
      <c r="I225" t="s">
        <v>8904</v>
      </c>
      <c r="J225">
        <v>0</v>
      </c>
    </row>
    <row r="226" spans="1:10" x14ac:dyDescent="0.25">
      <c r="A226" t="s">
        <v>9119</v>
      </c>
      <c r="C226" t="s">
        <v>8901</v>
      </c>
      <c r="D226" t="s">
        <v>9129</v>
      </c>
      <c r="E226" t="s">
        <v>9121</v>
      </c>
      <c r="F226" s="1">
        <v>46164</v>
      </c>
      <c r="G226" t="str">
        <f>"100249"</f>
        <v>100249</v>
      </c>
      <c r="H226" t="s">
        <v>247</v>
      </c>
      <c r="I226" t="s">
        <v>8904</v>
      </c>
      <c r="J226">
        <v>0</v>
      </c>
    </row>
    <row r="227" spans="1:10" x14ac:dyDescent="0.25">
      <c r="A227" t="s">
        <v>9119</v>
      </c>
      <c r="C227" t="s">
        <v>8901</v>
      </c>
      <c r="D227" t="s">
        <v>9130</v>
      </c>
      <c r="E227" t="s">
        <v>9121</v>
      </c>
      <c r="F227" s="1">
        <v>46164</v>
      </c>
      <c r="G227" t="str">
        <f>"100250"</f>
        <v>100250</v>
      </c>
      <c r="H227" t="s">
        <v>248</v>
      </c>
      <c r="I227" t="s">
        <v>8904</v>
      </c>
      <c r="J227">
        <v>0</v>
      </c>
    </row>
    <row r="228" spans="1:10" x14ac:dyDescent="0.25">
      <c r="A228" t="s">
        <v>9119</v>
      </c>
      <c r="C228" t="s">
        <v>8901</v>
      </c>
      <c r="D228" t="s">
        <v>9131</v>
      </c>
      <c r="E228" t="s">
        <v>9121</v>
      </c>
      <c r="F228" s="1">
        <v>46164</v>
      </c>
      <c r="G228" t="str">
        <f>"100275"</f>
        <v>100275</v>
      </c>
      <c r="H228" t="s">
        <v>273</v>
      </c>
      <c r="I228" t="s">
        <v>8904</v>
      </c>
      <c r="J228">
        <v>0</v>
      </c>
    </row>
    <row r="229" spans="1:10" x14ac:dyDescent="0.25">
      <c r="A229" t="s">
        <v>9119</v>
      </c>
      <c r="C229" t="s">
        <v>8901</v>
      </c>
      <c r="D229" t="s">
        <v>9132</v>
      </c>
      <c r="E229" t="s">
        <v>9121</v>
      </c>
      <c r="F229" s="1">
        <v>46164</v>
      </c>
      <c r="G229" t="str">
        <f>"100445"</f>
        <v>100445</v>
      </c>
      <c r="H229" t="s">
        <v>444</v>
      </c>
      <c r="I229" t="s">
        <v>8904</v>
      </c>
      <c r="J229">
        <v>0</v>
      </c>
    </row>
    <row r="230" spans="1:10" x14ac:dyDescent="0.25">
      <c r="A230" t="s">
        <v>9119</v>
      </c>
      <c r="C230" t="s">
        <v>8901</v>
      </c>
      <c r="D230" t="s">
        <v>9133</v>
      </c>
      <c r="E230" t="s">
        <v>9121</v>
      </c>
      <c r="F230" s="1">
        <v>46164</v>
      </c>
      <c r="G230" t="str">
        <f>"100767"</f>
        <v>100767</v>
      </c>
      <c r="H230" t="s">
        <v>764</v>
      </c>
      <c r="I230" t="s">
        <v>8904</v>
      </c>
      <c r="J230">
        <v>0</v>
      </c>
    </row>
    <row r="231" spans="1:10" x14ac:dyDescent="0.25">
      <c r="A231" t="s">
        <v>9119</v>
      </c>
      <c r="C231" t="s">
        <v>8901</v>
      </c>
      <c r="D231" t="s">
        <v>9134</v>
      </c>
      <c r="E231" t="s">
        <v>9121</v>
      </c>
      <c r="F231" s="1">
        <v>46164</v>
      </c>
      <c r="G231" t="str">
        <f>"100804"</f>
        <v>100804</v>
      </c>
      <c r="H231" t="s">
        <v>801</v>
      </c>
      <c r="I231" t="s">
        <v>8904</v>
      </c>
      <c r="J231">
        <v>0</v>
      </c>
    </row>
    <row r="232" spans="1:10" x14ac:dyDescent="0.25">
      <c r="A232" t="s">
        <v>9119</v>
      </c>
      <c r="C232" t="s">
        <v>8901</v>
      </c>
      <c r="D232" t="s">
        <v>9135</v>
      </c>
      <c r="E232" t="s">
        <v>9136</v>
      </c>
      <c r="F232" s="1">
        <v>46164</v>
      </c>
      <c r="G232" t="str">
        <f>"100872"</f>
        <v>100872</v>
      </c>
      <c r="H232" t="s">
        <v>869</v>
      </c>
      <c r="I232" t="s">
        <v>8904</v>
      </c>
      <c r="J232">
        <v>20342.0016</v>
      </c>
    </row>
    <row r="233" spans="1:10" x14ac:dyDescent="0.25">
      <c r="A233" t="s">
        <v>9119</v>
      </c>
      <c r="C233" t="s">
        <v>8901</v>
      </c>
      <c r="D233" t="s">
        <v>9137</v>
      </c>
      <c r="E233" t="s">
        <v>9136</v>
      </c>
      <c r="F233" s="1">
        <v>46164</v>
      </c>
      <c r="G233" t="str">
        <f>"101400"</f>
        <v>101400</v>
      </c>
      <c r="H233" t="s">
        <v>1397</v>
      </c>
      <c r="I233" t="s">
        <v>8904</v>
      </c>
      <c r="J233">
        <v>20342.0016</v>
      </c>
    </row>
    <row r="234" spans="1:10" x14ac:dyDescent="0.25">
      <c r="A234" t="s">
        <v>9119</v>
      </c>
      <c r="C234" t="s">
        <v>8901</v>
      </c>
      <c r="D234" t="s">
        <v>9138</v>
      </c>
      <c r="E234" t="s">
        <v>9136</v>
      </c>
      <c r="F234" s="1">
        <v>46164</v>
      </c>
      <c r="G234" t="str">
        <f>"101555"</f>
        <v>101555</v>
      </c>
      <c r="H234" t="s">
        <v>1551</v>
      </c>
      <c r="I234" t="s">
        <v>8904</v>
      </c>
      <c r="J234">
        <v>20342.0016</v>
      </c>
    </row>
    <row r="235" spans="1:10" x14ac:dyDescent="0.25">
      <c r="A235" t="s">
        <v>9119</v>
      </c>
      <c r="C235" t="s">
        <v>8901</v>
      </c>
      <c r="D235" t="s">
        <v>9139</v>
      </c>
      <c r="E235" t="s">
        <v>9136</v>
      </c>
      <c r="F235" s="1">
        <v>46164</v>
      </c>
      <c r="G235" t="str">
        <f>"101600"</f>
        <v>101600</v>
      </c>
      <c r="H235" t="s">
        <v>1596</v>
      </c>
      <c r="I235" t="s">
        <v>8904</v>
      </c>
      <c r="J235">
        <v>20342.0016</v>
      </c>
    </row>
    <row r="236" spans="1:10" x14ac:dyDescent="0.25">
      <c r="A236" t="s">
        <v>9119</v>
      </c>
      <c r="C236" t="s">
        <v>8901</v>
      </c>
      <c r="D236" t="s">
        <v>9140</v>
      </c>
      <c r="E236" t="s">
        <v>9136</v>
      </c>
      <c r="F236" s="1">
        <v>46164</v>
      </c>
      <c r="G236" t="str">
        <f>"102300"</f>
        <v>102300</v>
      </c>
      <c r="H236" t="s">
        <v>2294</v>
      </c>
      <c r="I236" t="s">
        <v>8904</v>
      </c>
      <c r="J236">
        <v>20342.0016</v>
      </c>
    </row>
    <row r="237" spans="1:10" x14ac:dyDescent="0.25">
      <c r="A237" t="s">
        <v>9119</v>
      </c>
      <c r="C237" t="s">
        <v>8901</v>
      </c>
      <c r="D237" t="s">
        <v>9141</v>
      </c>
      <c r="E237" t="s">
        <v>9136</v>
      </c>
      <c r="F237" s="1">
        <v>46164</v>
      </c>
      <c r="G237" t="str">
        <f>"102644"</f>
        <v>102644</v>
      </c>
      <c r="H237" t="s">
        <v>2498</v>
      </c>
      <c r="I237" t="s">
        <v>8904</v>
      </c>
      <c r="J237">
        <v>20342.0016</v>
      </c>
    </row>
    <row r="238" spans="1:10" x14ac:dyDescent="0.25">
      <c r="A238" t="s">
        <v>8863</v>
      </c>
      <c r="C238" t="s">
        <v>8901</v>
      </c>
      <c r="D238" t="s">
        <v>9142</v>
      </c>
      <c r="E238" t="s">
        <v>8909</v>
      </c>
      <c r="F238" s="1">
        <v>46164</v>
      </c>
      <c r="G238" t="str">
        <f>"120378"</f>
        <v>120378</v>
      </c>
      <c r="H238" t="s">
        <v>2805</v>
      </c>
      <c r="I238" t="s">
        <v>8904</v>
      </c>
      <c r="J238">
        <v>3024.06</v>
      </c>
    </row>
    <row r="239" spans="1:10" x14ac:dyDescent="0.25">
      <c r="A239" t="s">
        <v>8863</v>
      </c>
      <c r="C239" t="s">
        <v>8901</v>
      </c>
      <c r="D239" t="s">
        <v>9143</v>
      </c>
      <c r="E239" t="s">
        <v>9144</v>
      </c>
      <c r="F239" s="1">
        <v>46165</v>
      </c>
      <c r="G239" t="str">
        <f>"102798"</f>
        <v>102798</v>
      </c>
      <c r="H239" t="s">
        <v>2648</v>
      </c>
      <c r="I239" t="s">
        <v>8904</v>
      </c>
      <c r="J239">
        <v>8547</v>
      </c>
    </row>
    <row r="240" spans="1:10" x14ac:dyDescent="0.25">
      <c r="A240" t="s">
        <v>9054</v>
      </c>
      <c r="C240" t="s">
        <v>8901</v>
      </c>
      <c r="D240" t="s">
        <v>9145</v>
      </c>
      <c r="E240" t="s">
        <v>9072</v>
      </c>
      <c r="F240" s="1">
        <v>46165</v>
      </c>
      <c r="G240" t="str">
        <f>"102935"</f>
        <v>102935</v>
      </c>
      <c r="H240" t="s">
        <v>2785</v>
      </c>
      <c r="I240" t="s">
        <v>8904</v>
      </c>
      <c r="J240">
        <v>6600</v>
      </c>
    </row>
    <row r="241" spans="1:10" x14ac:dyDescent="0.25">
      <c r="A241" t="s">
        <v>8863</v>
      </c>
      <c r="C241" t="s">
        <v>8901</v>
      </c>
      <c r="D241" t="s">
        <v>9146</v>
      </c>
      <c r="E241" t="s">
        <v>9005</v>
      </c>
      <c r="F241" s="1">
        <v>46167</v>
      </c>
      <c r="G241" t="str">
        <f>"102592"</f>
        <v>102592</v>
      </c>
      <c r="H241" t="s">
        <v>2446</v>
      </c>
      <c r="I241" t="s">
        <v>8904</v>
      </c>
      <c r="J241">
        <v>404103.6</v>
      </c>
    </row>
    <row r="242" spans="1:10" x14ac:dyDescent="0.25">
      <c r="A242" t="s">
        <v>8863</v>
      </c>
      <c r="C242" t="s">
        <v>8901</v>
      </c>
      <c r="D242" t="s">
        <v>9147</v>
      </c>
      <c r="E242" t="s">
        <v>8907</v>
      </c>
      <c r="F242" s="1">
        <v>46174</v>
      </c>
      <c r="G242" t="str">
        <f>"102180"</f>
        <v>102180</v>
      </c>
      <c r="H242" t="s">
        <v>2172</v>
      </c>
      <c r="I242" t="s">
        <v>8904</v>
      </c>
      <c r="J242">
        <v>383234.4</v>
      </c>
    </row>
    <row r="243" spans="1:10" x14ac:dyDescent="0.25">
      <c r="A243" t="s">
        <v>8863</v>
      </c>
      <c r="C243" t="s">
        <v>8901</v>
      </c>
      <c r="D243" t="s">
        <v>9148</v>
      </c>
      <c r="E243" t="s">
        <v>9149</v>
      </c>
      <c r="F243" s="1">
        <v>46175</v>
      </c>
      <c r="G243" t="str">
        <f>"100021"</f>
        <v>100021</v>
      </c>
      <c r="H243" t="s">
        <v>22</v>
      </c>
      <c r="I243" t="s">
        <v>8904</v>
      </c>
      <c r="J243">
        <v>792</v>
      </c>
    </row>
    <row r="244" spans="1:10" x14ac:dyDescent="0.25">
      <c r="A244" t="s">
        <v>8863</v>
      </c>
      <c r="C244" t="s">
        <v>8901</v>
      </c>
      <c r="D244" t="s">
        <v>9150</v>
      </c>
      <c r="E244" t="s">
        <v>9151</v>
      </c>
      <c r="F244" s="1">
        <v>46175</v>
      </c>
      <c r="G244" t="str">
        <f>"102205"</f>
        <v>102205</v>
      </c>
      <c r="H244" t="s">
        <v>2197</v>
      </c>
      <c r="I244" t="s">
        <v>8904</v>
      </c>
      <c r="J244">
        <v>140805</v>
      </c>
    </row>
    <row r="245" spans="1:10" x14ac:dyDescent="0.25">
      <c r="A245" t="s">
        <v>8863</v>
      </c>
      <c r="C245" t="s">
        <v>8901</v>
      </c>
      <c r="D245" t="s">
        <v>9152</v>
      </c>
      <c r="E245" t="s">
        <v>9153</v>
      </c>
      <c r="F245" s="1">
        <v>46176</v>
      </c>
      <c r="G245" t="str">
        <f>"101316"</f>
        <v>101316</v>
      </c>
      <c r="H245" t="s">
        <v>1313</v>
      </c>
      <c r="I245" t="s">
        <v>8904</v>
      </c>
      <c r="J245">
        <v>160704</v>
      </c>
    </row>
    <row r="246" spans="1:10" x14ac:dyDescent="0.25">
      <c r="A246" t="s">
        <v>8863</v>
      </c>
      <c r="C246" t="s">
        <v>8901</v>
      </c>
      <c r="D246" t="s">
        <v>9154</v>
      </c>
      <c r="E246" t="s">
        <v>9155</v>
      </c>
      <c r="F246" s="1">
        <v>46176</v>
      </c>
      <c r="G246" t="str">
        <f>"101316"</f>
        <v>101316</v>
      </c>
      <c r="H246" t="s">
        <v>1313</v>
      </c>
      <c r="I246" t="s">
        <v>8904</v>
      </c>
      <c r="J246">
        <v>160704</v>
      </c>
    </row>
    <row r="247" spans="1:10" x14ac:dyDescent="0.25">
      <c r="A247" t="s">
        <v>8863</v>
      </c>
      <c r="C247" t="s">
        <v>8901</v>
      </c>
      <c r="D247" t="s">
        <v>9156</v>
      </c>
      <c r="E247" t="s">
        <v>9153</v>
      </c>
      <c r="F247" s="1">
        <v>46177</v>
      </c>
      <c r="G247" t="str">
        <f>"101316"</f>
        <v>101316</v>
      </c>
      <c r="H247" t="s">
        <v>1313</v>
      </c>
      <c r="I247" t="s">
        <v>8904</v>
      </c>
      <c r="J247">
        <v>160704</v>
      </c>
    </row>
    <row r="248" spans="1:10" x14ac:dyDescent="0.25">
      <c r="A248" t="s">
        <v>8863</v>
      </c>
      <c r="C248" t="s">
        <v>8901</v>
      </c>
      <c r="D248" t="s">
        <v>9157</v>
      </c>
      <c r="E248" t="s">
        <v>9151</v>
      </c>
      <c r="F248" s="1">
        <v>46177</v>
      </c>
      <c r="G248" t="str">
        <f>"102205"</f>
        <v>102205</v>
      </c>
      <c r="H248" t="s">
        <v>2197</v>
      </c>
      <c r="I248" t="s">
        <v>8904</v>
      </c>
      <c r="J248">
        <v>140794.875</v>
      </c>
    </row>
    <row r="249" spans="1:10" x14ac:dyDescent="0.25">
      <c r="A249" t="s">
        <v>8863</v>
      </c>
      <c r="C249" t="s">
        <v>8901</v>
      </c>
      <c r="D249" t="s">
        <v>9158</v>
      </c>
      <c r="E249" t="s">
        <v>9159</v>
      </c>
      <c r="F249" s="1">
        <v>46177</v>
      </c>
      <c r="G249" t="str">
        <f>"102592"</f>
        <v>102592</v>
      </c>
      <c r="H249" t="s">
        <v>2446</v>
      </c>
      <c r="I249" t="s">
        <v>8904</v>
      </c>
      <c r="J249">
        <v>404103.6</v>
      </c>
    </row>
    <row r="250" spans="1:10" x14ac:dyDescent="0.25">
      <c r="A250" t="s">
        <v>8863</v>
      </c>
      <c r="C250" t="s">
        <v>8901</v>
      </c>
      <c r="D250" t="s">
        <v>9160</v>
      </c>
      <c r="E250" t="s">
        <v>8907</v>
      </c>
      <c r="F250" s="1">
        <v>46178</v>
      </c>
      <c r="G250" t="str">
        <f>"102914"</f>
        <v>102914</v>
      </c>
      <c r="H250" t="s">
        <v>2764</v>
      </c>
      <c r="I250" t="s">
        <v>8904</v>
      </c>
      <c r="J250">
        <v>383234.4</v>
      </c>
    </row>
    <row r="251" spans="1:10" x14ac:dyDescent="0.25">
      <c r="A251" t="s">
        <v>9119</v>
      </c>
      <c r="C251" t="s">
        <v>8901</v>
      </c>
      <c r="D251" t="s">
        <v>9161</v>
      </c>
      <c r="E251" t="s">
        <v>8967</v>
      </c>
      <c r="F251" s="1">
        <v>46181</v>
      </c>
      <c r="G251" t="str">
        <f>"100099"</f>
        <v>100099</v>
      </c>
      <c r="H251" t="s">
        <v>100</v>
      </c>
      <c r="I251" t="s">
        <v>8904</v>
      </c>
      <c r="J251">
        <v>60000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BFB23-979E-440F-AB31-7F7F11EF189D}">
  <dimension ref="A3:A10"/>
  <sheetViews>
    <sheetView workbookViewId="0">
      <selection activeCell="A3" sqref="A3"/>
    </sheetView>
  </sheetViews>
  <sheetFormatPr baseColWidth="10" defaultRowHeight="15" x14ac:dyDescent="0.25"/>
  <cols>
    <col min="1" max="1" width="21" bestFit="1" customWidth="1"/>
  </cols>
  <sheetData>
    <row r="3" spans="1:1" x14ac:dyDescent="0.25">
      <c r="A3" s="14" t="s">
        <v>13094</v>
      </c>
    </row>
    <row r="4" spans="1:1" x14ac:dyDescent="0.25">
      <c r="A4" s="15" t="s">
        <v>8902</v>
      </c>
    </row>
    <row r="5" spans="1:1" x14ac:dyDescent="0.25">
      <c r="A5" s="16" t="s">
        <v>13095</v>
      </c>
    </row>
    <row r="6" spans="1:1" x14ac:dyDescent="0.25">
      <c r="A6" s="15" t="s">
        <v>8905</v>
      </c>
    </row>
    <row r="7" spans="1:1" x14ac:dyDescent="0.25">
      <c r="A7" s="16" t="s">
        <v>13095</v>
      </c>
    </row>
    <row r="8" spans="1:1" x14ac:dyDescent="0.25">
      <c r="A8" s="15" t="s">
        <v>13095</v>
      </c>
    </row>
    <row r="9" spans="1:1" x14ac:dyDescent="0.25">
      <c r="A9" s="16" t="s">
        <v>13095</v>
      </c>
    </row>
    <row r="10" spans="1:1" x14ac:dyDescent="0.25">
      <c r="A10" s="15" t="s">
        <v>13096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8B1F4-3AF8-4304-882D-6BBD8414167D}">
  <dimension ref="A1:J3"/>
  <sheetViews>
    <sheetView workbookViewId="0">
      <selection sqref="A1:XFD1048576"/>
    </sheetView>
  </sheetViews>
  <sheetFormatPr baseColWidth="10" defaultRowHeight="15" x14ac:dyDescent="0.25"/>
  <cols>
    <col min="1" max="1" width="5.85546875" bestFit="1" customWidth="1"/>
    <col min="2" max="2" width="4.42578125" bestFit="1" customWidth="1"/>
    <col min="3" max="3" width="6.28515625" bestFit="1" customWidth="1"/>
    <col min="4" max="4" width="9.28515625" bestFit="1" customWidth="1"/>
    <col min="5" max="5" width="10.140625" bestFit="1" customWidth="1"/>
    <col min="6" max="6" width="10.7109375" bestFit="1" customWidth="1"/>
    <col min="7" max="7" width="8.5703125" bestFit="1" customWidth="1"/>
    <col min="8" max="8" width="21.42578125" bestFit="1" customWidth="1"/>
    <col min="9" max="9" width="11.28515625" bestFit="1" customWidth="1"/>
    <col min="10" max="10" width="9.28515625" bestFit="1" customWidth="1"/>
  </cols>
  <sheetData>
    <row r="1" spans="1:10" x14ac:dyDescent="0.25">
      <c r="A1" t="s">
        <v>3324</v>
      </c>
      <c r="B1" t="s">
        <v>8854</v>
      </c>
      <c r="C1" t="s">
        <v>8855</v>
      </c>
      <c r="D1" t="s">
        <v>8856</v>
      </c>
      <c r="E1" t="s">
        <v>8857</v>
      </c>
      <c r="F1" t="s">
        <v>8858</v>
      </c>
      <c r="G1" t="s">
        <v>8859</v>
      </c>
      <c r="H1" t="s">
        <v>8860</v>
      </c>
      <c r="I1" t="s">
        <v>8861</v>
      </c>
      <c r="J1" t="s">
        <v>8862</v>
      </c>
    </row>
    <row r="2" spans="1:10" x14ac:dyDescent="0.25">
      <c r="A2" t="s">
        <v>8900</v>
      </c>
      <c r="C2" t="s">
        <v>8901</v>
      </c>
      <c r="D2" t="s">
        <v>8902</v>
      </c>
      <c r="E2" t="s">
        <v>8903</v>
      </c>
      <c r="F2" s="1">
        <v>46077</v>
      </c>
      <c r="G2" t="str">
        <f>"120379"</f>
        <v>120379</v>
      </c>
      <c r="H2" t="s">
        <v>2806</v>
      </c>
      <c r="I2" t="s">
        <v>8904</v>
      </c>
      <c r="J2">
        <v>376992</v>
      </c>
    </row>
    <row r="3" spans="1:10" x14ac:dyDescent="0.25">
      <c r="A3" t="s">
        <v>8900</v>
      </c>
      <c r="C3" t="s">
        <v>8901</v>
      </c>
      <c r="D3" t="s">
        <v>8905</v>
      </c>
      <c r="F3" s="1">
        <v>46081</v>
      </c>
      <c r="G3" t="str">
        <f>"101720"</f>
        <v>101720</v>
      </c>
      <c r="H3" t="s">
        <v>1716</v>
      </c>
      <c r="I3" t="s">
        <v>8904</v>
      </c>
      <c r="J3">
        <v>2091.8000000000002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631E0-0E8F-40D0-B572-DA6C7575308B}">
  <dimension ref="A3:A11"/>
  <sheetViews>
    <sheetView workbookViewId="0">
      <selection activeCell="A3" sqref="A3"/>
    </sheetView>
  </sheetViews>
  <sheetFormatPr baseColWidth="10" defaultRowHeight="15" x14ac:dyDescent="0.25"/>
  <cols>
    <col min="1" max="1" width="21" bestFit="1" customWidth="1"/>
  </cols>
  <sheetData>
    <row r="3" spans="1:1" x14ac:dyDescent="0.25">
      <c r="A3" s="14" t="s">
        <v>13094</v>
      </c>
    </row>
    <row r="4" spans="1:1" x14ac:dyDescent="0.25">
      <c r="A4" s="15" t="s">
        <v>8901</v>
      </c>
    </row>
    <row r="5" spans="1:1" x14ac:dyDescent="0.25">
      <c r="A5" s="20">
        <v>46148</v>
      </c>
    </row>
    <row r="6" spans="1:1" x14ac:dyDescent="0.25">
      <c r="A6" s="20">
        <v>46149</v>
      </c>
    </row>
    <row r="7" spans="1:1" x14ac:dyDescent="0.25">
      <c r="A7" s="20">
        <v>46155</v>
      </c>
    </row>
    <row r="8" spans="1:1" x14ac:dyDescent="0.25">
      <c r="A8" s="20">
        <v>46165</v>
      </c>
    </row>
    <row r="9" spans="1:1" x14ac:dyDescent="0.25">
      <c r="A9" s="15" t="s">
        <v>13095</v>
      </c>
    </row>
    <row r="10" spans="1:1" x14ac:dyDescent="0.25">
      <c r="A10" s="16" t="s">
        <v>13095</v>
      </c>
    </row>
    <row r="11" spans="1:1" x14ac:dyDescent="0.25">
      <c r="A11" s="15" t="s">
        <v>13096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D6DF-7990-4168-8D26-EDEDD3286AAF}">
  <dimension ref="A1:J5"/>
  <sheetViews>
    <sheetView workbookViewId="0">
      <selection sqref="A1:XFD1048576"/>
    </sheetView>
  </sheetViews>
  <sheetFormatPr baseColWidth="10" defaultRowHeight="15" x14ac:dyDescent="0.25"/>
  <cols>
    <col min="1" max="1" width="22.42578125" bestFit="1" customWidth="1"/>
    <col min="2" max="2" width="4.42578125" bestFit="1" customWidth="1"/>
    <col min="3" max="3" width="6.28515625" bestFit="1" customWidth="1"/>
    <col min="4" max="4" width="9.5703125" bestFit="1" customWidth="1"/>
    <col min="5" max="5" width="19.5703125" bestFit="1" customWidth="1"/>
    <col min="6" max="6" width="10.7109375" bestFit="1" customWidth="1"/>
    <col min="7" max="7" width="8.5703125" bestFit="1" customWidth="1"/>
    <col min="8" max="8" width="27.5703125" bestFit="1" customWidth="1"/>
    <col min="9" max="9" width="11.28515625" bestFit="1" customWidth="1"/>
    <col min="10" max="10" width="9.28515625" bestFit="1" customWidth="1"/>
  </cols>
  <sheetData>
    <row r="1" spans="1:10" x14ac:dyDescent="0.25">
      <c r="A1" t="s">
        <v>3324</v>
      </c>
      <c r="B1" t="s">
        <v>8854</v>
      </c>
      <c r="C1" t="s">
        <v>8855</v>
      </c>
      <c r="D1" t="s">
        <v>8856</v>
      </c>
      <c r="E1" t="s">
        <v>8857</v>
      </c>
      <c r="F1" t="s">
        <v>8858</v>
      </c>
      <c r="G1" t="s">
        <v>8859</v>
      </c>
      <c r="H1" t="s">
        <v>8860</v>
      </c>
      <c r="I1" t="s">
        <v>8861</v>
      </c>
      <c r="J1" t="s">
        <v>8862</v>
      </c>
    </row>
    <row r="2" spans="1:10" x14ac:dyDescent="0.25">
      <c r="A2" t="s">
        <v>9054</v>
      </c>
      <c r="C2" t="s">
        <v>8901</v>
      </c>
      <c r="D2" t="s">
        <v>9055</v>
      </c>
      <c r="F2" s="1">
        <v>46148</v>
      </c>
      <c r="G2" t="str">
        <f>"100527"</f>
        <v>100527</v>
      </c>
      <c r="H2" t="s">
        <v>526</v>
      </c>
      <c r="I2" t="s">
        <v>8904</v>
      </c>
      <c r="J2">
        <v>9372</v>
      </c>
    </row>
    <row r="3" spans="1:10" x14ac:dyDescent="0.25">
      <c r="A3" t="s">
        <v>9054</v>
      </c>
      <c r="C3" t="s">
        <v>8901</v>
      </c>
      <c r="D3" t="s">
        <v>9063</v>
      </c>
      <c r="E3" t="s">
        <v>9064</v>
      </c>
      <c r="F3" s="1">
        <v>46149</v>
      </c>
      <c r="G3" t="str">
        <f>"102772"</f>
        <v>102772</v>
      </c>
      <c r="H3" t="s">
        <v>2622</v>
      </c>
      <c r="I3" t="s">
        <v>8904</v>
      </c>
      <c r="J3">
        <v>255528</v>
      </c>
    </row>
    <row r="4" spans="1:10" x14ac:dyDescent="0.25">
      <c r="A4" t="s">
        <v>9054</v>
      </c>
      <c r="C4" t="s">
        <v>8901</v>
      </c>
      <c r="D4" t="s">
        <v>9081</v>
      </c>
      <c r="F4" s="1">
        <v>46155</v>
      </c>
      <c r="G4" t="str">
        <f>"100283"</f>
        <v>100283</v>
      </c>
      <c r="H4" t="s">
        <v>281</v>
      </c>
      <c r="I4" t="s">
        <v>8904</v>
      </c>
      <c r="J4">
        <v>21.27</v>
      </c>
    </row>
    <row r="5" spans="1:10" x14ac:dyDescent="0.25">
      <c r="A5" t="s">
        <v>9054</v>
      </c>
      <c r="C5" t="s">
        <v>8901</v>
      </c>
      <c r="D5" t="s">
        <v>9145</v>
      </c>
      <c r="E5" t="s">
        <v>9072</v>
      </c>
      <c r="F5" s="1">
        <v>46165</v>
      </c>
      <c r="G5" t="str">
        <f>"102935"</f>
        <v>102935</v>
      </c>
      <c r="H5" t="s">
        <v>2785</v>
      </c>
      <c r="I5" t="s">
        <v>8904</v>
      </c>
      <c r="J5">
        <v>6600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D8BA-00E3-4D73-927A-ACD0555FFEAA}">
  <dimension ref="A3:A26"/>
  <sheetViews>
    <sheetView workbookViewId="0">
      <selection activeCell="A3" sqref="A3"/>
    </sheetView>
  </sheetViews>
  <sheetFormatPr baseColWidth="10" defaultRowHeight="15" x14ac:dyDescent="0.25"/>
  <cols>
    <col min="1" max="1" width="21" bestFit="1" customWidth="1"/>
  </cols>
  <sheetData>
    <row r="3" spans="1:1" x14ac:dyDescent="0.25">
      <c r="A3" s="14" t="s">
        <v>13094</v>
      </c>
    </row>
    <row r="4" spans="1:1" x14ac:dyDescent="0.25">
      <c r="A4" s="15" t="s">
        <v>13095</v>
      </c>
    </row>
    <row r="5" spans="1:1" x14ac:dyDescent="0.25">
      <c r="A5" s="16" t="s">
        <v>9127</v>
      </c>
    </row>
    <row r="6" spans="1:1" x14ac:dyDescent="0.25">
      <c r="A6" s="16" t="s">
        <v>9131</v>
      </c>
    </row>
    <row r="7" spans="1:1" x14ac:dyDescent="0.25">
      <c r="A7" s="16" t="s">
        <v>9123</v>
      </c>
    </row>
    <row r="8" spans="1:1" x14ac:dyDescent="0.25">
      <c r="A8" s="16" t="s">
        <v>9128</v>
      </c>
    </row>
    <row r="9" spans="1:1" x14ac:dyDescent="0.25">
      <c r="A9" s="16" t="s">
        <v>9132</v>
      </c>
    </row>
    <row r="10" spans="1:1" x14ac:dyDescent="0.25">
      <c r="A10" s="16" t="s">
        <v>9124</v>
      </c>
    </row>
    <row r="11" spans="1:1" x14ac:dyDescent="0.25">
      <c r="A11" s="16" t="s">
        <v>9122</v>
      </c>
    </row>
    <row r="12" spans="1:1" x14ac:dyDescent="0.25">
      <c r="A12" s="16" t="s">
        <v>9130</v>
      </c>
    </row>
    <row r="13" spans="1:1" x14ac:dyDescent="0.25">
      <c r="A13" s="16" t="s">
        <v>9126</v>
      </c>
    </row>
    <row r="14" spans="1:1" x14ac:dyDescent="0.25">
      <c r="A14" s="16" t="s">
        <v>9120</v>
      </c>
    </row>
    <row r="15" spans="1:1" x14ac:dyDescent="0.25">
      <c r="A15" s="16" t="s">
        <v>9137</v>
      </c>
    </row>
    <row r="16" spans="1:1" x14ac:dyDescent="0.25">
      <c r="A16" s="16" t="s">
        <v>9138</v>
      </c>
    </row>
    <row r="17" spans="1:1" x14ac:dyDescent="0.25">
      <c r="A17" s="16" t="s">
        <v>9140</v>
      </c>
    </row>
    <row r="18" spans="1:1" x14ac:dyDescent="0.25">
      <c r="A18" s="16" t="s">
        <v>9141</v>
      </c>
    </row>
    <row r="19" spans="1:1" x14ac:dyDescent="0.25">
      <c r="A19" s="16" t="s">
        <v>9135</v>
      </c>
    </row>
    <row r="20" spans="1:1" x14ac:dyDescent="0.25">
      <c r="A20" s="16" t="s">
        <v>9139</v>
      </c>
    </row>
    <row r="21" spans="1:1" x14ac:dyDescent="0.25">
      <c r="A21" s="16" t="s">
        <v>9125</v>
      </c>
    </row>
    <row r="22" spans="1:1" x14ac:dyDescent="0.25">
      <c r="A22" s="16" t="s">
        <v>9134</v>
      </c>
    </row>
    <row r="23" spans="1:1" x14ac:dyDescent="0.25">
      <c r="A23" s="16" t="s">
        <v>9133</v>
      </c>
    </row>
    <row r="24" spans="1:1" x14ac:dyDescent="0.25">
      <c r="A24" s="16" t="s">
        <v>9129</v>
      </c>
    </row>
    <row r="25" spans="1:1" x14ac:dyDescent="0.25">
      <c r="A25" s="16" t="s">
        <v>9161</v>
      </c>
    </row>
    <row r="26" spans="1:1" x14ac:dyDescent="0.25">
      <c r="A26" s="15" t="s">
        <v>13096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F58DB-1432-48E3-BC9D-726E662F4AFC}">
  <dimension ref="A1:J22"/>
  <sheetViews>
    <sheetView workbookViewId="0">
      <selection sqref="A1:J22"/>
    </sheetView>
  </sheetViews>
  <sheetFormatPr baseColWidth="10" defaultRowHeight="15" x14ac:dyDescent="0.25"/>
  <cols>
    <col min="1" max="1" width="15.140625" bestFit="1" customWidth="1"/>
    <col min="2" max="2" width="4.42578125" bestFit="1" customWidth="1"/>
    <col min="3" max="3" width="6.28515625" bestFit="1" customWidth="1"/>
    <col min="4" max="4" width="9" bestFit="1" customWidth="1"/>
    <col min="5" max="5" width="10.140625" bestFit="1" customWidth="1"/>
    <col min="6" max="6" width="10.7109375" bestFit="1" customWidth="1"/>
    <col min="7" max="7" width="8.5703125" bestFit="1" customWidth="1"/>
    <col min="8" max="8" width="22.5703125" bestFit="1" customWidth="1"/>
    <col min="9" max="9" width="11.28515625" bestFit="1" customWidth="1"/>
    <col min="10" max="10" width="11" bestFit="1" customWidth="1"/>
  </cols>
  <sheetData>
    <row r="1" spans="1:10" x14ac:dyDescent="0.25">
      <c r="A1" t="s">
        <v>3324</v>
      </c>
      <c r="B1" t="s">
        <v>8854</v>
      </c>
      <c r="C1" t="s">
        <v>8855</v>
      </c>
      <c r="D1" t="s">
        <v>8856</v>
      </c>
      <c r="E1" t="s">
        <v>8857</v>
      </c>
      <c r="F1" t="s">
        <v>8858</v>
      </c>
      <c r="G1" t="s">
        <v>8859</v>
      </c>
      <c r="H1" t="s">
        <v>8860</v>
      </c>
      <c r="I1" t="s">
        <v>8861</v>
      </c>
      <c r="J1" t="s">
        <v>8862</v>
      </c>
    </row>
    <row r="2" spans="1:10" x14ac:dyDescent="0.25">
      <c r="A2" t="s">
        <v>9119</v>
      </c>
      <c r="C2" t="s">
        <v>8901</v>
      </c>
      <c r="D2" t="s">
        <v>9120</v>
      </c>
      <c r="E2" t="s">
        <v>9121</v>
      </c>
      <c r="F2" s="1">
        <v>46164</v>
      </c>
      <c r="G2" t="str">
        <f>"100055"</f>
        <v>100055</v>
      </c>
      <c r="H2" t="s">
        <v>56</v>
      </c>
      <c r="I2" t="s">
        <v>8904</v>
      </c>
      <c r="J2">
        <v>0</v>
      </c>
    </row>
    <row r="3" spans="1:10" x14ac:dyDescent="0.25">
      <c r="A3" t="s">
        <v>9119</v>
      </c>
      <c r="C3" t="s">
        <v>8901</v>
      </c>
      <c r="D3" t="s">
        <v>9122</v>
      </c>
      <c r="E3" t="s">
        <v>9121</v>
      </c>
      <c r="F3" s="1">
        <v>46164</v>
      </c>
      <c r="G3" t="str">
        <f>"100144"</f>
        <v>100144</v>
      </c>
      <c r="H3" t="s">
        <v>145</v>
      </c>
      <c r="I3" t="s">
        <v>8904</v>
      </c>
      <c r="J3">
        <v>0</v>
      </c>
    </row>
    <row r="4" spans="1:10" x14ac:dyDescent="0.25">
      <c r="A4" t="s">
        <v>9119</v>
      </c>
      <c r="C4" t="s">
        <v>8901</v>
      </c>
      <c r="D4" t="s">
        <v>9123</v>
      </c>
      <c r="E4" t="s">
        <v>9121</v>
      </c>
      <c r="F4" s="1">
        <v>46164</v>
      </c>
      <c r="G4" t="str">
        <f>"100149"</f>
        <v>100149</v>
      </c>
      <c r="H4" t="s">
        <v>150</v>
      </c>
      <c r="I4" t="s">
        <v>8904</v>
      </c>
      <c r="J4">
        <v>0</v>
      </c>
    </row>
    <row r="5" spans="1:10" x14ac:dyDescent="0.25">
      <c r="A5" t="s">
        <v>9119</v>
      </c>
      <c r="C5" t="s">
        <v>8901</v>
      </c>
      <c r="D5" t="s">
        <v>9124</v>
      </c>
      <c r="E5" t="s">
        <v>9121</v>
      </c>
      <c r="F5" s="1">
        <v>46164</v>
      </c>
      <c r="G5" t="str">
        <f>"100161"</f>
        <v>100161</v>
      </c>
      <c r="H5" t="s">
        <v>161</v>
      </c>
      <c r="I5" t="s">
        <v>8904</v>
      </c>
      <c r="J5">
        <v>0</v>
      </c>
    </row>
    <row r="6" spans="1:10" x14ac:dyDescent="0.25">
      <c r="A6" t="s">
        <v>9119</v>
      </c>
      <c r="C6" t="s">
        <v>8901</v>
      </c>
      <c r="D6" t="s">
        <v>9125</v>
      </c>
      <c r="E6" t="s">
        <v>9121</v>
      </c>
      <c r="F6" s="1">
        <v>46164</v>
      </c>
      <c r="G6" t="str">
        <f>"100165"</f>
        <v>100165</v>
      </c>
      <c r="H6" t="s">
        <v>165</v>
      </c>
      <c r="I6" t="s">
        <v>8904</v>
      </c>
      <c r="J6">
        <v>0</v>
      </c>
    </row>
    <row r="7" spans="1:10" x14ac:dyDescent="0.25">
      <c r="A7" t="s">
        <v>9119</v>
      </c>
      <c r="C7" t="s">
        <v>8901</v>
      </c>
      <c r="D7" t="s">
        <v>9126</v>
      </c>
      <c r="E7" t="s">
        <v>9121</v>
      </c>
      <c r="F7" s="1">
        <v>46164</v>
      </c>
      <c r="G7" t="str">
        <f>"100190"</f>
        <v>100190</v>
      </c>
      <c r="H7" t="s">
        <v>189</v>
      </c>
      <c r="I7" t="s">
        <v>8904</v>
      </c>
      <c r="J7">
        <v>0</v>
      </c>
    </row>
    <row r="8" spans="1:10" x14ac:dyDescent="0.25">
      <c r="A8" t="s">
        <v>9119</v>
      </c>
      <c r="C8" t="s">
        <v>8901</v>
      </c>
      <c r="D8" t="s">
        <v>9127</v>
      </c>
      <c r="E8" t="s">
        <v>9121</v>
      </c>
      <c r="F8" s="1">
        <v>46164</v>
      </c>
      <c r="G8" t="str">
        <f>"100193"</f>
        <v>100193</v>
      </c>
      <c r="H8" t="s">
        <v>192</v>
      </c>
      <c r="I8" t="s">
        <v>8904</v>
      </c>
      <c r="J8">
        <v>0</v>
      </c>
    </row>
    <row r="9" spans="1:10" x14ac:dyDescent="0.25">
      <c r="A9" t="s">
        <v>9119</v>
      </c>
      <c r="C9" t="s">
        <v>8901</v>
      </c>
      <c r="D9" t="s">
        <v>9128</v>
      </c>
      <c r="E9" t="s">
        <v>9121</v>
      </c>
      <c r="F9" s="1">
        <v>46164</v>
      </c>
      <c r="G9" t="str">
        <f>"100203"</f>
        <v>100203</v>
      </c>
      <c r="H9" t="s">
        <v>201</v>
      </c>
      <c r="I9" t="s">
        <v>8904</v>
      </c>
      <c r="J9">
        <v>0</v>
      </c>
    </row>
    <row r="10" spans="1:10" x14ac:dyDescent="0.25">
      <c r="A10" t="s">
        <v>9119</v>
      </c>
      <c r="C10" t="s">
        <v>8901</v>
      </c>
      <c r="D10" t="s">
        <v>9129</v>
      </c>
      <c r="E10" t="s">
        <v>9121</v>
      </c>
      <c r="F10" s="1">
        <v>46164</v>
      </c>
      <c r="G10" t="str">
        <f>"100249"</f>
        <v>100249</v>
      </c>
      <c r="H10" t="s">
        <v>247</v>
      </c>
      <c r="I10" t="s">
        <v>8904</v>
      </c>
      <c r="J10">
        <v>0</v>
      </c>
    </row>
    <row r="11" spans="1:10" x14ac:dyDescent="0.25">
      <c r="A11" t="s">
        <v>9119</v>
      </c>
      <c r="C11" t="s">
        <v>8901</v>
      </c>
      <c r="D11" t="s">
        <v>9130</v>
      </c>
      <c r="E11" t="s">
        <v>9121</v>
      </c>
      <c r="F11" s="1">
        <v>46164</v>
      </c>
      <c r="G11" t="str">
        <f>"100250"</f>
        <v>100250</v>
      </c>
      <c r="H11" t="s">
        <v>248</v>
      </c>
      <c r="I11" t="s">
        <v>8904</v>
      </c>
      <c r="J11">
        <v>0</v>
      </c>
    </row>
    <row r="12" spans="1:10" x14ac:dyDescent="0.25">
      <c r="A12" t="s">
        <v>9119</v>
      </c>
      <c r="C12" t="s">
        <v>8901</v>
      </c>
      <c r="D12" t="s">
        <v>9131</v>
      </c>
      <c r="E12" t="s">
        <v>9121</v>
      </c>
      <c r="F12" s="1">
        <v>46164</v>
      </c>
      <c r="G12" t="str">
        <f>"100275"</f>
        <v>100275</v>
      </c>
      <c r="H12" t="s">
        <v>273</v>
      </c>
      <c r="I12" t="s">
        <v>8904</v>
      </c>
      <c r="J12">
        <v>0</v>
      </c>
    </row>
    <row r="13" spans="1:10" x14ac:dyDescent="0.25">
      <c r="A13" t="s">
        <v>9119</v>
      </c>
      <c r="C13" t="s">
        <v>8901</v>
      </c>
      <c r="D13" t="s">
        <v>9132</v>
      </c>
      <c r="E13" t="s">
        <v>9121</v>
      </c>
      <c r="F13" s="1">
        <v>46164</v>
      </c>
      <c r="G13" t="str">
        <f>"100445"</f>
        <v>100445</v>
      </c>
      <c r="H13" t="s">
        <v>444</v>
      </c>
      <c r="I13" t="s">
        <v>8904</v>
      </c>
      <c r="J13">
        <v>0</v>
      </c>
    </row>
    <row r="14" spans="1:10" x14ac:dyDescent="0.25">
      <c r="A14" t="s">
        <v>9119</v>
      </c>
      <c r="C14" t="s">
        <v>8901</v>
      </c>
      <c r="D14" t="s">
        <v>9133</v>
      </c>
      <c r="E14" t="s">
        <v>9121</v>
      </c>
      <c r="F14" s="1">
        <v>46164</v>
      </c>
      <c r="G14" t="str">
        <f>"100767"</f>
        <v>100767</v>
      </c>
      <c r="H14" t="s">
        <v>764</v>
      </c>
      <c r="I14" t="s">
        <v>8904</v>
      </c>
      <c r="J14">
        <v>0</v>
      </c>
    </row>
    <row r="15" spans="1:10" x14ac:dyDescent="0.25">
      <c r="A15" t="s">
        <v>9119</v>
      </c>
      <c r="C15" t="s">
        <v>8901</v>
      </c>
      <c r="D15" t="s">
        <v>9134</v>
      </c>
      <c r="E15" t="s">
        <v>9121</v>
      </c>
      <c r="F15" s="1">
        <v>46164</v>
      </c>
      <c r="G15" t="str">
        <f>"100804"</f>
        <v>100804</v>
      </c>
      <c r="H15" t="s">
        <v>801</v>
      </c>
      <c r="I15" t="s">
        <v>8904</v>
      </c>
      <c r="J15">
        <v>0</v>
      </c>
    </row>
    <row r="16" spans="1:10" x14ac:dyDescent="0.25">
      <c r="A16" t="s">
        <v>9119</v>
      </c>
      <c r="C16" t="s">
        <v>8901</v>
      </c>
      <c r="D16" t="s">
        <v>9135</v>
      </c>
      <c r="E16" t="s">
        <v>9136</v>
      </c>
      <c r="F16" s="1">
        <v>46164</v>
      </c>
      <c r="G16" t="str">
        <f>"100872"</f>
        <v>100872</v>
      </c>
      <c r="H16" t="s">
        <v>869</v>
      </c>
      <c r="I16" t="s">
        <v>8904</v>
      </c>
      <c r="J16">
        <v>20342.0016</v>
      </c>
    </row>
    <row r="17" spans="1:10" x14ac:dyDescent="0.25">
      <c r="A17" t="s">
        <v>9119</v>
      </c>
      <c r="C17" t="s">
        <v>8901</v>
      </c>
      <c r="D17" t="s">
        <v>9137</v>
      </c>
      <c r="E17" t="s">
        <v>9136</v>
      </c>
      <c r="F17" s="1">
        <v>46164</v>
      </c>
      <c r="G17" t="str">
        <f>"101400"</f>
        <v>101400</v>
      </c>
      <c r="H17" t="s">
        <v>1397</v>
      </c>
      <c r="I17" t="s">
        <v>8904</v>
      </c>
      <c r="J17">
        <v>20342.0016</v>
      </c>
    </row>
    <row r="18" spans="1:10" x14ac:dyDescent="0.25">
      <c r="A18" t="s">
        <v>9119</v>
      </c>
      <c r="C18" t="s">
        <v>8901</v>
      </c>
      <c r="D18" t="s">
        <v>9138</v>
      </c>
      <c r="E18" t="s">
        <v>9136</v>
      </c>
      <c r="F18" s="1">
        <v>46164</v>
      </c>
      <c r="G18" t="str">
        <f>"101555"</f>
        <v>101555</v>
      </c>
      <c r="H18" t="s">
        <v>1551</v>
      </c>
      <c r="I18" t="s">
        <v>8904</v>
      </c>
      <c r="J18">
        <v>20342.0016</v>
      </c>
    </row>
    <row r="19" spans="1:10" x14ac:dyDescent="0.25">
      <c r="A19" t="s">
        <v>9119</v>
      </c>
      <c r="C19" t="s">
        <v>8901</v>
      </c>
      <c r="D19" t="s">
        <v>9139</v>
      </c>
      <c r="E19" t="s">
        <v>9136</v>
      </c>
      <c r="F19" s="1">
        <v>46164</v>
      </c>
      <c r="G19" t="str">
        <f>"101600"</f>
        <v>101600</v>
      </c>
      <c r="H19" t="s">
        <v>1596</v>
      </c>
      <c r="I19" t="s">
        <v>8904</v>
      </c>
      <c r="J19">
        <v>20342.0016</v>
      </c>
    </row>
    <row r="20" spans="1:10" x14ac:dyDescent="0.25">
      <c r="A20" t="s">
        <v>9119</v>
      </c>
      <c r="C20" t="s">
        <v>8901</v>
      </c>
      <c r="D20" t="s">
        <v>9140</v>
      </c>
      <c r="E20" t="s">
        <v>9136</v>
      </c>
      <c r="F20" s="1">
        <v>46164</v>
      </c>
      <c r="G20" t="str">
        <f>"102300"</f>
        <v>102300</v>
      </c>
      <c r="H20" t="s">
        <v>2294</v>
      </c>
      <c r="I20" t="s">
        <v>8904</v>
      </c>
      <c r="J20">
        <v>20342.0016</v>
      </c>
    </row>
    <row r="21" spans="1:10" x14ac:dyDescent="0.25">
      <c r="A21" t="s">
        <v>9119</v>
      </c>
      <c r="C21" t="s">
        <v>8901</v>
      </c>
      <c r="D21" t="s">
        <v>9141</v>
      </c>
      <c r="E21" t="s">
        <v>9136</v>
      </c>
      <c r="F21" s="1">
        <v>46164</v>
      </c>
      <c r="G21" t="str">
        <f>"102644"</f>
        <v>102644</v>
      </c>
      <c r="H21" t="s">
        <v>2498</v>
      </c>
      <c r="I21" t="s">
        <v>8904</v>
      </c>
      <c r="J21">
        <v>20342.0016</v>
      </c>
    </row>
    <row r="22" spans="1:10" x14ac:dyDescent="0.25">
      <c r="A22" t="s">
        <v>9119</v>
      </c>
      <c r="C22" t="s">
        <v>8901</v>
      </c>
      <c r="D22" t="s">
        <v>9161</v>
      </c>
      <c r="E22" t="s">
        <v>8967</v>
      </c>
      <c r="F22" s="1">
        <v>46181</v>
      </c>
      <c r="G22" t="str">
        <f>"100099"</f>
        <v>100099</v>
      </c>
      <c r="H22" t="s">
        <v>100</v>
      </c>
      <c r="I22" t="s">
        <v>8904</v>
      </c>
      <c r="J22">
        <v>60000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9E5F6-DB05-4A6C-9D88-3045BBD18A27}">
  <dimension ref="A3:A8"/>
  <sheetViews>
    <sheetView workbookViewId="0">
      <selection activeCell="A3" sqref="A3"/>
    </sheetView>
  </sheetViews>
  <sheetFormatPr baseColWidth="10" defaultRowHeight="15" x14ac:dyDescent="0.25"/>
  <cols>
    <col min="1" max="1" width="21" bestFit="1" customWidth="1"/>
  </cols>
  <sheetData>
    <row r="3" spans="1:1" x14ac:dyDescent="0.25">
      <c r="A3" s="14" t="s">
        <v>13094</v>
      </c>
    </row>
    <row r="4" spans="1:1" x14ac:dyDescent="0.25">
      <c r="A4" s="15" t="s">
        <v>13095</v>
      </c>
    </row>
    <row r="5" spans="1:1" x14ac:dyDescent="0.25">
      <c r="A5" s="16" t="s">
        <v>8864</v>
      </c>
    </row>
    <row r="6" spans="1:1" x14ac:dyDescent="0.25">
      <c r="A6" s="16" t="s">
        <v>8901</v>
      </c>
    </row>
    <row r="7" spans="1:1" x14ac:dyDescent="0.25">
      <c r="A7" s="16" t="s">
        <v>13095</v>
      </c>
    </row>
    <row r="8" spans="1:1" x14ac:dyDescent="0.25">
      <c r="A8" s="15" t="s">
        <v>13096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CB53E-2A97-433B-855D-7DE2BE308F72}">
  <dimension ref="A1:J224"/>
  <sheetViews>
    <sheetView workbookViewId="0">
      <selection sqref="A1:XFD1048576"/>
    </sheetView>
  </sheetViews>
  <sheetFormatPr baseColWidth="10" defaultRowHeight="15" x14ac:dyDescent="0.25"/>
  <cols>
    <col min="1" max="1" width="16.42578125" bestFit="1" customWidth="1"/>
    <col min="2" max="2" width="4.42578125" bestFit="1" customWidth="1"/>
    <col min="3" max="3" width="14.85546875" bestFit="1" customWidth="1"/>
    <col min="4" max="4" width="11.7109375" bestFit="1" customWidth="1"/>
    <col min="5" max="5" width="17.7109375" bestFit="1" customWidth="1"/>
    <col min="6" max="6" width="10.7109375" bestFit="1" customWidth="1"/>
    <col min="7" max="7" width="8.5703125" bestFit="1" customWidth="1"/>
    <col min="8" max="8" width="36.85546875" bestFit="1" customWidth="1"/>
    <col min="9" max="9" width="34.7109375" bestFit="1" customWidth="1"/>
    <col min="10" max="10" width="12" bestFit="1" customWidth="1"/>
  </cols>
  <sheetData>
    <row r="1" spans="1:10" x14ac:dyDescent="0.25">
      <c r="A1" t="s">
        <v>3324</v>
      </c>
      <c r="B1" t="s">
        <v>8854</v>
      </c>
      <c r="C1" t="s">
        <v>8855</v>
      </c>
      <c r="D1" t="s">
        <v>8856</v>
      </c>
      <c r="E1" t="s">
        <v>8857</v>
      </c>
      <c r="F1" t="s">
        <v>8858</v>
      </c>
      <c r="G1" t="s">
        <v>8859</v>
      </c>
      <c r="H1" t="s">
        <v>8860</v>
      </c>
      <c r="I1" t="s">
        <v>8861</v>
      </c>
      <c r="J1" t="s">
        <v>8862</v>
      </c>
    </row>
    <row r="2" spans="1:10" x14ac:dyDescent="0.25">
      <c r="A2" t="s">
        <v>8863</v>
      </c>
      <c r="C2" t="s">
        <v>8864</v>
      </c>
      <c r="D2" t="s">
        <v>8865</v>
      </c>
      <c r="E2" t="s">
        <v>8866</v>
      </c>
      <c r="F2" s="1">
        <v>42318</v>
      </c>
      <c r="G2" t="str">
        <f>"102024"</f>
        <v>102024</v>
      </c>
      <c r="H2" t="s">
        <v>2020</v>
      </c>
      <c r="I2" t="s">
        <v>8867</v>
      </c>
      <c r="J2">
        <v>17055.3</v>
      </c>
    </row>
    <row r="3" spans="1:10" x14ac:dyDescent="0.25">
      <c r="A3" t="s">
        <v>8863</v>
      </c>
      <c r="C3" t="s">
        <v>8864</v>
      </c>
      <c r="D3" t="s">
        <v>8868</v>
      </c>
      <c r="E3" t="s">
        <v>8866</v>
      </c>
      <c r="F3" s="1">
        <v>42355</v>
      </c>
      <c r="G3" t="str">
        <f>"102024"</f>
        <v>102024</v>
      </c>
      <c r="H3" t="s">
        <v>2020</v>
      </c>
      <c r="I3" t="s">
        <v>8867</v>
      </c>
      <c r="J3">
        <v>18720</v>
      </c>
    </row>
    <row r="4" spans="1:10" x14ac:dyDescent="0.25">
      <c r="A4" t="s">
        <v>8863</v>
      </c>
      <c r="C4" t="s">
        <v>8864</v>
      </c>
      <c r="D4" t="s">
        <v>8869</v>
      </c>
      <c r="E4" t="s">
        <v>8866</v>
      </c>
      <c r="F4" s="1">
        <v>42397</v>
      </c>
      <c r="G4" t="str">
        <f>"102024"</f>
        <v>102024</v>
      </c>
      <c r="H4" t="s">
        <v>2020</v>
      </c>
      <c r="I4" t="s">
        <v>8867</v>
      </c>
      <c r="J4">
        <v>34139.879999999997</v>
      </c>
    </row>
    <row r="5" spans="1:10" x14ac:dyDescent="0.25">
      <c r="A5" t="s">
        <v>8863</v>
      </c>
      <c r="C5" t="s">
        <v>8864</v>
      </c>
      <c r="D5" t="s">
        <v>8870</v>
      </c>
      <c r="E5" t="s">
        <v>8866</v>
      </c>
      <c r="F5" s="1">
        <v>42482</v>
      </c>
      <c r="G5" t="str">
        <f>"102024"</f>
        <v>102024</v>
      </c>
      <c r="H5" t="s">
        <v>2020</v>
      </c>
      <c r="I5" t="s">
        <v>8867</v>
      </c>
      <c r="J5">
        <v>12480</v>
      </c>
    </row>
    <row r="6" spans="1:10" x14ac:dyDescent="0.25">
      <c r="A6" t="s">
        <v>8863</v>
      </c>
      <c r="C6" t="s">
        <v>8864</v>
      </c>
      <c r="D6" t="s">
        <v>8871</v>
      </c>
      <c r="E6" t="s">
        <v>8866</v>
      </c>
      <c r="F6" s="1">
        <v>42612</v>
      </c>
      <c r="G6" t="str">
        <f>"100220"</f>
        <v>100220</v>
      </c>
      <c r="H6" t="s">
        <v>218</v>
      </c>
      <c r="I6" t="s">
        <v>8867</v>
      </c>
      <c r="J6">
        <v>16671</v>
      </c>
    </row>
    <row r="7" spans="1:10" x14ac:dyDescent="0.25">
      <c r="A7" t="s">
        <v>8863</v>
      </c>
      <c r="C7" t="s">
        <v>8864</v>
      </c>
      <c r="D7" t="s">
        <v>8872</v>
      </c>
      <c r="E7" t="s">
        <v>8866</v>
      </c>
      <c r="F7" s="1">
        <v>43033</v>
      </c>
      <c r="G7" t="str">
        <f>"102141"</f>
        <v>102141</v>
      </c>
      <c r="H7" t="s">
        <v>2135</v>
      </c>
      <c r="I7" t="s">
        <v>8867</v>
      </c>
      <c r="J7">
        <v>31003.82</v>
      </c>
    </row>
    <row r="8" spans="1:10" x14ac:dyDescent="0.25">
      <c r="A8" t="s">
        <v>8863</v>
      </c>
      <c r="C8" t="s">
        <v>8864</v>
      </c>
      <c r="D8" t="s">
        <v>8873</v>
      </c>
      <c r="E8" t="s">
        <v>8866</v>
      </c>
      <c r="F8" s="1">
        <v>43153</v>
      </c>
      <c r="G8" t="str">
        <f>"100509"</f>
        <v>100509</v>
      </c>
      <c r="H8" t="s">
        <v>508</v>
      </c>
      <c r="I8" t="s">
        <v>8867</v>
      </c>
      <c r="J8">
        <v>5836.8</v>
      </c>
    </row>
    <row r="9" spans="1:10" x14ac:dyDescent="0.25">
      <c r="A9" t="s">
        <v>8863</v>
      </c>
      <c r="C9" t="s">
        <v>8864</v>
      </c>
      <c r="D9" t="s">
        <v>8874</v>
      </c>
      <c r="E9" t="s">
        <v>8866</v>
      </c>
      <c r="F9" s="1">
        <v>43370</v>
      </c>
      <c r="G9" t="str">
        <f>"100549"</f>
        <v>100549</v>
      </c>
      <c r="H9" t="s">
        <v>548</v>
      </c>
      <c r="I9" t="s">
        <v>8867</v>
      </c>
      <c r="J9">
        <v>39986.959999999999</v>
      </c>
    </row>
    <row r="10" spans="1:10" x14ac:dyDescent="0.25">
      <c r="A10" t="s">
        <v>8863</v>
      </c>
      <c r="C10" t="s">
        <v>8864</v>
      </c>
      <c r="D10" t="s">
        <v>8875</v>
      </c>
      <c r="E10" t="s">
        <v>8866</v>
      </c>
      <c r="F10" s="1">
        <v>43370</v>
      </c>
      <c r="G10" t="str">
        <f>"100549"</f>
        <v>100549</v>
      </c>
      <c r="H10" t="s">
        <v>548</v>
      </c>
      <c r="I10" t="s">
        <v>8867</v>
      </c>
      <c r="J10">
        <v>123786</v>
      </c>
    </row>
    <row r="11" spans="1:10" x14ac:dyDescent="0.25">
      <c r="A11" t="s">
        <v>8863</v>
      </c>
      <c r="C11" t="s">
        <v>8864</v>
      </c>
      <c r="D11" t="s">
        <v>8876</v>
      </c>
      <c r="E11" t="s">
        <v>8866</v>
      </c>
      <c r="F11" s="1">
        <v>43460</v>
      </c>
      <c r="G11" t="str">
        <f>"102276"</f>
        <v>102276</v>
      </c>
      <c r="H11" t="s">
        <v>2270</v>
      </c>
      <c r="I11" t="s">
        <v>8867</v>
      </c>
      <c r="J11">
        <v>9846.2999999999993</v>
      </c>
    </row>
    <row r="12" spans="1:10" x14ac:dyDescent="0.25">
      <c r="A12" t="s">
        <v>8863</v>
      </c>
      <c r="C12" t="s">
        <v>8864</v>
      </c>
      <c r="D12" t="s">
        <v>8877</v>
      </c>
      <c r="E12" t="s">
        <v>8866</v>
      </c>
      <c r="F12" s="1">
        <v>43528</v>
      </c>
      <c r="G12" t="str">
        <f>"100780"</f>
        <v>100780</v>
      </c>
      <c r="H12" t="s">
        <v>777</v>
      </c>
      <c r="I12" t="s">
        <v>8867</v>
      </c>
      <c r="J12">
        <v>69467.199999999997</v>
      </c>
    </row>
    <row r="13" spans="1:10" x14ac:dyDescent="0.25">
      <c r="A13" t="s">
        <v>8863</v>
      </c>
      <c r="C13" t="s">
        <v>8864</v>
      </c>
      <c r="D13" t="s">
        <v>8878</v>
      </c>
      <c r="E13" t="s">
        <v>8866</v>
      </c>
      <c r="F13" s="1">
        <v>43529</v>
      </c>
      <c r="G13" t="str">
        <f>"100780"</f>
        <v>100780</v>
      </c>
      <c r="H13" t="s">
        <v>777</v>
      </c>
      <c r="I13" t="s">
        <v>8867</v>
      </c>
      <c r="J13">
        <v>41736</v>
      </c>
    </row>
    <row r="14" spans="1:10" x14ac:dyDescent="0.25">
      <c r="A14" t="s">
        <v>8863</v>
      </c>
      <c r="C14" t="s">
        <v>8864</v>
      </c>
      <c r="D14" t="s">
        <v>8879</v>
      </c>
      <c r="E14" t="s">
        <v>8866</v>
      </c>
      <c r="F14" s="1">
        <v>43553</v>
      </c>
      <c r="G14" t="str">
        <f t="shared" ref="G14:G23" si="0">"100549"</f>
        <v>100549</v>
      </c>
      <c r="H14" t="s">
        <v>548</v>
      </c>
      <c r="I14" t="s">
        <v>8867</v>
      </c>
      <c r="J14">
        <v>135281.66</v>
      </c>
    </row>
    <row r="15" spans="1:10" x14ac:dyDescent="0.25">
      <c r="A15" t="s">
        <v>8863</v>
      </c>
      <c r="C15" t="s">
        <v>8864</v>
      </c>
      <c r="D15" t="s">
        <v>8880</v>
      </c>
      <c r="E15" t="s">
        <v>8866</v>
      </c>
      <c r="F15" s="1">
        <v>43558</v>
      </c>
      <c r="G15" t="str">
        <f t="shared" si="0"/>
        <v>100549</v>
      </c>
      <c r="H15" t="s">
        <v>548</v>
      </c>
      <c r="I15" t="s">
        <v>8867</v>
      </c>
      <c r="J15">
        <v>135281.66</v>
      </c>
    </row>
    <row r="16" spans="1:10" x14ac:dyDescent="0.25">
      <c r="A16" t="s">
        <v>8863</v>
      </c>
      <c r="C16" t="s">
        <v>8864</v>
      </c>
      <c r="D16" t="s">
        <v>8881</v>
      </c>
      <c r="E16" t="s">
        <v>8866</v>
      </c>
      <c r="F16" s="1">
        <v>43558</v>
      </c>
      <c r="G16" t="str">
        <f t="shared" si="0"/>
        <v>100549</v>
      </c>
      <c r="H16" t="s">
        <v>548</v>
      </c>
      <c r="I16" t="s">
        <v>8867</v>
      </c>
      <c r="J16">
        <v>135281.66</v>
      </c>
    </row>
    <row r="17" spans="1:10" x14ac:dyDescent="0.25">
      <c r="A17" t="s">
        <v>8863</v>
      </c>
      <c r="C17" t="s">
        <v>8864</v>
      </c>
      <c r="D17" t="s">
        <v>8882</v>
      </c>
      <c r="E17" t="s">
        <v>8866</v>
      </c>
      <c r="F17" s="1">
        <v>43559</v>
      </c>
      <c r="G17" t="str">
        <f t="shared" si="0"/>
        <v>100549</v>
      </c>
      <c r="H17" t="s">
        <v>548</v>
      </c>
      <c r="I17" t="s">
        <v>8867</v>
      </c>
      <c r="J17">
        <v>135281.66</v>
      </c>
    </row>
    <row r="18" spans="1:10" x14ac:dyDescent="0.25">
      <c r="A18" t="s">
        <v>8863</v>
      </c>
      <c r="C18" t="s">
        <v>8864</v>
      </c>
      <c r="D18" t="s">
        <v>8883</v>
      </c>
      <c r="E18" t="s">
        <v>8866</v>
      </c>
      <c r="F18" s="1">
        <v>43561</v>
      </c>
      <c r="G18" t="str">
        <f t="shared" si="0"/>
        <v>100549</v>
      </c>
      <c r="H18" t="s">
        <v>548</v>
      </c>
      <c r="I18" t="s">
        <v>8867</v>
      </c>
      <c r="J18">
        <v>135281.66</v>
      </c>
    </row>
    <row r="19" spans="1:10" x14ac:dyDescent="0.25">
      <c r="A19" t="s">
        <v>8863</v>
      </c>
      <c r="C19" t="s">
        <v>8864</v>
      </c>
      <c r="D19" t="s">
        <v>8884</v>
      </c>
      <c r="E19" t="s">
        <v>8866</v>
      </c>
      <c r="F19" s="1">
        <v>43570</v>
      </c>
      <c r="G19" t="str">
        <f t="shared" si="0"/>
        <v>100549</v>
      </c>
      <c r="H19" t="s">
        <v>548</v>
      </c>
      <c r="I19" t="s">
        <v>8867</v>
      </c>
      <c r="J19">
        <v>135281.66</v>
      </c>
    </row>
    <row r="20" spans="1:10" x14ac:dyDescent="0.25">
      <c r="A20" t="s">
        <v>8863</v>
      </c>
      <c r="C20" t="s">
        <v>8864</v>
      </c>
      <c r="D20" t="s">
        <v>8885</v>
      </c>
      <c r="E20" t="s">
        <v>8866</v>
      </c>
      <c r="F20" s="1">
        <v>43575</v>
      </c>
      <c r="G20" t="str">
        <f t="shared" si="0"/>
        <v>100549</v>
      </c>
      <c r="H20" t="s">
        <v>548</v>
      </c>
      <c r="I20" t="s">
        <v>8867</v>
      </c>
      <c r="J20">
        <v>135281.66</v>
      </c>
    </row>
    <row r="21" spans="1:10" x14ac:dyDescent="0.25">
      <c r="A21" t="s">
        <v>8863</v>
      </c>
      <c r="C21" t="s">
        <v>8864</v>
      </c>
      <c r="D21" t="s">
        <v>8886</v>
      </c>
      <c r="E21" t="s">
        <v>8866</v>
      </c>
      <c r="F21" s="1">
        <v>43575</v>
      </c>
      <c r="G21" t="str">
        <f t="shared" si="0"/>
        <v>100549</v>
      </c>
      <c r="H21" t="s">
        <v>548</v>
      </c>
      <c r="I21" t="s">
        <v>8867</v>
      </c>
      <c r="J21">
        <v>135281.66</v>
      </c>
    </row>
    <row r="22" spans="1:10" x14ac:dyDescent="0.25">
      <c r="A22" t="s">
        <v>8863</v>
      </c>
      <c r="C22" t="s">
        <v>8864</v>
      </c>
      <c r="D22" t="s">
        <v>8887</v>
      </c>
      <c r="E22" t="s">
        <v>8866</v>
      </c>
      <c r="F22" s="1">
        <v>43575</v>
      </c>
      <c r="G22" t="str">
        <f t="shared" si="0"/>
        <v>100549</v>
      </c>
      <c r="H22" t="s">
        <v>548</v>
      </c>
      <c r="I22" t="s">
        <v>8867</v>
      </c>
      <c r="J22">
        <v>135281.66</v>
      </c>
    </row>
    <row r="23" spans="1:10" x14ac:dyDescent="0.25">
      <c r="A23" t="s">
        <v>8863</v>
      </c>
      <c r="C23" t="s">
        <v>8864</v>
      </c>
      <c r="D23" t="s">
        <v>8888</v>
      </c>
      <c r="E23" t="s">
        <v>8866</v>
      </c>
      <c r="F23" s="1">
        <v>43575</v>
      </c>
      <c r="G23" t="str">
        <f t="shared" si="0"/>
        <v>100549</v>
      </c>
      <c r="H23" t="s">
        <v>548</v>
      </c>
      <c r="I23" t="s">
        <v>8867</v>
      </c>
      <c r="J23">
        <v>135281.66</v>
      </c>
    </row>
    <row r="24" spans="1:10" x14ac:dyDescent="0.25">
      <c r="A24" t="s">
        <v>8863</v>
      </c>
      <c r="C24" t="s">
        <v>8864</v>
      </c>
      <c r="D24" t="s">
        <v>8889</v>
      </c>
      <c r="E24" t="s">
        <v>8866</v>
      </c>
      <c r="F24" s="1">
        <v>43672</v>
      </c>
      <c r="G24" t="str">
        <f>"102715"</f>
        <v>102715</v>
      </c>
      <c r="H24" t="s">
        <v>2565</v>
      </c>
      <c r="I24" t="s">
        <v>8867</v>
      </c>
      <c r="J24">
        <v>873.52</v>
      </c>
    </row>
    <row r="25" spans="1:10" x14ac:dyDescent="0.25">
      <c r="A25" t="s">
        <v>8890</v>
      </c>
      <c r="C25" t="s">
        <v>8864</v>
      </c>
      <c r="D25" t="s">
        <v>8891</v>
      </c>
      <c r="E25" t="s">
        <v>8866</v>
      </c>
      <c r="F25" s="1">
        <v>43683</v>
      </c>
      <c r="G25" t="str">
        <f>"100549"</f>
        <v>100549</v>
      </c>
      <c r="H25" t="s">
        <v>548</v>
      </c>
      <c r="I25" t="s">
        <v>8867</v>
      </c>
      <c r="J25">
        <v>79016.45</v>
      </c>
    </row>
    <row r="26" spans="1:10" x14ac:dyDescent="0.25">
      <c r="A26" t="s">
        <v>8890</v>
      </c>
      <c r="C26" t="s">
        <v>8864</v>
      </c>
      <c r="D26" t="s">
        <v>8892</v>
      </c>
      <c r="E26" t="s">
        <v>8866</v>
      </c>
      <c r="F26" s="1">
        <v>43683</v>
      </c>
      <c r="G26" t="str">
        <f>"100549"</f>
        <v>100549</v>
      </c>
      <c r="H26" t="s">
        <v>548</v>
      </c>
      <c r="I26" t="s">
        <v>8867</v>
      </c>
      <c r="J26">
        <v>132437.76000000001</v>
      </c>
    </row>
    <row r="27" spans="1:10" x14ac:dyDescent="0.25">
      <c r="A27" t="s">
        <v>8890</v>
      </c>
      <c r="C27" t="s">
        <v>8864</v>
      </c>
      <c r="D27" t="s">
        <v>8893</v>
      </c>
      <c r="E27" t="s">
        <v>8866</v>
      </c>
      <c r="F27" s="1">
        <v>43683</v>
      </c>
      <c r="G27" t="str">
        <f>"100549"</f>
        <v>100549</v>
      </c>
      <c r="H27" t="s">
        <v>548</v>
      </c>
      <c r="I27" t="s">
        <v>8867</v>
      </c>
      <c r="J27">
        <v>115987.2</v>
      </c>
    </row>
    <row r="28" spans="1:10" x14ac:dyDescent="0.25">
      <c r="A28" t="s">
        <v>8894</v>
      </c>
      <c r="C28" t="s">
        <v>8864</v>
      </c>
      <c r="D28" t="s">
        <v>8895</v>
      </c>
      <c r="E28" t="s">
        <v>8866</v>
      </c>
      <c r="F28" s="1">
        <v>43683</v>
      </c>
      <c r="G28" t="str">
        <f>"100549"</f>
        <v>100549</v>
      </c>
      <c r="H28" t="s">
        <v>548</v>
      </c>
      <c r="I28" t="s">
        <v>8867</v>
      </c>
      <c r="J28">
        <v>138914.82</v>
      </c>
    </row>
    <row r="29" spans="1:10" x14ac:dyDescent="0.25">
      <c r="A29" t="s">
        <v>8863</v>
      </c>
      <c r="C29" t="s">
        <v>8864</v>
      </c>
      <c r="D29" t="s">
        <v>8896</v>
      </c>
      <c r="E29" t="s">
        <v>8866</v>
      </c>
      <c r="F29" s="1">
        <v>43686</v>
      </c>
      <c r="G29" t="str">
        <f>"102529"</f>
        <v>102529</v>
      </c>
      <c r="H29" t="s">
        <v>2418</v>
      </c>
      <c r="I29" t="s">
        <v>8867</v>
      </c>
      <c r="J29">
        <v>6814.36</v>
      </c>
    </row>
    <row r="30" spans="1:10" x14ac:dyDescent="0.25">
      <c r="A30" t="s">
        <v>8863</v>
      </c>
      <c r="C30" t="s">
        <v>8864</v>
      </c>
      <c r="D30" t="s">
        <v>8897</v>
      </c>
      <c r="E30" t="s">
        <v>8866</v>
      </c>
      <c r="F30" s="1">
        <v>43697</v>
      </c>
      <c r="G30" t="str">
        <f>"100549"</f>
        <v>100549</v>
      </c>
      <c r="H30" t="s">
        <v>548</v>
      </c>
      <c r="I30" t="s">
        <v>8867</v>
      </c>
      <c r="J30">
        <v>123786</v>
      </c>
    </row>
    <row r="31" spans="1:10" x14ac:dyDescent="0.25">
      <c r="A31" t="s">
        <v>8863</v>
      </c>
      <c r="C31" t="s">
        <v>8864</v>
      </c>
      <c r="D31" t="s">
        <v>8898</v>
      </c>
      <c r="E31" t="s">
        <v>8866</v>
      </c>
      <c r="F31" s="1">
        <v>43795</v>
      </c>
      <c r="G31" t="str">
        <f>"100061"</f>
        <v>100061</v>
      </c>
      <c r="H31" t="s">
        <v>62</v>
      </c>
      <c r="I31" t="s">
        <v>8867</v>
      </c>
      <c r="J31">
        <v>405.6</v>
      </c>
    </row>
    <row r="32" spans="1:10" x14ac:dyDescent="0.25">
      <c r="A32" t="s">
        <v>8863</v>
      </c>
      <c r="C32" t="s">
        <v>8864</v>
      </c>
      <c r="D32" t="s">
        <v>8899</v>
      </c>
      <c r="E32" t="s">
        <v>8866</v>
      </c>
      <c r="F32" s="1">
        <v>43797</v>
      </c>
      <c r="G32" t="str">
        <f>"102141"</f>
        <v>102141</v>
      </c>
      <c r="H32" t="s">
        <v>2135</v>
      </c>
      <c r="I32" t="s">
        <v>8867</v>
      </c>
      <c r="J32">
        <v>33374.699999999997</v>
      </c>
    </row>
    <row r="33" spans="1:10" x14ac:dyDescent="0.25">
      <c r="A33" t="s">
        <v>8863</v>
      </c>
      <c r="C33" t="s">
        <v>8864</v>
      </c>
      <c r="D33" t="s">
        <v>8906</v>
      </c>
      <c r="E33" t="s">
        <v>8907</v>
      </c>
      <c r="F33" s="1">
        <v>46113</v>
      </c>
      <c r="G33" t="str">
        <f>"102180"</f>
        <v>102180</v>
      </c>
      <c r="H33" t="s">
        <v>2172</v>
      </c>
      <c r="I33" t="s">
        <v>8904</v>
      </c>
      <c r="J33">
        <v>383234.4</v>
      </c>
    </row>
    <row r="34" spans="1:10" x14ac:dyDescent="0.25">
      <c r="A34" t="s">
        <v>8863</v>
      </c>
      <c r="C34" t="s">
        <v>8864</v>
      </c>
      <c r="D34" t="s">
        <v>8908</v>
      </c>
      <c r="E34" t="s">
        <v>8909</v>
      </c>
      <c r="F34" s="1">
        <v>46114</v>
      </c>
      <c r="G34" t="str">
        <f>"100113"</f>
        <v>100113</v>
      </c>
      <c r="H34" t="s">
        <v>114</v>
      </c>
      <c r="I34" t="s">
        <v>8904</v>
      </c>
      <c r="J34">
        <v>490.2</v>
      </c>
    </row>
    <row r="35" spans="1:10" x14ac:dyDescent="0.25">
      <c r="A35" t="s">
        <v>8863</v>
      </c>
      <c r="C35" t="s">
        <v>8864</v>
      </c>
      <c r="D35" t="s">
        <v>8910</v>
      </c>
      <c r="E35" t="s">
        <v>8909</v>
      </c>
      <c r="F35" s="1">
        <v>46114</v>
      </c>
      <c r="G35" t="str">
        <f>"1002873"</f>
        <v>1002873</v>
      </c>
      <c r="H35" t="s">
        <v>286</v>
      </c>
      <c r="I35" t="s">
        <v>8904</v>
      </c>
      <c r="J35">
        <v>3024</v>
      </c>
    </row>
    <row r="36" spans="1:10" x14ac:dyDescent="0.25">
      <c r="A36" t="s">
        <v>8863</v>
      </c>
      <c r="C36" t="s">
        <v>8864</v>
      </c>
      <c r="D36" t="s">
        <v>8911</v>
      </c>
      <c r="E36" t="s">
        <v>8909</v>
      </c>
      <c r="F36" s="1">
        <v>46114</v>
      </c>
      <c r="G36" t="str">
        <f>"1022723"</f>
        <v>1022723</v>
      </c>
      <c r="H36" t="s">
        <v>2266</v>
      </c>
      <c r="I36" t="s">
        <v>8904</v>
      </c>
      <c r="J36">
        <v>5381.8</v>
      </c>
    </row>
    <row r="37" spans="1:10" x14ac:dyDescent="0.25">
      <c r="A37" t="s">
        <v>8863</v>
      </c>
      <c r="C37" t="s">
        <v>8864</v>
      </c>
      <c r="D37" t="s">
        <v>8912</v>
      </c>
      <c r="E37" t="s">
        <v>8909</v>
      </c>
      <c r="F37" s="1">
        <v>46114</v>
      </c>
      <c r="G37" t="str">
        <f>"102871"</f>
        <v>102871</v>
      </c>
      <c r="H37" t="s">
        <v>2720</v>
      </c>
      <c r="I37" t="s">
        <v>8904</v>
      </c>
      <c r="J37">
        <v>1275.2</v>
      </c>
    </row>
    <row r="38" spans="1:10" x14ac:dyDescent="0.25">
      <c r="A38" t="s">
        <v>8863</v>
      </c>
      <c r="C38" t="s">
        <v>8864</v>
      </c>
      <c r="D38" t="s">
        <v>8913</v>
      </c>
      <c r="E38" t="s">
        <v>8909</v>
      </c>
      <c r="F38" s="1">
        <v>46114</v>
      </c>
      <c r="G38" t="str">
        <f>"102893"</f>
        <v>102893</v>
      </c>
      <c r="H38" t="s">
        <v>2742</v>
      </c>
      <c r="I38" t="s">
        <v>8904</v>
      </c>
      <c r="J38">
        <v>1814.4</v>
      </c>
    </row>
    <row r="39" spans="1:10" x14ac:dyDescent="0.25">
      <c r="A39" t="s">
        <v>8863</v>
      </c>
      <c r="C39" t="s">
        <v>8864</v>
      </c>
      <c r="D39" t="s">
        <v>8914</v>
      </c>
      <c r="E39" t="s">
        <v>8909</v>
      </c>
      <c r="F39" s="1">
        <v>46115</v>
      </c>
      <c r="G39" t="str">
        <f>"1002873"</f>
        <v>1002873</v>
      </c>
      <c r="H39" t="s">
        <v>286</v>
      </c>
      <c r="I39" t="s">
        <v>8904</v>
      </c>
      <c r="J39">
        <v>1209.5999999999999</v>
      </c>
    </row>
    <row r="40" spans="1:10" x14ac:dyDescent="0.25">
      <c r="A40" t="s">
        <v>8863</v>
      </c>
      <c r="C40" t="s">
        <v>8864</v>
      </c>
      <c r="D40" t="s">
        <v>8915</v>
      </c>
      <c r="E40" t="s">
        <v>8909</v>
      </c>
      <c r="F40" s="1">
        <v>46115</v>
      </c>
      <c r="G40" t="str">
        <f>"100527"</f>
        <v>100527</v>
      </c>
      <c r="H40" t="s">
        <v>526</v>
      </c>
      <c r="I40" t="s">
        <v>8904</v>
      </c>
      <c r="J40">
        <v>3024</v>
      </c>
    </row>
    <row r="41" spans="1:10" x14ac:dyDescent="0.25">
      <c r="A41" t="s">
        <v>8863</v>
      </c>
      <c r="C41" t="s">
        <v>8864</v>
      </c>
      <c r="D41" t="s">
        <v>8916</v>
      </c>
      <c r="E41" t="s">
        <v>8909</v>
      </c>
      <c r="F41" s="1">
        <v>46115</v>
      </c>
      <c r="G41" t="str">
        <f>"102602"</f>
        <v>102602</v>
      </c>
      <c r="H41" t="s">
        <v>2456</v>
      </c>
      <c r="I41" t="s">
        <v>8904</v>
      </c>
      <c r="J41">
        <v>2700</v>
      </c>
    </row>
    <row r="42" spans="1:10" x14ac:dyDescent="0.25">
      <c r="A42" t="s">
        <v>8863</v>
      </c>
      <c r="C42" t="s">
        <v>8864</v>
      </c>
      <c r="D42" t="s">
        <v>8917</v>
      </c>
      <c r="E42" t="s">
        <v>8909</v>
      </c>
      <c r="F42" s="1">
        <v>46115</v>
      </c>
      <c r="G42" t="str">
        <f>"120320"</f>
        <v>120320</v>
      </c>
      <c r="H42" t="s">
        <v>2795</v>
      </c>
      <c r="I42" t="s">
        <v>8904</v>
      </c>
      <c r="J42">
        <v>4236</v>
      </c>
    </row>
    <row r="43" spans="1:10" x14ac:dyDescent="0.25">
      <c r="A43" t="s">
        <v>8863</v>
      </c>
      <c r="C43" t="s">
        <v>8864</v>
      </c>
      <c r="D43" t="s">
        <v>8918</v>
      </c>
      <c r="E43" t="s">
        <v>8909</v>
      </c>
      <c r="F43" s="1">
        <v>46115</v>
      </c>
      <c r="G43" t="str">
        <f>"120400"</f>
        <v>120400</v>
      </c>
      <c r="H43" t="s">
        <v>2818</v>
      </c>
      <c r="I43" t="s">
        <v>8904</v>
      </c>
      <c r="J43">
        <v>4070</v>
      </c>
    </row>
    <row r="44" spans="1:10" x14ac:dyDescent="0.25">
      <c r="A44" t="s">
        <v>8863</v>
      </c>
      <c r="C44" t="s">
        <v>8864</v>
      </c>
      <c r="D44" t="s">
        <v>8919</v>
      </c>
      <c r="E44" t="s">
        <v>8909</v>
      </c>
      <c r="F44" s="1">
        <v>46118</v>
      </c>
      <c r="G44" t="str">
        <f>"100515"</f>
        <v>100515</v>
      </c>
      <c r="H44" t="s">
        <v>514</v>
      </c>
      <c r="I44" t="s">
        <v>8904</v>
      </c>
      <c r="J44">
        <v>4500</v>
      </c>
    </row>
    <row r="45" spans="1:10" x14ac:dyDescent="0.25">
      <c r="A45" t="s">
        <v>8863</v>
      </c>
      <c r="C45" t="s">
        <v>8864</v>
      </c>
      <c r="D45" t="s">
        <v>8920</v>
      </c>
      <c r="E45" t="s">
        <v>8921</v>
      </c>
      <c r="F45" s="1">
        <v>46118</v>
      </c>
      <c r="G45" t="str">
        <f>"100527"</f>
        <v>100527</v>
      </c>
      <c r="H45" t="s">
        <v>526</v>
      </c>
      <c r="I45" t="s">
        <v>8922</v>
      </c>
      <c r="J45">
        <v>0</v>
      </c>
    </row>
    <row r="46" spans="1:10" x14ac:dyDescent="0.25">
      <c r="A46" t="s">
        <v>8863</v>
      </c>
      <c r="C46" t="s">
        <v>8864</v>
      </c>
      <c r="D46" t="s">
        <v>8923</v>
      </c>
      <c r="E46" t="s">
        <v>8909</v>
      </c>
      <c r="F46" s="1">
        <v>46118</v>
      </c>
      <c r="G46" t="str">
        <f>"102444"</f>
        <v>102444</v>
      </c>
      <c r="H46" t="s">
        <v>2333</v>
      </c>
      <c r="I46" t="s">
        <v>8904</v>
      </c>
      <c r="J46">
        <v>3024</v>
      </c>
    </row>
    <row r="47" spans="1:10" x14ac:dyDescent="0.25">
      <c r="A47" t="s">
        <v>8863</v>
      </c>
      <c r="C47" t="s">
        <v>8864</v>
      </c>
      <c r="D47" t="s">
        <v>8924</v>
      </c>
      <c r="E47" t="s">
        <v>8925</v>
      </c>
      <c r="F47" s="1">
        <v>46119</v>
      </c>
      <c r="G47" t="str">
        <f>"102608"</f>
        <v>102608</v>
      </c>
      <c r="H47" t="s">
        <v>2462</v>
      </c>
      <c r="I47" t="s">
        <v>8904</v>
      </c>
      <c r="J47">
        <v>383998.98</v>
      </c>
    </row>
    <row r="48" spans="1:10" x14ac:dyDescent="0.25">
      <c r="A48" t="s">
        <v>8863</v>
      </c>
      <c r="C48" t="s">
        <v>8864</v>
      </c>
      <c r="D48" t="s">
        <v>8926</v>
      </c>
      <c r="E48" t="s">
        <v>8909</v>
      </c>
      <c r="F48" s="1">
        <v>46119</v>
      </c>
      <c r="G48" t="str">
        <f>"102935"</f>
        <v>102935</v>
      </c>
      <c r="H48" t="s">
        <v>2785</v>
      </c>
      <c r="I48" t="s">
        <v>8904</v>
      </c>
      <c r="J48">
        <v>9192</v>
      </c>
    </row>
    <row r="49" spans="1:10" x14ac:dyDescent="0.25">
      <c r="A49" t="s">
        <v>8863</v>
      </c>
      <c r="C49" t="s">
        <v>8864</v>
      </c>
      <c r="D49" t="s">
        <v>8927</v>
      </c>
      <c r="E49" t="s">
        <v>8909</v>
      </c>
      <c r="F49" s="1">
        <v>46119</v>
      </c>
      <c r="G49" t="str">
        <f>"102935"</f>
        <v>102935</v>
      </c>
      <c r="H49" t="s">
        <v>2785</v>
      </c>
      <c r="I49" t="s">
        <v>8904</v>
      </c>
      <c r="J49">
        <v>47283.4</v>
      </c>
    </row>
    <row r="50" spans="1:10" x14ac:dyDescent="0.25">
      <c r="A50" t="s">
        <v>8863</v>
      </c>
      <c r="C50" t="s">
        <v>8864</v>
      </c>
      <c r="D50" t="s">
        <v>8928</v>
      </c>
      <c r="E50" t="s">
        <v>8921</v>
      </c>
      <c r="F50" s="1">
        <v>46120</v>
      </c>
      <c r="G50" t="str">
        <f>"100527"</f>
        <v>100527</v>
      </c>
      <c r="H50" t="s">
        <v>526</v>
      </c>
      <c r="I50" t="s">
        <v>8922</v>
      </c>
      <c r="J50">
        <v>0</v>
      </c>
    </row>
    <row r="51" spans="1:10" x14ac:dyDescent="0.25">
      <c r="A51" t="s">
        <v>8863</v>
      </c>
      <c r="C51" t="s">
        <v>8864</v>
      </c>
      <c r="D51" t="s">
        <v>8929</v>
      </c>
      <c r="E51" t="s">
        <v>8909</v>
      </c>
      <c r="F51" s="1">
        <v>46120</v>
      </c>
      <c r="G51" t="str">
        <f>"102018"</f>
        <v>102018</v>
      </c>
      <c r="H51" t="s">
        <v>2014</v>
      </c>
      <c r="I51" t="s">
        <v>8904</v>
      </c>
      <c r="J51">
        <v>177170</v>
      </c>
    </row>
    <row r="52" spans="1:10" x14ac:dyDescent="0.25">
      <c r="A52" t="s">
        <v>8863</v>
      </c>
      <c r="C52" t="s">
        <v>8901</v>
      </c>
      <c r="D52" t="s">
        <v>8930</v>
      </c>
      <c r="E52" t="s">
        <v>8909</v>
      </c>
      <c r="F52" s="1">
        <v>46120</v>
      </c>
      <c r="G52" t="str">
        <f>"102169"</f>
        <v>102169</v>
      </c>
      <c r="H52" t="s">
        <v>2161</v>
      </c>
      <c r="I52" t="s">
        <v>8904</v>
      </c>
      <c r="J52">
        <v>4781</v>
      </c>
    </row>
    <row r="53" spans="1:10" x14ac:dyDescent="0.25">
      <c r="A53" t="s">
        <v>8863</v>
      </c>
      <c r="C53" t="s">
        <v>8864</v>
      </c>
      <c r="D53" t="s">
        <v>8931</v>
      </c>
      <c r="E53" t="s">
        <v>8909</v>
      </c>
      <c r="F53" s="1">
        <v>46120</v>
      </c>
      <c r="G53" t="str">
        <f>"102899"</f>
        <v>102899</v>
      </c>
      <c r="H53" t="s">
        <v>2749</v>
      </c>
      <c r="I53" t="s">
        <v>8904</v>
      </c>
      <c r="J53">
        <v>1063.5</v>
      </c>
    </row>
    <row r="54" spans="1:10" x14ac:dyDescent="0.25">
      <c r="A54" t="s">
        <v>8863</v>
      </c>
      <c r="C54" t="s">
        <v>8864</v>
      </c>
      <c r="D54" t="s">
        <v>8932</v>
      </c>
      <c r="E54" t="s">
        <v>8933</v>
      </c>
      <c r="F54" s="1">
        <v>46120</v>
      </c>
      <c r="G54" t="str">
        <f>"102935"</f>
        <v>102935</v>
      </c>
      <c r="H54" t="s">
        <v>2785</v>
      </c>
      <c r="I54" t="s">
        <v>8904</v>
      </c>
      <c r="J54">
        <v>36960</v>
      </c>
    </row>
    <row r="55" spans="1:10" x14ac:dyDescent="0.25">
      <c r="A55" t="s">
        <v>8863</v>
      </c>
      <c r="C55" t="s">
        <v>8864</v>
      </c>
      <c r="D55" t="s">
        <v>8934</v>
      </c>
      <c r="E55" t="s">
        <v>8909</v>
      </c>
      <c r="F55" s="1">
        <v>46121</v>
      </c>
      <c r="G55" t="str">
        <f>"1002873"</f>
        <v>1002873</v>
      </c>
      <c r="H55" t="s">
        <v>286</v>
      </c>
      <c r="I55" t="s">
        <v>8904</v>
      </c>
      <c r="J55">
        <v>1209.5999999999999</v>
      </c>
    </row>
    <row r="56" spans="1:10" x14ac:dyDescent="0.25">
      <c r="A56" t="s">
        <v>8863</v>
      </c>
      <c r="C56" t="s">
        <v>8864</v>
      </c>
      <c r="D56" t="s">
        <v>8935</v>
      </c>
      <c r="E56" t="s">
        <v>8907</v>
      </c>
      <c r="F56" s="1">
        <v>46121</v>
      </c>
      <c r="G56" t="str">
        <f>"102180"</f>
        <v>102180</v>
      </c>
      <c r="H56" t="s">
        <v>2172</v>
      </c>
      <c r="I56" t="s">
        <v>8904</v>
      </c>
      <c r="J56">
        <v>383234.4</v>
      </c>
    </row>
    <row r="57" spans="1:10" x14ac:dyDescent="0.25">
      <c r="A57" t="s">
        <v>8863</v>
      </c>
      <c r="C57" t="s">
        <v>8864</v>
      </c>
      <c r="D57" t="s">
        <v>8936</v>
      </c>
      <c r="E57" t="s">
        <v>8909</v>
      </c>
      <c r="F57" s="1">
        <v>46121</v>
      </c>
      <c r="G57" t="str">
        <f>"102526"</f>
        <v>102526</v>
      </c>
      <c r="H57" t="s">
        <v>2415</v>
      </c>
      <c r="I57" t="s">
        <v>8904</v>
      </c>
      <c r="J57">
        <v>1880</v>
      </c>
    </row>
    <row r="58" spans="1:10" x14ac:dyDescent="0.25">
      <c r="A58" t="s">
        <v>8863</v>
      </c>
      <c r="C58" t="s">
        <v>8864</v>
      </c>
      <c r="D58" t="s">
        <v>8937</v>
      </c>
      <c r="E58" t="s">
        <v>8909</v>
      </c>
      <c r="F58" s="1">
        <v>46121</v>
      </c>
      <c r="G58" t="str">
        <f>"102592"</f>
        <v>102592</v>
      </c>
      <c r="H58" t="s">
        <v>2446</v>
      </c>
      <c r="I58" t="s">
        <v>8904</v>
      </c>
      <c r="J58">
        <v>404103.6</v>
      </c>
    </row>
    <row r="59" spans="1:10" x14ac:dyDescent="0.25">
      <c r="A59" t="s">
        <v>8863</v>
      </c>
      <c r="C59" t="s">
        <v>8864</v>
      </c>
      <c r="D59" t="s">
        <v>8938</v>
      </c>
      <c r="E59" t="s">
        <v>8909</v>
      </c>
      <c r="F59" s="1">
        <v>46121</v>
      </c>
      <c r="G59" t="str">
        <f>"102798"</f>
        <v>102798</v>
      </c>
      <c r="H59" t="s">
        <v>2648</v>
      </c>
      <c r="I59" t="s">
        <v>8904</v>
      </c>
      <c r="J59">
        <v>15156</v>
      </c>
    </row>
    <row r="60" spans="1:10" x14ac:dyDescent="0.25">
      <c r="A60" t="s">
        <v>8863</v>
      </c>
      <c r="C60" t="s">
        <v>8864</v>
      </c>
      <c r="D60" t="s">
        <v>8939</v>
      </c>
      <c r="E60" t="s">
        <v>8909</v>
      </c>
      <c r="F60" s="1">
        <v>46122</v>
      </c>
      <c r="G60" t="str">
        <f>"100527"</f>
        <v>100527</v>
      </c>
      <c r="H60" t="s">
        <v>526</v>
      </c>
      <c r="I60" t="s">
        <v>8904</v>
      </c>
      <c r="J60">
        <v>1209.5999999999999</v>
      </c>
    </row>
    <row r="61" spans="1:10" x14ac:dyDescent="0.25">
      <c r="A61" t="s">
        <v>8863</v>
      </c>
      <c r="C61" t="s">
        <v>8864</v>
      </c>
      <c r="D61" t="s">
        <v>8940</v>
      </c>
      <c r="E61" t="s">
        <v>8909</v>
      </c>
      <c r="F61" s="1">
        <v>46122</v>
      </c>
      <c r="G61" t="str">
        <f>"100527"</f>
        <v>100527</v>
      </c>
      <c r="H61" t="s">
        <v>526</v>
      </c>
      <c r="I61" t="s">
        <v>8904</v>
      </c>
      <c r="J61">
        <v>1389.8</v>
      </c>
    </row>
    <row r="62" spans="1:10" x14ac:dyDescent="0.25">
      <c r="A62" t="s">
        <v>8863</v>
      </c>
      <c r="C62" t="s">
        <v>8864</v>
      </c>
      <c r="D62" t="s">
        <v>8941</v>
      </c>
      <c r="E62" t="s">
        <v>8909</v>
      </c>
      <c r="F62" s="1">
        <v>46122</v>
      </c>
      <c r="G62" t="str">
        <f>"102275"</f>
        <v>102275</v>
      </c>
      <c r="H62" t="s">
        <v>2269</v>
      </c>
      <c r="I62" t="s">
        <v>8904</v>
      </c>
      <c r="J62">
        <v>96552</v>
      </c>
    </row>
    <row r="63" spans="1:10" x14ac:dyDescent="0.25">
      <c r="A63" t="s">
        <v>8863</v>
      </c>
      <c r="C63" t="s">
        <v>8864</v>
      </c>
      <c r="D63" t="s">
        <v>8942</v>
      </c>
      <c r="E63" t="s">
        <v>8909</v>
      </c>
      <c r="F63" s="1">
        <v>46122</v>
      </c>
      <c r="G63" t="str">
        <f>"102714"</f>
        <v>102714</v>
      </c>
      <c r="H63" t="s">
        <v>2564</v>
      </c>
      <c r="I63" t="s">
        <v>8904</v>
      </c>
      <c r="J63">
        <v>8064</v>
      </c>
    </row>
    <row r="64" spans="1:10" x14ac:dyDescent="0.25">
      <c r="A64" t="s">
        <v>8863</v>
      </c>
      <c r="C64" t="s">
        <v>8864</v>
      </c>
      <c r="D64" t="s">
        <v>8943</v>
      </c>
      <c r="E64" t="s">
        <v>8909</v>
      </c>
      <c r="F64" s="1">
        <v>46122</v>
      </c>
      <c r="G64" t="str">
        <f>"102714"</f>
        <v>102714</v>
      </c>
      <c r="H64" t="s">
        <v>2564</v>
      </c>
      <c r="I64" t="s">
        <v>8904</v>
      </c>
      <c r="J64">
        <v>8064</v>
      </c>
    </row>
    <row r="65" spans="1:10" x14ac:dyDescent="0.25">
      <c r="A65" t="s">
        <v>8863</v>
      </c>
      <c r="C65" t="s">
        <v>8864</v>
      </c>
      <c r="D65" t="s">
        <v>8944</v>
      </c>
      <c r="E65" t="s">
        <v>8909</v>
      </c>
      <c r="F65" s="1">
        <v>46122</v>
      </c>
      <c r="G65" t="str">
        <f>"102714"</f>
        <v>102714</v>
      </c>
      <c r="H65" t="s">
        <v>2564</v>
      </c>
      <c r="I65" t="s">
        <v>8904</v>
      </c>
      <c r="J65">
        <v>8064</v>
      </c>
    </row>
    <row r="66" spans="1:10" x14ac:dyDescent="0.25">
      <c r="A66" t="s">
        <v>8863</v>
      </c>
      <c r="C66" t="s">
        <v>8864</v>
      </c>
      <c r="D66" t="s">
        <v>8945</v>
      </c>
      <c r="E66" t="s">
        <v>8909</v>
      </c>
      <c r="F66" s="1">
        <v>46122</v>
      </c>
      <c r="G66" t="str">
        <f>"120401"</f>
        <v>120401</v>
      </c>
      <c r="H66" t="s">
        <v>2819</v>
      </c>
      <c r="I66" t="s">
        <v>8904</v>
      </c>
      <c r="J66">
        <v>4838.3999999999996</v>
      </c>
    </row>
    <row r="67" spans="1:10" x14ac:dyDescent="0.25">
      <c r="A67" t="s">
        <v>8863</v>
      </c>
      <c r="C67" t="s">
        <v>8864</v>
      </c>
      <c r="D67" t="s">
        <v>8946</v>
      </c>
      <c r="E67" t="s">
        <v>8909</v>
      </c>
      <c r="F67" s="1">
        <v>46122</v>
      </c>
      <c r="G67" t="str">
        <f>"120401"</f>
        <v>120401</v>
      </c>
      <c r="H67" t="s">
        <v>2819</v>
      </c>
      <c r="I67" t="s">
        <v>8904</v>
      </c>
      <c r="J67">
        <v>4838.3999999999996</v>
      </c>
    </row>
    <row r="68" spans="1:10" x14ac:dyDescent="0.25">
      <c r="A68" t="s">
        <v>8863</v>
      </c>
      <c r="C68" t="s">
        <v>8864</v>
      </c>
      <c r="D68" t="s">
        <v>8947</v>
      </c>
      <c r="E68" t="s">
        <v>8909</v>
      </c>
      <c r="F68" s="1">
        <v>46123</v>
      </c>
      <c r="G68" t="str">
        <f>"100527"</f>
        <v>100527</v>
      </c>
      <c r="H68" t="s">
        <v>526</v>
      </c>
      <c r="I68" t="s">
        <v>8904</v>
      </c>
      <c r="J68">
        <v>2419.1999999999998</v>
      </c>
    </row>
    <row r="69" spans="1:10" x14ac:dyDescent="0.25">
      <c r="A69" t="s">
        <v>8863</v>
      </c>
      <c r="C69" t="s">
        <v>8864</v>
      </c>
      <c r="D69" t="s">
        <v>8948</v>
      </c>
      <c r="E69" t="s">
        <v>8909</v>
      </c>
      <c r="F69" s="1">
        <v>46123</v>
      </c>
      <c r="G69" t="str">
        <f>"102893"</f>
        <v>102893</v>
      </c>
      <c r="H69" t="s">
        <v>2742</v>
      </c>
      <c r="I69" t="s">
        <v>8904</v>
      </c>
      <c r="J69">
        <v>1814.4</v>
      </c>
    </row>
    <row r="70" spans="1:10" x14ac:dyDescent="0.25">
      <c r="A70" t="s">
        <v>8863</v>
      </c>
      <c r="C70" t="s">
        <v>8864</v>
      </c>
      <c r="D70" t="s">
        <v>8949</v>
      </c>
      <c r="E70" t="s">
        <v>8909</v>
      </c>
      <c r="F70" s="1">
        <v>46125</v>
      </c>
      <c r="G70" t="str">
        <f>"102444"</f>
        <v>102444</v>
      </c>
      <c r="H70" t="s">
        <v>2333</v>
      </c>
      <c r="I70" t="s">
        <v>8904</v>
      </c>
      <c r="J70">
        <v>3024</v>
      </c>
    </row>
    <row r="71" spans="1:10" x14ac:dyDescent="0.25">
      <c r="A71" t="s">
        <v>8863</v>
      </c>
      <c r="C71" t="s">
        <v>8864</v>
      </c>
      <c r="D71" t="s">
        <v>8950</v>
      </c>
      <c r="E71" t="s">
        <v>8909</v>
      </c>
      <c r="F71" s="1">
        <v>46125</v>
      </c>
      <c r="G71" t="str">
        <f>"102595"</f>
        <v>102595</v>
      </c>
      <c r="H71" t="s">
        <v>2449</v>
      </c>
      <c r="I71" t="s">
        <v>8904</v>
      </c>
      <c r="J71">
        <v>1814.4</v>
      </c>
    </row>
    <row r="72" spans="1:10" x14ac:dyDescent="0.25">
      <c r="A72" t="s">
        <v>8863</v>
      </c>
      <c r="C72" t="s">
        <v>8864</v>
      </c>
      <c r="D72" t="s">
        <v>8951</v>
      </c>
      <c r="E72" t="s">
        <v>8909</v>
      </c>
      <c r="F72" s="1">
        <v>46125</v>
      </c>
      <c r="G72" t="str">
        <f>"102681"</f>
        <v>102681</v>
      </c>
      <c r="H72" t="s">
        <v>2535</v>
      </c>
      <c r="I72" t="s">
        <v>8904</v>
      </c>
      <c r="J72">
        <v>4080</v>
      </c>
    </row>
    <row r="73" spans="1:10" x14ac:dyDescent="0.25">
      <c r="A73" t="s">
        <v>8863</v>
      </c>
      <c r="C73" t="s">
        <v>8864</v>
      </c>
      <c r="D73" t="s">
        <v>8952</v>
      </c>
      <c r="E73" t="s">
        <v>8909</v>
      </c>
      <c r="F73" s="1">
        <v>46125</v>
      </c>
      <c r="G73" t="str">
        <f>"102752"</f>
        <v>102752</v>
      </c>
      <c r="H73" t="s">
        <v>2602</v>
      </c>
      <c r="I73" t="s">
        <v>8904</v>
      </c>
      <c r="J73">
        <v>200032</v>
      </c>
    </row>
    <row r="74" spans="1:10" x14ac:dyDescent="0.25">
      <c r="A74" t="s">
        <v>8863</v>
      </c>
      <c r="C74" t="s">
        <v>8864</v>
      </c>
      <c r="D74" t="s">
        <v>8953</v>
      </c>
      <c r="E74" t="s">
        <v>8909</v>
      </c>
      <c r="F74" s="1">
        <v>46125</v>
      </c>
      <c r="G74" t="str">
        <f>"102765"</f>
        <v>102765</v>
      </c>
      <c r="H74" t="s">
        <v>2615</v>
      </c>
      <c r="I74" t="s">
        <v>8904</v>
      </c>
      <c r="J74">
        <v>834</v>
      </c>
    </row>
    <row r="75" spans="1:10" x14ac:dyDescent="0.25">
      <c r="A75" t="s">
        <v>8863</v>
      </c>
      <c r="C75" t="s">
        <v>8864</v>
      </c>
      <c r="D75" t="s">
        <v>8954</v>
      </c>
      <c r="E75" t="s">
        <v>8909</v>
      </c>
      <c r="F75" s="1">
        <v>46125</v>
      </c>
      <c r="G75" t="str">
        <f>"120401"</f>
        <v>120401</v>
      </c>
      <c r="H75" t="s">
        <v>2819</v>
      </c>
      <c r="I75" t="s">
        <v>8904</v>
      </c>
      <c r="J75">
        <v>3628.8</v>
      </c>
    </row>
    <row r="76" spans="1:10" x14ac:dyDescent="0.25">
      <c r="A76" t="s">
        <v>8863</v>
      </c>
      <c r="C76" t="s">
        <v>8864</v>
      </c>
      <c r="D76" t="s">
        <v>8955</v>
      </c>
      <c r="E76" t="s">
        <v>8909</v>
      </c>
      <c r="F76" s="1">
        <v>46126</v>
      </c>
      <c r="G76" t="str">
        <f>"1002873"</f>
        <v>1002873</v>
      </c>
      <c r="H76" t="s">
        <v>286</v>
      </c>
      <c r="I76" t="s">
        <v>8904</v>
      </c>
      <c r="J76">
        <v>6048</v>
      </c>
    </row>
    <row r="77" spans="1:10" x14ac:dyDescent="0.25">
      <c r="A77" t="s">
        <v>8863</v>
      </c>
      <c r="C77" t="s">
        <v>8864</v>
      </c>
      <c r="D77" t="s">
        <v>8956</v>
      </c>
      <c r="E77" t="s">
        <v>8909</v>
      </c>
      <c r="F77" s="1">
        <v>46126</v>
      </c>
      <c r="G77" t="str">
        <f>"1002873"</f>
        <v>1002873</v>
      </c>
      <c r="H77" t="s">
        <v>286</v>
      </c>
      <c r="I77" t="s">
        <v>8904</v>
      </c>
      <c r="J77">
        <v>6048</v>
      </c>
    </row>
    <row r="78" spans="1:10" x14ac:dyDescent="0.25">
      <c r="A78" t="s">
        <v>8863</v>
      </c>
      <c r="C78" t="s">
        <v>8864</v>
      </c>
      <c r="D78" t="s">
        <v>8957</v>
      </c>
      <c r="E78" t="s">
        <v>8909</v>
      </c>
      <c r="F78" s="1">
        <v>46126</v>
      </c>
      <c r="G78" t="str">
        <f>"100296"</f>
        <v>100296</v>
      </c>
      <c r="H78" t="s">
        <v>295</v>
      </c>
      <c r="I78" t="s">
        <v>8904</v>
      </c>
      <c r="J78">
        <v>12600</v>
      </c>
    </row>
    <row r="79" spans="1:10" x14ac:dyDescent="0.25">
      <c r="A79" t="s">
        <v>8863</v>
      </c>
      <c r="C79" t="s">
        <v>8864</v>
      </c>
      <c r="D79" t="s">
        <v>8958</v>
      </c>
      <c r="E79" t="s">
        <v>8909</v>
      </c>
      <c r="F79" s="1">
        <v>46126</v>
      </c>
      <c r="G79" t="str">
        <f>"102066"</f>
        <v>102066</v>
      </c>
      <c r="H79" t="s">
        <v>2061</v>
      </c>
      <c r="I79" t="s">
        <v>8904</v>
      </c>
      <c r="J79">
        <v>1791.3</v>
      </c>
    </row>
    <row r="80" spans="1:10" x14ac:dyDescent="0.25">
      <c r="A80" t="s">
        <v>8863</v>
      </c>
      <c r="C80" t="s">
        <v>8864</v>
      </c>
      <c r="D80" t="s">
        <v>8959</v>
      </c>
      <c r="E80" t="s">
        <v>8909</v>
      </c>
      <c r="F80" s="1">
        <v>46126</v>
      </c>
      <c r="G80" t="str">
        <f>"102275"</f>
        <v>102275</v>
      </c>
      <c r="H80" t="s">
        <v>2269</v>
      </c>
      <c r="I80" t="s">
        <v>8904</v>
      </c>
      <c r="J80">
        <v>11880</v>
      </c>
    </row>
    <row r="81" spans="1:10" x14ac:dyDescent="0.25">
      <c r="A81" t="s">
        <v>8863</v>
      </c>
      <c r="C81" t="s">
        <v>8864</v>
      </c>
      <c r="D81" t="s">
        <v>8960</v>
      </c>
      <c r="E81" t="s">
        <v>8907</v>
      </c>
      <c r="F81" s="1">
        <v>46126</v>
      </c>
      <c r="G81" t="str">
        <f>"120318"</f>
        <v>120318</v>
      </c>
      <c r="H81" t="s">
        <v>2793</v>
      </c>
      <c r="I81" t="s">
        <v>8904</v>
      </c>
      <c r="J81">
        <v>385131.6</v>
      </c>
    </row>
    <row r="82" spans="1:10" x14ac:dyDescent="0.25">
      <c r="A82" t="s">
        <v>8863</v>
      </c>
      <c r="C82" t="s">
        <v>8864</v>
      </c>
      <c r="D82" t="s">
        <v>8961</v>
      </c>
      <c r="E82" t="s">
        <v>8909</v>
      </c>
      <c r="F82" s="1">
        <v>46126</v>
      </c>
      <c r="G82" t="str">
        <f>"120401"</f>
        <v>120401</v>
      </c>
      <c r="H82" t="s">
        <v>2819</v>
      </c>
      <c r="I82" t="s">
        <v>8904</v>
      </c>
      <c r="J82">
        <v>3628.8</v>
      </c>
    </row>
    <row r="83" spans="1:10" x14ac:dyDescent="0.25">
      <c r="A83" t="s">
        <v>8863</v>
      </c>
      <c r="C83" t="s">
        <v>8864</v>
      </c>
      <c r="D83" t="s">
        <v>8962</v>
      </c>
      <c r="E83" t="s">
        <v>8909</v>
      </c>
      <c r="F83" s="1">
        <v>46127</v>
      </c>
      <c r="G83" t="str">
        <f>"100274"</f>
        <v>100274</v>
      </c>
      <c r="H83" t="s">
        <v>272</v>
      </c>
      <c r="I83" t="s">
        <v>8904</v>
      </c>
      <c r="J83">
        <v>28004.16</v>
      </c>
    </row>
    <row r="84" spans="1:10" x14ac:dyDescent="0.25">
      <c r="A84" t="s">
        <v>8863</v>
      </c>
      <c r="C84" t="s">
        <v>8864</v>
      </c>
      <c r="D84" t="s">
        <v>8963</v>
      </c>
      <c r="E84" t="s">
        <v>8909</v>
      </c>
      <c r="F84" s="1">
        <v>46127</v>
      </c>
      <c r="G84" t="str">
        <f>"102632"</f>
        <v>102632</v>
      </c>
      <c r="H84" t="s">
        <v>2486</v>
      </c>
      <c r="I84" t="s">
        <v>8904</v>
      </c>
      <c r="J84">
        <v>28080</v>
      </c>
    </row>
    <row r="85" spans="1:10" x14ac:dyDescent="0.25">
      <c r="A85" t="s">
        <v>8863</v>
      </c>
      <c r="C85" t="s">
        <v>8864</v>
      </c>
      <c r="D85" t="s">
        <v>8964</v>
      </c>
      <c r="E85" t="s">
        <v>8909</v>
      </c>
      <c r="F85" s="1">
        <v>46127</v>
      </c>
      <c r="G85" t="str">
        <f>"102913"</f>
        <v>102913</v>
      </c>
      <c r="H85" t="s">
        <v>2763</v>
      </c>
      <c r="I85" t="s">
        <v>8904</v>
      </c>
      <c r="J85">
        <v>383234.4</v>
      </c>
    </row>
    <row r="86" spans="1:10" x14ac:dyDescent="0.25">
      <c r="A86" t="s">
        <v>8863</v>
      </c>
      <c r="C86" t="s">
        <v>8864</v>
      </c>
      <c r="D86" t="s">
        <v>8965</v>
      </c>
      <c r="E86" t="s">
        <v>8909</v>
      </c>
      <c r="F86" s="1">
        <v>46127</v>
      </c>
      <c r="G86" t="str">
        <f>"102935"</f>
        <v>102935</v>
      </c>
      <c r="H86" t="s">
        <v>2785</v>
      </c>
      <c r="I86" t="s">
        <v>8904</v>
      </c>
      <c r="J86">
        <v>30180</v>
      </c>
    </row>
    <row r="87" spans="1:10" x14ac:dyDescent="0.25">
      <c r="A87" t="s">
        <v>8863</v>
      </c>
      <c r="C87" t="s">
        <v>8864</v>
      </c>
      <c r="D87" t="s">
        <v>8966</v>
      </c>
      <c r="E87" t="s">
        <v>8967</v>
      </c>
      <c r="F87" s="1">
        <v>46128</v>
      </c>
      <c r="G87" t="str">
        <f>"100099"</f>
        <v>100099</v>
      </c>
      <c r="H87" t="s">
        <v>100</v>
      </c>
      <c r="I87" t="s">
        <v>8904</v>
      </c>
      <c r="J87">
        <v>60000</v>
      </c>
    </row>
    <row r="88" spans="1:10" x14ac:dyDescent="0.25">
      <c r="A88" t="s">
        <v>8863</v>
      </c>
      <c r="C88" t="s">
        <v>8864</v>
      </c>
      <c r="D88" t="s">
        <v>8968</v>
      </c>
      <c r="E88" t="s">
        <v>8969</v>
      </c>
      <c r="F88" s="1">
        <v>46128</v>
      </c>
      <c r="G88" t="str">
        <f>"102740"</f>
        <v>102740</v>
      </c>
      <c r="H88" t="s">
        <v>2590</v>
      </c>
      <c r="I88" t="s">
        <v>8904</v>
      </c>
      <c r="J88">
        <v>396514.8</v>
      </c>
    </row>
    <row r="89" spans="1:10" x14ac:dyDescent="0.25">
      <c r="A89" t="s">
        <v>8863</v>
      </c>
      <c r="C89" t="s">
        <v>8864</v>
      </c>
      <c r="D89" t="s">
        <v>8970</v>
      </c>
      <c r="E89" t="s">
        <v>8909</v>
      </c>
      <c r="F89" s="1">
        <v>46128</v>
      </c>
      <c r="G89" t="str">
        <f>"102930"</f>
        <v>102930</v>
      </c>
      <c r="H89" t="s">
        <v>2780</v>
      </c>
      <c r="I89" t="s">
        <v>8904</v>
      </c>
      <c r="J89">
        <v>9619.2000000000007</v>
      </c>
    </row>
    <row r="90" spans="1:10" x14ac:dyDescent="0.25">
      <c r="A90" t="s">
        <v>8863</v>
      </c>
      <c r="C90" t="s">
        <v>8864</v>
      </c>
      <c r="D90" t="s">
        <v>8971</v>
      </c>
      <c r="E90" t="s">
        <v>8909</v>
      </c>
      <c r="F90" s="1">
        <v>46128</v>
      </c>
      <c r="G90" t="str">
        <f>"120401"</f>
        <v>120401</v>
      </c>
      <c r="H90" t="s">
        <v>2819</v>
      </c>
      <c r="I90" t="s">
        <v>8904</v>
      </c>
      <c r="J90">
        <v>6048</v>
      </c>
    </row>
    <row r="91" spans="1:10" x14ac:dyDescent="0.25">
      <c r="A91" t="s">
        <v>8863</v>
      </c>
      <c r="C91" t="s">
        <v>8864</v>
      </c>
      <c r="D91" t="s">
        <v>8972</v>
      </c>
      <c r="E91" t="s">
        <v>8909</v>
      </c>
      <c r="F91" s="1">
        <v>46129</v>
      </c>
      <c r="G91" t="str">
        <f>"100097"</f>
        <v>100097</v>
      </c>
      <c r="H91" t="s">
        <v>98</v>
      </c>
      <c r="I91" t="s">
        <v>8904</v>
      </c>
      <c r="J91">
        <v>1389.8</v>
      </c>
    </row>
    <row r="92" spans="1:10" x14ac:dyDescent="0.25">
      <c r="A92" t="s">
        <v>8863</v>
      </c>
      <c r="C92" t="s">
        <v>8864</v>
      </c>
      <c r="D92" t="s">
        <v>8973</v>
      </c>
      <c r="E92" t="s">
        <v>8909</v>
      </c>
      <c r="F92" s="1">
        <v>46129</v>
      </c>
      <c r="G92" t="str">
        <f>"1002873"</f>
        <v>1002873</v>
      </c>
      <c r="H92" t="s">
        <v>286</v>
      </c>
      <c r="I92" t="s">
        <v>8904</v>
      </c>
      <c r="J92">
        <v>2419.1999999999998</v>
      </c>
    </row>
    <row r="93" spans="1:10" x14ac:dyDescent="0.25">
      <c r="A93" t="s">
        <v>8863</v>
      </c>
      <c r="C93" t="s">
        <v>8864</v>
      </c>
      <c r="D93" t="s">
        <v>8974</v>
      </c>
      <c r="E93" t="s">
        <v>8909</v>
      </c>
      <c r="F93" s="1">
        <v>46129</v>
      </c>
      <c r="G93" t="str">
        <f>"100527"</f>
        <v>100527</v>
      </c>
      <c r="H93" t="s">
        <v>526</v>
      </c>
      <c r="I93" t="s">
        <v>8904</v>
      </c>
      <c r="J93">
        <v>2419.1999999999998</v>
      </c>
    </row>
    <row r="94" spans="1:10" x14ac:dyDescent="0.25">
      <c r="A94" t="s">
        <v>8863</v>
      </c>
      <c r="C94" t="s">
        <v>8864</v>
      </c>
      <c r="D94" t="s">
        <v>8975</v>
      </c>
      <c r="E94" t="s">
        <v>8909</v>
      </c>
      <c r="F94" s="1">
        <v>46129</v>
      </c>
      <c r="G94" t="str">
        <f>"102592"</f>
        <v>102592</v>
      </c>
      <c r="H94" t="s">
        <v>2446</v>
      </c>
      <c r="I94" t="s">
        <v>8904</v>
      </c>
      <c r="J94">
        <v>416302.59600000002</v>
      </c>
    </row>
    <row r="95" spans="1:10" x14ac:dyDescent="0.25">
      <c r="A95" t="s">
        <v>8863</v>
      </c>
      <c r="C95" t="s">
        <v>8864</v>
      </c>
      <c r="D95" t="s">
        <v>8976</v>
      </c>
      <c r="E95" t="s">
        <v>8909</v>
      </c>
      <c r="F95" s="1">
        <v>46129</v>
      </c>
      <c r="G95" t="str">
        <f>"102832"</f>
        <v>102832</v>
      </c>
      <c r="H95" t="s">
        <v>2682</v>
      </c>
      <c r="I95" t="s">
        <v>8904</v>
      </c>
      <c r="J95">
        <v>181361.16</v>
      </c>
    </row>
    <row r="96" spans="1:10" x14ac:dyDescent="0.25">
      <c r="A96" t="s">
        <v>8863</v>
      </c>
      <c r="C96" t="s">
        <v>8864</v>
      </c>
      <c r="D96" t="s">
        <v>8977</v>
      </c>
      <c r="E96" t="s">
        <v>8909</v>
      </c>
      <c r="F96" s="1">
        <v>46132</v>
      </c>
      <c r="G96" t="str">
        <f>"100094"</f>
        <v>100094</v>
      </c>
      <c r="H96" t="s">
        <v>95</v>
      </c>
      <c r="I96" t="s">
        <v>8904</v>
      </c>
      <c r="J96">
        <v>8675</v>
      </c>
    </row>
    <row r="97" spans="1:10" x14ac:dyDescent="0.25">
      <c r="A97" t="s">
        <v>8863</v>
      </c>
      <c r="C97" t="s">
        <v>8864</v>
      </c>
      <c r="D97" t="s">
        <v>8978</v>
      </c>
      <c r="E97" t="s">
        <v>8909</v>
      </c>
      <c r="F97" s="1">
        <v>46132</v>
      </c>
      <c r="G97" t="str">
        <f>"1002873"</f>
        <v>1002873</v>
      </c>
      <c r="H97" t="s">
        <v>286</v>
      </c>
      <c r="I97" t="s">
        <v>8904</v>
      </c>
      <c r="J97">
        <v>3024</v>
      </c>
    </row>
    <row r="98" spans="1:10" x14ac:dyDescent="0.25">
      <c r="A98" t="s">
        <v>8863</v>
      </c>
      <c r="C98" t="s">
        <v>8864</v>
      </c>
      <c r="D98" t="s">
        <v>8979</v>
      </c>
      <c r="E98" t="s">
        <v>8909</v>
      </c>
      <c r="F98" s="1">
        <v>46132</v>
      </c>
      <c r="G98" t="str">
        <f>"100291"</f>
        <v>100291</v>
      </c>
      <c r="H98" t="s">
        <v>290</v>
      </c>
      <c r="I98" t="s">
        <v>8904</v>
      </c>
      <c r="J98">
        <v>3625.85</v>
      </c>
    </row>
    <row r="99" spans="1:10" x14ac:dyDescent="0.25">
      <c r="A99" t="s">
        <v>8863</v>
      </c>
      <c r="C99" t="s">
        <v>8864</v>
      </c>
      <c r="D99" t="s">
        <v>8980</v>
      </c>
      <c r="E99" t="s">
        <v>8909</v>
      </c>
      <c r="F99" s="1">
        <v>46132</v>
      </c>
      <c r="G99" t="str">
        <f>"100296"</f>
        <v>100296</v>
      </c>
      <c r="H99" t="s">
        <v>295</v>
      </c>
      <c r="I99" t="s">
        <v>8904</v>
      </c>
      <c r="J99">
        <v>5100</v>
      </c>
    </row>
    <row r="100" spans="1:10" x14ac:dyDescent="0.25">
      <c r="A100" t="s">
        <v>8863</v>
      </c>
      <c r="C100" t="s">
        <v>8864</v>
      </c>
      <c r="D100" t="s">
        <v>8981</v>
      </c>
      <c r="E100" t="s">
        <v>8909</v>
      </c>
      <c r="F100" s="1">
        <v>46132</v>
      </c>
      <c r="G100" t="str">
        <f>"100527"</f>
        <v>100527</v>
      </c>
      <c r="H100" t="s">
        <v>526</v>
      </c>
      <c r="I100" t="s">
        <v>8904</v>
      </c>
      <c r="J100">
        <v>3024</v>
      </c>
    </row>
    <row r="101" spans="1:10" x14ac:dyDescent="0.25">
      <c r="A101" t="s">
        <v>8863</v>
      </c>
      <c r="C101" t="s">
        <v>8864</v>
      </c>
      <c r="D101" t="s">
        <v>8982</v>
      </c>
      <c r="E101" t="s">
        <v>8909</v>
      </c>
      <c r="F101" s="1">
        <v>46132</v>
      </c>
      <c r="G101" t="str">
        <f>"102275"</f>
        <v>102275</v>
      </c>
      <c r="H101" t="s">
        <v>2269</v>
      </c>
      <c r="I101" t="s">
        <v>8904</v>
      </c>
      <c r="J101">
        <v>100985.95</v>
      </c>
    </row>
    <row r="102" spans="1:10" x14ac:dyDescent="0.25">
      <c r="A102" t="s">
        <v>8863</v>
      </c>
      <c r="C102" t="s">
        <v>8864</v>
      </c>
      <c r="D102" t="s">
        <v>8983</v>
      </c>
      <c r="E102" t="s">
        <v>8969</v>
      </c>
      <c r="F102" s="1">
        <v>46132</v>
      </c>
      <c r="G102" t="str">
        <f>"102914"</f>
        <v>102914</v>
      </c>
      <c r="H102" t="s">
        <v>2764</v>
      </c>
      <c r="I102" t="s">
        <v>8904</v>
      </c>
      <c r="J102">
        <v>383234.4</v>
      </c>
    </row>
    <row r="103" spans="1:10" x14ac:dyDescent="0.25">
      <c r="A103" t="s">
        <v>8863</v>
      </c>
      <c r="C103" t="s">
        <v>8864</v>
      </c>
      <c r="D103" t="s">
        <v>8984</v>
      </c>
      <c r="E103" t="s">
        <v>8985</v>
      </c>
      <c r="F103" s="1">
        <v>46132</v>
      </c>
      <c r="G103" t="str">
        <f>"120317"</f>
        <v>120317</v>
      </c>
      <c r="H103" t="s">
        <v>2792</v>
      </c>
      <c r="I103" t="s">
        <v>8904</v>
      </c>
      <c r="J103">
        <v>28000</v>
      </c>
    </row>
    <row r="104" spans="1:10" x14ac:dyDescent="0.25">
      <c r="A104" t="s">
        <v>8863</v>
      </c>
      <c r="C104" t="s">
        <v>8864</v>
      </c>
      <c r="D104" t="s">
        <v>8986</v>
      </c>
      <c r="E104" t="s">
        <v>8909</v>
      </c>
      <c r="F104" s="1">
        <v>46132</v>
      </c>
      <c r="G104" t="str">
        <f>"120388"</f>
        <v>120388</v>
      </c>
      <c r="H104" t="s">
        <v>2815</v>
      </c>
      <c r="I104" t="s">
        <v>8904</v>
      </c>
      <c r="J104">
        <v>2132.319</v>
      </c>
    </row>
    <row r="105" spans="1:10" x14ac:dyDescent="0.25">
      <c r="A105" t="s">
        <v>8863</v>
      </c>
      <c r="C105" t="s">
        <v>8864</v>
      </c>
      <c r="D105" t="s">
        <v>8987</v>
      </c>
      <c r="E105" t="s">
        <v>8909</v>
      </c>
      <c r="F105" s="1">
        <v>46133</v>
      </c>
      <c r="G105" t="str">
        <f>"100502"</f>
        <v>100502</v>
      </c>
      <c r="H105" t="s">
        <v>501</v>
      </c>
      <c r="I105" t="s">
        <v>8904</v>
      </c>
      <c r="J105">
        <v>785</v>
      </c>
    </row>
    <row r="106" spans="1:10" x14ac:dyDescent="0.25">
      <c r="A106" t="s">
        <v>8863</v>
      </c>
      <c r="C106" t="s">
        <v>8864</v>
      </c>
      <c r="D106" t="s">
        <v>8988</v>
      </c>
      <c r="E106" t="s">
        <v>8989</v>
      </c>
      <c r="F106" s="1">
        <v>46133</v>
      </c>
      <c r="G106" t="str">
        <f>"102169"</f>
        <v>102169</v>
      </c>
      <c r="H106" t="s">
        <v>2161</v>
      </c>
      <c r="I106" t="s">
        <v>8904</v>
      </c>
      <c r="J106">
        <v>7950</v>
      </c>
    </row>
    <row r="107" spans="1:10" x14ac:dyDescent="0.25">
      <c r="A107" t="s">
        <v>8863</v>
      </c>
      <c r="C107" t="s">
        <v>8864</v>
      </c>
      <c r="D107" t="s">
        <v>8990</v>
      </c>
      <c r="E107" t="s">
        <v>8909</v>
      </c>
      <c r="F107" s="1">
        <v>46133</v>
      </c>
      <c r="G107" t="str">
        <f>"102444"</f>
        <v>102444</v>
      </c>
      <c r="H107" t="s">
        <v>2333</v>
      </c>
      <c r="I107" t="s">
        <v>8904</v>
      </c>
      <c r="J107">
        <v>3024</v>
      </c>
    </row>
    <row r="108" spans="1:10" x14ac:dyDescent="0.25">
      <c r="A108" t="s">
        <v>8863</v>
      </c>
      <c r="C108" t="s">
        <v>8864</v>
      </c>
      <c r="D108" t="s">
        <v>8991</v>
      </c>
      <c r="E108" t="s">
        <v>8992</v>
      </c>
      <c r="F108" s="1">
        <v>46133</v>
      </c>
      <c r="G108" t="str">
        <f>"102860"</f>
        <v>102860</v>
      </c>
      <c r="H108" t="s">
        <v>2709</v>
      </c>
      <c r="I108" t="s">
        <v>8904</v>
      </c>
      <c r="J108">
        <v>235831.32</v>
      </c>
    </row>
    <row r="109" spans="1:10" x14ac:dyDescent="0.25">
      <c r="A109" t="s">
        <v>8863</v>
      </c>
      <c r="C109" t="s">
        <v>8864</v>
      </c>
      <c r="D109" t="s">
        <v>8993</v>
      </c>
      <c r="E109" t="s">
        <v>8909</v>
      </c>
      <c r="F109" s="1">
        <v>46134</v>
      </c>
      <c r="G109" t="str">
        <f>"101581"</f>
        <v>101581</v>
      </c>
      <c r="H109" t="s">
        <v>1577</v>
      </c>
      <c r="I109" t="s">
        <v>8904</v>
      </c>
      <c r="J109">
        <v>1276.2</v>
      </c>
    </row>
    <row r="110" spans="1:10" x14ac:dyDescent="0.25">
      <c r="A110" t="s">
        <v>8863</v>
      </c>
      <c r="C110" t="s">
        <v>8864</v>
      </c>
      <c r="D110" t="s">
        <v>8994</v>
      </c>
      <c r="E110" t="s">
        <v>8909</v>
      </c>
      <c r="F110" s="1">
        <v>46135</v>
      </c>
      <c r="G110" t="str">
        <f>"101172"</f>
        <v>101172</v>
      </c>
      <c r="H110" t="s">
        <v>1169</v>
      </c>
      <c r="I110" t="s">
        <v>8904</v>
      </c>
      <c r="J110">
        <v>153912</v>
      </c>
    </row>
    <row r="111" spans="1:10" x14ac:dyDescent="0.25">
      <c r="A111" t="s">
        <v>8863</v>
      </c>
      <c r="C111" t="s">
        <v>8901</v>
      </c>
      <c r="D111" t="s">
        <v>8995</v>
      </c>
      <c r="E111" t="s">
        <v>8909</v>
      </c>
      <c r="F111" s="1">
        <v>46135</v>
      </c>
      <c r="G111" t="str">
        <f>"102229"</f>
        <v>102229</v>
      </c>
      <c r="H111" t="s">
        <v>2221</v>
      </c>
      <c r="I111" t="s">
        <v>8904</v>
      </c>
      <c r="J111">
        <v>3921.6</v>
      </c>
    </row>
    <row r="112" spans="1:10" x14ac:dyDescent="0.25">
      <c r="A112" t="s">
        <v>8863</v>
      </c>
      <c r="C112" t="s">
        <v>8901</v>
      </c>
      <c r="D112" t="s">
        <v>8996</v>
      </c>
      <c r="E112" t="s">
        <v>8997</v>
      </c>
      <c r="F112" s="1">
        <v>46135</v>
      </c>
      <c r="G112" t="str">
        <f>"102592"</f>
        <v>102592</v>
      </c>
      <c r="H112" t="s">
        <v>2446</v>
      </c>
      <c r="I112" t="s">
        <v>8904</v>
      </c>
      <c r="J112">
        <v>136450.53140000001</v>
      </c>
    </row>
    <row r="113" spans="1:10" x14ac:dyDescent="0.25">
      <c r="A113" t="s">
        <v>8890</v>
      </c>
      <c r="C113" t="s">
        <v>8864</v>
      </c>
      <c r="D113" t="s">
        <v>8998</v>
      </c>
      <c r="E113" t="s">
        <v>8999</v>
      </c>
      <c r="F113" s="1">
        <v>46135</v>
      </c>
      <c r="G113" t="str">
        <f>"102592"</f>
        <v>102592</v>
      </c>
      <c r="H113" t="s">
        <v>2446</v>
      </c>
      <c r="I113" t="s">
        <v>8904</v>
      </c>
      <c r="J113">
        <v>136450.53140000001</v>
      </c>
    </row>
    <row r="114" spans="1:10" x14ac:dyDescent="0.25">
      <c r="A114" t="s">
        <v>8863</v>
      </c>
      <c r="C114" t="s">
        <v>8864</v>
      </c>
      <c r="D114" t="s">
        <v>9000</v>
      </c>
      <c r="E114" t="s">
        <v>8909</v>
      </c>
      <c r="F114" s="1">
        <v>46135</v>
      </c>
      <c r="G114" t="str">
        <f>"102595"</f>
        <v>102595</v>
      </c>
      <c r="H114" t="s">
        <v>2449</v>
      </c>
      <c r="I114" t="s">
        <v>8904</v>
      </c>
      <c r="J114">
        <v>1814.4</v>
      </c>
    </row>
    <row r="115" spans="1:10" x14ac:dyDescent="0.25">
      <c r="A115" t="s">
        <v>8863</v>
      </c>
      <c r="C115" t="s">
        <v>8901</v>
      </c>
      <c r="D115" t="s">
        <v>9001</v>
      </c>
      <c r="E115" t="s">
        <v>9002</v>
      </c>
      <c r="F115" s="1">
        <v>46135</v>
      </c>
      <c r="G115" t="str">
        <f>"120317"</f>
        <v>120317</v>
      </c>
      <c r="H115" t="s">
        <v>2792</v>
      </c>
      <c r="I115" t="s">
        <v>8904</v>
      </c>
      <c r="J115">
        <v>28000</v>
      </c>
    </row>
    <row r="116" spans="1:10" x14ac:dyDescent="0.25">
      <c r="A116" t="s">
        <v>8863</v>
      </c>
      <c r="C116" t="s">
        <v>8901</v>
      </c>
      <c r="D116" t="s">
        <v>9003</v>
      </c>
      <c r="E116" t="s">
        <v>8909</v>
      </c>
      <c r="F116" s="1">
        <v>46136</v>
      </c>
      <c r="G116" t="str">
        <f>"101720"</f>
        <v>101720</v>
      </c>
      <c r="H116" t="s">
        <v>1716</v>
      </c>
      <c r="I116" t="s">
        <v>8904</v>
      </c>
      <c r="J116">
        <v>1391.2</v>
      </c>
    </row>
    <row r="117" spans="1:10" x14ac:dyDescent="0.25">
      <c r="A117" t="s">
        <v>8863</v>
      </c>
      <c r="C117" t="s">
        <v>8901</v>
      </c>
      <c r="D117" t="s">
        <v>9004</v>
      </c>
      <c r="E117" t="s">
        <v>9005</v>
      </c>
      <c r="F117" s="1">
        <v>46136</v>
      </c>
      <c r="G117" t="str">
        <f>"102592"</f>
        <v>102592</v>
      </c>
      <c r="H117" t="s">
        <v>2446</v>
      </c>
      <c r="I117" t="s">
        <v>8904</v>
      </c>
      <c r="J117">
        <v>404103.6</v>
      </c>
    </row>
    <row r="118" spans="1:10" x14ac:dyDescent="0.25">
      <c r="A118" t="s">
        <v>8863</v>
      </c>
      <c r="C118" t="s">
        <v>8901</v>
      </c>
      <c r="D118" t="s">
        <v>9006</v>
      </c>
      <c r="E118" t="s">
        <v>8909</v>
      </c>
      <c r="F118" s="1">
        <v>46136</v>
      </c>
      <c r="G118" t="str">
        <f>"102681"</f>
        <v>102681</v>
      </c>
      <c r="H118" t="s">
        <v>2535</v>
      </c>
      <c r="I118" t="s">
        <v>8904</v>
      </c>
      <c r="J118">
        <v>2232</v>
      </c>
    </row>
    <row r="119" spans="1:10" x14ac:dyDescent="0.25">
      <c r="A119" t="s">
        <v>8863</v>
      </c>
      <c r="C119" t="s">
        <v>8901</v>
      </c>
      <c r="D119" t="s">
        <v>9007</v>
      </c>
      <c r="E119" t="s">
        <v>8909</v>
      </c>
      <c r="F119" s="1">
        <v>46136</v>
      </c>
      <c r="G119" t="str">
        <f>"102798"</f>
        <v>102798</v>
      </c>
      <c r="H119" t="s">
        <v>2648</v>
      </c>
      <c r="I119" t="s">
        <v>8904</v>
      </c>
      <c r="J119">
        <v>15156</v>
      </c>
    </row>
    <row r="120" spans="1:10" x14ac:dyDescent="0.25">
      <c r="A120" t="s">
        <v>8863</v>
      </c>
      <c r="C120" t="s">
        <v>8901</v>
      </c>
      <c r="D120" t="s">
        <v>9008</v>
      </c>
      <c r="E120" t="s">
        <v>8909</v>
      </c>
      <c r="F120" s="1">
        <v>46136</v>
      </c>
      <c r="G120" t="str">
        <f>"102909"</f>
        <v>102909</v>
      </c>
      <c r="H120" t="s">
        <v>2759</v>
      </c>
      <c r="I120" t="s">
        <v>8904</v>
      </c>
      <c r="J120">
        <v>901</v>
      </c>
    </row>
    <row r="121" spans="1:10" x14ac:dyDescent="0.25">
      <c r="A121" t="s">
        <v>8863</v>
      </c>
      <c r="C121" t="s">
        <v>8901</v>
      </c>
      <c r="D121" t="s">
        <v>9009</v>
      </c>
      <c r="E121" t="s">
        <v>8909</v>
      </c>
      <c r="F121" s="1">
        <v>46136</v>
      </c>
      <c r="G121" t="str">
        <f>"120378"</f>
        <v>120378</v>
      </c>
      <c r="H121" t="s">
        <v>2805</v>
      </c>
      <c r="I121" t="s">
        <v>8904</v>
      </c>
      <c r="J121">
        <v>1470.6</v>
      </c>
    </row>
    <row r="122" spans="1:10" x14ac:dyDescent="0.25">
      <c r="A122" t="s">
        <v>8863</v>
      </c>
      <c r="C122" t="s">
        <v>8901</v>
      </c>
      <c r="D122" t="s">
        <v>9010</v>
      </c>
      <c r="E122" t="s">
        <v>8909</v>
      </c>
      <c r="F122" s="1">
        <v>46136</v>
      </c>
      <c r="G122" t="str">
        <f>"120401"</f>
        <v>120401</v>
      </c>
      <c r="H122" t="s">
        <v>2819</v>
      </c>
      <c r="I122" t="s">
        <v>8904</v>
      </c>
      <c r="J122">
        <v>3628.8</v>
      </c>
    </row>
    <row r="123" spans="1:10" x14ac:dyDescent="0.25">
      <c r="A123" t="s">
        <v>8863</v>
      </c>
      <c r="C123" t="s">
        <v>8901</v>
      </c>
      <c r="D123" t="s">
        <v>9011</v>
      </c>
      <c r="E123" t="s">
        <v>8909</v>
      </c>
      <c r="F123" s="1">
        <v>46137</v>
      </c>
      <c r="G123" t="str">
        <f>"102602"</f>
        <v>102602</v>
      </c>
      <c r="H123" t="s">
        <v>2456</v>
      </c>
      <c r="I123" t="s">
        <v>8904</v>
      </c>
      <c r="J123">
        <v>2700</v>
      </c>
    </row>
    <row r="124" spans="1:10" x14ac:dyDescent="0.25">
      <c r="A124" t="s">
        <v>8863</v>
      </c>
      <c r="C124" t="s">
        <v>8901</v>
      </c>
      <c r="D124" t="s">
        <v>9012</v>
      </c>
      <c r="E124" t="s">
        <v>9013</v>
      </c>
      <c r="F124" s="1">
        <v>46137</v>
      </c>
      <c r="G124" t="str">
        <f>"120317"</f>
        <v>120317</v>
      </c>
      <c r="H124" t="s">
        <v>2792</v>
      </c>
      <c r="I124" t="s">
        <v>8904</v>
      </c>
      <c r="J124">
        <v>1800</v>
      </c>
    </row>
    <row r="125" spans="1:10" x14ac:dyDescent="0.25">
      <c r="A125" t="s">
        <v>8863</v>
      </c>
      <c r="C125" t="s">
        <v>8901</v>
      </c>
      <c r="D125" t="s">
        <v>9014</v>
      </c>
      <c r="E125" t="s">
        <v>8909</v>
      </c>
      <c r="F125" s="1">
        <v>46139</v>
      </c>
      <c r="G125" t="str">
        <f>"100113"</f>
        <v>100113</v>
      </c>
      <c r="H125" t="s">
        <v>114</v>
      </c>
      <c r="I125" t="s">
        <v>8904</v>
      </c>
      <c r="J125">
        <v>785</v>
      </c>
    </row>
    <row r="126" spans="1:10" x14ac:dyDescent="0.25">
      <c r="A126" t="s">
        <v>8863</v>
      </c>
      <c r="C126" t="s">
        <v>8901</v>
      </c>
      <c r="D126" t="s">
        <v>9015</v>
      </c>
      <c r="E126" t="s">
        <v>8909</v>
      </c>
      <c r="F126" s="1">
        <v>46139</v>
      </c>
      <c r="G126" t="str">
        <f>"1002873"</f>
        <v>1002873</v>
      </c>
      <c r="H126" t="s">
        <v>286</v>
      </c>
      <c r="I126" t="s">
        <v>8904</v>
      </c>
      <c r="J126">
        <v>6048</v>
      </c>
    </row>
    <row r="127" spans="1:10" x14ac:dyDescent="0.25">
      <c r="A127" t="s">
        <v>8863</v>
      </c>
      <c r="C127" t="s">
        <v>8901</v>
      </c>
      <c r="D127" t="s">
        <v>9016</v>
      </c>
      <c r="E127" t="s">
        <v>8909</v>
      </c>
      <c r="F127" s="1">
        <v>46139</v>
      </c>
      <c r="G127" t="str">
        <f>"1002873"</f>
        <v>1002873</v>
      </c>
      <c r="H127" t="s">
        <v>286</v>
      </c>
      <c r="I127" t="s">
        <v>8904</v>
      </c>
      <c r="J127">
        <v>6048</v>
      </c>
    </row>
    <row r="128" spans="1:10" x14ac:dyDescent="0.25">
      <c r="A128" t="s">
        <v>8863</v>
      </c>
      <c r="C128" t="s">
        <v>8901</v>
      </c>
      <c r="D128" t="s">
        <v>9017</v>
      </c>
      <c r="E128" t="s">
        <v>8909</v>
      </c>
      <c r="F128" s="1">
        <v>46139</v>
      </c>
      <c r="G128" t="str">
        <f>"100323"</f>
        <v>100323</v>
      </c>
      <c r="H128" t="s">
        <v>322</v>
      </c>
      <c r="I128" t="s">
        <v>8904</v>
      </c>
      <c r="J128">
        <v>4655.6499999999996</v>
      </c>
    </row>
    <row r="129" spans="1:10" x14ac:dyDescent="0.25">
      <c r="A129" t="s">
        <v>8863</v>
      </c>
      <c r="C129" t="s">
        <v>8901</v>
      </c>
      <c r="D129" t="s">
        <v>9018</v>
      </c>
      <c r="E129" t="s">
        <v>8909</v>
      </c>
      <c r="F129" s="1">
        <v>46139</v>
      </c>
      <c r="G129" t="str">
        <f>"100527"</f>
        <v>100527</v>
      </c>
      <c r="H129" t="s">
        <v>526</v>
      </c>
      <c r="I129" t="s">
        <v>8904</v>
      </c>
      <c r="J129">
        <v>1814.4</v>
      </c>
    </row>
    <row r="130" spans="1:10" x14ac:dyDescent="0.25">
      <c r="A130" t="s">
        <v>8863</v>
      </c>
      <c r="C130" t="s">
        <v>8901</v>
      </c>
      <c r="D130" t="s">
        <v>9019</v>
      </c>
      <c r="E130" t="s">
        <v>8909</v>
      </c>
      <c r="F130" s="1">
        <v>46139</v>
      </c>
      <c r="G130" t="str">
        <f>"102444"</f>
        <v>102444</v>
      </c>
      <c r="H130" t="s">
        <v>2333</v>
      </c>
      <c r="I130" t="s">
        <v>8904</v>
      </c>
      <c r="J130">
        <v>6048</v>
      </c>
    </row>
    <row r="131" spans="1:10" x14ac:dyDescent="0.25">
      <c r="A131" t="s">
        <v>8863</v>
      </c>
      <c r="C131" t="s">
        <v>8901</v>
      </c>
      <c r="D131" t="s">
        <v>9020</v>
      </c>
      <c r="E131" t="s">
        <v>8909</v>
      </c>
      <c r="F131" s="1">
        <v>46139</v>
      </c>
      <c r="G131" t="str">
        <f>"102499"</f>
        <v>102499</v>
      </c>
      <c r="H131" t="s">
        <v>2388</v>
      </c>
      <c r="I131" t="s">
        <v>8904</v>
      </c>
      <c r="J131">
        <v>3024</v>
      </c>
    </row>
    <row r="132" spans="1:10" x14ac:dyDescent="0.25">
      <c r="A132" t="s">
        <v>8863</v>
      </c>
      <c r="C132" t="s">
        <v>8901</v>
      </c>
      <c r="D132" t="s">
        <v>9021</v>
      </c>
      <c r="E132" t="s">
        <v>8909</v>
      </c>
      <c r="F132" s="1">
        <v>46139</v>
      </c>
      <c r="G132" t="str">
        <f>"102595"</f>
        <v>102595</v>
      </c>
      <c r="H132" t="s">
        <v>2449</v>
      </c>
      <c r="I132" t="s">
        <v>8904</v>
      </c>
      <c r="J132">
        <v>3024</v>
      </c>
    </row>
    <row r="133" spans="1:10" x14ac:dyDescent="0.25">
      <c r="A133" t="s">
        <v>8863</v>
      </c>
      <c r="C133" t="s">
        <v>8901</v>
      </c>
      <c r="D133" t="s">
        <v>9022</v>
      </c>
      <c r="E133" t="s">
        <v>9023</v>
      </c>
      <c r="F133" s="1">
        <v>46139</v>
      </c>
      <c r="G133" t="str">
        <f>"102701"</f>
        <v>102701</v>
      </c>
      <c r="H133" t="s">
        <v>2555</v>
      </c>
      <c r="I133" t="s">
        <v>8904</v>
      </c>
      <c r="J133">
        <v>22770</v>
      </c>
    </row>
    <row r="134" spans="1:10" x14ac:dyDescent="0.25">
      <c r="A134" t="s">
        <v>8863</v>
      </c>
      <c r="C134" t="s">
        <v>8901</v>
      </c>
      <c r="D134" t="s">
        <v>9024</v>
      </c>
      <c r="E134" t="s">
        <v>8909</v>
      </c>
      <c r="F134" s="1">
        <v>46139</v>
      </c>
      <c r="G134" t="str">
        <f>"102798"</f>
        <v>102798</v>
      </c>
      <c r="H134" t="s">
        <v>2648</v>
      </c>
      <c r="I134" t="s">
        <v>8904</v>
      </c>
      <c r="J134">
        <v>15156</v>
      </c>
    </row>
    <row r="135" spans="1:10" x14ac:dyDescent="0.25">
      <c r="A135" t="s">
        <v>8863</v>
      </c>
      <c r="C135" t="s">
        <v>8901</v>
      </c>
      <c r="D135" t="s">
        <v>9025</v>
      </c>
      <c r="E135" t="s">
        <v>8909</v>
      </c>
      <c r="F135" s="1">
        <v>46139</v>
      </c>
      <c r="G135" t="str">
        <f>"102854"</f>
        <v>102854</v>
      </c>
      <c r="H135" t="s">
        <v>2703</v>
      </c>
      <c r="I135" t="s">
        <v>8904</v>
      </c>
      <c r="J135">
        <v>450.5</v>
      </c>
    </row>
    <row r="136" spans="1:10" x14ac:dyDescent="0.25">
      <c r="A136" t="s">
        <v>8863</v>
      </c>
      <c r="C136" t="s">
        <v>8901</v>
      </c>
      <c r="D136" t="s">
        <v>9026</v>
      </c>
      <c r="E136" t="s">
        <v>8909</v>
      </c>
      <c r="F136" s="1">
        <v>46139</v>
      </c>
      <c r="G136" t="str">
        <f>"102893"</f>
        <v>102893</v>
      </c>
      <c r="H136" t="s">
        <v>2742</v>
      </c>
      <c r="I136" t="s">
        <v>8904</v>
      </c>
      <c r="J136">
        <v>1814.4</v>
      </c>
    </row>
    <row r="137" spans="1:10" x14ac:dyDescent="0.25">
      <c r="A137" t="s">
        <v>8863</v>
      </c>
      <c r="C137" t="s">
        <v>8901</v>
      </c>
      <c r="D137" t="s">
        <v>9027</v>
      </c>
      <c r="E137" t="s">
        <v>8909</v>
      </c>
      <c r="F137" s="1">
        <v>46139</v>
      </c>
      <c r="G137" t="str">
        <f>"120401"</f>
        <v>120401</v>
      </c>
      <c r="H137" t="s">
        <v>2819</v>
      </c>
      <c r="I137" t="s">
        <v>8904</v>
      </c>
      <c r="J137">
        <v>6048</v>
      </c>
    </row>
    <row r="138" spans="1:10" x14ac:dyDescent="0.25">
      <c r="A138" t="s">
        <v>8863</v>
      </c>
      <c r="C138" t="s">
        <v>8901</v>
      </c>
      <c r="D138" t="s">
        <v>9028</v>
      </c>
      <c r="E138" t="s">
        <v>8909</v>
      </c>
      <c r="F138" s="1">
        <v>46139</v>
      </c>
      <c r="G138" t="str">
        <f>"120401"</f>
        <v>120401</v>
      </c>
      <c r="H138" t="s">
        <v>2819</v>
      </c>
      <c r="I138" t="s">
        <v>8904</v>
      </c>
      <c r="J138">
        <v>3628.8</v>
      </c>
    </row>
    <row r="139" spans="1:10" x14ac:dyDescent="0.25">
      <c r="A139" t="s">
        <v>8863</v>
      </c>
      <c r="C139" t="s">
        <v>8901</v>
      </c>
      <c r="D139" t="s">
        <v>9029</v>
      </c>
      <c r="E139" t="s">
        <v>8909</v>
      </c>
      <c r="F139" s="1">
        <v>46140</v>
      </c>
      <c r="G139" t="str">
        <f>"1002873"</f>
        <v>1002873</v>
      </c>
      <c r="H139" t="s">
        <v>286</v>
      </c>
      <c r="I139" t="s">
        <v>8904</v>
      </c>
      <c r="J139">
        <v>6048</v>
      </c>
    </row>
    <row r="140" spans="1:10" x14ac:dyDescent="0.25">
      <c r="A140" t="s">
        <v>8863</v>
      </c>
      <c r="C140" t="s">
        <v>8901</v>
      </c>
      <c r="D140" t="s">
        <v>9030</v>
      </c>
      <c r="E140" t="s">
        <v>9031</v>
      </c>
      <c r="F140" s="1">
        <v>46140</v>
      </c>
      <c r="G140" t="str">
        <f>"102608"</f>
        <v>102608</v>
      </c>
      <c r="H140" t="s">
        <v>2462</v>
      </c>
      <c r="I140" t="s">
        <v>8904</v>
      </c>
      <c r="J140">
        <v>1447682.4</v>
      </c>
    </row>
    <row r="141" spans="1:10" x14ac:dyDescent="0.25">
      <c r="A141" t="s">
        <v>8863</v>
      </c>
      <c r="C141" t="s">
        <v>8901</v>
      </c>
      <c r="D141" t="s">
        <v>9032</v>
      </c>
      <c r="E141" t="s">
        <v>8909</v>
      </c>
      <c r="F141" s="1">
        <v>46141</v>
      </c>
      <c r="G141" t="str">
        <f>"1002873"</f>
        <v>1002873</v>
      </c>
      <c r="H141" t="s">
        <v>286</v>
      </c>
      <c r="I141" t="s">
        <v>8904</v>
      </c>
      <c r="J141">
        <v>6048</v>
      </c>
    </row>
    <row r="142" spans="1:10" x14ac:dyDescent="0.25">
      <c r="A142" t="s">
        <v>8863</v>
      </c>
      <c r="C142" t="s">
        <v>8901</v>
      </c>
      <c r="D142" t="s">
        <v>9033</v>
      </c>
      <c r="E142" t="s">
        <v>8909</v>
      </c>
      <c r="F142" s="1">
        <v>46141</v>
      </c>
      <c r="G142" t="str">
        <f>"102499"</f>
        <v>102499</v>
      </c>
      <c r="H142" t="s">
        <v>2388</v>
      </c>
      <c r="I142" t="s">
        <v>8904</v>
      </c>
      <c r="J142">
        <v>3628.8</v>
      </c>
    </row>
    <row r="143" spans="1:10" x14ac:dyDescent="0.25">
      <c r="A143" t="s">
        <v>8863</v>
      </c>
      <c r="C143" t="s">
        <v>8901</v>
      </c>
      <c r="D143" t="s">
        <v>9034</v>
      </c>
      <c r="E143" t="s">
        <v>8909</v>
      </c>
      <c r="F143" s="1">
        <v>46141</v>
      </c>
      <c r="G143" t="str">
        <f>"102499"</f>
        <v>102499</v>
      </c>
      <c r="H143" t="s">
        <v>2388</v>
      </c>
      <c r="I143" t="s">
        <v>8904</v>
      </c>
      <c r="J143">
        <v>1209.5999999999999</v>
      </c>
    </row>
    <row r="144" spans="1:10" x14ac:dyDescent="0.25">
      <c r="A144" t="s">
        <v>8863</v>
      </c>
      <c r="C144" t="s">
        <v>8901</v>
      </c>
      <c r="D144" t="s">
        <v>9035</v>
      </c>
      <c r="E144" t="s">
        <v>8909</v>
      </c>
      <c r="F144" s="1">
        <v>46141</v>
      </c>
      <c r="G144" t="str">
        <f>"120401"</f>
        <v>120401</v>
      </c>
      <c r="H144" t="s">
        <v>2819</v>
      </c>
      <c r="I144" t="s">
        <v>8904</v>
      </c>
      <c r="J144">
        <v>3024</v>
      </c>
    </row>
    <row r="145" spans="1:10" x14ac:dyDescent="0.25">
      <c r="A145" t="s">
        <v>8863</v>
      </c>
      <c r="C145" t="s">
        <v>8901</v>
      </c>
      <c r="D145" t="s">
        <v>9036</v>
      </c>
      <c r="E145" t="s">
        <v>8909</v>
      </c>
      <c r="F145" s="1">
        <v>46141</v>
      </c>
      <c r="G145" t="str">
        <f>"120402"</f>
        <v>120402</v>
      </c>
      <c r="H145" t="s">
        <v>2820</v>
      </c>
      <c r="I145" t="s">
        <v>8904</v>
      </c>
      <c r="J145">
        <v>2676.2</v>
      </c>
    </row>
    <row r="146" spans="1:10" x14ac:dyDescent="0.25">
      <c r="A146" t="s">
        <v>8863</v>
      </c>
      <c r="C146" t="s">
        <v>8901</v>
      </c>
      <c r="D146" t="s">
        <v>9037</v>
      </c>
      <c r="E146" t="s">
        <v>8909</v>
      </c>
      <c r="F146" s="1">
        <v>46141</v>
      </c>
      <c r="G146" t="str">
        <f>"120404"</f>
        <v>120404</v>
      </c>
      <c r="H146" t="s">
        <v>2822</v>
      </c>
      <c r="I146" t="s">
        <v>8904</v>
      </c>
      <c r="J146">
        <v>6048</v>
      </c>
    </row>
    <row r="147" spans="1:10" x14ac:dyDescent="0.25">
      <c r="A147" t="s">
        <v>8863</v>
      </c>
      <c r="C147" t="s">
        <v>8901</v>
      </c>
      <c r="D147" t="s">
        <v>9038</v>
      </c>
      <c r="E147" t="s">
        <v>8909</v>
      </c>
      <c r="F147" s="1">
        <v>46141</v>
      </c>
      <c r="G147" t="str">
        <f>"120405"</f>
        <v>120405</v>
      </c>
      <c r="H147" t="s">
        <v>2823</v>
      </c>
      <c r="I147" t="s">
        <v>8904</v>
      </c>
      <c r="J147">
        <v>2703</v>
      </c>
    </row>
    <row r="148" spans="1:10" x14ac:dyDescent="0.25">
      <c r="A148" t="s">
        <v>8863</v>
      </c>
      <c r="C148" t="s">
        <v>8901</v>
      </c>
      <c r="D148" t="s">
        <v>9039</v>
      </c>
      <c r="E148" t="s">
        <v>8921</v>
      </c>
      <c r="F148" s="1">
        <v>46142</v>
      </c>
      <c r="G148" t="str">
        <f>"100527"</f>
        <v>100527</v>
      </c>
      <c r="H148" t="s">
        <v>526</v>
      </c>
      <c r="I148" t="s">
        <v>8922</v>
      </c>
      <c r="J148">
        <v>0</v>
      </c>
    </row>
    <row r="149" spans="1:10" x14ac:dyDescent="0.25">
      <c r="A149" t="s">
        <v>8863</v>
      </c>
      <c r="C149" t="s">
        <v>8901</v>
      </c>
      <c r="D149" t="s">
        <v>9040</v>
      </c>
      <c r="E149" t="s">
        <v>8909</v>
      </c>
      <c r="F149" s="1">
        <v>46142</v>
      </c>
      <c r="G149" t="str">
        <f>"102045"</f>
        <v>102045</v>
      </c>
      <c r="H149" t="s">
        <v>2040</v>
      </c>
      <c r="I149" t="s">
        <v>8904</v>
      </c>
      <c r="J149">
        <v>6840</v>
      </c>
    </row>
    <row r="150" spans="1:10" x14ac:dyDescent="0.25">
      <c r="A150" t="s">
        <v>8863</v>
      </c>
      <c r="C150" t="s">
        <v>8901</v>
      </c>
      <c r="D150" t="s">
        <v>9041</v>
      </c>
      <c r="E150" t="s">
        <v>8907</v>
      </c>
      <c r="F150" s="1">
        <v>46142</v>
      </c>
      <c r="G150" t="str">
        <f>"102180"</f>
        <v>102180</v>
      </c>
      <c r="H150" t="s">
        <v>2172</v>
      </c>
      <c r="I150" t="s">
        <v>8904</v>
      </c>
      <c r="J150">
        <v>383234.4</v>
      </c>
    </row>
    <row r="151" spans="1:10" x14ac:dyDescent="0.25">
      <c r="A151" t="s">
        <v>8863</v>
      </c>
      <c r="C151" t="s">
        <v>8864</v>
      </c>
      <c r="D151" t="s">
        <v>9042</v>
      </c>
      <c r="E151" t="s">
        <v>8909</v>
      </c>
      <c r="F151" s="1">
        <v>46142</v>
      </c>
      <c r="G151" t="str">
        <f>"102857"</f>
        <v>102857</v>
      </c>
      <c r="H151" t="s">
        <v>2706</v>
      </c>
      <c r="I151" t="s">
        <v>9043</v>
      </c>
      <c r="J151">
        <v>10500</v>
      </c>
    </row>
    <row r="152" spans="1:10" x14ac:dyDescent="0.25">
      <c r="A152" t="s">
        <v>8863</v>
      </c>
      <c r="C152" t="s">
        <v>8901</v>
      </c>
      <c r="D152" t="s">
        <v>9044</v>
      </c>
      <c r="E152" t="s">
        <v>8967</v>
      </c>
      <c r="F152" s="1">
        <v>46146</v>
      </c>
      <c r="G152" t="str">
        <f>"100507"</f>
        <v>100507</v>
      </c>
      <c r="H152" t="s">
        <v>506</v>
      </c>
      <c r="I152" t="s">
        <v>8904</v>
      </c>
      <c r="J152">
        <v>30030</v>
      </c>
    </row>
    <row r="153" spans="1:10" x14ac:dyDescent="0.25">
      <c r="A153" t="s">
        <v>8863</v>
      </c>
      <c r="C153" t="s">
        <v>8901</v>
      </c>
      <c r="D153" t="s">
        <v>9045</v>
      </c>
      <c r="E153" t="s">
        <v>8909</v>
      </c>
      <c r="F153" s="1">
        <v>46146</v>
      </c>
      <c r="G153" t="str">
        <f>"100527"</f>
        <v>100527</v>
      </c>
      <c r="H153" t="s">
        <v>526</v>
      </c>
      <c r="I153" t="s">
        <v>8904</v>
      </c>
      <c r="J153">
        <v>721.6</v>
      </c>
    </row>
    <row r="154" spans="1:10" x14ac:dyDescent="0.25">
      <c r="A154" t="s">
        <v>8863</v>
      </c>
      <c r="C154" t="s">
        <v>8901</v>
      </c>
      <c r="D154" t="s">
        <v>9046</v>
      </c>
      <c r="E154" t="s">
        <v>8907</v>
      </c>
      <c r="F154" s="1">
        <v>46146</v>
      </c>
      <c r="G154" t="str">
        <f>"101734"</f>
        <v>101734</v>
      </c>
      <c r="H154" t="s">
        <v>1730</v>
      </c>
      <c r="I154" t="s">
        <v>8904</v>
      </c>
      <c r="J154">
        <v>385878.6</v>
      </c>
    </row>
    <row r="155" spans="1:10" x14ac:dyDescent="0.25">
      <c r="A155" t="s">
        <v>8863</v>
      </c>
      <c r="C155" t="s">
        <v>8901</v>
      </c>
      <c r="D155" t="s">
        <v>9047</v>
      </c>
      <c r="E155" t="s">
        <v>8909</v>
      </c>
      <c r="F155" s="1">
        <v>46146</v>
      </c>
      <c r="G155" t="str">
        <f>"102832"</f>
        <v>102832</v>
      </c>
      <c r="H155" t="s">
        <v>2682</v>
      </c>
      <c r="I155" t="s">
        <v>8904</v>
      </c>
      <c r="J155">
        <v>155526.54</v>
      </c>
    </row>
    <row r="156" spans="1:10" x14ac:dyDescent="0.25">
      <c r="A156" t="s">
        <v>8863</v>
      </c>
      <c r="C156" t="s">
        <v>8901</v>
      </c>
      <c r="D156" t="s">
        <v>9048</v>
      </c>
      <c r="E156" t="s">
        <v>8909</v>
      </c>
      <c r="F156" s="1">
        <v>46147</v>
      </c>
      <c r="G156" t="str">
        <f>"100010"</f>
        <v>100010</v>
      </c>
      <c r="H156" t="s">
        <v>11</v>
      </c>
      <c r="I156" t="s">
        <v>8904</v>
      </c>
      <c r="J156">
        <v>810.9</v>
      </c>
    </row>
    <row r="157" spans="1:10" x14ac:dyDescent="0.25">
      <c r="A157" t="s">
        <v>8863</v>
      </c>
      <c r="C157" t="s">
        <v>8901</v>
      </c>
      <c r="D157" t="s">
        <v>9049</v>
      </c>
      <c r="E157" t="s">
        <v>8909</v>
      </c>
      <c r="F157" s="1">
        <v>46147</v>
      </c>
      <c r="G157" t="str">
        <f>"1002873"</f>
        <v>1002873</v>
      </c>
      <c r="H157" t="s">
        <v>286</v>
      </c>
      <c r="I157" t="s">
        <v>8904</v>
      </c>
      <c r="J157">
        <v>4838.3999999999996</v>
      </c>
    </row>
    <row r="158" spans="1:10" x14ac:dyDescent="0.25">
      <c r="A158" t="s">
        <v>8863</v>
      </c>
      <c r="C158" t="s">
        <v>8901</v>
      </c>
      <c r="D158" t="s">
        <v>9050</v>
      </c>
      <c r="E158" t="s">
        <v>8909</v>
      </c>
      <c r="F158" s="1">
        <v>46147</v>
      </c>
      <c r="G158" t="str">
        <f>"102208"</f>
        <v>102208</v>
      </c>
      <c r="H158" t="s">
        <v>2200</v>
      </c>
      <c r="I158" t="s">
        <v>8904</v>
      </c>
      <c r="J158">
        <v>5400</v>
      </c>
    </row>
    <row r="159" spans="1:10" x14ac:dyDescent="0.25">
      <c r="A159" t="s">
        <v>8863</v>
      </c>
      <c r="C159" t="s">
        <v>8901</v>
      </c>
      <c r="D159" t="s">
        <v>9051</v>
      </c>
      <c r="E159" t="s">
        <v>8909</v>
      </c>
      <c r="F159" s="1">
        <v>46147</v>
      </c>
      <c r="G159" t="str">
        <f>"102595"</f>
        <v>102595</v>
      </c>
      <c r="H159" t="s">
        <v>2449</v>
      </c>
      <c r="I159" t="s">
        <v>8904</v>
      </c>
      <c r="J159">
        <v>1814.4</v>
      </c>
    </row>
    <row r="160" spans="1:10" x14ac:dyDescent="0.25">
      <c r="A160" t="s">
        <v>8863</v>
      </c>
      <c r="C160" t="s">
        <v>8901</v>
      </c>
      <c r="D160" t="s">
        <v>9052</v>
      </c>
      <c r="E160" t="s">
        <v>8909</v>
      </c>
      <c r="F160" s="1">
        <v>46147</v>
      </c>
      <c r="G160" t="str">
        <f>"102798"</f>
        <v>102798</v>
      </c>
      <c r="H160" t="s">
        <v>2648</v>
      </c>
      <c r="I160" t="s">
        <v>8904</v>
      </c>
      <c r="J160">
        <v>1814.4</v>
      </c>
    </row>
    <row r="161" spans="1:10" x14ac:dyDescent="0.25">
      <c r="A161" t="s">
        <v>8863</v>
      </c>
      <c r="C161" t="s">
        <v>8901</v>
      </c>
      <c r="D161" t="s">
        <v>9053</v>
      </c>
      <c r="E161" t="s">
        <v>8909</v>
      </c>
      <c r="F161" s="1">
        <v>46147</v>
      </c>
      <c r="G161" t="str">
        <f>"102798"</f>
        <v>102798</v>
      </c>
      <c r="H161" t="s">
        <v>2648</v>
      </c>
      <c r="I161" t="s">
        <v>8904</v>
      </c>
      <c r="J161">
        <v>604.79999999999995</v>
      </c>
    </row>
    <row r="162" spans="1:10" x14ac:dyDescent="0.25">
      <c r="A162" t="s">
        <v>8863</v>
      </c>
      <c r="C162" t="s">
        <v>8901</v>
      </c>
      <c r="D162" t="s">
        <v>9056</v>
      </c>
      <c r="E162" t="s">
        <v>9057</v>
      </c>
      <c r="F162" s="1">
        <v>46148</v>
      </c>
      <c r="G162" t="str">
        <f>"102674"</f>
        <v>102674</v>
      </c>
      <c r="H162" t="s">
        <v>2528</v>
      </c>
      <c r="I162" t="s">
        <v>8904</v>
      </c>
      <c r="J162">
        <v>2597.2399999999998</v>
      </c>
    </row>
    <row r="163" spans="1:10" x14ac:dyDescent="0.25">
      <c r="A163" t="s">
        <v>8863</v>
      </c>
      <c r="C163" t="s">
        <v>8901</v>
      </c>
      <c r="D163" t="s">
        <v>9058</v>
      </c>
      <c r="E163" t="s">
        <v>8909</v>
      </c>
      <c r="F163" s="1">
        <v>46148</v>
      </c>
      <c r="G163" t="str">
        <f>"102933"</f>
        <v>102933</v>
      </c>
      <c r="H163" t="s">
        <v>2783</v>
      </c>
      <c r="I163" t="s">
        <v>8904</v>
      </c>
      <c r="J163">
        <v>28887.08</v>
      </c>
    </row>
    <row r="164" spans="1:10" x14ac:dyDescent="0.25">
      <c r="A164" t="s">
        <v>8863</v>
      </c>
      <c r="C164" t="s">
        <v>8901</v>
      </c>
      <c r="D164" t="s">
        <v>9059</v>
      </c>
      <c r="E164" t="s">
        <v>9060</v>
      </c>
      <c r="F164" s="1">
        <v>46148</v>
      </c>
      <c r="G164" t="str">
        <f>"120379"</f>
        <v>120379</v>
      </c>
      <c r="H164" t="s">
        <v>2806</v>
      </c>
      <c r="I164" t="s">
        <v>8904</v>
      </c>
      <c r="J164">
        <v>7150</v>
      </c>
    </row>
    <row r="165" spans="1:10" x14ac:dyDescent="0.25">
      <c r="A165" t="s">
        <v>8863</v>
      </c>
      <c r="C165" t="s">
        <v>8901</v>
      </c>
      <c r="D165" t="s">
        <v>9061</v>
      </c>
      <c r="E165" t="s">
        <v>9062</v>
      </c>
      <c r="F165" s="1">
        <v>46149</v>
      </c>
      <c r="G165" t="str">
        <f>"100527"</f>
        <v>100527</v>
      </c>
      <c r="H165" t="s">
        <v>526</v>
      </c>
      <c r="I165" t="s">
        <v>8922</v>
      </c>
      <c r="J165">
        <v>0</v>
      </c>
    </row>
    <row r="166" spans="1:10" x14ac:dyDescent="0.25">
      <c r="A166" t="s">
        <v>8863</v>
      </c>
      <c r="C166" t="s">
        <v>8901</v>
      </c>
      <c r="D166" t="s">
        <v>9065</v>
      </c>
      <c r="E166" t="s">
        <v>8909</v>
      </c>
      <c r="F166" s="1">
        <v>46149</v>
      </c>
      <c r="G166" t="str">
        <f>"102784"</f>
        <v>102784</v>
      </c>
      <c r="H166" t="s">
        <v>2634</v>
      </c>
      <c r="I166" t="s">
        <v>8904</v>
      </c>
      <c r="J166">
        <v>3229.8</v>
      </c>
    </row>
    <row r="167" spans="1:10" x14ac:dyDescent="0.25">
      <c r="A167" t="s">
        <v>8863</v>
      </c>
      <c r="C167" t="s">
        <v>8901</v>
      </c>
      <c r="D167" t="s">
        <v>9066</v>
      </c>
      <c r="E167" t="s">
        <v>8909</v>
      </c>
      <c r="F167" s="1">
        <v>46149</v>
      </c>
      <c r="G167" t="str">
        <f>"102798"</f>
        <v>102798</v>
      </c>
      <c r="H167" t="s">
        <v>2648</v>
      </c>
      <c r="I167" t="s">
        <v>8904</v>
      </c>
      <c r="J167">
        <v>2138.4</v>
      </c>
    </row>
    <row r="168" spans="1:10" x14ac:dyDescent="0.25">
      <c r="A168" t="s">
        <v>8863</v>
      </c>
      <c r="C168" t="s">
        <v>8901</v>
      </c>
      <c r="D168" t="s">
        <v>9067</v>
      </c>
      <c r="E168" t="s">
        <v>8909</v>
      </c>
      <c r="F168" s="1">
        <v>46149</v>
      </c>
      <c r="G168" t="str">
        <f>"102893"</f>
        <v>102893</v>
      </c>
      <c r="H168" t="s">
        <v>2742</v>
      </c>
      <c r="I168" t="s">
        <v>8904</v>
      </c>
      <c r="J168">
        <v>2851.2</v>
      </c>
    </row>
    <row r="169" spans="1:10" x14ac:dyDescent="0.25">
      <c r="A169" t="s">
        <v>8863</v>
      </c>
      <c r="C169" t="s">
        <v>8901</v>
      </c>
      <c r="D169" t="s">
        <v>9068</v>
      </c>
      <c r="E169" t="s">
        <v>8907</v>
      </c>
      <c r="F169" s="1">
        <v>46149</v>
      </c>
      <c r="G169" t="str">
        <f>"102914"</f>
        <v>102914</v>
      </c>
      <c r="H169" t="s">
        <v>2764</v>
      </c>
      <c r="I169" t="s">
        <v>8904</v>
      </c>
      <c r="J169">
        <v>383234.4</v>
      </c>
    </row>
    <row r="170" spans="1:10" x14ac:dyDescent="0.25">
      <c r="A170" t="s">
        <v>8863</v>
      </c>
      <c r="C170" t="s">
        <v>8901</v>
      </c>
      <c r="D170" t="s">
        <v>9069</v>
      </c>
      <c r="E170" t="s">
        <v>8909</v>
      </c>
      <c r="F170" s="1">
        <v>46149</v>
      </c>
      <c r="G170" t="str">
        <f>"102933"</f>
        <v>102933</v>
      </c>
      <c r="H170" t="s">
        <v>2783</v>
      </c>
      <c r="I170" t="s">
        <v>8904</v>
      </c>
      <c r="J170">
        <v>1617</v>
      </c>
    </row>
    <row r="171" spans="1:10" x14ac:dyDescent="0.25">
      <c r="A171" t="s">
        <v>8863</v>
      </c>
      <c r="C171" t="s">
        <v>8901</v>
      </c>
      <c r="D171" t="s">
        <v>9070</v>
      </c>
      <c r="E171" t="s">
        <v>8907</v>
      </c>
      <c r="F171" s="1">
        <v>46150</v>
      </c>
      <c r="G171" t="str">
        <f>"102914"</f>
        <v>102914</v>
      </c>
      <c r="H171" t="s">
        <v>2764</v>
      </c>
      <c r="I171" t="s">
        <v>8904</v>
      </c>
      <c r="J171">
        <v>383234.4</v>
      </c>
    </row>
    <row r="172" spans="1:10" x14ac:dyDescent="0.25">
      <c r="A172" t="s">
        <v>8863</v>
      </c>
      <c r="C172" t="s">
        <v>8901</v>
      </c>
      <c r="D172" t="s">
        <v>9071</v>
      </c>
      <c r="E172" t="s">
        <v>9072</v>
      </c>
      <c r="F172" s="1">
        <v>46150</v>
      </c>
      <c r="G172" t="str">
        <f>"12167"</f>
        <v>12167</v>
      </c>
      <c r="H172" t="s">
        <v>2832</v>
      </c>
      <c r="I172" t="s">
        <v>8904</v>
      </c>
      <c r="J172">
        <v>2850</v>
      </c>
    </row>
    <row r="173" spans="1:10" x14ac:dyDescent="0.25">
      <c r="A173" t="s">
        <v>8863</v>
      </c>
      <c r="C173" t="s">
        <v>8901</v>
      </c>
      <c r="D173" t="s">
        <v>9073</v>
      </c>
      <c r="E173" t="s">
        <v>8909</v>
      </c>
      <c r="F173" s="1">
        <v>46151</v>
      </c>
      <c r="G173" t="str">
        <f>"1002873"</f>
        <v>1002873</v>
      </c>
      <c r="H173" t="s">
        <v>286</v>
      </c>
      <c r="I173" t="s">
        <v>8904</v>
      </c>
      <c r="J173">
        <v>1814.4</v>
      </c>
    </row>
    <row r="174" spans="1:10" x14ac:dyDescent="0.25">
      <c r="A174" t="s">
        <v>8863</v>
      </c>
      <c r="C174" t="s">
        <v>8901</v>
      </c>
      <c r="D174" t="s">
        <v>9074</v>
      </c>
      <c r="E174" t="s">
        <v>8909</v>
      </c>
      <c r="F174" s="1">
        <v>46151</v>
      </c>
      <c r="G174" t="str">
        <f>"100527"</f>
        <v>100527</v>
      </c>
      <c r="H174" t="s">
        <v>526</v>
      </c>
      <c r="I174" t="s">
        <v>8904</v>
      </c>
      <c r="J174">
        <v>7128</v>
      </c>
    </row>
    <row r="175" spans="1:10" x14ac:dyDescent="0.25">
      <c r="A175" t="s">
        <v>8863</v>
      </c>
      <c r="C175" t="s">
        <v>8901</v>
      </c>
      <c r="D175" t="s">
        <v>9075</v>
      </c>
      <c r="E175" t="s">
        <v>9076</v>
      </c>
      <c r="F175" s="1">
        <v>46153</v>
      </c>
      <c r="G175" t="str">
        <f>"102201"</f>
        <v>102201</v>
      </c>
      <c r="H175" t="s">
        <v>2193</v>
      </c>
      <c r="I175" t="s">
        <v>8904</v>
      </c>
      <c r="J175">
        <v>118069.08</v>
      </c>
    </row>
    <row r="176" spans="1:10" x14ac:dyDescent="0.25">
      <c r="A176" t="s">
        <v>8863</v>
      </c>
      <c r="C176" t="s">
        <v>8901</v>
      </c>
      <c r="D176" t="s">
        <v>9077</v>
      </c>
      <c r="E176" t="s">
        <v>8909</v>
      </c>
      <c r="F176" s="1">
        <v>46153</v>
      </c>
      <c r="G176" t="str">
        <f>"102552"</f>
        <v>102552</v>
      </c>
      <c r="H176" t="s">
        <v>2441</v>
      </c>
      <c r="I176" t="s">
        <v>8904</v>
      </c>
      <c r="J176">
        <v>22055.7012</v>
      </c>
    </row>
    <row r="177" spans="1:10" x14ac:dyDescent="0.25">
      <c r="A177" t="s">
        <v>8863</v>
      </c>
      <c r="C177" t="s">
        <v>8901</v>
      </c>
      <c r="D177" t="s">
        <v>9078</v>
      </c>
      <c r="E177" t="s">
        <v>8909</v>
      </c>
      <c r="F177" s="1">
        <v>46153</v>
      </c>
      <c r="G177" t="str">
        <f>"102602"</f>
        <v>102602</v>
      </c>
      <c r="H177" t="s">
        <v>2456</v>
      </c>
      <c r="I177" t="s">
        <v>8904</v>
      </c>
      <c r="J177">
        <v>14500</v>
      </c>
    </row>
    <row r="178" spans="1:10" x14ac:dyDescent="0.25">
      <c r="A178" t="s">
        <v>8863</v>
      </c>
      <c r="C178" t="s">
        <v>8901</v>
      </c>
      <c r="D178" t="s">
        <v>9079</v>
      </c>
      <c r="E178" t="s">
        <v>8909</v>
      </c>
      <c r="F178" s="1">
        <v>46154</v>
      </c>
      <c r="G178" t="str">
        <f>"102913"</f>
        <v>102913</v>
      </c>
      <c r="H178" t="s">
        <v>2763</v>
      </c>
      <c r="I178" t="s">
        <v>8904</v>
      </c>
      <c r="J178">
        <v>383234.4</v>
      </c>
    </row>
    <row r="179" spans="1:10" x14ac:dyDescent="0.25">
      <c r="A179" t="s">
        <v>8863</v>
      </c>
      <c r="C179" t="s">
        <v>8901</v>
      </c>
      <c r="D179" t="s">
        <v>9080</v>
      </c>
      <c r="E179" t="s">
        <v>8909</v>
      </c>
      <c r="F179" s="1">
        <v>46154</v>
      </c>
      <c r="G179" t="str">
        <f>"102930"</f>
        <v>102930</v>
      </c>
      <c r="H179" t="s">
        <v>2780</v>
      </c>
      <c r="I179" t="s">
        <v>8904</v>
      </c>
      <c r="J179">
        <v>7630</v>
      </c>
    </row>
    <row r="180" spans="1:10" x14ac:dyDescent="0.25">
      <c r="A180" t="s">
        <v>8863</v>
      </c>
      <c r="C180" t="s">
        <v>8901</v>
      </c>
      <c r="D180" t="s">
        <v>9082</v>
      </c>
      <c r="E180" t="s">
        <v>8909</v>
      </c>
      <c r="F180" s="1">
        <v>46155</v>
      </c>
      <c r="G180" t="str">
        <f>"102650"</f>
        <v>102650</v>
      </c>
      <c r="H180" t="s">
        <v>2504</v>
      </c>
      <c r="I180" t="s">
        <v>8904</v>
      </c>
      <c r="J180">
        <v>2441.1</v>
      </c>
    </row>
    <row r="181" spans="1:10" x14ac:dyDescent="0.25">
      <c r="A181" t="s">
        <v>8894</v>
      </c>
      <c r="C181" t="s">
        <v>8901</v>
      </c>
      <c r="D181" t="s">
        <v>9083</v>
      </c>
      <c r="E181" t="s">
        <v>9084</v>
      </c>
      <c r="F181" s="1">
        <v>46155</v>
      </c>
      <c r="G181" t="str">
        <f>"102932"</f>
        <v>102932</v>
      </c>
      <c r="H181" t="s">
        <v>2782</v>
      </c>
      <c r="I181" t="s">
        <v>8904</v>
      </c>
      <c r="J181">
        <v>204674.78</v>
      </c>
    </row>
    <row r="182" spans="1:10" x14ac:dyDescent="0.25">
      <c r="A182" t="s">
        <v>8863</v>
      </c>
      <c r="C182" t="s">
        <v>8901</v>
      </c>
      <c r="D182" t="s">
        <v>9085</v>
      </c>
      <c r="E182" t="s">
        <v>8909</v>
      </c>
      <c r="F182" s="1">
        <v>46155</v>
      </c>
      <c r="G182" t="str">
        <f>"102935"</f>
        <v>102935</v>
      </c>
      <c r="H182" t="s">
        <v>2785</v>
      </c>
      <c r="I182" t="s">
        <v>8904</v>
      </c>
      <c r="J182">
        <v>14522.4</v>
      </c>
    </row>
    <row r="183" spans="1:10" x14ac:dyDescent="0.25">
      <c r="A183" t="s">
        <v>8863</v>
      </c>
      <c r="C183" t="s">
        <v>8901</v>
      </c>
      <c r="D183" t="s">
        <v>9086</v>
      </c>
      <c r="E183" t="s">
        <v>8909</v>
      </c>
      <c r="F183" s="1">
        <v>46155</v>
      </c>
      <c r="G183" t="str">
        <f>"120407"</f>
        <v>120407</v>
      </c>
      <c r="H183" t="s">
        <v>2825</v>
      </c>
      <c r="I183" t="s">
        <v>8904</v>
      </c>
      <c r="J183">
        <v>29520</v>
      </c>
    </row>
    <row r="184" spans="1:10" x14ac:dyDescent="0.25">
      <c r="A184" t="s">
        <v>8863</v>
      </c>
      <c r="C184" t="s">
        <v>8901</v>
      </c>
      <c r="D184" t="s">
        <v>9087</v>
      </c>
      <c r="E184" t="s">
        <v>8907</v>
      </c>
      <c r="F184" s="1">
        <v>46156</v>
      </c>
      <c r="G184" t="str">
        <f>"102740"</f>
        <v>102740</v>
      </c>
      <c r="H184" t="s">
        <v>2590</v>
      </c>
      <c r="I184" t="s">
        <v>8904</v>
      </c>
      <c r="J184">
        <v>396514.8</v>
      </c>
    </row>
    <row r="185" spans="1:10" x14ac:dyDescent="0.25">
      <c r="A185" t="s">
        <v>8863</v>
      </c>
      <c r="C185" t="s">
        <v>8901</v>
      </c>
      <c r="D185" t="s">
        <v>9088</v>
      </c>
      <c r="E185" t="s">
        <v>8909</v>
      </c>
      <c r="F185" s="1">
        <v>46157</v>
      </c>
      <c r="G185" t="str">
        <f>"1002873"</f>
        <v>1002873</v>
      </c>
      <c r="H185" t="s">
        <v>286</v>
      </c>
      <c r="I185" t="s">
        <v>8904</v>
      </c>
      <c r="J185">
        <v>3564</v>
      </c>
    </row>
    <row r="186" spans="1:10" x14ac:dyDescent="0.25">
      <c r="A186" t="s">
        <v>8863</v>
      </c>
      <c r="C186" t="s">
        <v>8901</v>
      </c>
      <c r="D186" t="s">
        <v>9089</v>
      </c>
      <c r="E186" t="s">
        <v>8909</v>
      </c>
      <c r="F186" s="1">
        <v>46157</v>
      </c>
      <c r="G186" t="str">
        <f>"1002873"</f>
        <v>1002873</v>
      </c>
      <c r="H186" t="s">
        <v>286</v>
      </c>
      <c r="I186" t="s">
        <v>8904</v>
      </c>
      <c r="J186">
        <v>3564</v>
      </c>
    </row>
    <row r="187" spans="1:10" x14ac:dyDescent="0.25">
      <c r="A187" t="s">
        <v>8863</v>
      </c>
      <c r="C187" t="s">
        <v>8901</v>
      </c>
      <c r="D187" t="s">
        <v>9090</v>
      </c>
      <c r="E187" t="s">
        <v>8909</v>
      </c>
      <c r="F187" s="1">
        <v>46157</v>
      </c>
      <c r="G187" t="str">
        <f>"100527"</f>
        <v>100527</v>
      </c>
      <c r="H187" t="s">
        <v>526</v>
      </c>
      <c r="I187" t="s">
        <v>8904</v>
      </c>
      <c r="J187">
        <v>1740</v>
      </c>
    </row>
    <row r="188" spans="1:10" x14ac:dyDescent="0.25">
      <c r="A188" t="s">
        <v>8863</v>
      </c>
      <c r="C188" t="s">
        <v>8864</v>
      </c>
      <c r="D188" t="s">
        <v>9091</v>
      </c>
      <c r="E188" t="s">
        <v>8909</v>
      </c>
      <c r="F188" s="1">
        <v>46157</v>
      </c>
      <c r="G188" t="str">
        <f>"102205"</f>
        <v>102205</v>
      </c>
      <c r="H188" t="s">
        <v>2197</v>
      </c>
      <c r="I188" t="s">
        <v>8904</v>
      </c>
      <c r="J188">
        <v>135008.016</v>
      </c>
    </row>
    <row r="189" spans="1:10" x14ac:dyDescent="0.25">
      <c r="A189" t="s">
        <v>8863</v>
      </c>
      <c r="C189" t="s">
        <v>8901</v>
      </c>
      <c r="D189" t="s">
        <v>9092</v>
      </c>
      <c r="E189" t="s">
        <v>8909</v>
      </c>
      <c r="F189" s="1">
        <v>46157</v>
      </c>
      <c r="G189" t="str">
        <f>"102595"</f>
        <v>102595</v>
      </c>
      <c r="H189" t="s">
        <v>2449</v>
      </c>
      <c r="I189" t="s">
        <v>8904</v>
      </c>
      <c r="J189">
        <v>1425.6</v>
      </c>
    </row>
    <row r="190" spans="1:10" x14ac:dyDescent="0.25">
      <c r="A190" t="s">
        <v>8863</v>
      </c>
      <c r="C190" t="s">
        <v>8901</v>
      </c>
      <c r="D190" t="s">
        <v>9093</v>
      </c>
      <c r="E190" t="s">
        <v>8909</v>
      </c>
      <c r="F190" s="1">
        <v>46157</v>
      </c>
      <c r="G190" t="str">
        <f>"102765"</f>
        <v>102765</v>
      </c>
      <c r="H190" t="s">
        <v>2615</v>
      </c>
      <c r="I190" t="s">
        <v>8904</v>
      </c>
      <c r="J190">
        <v>5761.8</v>
      </c>
    </row>
    <row r="191" spans="1:10" x14ac:dyDescent="0.25">
      <c r="A191" t="s">
        <v>8863</v>
      </c>
      <c r="C191" t="s">
        <v>8901</v>
      </c>
      <c r="D191" t="s">
        <v>9094</v>
      </c>
      <c r="E191" t="s">
        <v>8909</v>
      </c>
      <c r="F191" s="1">
        <v>46157</v>
      </c>
      <c r="G191" t="str">
        <f>"102798"</f>
        <v>102798</v>
      </c>
      <c r="H191" t="s">
        <v>2648</v>
      </c>
      <c r="I191" t="s">
        <v>8904</v>
      </c>
      <c r="J191">
        <v>107.5</v>
      </c>
    </row>
    <row r="192" spans="1:10" x14ac:dyDescent="0.25">
      <c r="A192" t="s">
        <v>8863</v>
      </c>
      <c r="C192" t="s">
        <v>8901</v>
      </c>
      <c r="D192" t="s">
        <v>9095</v>
      </c>
      <c r="E192" t="s">
        <v>8909</v>
      </c>
      <c r="F192" s="1">
        <v>46157</v>
      </c>
      <c r="G192" t="str">
        <f>"102893"</f>
        <v>102893</v>
      </c>
      <c r="H192" t="s">
        <v>2742</v>
      </c>
      <c r="I192" t="s">
        <v>8904</v>
      </c>
      <c r="J192">
        <v>2138.4</v>
      </c>
    </row>
    <row r="193" spans="1:10" x14ac:dyDescent="0.25">
      <c r="A193" t="s">
        <v>8863</v>
      </c>
      <c r="C193" t="s">
        <v>8901</v>
      </c>
      <c r="D193" t="s">
        <v>9096</v>
      </c>
      <c r="E193" t="s">
        <v>8907</v>
      </c>
      <c r="F193" s="1">
        <v>46160</v>
      </c>
      <c r="G193" t="str">
        <f>"102470"</f>
        <v>102470</v>
      </c>
      <c r="H193" t="s">
        <v>2359</v>
      </c>
      <c r="I193" t="s">
        <v>8904</v>
      </c>
      <c r="J193">
        <v>387028.8</v>
      </c>
    </row>
    <row r="194" spans="1:10" x14ac:dyDescent="0.25">
      <c r="A194" t="s">
        <v>8863</v>
      </c>
      <c r="C194" t="s">
        <v>8901</v>
      </c>
      <c r="D194" t="s">
        <v>9097</v>
      </c>
      <c r="E194" t="s">
        <v>8907</v>
      </c>
      <c r="F194" s="1">
        <v>46160</v>
      </c>
      <c r="G194" t="str">
        <f>"102913"</f>
        <v>102913</v>
      </c>
      <c r="H194" t="s">
        <v>2763</v>
      </c>
      <c r="I194" t="s">
        <v>8904</v>
      </c>
      <c r="J194">
        <v>383234.4</v>
      </c>
    </row>
    <row r="195" spans="1:10" x14ac:dyDescent="0.25">
      <c r="A195" t="s">
        <v>8863</v>
      </c>
      <c r="C195" t="s">
        <v>8901</v>
      </c>
      <c r="D195" t="s">
        <v>9098</v>
      </c>
      <c r="E195" t="s">
        <v>8909</v>
      </c>
      <c r="F195" s="1">
        <v>46161</v>
      </c>
      <c r="G195" t="str">
        <f>"100527"</f>
        <v>100527</v>
      </c>
      <c r="H195" t="s">
        <v>526</v>
      </c>
      <c r="I195" t="s">
        <v>8904</v>
      </c>
      <c r="J195">
        <v>960</v>
      </c>
    </row>
    <row r="196" spans="1:10" x14ac:dyDescent="0.25">
      <c r="A196" t="s">
        <v>8863</v>
      </c>
      <c r="C196" t="s">
        <v>8901</v>
      </c>
      <c r="D196" t="s">
        <v>9099</v>
      </c>
      <c r="E196" t="s">
        <v>8909</v>
      </c>
      <c r="F196" s="1">
        <v>46161</v>
      </c>
      <c r="G196" t="str">
        <f>"100527"</f>
        <v>100527</v>
      </c>
      <c r="H196" t="s">
        <v>526</v>
      </c>
      <c r="I196" t="s">
        <v>8904</v>
      </c>
      <c r="J196">
        <v>576.84</v>
      </c>
    </row>
    <row r="197" spans="1:10" x14ac:dyDescent="0.25">
      <c r="A197" t="s">
        <v>8863</v>
      </c>
      <c r="C197" t="s">
        <v>8901</v>
      </c>
      <c r="D197" t="s">
        <v>9100</v>
      </c>
      <c r="E197" t="s">
        <v>8909</v>
      </c>
      <c r="F197" s="1">
        <v>46161</v>
      </c>
      <c r="G197" t="str">
        <f>"100527"</f>
        <v>100527</v>
      </c>
      <c r="H197" t="s">
        <v>526</v>
      </c>
      <c r="I197" t="s">
        <v>8904</v>
      </c>
      <c r="J197">
        <v>712.8</v>
      </c>
    </row>
    <row r="198" spans="1:10" x14ac:dyDescent="0.25">
      <c r="A198" t="s">
        <v>8863</v>
      </c>
      <c r="C198" t="s">
        <v>8901</v>
      </c>
      <c r="D198" t="s">
        <v>9101</v>
      </c>
      <c r="E198" t="s">
        <v>9062</v>
      </c>
      <c r="F198" s="1">
        <v>46161</v>
      </c>
      <c r="G198" t="str">
        <f>"100527"</f>
        <v>100527</v>
      </c>
      <c r="H198" t="s">
        <v>526</v>
      </c>
      <c r="I198" t="s">
        <v>8922</v>
      </c>
      <c r="J198">
        <v>0</v>
      </c>
    </row>
    <row r="199" spans="1:10" x14ac:dyDescent="0.25">
      <c r="A199" t="s">
        <v>8863</v>
      </c>
      <c r="C199" t="s">
        <v>8901</v>
      </c>
      <c r="D199" t="s">
        <v>9102</v>
      </c>
      <c r="E199" t="s">
        <v>9005</v>
      </c>
      <c r="F199" s="1">
        <v>46161</v>
      </c>
      <c r="G199" t="str">
        <f>"102592"</f>
        <v>102592</v>
      </c>
      <c r="H199" t="s">
        <v>2446</v>
      </c>
      <c r="I199" t="s">
        <v>8904</v>
      </c>
      <c r="J199">
        <v>410260.57199999999</v>
      </c>
    </row>
    <row r="200" spans="1:10" x14ac:dyDescent="0.25">
      <c r="A200" t="s">
        <v>8863</v>
      </c>
      <c r="C200" t="s">
        <v>8901</v>
      </c>
      <c r="D200" t="s">
        <v>9103</v>
      </c>
      <c r="E200" t="s">
        <v>8907</v>
      </c>
      <c r="F200" s="1">
        <v>46161</v>
      </c>
      <c r="G200" t="str">
        <f>"102592"</f>
        <v>102592</v>
      </c>
      <c r="H200" t="s">
        <v>2446</v>
      </c>
      <c r="I200" t="s">
        <v>8904</v>
      </c>
      <c r="J200">
        <v>112716</v>
      </c>
    </row>
    <row r="201" spans="1:10" x14ac:dyDescent="0.25">
      <c r="A201" t="s">
        <v>8890</v>
      </c>
      <c r="C201" t="s">
        <v>8901</v>
      </c>
      <c r="D201" t="s">
        <v>9104</v>
      </c>
      <c r="E201" t="s">
        <v>9105</v>
      </c>
      <c r="F201" s="1">
        <v>46161</v>
      </c>
      <c r="G201" t="str">
        <f>"102608"</f>
        <v>102608</v>
      </c>
      <c r="H201" t="s">
        <v>2462</v>
      </c>
      <c r="I201" t="s">
        <v>8904</v>
      </c>
      <c r="J201">
        <v>110.36</v>
      </c>
    </row>
    <row r="202" spans="1:10" x14ac:dyDescent="0.25">
      <c r="A202" t="s">
        <v>8863</v>
      </c>
      <c r="C202" t="s">
        <v>8901</v>
      </c>
      <c r="D202" t="s">
        <v>9106</v>
      </c>
      <c r="E202" t="s">
        <v>8909</v>
      </c>
      <c r="F202" s="1">
        <v>46161</v>
      </c>
      <c r="G202" t="str">
        <f>"102893"</f>
        <v>102893</v>
      </c>
      <c r="H202" t="s">
        <v>2742</v>
      </c>
      <c r="I202" t="s">
        <v>8904</v>
      </c>
      <c r="J202">
        <v>3564</v>
      </c>
    </row>
    <row r="203" spans="1:10" x14ac:dyDescent="0.25">
      <c r="A203" t="s">
        <v>8890</v>
      </c>
      <c r="C203" t="s">
        <v>8901</v>
      </c>
      <c r="D203" t="s">
        <v>9107</v>
      </c>
      <c r="E203" t="s">
        <v>9108</v>
      </c>
      <c r="F203" s="1">
        <v>46161</v>
      </c>
      <c r="G203" t="str">
        <f>"102933"</f>
        <v>102933</v>
      </c>
      <c r="H203" t="s">
        <v>2783</v>
      </c>
      <c r="I203" t="s">
        <v>8904</v>
      </c>
      <c r="J203">
        <v>6737.78</v>
      </c>
    </row>
    <row r="204" spans="1:10" x14ac:dyDescent="0.25">
      <c r="A204" t="s">
        <v>8863</v>
      </c>
      <c r="C204" t="s">
        <v>8901</v>
      </c>
      <c r="D204" t="s">
        <v>9109</v>
      </c>
      <c r="E204" t="s">
        <v>8909</v>
      </c>
      <c r="F204" s="1">
        <v>46161</v>
      </c>
      <c r="G204" t="str">
        <f>"102935"</f>
        <v>102935</v>
      </c>
      <c r="H204" t="s">
        <v>2785</v>
      </c>
      <c r="I204" t="s">
        <v>8904</v>
      </c>
      <c r="J204">
        <v>6600</v>
      </c>
    </row>
    <row r="205" spans="1:10" x14ac:dyDescent="0.25">
      <c r="A205" t="s">
        <v>8863</v>
      </c>
      <c r="C205" t="s">
        <v>8901</v>
      </c>
      <c r="D205" t="s">
        <v>9110</v>
      </c>
      <c r="E205" t="s">
        <v>8909</v>
      </c>
      <c r="F205" s="1">
        <v>46162</v>
      </c>
      <c r="G205" t="str">
        <f>"100527"</f>
        <v>100527</v>
      </c>
      <c r="H205" t="s">
        <v>526</v>
      </c>
      <c r="I205" t="s">
        <v>8904</v>
      </c>
      <c r="J205">
        <v>5760</v>
      </c>
    </row>
    <row r="206" spans="1:10" x14ac:dyDescent="0.25">
      <c r="A206" t="s">
        <v>8863</v>
      </c>
      <c r="C206" t="s">
        <v>8901</v>
      </c>
      <c r="D206" t="s">
        <v>9111</v>
      </c>
      <c r="E206" t="s">
        <v>9112</v>
      </c>
      <c r="F206" s="1">
        <v>46162</v>
      </c>
      <c r="G206" t="str">
        <f>"101335"</f>
        <v>101335</v>
      </c>
      <c r="H206" t="s">
        <v>1332</v>
      </c>
      <c r="I206" t="s">
        <v>8904</v>
      </c>
      <c r="J206">
        <v>132601.5</v>
      </c>
    </row>
    <row r="207" spans="1:10" x14ac:dyDescent="0.25">
      <c r="A207" t="s">
        <v>8863</v>
      </c>
      <c r="C207" t="s">
        <v>8901</v>
      </c>
      <c r="D207" t="s">
        <v>9113</v>
      </c>
      <c r="E207" t="s">
        <v>8909</v>
      </c>
      <c r="F207" s="1">
        <v>46162</v>
      </c>
      <c r="G207" t="str">
        <f>"102252"</f>
        <v>102252</v>
      </c>
      <c r="H207" t="s">
        <v>2245</v>
      </c>
      <c r="I207" t="s">
        <v>8904</v>
      </c>
      <c r="J207">
        <v>32670</v>
      </c>
    </row>
    <row r="208" spans="1:10" x14ac:dyDescent="0.25">
      <c r="A208" t="s">
        <v>8863</v>
      </c>
      <c r="C208" t="s">
        <v>8901</v>
      </c>
      <c r="D208" t="s">
        <v>9114</v>
      </c>
      <c r="E208" t="s">
        <v>9057</v>
      </c>
      <c r="F208" s="1">
        <v>46162</v>
      </c>
      <c r="G208" t="str">
        <f>"102526"</f>
        <v>102526</v>
      </c>
      <c r="H208" t="s">
        <v>2415</v>
      </c>
      <c r="I208" t="s">
        <v>8904</v>
      </c>
      <c r="J208">
        <v>1872.56</v>
      </c>
    </row>
    <row r="209" spans="1:10" x14ac:dyDescent="0.25">
      <c r="A209" t="s">
        <v>8863</v>
      </c>
      <c r="C209" t="s">
        <v>8901</v>
      </c>
      <c r="D209" t="s">
        <v>9115</v>
      </c>
      <c r="E209" t="s">
        <v>9023</v>
      </c>
      <c r="F209" s="1">
        <v>46162</v>
      </c>
      <c r="G209" t="str">
        <f>"102701"</f>
        <v>102701</v>
      </c>
      <c r="H209" t="s">
        <v>2555</v>
      </c>
      <c r="I209" t="s">
        <v>8904</v>
      </c>
      <c r="J209">
        <v>21780</v>
      </c>
    </row>
    <row r="210" spans="1:10" x14ac:dyDescent="0.25">
      <c r="A210" t="s">
        <v>8863</v>
      </c>
      <c r="C210" t="s">
        <v>8901</v>
      </c>
      <c r="D210" t="s">
        <v>9116</v>
      </c>
      <c r="E210" t="s">
        <v>8907</v>
      </c>
      <c r="F210" s="1">
        <v>46162</v>
      </c>
      <c r="G210" t="str">
        <f>"102914"</f>
        <v>102914</v>
      </c>
      <c r="H210" t="s">
        <v>2764</v>
      </c>
      <c r="I210" t="s">
        <v>8904</v>
      </c>
      <c r="J210">
        <v>383234.4</v>
      </c>
    </row>
    <row r="211" spans="1:10" x14ac:dyDescent="0.25">
      <c r="A211" t="s">
        <v>8863</v>
      </c>
      <c r="C211" t="s">
        <v>8901</v>
      </c>
      <c r="D211" t="s">
        <v>9117</v>
      </c>
      <c r="E211" t="s">
        <v>9112</v>
      </c>
      <c r="F211" s="1">
        <v>46163</v>
      </c>
      <c r="G211" t="str">
        <f>"101335"</f>
        <v>101335</v>
      </c>
      <c r="H211" t="s">
        <v>1332</v>
      </c>
      <c r="I211" t="s">
        <v>8904</v>
      </c>
      <c r="J211">
        <v>132601.5</v>
      </c>
    </row>
    <row r="212" spans="1:10" x14ac:dyDescent="0.25">
      <c r="A212" t="s">
        <v>8863</v>
      </c>
      <c r="C212" t="s">
        <v>8901</v>
      </c>
      <c r="D212" t="s">
        <v>9118</v>
      </c>
      <c r="E212" t="s">
        <v>8907</v>
      </c>
      <c r="F212" s="1">
        <v>46163</v>
      </c>
      <c r="G212" t="str">
        <f>"102913"</f>
        <v>102913</v>
      </c>
      <c r="H212" t="s">
        <v>2763</v>
      </c>
      <c r="I212" t="s">
        <v>8904</v>
      </c>
      <c r="J212">
        <v>383234.4</v>
      </c>
    </row>
    <row r="213" spans="1:10" x14ac:dyDescent="0.25">
      <c r="A213" t="s">
        <v>8863</v>
      </c>
      <c r="C213" t="s">
        <v>8901</v>
      </c>
      <c r="D213" t="s">
        <v>9142</v>
      </c>
      <c r="E213" t="s">
        <v>8909</v>
      </c>
      <c r="F213" s="1">
        <v>46164</v>
      </c>
      <c r="G213" t="str">
        <f>"120378"</f>
        <v>120378</v>
      </c>
      <c r="H213" t="s">
        <v>2805</v>
      </c>
      <c r="I213" t="s">
        <v>8904</v>
      </c>
      <c r="J213">
        <v>3024.06</v>
      </c>
    </row>
    <row r="214" spans="1:10" x14ac:dyDescent="0.25">
      <c r="A214" t="s">
        <v>8863</v>
      </c>
      <c r="C214" t="s">
        <v>8901</v>
      </c>
      <c r="D214" t="s">
        <v>9143</v>
      </c>
      <c r="E214" t="s">
        <v>9144</v>
      </c>
      <c r="F214" s="1">
        <v>46165</v>
      </c>
      <c r="G214" t="str">
        <f>"102798"</f>
        <v>102798</v>
      </c>
      <c r="H214" t="s">
        <v>2648</v>
      </c>
      <c r="I214" t="s">
        <v>8904</v>
      </c>
      <c r="J214">
        <v>8547</v>
      </c>
    </row>
    <row r="215" spans="1:10" x14ac:dyDescent="0.25">
      <c r="A215" t="s">
        <v>8863</v>
      </c>
      <c r="C215" t="s">
        <v>8901</v>
      </c>
      <c r="D215" t="s">
        <v>9146</v>
      </c>
      <c r="E215" t="s">
        <v>9005</v>
      </c>
      <c r="F215" s="1">
        <v>46167</v>
      </c>
      <c r="G215" t="str">
        <f>"102592"</f>
        <v>102592</v>
      </c>
      <c r="H215" t="s">
        <v>2446</v>
      </c>
      <c r="I215" t="s">
        <v>8904</v>
      </c>
      <c r="J215">
        <v>404103.6</v>
      </c>
    </row>
    <row r="216" spans="1:10" x14ac:dyDescent="0.25">
      <c r="A216" t="s">
        <v>8863</v>
      </c>
      <c r="C216" t="s">
        <v>8901</v>
      </c>
      <c r="D216" t="s">
        <v>9147</v>
      </c>
      <c r="E216" t="s">
        <v>8907</v>
      </c>
      <c r="F216" s="1">
        <v>46174</v>
      </c>
      <c r="G216" t="str">
        <f>"102180"</f>
        <v>102180</v>
      </c>
      <c r="H216" t="s">
        <v>2172</v>
      </c>
      <c r="I216" t="s">
        <v>8904</v>
      </c>
      <c r="J216">
        <v>383234.4</v>
      </c>
    </row>
    <row r="217" spans="1:10" x14ac:dyDescent="0.25">
      <c r="A217" t="s">
        <v>8863</v>
      </c>
      <c r="C217" t="s">
        <v>8901</v>
      </c>
      <c r="D217" t="s">
        <v>9148</v>
      </c>
      <c r="E217" t="s">
        <v>9149</v>
      </c>
      <c r="F217" s="1">
        <v>46175</v>
      </c>
      <c r="G217" t="str">
        <f>"100021"</f>
        <v>100021</v>
      </c>
      <c r="H217" t="s">
        <v>22</v>
      </c>
      <c r="I217" t="s">
        <v>8904</v>
      </c>
      <c r="J217">
        <v>792</v>
      </c>
    </row>
    <row r="218" spans="1:10" x14ac:dyDescent="0.25">
      <c r="A218" t="s">
        <v>8863</v>
      </c>
      <c r="C218" t="s">
        <v>8901</v>
      </c>
      <c r="D218" t="s">
        <v>9150</v>
      </c>
      <c r="E218" t="s">
        <v>9151</v>
      </c>
      <c r="F218" s="1">
        <v>46175</v>
      </c>
      <c r="G218" t="str">
        <f>"102205"</f>
        <v>102205</v>
      </c>
      <c r="H218" t="s">
        <v>2197</v>
      </c>
      <c r="I218" t="s">
        <v>8904</v>
      </c>
      <c r="J218">
        <v>140805</v>
      </c>
    </row>
    <row r="219" spans="1:10" x14ac:dyDescent="0.25">
      <c r="A219" t="s">
        <v>8863</v>
      </c>
      <c r="C219" t="s">
        <v>8901</v>
      </c>
      <c r="D219" t="s">
        <v>9152</v>
      </c>
      <c r="E219" t="s">
        <v>9153</v>
      </c>
      <c r="F219" s="1">
        <v>46176</v>
      </c>
      <c r="G219" t="str">
        <f>"101316"</f>
        <v>101316</v>
      </c>
      <c r="H219" t="s">
        <v>1313</v>
      </c>
      <c r="I219" t="s">
        <v>8904</v>
      </c>
      <c r="J219">
        <v>160704</v>
      </c>
    </row>
    <row r="220" spans="1:10" x14ac:dyDescent="0.25">
      <c r="A220" t="s">
        <v>8863</v>
      </c>
      <c r="C220" t="s">
        <v>8901</v>
      </c>
      <c r="D220" t="s">
        <v>9154</v>
      </c>
      <c r="E220" t="s">
        <v>9155</v>
      </c>
      <c r="F220" s="1">
        <v>46176</v>
      </c>
      <c r="G220" t="str">
        <f>"101316"</f>
        <v>101316</v>
      </c>
      <c r="H220" t="s">
        <v>1313</v>
      </c>
      <c r="I220" t="s">
        <v>8904</v>
      </c>
      <c r="J220">
        <v>160704</v>
      </c>
    </row>
    <row r="221" spans="1:10" x14ac:dyDescent="0.25">
      <c r="A221" t="s">
        <v>8863</v>
      </c>
      <c r="C221" t="s">
        <v>8901</v>
      </c>
      <c r="D221" t="s">
        <v>9156</v>
      </c>
      <c r="E221" t="s">
        <v>9153</v>
      </c>
      <c r="F221" s="1">
        <v>46177</v>
      </c>
      <c r="G221" t="str">
        <f>"101316"</f>
        <v>101316</v>
      </c>
      <c r="H221" t="s">
        <v>1313</v>
      </c>
      <c r="I221" t="s">
        <v>8904</v>
      </c>
      <c r="J221">
        <v>160704</v>
      </c>
    </row>
    <row r="222" spans="1:10" x14ac:dyDescent="0.25">
      <c r="A222" t="s">
        <v>8863</v>
      </c>
      <c r="C222" t="s">
        <v>8901</v>
      </c>
      <c r="D222" t="s">
        <v>9157</v>
      </c>
      <c r="E222" t="s">
        <v>9151</v>
      </c>
      <c r="F222" s="1">
        <v>46177</v>
      </c>
      <c r="G222" t="str">
        <f>"102205"</f>
        <v>102205</v>
      </c>
      <c r="H222" t="s">
        <v>2197</v>
      </c>
      <c r="I222" t="s">
        <v>8904</v>
      </c>
      <c r="J222">
        <v>140794.875</v>
      </c>
    </row>
    <row r="223" spans="1:10" x14ac:dyDescent="0.25">
      <c r="A223" t="s">
        <v>8863</v>
      </c>
      <c r="C223" t="s">
        <v>8901</v>
      </c>
      <c r="D223" t="s">
        <v>9158</v>
      </c>
      <c r="E223" t="s">
        <v>9159</v>
      </c>
      <c r="F223" s="1">
        <v>46177</v>
      </c>
      <c r="G223" t="str">
        <f>"102592"</f>
        <v>102592</v>
      </c>
      <c r="H223" t="s">
        <v>2446</v>
      </c>
      <c r="I223" t="s">
        <v>8904</v>
      </c>
      <c r="J223">
        <v>404103.6</v>
      </c>
    </row>
    <row r="224" spans="1:10" x14ac:dyDescent="0.25">
      <c r="A224" t="s">
        <v>8863</v>
      </c>
      <c r="C224" t="s">
        <v>8901</v>
      </c>
      <c r="D224" t="s">
        <v>9160</v>
      </c>
      <c r="E224" t="s">
        <v>8907</v>
      </c>
      <c r="F224" s="1">
        <v>46178</v>
      </c>
      <c r="G224" t="str">
        <f>"102914"</f>
        <v>102914</v>
      </c>
      <c r="H224" t="s">
        <v>2764</v>
      </c>
      <c r="I224" t="s">
        <v>8904</v>
      </c>
      <c r="J224">
        <v>383234.4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08DC2-61CC-471A-8218-CBBBC6229654}">
  <dimension ref="A3:A72"/>
  <sheetViews>
    <sheetView workbookViewId="0">
      <selection activeCell="A3" sqref="A3"/>
    </sheetView>
  </sheetViews>
  <sheetFormatPr baseColWidth="10" defaultRowHeight="15" x14ac:dyDescent="0.25"/>
  <cols>
    <col min="1" max="1" width="21" bestFit="1" customWidth="1"/>
  </cols>
  <sheetData>
    <row r="3" spans="1:1" x14ac:dyDescent="0.25">
      <c r="A3" s="14" t="s">
        <v>13094</v>
      </c>
    </row>
    <row r="4" spans="1:1" x14ac:dyDescent="0.25">
      <c r="A4" s="15" t="s">
        <v>9031</v>
      </c>
    </row>
    <row r="5" spans="1:1" x14ac:dyDescent="0.25">
      <c r="A5" s="16" t="s">
        <v>13095</v>
      </c>
    </row>
    <row r="6" spans="1:1" x14ac:dyDescent="0.25">
      <c r="A6" s="15" t="s">
        <v>8967</v>
      </c>
    </row>
    <row r="7" spans="1:1" x14ac:dyDescent="0.25">
      <c r="A7" s="16" t="s">
        <v>13095</v>
      </c>
    </row>
    <row r="8" spans="1:1" x14ac:dyDescent="0.25">
      <c r="A8" s="15" t="s">
        <v>9151</v>
      </c>
    </row>
    <row r="9" spans="1:1" x14ac:dyDescent="0.25">
      <c r="A9" s="16" t="s">
        <v>13095</v>
      </c>
    </row>
    <row r="10" spans="1:1" x14ac:dyDescent="0.25">
      <c r="A10" s="15" t="s">
        <v>9108</v>
      </c>
    </row>
    <row r="11" spans="1:1" x14ac:dyDescent="0.25">
      <c r="A11" s="16" t="s">
        <v>13095</v>
      </c>
    </row>
    <row r="12" spans="1:1" x14ac:dyDescent="0.25">
      <c r="A12" s="15" t="s">
        <v>9112</v>
      </c>
    </row>
    <row r="13" spans="1:1" x14ac:dyDescent="0.25">
      <c r="A13" s="16" t="s">
        <v>13095</v>
      </c>
    </row>
    <row r="14" spans="1:1" x14ac:dyDescent="0.25">
      <c r="A14" s="15" t="s">
        <v>9153</v>
      </c>
    </row>
    <row r="15" spans="1:1" x14ac:dyDescent="0.25">
      <c r="A15" s="16" t="s">
        <v>13095</v>
      </c>
    </row>
    <row r="16" spans="1:1" x14ac:dyDescent="0.25">
      <c r="A16" s="15" t="s">
        <v>9155</v>
      </c>
    </row>
    <row r="17" spans="1:1" x14ac:dyDescent="0.25">
      <c r="A17" s="16" t="s">
        <v>13095</v>
      </c>
    </row>
    <row r="18" spans="1:1" x14ac:dyDescent="0.25">
      <c r="A18" s="15" t="s">
        <v>9002</v>
      </c>
    </row>
    <row r="19" spans="1:1" x14ac:dyDescent="0.25">
      <c r="A19" s="16" t="s">
        <v>13095</v>
      </c>
    </row>
    <row r="20" spans="1:1" x14ac:dyDescent="0.25">
      <c r="A20" s="15" t="s">
        <v>9013</v>
      </c>
    </row>
    <row r="21" spans="1:1" x14ac:dyDescent="0.25">
      <c r="A21" s="16" t="s">
        <v>13095</v>
      </c>
    </row>
    <row r="22" spans="1:1" x14ac:dyDescent="0.25">
      <c r="A22" s="15" t="s">
        <v>9057</v>
      </c>
    </row>
    <row r="23" spans="1:1" x14ac:dyDescent="0.25">
      <c r="A23" s="16" t="s">
        <v>13095</v>
      </c>
    </row>
    <row r="24" spans="1:1" x14ac:dyDescent="0.25">
      <c r="A24" s="15" t="s">
        <v>8989</v>
      </c>
    </row>
    <row r="25" spans="1:1" x14ac:dyDescent="0.25">
      <c r="A25" s="16" t="s">
        <v>13095</v>
      </c>
    </row>
    <row r="26" spans="1:1" x14ac:dyDescent="0.25">
      <c r="A26" s="15" t="s">
        <v>9144</v>
      </c>
    </row>
    <row r="27" spans="1:1" x14ac:dyDescent="0.25">
      <c r="A27" s="16" t="s">
        <v>13095</v>
      </c>
    </row>
    <row r="28" spans="1:1" x14ac:dyDescent="0.25">
      <c r="A28" s="15" t="s">
        <v>8992</v>
      </c>
    </row>
    <row r="29" spans="1:1" x14ac:dyDescent="0.25">
      <c r="A29" s="16" t="s">
        <v>13095</v>
      </c>
    </row>
    <row r="30" spans="1:1" x14ac:dyDescent="0.25">
      <c r="A30" s="15" t="s">
        <v>9149</v>
      </c>
    </row>
    <row r="31" spans="1:1" x14ac:dyDescent="0.25">
      <c r="A31" s="16" t="s">
        <v>13095</v>
      </c>
    </row>
    <row r="32" spans="1:1" x14ac:dyDescent="0.25">
      <c r="A32" s="15" t="s">
        <v>9105</v>
      </c>
    </row>
    <row r="33" spans="1:1" x14ac:dyDescent="0.25">
      <c r="A33" s="16" t="s">
        <v>13095</v>
      </c>
    </row>
    <row r="34" spans="1:1" x14ac:dyDescent="0.25">
      <c r="A34" s="15" t="s">
        <v>9062</v>
      </c>
    </row>
    <row r="35" spans="1:1" x14ac:dyDescent="0.25">
      <c r="A35" s="16" t="s">
        <v>13095</v>
      </c>
    </row>
    <row r="36" spans="1:1" x14ac:dyDescent="0.25">
      <c r="A36" s="15" t="s">
        <v>8921</v>
      </c>
    </row>
    <row r="37" spans="1:1" x14ac:dyDescent="0.25">
      <c r="A37" s="16" t="s">
        <v>13095</v>
      </c>
    </row>
    <row r="38" spans="1:1" x14ac:dyDescent="0.25">
      <c r="A38" s="15" t="s">
        <v>8999</v>
      </c>
    </row>
    <row r="39" spans="1:1" x14ac:dyDescent="0.25">
      <c r="A39" s="16" t="s">
        <v>13095</v>
      </c>
    </row>
    <row r="40" spans="1:1" x14ac:dyDescent="0.25">
      <c r="A40" s="15" t="s">
        <v>8866</v>
      </c>
    </row>
    <row r="41" spans="1:1" x14ac:dyDescent="0.25">
      <c r="A41" s="16" t="s">
        <v>13095</v>
      </c>
    </row>
    <row r="42" spans="1:1" x14ac:dyDescent="0.25">
      <c r="A42" s="15" t="s">
        <v>8909</v>
      </c>
    </row>
    <row r="43" spans="1:1" x14ac:dyDescent="0.25">
      <c r="A43" s="16" t="s">
        <v>13095</v>
      </c>
    </row>
    <row r="44" spans="1:1" x14ac:dyDescent="0.25">
      <c r="A44" s="15" t="s">
        <v>9084</v>
      </c>
    </row>
    <row r="45" spans="1:1" x14ac:dyDescent="0.25">
      <c r="A45" s="16" t="s">
        <v>13095</v>
      </c>
    </row>
    <row r="46" spans="1:1" x14ac:dyDescent="0.25">
      <c r="A46" s="15" t="s">
        <v>8925</v>
      </c>
    </row>
    <row r="47" spans="1:1" x14ac:dyDescent="0.25">
      <c r="A47" s="16" t="s">
        <v>13095</v>
      </c>
    </row>
    <row r="48" spans="1:1" x14ac:dyDescent="0.25">
      <c r="A48" s="15" t="s">
        <v>9005</v>
      </c>
    </row>
    <row r="49" spans="1:1" x14ac:dyDescent="0.25">
      <c r="A49" s="16" t="s">
        <v>13095</v>
      </c>
    </row>
    <row r="50" spans="1:1" x14ac:dyDescent="0.25">
      <c r="A50" s="15" t="s">
        <v>8997</v>
      </c>
    </row>
    <row r="51" spans="1:1" x14ac:dyDescent="0.25">
      <c r="A51" s="16" t="s">
        <v>13095</v>
      </c>
    </row>
    <row r="52" spans="1:1" x14ac:dyDescent="0.25">
      <c r="A52" s="15" t="s">
        <v>9159</v>
      </c>
    </row>
    <row r="53" spans="1:1" x14ac:dyDescent="0.25">
      <c r="A53" s="16" t="s">
        <v>13095</v>
      </c>
    </row>
    <row r="54" spans="1:1" x14ac:dyDescent="0.25">
      <c r="A54" s="15" t="s">
        <v>8907</v>
      </c>
    </row>
    <row r="55" spans="1:1" x14ac:dyDescent="0.25">
      <c r="A55" s="16" t="s">
        <v>13095</v>
      </c>
    </row>
    <row r="56" spans="1:1" x14ac:dyDescent="0.25">
      <c r="A56" s="15" t="s">
        <v>8969</v>
      </c>
    </row>
    <row r="57" spans="1:1" x14ac:dyDescent="0.25">
      <c r="A57" s="16" t="s">
        <v>13095</v>
      </c>
    </row>
    <row r="58" spans="1:1" x14ac:dyDescent="0.25">
      <c r="A58" s="15" t="s">
        <v>8985</v>
      </c>
    </row>
    <row r="59" spans="1:1" x14ac:dyDescent="0.25">
      <c r="A59" s="16" t="s">
        <v>13095</v>
      </c>
    </row>
    <row r="60" spans="1:1" x14ac:dyDescent="0.25">
      <c r="A60" s="15" t="s">
        <v>8933</v>
      </c>
    </row>
    <row r="61" spans="1:1" x14ac:dyDescent="0.25">
      <c r="A61" s="16" t="s">
        <v>13095</v>
      </c>
    </row>
    <row r="62" spans="1:1" x14ac:dyDescent="0.25">
      <c r="A62" s="15" t="s">
        <v>9023</v>
      </c>
    </row>
    <row r="63" spans="1:1" x14ac:dyDescent="0.25">
      <c r="A63" s="16" t="s">
        <v>13095</v>
      </c>
    </row>
    <row r="64" spans="1:1" x14ac:dyDescent="0.25">
      <c r="A64" s="15" t="s">
        <v>9060</v>
      </c>
    </row>
    <row r="65" spans="1:1" x14ac:dyDescent="0.25">
      <c r="A65" s="16" t="s">
        <v>13095</v>
      </c>
    </row>
    <row r="66" spans="1:1" x14ac:dyDescent="0.25">
      <c r="A66" s="15" t="s">
        <v>9076</v>
      </c>
    </row>
    <row r="67" spans="1:1" x14ac:dyDescent="0.25">
      <c r="A67" s="16" t="s">
        <v>13095</v>
      </c>
    </row>
    <row r="68" spans="1:1" x14ac:dyDescent="0.25">
      <c r="A68" s="15" t="s">
        <v>9072</v>
      </c>
    </row>
    <row r="69" spans="1:1" x14ac:dyDescent="0.25">
      <c r="A69" s="16" t="s">
        <v>13095</v>
      </c>
    </row>
    <row r="70" spans="1:1" x14ac:dyDescent="0.25">
      <c r="A70" s="15" t="s">
        <v>13095</v>
      </c>
    </row>
    <row r="71" spans="1:1" x14ac:dyDescent="0.25">
      <c r="A71" s="16" t="s">
        <v>13095</v>
      </c>
    </row>
    <row r="72" spans="1:1" x14ac:dyDescent="0.25">
      <c r="A72" s="15" t="s">
        <v>13096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600E5-ACE6-4D15-9B03-80F1A9919DFD}">
  <dimension ref="A1:J224"/>
  <sheetViews>
    <sheetView workbookViewId="0">
      <selection sqref="A1:XFD1048576"/>
    </sheetView>
  </sheetViews>
  <sheetFormatPr baseColWidth="10" defaultRowHeight="15" x14ac:dyDescent="0.25"/>
  <cols>
    <col min="1" max="1" width="16.42578125" bestFit="1" customWidth="1"/>
    <col min="2" max="2" width="4.42578125" bestFit="1" customWidth="1"/>
    <col min="3" max="3" width="14.85546875" bestFit="1" customWidth="1"/>
    <col min="4" max="4" width="11.7109375" bestFit="1" customWidth="1"/>
    <col min="5" max="5" width="17.7109375" bestFit="1" customWidth="1"/>
    <col min="6" max="6" width="10.7109375" bestFit="1" customWidth="1"/>
    <col min="7" max="7" width="8.5703125" bestFit="1" customWidth="1"/>
    <col min="8" max="8" width="36.85546875" bestFit="1" customWidth="1"/>
    <col min="9" max="9" width="34.7109375" bestFit="1" customWidth="1"/>
    <col min="10" max="10" width="12" bestFit="1" customWidth="1"/>
  </cols>
  <sheetData>
    <row r="1" spans="1:10" x14ac:dyDescent="0.25">
      <c r="A1" t="s">
        <v>3324</v>
      </c>
      <c r="B1" t="s">
        <v>8854</v>
      </c>
      <c r="C1" t="s">
        <v>8855</v>
      </c>
      <c r="D1" t="s">
        <v>8856</v>
      </c>
      <c r="E1" t="s">
        <v>8857</v>
      </c>
      <c r="F1" t="s">
        <v>8858</v>
      </c>
      <c r="G1" t="s">
        <v>8859</v>
      </c>
      <c r="H1" t="s">
        <v>8860</v>
      </c>
      <c r="I1" t="s">
        <v>8861</v>
      </c>
      <c r="J1" t="s">
        <v>8862</v>
      </c>
    </row>
    <row r="2" spans="1:10" x14ac:dyDescent="0.25">
      <c r="A2" t="s">
        <v>8863</v>
      </c>
      <c r="C2" t="s">
        <v>8864</v>
      </c>
      <c r="D2" t="s">
        <v>8865</v>
      </c>
      <c r="E2" t="s">
        <v>8866</v>
      </c>
      <c r="F2" s="1">
        <v>42318</v>
      </c>
      <c r="G2" t="str">
        <f>"102024"</f>
        <v>102024</v>
      </c>
      <c r="H2" t="s">
        <v>2020</v>
      </c>
      <c r="I2" t="s">
        <v>8867</v>
      </c>
      <c r="J2">
        <v>17055.3</v>
      </c>
    </row>
    <row r="3" spans="1:10" x14ac:dyDescent="0.25">
      <c r="A3" t="s">
        <v>8863</v>
      </c>
      <c r="C3" t="s">
        <v>8864</v>
      </c>
      <c r="D3" t="s">
        <v>8868</v>
      </c>
      <c r="E3" t="s">
        <v>8866</v>
      </c>
      <c r="F3" s="1">
        <v>42355</v>
      </c>
      <c r="G3" t="str">
        <f>"102024"</f>
        <v>102024</v>
      </c>
      <c r="H3" t="s">
        <v>2020</v>
      </c>
      <c r="I3" t="s">
        <v>8867</v>
      </c>
      <c r="J3">
        <v>18720</v>
      </c>
    </row>
    <row r="4" spans="1:10" x14ac:dyDescent="0.25">
      <c r="A4" t="s">
        <v>8863</v>
      </c>
      <c r="C4" t="s">
        <v>8864</v>
      </c>
      <c r="D4" t="s">
        <v>8869</v>
      </c>
      <c r="E4" t="s">
        <v>8866</v>
      </c>
      <c r="F4" s="1">
        <v>42397</v>
      </c>
      <c r="G4" t="str">
        <f>"102024"</f>
        <v>102024</v>
      </c>
      <c r="H4" t="s">
        <v>2020</v>
      </c>
      <c r="I4" t="s">
        <v>8867</v>
      </c>
      <c r="J4">
        <v>34139.879999999997</v>
      </c>
    </row>
    <row r="5" spans="1:10" x14ac:dyDescent="0.25">
      <c r="A5" t="s">
        <v>8863</v>
      </c>
      <c r="C5" t="s">
        <v>8864</v>
      </c>
      <c r="D5" t="s">
        <v>8870</v>
      </c>
      <c r="E5" t="s">
        <v>8866</v>
      </c>
      <c r="F5" s="1">
        <v>42482</v>
      </c>
      <c r="G5" t="str">
        <f>"102024"</f>
        <v>102024</v>
      </c>
      <c r="H5" t="s">
        <v>2020</v>
      </c>
      <c r="I5" t="s">
        <v>8867</v>
      </c>
      <c r="J5">
        <v>12480</v>
      </c>
    </row>
    <row r="6" spans="1:10" x14ac:dyDescent="0.25">
      <c r="A6" t="s">
        <v>8863</v>
      </c>
      <c r="C6" t="s">
        <v>8864</v>
      </c>
      <c r="D6" t="s">
        <v>8871</v>
      </c>
      <c r="E6" t="s">
        <v>8866</v>
      </c>
      <c r="F6" s="1">
        <v>42612</v>
      </c>
      <c r="G6" t="str">
        <f>"100220"</f>
        <v>100220</v>
      </c>
      <c r="H6" t="s">
        <v>218</v>
      </c>
      <c r="I6" t="s">
        <v>8867</v>
      </c>
      <c r="J6">
        <v>16671</v>
      </c>
    </row>
    <row r="7" spans="1:10" x14ac:dyDescent="0.25">
      <c r="A7" t="s">
        <v>8863</v>
      </c>
      <c r="C7" t="s">
        <v>8864</v>
      </c>
      <c r="D7" t="s">
        <v>8872</v>
      </c>
      <c r="E7" t="s">
        <v>8866</v>
      </c>
      <c r="F7" s="1">
        <v>43033</v>
      </c>
      <c r="G7" t="str">
        <f>"102141"</f>
        <v>102141</v>
      </c>
      <c r="H7" t="s">
        <v>2135</v>
      </c>
      <c r="I7" t="s">
        <v>8867</v>
      </c>
      <c r="J7">
        <v>31003.82</v>
      </c>
    </row>
    <row r="8" spans="1:10" x14ac:dyDescent="0.25">
      <c r="A8" t="s">
        <v>8863</v>
      </c>
      <c r="C8" t="s">
        <v>8864</v>
      </c>
      <c r="D8" t="s">
        <v>8873</v>
      </c>
      <c r="E8" t="s">
        <v>8866</v>
      </c>
      <c r="F8" s="1">
        <v>43153</v>
      </c>
      <c r="G8" t="str">
        <f>"100509"</f>
        <v>100509</v>
      </c>
      <c r="H8" t="s">
        <v>508</v>
      </c>
      <c r="I8" t="s">
        <v>8867</v>
      </c>
      <c r="J8">
        <v>5836.8</v>
      </c>
    </row>
    <row r="9" spans="1:10" x14ac:dyDescent="0.25">
      <c r="A9" t="s">
        <v>8863</v>
      </c>
      <c r="C9" t="s">
        <v>8864</v>
      </c>
      <c r="D9" t="s">
        <v>8874</v>
      </c>
      <c r="E9" t="s">
        <v>8866</v>
      </c>
      <c r="F9" s="1">
        <v>43370</v>
      </c>
      <c r="G9" t="str">
        <f>"100549"</f>
        <v>100549</v>
      </c>
      <c r="H9" t="s">
        <v>548</v>
      </c>
      <c r="I9" t="s">
        <v>8867</v>
      </c>
      <c r="J9">
        <v>39986.959999999999</v>
      </c>
    </row>
    <row r="10" spans="1:10" x14ac:dyDescent="0.25">
      <c r="A10" t="s">
        <v>8863</v>
      </c>
      <c r="C10" t="s">
        <v>8864</v>
      </c>
      <c r="D10" t="s">
        <v>8875</v>
      </c>
      <c r="E10" t="s">
        <v>8866</v>
      </c>
      <c r="F10" s="1">
        <v>43370</v>
      </c>
      <c r="G10" t="str">
        <f>"100549"</f>
        <v>100549</v>
      </c>
      <c r="H10" t="s">
        <v>548</v>
      </c>
      <c r="I10" t="s">
        <v>8867</v>
      </c>
      <c r="J10">
        <v>123786</v>
      </c>
    </row>
    <row r="11" spans="1:10" x14ac:dyDescent="0.25">
      <c r="A11" t="s">
        <v>8863</v>
      </c>
      <c r="C11" t="s">
        <v>8864</v>
      </c>
      <c r="D11" t="s">
        <v>8876</v>
      </c>
      <c r="E11" t="s">
        <v>8866</v>
      </c>
      <c r="F11" s="1">
        <v>43460</v>
      </c>
      <c r="G11" t="str">
        <f>"102276"</f>
        <v>102276</v>
      </c>
      <c r="H11" t="s">
        <v>2270</v>
      </c>
      <c r="I11" t="s">
        <v>8867</v>
      </c>
      <c r="J11">
        <v>9846.2999999999993</v>
      </c>
    </row>
    <row r="12" spans="1:10" x14ac:dyDescent="0.25">
      <c r="A12" t="s">
        <v>8863</v>
      </c>
      <c r="C12" t="s">
        <v>8864</v>
      </c>
      <c r="D12" t="s">
        <v>8877</v>
      </c>
      <c r="E12" t="s">
        <v>8866</v>
      </c>
      <c r="F12" s="1">
        <v>43528</v>
      </c>
      <c r="G12" t="str">
        <f>"100780"</f>
        <v>100780</v>
      </c>
      <c r="H12" t="s">
        <v>777</v>
      </c>
      <c r="I12" t="s">
        <v>8867</v>
      </c>
      <c r="J12">
        <v>69467.199999999997</v>
      </c>
    </row>
    <row r="13" spans="1:10" x14ac:dyDescent="0.25">
      <c r="A13" t="s">
        <v>8863</v>
      </c>
      <c r="C13" t="s">
        <v>8864</v>
      </c>
      <c r="D13" t="s">
        <v>8878</v>
      </c>
      <c r="E13" t="s">
        <v>8866</v>
      </c>
      <c r="F13" s="1">
        <v>43529</v>
      </c>
      <c r="G13" t="str">
        <f>"100780"</f>
        <v>100780</v>
      </c>
      <c r="H13" t="s">
        <v>777</v>
      </c>
      <c r="I13" t="s">
        <v>8867</v>
      </c>
      <c r="J13">
        <v>41736</v>
      </c>
    </row>
    <row r="14" spans="1:10" x14ac:dyDescent="0.25">
      <c r="A14" t="s">
        <v>8863</v>
      </c>
      <c r="C14" t="s">
        <v>8864</v>
      </c>
      <c r="D14" t="s">
        <v>8879</v>
      </c>
      <c r="E14" t="s">
        <v>8866</v>
      </c>
      <c r="F14" s="1">
        <v>43553</v>
      </c>
      <c r="G14" t="str">
        <f t="shared" ref="G14:G23" si="0">"100549"</f>
        <v>100549</v>
      </c>
      <c r="H14" t="s">
        <v>548</v>
      </c>
      <c r="I14" t="s">
        <v>8867</v>
      </c>
      <c r="J14">
        <v>135281.66</v>
      </c>
    </row>
    <row r="15" spans="1:10" x14ac:dyDescent="0.25">
      <c r="A15" t="s">
        <v>8863</v>
      </c>
      <c r="C15" t="s">
        <v>8864</v>
      </c>
      <c r="D15" t="s">
        <v>8880</v>
      </c>
      <c r="E15" t="s">
        <v>8866</v>
      </c>
      <c r="F15" s="1">
        <v>43558</v>
      </c>
      <c r="G15" t="str">
        <f t="shared" si="0"/>
        <v>100549</v>
      </c>
      <c r="H15" t="s">
        <v>548</v>
      </c>
      <c r="I15" t="s">
        <v>8867</v>
      </c>
      <c r="J15">
        <v>135281.66</v>
      </c>
    </row>
    <row r="16" spans="1:10" x14ac:dyDescent="0.25">
      <c r="A16" t="s">
        <v>8863</v>
      </c>
      <c r="C16" t="s">
        <v>8864</v>
      </c>
      <c r="D16" t="s">
        <v>8881</v>
      </c>
      <c r="E16" t="s">
        <v>8866</v>
      </c>
      <c r="F16" s="1">
        <v>43558</v>
      </c>
      <c r="G16" t="str">
        <f t="shared" si="0"/>
        <v>100549</v>
      </c>
      <c r="H16" t="s">
        <v>548</v>
      </c>
      <c r="I16" t="s">
        <v>8867</v>
      </c>
      <c r="J16">
        <v>135281.66</v>
      </c>
    </row>
    <row r="17" spans="1:10" x14ac:dyDescent="0.25">
      <c r="A17" t="s">
        <v>8863</v>
      </c>
      <c r="C17" t="s">
        <v>8864</v>
      </c>
      <c r="D17" t="s">
        <v>8882</v>
      </c>
      <c r="E17" t="s">
        <v>8866</v>
      </c>
      <c r="F17" s="1">
        <v>43559</v>
      </c>
      <c r="G17" t="str">
        <f t="shared" si="0"/>
        <v>100549</v>
      </c>
      <c r="H17" t="s">
        <v>548</v>
      </c>
      <c r="I17" t="s">
        <v>8867</v>
      </c>
      <c r="J17">
        <v>135281.66</v>
      </c>
    </row>
    <row r="18" spans="1:10" x14ac:dyDescent="0.25">
      <c r="A18" t="s">
        <v>8863</v>
      </c>
      <c r="C18" t="s">
        <v>8864</v>
      </c>
      <c r="D18" t="s">
        <v>8883</v>
      </c>
      <c r="E18" t="s">
        <v>8866</v>
      </c>
      <c r="F18" s="1">
        <v>43561</v>
      </c>
      <c r="G18" t="str">
        <f t="shared" si="0"/>
        <v>100549</v>
      </c>
      <c r="H18" t="s">
        <v>548</v>
      </c>
      <c r="I18" t="s">
        <v>8867</v>
      </c>
      <c r="J18">
        <v>135281.66</v>
      </c>
    </row>
    <row r="19" spans="1:10" x14ac:dyDescent="0.25">
      <c r="A19" t="s">
        <v>8863</v>
      </c>
      <c r="C19" t="s">
        <v>8864</v>
      </c>
      <c r="D19" t="s">
        <v>8884</v>
      </c>
      <c r="E19" t="s">
        <v>8866</v>
      </c>
      <c r="F19" s="1">
        <v>43570</v>
      </c>
      <c r="G19" t="str">
        <f t="shared" si="0"/>
        <v>100549</v>
      </c>
      <c r="H19" t="s">
        <v>548</v>
      </c>
      <c r="I19" t="s">
        <v>8867</v>
      </c>
      <c r="J19">
        <v>135281.66</v>
      </c>
    </row>
    <row r="20" spans="1:10" x14ac:dyDescent="0.25">
      <c r="A20" t="s">
        <v>8863</v>
      </c>
      <c r="C20" t="s">
        <v>8864</v>
      </c>
      <c r="D20" t="s">
        <v>8885</v>
      </c>
      <c r="E20" t="s">
        <v>8866</v>
      </c>
      <c r="F20" s="1">
        <v>43575</v>
      </c>
      <c r="G20" t="str">
        <f t="shared" si="0"/>
        <v>100549</v>
      </c>
      <c r="H20" t="s">
        <v>548</v>
      </c>
      <c r="I20" t="s">
        <v>8867</v>
      </c>
      <c r="J20">
        <v>135281.66</v>
      </c>
    </row>
    <row r="21" spans="1:10" x14ac:dyDescent="0.25">
      <c r="A21" t="s">
        <v>8863</v>
      </c>
      <c r="C21" t="s">
        <v>8864</v>
      </c>
      <c r="D21" t="s">
        <v>8886</v>
      </c>
      <c r="E21" t="s">
        <v>8866</v>
      </c>
      <c r="F21" s="1">
        <v>43575</v>
      </c>
      <c r="G21" t="str">
        <f t="shared" si="0"/>
        <v>100549</v>
      </c>
      <c r="H21" t="s">
        <v>548</v>
      </c>
      <c r="I21" t="s">
        <v>8867</v>
      </c>
      <c r="J21">
        <v>135281.66</v>
      </c>
    </row>
    <row r="22" spans="1:10" x14ac:dyDescent="0.25">
      <c r="A22" t="s">
        <v>8863</v>
      </c>
      <c r="C22" t="s">
        <v>8864</v>
      </c>
      <c r="D22" t="s">
        <v>8887</v>
      </c>
      <c r="E22" t="s">
        <v>8866</v>
      </c>
      <c r="F22" s="1">
        <v>43575</v>
      </c>
      <c r="G22" t="str">
        <f t="shared" si="0"/>
        <v>100549</v>
      </c>
      <c r="H22" t="s">
        <v>548</v>
      </c>
      <c r="I22" t="s">
        <v>8867</v>
      </c>
      <c r="J22">
        <v>135281.66</v>
      </c>
    </row>
    <row r="23" spans="1:10" x14ac:dyDescent="0.25">
      <c r="A23" t="s">
        <v>8863</v>
      </c>
      <c r="C23" t="s">
        <v>8864</v>
      </c>
      <c r="D23" t="s">
        <v>8888</v>
      </c>
      <c r="E23" t="s">
        <v>8866</v>
      </c>
      <c r="F23" s="1">
        <v>43575</v>
      </c>
      <c r="G23" t="str">
        <f t="shared" si="0"/>
        <v>100549</v>
      </c>
      <c r="H23" t="s">
        <v>548</v>
      </c>
      <c r="I23" t="s">
        <v>8867</v>
      </c>
      <c r="J23">
        <v>135281.66</v>
      </c>
    </row>
    <row r="24" spans="1:10" x14ac:dyDescent="0.25">
      <c r="A24" t="s">
        <v>8863</v>
      </c>
      <c r="C24" t="s">
        <v>8864</v>
      </c>
      <c r="D24" t="s">
        <v>8889</v>
      </c>
      <c r="E24" t="s">
        <v>8866</v>
      </c>
      <c r="F24" s="1">
        <v>43672</v>
      </c>
      <c r="G24" t="str">
        <f>"102715"</f>
        <v>102715</v>
      </c>
      <c r="H24" t="s">
        <v>2565</v>
      </c>
      <c r="I24" t="s">
        <v>8867</v>
      </c>
      <c r="J24">
        <v>873.52</v>
      </c>
    </row>
    <row r="25" spans="1:10" x14ac:dyDescent="0.25">
      <c r="A25" t="s">
        <v>8890</v>
      </c>
      <c r="C25" t="s">
        <v>8864</v>
      </c>
      <c r="D25" t="s">
        <v>8891</v>
      </c>
      <c r="E25" t="s">
        <v>8866</v>
      </c>
      <c r="F25" s="1">
        <v>43683</v>
      </c>
      <c r="G25" t="str">
        <f>"100549"</f>
        <v>100549</v>
      </c>
      <c r="H25" t="s">
        <v>548</v>
      </c>
      <c r="I25" t="s">
        <v>8867</v>
      </c>
      <c r="J25">
        <v>79016.45</v>
      </c>
    </row>
    <row r="26" spans="1:10" x14ac:dyDescent="0.25">
      <c r="A26" t="s">
        <v>8890</v>
      </c>
      <c r="C26" t="s">
        <v>8864</v>
      </c>
      <c r="D26" t="s">
        <v>8892</v>
      </c>
      <c r="E26" t="s">
        <v>8866</v>
      </c>
      <c r="F26" s="1">
        <v>43683</v>
      </c>
      <c r="G26" t="str">
        <f>"100549"</f>
        <v>100549</v>
      </c>
      <c r="H26" t="s">
        <v>548</v>
      </c>
      <c r="I26" t="s">
        <v>8867</v>
      </c>
      <c r="J26">
        <v>132437.76000000001</v>
      </c>
    </row>
    <row r="27" spans="1:10" x14ac:dyDescent="0.25">
      <c r="A27" t="s">
        <v>8890</v>
      </c>
      <c r="C27" t="s">
        <v>8864</v>
      </c>
      <c r="D27" t="s">
        <v>8893</v>
      </c>
      <c r="E27" t="s">
        <v>8866</v>
      </c>
      <c r="F27" s="1">
        <v>43683</v>
      </c>
      <c r="G27" t="str">
        <f>"100549"</f>
        <v>100549</v>
      </c>
      <c r="H27" t="s">
        <v>548</v>
      </c>
      <c r="I27" t="s">
        <v>8867</v>
      </c>
      <c r="J27">
        <v>115987.2</v>
      </c>
    </row>
    <row r="28" spans="1:10" x14ac:dyDescent="0.25">
      <c r="A28" t="s">
        <v>8894</v>
      </c>
      <c r="C28" t="s">
        <v>8864</v>
      </c>
      <c r="D28" t="s">
        <v>8895</v>
      </c>
      <c r="E28" t="s">
        <v>8866</v>
      </c>
      <c r="F28" s="1">
        <v>43683</v>
      </c>
      <c r="G28" t="str">
        <f>"100549"</f>
        <v>100549</v>
      </c>
      <c r="H28" t="s">
        <v>548</v>
      </c>
      <c r="I28" t="s">
        <v>8867</v>
      </c>
      <c r="J28">
        <v>138914.82</v>
      </c>
    </row>
    <row r="29" spans="1:10" x14ac:dyDescent="0.25">
      <c r="A29" t="s">
        <v>8863</v>
      </c>
      <c r="C29" t="s">
        <v>8864</v>
      </c>
      <c r="D29" t="s">
        <v>8896</v>
      </c>
      <c r="E29" t="s">
        <v>8866</v>
      </c>
      <c r="F29" s="1">
        <v>43686</v>
      </c>
      <c r="G29" t="str">
        <f>"102529"</f>
        <v>102529</v>
      </c>
      <c r="H29" t="s">
        <v>2418</v>
      </c>
      <c r="I29" t="s">
        <v>8867</v>
      </c>
      <c r="J29">
        <v>6814.36</v>
      </c>
    </row>
    <row r="30" spans="1:10" x14ac:dyDescent="0.25">
      <c r="A30" t="s">
        <v>8863</v>
      </c>
      <c r="C30" t="s">
        <v>8864</v>
      </c>
      <c r="D30" t="s">
        <v>8897</v>
      </c>
      <c r="E30" t="s">
        <v>8866</v>
      </c>
      <c r="F30" s="1">
        <v>43697</v>
      </c>
      <c r="G30" t="str">
        <f>"100549"</f>
        <v>100549</v>
      </c>
      <c r="H30" t="s">
        <v>548</v>
      </c>
      <c r="I30" t="s">
        <v>8867</v>
      </c>
      <c r="J30">
        <v>123786</v>
      </c>
    </row>
    <row r="31" spans="1:10" x14ac:dyDescent="0.25">
      <c r="A31" t="s">
        <v>8863</v>
      </c>
      <c r="C31" t="s">
        <v>8864</v>
      </c>
      <c r="D31" t="s">
        <v>8898</v>
      </c>
      <c r="E31" t="s">
        <v>8866</v>
      </c>
      <c r="F31" s="1">
        <v>43795</v>
      </c>
      <c r="G31" t="str">
        <f>"100061"</f>
        <v>100061</v>
      </c>
      <c r="H31" t="s">
        <v>62</v>
      </c>
      <c r="I31" t="s">
        <v>8867</v>
      </c>
      <c r="J31">
        <v>405.6</v>
      </c>
    </row>
    <row r="32" spans="1:10" x14ac:dyDescent="0.25">
      <c r="A32" t="s">
        <v>8863</v>
      </c>
      <c r="C32" t="s">
        <v>8864</v>
      </c>
      <c r="D32" t="s">
        <v>8899</v>
      </c>
      <c r="E32" t="s">
        <v>8866</v>
      </c>
      <c r="F32" s="1">
        <v>43797</v>
      </c>
      <c r="G32" t="str">
        <f>"102141"</f>
        <v>102141</v>
      </c>
      <c r="H32" t="s">
        <v>2135</v>
      </c>
      <c r="I32" t="s">
        <v>8867</v>
      </c>
      <c r="J32">
        <v>33374.699999999997</v>
      </c>
    </row>
    <row r="33" spans="1:10" x14ac:dyDescent="0.25">
      <c r="A33" t="s">
        <v>8863</v>
      </c>
      <c r="C33" t="s">
        <v>8864</v>
      </c>
      <c r="D33" t="s">
        <v>8906</v>
      </c>
      <c r="E33" t="s">
        <v>8907</v>
      </c>
      <c r="F33" s="1">
        <v>46113</v>
      </c>
      <c r="G33" t="str">
        <f>"102180"</f>
        <v>102180</v>
      </c>
      <c r="H33" t="s">
        <v>2172</v>
      </c>
      <c r="I33" t="s">
        <v>8904</v>
      </c>
      <c r="J33">
        <v>383234.4</v>
      </c>
    </row>
    <row r="34" spans="1:10" x14ac:dyDescent="0.25">
      <c r="A34" t="s">
        <v>8863</v>
      </c>
      <c r="C34" t="s">
        <v>8864</v>
      </c>
      <c r="D34" t="s">
        <v>8908</v>
      </c>
      <c r="E34" t="s">
        <v>8909</v>
      </c>
      <c r="F34" s="1">
        <v>46114</v>
      </c>
      <c r="G34" t="str">
        <f>"100113"</f>
        <v>100113</v>
      </c>
      <c r="H34" t="s">
        <v>114</v>
      </c>
      <c r="I34" t="s">
        <v>8904</v>
      </c>
      <c r="J34">
        <v>490.2</v>
      </c>
    </row>
    <row r="35" spans="1:10" x14ac:dyDescent="0.25">
      <c r="A35" t="s">
        <v>8863</v>
      </c>
      <c r="C35" t="s">
        <v>8864</v>
      </c>
      <c r="D35" t="s">
        <v>8910</v>
      </c>
      <c r="E35" t="s">
        <v>8909</v>
      </c>
      <c r="F35" s="1">
        <v>46114</v>
      </c>
      <c r="G35" t="str">
        <f>"1002873"</f>
        <v>1002873</v>
      </c>
      <c r="H35" t="s">
        <v>286</v>
      </c>
      <c r="I35" t="s">
        <v>8904</v>
      </c>
      <c r="J35">
        <v>3024</v>
      </c>
    </row>
    <row r="36" spans="1:10" x14ac:dyDescent="0.25">
      <c r="A36" t="s">
        <v>8863</v>
      </c>
      <c r="C36" t="s">
        <v>8864</v>
      </c>
      <c r="D36" t="s">
        <v>8911</v>
      </c>
      <c r="E36" t="s">
        <v>8909</v>
      </c>
      <c r="F36" s="1">
        <v>46114</v>
      </c>
      <c r="G36" t="str">
        <f>"1022723"</f>
        <v>1022723</v>
      </c>
      <c r="H36" t="s">
        <v>2266</v>
      </c>
      <c r="I36" t="s">
        <v>8904</v>
      </c>
      <c r="J36">
        <v>5381.8</v>
      </c>
    </row>
    <row r="37" spans="1:10" x14ac:dyDescent="0.25">
      <c r="A37" t="s">
        <v>8863</v>
      </c>
      <c r="C37" t="s">
        <v>8864</v>
      </c>
      <c r="D37" t="s">
        <v>8912</v>
      </c>
      <c r="E37" t="s">
        <v>8909</v>
      </c>
      <c r="F37" s="1">
        <v>46114</v>
      </c>
      <c r="G37" t="str">
        <f>"102871"</f>
        <v>102871</v>
      </c>
      <c r="H37" t="s">
        <v>2720</v>
      </c>
      <c r="I37" t="s">
        <v>8904</v>
      </c>
      <c r="J37">
        <v>1275.2</v>
      </c>
    </row>
    <row r="38" spans="1:10" x14ac:dyDescent="0.25">
      <c r="A38" t="s">
        <v>8863</v>
      </c>
      <c r="C38" t="s">
        <v>8864</v>
      </c>
      <c r="D38" t="s">
        <v>8913</v>
      </c>
      <c r="E38" t="s">
        <v>8909</v>
      </c>
      <c r="F38" s="1">
        <v>46114</v>
      </c>
      <c r="G38" t="str">
        <f>"102893"</f>
        <v>102893</v>
      </c>
      <c r="H38" t="s">
        <v>2742</v>
      </c>
      <c r="I38" t="s">
        <v>8904</v>
      </c>
      <c r="J38">
        <v>1814.4</v>
      </c>
    </row>
    <row r="39" spans="1:10" x14ac:dyDescent="0.25">
      <c r="A39" t="s">
        <v>8863</v>
      </c>
      <c r="C39" t="s">
        <v>8864</v>
      </c>
      <c r="D39" t="s">
        <v>8914</v>
      </c>
      <c r="E39" t="s">
        <v>8909</v>
      </c>
      <c r="F39" s="1">
        <v>46115</v>
      </c>
      <c r="G39" t="str">
        <f>"1002873"</f>
        <v>1002873</v>
      </c>
      <c r="H39" t="s">
        <v>286</v>
      </c>
      <c r="I39" t="s">
        <v>8904</v>
      </c>
      <c r="J39">
        <v>1209.5999999999999</v>
      </c>
    </row>
    <row r="40" spans="1:10" x14ac:dyDescent="0.25">
      <c r="A40" t="s">
        <v>8863</v>
      </c>
      <c r="C40" t="s">
        <v>8864</v>
      </c>
      <c r="D40" t="s">
        <v>8915</v>
      </c>
      <c r="E40" t="s">
        <v>8909</v>
      </c>
      <c r="F40" s="1">
        <v>46115</v>
      </c>
      <c r="G40" t="str">
        <f>"100527"</f>
        <v>100527</v>
      </c>
      <c r="H40" t="s">
        <v>526</v>
      </c>
      <c r="I40" t="s">
        <v>8904</v>
      </c>
      <c r="J40">
        <v>3024</v>
      </c>
    </row>
    <row r="41" spans="1:10" x14ac:dyDescent="0.25">
      <c r="A41" t="s">
        <v>8863</v>
      </c>
      <c r="C41" t="s">
        <v>8864</v>
      </c>
      <c r="D41" t="s">
        <v>8916</v>
      </c>
      <c r="E41" t="s">
        <v>8909</v>
      </c>
      <c r="F41" s="1">
        <v>46115</v>
      </c>
      <c r="G41" t="str">
        <f>"102602"</f>
        <v>102602</v>
      </c>
      <c r="H41" t="s">
        <v>2456</v>
      </c>
      <c r="I41" t="s">
        <v>8904</v>
      </c>
      <c r="J41">
        <v>2700</v>
      </c>
    </row>
    <row r="42" spans="1:10" x14ac:dyDescent="0.25">
      <c r="A42" t="s">
        <v>8863</v>
      </c>
      <c r="C42" t="s">
        <v>8864</v>
      </c>
      <c r="D42" t="s">
        <v>8917</v>
      </c>
      <c r="E42" t="s">
        <v>8909</v>
      </c>
      <c r="F42" s="1">
        <v>46115</v>
      </c>
      <c r="G42" t="str">
        <f>"120320"</f>
        <v>120320</v>
      </c>
      <c r="H42" t="s">
        <v>2795</v>
      </c>
      <c r="I42" t="s">
        <v>8904</v>
      </c>
      <c r="J42">
        <v>4236</v>
      </c>
    </row>
    <row r="43" spans="1:10" x14ac:dyDescent="0.25">
      <c r="A43" t="s">
        <v>8863</v>
      </c>
      <c r="C43" t="s">
        <v>8864</v>
      </c>
      <c r="D43" t="s">
        <v>8918</v>
      </c>
      <c r="E43" t="s">
        <v>8909</v>
      </c>
      <c r="F43" s="1">
        <v>46115</v>
      </c>
      <c r="G43" t="str">
        <f>"120400"</f>
        <v>120400</v>
      </c>
      <c r="H43" t="s">
        <v>2818</v>
      </c>
      <c r="I43" t="s">
        <v>8904</v>
      </c>
      <c r="J43">
        <v>4070</v>
      </c>
    </row>
    <row r="44" spans="1:10" x14ac:dyDescent="0.25">
      <c r="A44" t="s">
        <v>8863</v>
      </c>
      <c r="C44" t="s">
        <v>8864</v>
      </c>
      <c r="D44" t="s">
        <v>8919</v>
      </c>
      <c r="E44" t="s">
        <v>8909</v>
      </c>
      <c r="F44" s="1">
        <v>46118</v>
      </c>
      <c r="G44" t="str">
        <f>"100515"</f>
        <v>100515</v>
      </c>
      <c r="H44" t="s">
        <v>514</v>
      </c>
      <c r="I44" t="s">
        <v>8904</v>
      </c>
      <c r="J44">
        <v>4500</v>
      </c>
    </row>
    <row r="45" spans="1:10" x14ac:dyDescent="0.25">
      <c r="A45" t="s">
        <v>8863</v>
      </c>
      <c r="C45" t="s">
        <v>8864</v>
      </c>
      <c r="D45" t="s">
        <v>8920</v>
      </c>
      <c r="E45" t="s">
        <v>8921</v>
      </c>
      <c r="F45" s="1">
        <v>46118</v>
      </c>
      <c r="G45" t="str">
        <f>"100527"</f>
        <v>100527</v>
      </c>
      <c r="H45" t="s">
        <v>526</v>
      </c>
      <c r="I45" t="s">
        <v>8922</v>
      </c>
      <c r="J45">
        <v>0</v>
      </c>
    </row>
    <row r="46" spans="1:10" x14ac:dyDescent="0.25">
      <c r="A46" t="s">
        <v>8863</v>
      </c>
      <c r="C46" t="s">
        <v>8864</v>
      </c>
      <c r="D46" t="s">
        <v>8923</v>
      </c>
      <c r="E46" t="s">
        <v>8909</v>
      </c>
      <c r="F46" s="1">
        <v>46118</v>
      </c>
      <c r="G46" t="str">
        <f>"102444"</f>
        <v>102444</v>
      </c>
      <c r="H46" t="s">
        <v>2333</v>
      </c>
      <c r="I46" t="s">
        <v>8904</v>
      </c>
      <c r="J46">
        <v>3024</v>
      </c>
    </row>
    <row r="47" spans="1:10" x14ac:dyDescent="0.25">
      <c r="A47" t="s">
        <v>8863</v>
      </c>
      <c r="C47" t="s">
        <v>8864</v>
      </c>
      <c r="D47" t="s">
        <v>8924</v>
      </c>
      <c r="E47" t="s">
        <v>8925</v>
      </c>
      <c r="F47" s="1">
        <v>46119</v>
      </c>
      <c r="G47" t="str">
        <f>"102608"</f>
        <v>102608</v>
      </c>
      <c r="H47" t="s">
        <v>2462</v>
      </c>
      <c r="I47" t="s">
        <v>8904</v>
      </c>
      <c r="J47">
        <v>383998.98</v>
      </c>
    </row>
    <row r="48" spans="1:10" x14ac:dyDescent="0.25">
      <c r="A48" t="s">
        <v>8863</v>
      </c>
      <c r="C48" t="s">
        <v>8864</v>
      </c>
      <c r="D48" t="s">
        <v>8926</v>
      </c>
      <c r="E48" t="s">
        <v>8909</v>
      </c>
      <c r="F48" s="1">
        <v>46119</v>
      </c>
      <c r="G48" t="str">
        <f>"102935"</f>
        <v>102935</v>
      </c>
      <c r="H48" t="s">
        <v>2785</v>
      </c>
      <c r="I48" t="s">
        <v>8904</v>
      </c>
      <c r="J48">
        <v>9192</v>
      </c>
    </row>
    <row r="49" spans="1:10" x14ac:dyDescent="0.25">
      <c r="A49" t="s">
        <v>8863</v>
      </c>
      <c r="C49" t="s">
        <v>8864</v>
      </c>
      <c r="D49" t="s">
        <v>8927</v>
      </c>
      <c r="E49" t="s">
        <v>8909</v>
      </c>
      <c r="F49" s="1">
        <v>46119</v>
      </c>
      <c r="G49" t="str">
        <f>"102935"</f>
        <v>102935</v>
      </c>
      <c r="H49" t="s">
        <v>2785</v>
      </c>
      <c r="I49" t="s">
        <v>8904</v>
      </c>
      <c r="J49">
        <v>47283.4</v>
      </c>
    </row>
    <row r="50" spans="1:10" x14ac:dyDescent="0.25">
      <c r="A50" t="s">
        <v>8863</v>
      </c>
      <c r="C50" t="s">
        <v>8864</v>
      </c>
      <c r="D50" t="s">
        <v>8928</v>
      </c>
      <c r="E50" t="s">
        <v>8921</v>
      </c>
      <c r="F50" s="1">
        <v>46120</v>
      </c>
      <c r="G50" t="str">
        <f>"100527"</f>
        <v>100527</v>
      </c>
      <c r="H50" t="s">
        <v>526</v>
      </c>
      <c r="I50" t="s">
        <v>8922</v>
      </c>
      <c r="J50">
        <v>0</v>
      </c>
    </row>
    <row r="51" spans="1:10" x14ac:dyDescent="0.25">
      <c r="A51" t="s">
        <v>8863</v>
      </c>
      <c r="C51" t="s">
        <v>8864</v>
      </c>
      <c r="D51" t="s">
        <v>8929</v>
      </c>
      <c r="E51" t="s">
        <v>8909</v>
      </c>
      <c r="F51" s="1">
        <v>46120</v>
      </c>
      <c r="G51" t="str">
        <f>"102018"</f>
        <v>102018</v>
      </c>
      <c r="H51" t="s">
        <v>2014</v>
      </c>
      <c r="I51" t="s">
        <v>8904</v>
      </c>
      <c r="J51">
        <v>177170</v>
      </c>
    </row>
    <row r="52" spans="1:10" x14ac:dyDescent="0.25">
      <c r="A52" t="s">
        <v>8863</v>
      </c>
      <c r="C52" t="s">
        <v>8901</v>
      </c>
      <c r="D52" t="s">
        <v>8930</v>
      </c>
      <c r="E52" t="s">
        <v>8909</v>
      </c>
      <c r="F52" s="1">
        <v>46120</v>
      </c>
      <c r="G52" t="str">
        <f>"102169"</f>
        <v>102169</v>
      </c>
      <c r="H52" t="s">
        <v>2161</v>
      </c>
      <c r="I52" t="s">
        <v>8904</v>
      </c>
      <c r="J52">
        <v>4781</v>
      </c>
    </row>
    <row r="53" spans="1:10" x14ac:dyDescent="0.25">
      <c r="A53" t="s">
        <v>8863</v>
      </c>
      <c r="C53" t="s">
        <v>8864</v>
      </c>
      <c r="D53" t="s">
        <v>8931</v>
      </c>
      <c r="E53" t="s">
        <v>8909</v>
      </c>
      <c r="F53" s="1">
        <v>46120</v>
      </c>
      <c r="G53" t="str">
        <f>"102899"</f>
        <v>102899</v>
      </c>
      <c r="H53" t="s">
        <v>2749</v>
      </c>
      <c r="I53" t="s">
        <v>8904</v>
      </c>
      <c r="J53">
        <v>1063.5</v>
      </c>
    </row>
    <row r="54" spans="1:10" x14ac:dyDescent="0.25">
      <c r="A54" t="s">
        <v>8863</v>
      </c>
      <c r="C54" t="s">
        <v>8864</v>
      </c>
      <c r="D54" t="s">
        <v>8932</v>
      </c>
      <c r="E54" t="s">
        <v>8933</v>
      </c>
      <c r="F54" s="1">
        <v>46120</v>
      </c>
      <c r="G54" t="str">
        <f>"102935"</f>
        <v>102935</v>
      </c>
      <c r="H54" t="s">
        <v>2785</v>
      </c>
      <c r="I54" t="s">
        <v>8904</v>
      </c>
      <c r="J54">
        <v>36960</v>
      </c>
    </row>
    <row r="55" spans="1:10" x14ac:dyDescent="0.25">
      <c r="A55" t="s">
        <v>8863</v>
      </c>
      <c r="C55" t="s">
        <v>8864</v>
      </c>
      <c r="D55" t="s">
        <v>8934</v>
      </c>
      <c r="E55" t="s">
        <v>8909</v>
      </c>
      <c r="F55" s="1">
        <v>46121</v>
      </c>
      <c r="G55" t="str">
        <f>"1002873"</f>
        <v>1002873</v>
      </c>
      <c r="H55" t="s">
        <v>286</v>
      </c>
      <c r="I55" t="s">
        <v>8904</v>
      </c>
      <c r="J55">
        <v>1209.5999999999999</v>
      </c>
    </row>
    <row r="56" spans="1:10" x14ac:dyDescent="0.25">
      <c r="A56" t="s">
        <v>8863</v>
      </c>
      <c r="C56" t="s">
        <v>8864</v>
      </c>
      <c r="D56" t="s">
        <v>8935</v>
      </c>
      <c r="E56" t="s">
        <v>8907</v>
      </c>
      <c r="F56" s="1">
        <v>46121</v>
      </c>
      <c r="G56" t="str">
        <f>"102180"</f>
        <v>102180</v>
      </c>
      <c r="H56" t="s">
        <v>2172</v>
      </c>
      <c r="I56" t="s">
        <v>8904</v>
      </c>
      <c r="J56">
        <v>383234.4</v>
      </c>
    </row>
    <row r="57" spans="1:10" x14ac:dyDescent="0.25">
      <c r="A57" t="s">
        <v>8863</v>
      </c>
      <c r="C57" t="s">
        <v>8864</v>
      </c>
      <c r="D57" t="s">
        <v>8936</v>
      </c>
      <c r="E57" t="s">
        <v>8909</v>
      </c>
      <c r="F57" s="1">
        <v>46121</v>
      </c>
      <c r="G57" t="str">
        <f>"102526"</f>
        <v>102526</v>
      </c>
      <c r="H57" t="s">
        <v>2415</v>
      </c>
      <c r="I57" t="s">
        <v>8904</v>
      </c>
      <c r="J57">
        <v>1880</v>
      </c>
    </row>
    <row r="58" spans="1:10" x14ac:dyDescent="0.25">
      <c r="A58" t="s">
        <v>8863</v>
      </c>
      <c r="C58" t="s">
        <v>8864</v>
      </c>
      <c r="D58" t="s">
        <v>8937</v>
      </c>
      <c r="E58" t="s">
        <v>8909</v>
      </c>
      <c r="F58" s="1">
        <v>46121</v>
      </c>
      <c r="G58" t="str">
        <f>"102592"</f>
        <v>102592</v>
      </c>
      <c r="H58" t="s">
        <v>2446</v>
      </c>
      <c r="I58" t="s">
        <v>8904</v>
      </c>
      <c r="J58">
        <v>404103.6</v>
      </c>
    </row>
    <row r="59" spans="1:10" x14ac:dyDescent="0.25">
      <c r="A59" t="s">
        <v>8863</v>
      </c>
      <c r="C59" t="s">
        <v>8864</v>
      </c>
      <c r="D59" t="s">
        <v>8938</v>
      </c>
      <c r="E59" t="s">
        <v>8909</v>
      </c>
      <c r="F59" s="1">
        <v>46121</v>
      </c>
      <c r="G59" t="str">
        <f>"102798"</f>
        <v>102798</v>
      </c>
      <c r="H59" t="s">
        <v>2648</v>
      </c>
      <c r="I59" t="s">
        <v>8904</v>
      </c>
      <c r="J59">
        <v>15156</v>
      </c>
    </row>
    <row r="60" spans="1:10" x14ac:dyDescent="0.25">
      <c r="A60" t="s">
        <v>8863</v>
      </c>
      <c r="C60" t="s">
        <v>8864</v>
      </c>
      <c r="D60" t="s">
        <v>8939</v>
      </c>
      <c r="E60" t="s">
        <v>8909</v>
      </c>
      <c r="F60" s="1">
        <v>46122</v>
      </c>
      <c r="G60" t="str">
        <f>"100527"</f>
        <v>100527</v>
      </c>
      <c r="H60" t="s">
        <v>526</v>
      </c>
      <c r="I60" t="s">
        <v>8904</v>
      </c>
      <c r="J60">
        <v>1209.5999999999999</v>
      </c>
    </row>
    <row r="61" spans="1:10" x14ac:dyDescent="0.25">
      <c r="A61" t="s">
        <v>8863</v>
      </c>
      <c r="C61" t="s">
        <v>8864</v>
      </c>
      <c r="D61" t="s">
        <v>8940</v>
      </c>
      <c r="E61" t="s">
        <v>8909</v>
      </c>
      <c r="F61" s="1">
        <v>46122</v>
      </c>
      <c r="G61" t="str">
        <f>"100527"</f>
        <v>100527</v>
      </c>
      <c r="H61" t="s">
        <v>526</v>
      </c>
      <c r="I61" t="s">
        <v>8904</v>
      </c>
      <c r="J61">
        <v>1389.8</v>
      </c>
    </row>
    <row r="62" spans="1:10" x14ac:dyDescent="0.25">
      <c r="A62" t="s">
        <v>8863</v>
      </c>
      <c r="C62" t="s">
        <v>8864</v>
      </c>
      <c r="D62" t="s">
        <v>8941</v>
      </c>
      <c r="E62" t="s">
        <v>8909</v>
      </c>
      <c r="F62" s="1">
        <v>46122</v>
      </c>
      <c r="G62" t="str">
        <f>"102275"</f>
        <v>102275</v>
      </c>
      <c r="H62" t="s">
        <v>2269</v>
      </c>
      <c r="I62" t="s">
        <v>8904</v>
      </c>
      <c r="J62">
        <v>96552</v>
      </c>
    </row>
    <row r="63" spans="1:10" x14ac:dyDescent="0.25">
      <c r="A63" t="s">
        <v>8863</v>
      </c>
      <c r="C63" t="s">
        <v>8864</v>
      </c>
      <c r="D63" t="s">
        <v>8942</v>
      </c>
      <c r="E63" t="s">
        <v>8909</v>
      </c>
      <c r="F63" s="1">
        <v>46122</v>
      </c>
      <c r="G63" t="str">
        <f>"102714"</f>
        <v>102714</v>
      </c>
      <c r="H63" t="s">
        <v>2564</v>
      </c>
      <c r="I63" t="s">
        <v>8904</v>
      </c>
      <c r="J63">
        <v>8064</v>
      </c>
    </row>
    <row r="64" spans="1:10" x14ac:dyDescent="0.25">
      <c r="A64" t="s">
        <v>8863</v>
      </c>
      <c r="C64" t="s">
        <v>8864</v>
      </c>
      <c r="D64" t="s">
        <v>8943</v>
      </c>
      <c r="E64" t="s">
        <v>8909</v>
      </c>
      <c r="F64" s="1">
        <v>46122</v>
      </c>
      <c r="G64" t="str">
        <f>"102714"</f>
        <v>102714</v>
      </c>
      <c r="H64" t="s">
        <v>2564</v>
      </c>
      <c r="I64" t="s">
        <v>8904</v>
      </c>
      <c r="J64">
        <v>8064</v>
      </c>
    </row>
    <row r="65" spans="1:10" x14ac:dyDescent="0.25">
      <c r="A65" t="s">
        <v>8863</v>
      </c>
      <c r="C65" t="s">
        <v>8864</v>
      </c>
      <c r="D65" t="s">
        <v>8944</v>
      </c>
      <c r="E65" t="s">
        <v>8909</v>
      </c>
      <c r="F65" s="1">
        <v>46122</v>
      </c>
      <c r="G65" t="str">
        <f>"102714"</f>
        <v>102714</v>
      </c>
      <c r="H65" t="s">
        <v>2564</v>
      </c>
      <c r="I65" t="s">
        <v>8904</v>
      </c>
      <c r="J65">
        <v>8064</v>
      </c>
    </row>
    <row r="66" spans="1:10" x14ac:dyDescent="0.25">
      <c r="A66" t="s">
        <v>8863</v>
      </c>
      <c r="C66" t="s">
        <v>8864</v>
      </c>
      <c r="D66" t="s">
        <v>8945</v>
      </c>
      <c r="E66" t="s">
        <v>8909</v>
      </c>
      <c r="F66" s="1">
        <v>46122</v>
      </c>
      <c r="G66" t="str">
        <f>"120401"</f>
        <v>120401</v>
      </c>
      <c r="H66" t="s">
        <v>2819</v>
      </c>
      <c r="I66" t="s">
        <v>8904</v>
      </c>
      <c r="J66">
        <v>4838.3999999999996</v>
      </c>
    </row>
    <row r="67" spans="1:10" x14ac:dyDescent="0.25">
      <c r="A67" t="s">
        <v>8863</v>
      </c>
      <c r="C67" t="s">
        <v>8864</v>
      </c>
      <c r="D67" t="s">
        <v>8946</v>
      </c>
      <c r="E67" t="s">
        <v>8909</v>
      </c>
      <c r="F67" s="1">
        <v>46122</v>
      </c>
      <c r="G67" t="str">
        <f>"120401"</f>
        <v>120401</v>
      </c>
      <c r="H67" t="s">
        <v>2819</v>
      </c>
      <c r="I67" t="s">
        <v>8904</v>
      </c>
      <c r="J67">
        <v>4838.3999999999996</v>
      </c>
    </row>
    <row r="68" spans="1:10" x14ac:dyDescent="0.25">
      <c r="A68" t="s">
        <v>8863</v>
      </c>
      <c r="C68" t="s">
        <v>8864</v>
      </c>
      <c r="D68" t="s">
        <v>8947</v>
      </c>
      <c r="E68" t="s">
        <v>8909</v>
      </c>
      <c r="F68" s="1">
        <v>46123</v>
      </c>
      <c r="G68" t="str">
        <f>"100527"</f>
        <v>100527</v>
      </c>
      <c r="H68" t="s">
        <v>526</v>
      </c>
      <c r="I68" t="s">
        <v>8904</v>
      </c>
      <c r="J68">
        <v>2419.1999999999998</v>
      </c>
    </row>
    <row r="69" spans="1:10" x14ac:dyDescent="0.25">
      <c r="A69" t="s">
        <v>8863</v>
      </c>
      <c r="C69" t="s">
        <v>8864</v>
      </c>
      <c r="D69" t="s">
        <v>8948</v>
      </c>
      <c r="E69" t="s">
        <v>8909</v>
      </c>
      <c r="F69" s="1">
        <v>46123</v>
      </c>
      <c r="G69" t="str">
        <f>"102893"</f>
        <v>102893</v>
      </c>
      <c r="H69" t="s">
        <v>2742</v>
      </c>
      <c r="I69" t="s">
        <v>8904</v>
      </c>
      <c r="J69">
        <v>1814.4</v>
      </c>
    </row>
    <row r="70" spans="1:10" x14ac:dyDescent="0.25">
      <c r="A70" t="s">
        <v>8863</v>
      </c>
      <c r="C70" t="s">
        <v>8864</v>
      </c>
      <c r="D70" t="s">
        <v>8949</v>
      </c>
      <c r="E70" t="s">
        <v>8909</v>
      </c>
      <c r="F70" s="1">
        <v>46125</v>
      </c>
      <c r="G70" t="str">
        <f>"102444"</f>
        <v>102444</v>
      </c>
      <c r="H70" t="s">
        <v>2333</v>
      </c>
      <c r="I70" t="s">
        <v>8904</v>
      </c>
      <c r="J70">
        <v>3024</v>
      </c>
    </row>
    <row r="71" spans="1:10" x14ac:dyDescent="0.25">
      <c r="A71" t="s">
        <v>8863</v>
      </c>
      <c r="C71" t="s">
        <v>8864</v>
      </c>
      <c r="D71" t="s">
        <v>8950</v>
      </c>
      <c r="E71" t="s">
        <v>8909</v>
      </c>
      <c r="F71" s="1">
        <v>46125</v>
      </c>
      <c r="G71" t="str">
        <f>"102595"</f>
        <v>102595</v>
      </c>
      <c r="H71" t="s">
        <v>2449</v>
      </c>
      <c r="I71" t="s">
        <v>8904</v>
      </c>
      <c r="J71">
        <v>1814.4</v>
      </c>
    </row>
    <row r="72" spans="1:10" x14ac:dyDescent="0.25">
      <c r="A72" t="s">
        <v>8863</v>
      </c>
      <c r="C72" t="s">
        <v>8864</v>
      </c>
      <c r="D72" t="s">
        <v>8951</v>
      </c>
      <c r="E72" t="s">
        <v>8909</v>
      </c>
      <c r="F72" s="1">
        <v>46125</v>
      </c>
      <c r="G72" t="str">
        <f>"102681"</f>
        <v>102681</v>
      </c>
      <c r="H72" t="s">
        <v>2535</v>
      </c>
      <c r="I72" t="s">
        <v>8904</v>
      </c>
      <c r="J72">
        <v>4080</v>
      </c>
    </row>
    <row r="73" spans="1:10" x14ac:dyDescent="0.25">
      <c r="A73" t="s">
        <v>8863</v>
      </c>
      <c r="C73" t="s">
        <v>8864</v>
      </c>
      <c r="D73" t="s">
        <v>8952</v>
      </c>
      <c r="E73" t="s">
        <v>8909</v>
      </c>
      <c r="F73" s="1">
        <v>46125</v>
      </c>
      <c r="G73" t="str">
        <f>"102752"</f>
        <v>102752</v>
      </c>
      <c r="H73" t="s">
        <v>2602</v>
      </c>
      <c r="I73" t="s">
        <v>8904</v>
      </c>
      <c r="J73">
        <v>200032</v>
      </c>
    </row>
    <row r="74" spans="1:10" x14ac:dyDescent="0.25">
      <c r="A74" t="s">
        <v>8863</v>
      </c>
      <c r="C74" t="s">
        <v>8864</v>
      </c>
      <c r="D74" t="s">
        <v>8953</v>
      </c>
      <c r="E74" t="s">
        <v>8909</v>
      </c>
      <c r="F74" s="1">
        <v>46125</v>
      </c>
      <c r="G74" t="str">
        <f>"102765"</f>
        <v>102765</v>
      </c>
      <c r="H74" t="s">
        <v>2615</v>
      </c>
      <c r="I74" t="s">
        <v>8904</v>
      </c>
      <c r="J74">
        <v>834</v>
      </c>
    </row>
    <row r="75" spans="1:10" x14ac:dyDescent="0.25">
      <c r="A75" t="s">
        <v>8863</v>
      </c>
      <c r="C75" t="s">
        <v>8864</v>
      </c>
      <c r="D75" t="s">
        <v>8954</v>
      </c>
      <c r="E75" t="s">
        <v>8909</v>
      </c>
      <c r="F75" s="1">
        <v>46125</v>
      </c>
      <c r="G75" t="str">
        <f>"120401"</f>
        <v>120401</v>
      </c>
      <c r="H75" t="s">
        <v>2819</v>
      </c>
      <c r="I75" t="s">
        <v>8904</v>
      </c>
      <c r="J75">
        <v>3628.8</v>
      </c>
    </row>
    <row r="76" spans="1:10" x14ac:dyDescent="0.25">
      <c r="A76" t="s">
        <v>8863</v>
      </c>
      <c r="C76" t="s">
        <v>8864</v>
      </c>
      <c r="D76" t="s">
        <v>8955</v>
      </c>
      <c r="E76" t="s">
        <v>8909</v>
      </c>
      <c r="F76" s="1">
        <v>46126</v>
      </c>
      <c r="G76" t="str">
        <f>"1002873"</f>
        <v>1002873</v>
      </c>
      <c r="H76" t="s">
        <v>286</v>
      </c>
      <c r="I76" t="s">
        <v>8904</v>
      </c>
      <c r="J76">
        <v>6048</v>
      </c>
    </row>
    <row r="77" spans="1:10" x14ac:dyDescent="0.25">
      <c r="A77" t="s">
        <v>8863</v>
      </c>
      <c r="C77" t="s">
        <v>8864</v>
      </c>
      <c r="D77" t="s">
        <v>8956</v>
      </c>
      <c r="E77" t="s">
        <v>8909</v>
      </c>
      <c r="F77" s="1">
        <v>46126</v>
      </c>
      <c r="G77" t="str">
        <f>"1002873"</f>
        <v>1002873</v>
      </c>
      <c r="H77" t="s">
        <v>286</v>
      </c>
      <c r="I77" t="s">
        <v>8904</v>
      </c>
      <c r="J77">
        <v>6048</v>
      </c>
    </row>
    <row r="78" spans="1:10" x14ac:dyDescent="0.25">
      <c r="A78" t="s">
        <v>8863</v>
      </c>
      <c r="C78" t="s">
        <v>8864</v>
      </c>
      <c r="D78" t="s">
        <v>8957</v>
      </c>
      <c r="E78" t="s">
        <v>8909</v>
      </c>
      <c r="F78" s="1">
        <v>46126</v>
      </c>
      <c r="G78" t="str">
        <f>"100296"</f>
        <v>100296</v>
      </c>
      <c r="H78" t="s">
        <v>295</v>
      </c>
      <c r="I78" t="s">
        <v>8904</v>
      </c>
      <c r="J78">
        <v>12600</v>
      </c>
    </row>
    <row r="79" spans="1:10" x14ac:dyDescent="0.25">
      <c r="A79" t="s">
        <v>8863</v>
      </c>
      <c r="C79" t="s">
        <v>8864</v>
      </c>
      <c r="D79" t="s">
        <v>8958</v>
      </c>
      <c r="E79" t="s">
        <v>8909</v>
      </c>
      <c r="F79" s="1">
        <v>46126</v>
      </c>
      <c r="G79" t="str">
        <f>"102066"</f>
        <v>102066</v>
      </c>
      <c r="H79" t="s">
        <v>2061</v>
      </c>
      <c r="I79" t="s">
        <v>8904</v>
      </c>
      <c r="J79">
        <v>1791.3</v>
      </c>
    </row>
    <row r="80" spans="1:10" x14ac:dyDescent="0.25">
      <c r="A80" t="s">
        <v>8863</v>
      </c>
      <c r="C80" t="s">
        <v>8864</v>
      </c>
      <c r="D80" t="s">
        <v>8959</v>
      </c>
      <c r="E80" t="s">
        <v>8909</v>
      </c>
      <c r="F80" s="1">
        <v>46126</v>
      </c>
      <c r="G80" t="str">
        <f>"102275"</f>
        <v>102275</v>
      </c>
      <c r="H80" t="s">
        <v>2269</v>
      </c>
      <c r="I80" t="s">
        <v>8904</v>
      </c>
      <c r="J80">
        <v>11880</v>
      </c>
    </row>
    <row r="81" spans="1:10" x14ac:dyDescent="0.25">
      <c r="A81" t="s">
        <v>8863</v>
      </c>
      <c r="C81" t="s">
        <v>8864</v>
      </c>
      <c r="D81" t="s">
        <v>8960</v>
      </c>
      <c r="E81" t="s">
        <v>8907</v>
      </c>
      <c r="F81" s="1">
        <v>46126</v>
      </c>
      <c r="G81" t="str">
        <f>"120318"</f>
        <v>120318</v>
      </c>
      <c r="H81" t="s">
        <v>2793</v>
      </c>
      <c r="I81" t="s">
        <v>8904</v>
      </c>
      <c r="J81">
        <v>385131.6</v>
      </c>
    </row>
    <row r="82" spans="1:10" x14ac:dyDescent="0.25">
      <c r="A82" t="s">
        <v>8863</v>
      </c>
      <c r="C82" t="s">
        <v>8864</v>
      </c>
      <c r="D82" t="s">
        <v>8961</v>
      </c>
      <c r="E82" t="s">
        <v>8909</v>
      </c>
      <c r="F82" s="1">
        <v>46126</v>
      </c>
      <c r="G82" t="str">
        <f>"120401"</f>
        <v>120401</v>
      </c>
      <c r="H82" t="s">
        <v>2819</v>
      </c>
      <c r="I82" t="s">
        <v>8904</v>
      </c>
      <c r="J82">
        <v>3628.8</v>
      </c>
    </row>
    <row r="83" spans="1:10" x14ac:dyDescent="0.25">
      <c r="A83" t="s">
        <v>8863</v>
      </c>
      <c r="C83" t="s">
        <v>8864</v>
      </c>
      <c r="D83" t="s">
        <v>8962</v>
      </c>
      <c r="E83" t="s">
        <v>8909</v>
      </c>
      <c r="F83" s="1">
        <v>46127</v>
      </c>
      <c r="G83" t="str">
        <f>"100274"</f>
        <v>100274</v>
      </c>
      <c r="H83" t="s">
        <v>272</v>
      </c>
      <c r="I83" t="s">
        <v>8904</v>
      </c>
      <c r="J83">
        <v>28004.16</v>
      </c>
    </row>
    <row r="84" spans="1:10" x14ac:dyDescent="0.25">
      <c r="A84" t="s">
        <v>8863</v>
      </c>
      <c r="C84" t="s">
        <v>8864</v>
      </c>
      <c r="D84" t="s">
        <v>8963</v>
      </c>
      <c r="E84" t="s">
        <v>8909</v>
      </c>
      <c r="F84" s="1">
        <v>46127</v>
      </c>
      <c r="G84" t="str">
        <f>"102632"</f>
        <v>102632</v>
      </c>
      <c r="H84" t="s">
        <v>2486</v>
      </c>
      <c r="I84" t="s">
        <v>8904</v>
      </c>
      <c r="J84">
        <v>28080</v>
      </c>
    </row>
    <row r="85" spans="1:10" x14ac:dyDescent="0.25">
      <c r="A85" t="s">
        <v>8863</v>
      </c>
      <c r="C85" t="s">
        <v>8864</v>
      </c>
      <c r="D85" t="s">
        <v>8964</v>
      </c>
      <c r="E85" t="s">
        <v>8909</v>
      </c>
      <c r="F85" s="1">
        <v>46127</v>
      </c>
      <c r="G85" t="str">
        <f>"102913"</f>
        <v>102913</v>
      </c>
      <c r="H85" t="s">
        <v>2763</v>
      </c>
      <c r="I85" t="s">
        <v>8904</v>
      </c>
      <c r="J85">
        <v>383234.4</v>
      </c>
    </row>
    <row r="86" spans="1:10" x14ac:dyDescent="0.25">
      <c r="A86" t="s">
        <v>8863</v>
      </c>
      <c r="C86" t="s">
        <v>8864</v>
      </c>
      <c r="D86" t="s">
        <v>8965</v>
      </c>
      <c r="E86" t="s">
        <v>8909</v>
      </c>
      <c r="F86" s="1">
        <v>46127</v>
      </c>
      <c r="G86" t="str">
        <f>"102935"</f>
        <v>102935</v>
      </c>
      <c r="H86" t="s">
        <v>2785</v>
      </c>
      <c r="I86" t="s">
        <v>8904</v>
      </c>
      <c r="J86">
        <v>30180</v>
      </c>
    </row>
    <row r="87" spans="1:10" x14ac:dyDescent="0.25">
      <c r="A87" t="s">
        <v>8863</v>
      </c>
      <c r="C87" t="s">
        <v>8864</v>
      </c>
      <c r="D87" t="s">
        <v>8966</v>
      </c>
      <c r="E87" t="s">
        <v>8967</v>
      </c>
      <c r="F87" s="1">
        <v>46128</v>
      </c>
      <c r="G87" t="str">
        <f>"100099"</f>
        <v>100099</v>
      </c>
      <c r="H87" t="s">
        <v>100</v>
      </c>
      <c r="I87" t="s">
        <v>8904</v>
      </c>
      <c r="J87">
        <v>60000</v>
      </c>
    </row>
    <row r="88" spans="1:10" x14ac:dyDescent="0.25">
      <c r="A88" t="s">
        <v>8863</v>
      </c>
      <c r="C88" t="s">
        <v>8864</v>
      </c>
      <c r="D88" t="s">
        <v>8968</v>
      </c>
      <c r="E88" t="s">
        <v>8969</v>
      </c>
      <c r="F88" s="1">
        <v>46128</v>
      </c>
      <c r="G88" t="str">
        <f>"102740"</f>
        <v>102740</v>
      </c>
      <c r="H88" t="s">
        <v>2590</v>
      </c>
      <c r="I88" t="s">
        <v>8904</v>
      </c>
      <c r="J88">
        <v>396514.8</v>
      </c>
    </row>
    <row r="89" spans="1:10" x14ac:dyDescent="0.25">
      <c r="A89" t="s">
        <v>8863</v>
      </c>
      <c r="C89" t="s">
        <v>8864</v>
      </c>
      <c r="D89" t="s">
        <v>8970</v>
      </c>
      <c r="E89" t="s">
        <v>8909</v>
      </c>
      <c r="F89" s="1">
        <v>46128</v>
      </c>
      <c r="G89" t="str">
        <f>"102930"</f>
        <v>102930</v>
      </c>
      <c r="H89" t="s">
        <v>2780</v>
      </c>
      <c r="I89" t="s">
        <v>8904</v>
      </c>
      <c r="J89">
        <v>9619.2000000000007</v>
      </c>
    </row>
    <row r="90" spans="1:10" x14ac:dyDescent="0.25">
      <c r="A90" t="s">
        <v>8863</v>
      </c>
      <c r="C90" t="s">
        <v>8864</v>
      </c>
      <c r="D90" t="s">
        <v>8971</v>
      </c>
      <c r="E90" t="s">
        <v>8909</v>
      </c>
      <c r="F90" s="1">
        <v>46128</v>
      </c>
      <c r="G90" t="str">
        <f>"120401"</f>
        <v>120401</v>
      </c>
      <c r="H90" t="s">
        <v>2819</v>
      </c>
      <c r="I90" t="s">
        <v>8904</v>
      </c>
      <c r="J90">
        <v>6048</v>
      </c>
    </row>
    <row r="91" spans="1:10" x14ac:dyDescent="0.25">
      <c r="A91" t="s">
        <v>8863</v>
      </c>
      <c r="C91" t="s">
        <v>8864</v>
      </c>
      <c r="D91" t="s">
        <v>8972</v>
      </c>
      <c r="E91" t="s">
        <v>8909</v>
      </c>
      <c r="F91" s="1">
        <v>46129</v>
      </c>
      <c r="G91" t="str">
        <f>"100097"</f>
        <v>100097</v>
      </c>
      <c r="H91" t="s">
        <v>98</v>
      </c>
      <c r="I91" t="s">
        <v>8904</v>
      </c>
      <c r="J91">
        <v>1389.8</v>
      </c>
    </row>
    <row r="92" spans="1:10" x14ac:dyDescent="0.25">
      <c r="A92" t="s">
        <v>8863</v>
      </c>
      <c r="C92" t="s">
        <v>8864</v>
      </c>
      <c r="D92" t="s">
        <v>8973</v>
      </c>
      <c r="E92" t="s">
        <v>8909</v>
      </c>
      <c r="F92" s="1">
        <v>46129</v>
      </c>
      <c r="G92" t="str">
        <f>"1002873"</f>
        <v>1002873</v>
      </c>
      <c r="H92" t="s">
        <v>286</v>
      </c>
      <c r="I92" t="s">
        <v>8904</v>
      </c>
      <c r="J92">
        <v>2419.1999999999998</v>
      </c>
    </row>
    <row r="93" spans="1:10" x14ac:dyDescent="0.25">
      <c r="A93" t="s">
        <v>8863</v>
      </c>
      <c r="C93" t="s">
        <v>8864</v>
      </c>
      <c r="D93" t="s">
        <v>8974</v>
      </c>
      <c r="E93" t="s">
        <v>8909</v>
      </c>
      <c r="F93" s="1">
        <v>46129</v>
      </c>
      <c r="G93" t="str">
        <f>"100527"</f>
        <v>100527</v>
      </c>
      <c r="H93" t="s">
        <v>526</v>
      </c>
      <c r="I93" t="s">
        <v>8904</v>
      </c>
      <c r="J93">
        <v>2419.1999999999998</v>
      </c>
    </row>
    <row r="94" spans="1:10" x14ac:dyDescent="0.25">
      <c r="A94" t="s">
        <v>8863</v>
      </c>
      <c r="C94" t="s">
        <v>8864</v>
      </c>
      <c r="D94" t="s">
        <v>8975</v>
      </c>
      <c r="E94" t="s">
        <v>8909</v>
      </c>
      <c r="F94" s="1">
        <v>46129</v>
      </c>
      <c r="G94" t="str">
        <f>"102592"</f>
        <v>102592</v>
      </c>
      <c r="H94" t="s">
        <v>2446</v>
      </c>
      <c r="I94" t="s">
        <v>8904</v>
      </c>
      <c r="J94">
        <v>416302.59600000002</v>
      </c>
    </row>
    <row r="95" spans="1:10" x14ac:dyDescent="0.25">
      <c r="A95" t="s">
        <v>8863</v>
      </c>
      <c r="C95" t="s">
        <v>8864</v>
      </c>
      <c r="D95" t="s">
        <v>8976</v>
      </c>
      <c r="E95" t="s">
        <v>8909</v>
      </c>
      <c r="F95" s="1">
        <v>46129</v>
      </c>
      <c r="G95" t="str">
        <f>"102832"</f>
        <v>102832</v>
      </c>
      <c r="H95" t="s">
        <v>2682</v>
      </c>
      <c r="I95" t="s">
        <v>8904</v>
      </c>
      <c r="J95">
        <v>181361.16</v>
      </c>
    </row>
    <row r="96" spans="1:10" x14ac:dyDescent="0.25">
      <c r="A96" t="s">
        <v>8863</v>
      </c>
      <c r="C96" t="s">
        <v>8864</v>
      </c>
      <c r="D96" t="s">
        <v>8977</v>
      </c>
      <c r="E96" t="s">
        <v>8909</v>
      </c>
      <c r="F96" s="1">
        <v>46132</v>
      </c>
      <c r="G96" t="str">
        <f>"100094"</f>
        <v>100094</v>
      </c>
      <c r="H96" t="s">
        <v>95</v>
      </c>
      <c r="I96" t="s">
        <v>8904</v>
      </c>
      <c r="J96">
        <v>8675</v>
      </c>
    </row>
    <row r="97" spans="1:10" x14ac:dyDescent="0.25">
      <c r="A97" t="s">
        <v>8863</v>
      </c>
      <c r="C97" t="s">
        <v>8864</v>
      </c>
      <c r="D97" t="s">
        <v>8978</v>
      </c>
      <c r="E97" t="s">
        <v>8909</v>
      </c>
      <c r="F97" s="1">
        <v>46132</v>
      </c>
      <c r="G97" t="str">
        <f>"1002873"</f>
        <v>1002873</v>
      </c>
      <c r="H97" t="s">
        <v>286</v>
      </c>
      <c r="I97" t="s">
        <v>8904</v>
      </c>
      <c r="J97">
        <v>3024</v>
      </c>
    </row>
    <row r="98" spans="1:10" x14ac:dyDescent="0.25">
      <c r="A98" t="s">
        <v>8863</v>
      </c>
      <c r="C98" t="s">
        <v>8864</v>
      </c>
      <c r="D98" t="s">
        <v>8979</v>
      </c>
      <c r="E98" t="s">
        <v>8909</v>
      </c>
      <c r="F98" s="1">
        <v>46132</v>
      </c>
      <c r="G98" t="str">
        <f>"100291"</f>
        <v>100291</v>
      </c>
      <c r="H98" t="s">
        <v>290</v>
      </c>
      <c r="I98" t="s">
        <v>8904</v>
      </c>
      <c r="J98">
        <v>3625.85</v>
      </c>
    </row>
    <row r="99" spans="1:10" x14ac:dyDescent="0.25">
      <c r="A99" t="s">
        <v>8863</v>
      </c>
      <c r="C99" t="s">
        <v>8864</v>
      </c>
      <c r="D99" t="s">
        <v>8980</v>
      </c>
      <c r="E99" t="s">
        <v>8909</v>
      </c>
      <c r="F99" s="1">
        <v>46132</v>
      </c>
      <c r="G99" t="str">
        <f>"100296"</f>
        <v>100296</v>
      </c>
      <c r="H99" t="s">
        <v>295</v>
      </c>
      <c r="I99" t="s">
        <v>8904</v>
      </c>
      <c r="J99">
        <v>5100</v>
      </c>
    </row>
    <row r="100" spans="1:10" x14ac:dyDescent="0.25">
      <c r="A100" t="s">
        <v>8863</v>
      </c>
      <c r="C100" t="s">
        <v>8864</v>
      </c>
      <c r="D100" t="s">
        <v>8981</v>
      </c>
      <c r="E100" t="s">
        <v>8909</v>
      </c>
      <c r="F100" s="1">
        <v>46132</v>
      </c>
      <c r="G100" t="str">
        <f>"100527"</f>
        <v>100527</v>
      </c>
      <c r="H100" t="s">
        <v>526</v>
      </c>
      <c r="I100" t="s">
        <v>8904</v>
      </c>
      <c r="J100">
        <v>3024</v>
      </c>
    </row>
    <row r="101" spans="1:10" x14ac:dyDescent="0.25">
      <c r="A101" t="s">
        <v>8863</v>
      </c>
      <c r="C101" t="s">
        <v>8864</v>
      </c>
      <c r="D101" t="s">
        <v>8982</v>
      </c>
      <c r="E101" t="s">
        <v>8909</v>
      </c>
      <c r="F101" s="1">
        <v>46132</v>
      </c>
      <c r="G101" t="str">
        <f>"102275"</f>
        <v>102275</v>
      </c>
      <c r="H101" t="s">
        <v>2269</v>
      </c>
      <c r="I101" t="s">
        <v>8904</v>
      </c>
      <c r="J101">
        <v>100985.95</v>
      </c>
    </row>
    <row r="102" spans="1:10" x14ac:dyDescent="0.25">
      <c r="A102" t="s">
        <v>8863</v>
      </c>
      <c r="C102" t="s">
        <v>8864</v>
      </c>
      <c r="D102" t="s">
        <v>8983</v>
      </c>
      <c r="E102" t="s">
        <v>8969</v>
      </c>
      <c r="F102" s="1">
        <v>46132</v>
      </c>
      <c r="G102" t="str">
        <f>"102914"</f>
        <v>102914</v>
      </c>
      <c r="H102" t="s">
        <v>2764</v>
      </c>
      <c r="I102" t="s">
        <v>8904</v>
      </c>
      <c r="J102">
        <v>383234.4</v>
      </c>
    </row>
    <row r="103" spans="1:10" x14ac:dyDescent="0.25">
      <c r="A103" t="s">
        <v>8863</v>
      </c>
      <c r="C103" t="s">
        <v>8864</v>
      </c>
      <c r="D103" t="s">
        <v>8984</v>
      </c>
      <c r="E103" t="s">
        <v>8985</v>
      </c>
      <c r="F103" s="1">
        <v>46132</v>
      </c>
      <c r="G103" t="str">
        <f>"120317"</f>
        <v>120317</v>
      </c>
      <c r="H103" t="s">
        <v>2792</v>
      </c>
      <c r="I103" t="s">
        <v>8904</v>
      </c>
      <c r="J103">
        <v>28000</v>
      </c>
    </row>
    <row r="104" spans="1:10" x14ac:dyDescent="0.25">
      <c r="A104" t="s">
        <v>8863</v>
      </c>
      <c r="C104" t="s">
        <v>8864</v>
      </c>
      <c r="D104" t="s">
        <v>8986</v>
      </c>
      <c r="E104" t="s">
        <v>8909</v>
      </c>
      <c r="F104" s="1">
        <v>46132</v>
      </c>
      <c r="G104" t="str">
        <f>"120388"</f>
        <v>120388</v>
      </c>
      <c r="H104" t="s">
        <v>2815</v>
      </c>
      <c r="I104" t="s">
        <v>8904</v>
      </c>
      <c r="J104">
        <v>2132.319</v>
      </c>
    </row>
    <row r="105" spans="1:10" x14ac:dyDescent="0.25">
      <c r="A105" t="s">
        <v>8863</v>
      </c>
      <c r="C105" t="s">
        <v>8864</v>
      </c>
      <c r="D105" t="s">
        <v>8987</v>
      </c>
      <c r="E105" t="s">
        <v>8909</v>
      </c>
      <c r="F105" s="1">
        <v>46133</v>
      </c>
      <c r="G105" t="str">
        <f>"100502"</f>
        <v>100502</v>
      </c>
      <c r="H105" t="s">
        <v>501</v>
      </c>
      <c r="I105" t="s">
        <v>8904</v>
      </c>
      <c r="J105">
        <v>785</v>
      </c>
    </row>
    <row r="106" spans="1:10" x14ac:dyDescent="0.25">
      <c r="A106" t="s">
        <v>8863</v>
      </c>
      <c r="C106" t="s">
        <v>8864</v>
      </c>
      <c r="D106" t="s">
        <v>8988</v>
      </c>
      <c r="E106" t="s">
        <v>8989</v>
      </c>
      <c r="F106" s="1">
        <v>46133</v>
      </c>
      <c r="G106" t="str">
        <f>"102169"</f>
        <v>102169</v>
      </c>
      <c r="H106" t="s">
        <v>2161</v>
      </c>
      <c r="I106" t="s">
        <v>8904</v>
      </c>
      <c r="J106">
        <v>7950</v>
      </c>
    </row>
    <row r="107" spans="1:10" x14ac:dyDescent="0.25">
      <c r="A107" t="s">
        <v>8863</v>
      </c>
      <c r="C107" t="s">
        <v>8864</v>
      </c>
      <c r="D107" t="s">
        <v>8990</v>
      </c>
      <c r="E107" t="s">
        <v>8909</v>
      </c>
      <c r="F107" s="1">
        <v>46133</v>
      </c>
      <c r="G107" t="str">
        <f>"102444"</f>
        <v>102444</v>
      </c>
      <c r="H107" t="s">
        <v>2333</v>
      </c>
      <c r="I107" t="s">
        <v>8904</v>
      </c>
      <c r="J107">
        <v>3024</v>
      </c>
    </row>
    <row r="108" spans="1:10" x14ac:dyDescent="0.25">
      <c r="A108" t="s">
        <v>8863</v>
      </c>
      <c r="C108" t="s">
        <v>8864</v>
      </c>
      <c r="D108" t="s">
        <v>8991</v>
      </c>
      <c r="E108" t="s">
        <v>8992</v>
      </c>
      <c r="F108" s="1">
        <v>46133</v>
      </c>
      <c r="G108" t="str">
        <f>"102860"</f>
        <v>102860</v>
      </c>
      <c r="H108" t="s">
        <v>2709</v>
      </c>
      <c r="I108" t="s">
        <v>8904</v>
      </c>
      <c r="J108">
        <v>235831.32</v>
      </c>
    </row>
    <row r="109" spans="1:10" x14ac:dyDescent="0.25">
      <c r="A109" t="s">
        <v>8863</v>
      </c>
      <c r="C109" t="s">
        <v>8864</v>
      </c>
      <c r="D109" t="s">
        <v>8993</v>
      </c>
      <c r="E109" t="s">
        <v>8909</v>
      </c>
      <c r="F109" s="1">
        <v>46134</v>
      </c>
      <c r="G109" t="str">
        <f>"101581"</f>
        <v>101581</v>
      </c>
      <c r="H109" t="s">
        <v>1577</v>
      </c>
      <c r="I109" t="s">
        <v>8904</v>
      </c>
      <c r="J109">
        <v>1276.2</v>
      </c>
    </row>
    <row r="110" spans="1:10" x14ac:dyDescent="0.25">
      <c r="A110" t="s">
        <v>8863</v>
      </c>
      <c r="C110" t="s">
        <v>8864</v>
      </c>
      <c r="D110" t="s">
        <v>8994</v>
      </c>
      <c r="E110" t="s">
        <v>8909</v>
      </c>
      <c r="F110" s="1">
        <v>46135</v>
      </c>
      <c r="G110" t="str">
        <f>"101172"</f>
        <v>101172</v>
      </c>
      <c r="H110" t="s">
        <v>1169</v>
      </c>
      <c r="I110" t="s">
        <v>8904</v>
      </c>
      <c r="J110">
        <v>153912</v>
      </c>
    </row>
    <row r="111" spans="1:10" x14ac:dyDescent="0.25">
      <c r="A111" t="s">
        <v>8863</v>
      </c>
      <c r="C111" t="s">
        <v>8901</v>
      </c>
      <c r="D111" t="s">
        <v>8995</v>
      </c>
      <c r="E111" t="s">
        <v>8909</v>
      </c>
      <c r="F111" s="1">
        <v>46135</v>
      </c>
      <c r="G111" t="str">
        <f>"102229"</f>
        <v>102229</v>
      </c>
      <c r="H111" t="s">
        <v>2221</v>
      </c>
      <c r="I111" t="s">
        <v>8904</v>
      </c>
      <c r="J111">
        <v>3921.6</v>
      </c>
    </row>
    <row r="112" spans="1:10" x14ac:dyDescent="0.25">
      <c r="A112" t="s">
        <v>8863</v>
      </c>
      <c r="C112" t="s">
        <v>8901</v>
      </c>
      <c r="D112" t="s">
        <v>8996</v>
      </c>
      <c r="E112" t="s">
        <v>8997</v>
      </c>
      <c r="F112" s="1">
        <v>46135</v>
      </c>
      <c r="G112" t="str">
        <f>"102592"</f>
        <v>102592</v>
      </c>
      <c r="H112" t="s">
        <v>2446</v>
      </c>
      <c r="I112" t="s">
        <v>8904</v>
      </c>
      <c r="J112">
        <v>136450.53140000001</v>
      </c>
    </row>
    <row r="113" spans="1:10" x14ac:dyDescent="0.25">
      <c r="A113" t="s">
        <v>8890</v>
      </c>
      <c r="C113" t="s">
        <v>8864</v>
      </c>
      <c r="D113" t="s">
        <v>8998</v>
      </c>
      <c r="E113" t="s">
        <v>8999</v>
      </c>
      <c r="F113" s="1">
        <v>46135</v>
      </c>
      <c r="G113" t="str">
        <f>"102592"</f>
        <v>102592</v>
      </c>
      <c r="H113" t="s">
        <v>2446</v>
      </c>
      <c r="I113" t="s">
        <v>8904</v>
      </c>
      <c r="J113">
        <v>136450.53140000001</v>
      </c>
    </row>
    <row r="114" spans="1:10" x14ac:dyDescent="0.25">
      <c r="A114" t="s">
        <v>8863</v>
      </c>
      <c r="C114" t="s">
        <v>8864</v>
      </c>
      <c r="D114" t="s">
        <v>9000</v>
      </c>
      <c r="E114" t="s">
        <v>8909</v>
      </c>
      <c r="F114" s="1">
        <v>46135</v>
      </c>
      <c r="G114" t="str">
        <f>"102595"</f>
        <v>102595</v>
      </c>
      <c r="H114" t="s">
        <v>2449</v>
      </c>
      <c r="I114" t="s">
        <v>8904</v>
      </c>
      <c r="J114">
        <v>1814.4</v>
      </c>
    </row>
    <row r="115" spans="1:10" x14ac:dyDescent="0.25">
      <c r="A115" t="s">
        <v>8863</v>
      </c>
      <c r="C115" t="s">
        <v>8901</v>
      </c>
      <c r="D115" t="s">
        <v>9001</v>
      </c>
      <c r="E115" t="s">
        <v>9002</v>
      </c>
      <c r="F115" s="1">
        <v>46135</v>
      </c>
      <c r="G115" t="str">
        <f>"120317"</f>
        <v>120317</v>
      </c>
      <c r="H115" t="s">
        <v>2792</v>
      </c>
      <c r="I115" t="s">
        <v>8904</v>
      </c>
      <c r="J115">
        <v>28000</v>
      </c>
    </row>
    <row r="116" spans="1:10" x14ac:dyDescent="0.25">
      <c r="A116" t="s">
        <v>8863</v>
      </c>
      <c r="C116" t="s">
        <v>8901</v>
      </c>
      <c r="D116" t="s">
        <v>9003</v>
      </c>
      <c r="E116" t="s">
        <v>8909</v>
      </c>
      <c r="F116" s="1">
        <v>46136</v>
      </c>
      <c r="G116" t="str">
        <f>"101720"</f>
        <v>101720</v>
      </c>
      <c r="H116" t="s">
        <v>1716</v>
      </c>
      <c r="I116" t="s">
        <v>8904</v>
      </c>
      <c r="J116">
        <v>1391.2</v>
      </c>
    </row>
    <row r="117" spans="1:10" x14ac:dyDescent="0.25">
      <c r="A117" t="s">
        <v>8863</v>
      </c>
      <c r="C117" t="s">
        <v>8901</v>
      </c>
      <c r="D117" t="s">
        <v>9004</v>
      </c>
      <c r="E117" t="s">
        <v>9005</v>
      </c>
      <c r="F117" s="1">
        <v>46136</v>
      </c>
      <c r="G117" t="str">
        <f>"102592"</f>
        <v>102592</v>
      </c>
      <c r="H117" t="s">
        <v>2446</v>
      </c>
      <c r="I117" t="s">
        <v>8904</v>
      </c>
      <c r="J117">
        <v>404103.6</v>
      </c>
    </row>
    <row r="118" spans="1:10" x14ac:dyDescent="0.25">
      <c r="A118" t="s">
        <v>8863</v>
      </c>
      <c r="C118" t="s">
        <v>8901</v>
      </c>
      <c r="D118" t="s">
        <v>9006</v>
      </c>
      <c r="E118" t="s">
        <v>8909</v>
      </c>
      <c r="F118" s="1">
        <v>46136</v>
      </c>
      <c r="G118" t="str">
        <f>"102681"</f>
        <v>102681</v>
      </c>
      <c r="H118" t="s">
        <v>2535</v>
      </c>
      <c r="I118" t="s">
        <v>8904</v>
      </c>
      <c r="J118">
        <v>2232</v>
      </c>
    </row>
    <row r="119" spans="1:10" x14ac:dyDescent="0.25">
      <c r="A119" t="s">
        <v>8863</v>
      </c>
      <c r="C119" t="s">
        <v>8901</v>
      </c>
      <c r="D119" t="s">
        <v>9007</v>
      </c>
      <c r="E119" t="s">
        <v>8909</v>
      </c>
      <c r="F119" s="1">
        <v>46136</v>
      </c>
      <c r="G119" t="str">
        <f>"102798"</f>
        <v>102798</v>
      </c>
      <c r="H119" t="s">
        <v>2648</v>
      </c>
      <c r="I119" t="s">
        <v>8904</v>
      </c>
      <c r="J119">
        <v>15156</v>
      </c>
    </row>
    <row r="120" spans="1:10" x14ac:dyDescent="0.25">
      <c r="A120" t="s">
        <v>8863</v>
      </c>
      <c r="C120" t="s">
        <v>8901</v>
      </c>
      <c r="D120" t="s">
        <v>9008</v>
      </c>
      <c r="E120" t="s">
        <v>8909</v>
      </c>
      <c r="F120" s="1">
        <v>46136</v>
      </c>
      <c r="G120" t="str">
        <f>"102909"</f>
        <v>102909</v>
      </c>
      <c r="H120" t="s">
        <v>2759</v>
      </c>
      <c r="I120" t="s">
        <v>8904</v>
      </c>
      <c r="J120">
        <v>901</v>
      </c>
    </row>
    <row r="121" spans="1:10" x14ac:dyDescent="0.25">
      <c r="A121" t="s">
        <v>8863</v>
      </c>
      <c r="C121" t="s">
        <v>8901</v>
      </c>
      <c r="D121" t="s">
        <v>9009</v>
      </c>
      <c r="E121" t="s">
        <v>8909</v>
      </c>
      <c r="F121" s="1">
        <v>46136</v>
      </c>
      <c r="G121" t="str">
        <f>"120378"</f>
        <v>120378</v>
      </c>
      <c r="H121" t="s">
        <v>2805</v>
      </c>
      <c r="I121" t="s">
        <v>8904</v>
      </c>
      <c r="J121">
        <v>1470.6</v>
      </c>
    </row>
    <row r="122" spans="1:10" x14ac:dyDescent="0.25">
      <c r="A122" t="s">
        <v>8863</v>
      </c>
      <c r="C122" t="s">
        <v>8901</v>
      </c>
      <c r="D122" t="s">
        <v>9010</v>
      </c>
      <c r="E122" t="s">
        <v>8909</v>
      </c>
      <c r="F122" s="1">
        <v>46136</v>
      </c>
      <c r="G122" t="str">
        <f>"120401"</f>
        <v>120401</v>
      </c>
      <c r="H122" t="s">
        <v>2819</v>
      </c>
      <c r="I122" t="s">
        <v>8904</v>
      </c>
      <c r="J122">
        <v>3628.8</v>
      </c>
    </row>
    <row r="123" spans="1:10" x14ac:dyDescent="0.25">
      <c r="A123" t="s">
        <v>8863</v>
      </c>
      <c r="C123" t="s">
        <v>8901</v>
      </c>
      <c r="D123" t="s">
        <v>9011</v>
      </c>
      <c r="E123" t="s">
        <v>8909</v>
      </c>
      <c r="F123" s="1">
        <v>46137</v>
      </c>
      <c r="G123" t="str">
        <f>"102602"</f>
        <v>102602</v>
      </c>
      <c r="H123" t="s">
        <v>2456</v>
      </c>
      <c r="I123" t="s">
        <v>8904</v>
      </c>
      <c r="J123">
        <v>2700</v>
      </c>
    </row>
    <row r="124" spans="1:10" x14ac:dyDescent="0.25">
      <c r="A124" t="s">
        <v>8863</v>
      </c>
      <c r="C124" t="s">
        <v>8901</v>
      </c>
      <c r="D124" t="s">
        <v>9012</v>
      </c>
      <c r="E124" t="s">
        <v>9013</v>
      </c>
      <c r="F124" s="1">
        <v>46137</v>
      </c>
      <c r="G124" t="str">
        <f>"120317"</f>
        <v>120317</v>
      </c>
      <c r="H124" t="s">
        <v>2792</v>
      </c>
      <c r="I124" t="s">
        <v>8904</v>
      </c>
      <c r="J124">
        <v>1800</v>
      </c>
    </row>
    <row r="125" spans="1:10" x14ac:dyDescent="0.25">
      <c r="A125" t="s">
        <v>8863</v>
      </c>
      <c r="C125" t="s">
        <v>8901</v>
      </c>
      <c r="D125" t="s">
        <v>9014</v>
      </c>
      <c r="E125" t="s">
        <v>8909</v>
      </c>
      <c r="F125" s="1">
        <v>46139</v>
      </c>
      <c r="G125" t="str">
        <f>"100113"</f>
        <v>100113</v>
      </c>
      <c r="H125" t="s">
        <v>114</v>
      </c>
      <c r="I125" t="s">
        <v>8904</v>
      </c>
      <c r="J125">
        <v>785</v>
      </c>
    </row>
    <row r="126" spans="1:10" x14ac:dyDescent="0.25">
      <c r="A126" t="s">
        <v>8863</v>
      </c>
      <c r="C126" t="s">
        <v>8901</v>
      </c>
      <c r="D126" t="s">
        <v>9015</v>
      </c>
      <c r="E126" t="s">
        <v>8909</v>
      </c>
      <c r="F126" s="1">
        <v>46139</v>
      </c>
      <c r="G126" t="str">
        <f>"1002873"</f>
        <v>1002873</v>
      </c>
      <c r="H126" t="s">
        <v>286</v>
      </c>
      <c r="I126" t="s">
        <v>8904</v>
      </c>
      <c r="J126">
        <v>6048</v>
      </c>
    </row>
    <row r="127" spans="1:10" x14ac:dyDescent="0.25">
      <c r="A127" t="s">
        <v>8863</v>
      </c>
      <c r="C127" t="s">
        <v>8901</v>
      </c>
      <c r="D127" t="s">
        <v>9016</v>
      </c>
      <c r="E127" t="s">
        <v>8909</v>
      </c>
      <c r="F127" s="1">
        <v>46139</v>
      </c>
      <c r="G127" t="str">
        <f>"1002873"</f>
        <v>1002873</v>
      </c>
      <c r="H127" t="s">
        <v>286</v>
      </c>
      <c r="I127" t="s">
        <v>8904</v>
      </c>
      <c r="J127">
        <v>6048</v>
      </c>
    </row>
    <row r="128" spans="1:10" x14ac:dyDescent="0.25">
      <c r="A128" t="s">
        <v>8863</v>
      </c>
      <c r="C128" t="s">
        <v>8901</v>
      </c>
      <c r="D128" t="s">
        <v>9017</v>
      </c>
      <c r="E128" t="s">
        <v>8909</v>
      </c>
      <c r="F128" s="1">
        <v>46139</v>
      </c>
      <c r="G128" t="str">
        <f>"100323"</f>
        <v>100323</v>
      </c>
      <c r="H128" t="s">
        <v>322</v>
      </c>
      <c r="I128" t="s">
        <v>8904</v>
      </c>
      <c r="J128">
        <v>4655.6499999999996</v>
      </c>
    </row>
    <row r="129" spans="1:10" x14ac:dyDescent="0.25">
      <c r="A129" t="s">
        <v>8863</v>
      </c>
      <c r="C129" t="s">
        <v>8901</v>
      </c>
      <c r="D129" t="s">
        <v>9018</v>
      </c>
      <c r="E129" t="s">
        <v>8909</v>
      </c>
      <c r="F129" s="1">
        <v>46139</v>
      </c>
      <c r="G129" t="str">
        <f>"100527"</f>
        <v>100527</v>
      </c>
      <c r="H129" t="s">
        <v>526</v>
      </c>
      <c r="I129" t="s">
        <v>8904</v>
      </c>
      <c r="J129">
        <v>1814.4</v>
      </c>
    </row>
    <row r="130" spans="1:10" x14ac:dyDescent="0.25">
      <c r="A130" t="s">
        <v>8863</v>
      </c>
      <c r="C130" t="s">
        <v>8901</v>
      </c>
      <c r="D130" t="s">
        <v>9019</v>
      </c>
      <c r="E130" t="s">
        <v>8909</v>
      </c>
      <c r="F130" s="1">
        <v>46139</v>
      </c>
      <c r="G130" t="str">
        <f>"102444"</f>
        <v>102444</v>
      </c>
      <c r="H130" t="s">
        <v>2333</v>
      </c>
      <c r="I130" t="s">
        <v>8904</v>
      </c>
      <c r="J130">
        <v>6048</v>
      </c>
    </row>
    <row r="131" spans="1:10" x14ac:dyDescent="0.25">
      <c r="A131" t="s">
        <v>8863</v>
      </c>
      <c r="C131" t="s">
        <v>8901</v>
      </c>
      <c r="D131" t="s">
        <v>9020</v>
      </c>
      <c r="E131" t="s">
        <v>8909</v>
      </c>
      <c r="F131" s="1">
        <v>46139</v>
      </c>
      <c r="G131" t="str">
        <f>"102499"</f>
        <v>102499</v>
      </c>
      <c r="H131" t="s">
        <v>2388</v>
      </c>
      <c r="I131" t="s">
        <v>8904</v>
      </c>
      <c r="J131">
        <v>3024</v>
      </c>
    </row>
    <row r="132" spans="1:10" x14ac:dyDescent="0.25">
      <c r="A132" t="s">
        <v>8863</v>
      </c>
      <c r="C132" t="s">
        <v>8901</v>
      </c>
      <c r="D132" t="s">
        <v>9021</v>
      </c>
      <c r="E132" t="s">
        <v>8909</v>
      </c>
      <c r="F132" s="1">
        <v>46139</v>
      </c>
      <c r="G132" t="str">
        <f>"102595"</f>
        <v>102595</v>
      </c>
      <c r="H132" t="s">
        <v>2449</v>
      </c>
      <c r="I132" t="s">
        <v>8904</v>
      </c>
      <c r="J132">
        <v>3024</v>
      </c>
    </row>
    <row r="133" spans="1:10" x14ac:dyDescent="0.25">
      <c r="A133" t="s">
        <v>8863</v>
      </c>
      <c r="C133" t="s">
        <v>8901</v>
      </c>
      <c r="D133" t="s">
        <v>9022</v>
      </c>
      <c r="E133" t="s">
        <v>9023</v>
      </c>
      <c r="F133" s="1">
        <v>46139</v>
      </c>
      <c r="G133" t="str">
        <f>"102701"</f>
        <v>102701</v>
      </c>
      <c r="H133" t="s">
        <v>2555</v>
      </c>
      <c r="I133" t="s">
        <v>8904</v>
      </c>
      <c r="J133">
        <v>22770</v>
      </c>
    </row>
    <row r="134" spans="1:10" x14ac:dyDescent="0.25">
      <c r="A134" t="s">
        <v>8863</v>
      </c>
      <c r="C134" t="s">
        <v>8901</v>
      </c>
      <c r="D134" t="s">
        <v>9024</v>
      </c>
      <c r="E134" t="s">
        <v>8909</v>
      </c>
      <c r="F134" s="1">
        <v>46139</v>
      </c>
      <c r="G134" t="str">
        <f>"102798"</f>
        <v>102798</v>
      </c>
      <c r="H134" t="s">
        <v>2648</v>
      </c>
      <c r="I134" t="s">
        <v>8904</v>
      </c>
      <c r="J134">
        <v>15156</v>
      </c>
    </row>
    <row r="135" spans="1:10" x14ac:dyDescent="0.25">
      <c r="A135" t="s">
        <v>8863</v>
      </c>
      <c r="C135" t="s">
        <v>8901</v>
      </c>
      <c r="D135" t="s">
        <v>9025</v>
      </c>
      <c r="E135" t="s">
        <v>8909</v>
      </c>
      <c r="F135" s="1">
        <v>46139</v>
      </c>
      <c r="G135" t="str">
        <f>"102854"</f>
        <v>102854</v>
      </c>
      <c r="H135" t="s">
        <v>2703</v>
      </c>
      <c r="I135" t="s">
        <v>8904</v>
      </c>
      <c r="J135">
        <v>450.5</v>
      </c>
    </row>
    <row r="136" spans="1:10" x14ac:dyDescent="0.25">
      <c r="A136" t="s">
        <v>8863</v>
      </c>
      <c r="C136" t="s">
        <v>8901</v>
      </c>
      <c r="D136" t="s">
        <v>9026</v>
      </c>
      <c r="E136" t="s">
        <v>8909</v>
      </c>
      <c r="F136" s="1">
        <v>46139</v>
      </c>
      <c r="G136" t="str">
        <f>"102893"</f>
        <v>102893</v>
      </c>
      <c r="H136" t="s">
        <v>2742</v>
      </c>
      <c r="I136" t="s">
        <v>8904</v>
      </c>
      <c r="J136">
        <v>1814.4</v>
      </c>
    </row>
    <row r="137" spans="1:10" x14ac:dyDescent="0.25">
      <c r="A137" t="s">
        <v>8863</v>
      </c>
      <c r="C137" t="s">
        <v>8901</v>
      </c>
      <c r="D137" t="s">
        <v>9027</v>
      </c>
      <c r="E137" t="s">
        <v>8909</v>
      </c>
      <c r="F137" s="1">
        <v>46139</v>
      </c>
      <c r="G137" t="str">
        <f>"120401"</f>
        <v>120401</v>
      </c>
      <c r="H137" t="s">
        <v>2819</v>
      </c>
      <c r="I137" t="s">
        <v>8904</v>
      </c>
      <c r="J137">
        <v>6048</v>
      </c>
    </row>
    <row r="138" spans="1:10" x14ac:dyDescent="0.25">
      <c r="A138" t="s">
        <v>8863</v>
      </c>
      <c r="C138" t="s">
        <v>8901</v>
      </c>
      <c r="D138" t="s">
        <v>9028</v>
      </c>
      <c r="E138" t="s">
        <v>8909</v>
      </c>
      <c r="F138" s="1">
        <v>46139</v>
      </c>
      <c r="G138" t="str">
        <f>"120401"</f>
        <v>120401</v>
      </c>
      <c r="H138" t="s">
        <v>2819</v>
      </c>
      <c r="I138" t="s">
        <v>8904</v>
      </c>
      <c r="J138">
        <v>3628.8</v>
      </c>
    </row>
    <row r="139" spans="1:10" x14ac:dyDescent="0.25">
      <c r="A139" t="s">
        <v>8863</v>
      </c>
      <c r="C139" t="s">
        <v>8901</v>
      </c>
      <c r="D139" t="s">
        <v>9029</v>
      </c>
      <c r="E139" t="s">
        <v>8909</v>
      </c>
      <c r="F139" s="1">
        <v>46140</v>
      </c>
      <c r="G139" t="str">
        <f>"1002873"</f>
        <v>1002873</v>
      </c>
      <c r="H139" t="s">
        <v>286</v>
      </c>
      <c r="I139" t="s">
        <v>8904</v>
      </c>
      <c r="J139">
        <v>6048</v>
      </c>
    </row>
    <row r="140" spans="1:10" x14ac:dyDescent="0.25">
      <c r="A140" t="s">
        <v>8863</v>
      </c>
      <c r="C140" t="s">
        <v>8901</v>
      </c>
      <c r="D140" t="s">
        <v>9030</v>
      </c>
      <c r="E140" t="s">
        <v>9031</v>
      </c>
      <c r="F140" s="1">
        <v>46140</v>
      </c>
      <c r="G140" t="str">
        <f>"102608"</f>
        <v>102608</v>
      </c>
      <c r="H140" t="s">
        <v>2462</v>
      </c>
      <c r="I140" t="s">
        <v>8904</v>
      </c>
      <c r="J140">
        <v>1447682.4</v>
      </c>
    </row>
    <row r="141" spans="1:10" x14ac:dyDescent="0.25">
      <c r="A141" t="s">
        <v>8863</v>
      </c>
      <c r="C141" t="s">
        <v>8901</v>
      </c>
      <c r="D141" t="s">
        <v>9032</v>
      </c>
      <c r="E141" t="s">
        <v>8909</v>
      </c>
      <c r="F141" s="1">
        <v>46141</v>
      </c>
      <c r="G141" t="str">
        <f>"1002873"</f>
        <v>1002873</v>
      </c>
      <c r="H141" t="s">
        <v>286</v>
      </c>
      <c r="I141" t="s">
        <v>8904</v>
      </c>
      <c r="J141">
        <v>6048</v>
      </c>
    </row>
    <row r="142" spans="1:10" x14ac:dyDescent="0.25">
      <c r="A142" t="s">
        <v>8863</v>
      </c>
      <c r="C142" t="s">
        <v>8901</v>
      </c>
      <c r="D142" t="s">
        <v>9033</v>
      </c>
      <c r="E142" t="s">
        <v>8909</v>
      </c>
      <c r="F142" s="1">
        <v>46141</v>
      </c>
      <c r="G142" t="str">
        <f>"102499"</f>
        <v>102499</v>
      </c>
      <c r="H142" t="s">
        <v>2388</v>
      </c>
      <c r="I142" t="s">
        <v>8904</v>
      </c>
      <c r="J142">
        <v>3628.8</v>
      </c>
    </row>
    <row r="143" spans="1:10" x14ac:dyDescent="0.25">
      <c r="A143" t="s">
        <v>8863</v>
      </c>
      <c r="C143" t="s">
        <v>8901</v>
      </c>
      <c r="D143" t="s">
        <v>9034</v>
      </c>
      <c r="E143" t="s">
        <v>8909</v>
      </c>
      <c r="F143" s="1">
        <v>46141</v>
      </c>
      <c r="G143" t="str">
        <f>"102499"</f>
        <v>102499</v>
      </c>
      <c r="H143" t="s">
        <v>2388</v>
      </c>
      <c r="I143" t="s">
        <v>8904</v>
      </c>
      <c r="J143">
        <v>1209.5999999999999</v>
      </c>
    </row>
    <row r="144" spans="1:10" x14ac:dyDescent="0.25">
      <c r="A144" t="s">
        <v>8863</v>
      </c>
      <c r="C144" t="s">
        <v>8901</v>
      </c>
      <c r="D144" t="s">
        <v>9035</v>
      </c>
      <c r="E144" t="s">
        <v>8909</v>
      </c>
      <c r="F144" s="1">
        <v>46141</v>
      </c>
      <c r="G144" t="str">
        <f>"120401"</f>
        <v>120401</v>
      </c>
      <c r="H144" t="s">
        <v>2819</v>
      </c>
      <c r="I144" t="s">
        <v>8904</v>
      </c>
      <c r="J144">
        <v>3024</v>
      </c>
    </row>
    <row r="145" spans="1:10" x14ac:dyDescent="0.25">
      <c r="A145" t="s">
        <v>8863</v>
      </c>
      <c r="C145" t="s">
        <v>8901</v>
      </c>
      <c r="D145" t="s">
        <v>9036</v>
      </c>
      <c r="E145" t="s">
        <v>8909</v>
      </c>
      <c r="F145" s="1">
        <v>46141</v>
      </c>
      <c r="G145" t="str">
        <f>"120402"</f>
        <v>120402</v>
      </c>
      <c r="H145" t="s">
        <v>2820</v>
      </c>
      <c r="I145" t="s">
        <v>8904</v>
      </c>
      <c r="J145">
        <v>2676.2</v>
      </c>
    </row>
    <row r="146" spans="1:10" x14ac:dyDescent="0.25">
      <c r="A146" t="s">
        <v>8863</v>
      </c>
      <c r="C146" t="s">
        <v>8901</v>
      </c>
      <c r="D146" t="s">
        <v>9037</v>
      </c>
      <c r="E146" t="s">
        <v>8909</v>
      </c>
      <c r="F146" s="1">
        <v>46141</v>
      </c>
      <c r="G146" t="str">
        <f>"120404"</f>
        <v>120404</v>
      </c>
      <c r="H146" t="s">
        <v>2822</v>
      </c>
      <c r="I146" t="s">
        <v>8904</v>
      </c>
      <c r="J146">
        <v>6048</v>
      </c>
    </row>
    <row r="147" spans="1:10" x14ac:dyDescent="0.25">
      <c r="A147" t="s">
        <v>8863</v>
      </c>
      <c r="C147" t="s">
        <v>8901</v>
      </c>
      <c r="D147" t="s">
        <v>9038</v>
      </c>
      <c r="E147" t="s">
        <v>8909</v>
      </c>
      <c r="F147" s="1">
        <v>46141</v>
      </c>
      <c r="G147" t="str">
        <f>"120405"</f>
        <v>120405</v>
      </c>
      <c r="H147" t="s">
        <v>2823</v>
      </c>
      <c r="I147" t="s">
        <v>8904</v>
      </c>
      <c r="J147">
        <v>2703</v>
      </c>
    </row>
    <row r="148" spans="1:10" x14ac:dyDescent="0.25">
      <c r="A148" t="s">
        <v>8863</v>
      </c>
      <c r="C148" t="s">
        <v>8901</v>
      </c>
      <c r="D148" t="s">
        <v>9039</v>
      </c>
      <c r="E148" t="s">
        <v>8921</v>
      </c>
      <c r="F148" s="1">
        <v>46142</v>
      </c>
      <c r="G148" t="str">
        <f>"100527"</f>
        <v>100527</v>
      </c>
      <c r="H148" t="s">
        <v>526</v>
      </c>
      <c r="I148" t="s">
        <v>8922</v>
      </c>
      <c r="J148">
        <v>0</v>
      </c>
    </row>
    <row r="149" spans="1:10" x14ac:dyDescent="0.25">
      <c r="A149" t="s">
        <v>8863</v>
      </c>
      <c r="C149" t="s">
        <v>8901</v>
      </c>
      <c r="D149" t="s">
        <v>9040</v>
      </c>
      <c r="E149" t="s">
        <v>8909</v>
      </c>
      <c r="F149" s="1">
        <v>46142</v>
      </c>
      <c r="G149" t="str">
        <f>"102045"</f>
        <v>102045</v>
      </c>
      <c r="H149" t="s">
        <v>2040</v>
      </c>
      <c r="I149" t="s">
        <v>8904</v>
      </c>
      <c r="J149">
        <v>6840</v>
      </c>
    </row>
    <row r="150" spans="1:10" x14ac:dyDescent="0.25">
      <c r="A150" t="s">
        <v>8863</v>
      </c>
      <c r="C150" t="s">
        <v>8901</v>
      </c>
      <c r="D150" t="s">
        <v>9041</v>
      </c>
      <c r="E150" t="s">
        <v>8907</v>
      </c>
      <c r="F150" s="1">
        <v>46142</v>
      </c>
      <c r="G150" t="str">
        <f>"102180"</f>
        <v>102180</v>
      </c>
      <c r="H150" t="s">
        <v>2172</v>
      </c>
      <c r="I150" t="s">
        <v>8904</v>
      </c>
      <c r="J150">
        <v>383234.4</v>
      </c>
    </row>
    <row r="151" spans="1:10" x14ac:dyDescent="0.25">
      <c r="A151" t="s">
        <v>8863</v>
      </c>
      <c r="C151" t="s">
        <v>8864</v>
      </c>
      <c r="D151" t="s">
        <v>9042</v>
      </c>
      <c r="E151" t="s">
        <v>8909</v>
      </c>
      <c r="F151" s="1">
        <v>46142</v>
      </c>
      <c r="G151" t="str">
        <f>"102857"</f>
        <v>102857</v>
      </c>
      <c r="H151" t="s">
        <v>2706</v>
      </c>
      <c r="I151" t="s">
        <v>9043</v>
      </c>
      <c r="J151">
        <v>10500</v>
      </c>
    </row>
    <row r="152" spans="1:10" x14ac:dyDescent="0.25">
      <c r="A152" t="s">
        <v>8863</v>
      </c>
      <c r="C152" t="s">
        <v>8901</v>
      </c>
      <c r="D152" t="s">
        <v>9044</v>
      </c>
      <c r="E152" t="s">
        <v>8967</v>
      </c>
      <c r="F152" s="1">
        <v>46146</v>
      </c>
      <c r="G152" t="str">
        <f>"100507"</f>
        <v>100507</v>
      </c>
      <c r="H152" t="s">
        <v>506</v>
      </c>
      <c r="I152" t="s">
        <v>8904</v>
      </c>
      <c r="J152">
        <v>30030</v>
      </c>
    </row>
    <row r="153" spans="1:10" x14ac:dyDescent="0.25">
      <c r="A153" t="s">
        <v>8863</v>
      </c>
      <c r="C153" t="s">
        <v>8901</v>
      </c>
      <c r="D153" t="s">
        <v>9045</v>
      </c>
      <c r="E153" t="s">
        <v>8909</v>
      </c>
      <c r="F153" s="1">
        <v>46146</v>
      </c>
      <c r="G153" t="str">
        <f>"100527"</f>
        <v>100527</v>
      </c>
      <c r="H153" t="s">
        <v>526</v>
      </c>
      <c r="I153" t="s">
        <v>8904</v>
      </c>
      <c r="J153">
        <v>721.6</v>
      </c>
    </row>
    <row r="154" spans="1:10" x14ac:dyDescent="0.25">
      <c r="A154" t="s">
        <v>8863</v>
      </c>
      <c r="C154" t="s">
        <v>8901</v>
      </c>
      <c r="D154" t="s">
        <v>9046</v>
      </c>
      <c r="E154" t="s">
        <v>8907</v>
      </c>
      <c r="F154" s="1">
        <v>46146</v>
      </c>
      <c r="G154" t="str">
        <f>"101734"</f>
        <v>101734</v>
      </c>
      <c r="H154" t="s">
        <v>1730</v>
      </c>
      <c r="I154" t="s">
        <v>8904</v>
      </c>
      <c r="J154">
        <v>385878.6</v>
      </c>
    </row>
    <row r="155" spans="1:10" x14ac:dyDescent="0.25">
      <c r="A155" t="s">
        <v>8863</v>
      </c>
      <c r="C155" t="s">
        <v>8901</v>
      </c>
      <c r="D155" t="s">
        <v>9047</v>
      </c>
      <c r="E155" t="s">
        <v>8909</v>
      </c>
      <c r="F155" s="1">
        <v>46146</v>
      </c>
      <c r="G155" t="str">
        <f>"102832"</f>
        <v>102832</v>
      </c>
      <c r="H155" t="s">
        <v>2682</v>
      </c>
      <c r="I155" t="s">
        <v>8904</v>
      </c>
      <c r="J155">
        <v>155526.54</v>
      </c>
    </row>
    <row r="156" spans="1:10" x14ac:dyDescent="0.25">
      <c r="A156" t="s">
        <v>8863</v>
      </c>
      <c r="C156" t="s">
        <v>8901</v>
      </c>
      <c r="D156" t="s">
        <v>9048</v>
      </c>
      <c r="E156" t="s">
        <v>8909</v>
      </c>
      <c r="F156" s="1">
        <v>46147</v>
      </c>
      <c r="G156" t="str">
        <f>"100010"</f>
        <v>100010</v>
      </c>
      <c r="H156" t="s">
        <v>11</v>
      </c>
      <c r="I156" t="s">
        <v>8904</v>
      </c>
      <c r="J156">
        <v>810.9</v>
      </c>
    </row>
    <row r="157" spans="1:10" x14ac:dyDescent="0.25">
      <c r="A157" t="s">
        <v>8863</v>
      </c>
      <c r="C157" t="s">
        <v>8901</v>
      </c>
      <c r="D157" t="s">
        <v>9049</v>
      </c>
      <c r="E157" t="s">
        <v>8909</v>
      </c>
      <c r="F157" s="1">
        <v>46147</v>
      </c>
      <c r="G157" t="str">
        <f>"1002873"</f>
        <v>1002873</v>
      </c>
      <c r="H157" t="s">
        <v>286</v>
      </c>
      <c r="I157" t="s">
        <v>8904</v>
      </c>
      <c r="J157">
        <v>4838.3999999999996</v>
      </c>
    </row>
    <row r="158" spans="1:10" x14ac:dyDescent="0.25">
      <c r="A158" t="s">
        <v>8863</v>
      </c>
      <c r="C158" t="s">
        <v>8901</v>
      </c>
      <c r="D158" t="s">
        <v>9050</v>
      </c>
      <c r="E158" t="s">
        <v>8909</v>
      </c>
      <c r="F158" s="1">
        <v>46147</v>
      </c>
      <c r="G158" t="str">
        <f>"102208"</f>
        <v>102208</v>
      </c>
      <c r="H158" t="s">
        <v>2200</v>
      </c>
      <c r="I158" t="s">
        <v>8904</v>
      </c>
      <c r="J158">
        <v>5400</v>
      </c>
    </row>
    <row r="159" spans="1:10" x14ac:dyDescent="0.25">
      <c r="A159" t="s">
        <v>8863</v>
      </c>
      <c r="C159" t="s">
        <v>8901</v>
      </c>
      <c r="D159" t="s">
        <v>9051</v>
      </c>
      <c r="E159" t="s">
        <v>8909</v>
      </c>
      <c r="F159" s="1">
        <v>46147</v>
      </c>
      <c r="G159" t="str">
        <f>"102595"</f>
        <v>102595</v>
      </c>
      <c r="H159" t="s">
        <v>2449</v>
      </c>
      <c r="I159" t="s">
        <v>8904</v>
      </c>
      <c r="J159">
        <v>1814.4</v>
      </c>
    </row>
    <row r="160" spans="1:10" x14ac:dyDescent="0.25">
      <c r="A160" t="s">
        <v>8863</v>
      </c>
      <c r="C160" t="s">
        <v>8901</v>
      </c>
      <c r="D160" t="s">
        <v>9052</v>
      </c>
      <c r="E160" t="s">
        <v>8909</v>
      </c>
      <c r="F160" s="1">
        <v>46147</v>
      </c>
      <c r="G160" t="str">
        <f>"102798"</f>
        <v>102798</v>
      </c>
      <c r="H160" t="s">
        <v>2648</v>
      </c>
      <c r="I160" t="s">
        <v>8904</v>
      </c>
      <c r="J160">
        <v>1814.4</v>
      </c>
    </row>
    <row r="161" spans="1:10" x14ac:dyDescent="0.25">
      <c r="A161" t="s">
        <v>8863</v>
      </c>
      <c r="C161" t="s">
        <v>8901</v>
      </c>
      <c r="D161" t="s">
        <v>9053</v>
      </c>
      <c r="E161" t="s">
        <v>8909</v>
      </c>
      <c r="F161" s="1">
        <v>46147</v>
      </c>
      <c r="G161" t="str">
        <f>"102798"</f>
        <v>102798</v>
      </c>
      <c r="H161" t="s">
        <v>2648</v>
      </c>
      <c r="I161" t="s">
        <v>8904</v>
      </c>
      <c r="J161">
        <v>604.79999999999995</v>
      </c>
    </row>
    <row r="162" spans="1:10" x14ac:dyDescent="0.25">
      <c r="A162" t="s">
        <v>8863</v>
      </c>
      <c r="C162" t="s">
        <v>8901</v>
      </c>
      <c r="D162" t="s">
        <v>9056</v>
      </c>
      <c r="E162" t="s">
        <v>9057</v>
      </c>
      <c r="F162" s="1">
        <v>46148</v>
      </c>
      <c r="G162" t="str">
        <f>"102674"</f>
        <v>102674</v>
      </c>
      <c r="H162" t="s">
        <v>2528</v>
      </c>
      <c r="I162" t="s">
        <v>8904</v>
      </c>
      <c r="J162">
        <v>2597.2399999999998</v>
      </c>
    </row>
    <row r="163" spans="1:10" x14ac:dyDescent="0.25">
      <c r="A163" t="s">
        <v>8863</v>
      </c>
      <c r="C163" t="s">
        <v>8901</v>
      </c>
      <c r="D163" t="s">
        <v>9058</v>
      </c>
      <c r="E163" t="s">
        <v>8909</v>
      </c>
      <c r="F163" s="1">
        <v>46148</v>
      </c>
      <c r="G163" t="str">
        <f>"102933"</f>
        <v>102933</v>
      </c>
      <c r="H163" t="s">
        <v>2783</v>
      </c>
      <c r="I163" t="s">
        <v>8904</v>
      </c>
      <c r="J163">
        <v>28887.08</v>
      </c>
    </row>
    <row r="164" spans="1:10" x14ac:dyDescent="0.25">
      <c r="A164" t="s">
        <v>8863</v>
      </c>
      <c r="C164" t="s">
        <v>8901</v>
      </c>
      <c r="D164" t="s">
        <v>9059</v>
      </c>
      <c r="E164" t="s">
        <v>9060</v>
      </c>
      <c r="F164" s="1">
        <v>46148</v>
      </c>
      <c r="G164" t="str">
        <f>"120379"</f>
        <v>120379</v>
      </c>
      <c r="H164" t="s">
        <v>2806</v>
      </c>
      <c r="I164" t="s">
        <v>8904</v>
      </c>
      <c r="J164">
        <v>7150</v>
      </c>
    </row>
    <row r="165" spans="1:10" x14ac:dyDescent="0.25">
      <c r="A165" t="s">
        <v>8863</v>
      </c>
      <c r="C165" t="s">
        <v>8901</v>
      </c>
      <c r="D165" t="s">
        <v>9061</v>
      </c>
      <c r="E165" t="s">
        <v>9062</v>
      </c>
      <c r="F165" s="1">
        <v>46149</v>
      </c>
      <c r="G165" t="str">
        <f>"100527"</f>
        <v>100527</v>
      </c>
      <c r="H165" t="s">
        <v>526</v>
      </c>
      <c r="I165" t="s">
        <v>8922</v>
      </c>
      <c r="J165">
        <v>0</v>
      </c>
    </row>
    <row r="166" spans="1:10" x14ac:dyDescent="0.25">
      <c r="A166" t="s">
        <v>8863</v>
      </c>
      <c r="C166" t="s">
        <v>8901</v>
      </c>
      <c r="D166" t="s">
        <v>9065</v>
      </c>
      <c r="E166" t="s">
        <v>8909</v>
      </c>
      <c r="F166" s="1">
        <v>46149</v>
      </c>
      <c r="G166" t="str">
        <f>"102784"</f>
        <v>102784</v>
      </c>
      <c r="H166" t="s">
        <v>2634</v>
      </c>
      <c r="I166" t="s">
        <v>8904</v>
      </c>
      <c r="J166">
        <v>3229.8</v>
      </c>
    </row>
    <row r="167" spans="1:10" x14ac:dyDescent="0.25">
      <c r="A167" t="s">
        <v>8863</v>
      </c>
      <c r="C167" t="s">
        <v>8901</v>
      </c>
      <c r="D167" t="s">
        <v>9066</v>
      </c>
      <c r="E167" t="s">
        <v>8909</v>
      </c>
      <c r="F167" s="1">
        <v>46149</v>
      </c>
      <c r="G167" t="str">
        <f>"102798"</f>
        <v>102798</v>
      </c>
      <c r="H167" t="s">
        <v>2648</v>
      </c>
      <c r="I167" t="s">
        <v>8904</v>
      </c>
      <c r="J167">
        <v>2138.4</v>
      </c>
    </row>
    <row r="168" spans="1:10" x14ac:dyDescent="0.25">
      <c r="A168" t="s">
        <v>8863</v>
      </c>
      <c r="C168" t="s">
        <v>8901</v>
      </c>
      <c r="D168" t="s">
        <v>9067</v>
      </c>
      <c r="E168" t="s">
        <v>8909</v>
      </c>
      <c r="F168" s="1">
        <v>46149</v>
      </c>
      <c r="G168" t="str">
        <f>"102893"</f>
        <v>102893</v>
      </c>
      <c r="H168" t="s">
        <v>2742</v>
      </c>
      <c r="I168" t="s">
        <v>8904</v>
      </c>
      <c r="J168">
        <v>2851.2</v>
      </c>
    </row>
    <row r="169" spans="1:10" x14ac:dyDescent="0.25">
      <c r="A169" t="s">
        <v>8863</v>
      </c>
      <c r="C169" t="s">
        <v>8901</v>
      </c>
      <c r="D169" t="s">
        <v>9068</v>
      </c>
      <c r="E169" t="s">
        <v>8907</v>
      </c>
      <c r="F169" s="1">
        <v>46149</v>
      </c>
      <c r="G169" t="str">
        <f>"102914"</f>
        <v>102914</v>
      </c>
      <c r="H169" t="s">
        <v>2764</v>
      </c>
      <c r="I169" t="s">
        <v>8904</v>
      </c>
      <c r="J169">
        <v>383234.4</v>
      </c>
    </row>
    <row r="170" spans="1:10" x14ac:dyDescent="0.25">
      <c r="A170" t="s">
        <v>8863</v>
      </c>
      <c r="C170" t="s">
        <v>8901</v>
      </c>
      <c r="D170" t="s">
        <v>9069</v>
      </c>
      <c r="E170" t="s">
        <v>8909</v>
      </c>
      <c r="F170" s="1">
        <v>46149</v>
      </c>
      <c r="G170" t="str">
        <f>"102933"</f>
        <v>102933</v>
      </c>
      <c r="H170" t="s">
        <v>2783</v>
      </c>
      <c r="I170" t="s">
        <v>8904</v>
      </c>
      <c r="J170">
        <v>1617</v>
      </c>
    </row>
    <row r="171" spans="1:10" x14ac:dyDescent="0.25">
      <c r="A171" t="s">
        <v>8863</v>
      </c>
      <c r="C171" t="s">
        <v>8901</v>
      </c>
      <c r="D171" t="s">
        <v>9070</v>
      </c>
      <c r="E171" t="s">
        <v>8907</v>
      </c>
      <c r="F171" s="1">
        <v>46150</v>
      </c>
      <c r="G171" t="str">
        <f>"102914"</f>
        <v>102914</v>
      </c>
      <c r="H171" t="s">
        <v>2764</v>
      </c>
      <c r="I171" t="s">
        <v>8904</v>
      </c>
      <c r="J171">
        <v>383234.4</v>
      </c>
    </row>
    <row r="172" spans="1:10" x14ac:dyDescent="0.25">
      <c r="A172" t="s">
        <v>8863</v>
      </c>
      <c r="C172" t="s">
        <v>8901</v>
      </c>
      <c r="D172" t="s">
        <v>9071</v>
      </c>
      <c r="E172" t="s">
        <v>9072</v>
      </c>
      <c r="F172" s="1">
        <v>46150</v>
      </c>
      <c r="G172" t="str">
        <f>"12167"</f>
        <v>12167</v>
      </c>
      <c r="H172" t="s">
        <v>2832</v>
      </c>
      <c r="I172" t="s">
        <v>8904</v>
      </c>
      <c r="J172">
        <v>2850</v>
      </c>
    </row>
    <row r="173" spans="1:10" x14ac:dyDescent="0.25">
      <c r="A173" t="s">
        <v>8863</v>
      </c>
      <c r="C173" t="s">
        <v>8901</v>
      </c>
      <c r="D173" t="s">
        <v>9073</v>
      </c>
      <c r="E173" t="s">
        <v>8909</v>
      </c>
      <c r="F173" s="1">
        <v>46151</v>
      </c>
      <c r="G173" t="str">
        <f>"1002873"</f>
        <v>1002873</v>
      </c>
      <c r="H173" t="s">
        <v>286</v>
      </c>
      <c r="I173" t="s">
        <v>8904</v>
      </c>
      <c r="J173">
        <v>1814.4</v>
      </c>
    </row>
    <row r="174" spans="1:10" x14ac:dyDescent="0.25">
      <c r="A174" t="s">
        <v>8863</v>
      </c>
      <c r="C174" t="s">
        <v>8901</v>
      </c>
      <c r="D174" t="s">
        <v>9074</v>
      </c>
      <c r="E174" t="s">
        <v>8909</v>
      </c>
      <c r="F174" s="1">
        <v>46151</v>
      </c>
      <c r="G174" t="str">
        <f>"100527"</f>
        <v>100527</v>
      </c>
      <c r="H174" t="s">
        <v>526</v>
      </c>
      <c r="I174" t="s">
        <v>8904</v>
      </c>
      <c r="J174">
        <v>7128</v>
      </c>
    </row>
    <row r="175" spans="1:10" x14ac:dyDescent="0.25">
      <c r="A175" t="s">
        <v>8863</v>
      </c>
      <c r="C175" t="s">
        <v>8901</v>
      </c>
      <c r="D175" t="s">
        <v>9075</v>
      </c>
      <c r="E175" t="s">
        <v>9076</v>
      </c>
      <c r="F175" s="1">
        <v>46153</v>
      </c>
      <c r="G175" t="str">
        <f>"102201"</f>
        <v>102201</v>
      </c>
      <c r="H175" t="s">
        <v>2193</v>
      </c>
      <c r="I175" t="s">
        <v>8904</v>
      </c>
      <c r="J175">
        <v>118069.08</v>
      </c>
    </row>
    <row r="176" spans="1:10" x14ac:dyDescent="0.25">
      <c r="A176" t="s">
        <v>8863</v>
      </c>
      <c r="C176" t="s">
        <v>8901</v>
      </c>
      <c r="D176" t="s">
        <v>9077</v>
      </c>
      <c r="E176" t="s">
        <v>8909</v>
      </c>
      <c r="F176" s="1">
        <v>46153</v>
      </c>
      <c r="G176" t="str">
        <f>"102552"</f>
        <v>102552</v>
      </c>
      <c r="H176" t="s">
        <v>2441</v>
      </c>
      <c r="I176" t="s">
        <v>8904</v>
      </c>
      <c r="J176">
        <v>22055.7012</v>
      </c>
    </row>
    <row r="177" spans="1:10" x14ac:dyDescent="0.25">
      <c r="A177" t="s">
        <v>8863</v>
      </c>
      <c r="C177" t="s">
        <v>8901</v>
      </c>
      <c r="D177" t="s">
        <v>9078</v>
      </c>
      <c r="E177" t="s">
        <v>8909</v>
      </c>
      <c r="F177" s="1">
        <v>46153</v>
      </c>
      <c r="G177" t="str">
        <f>"102602"</f>
        <v>102602</v>
      </c>
      <c r="H177" t="s">
        <v>2456</v>
      </c>
      <c r="I177" t="s">
        <v>8904</v>
      </c>
      <c r="J177">
        <v>14500</v>
      </c>
    </row>
    <row r="178" spans="1:10" x14ac:dyDescent="0.25">
      <c r="A178" t="s">
        <v>8863</v>
      </c>
      <c r="C178" t="s">
        <v>8901</v>
      </c>
      <c r="D178" t="s">
        <v>9079</v>
      </c>
      <c r="E178" t="s">
        <v>8909</v>
      </c>
      <c r="F178" s="1">
        <v>46154</v>
      </c>
      <c r="G178" t="str">
        <f>"102913"</f>
        <v>102913</v>
      </c>
      <c r="H178" t="s">
        <v>2763</v>
      </c>
      <c r="I178" t="s">
        <v>8904</v>
      </c>
      <c r="J178">
        <v>383234.4</v>
      </c>
    </row>
    <row r="179" spans="1:10" x14ac:dyDescent="0.25">
      <c r="A179" t="s">
        <v>8863</v>
      </c>
      <c r="C179" t="s">
        <v>8901</v>
      </c>
      <c r="D179" t="s">
        <v>9080</v>
      </c>
      <c r="E179" t="s">
        <v>8909</v>
      </c>
      <c r="F179" s="1">
        <v>46154</v>
      </c>
      <c r="G179" t="str">
        <f>"102930"</f>
        <v>102930</v>
      </c>
      <c r="H179" t="s">
        <v>2780</v>
      </c>
      <c r="I179" t="s">
        <v>8904</v>
      </c>
      <c r="J179">
        <v>7630</v>
      </c>
    </row>
    <row r="180" spans="1:10" x14ac:dyDescent="0.25">
      <c r="A180" t="s">
        <v>8863</v>
      </c>
      <c r="C180" t="s">
        <v>8901</v>
      </c>
      <c r="D180" t="s">
        <v>9082</v>
      </c>
      <c r="E180" t="s">
        <v>8909</v>
      </c>
      <c r="F180" s="1">
        <v>46155</v>
      </c>
      <c r="G180" t="str">
        <f>"102650"</f>
        <v>102650</v>
      </c>
      <c r="H180" t="s">
        <v>2504</v>
      </c>
      <c r="I180" t="s">
        <v>8904</v>
      </c>
      <c r="J180">
        <v>2441.1</v>
      </c>
    </row>
    <row r="181" spans="1:10" x14ac:dyDescent="0.25">
      <c r="A181" t="s">
        <v>8894</v>
      </c>
      <c r="C181" t="s">
        <v>8901</v>
      </c>
      <c r="D181" t="s">
        <v>9083</v>
      </c>
      <c r="E181" t="s">
        <v>9084</v>
      </c>
      <c r="F181" s="1">
        <v>46155</v>
      </c>
      <c r="G181" t="str">
        <f>"102932"</f>
        <v>102932</v>
      </c>
      <c r="H181" t="s">
        <v>2782</v>
      </c>
      <c r="I181" t="s">
        <v>8904</v>
      </c>
      <c r="J181">
        <v>204674.78</v>
      </c>
    </row>
    <row r="182" spans="1:10" x14ac:dyDescent="0.25">
      <c r="A182" t="s">
        <v>8863</v>
      </c>
      <c r="C182" t="s">
        <v>8901</v>
      </c>
      <c r="D182" t="s">
        <v>9085</v>
      </c>
      <c r="E182" t="s">
        <v>8909</v>
      </c>
      <c r="F182" s="1">
        <v>46155</v>
      </c>
      <c r="G182" t="str">
        <f>"102935"</f>
        <v>102935</v>
      </c>
      <c r="H182" t="s">
        <v>2785</v>
      </c>
      <c r="I182" t="s">
        <v>8904</v>
      </c>
      <c r="J182">
        <v>14522.4</v>
      </c>
    </row>
    <row r="183" spans="1:10" x14ac:dyDescent="0.25">
      <c r="A183" t="s">
        <v>8863</v>
      </c>
      <c r="C183" t="s">
        <v>8901</v>
      </c>
      <c r="D183" t="s">
        <v>9086</v>
      </c>
      <c r="E183" t="s">
        <v>8909</v>
      </c>
      <c r="F183" s="1">
        <v>46155</v>
      </c>
      <c r="G183" t="str">
        <f>"120407"</f>
        <v>120407</v>
      </c>
      <c r="H183" t="s">
        <v>2825</v>
      </c>
      <c r="I183" t="s">
        <v>8904</v>
      </c>
      <c r="J183">
        <v>29520</v>
      </c>
    </row>
    <row r="184" spans="1:10" x14ac:dyDescent="0.25">
      <c r="A184" t="s">
        <v>8863</v>
      </c>
      <c r="C184" t="s">
        <v>8901</v>
      </c>
      <c r="D184" t="s">
        <v>9087</v>
      </c>
      <c r="E184" t="s">
        <v>8907</v>
      </c>
      <c r="F184" s="1">
        <v>46156</v>
      </c>
      <c r="G184" t="str">
        <f>"102740"</f>
        <v>102740</v>
      </c>
      <c r="H184" t="s">
        <v>2590</v>
      </c>
      <c r="I184" t="s">
        <v>8904</v>
      </c>
      <c r="J184">
        <v>396514.8</v>
      </c>
    </row>
    <row r="185" spans="1:10" x14ac:dyDescent="0.25">
      <c r="A185" t="s">
        <v>8863</v>
      </c>
      <c r="C185" t="s">
        <v>8901</v>
      </c>
      <c r="D185" t="s">
        <v>9088</v>
      </c>
      <c r="E185" t="s">
        <v>8909</v>
      </c>
      <c r="F185" s="1">
        <v>46157</v>
      </c>
      <c r="G185" t="str">
        <f>"1002873"</f>
        <v>1002873</v>
      </c>
      <c r="H185" t="s">
        <v>286</v>
      </c>
      <c r="I185" t="s">
        <v>8904</v>
      </c>
      <c r="J185">
        <v>3564</v>
      </c>
    </row>
    <row r="186" spans="1:10" x14ac:dyDescent="0.25">
      <c r="A186" t="s">
        <v>8863</v>
      </c>
      <c r="C186" t="s">
        <v>8901</v>
      </c>
      <c r="D186" t="s">
        <v>9089</v>
      </c>
      <c r="E186" t="s">
        <v>8909</v>
      </c>
      <c r="F186" s="1">
        <v>46157</v>
      </c>
      <c r="G186" t="str">
        <f>"1002873"</f>
        <v>1002873</v>
      </c>
      <c r="H186" t="s">
        <v>286</v>
      </c>
      <c r="I186" t="s">
        <v>8904</v>
      </c>
      <c r="J186">
        <v>3564</v>
      </c>
    </row>
    <row r="187" spans="1:10" x14ac:dyDescent="0.25">
      <c r="A187" t="s">
        <v>8863</v>
      </c>
      <c r="C187" t="s">
        <v>8901</v>
      </c>
      <c r="D187" t="s">
        <v>9090</v>
      </c>
      <c r="E187" t="s">
        <v>8909</v>
      </c>
      <c r="F187" s="1">
        <v>46157</v>
      </c>
      <c r="G187" t="str">
        <f>"100527"</f>
        <v>100527</v>
      </c>
      <c r="H187" t="s">
        <v>526</v>
      </c>
      <c r="I187" t="s">
        <v>8904</v>
      </c>
      <c r="J187">
        <v>1740</v>
      </c>
    </row>
    <row r="188" spans="1:10" x14ac:dyDescent="0.25">
      <c r="A188" t="s">
        <v>8863</v>
      </c>
      <c r="C188" t="s">
        <v>8864</v>
      </c>
      <c r="D188" t="s">
        <v>9091</v>
      </c>
      <c r="E188" t="s">
        <v>8909</v>
      </c>
      <c r="F188" s="1">
        <v>46157</v>
      </c>
      <c r="G188" t="str">
        <f>"102205"</f>
        <v>102205</v>
      </c>
      <c r="H188" t="s">
        <v>2197</v>
      </c>
      <c r="I188" t="s">
        <v>8904</v>
      </c>
      <c r="J188">
        <v>135008.016</v>
      </c>
    </row>
    <row r="189" spans="1:10" x14ac:dyDescent="0.25">
      <c r="A189" t="s">
        <v>8863</v>
      </c>
      <c r="C189" t="s">
        <v>8901</v>
      </c>
      <c r="D189" t="s">
        <v>9092</v>
      </c>
      <c r="E189" t="s">
        <v>8909</v>
      </c>
      <c r="F189" s="1">
        <v>46157</v>
      </c>
      <c r="G189" t="str">
        <f>"102595"</f>
        <v>102595</v>
      </c>
      <c r="H189" t="s">
        <v>2449</v>
      </c>
      <c r="I189" t="s">
        <v>8904</v>
      </c>
      <c r="J189">
        <v>1425.6</v>
      </c>
    </row>
    <row r="190" spans="1:10" x14ac:dyDescent="0.25">
      <c r="A190" t="s">
        <v>8863</v>
      </c>
      <c r="C190" t="s">
        <v>8901</v>
      </c>
      <c r="D190" t="s">
        <v>9093</v>
      </c>
      <c r="E190" t="s">
        <v>8909</v>
      </c>
      <c r="F190" s="1">
        <v>46157</v>
      </c>
      <c r="G190" t="str">
        <f>"102765"</f>
        <v>102765</v>
      </c>
      <c r="H190" t="s">
        <v>2615</v>
      </c>
      <c r="I190" t="s">
        <v>8904</v>
      </c>
      <c r="J190">
        <v>5761.8</v>
      </c>
    </row>
    <row r="191" spans="1:10" x14ac:dyDescent="0.25">
      <c r="A191" t="s">
        <v>8863</v>
      </c>
      <c r="C191" t="s">
        <v>8901</v>
      </c>
      <c r="D191" t="s">
        <v>9094</v>
      </c>
      <c r="E191" t="s">
        <v>8909</v>
      </c>
      <c r="F191" s="1">
        <v>46157</v>
      </c>
      <c r="G191" t="str">
        <f>"102798"</f>
        <v>102798</v>
      </c>
      <c r="H191" t="s">
        <v>2648</v>
      </c>
      <c r="I191" t="s">
        <v>8904</v>
      </c>
      <c r="J191">
        <v>107.5</v>
      </c>
    </row>
    <row r="192" spans="1:10" x14ac:dyDescent="0.25">
      <c r="A192" t="s">
        <v>8863</v>
      </c>
      <c r="C192" t="s">
        <v>8901</v>
      </c>
      <c r="D192" t="s">
        <v>9095</v>
      </c>
      <c r="E192" t="s">
        <v>8909</v>
      </c>
      <c r="F192" s="1">
        <v>46157</v>
      </c>
      <c r="G192" t="str">
        <f>"102893"</f>
        <v>102893</v>
      </c>
      <c r="H192" t="s">
        <v>2742</v>
      </c>
      <c r="I192" t="s">
        <v>8904</v>
      </c>
      <c r="J192">
        <v>2138.4</v>
      </c>
    </row>
    <row r="193" spans="1:10" x14ac:dyDescent="0.25">
      <c r="A193" t="s">
        <v>8863</v>
      </c>
      <c r="C193" t="s">
        <v>8901</v>
      </c>
      <c r="D193" t="s">
        <v>9096</v>
      </c>
      <c r="E193" t="s">
        <v>8907</v>
      </c>
      <c r="F193" s="1">
        <v>46160</v>
      </c>
      <c r="G193" t="str">
        <f>"102470"</f>
        <v>102470</v>
      </c>
      <c r="H193" t="s">
        <v>2359</v>
      </c>
      <c r="I193" t="s">
        <v>8904</v>
      </c>
      <c r="J193">
        <v>387028.8</v>
      </c>
    </row>
    <row r="194" spans="1:10" x14ac:dyDescent="0.25">
      <c r="A194" t="s">
        <v>8863</v>
      </c>
      <c r="C194" t="s">
        <v>8901</v>
      </c>
      <c r="D194" t="s">
        <v>9097</v>
      </c>
      <c r="E194" t="s">
        <v>8907</v>
      </c>
      <c r="F194" s="1">
        <v>46160</v>
      </c>
      <c r="G194" t="str">
        <f>"102913"</f>
        <v>102913</v>
      </c>
      <c r="H194" t="s">
        <v>2763</v>
      </c>
      <c r="I194" t="s">
        <v>8904</v>
      </c>
      <c r="J194">
        <v>383234.4</v>
      </c>
    </row>
    <row r="195" spans="1:10" x14ac:dyDescent="0.25">
      <c r="A195" t="s">
        <v>8863</v>
      </c>
      <c r="C195" t="s">
        <v>8901</v>
      </c>
      <c r="D195" t="s">
        <v>9098</v>
      </c>
      <c r="E195" t="s">
        <v>8909</v>
      </c>
      <c r="F195" s="1">
        <v>46161</v>
      </c>
      <c r="G195" t="str">
        <f>"100527"</f>
        <v>100527</v>
      </c>
      <c r="H195" t="s">
        <v>526</v>
      </c>
      <c r="I195" t="s">
        <v>8904</v>
      </c>
      <c r="J195">
        <v>960</v>
      </c>
    </row>
    <row r="196" spans="1:10" x14ac:dyDescent="0.25">
      <c r="A196" t="s">
        <v>8863</v>
      </c>
      <c r="C196" t="s">
        <v>8901</v>
      </c>
      <c r="D196" t="s">
        <v>9099</v>
      </c>
      <c r="E196" t="s">
        <v>8909</v>
      </c>
      <c r="F196" s="1">
        <v>46161</v>
      </c>
      <c r="G196" t="str">
        <f>"100527"</f>
        <v>100527</v>
      </c>
      <c r="H196" t="s">
        <v>526</v>
      </c>
      <c r="I196" t="s">
        <v>8904</v>
      </c>
      <c r="J196">
        <v>576.84</v>
      </c>
    </row>
    <row r="197" spans="1:10" x14ac:dyDescent="0.25">
      <c r="A197" t="s">
        <v>8863</v>
      </c>
      <c r="C197" t="s">
        <v>8901</v>
      </c>
      <c r="D197" t="s">
        <v>9100</v>
      </c>
      <c r="E197" t="s">
        <v>8909</v>
      </c>
      <c r="F197" s="1">
        <v>46161</v>
      </c>
      <c r="G197" t="str">
        <f>"100527"</f>
        <v>100527</v>
      </c>
      <c r="H197" t="s">
        <v>526</v>
      </c>
      <c r="I197" t="s">
        <v>8904</v>
      </c>
      <c r="J197">
        <v>712.8</v>
      </c>
    </row>
    <row r="198" spans="1:10" x14ac:dyDescent="0.25">
      <c r="A198" t="s">
        <v>8863</v>
      </c>
      <c r="C198" t="s">
        <v>8901</v>
      </c>
      <c r="D198" t="s">
        <v>9101</v>
      </c>
      <c r="E198" t="s">
        <v>9062</v>
      </c>
      <c r="F198" s="1">
        <v>46161</v>
      </c>
      <c r="G198" t="str">
        <f>"100527"</f>
        <v>100527</v>
      </c>
      <c r="H198" t="s">
        <v>526</v>
      </c>
      <c r="I198" t="s">
        <v>8922</v>
      </c>
      <c r="J198">
        <v>0</v>
      </c>
    </row>
    <row r="199" spans="1:10" x14ac:dyDescent="0.25">
      <c r="A199" t="s">
        <v>8863</v>
      </c>
      <c r="C199" t="s">
        <v>8901</v>
      </c>
      <c r="D199" t="s">
        <v>9102</v>
      </c>
      <c r="E199" t="s">
        <v>9005</v>
      </c>
      <c r="F199" s="1">
        <v>46161</v>
      </c>
      <c r="G199" t="str">
        <f>"102592"</f>
        <v>102592</v>
      </c>
      <c r="H199" t="s">
        <v>2446</v>
      </c>
      <c r="I199" t="s">
        <v>8904</v>
      </c>
      <c r="J199">
        <v>410260.57199999999</v>
      </c>
    </row>
    <row r="200" spans="1:10" x14ac:dyDescent="0.25">
      <c r="A200" t="s">
        <v>8863</v>
      </c>
      <c r="C200" t="s">
        <v>8901</v>
      </c>
      <c r="D200" t="s">
        <v>9103</v>
      </c>
      <c r="E200" t="s">
        <v>8907</v>
      </c>
      <c r="F200" s="1">
        <v>46161</v>
      </c>
      <c r="G200" t="str">
        <f>"102592"</f>
        <v>102592</v>
      </c>
      <c r="H200" t="s">
        <v>2446</v>
      </c>
      <c r="I200" t="s">
        <v>8904</v>
      </c>
      <c r="J200">
        <v>112716</v>
      </c>
    </row>
    <row r="201" spans="1:10" x14ac:dyDescent="0.25">
      <c r="A201" t="s">
        <v>8890</v>
      </c>
      <c r="C201" t="s">
        <v>8901</v>
      </c>
      <c r="D201" t="s">
        <v>9104</v>
      </c>
      <c r="E201" t="s">
        <v>9105</v>
      </c>
      <c r="F201" s="1">
        <v>46161</v>
      </c>
      <c r="G201" t="str">
        <f>"102608"</f>
        <v>102608</v>
      </c>
      <c r="H201" t="s">
        <v>2462</v>
      </c>
      <c r="I201" t="s">
        <v>8904</v>
      </c>
      <c r="J201">
        <v>110.36</v>
      </c>
    </row>
    <row r="202" spans="1:10" x14ac:dyDescent="0.25">
      <c r="A202" t="s">
        <v>8863</v>
      </c>
      <c r="C202" t="s">
        <v>8901</v>
      </c>
      <c r="D202" t="s">
        <v>9106</v>
      </c>
      <c r="E202" t="s">
        <v>8909</v>
      </c>
      <c r="F202" s="1">
        <v>46161</v>
      </c>
      <c r="G202" t="str">
        <f>"102893"</f>
        <v>102893</v>
      </c>
      <c r="H202" t="s">
        <v>2742</v>
      </c>
      <c r="I202" t="s">
        <v>8904</v>
      </c>
      <c r="J202">
        <v>3564</v>
      </c>
    </row>
    <row r="203" spans="1:10" x14ac:dyDescent="0.25">
      <c r="A203" t="s">
        <v>8890</v>
      </c>
      <c r="C203" t="s">
        <v>8901</v>
      </c>
      <c r="D203" t="s">
        <v>9107</v>
      </c>
      <c r="E203" t="s">
        <v>9108</v>
      </c>
      <c r="F203" s="1">
        <v>46161</v>
      </c>
      <c r="G203" t="str">
        <f>"102933"</f>
        <v>102933</v>
      </c>
      <c r="H203" t="s">
        <v>2783</v>
      </c>
      <c r="I203" t="s">
        <v>8904</v>
      </c>
      <c r="J203">
        <v>6737.78</v>
      </c>
    </row>
    <row r="204" spans="1:10" x14ac:dyDescent="0.25">
      <c r="A204" t="s">
        <v>8863</v>
      </c>
      <c r="C204" t="s">
        <v>8901</v>
      </c>
      <c r="D204" t="s">
        <v>9109</v>
      </c>
      <c r="E204" t="s">
        <v>8909</v>
      </c>
      <c r="F204" s="1">
        <v>46161</v>
      </c>
      <c r="G204" t="str">
        <f>"102935"</f>
        <v>102935</v>
      </c>
      <c r="H204" t="s">
        <v>2785</v>
      </c>
      <c r="I204" t="s">
        <v>8904</v>
      </c>
      <c r="J204">
        <v>6600</v>
      </c>
    </row>
    <row r="205" spans="1:10" x14ac:dyDescent="0.25">
      <c r="A205" t="s">
        <v>8863</v>
      </c>
      <c r="C205" t="s">
        <v>8901</v>
      </c>
      <c r="D205" t="s">
        <v>9110</v>
      </c>
      <c r="E205" t="s">
        <v>8909</v>
      </c>
      <c r="F205" s="1">
        <v>46162</v>
      </c>
      <c r="G205" t="str">
        <f>"100527"</f>
        <v>100527</v>
      </c>
      <c r="H205" t="s">
        <v>526</v>
      </c>
      <c r="I205" t="s">
        <v>8904</v>
      </c>
      <c r="J205">
        <v>5760</v>
      </c>
    </row>
    <row r="206" spans="1:10" x14ac:dyDescent="0.25">
      <c r="A206" t="s">
        <v>8863</v>
      </c>
      <c r="C206" t="s">
        <v>8901</v>
      </c>
      <c r="D206" t="s">
        <v>9111</v>
      </c>
      <c r="E206" t="s">
        <v>9112</v>
      </c>
      <c r="F206" s="1">
        <v>46162</v>
      </c>
      <c r="G206" t="str">
        <f>"101335"</f>
        <v>101335</v>
      </c>
      <c r="H206" t="s">
        <v>1332</v>
      </c>
      <c r="I206" t="s">
        <v>8904</v>
      </c>
      <c r="J206">
        <v>132601.5</v>
      </c>
    </row>
    <row r="207" spans="1:10" x14ac:dyDescent="0.25">
      <c r="A207" t="s">
        <v>8863</v>
      </c>
      <c r="C207" t="s">
        <v>8901</v>
      </c>
      <c r="D207" t="s">
        <v>9113</v>
      </c>
      <c r="E207" t="s">
        <v>8909</v>
      </c>
      <c r="F207" s="1">
        <v>46162</v>
      </c>
      <c r="G207" t="str">
        <f>"102252"</f>
        <v>102252</v>
      </c>
      <c r="H207" t="s">
        <v>2245</v>
      </c>
      <c r="I207" t="s">
        <v>8904</v>
      </c>
      <c r="J207">
        <v>32670</v>
      </c>
    </row>
    <row r="208" spans="1:10" x14ac:dyDescent="0.25">
      <c r="A208" t="s">
        <v>8863</v>
      </c>
      <c r="C208" t="s">
        <v>8901</v>
      </c>
      <c r="D208" t="s">
        <v>9114</v>
      </c>
      <c r="E208" t="s">
        <v>9057</v>
      </c>
      <c r="F208" s="1">
        <v>46162</v>
      </c>
      <c r="G208" t="str">
        <f>"102526"</f>
        <v>102526</v>
      </c>
      <c r="H208" t="s">
        <v>2415</v>
      </c>
      <c r="I208" t="s">
        <v>8904</v>
      </c>
      <c r="J208">
        <v>1872.56</v>
      </c>
    </row>
    <row r="209" spans="1:10" x14ac:dyDescent="0.25">
      <c r="A209" t="s">
        <v>8863</v>
      </c>
      <c r="C209" t="s">
        <v>8901</v>
      </c>
      <c r="D209" t="s">
        <v>9115</v>
      </c>
      <c r="E209" t="s">
        <v>9023</v>
      </c>
      <c r="F209" s="1">
        <v>46162</v>
      </c>
      <c r="G209" t="str">
        <f>"102701"</f>
        <v>102701</v>
      </c>
      <c r="H209" t="s">
        <v>2555</v>
      </c>
      <c r="I209" t="s">
        <v>8904</v>
      </c>
      <c r="J209">
        <v>21780</v>
      </c>
    </row>
    <row r="210" spans="1:10" x14ac:dyDescent="0.25">
      <c r="A210" t="s">
        <v>8863</v>
      </c>
      <c r="C210" t="s">
        <v>8901</v>
      </c>
      <c r="D210" t="s">
        <v>9116</v>
      </c>
      <c r="E210" t="s">
        <v>8907</v>
      </c>
      <c r="F210" s="1">
        <v>46162</v>
      </c>
      <c r="G210" t="str">
        <f>"102914"</f>
        <v>102914</v>
      </c>
      <c r="H210" t="s">
        <v>2764</v>
      </c>
      <c r="I210" t="s">
        <v>8904</v>
      </c>
      <c r="J210">
        <v>383234.4</v>
      </c>
    </row>
    <row r="211" spans="1:10" x14ac:dyDescent="0.25">
      <c r="A211" t="s">
        <v>8863</v>
      </c>
      <c r="C211" t="s">
        <v>8901</v>
      </c>
      <c r="D211" t="s">
        <v>9117</v>
      </c>
      <c r="E211" t="s">
        <v>9112</v>
      </c>
      <c r="F211" s="1">
        <v>46163</v>
      </c>
      <c r="G211" t="str">
        <f>"101335"</f>
        <v>101335</v>
      </c>
      <c r="H211" t="s">
        <v>1332</v>
      </c>
      <c r="I211" t="s">
        <v>8904</v>
      </c>
      <c r="J211">
        <v>132601.5</v>
      </c>
    </row>
    <row r="212" spans="1:10" x14ac:dyDescent="0.25">
      <c r="A212" t="s">
        <v>8863</v>
      </c>
      <c r="C212" t="s">
        <v>8901</v>
      </c>
      <c r="D212" t="s">
        <v>9118</v>
      </c>
      <c r="E212" t="s">
        <v>8907</v>
      </c>
      <c r="F212" s="1">
        <v>46163</v>
      </c>
      <c r="G212" t="str">
        <f>"102913"</f>
        <v>102913</v>
      </c>
      <c r="H212" t="s">
        <v>2763</v>
      </c>
      <c r="I212" t="s">
        <v>8904</v>
      </c>
      <c r="J212">
        <v>383234.4</v>
      </c>
    </row>
    <row r="213" spans="1:10" x14ac:dyDescent="0.25">
      <c r="A213" t="s">
        <v>8863</v>
      </c>
      <c r="C213" t="s">
        <v>8901</v>
      </c>
      <c r="D213" t="s">
        <v>9142</v>
      </c>
      <c r="E213" t="s">
        <v>8909</v>
      </c>
      <c r="F213" s="1">
        <v>46164</v>
      </c>
      <c r="G213" t="str">
        <f>"120378"</f>
        <v>120378</v>
      </c>
      <c r="H213" t="s">
        <v>2805</v>
      </c>
      <c r="I213" t="s">
        <v>8904</v>
      </c>
      <c r="J213">
        <v>3024.06</v>
      </c>
    </row>
    <row r="214" spans="1:10" x14ac:dyDescent="0.25">
      <c r="A214" t="s">
        <v>8863</v>
      </c>
      <c r="C214" t="s">
        <v>8901</v>
      </c>
      <c r="D214" t="s">
        <v>9143</v>
      </c>
      <c r="E214" t="s">
        <v>9144</v>
      </c>
      <c r="F214" s="1">
        <v>46165</v>
      </c>
      <c r="G214" t="str">
        <f>"102798"</f>
        <v>102798</v>
      </c>
      <c r="H214" t="s">
        <v>2648</v>
      </c>
      <c r="I214" t="s">
        <v>8904</v>
      </c>
      <c r="J214">
        <v>8547</v>
      </c>
    </row>
    <row r="215" spans="1:10" x14ac:dyDescent="0.25">
      <c r="A215" t="s">
        <v>8863</v>
      </c>
      <c r="C215" t="s">
        <v>8901</v>
      </c>
      <c r="D215" t="s">
        <v>9146</v>
      </c>
      <c r="E215" t="s">
        <v>9005</v>
      </c>
      <c r="F215" s="1">
        <v>46167</v>
      </c>
      <c r="G215" t="str">
        <f>"102592"</f>
        <v>102592</v>
      </c>
      <c r="H215" t="s">
        <v>2446</v>
      </c>
      <c r="I215" t="s">
        <v>8904</v>
      </c>
      <c r="J215">
        <v>404103.6</v>
      </c>
    </row>
    <row r="216" spans="1:10" x14ac:dyDescent="0.25">
      <c r="A216" t="s">
        <v>8863</v>
      </c>
      <c r="C216" t="s">
        <v>8901</v>
      </c>
      <c r="D216" t="s">
        <v>9147</v>
      </c>
      <c r="E216" t="s">
        <v>8907</v>
      </c>
      <c r="F216" s="1">
        <v>46174</v>
      </c>
      <c r="G216" t="str">
        <f>"102180"</f>
        <v>102180</v>
      </c>
      <c r="H216" t="s">
        <v>2172</v>
      </c>
      <c r="I216" t="s">
        <v>8904</v>
      </c>
      <c r="J216">
        <v>383234.4</v>
      </c>
    </row>
    <row r="217" spans="1:10" x14ac:dyDescent="0.25">
      <c r="A217" t="s">
        <v>8863</v>
      </c>
      <c r="C217" t="s">
        <v>8901</v>
      </c>
      <c r="D217" t="s">
        <v>9148</v>
      </c>
      <c r="E217" t="s">
        <v>9149</v>
      </c>
      <c r="F217" s="1">
        <v>46175</v>
      </c>
      <c r="G217" t="str">
        <f>"100021"</f>
        <v>100021</v>
      </c>
      <c r="H217" t="s">
        <v>22</v>
      </c>
      <c r="I217" t="s">
        <v>8904</v>
      </c>
      <c r="J217">
        <v>792</v>
      </c>
    </row>
    <row r="218" spans="1:10" x14ac:dyDescent="0.25">
      <c r="A218" t="s">
        <v>8863</v>
      </c>
      <c r="C218" t="s">
        <v>8901</v>
      </c>
      <c r="D218" t="s">
        <v>9150</v>
      </c>
      <c r="E218" t="s">
        <v>9151</v>
      </c>
      <c r="F218" s="1">
        <v>46175</v>
      </c>
      <c r="G218" t="str">
        <f>"102205"</f>
        <v>102205</v>
      </c>
      <c r="H218" t="s">
        <v>2197</v>
      </c>
      <c r="I218" t="s">
        <v>8904</v>
      </c>
      <c r="J218">
        <v>140805</v>
      </c>
    </row>
    <row r="219" spans="1:10" x14ac:dyDescent="0.25">
      <c r="A219" t="s">
        <v>8863</v>
      </c>
      <c r="C219" t="s">
        <v>8901</v>
      </c>
      <c r="D219" t="s">
        <v>9152</v>
      </c>
      <c r="E219" t="s">
        <v>9153</v>
      </c>
      <c r="F219" s="1">
        <v>46176</v>
      </c>
      <c r="G219" t="str">
        <f>"101316"</f>
        <v>101316</v>
      </c>
      <c r="H219" t="s">
        <v>1313</v>
      </c>
      <c r="I219" t="s">
        <v>8904</v>
      </c>
      <c r="J219">
        <v>160704</v>
      </c>
    </row>
    <row r="220" spans="1:10" x14ac:dyDescent="0.25">
      <c r="A220" t="s">
        <v>8863</v>
      </c>
      <c r="C220" t="s">
        <v>8901</v>
      </c>
      <c r="D220" t="s">
        <v>9154</v>
      </c>
      <c r="E220" t="s">
        <v>9155</v>
      </c>
      <c r="F220" s="1">
        <v>46176</v>
      </c>
      <c r="G220" t="str">
        <f>"101316"</f>
        <v>101316</v>
      </c>
      <c r="H220" t="s">
        <v>1313</v>
      </c>
      <c r="I220" t="s">
        <v>8904</v>
      </c>
      <c r="J220">
        <v>160704</v>
      </c>
    </row>
    <row r="221" spans="1:10" x14ac:dyDescent="0.25">
      <c r="A221" t="s">
        <v>8863</v>
      </c>
      <c r="C221" t="s">
        <v>8901</v>
      </c>
      <c r="D221" t="s">
        <v>9156</v>
      </c>
      <c r="E221" t="s">
        <v>9153</v>
      </c>
      <c r="F221" s="1">
        <v>46177</v>
      </c>
      <c r="G221" t="str">
        <f>"101316"</f>
        <v>101316</v>
      </c>
      <c r="H221" t="s">
        <v>1313</v>
      </c>
      <c r="I221" t="s">
        <v>8904</v>
      </c>
      <c r="J221">
        <v>160704</v>
      </c>
    </row>
    <row r="222" spans="1:10" x14ac:dyDescent="0.25">
      <c r="A222" t="s">
        <v>8863</v>
      </c>
      <c r="C222" t="s">
        <v>8901</v>
      </c>
      <c r="D222" t="s">
        <v>9157</v>
      </c>
      <c r="E222" t="s">
        <v>9151</v>
      </c>
      <c r="F222" s="1">
        <v>46177</v>
      </c>
      <c r="G222" t="str">
        <f>"102205"</f>
        <v>102205</v>
      </c>
      <c r="H222" t="s">
        <v>2197</v>
      </c>
      <c r="I222" t="s">
        <v>8904</v>
      </c>
      <c r="J222">
        <v>140794.875</v>
      </c>
    </row>
    <row r="223" spans="1:10" x14ac:dyDescent="0.25">
      <c r="A223" t="s">
        <v>8863</v>
      </c>
      <c r="C223" t="s">
        <v>8901</v>
      </c>
      <c r="D223" t="s">
        <v>9158</v>
      </c>
      <c r="E223" t="s">
        <v>9159</v>
      </c>
      <c r="F223" s="1">
        <v>46177</v>
      </c>
      <c r="G223" t="str">
        <f>"102592"</f>
        <v>102592</v>
      </c>
      <c r="H223" t="s">
        <v>2446</v>
      </c>
      <c r="I223" t="s">
        <v>8904</v>
      </c>
      <c r="J223">
        <v>404103.6</v>
      </c>
    </row>
    <row r="224" spans="1:10" x14ac:dyDescent="0.25">
      <c r="A224" t="s">
        <v>8863</v>
      </c>
      <c r="C224" t="s">
        <v>8901</v>
      </c>
      <c r="D224" t="s">
        <v>9160</v>
      </c>
      <c r="E224" t="s">
        <v>8907</v>
      </c>
      <c r="F224" s="1">
        <v>46178</v>
      </c>
      <c r="G224" t="str">
        <f>"102914"</f>
        <v>102914</v>
      </c>
      <c r="H224" t="s">
        <v>2764</v>
      </c>
      <c r="I224" t="s">
        <v>8904</v>
      </c>
      <c r="J224">
        <v>383234.4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81668-4722-41BB-819C-014A026AD6D3}">
  <dimension ref="A3:A202"/>
  <sheetViews>
    <sheetView workbookViewId="0">
      <selection activeCell="A3" sqref="A3"/>
    </sheetView>
  </sheetViews>
  <sheetFormatPr baseColWidth="10" defaultRowHeight="15" x14ac:dyDescent="0.25"/>
  <cols>
    <col min="1" max="1" width="23" bestFit="1" customWidth="1"/>
  </cols>
  <sheetData>
    <row r="3" spans="1:1" x14ac:dyDescent="0.25">
      <c r="A3" s="14" t="s">
        <v>13094</v>
      </c>
    </row>
    <row r="4" spans="1:1" x14ac:dyDescent="0.25">
      <c r="A4" s="15" t="s">
        <v>8864</v>
      </c>
    </row>
    <row r="5" spans="1:1" x14ac:dyDescent="0.25">
      <c r="A5" s="16" t="s">
        <v>9549</v>
      </c>
    </row>
    <row r="6" spans="1:1" x14ac:dyDescent="0.25">
      <c r="A6" s="16" t="s">
        <v>9534</v>
      </c>
    </row>
    <row r="7" spans="1:1" x14ac:dyDescent="0.25">
      <c r="A7" s="16" t="s">
        <v>9541</v>
      </c>
    </row>
    <row r="8" spans="1:1" x14ac:dyDescent="0.25">
      <c r="A8" s="16" t="s">
        <v>9563</v>
      </c>
    </row>
    <row r="9" spans="1:1" x14ac:dyDescent="0.25">
      <c r="A9" s="16" t="s">
        <v>9574</v>
      </c>
    </row>
    <row r="10" spans="1:1" x14ac:dyDescent="0.25">
      <c r="A10" s="16" t="s">
        <v>9580</v>
      </c>
    </row>
    <row r="11" spans="1:1" x14ac:dyDescent="0.25">
      <c r="A11" s="16" t="s">
        <v>9538</v>
      </c>
    </row>
    <row r="12" spans="1:1" x14ac:dyDescent="0.25">
      <c r="A12" s="16" t="s">
        <v>9515</v>
      </c>
    </row>
    <row r="13" spans="1:1" x14ac:dyDescent="0.25">
      <c r="A13" s="16" t="s">
        <v>9579</v>
      </c>
    </row>
    <row r="14" spans="1:1" x14ac:dyDescent="0.25">
      <c r="A14" s="16" t="s">
        <v>9565</v>
      </c>
    </row>
    <row r="15" spans="1:1" x14ac:dyDescent="0.25">
      <c r="A15" s="16" t="s">
        <v>13106</v>
      </c>
    </row>
    <row r="16" spans="1:1" x14ac:dyDescent="0.25">
      <c r="A16" s="16" t="s">
        <v>9524</v>
      </c>
    </row>
    <row r="17" spans="1:1" x14ac:dyDescent="0.25">
      <c r="A17" s="16" t="s">
        <v>9562</v>
      </c>
    </row>
    <row r="18" spans="1:1" x14ac:dyDescent="0.25">
      <c r="A18" s="16" t="s">
        <v>9571</v>
      </c>
    </row>
    <row r="19" spans="1:1" x14ac:dyDescent="0.25">
      <c r="A19" s="16" t="s">
        <v>9598</v>
      </c>
    </row>
    <row r="20" spans="1:1" x14ac:dyDescent="0.25">
      <c r="A20" s="16" t="s">
        <v>9547</v>
      </c>
    </row>
    <row r="21" spans="1:1" x14ac:dyDescent="0.25">
      <c r="A21" s="16" t="s">
        <v>9553</v>
      </c>
    </row>
    <row r="22" spans="1:1" x14ac:dyDescent="0.25">
      <c r="A22" s="16" t="s">
        <v>9532</v>
      </c>
    </row>
    <row r="23" spans="1:1" x14ac:dyDescent="0.25">
      <c r="A23" s="16" t="s">
        <v>9531</v>
      </c>
    </row>
    <row r="24" spans="1:1" x14ac:dyDescent="0.25">
      <c r="A24" s="16" t="s">
        <v>9568</v>
      </c>
    </row>
    <row r="25" spans="1:1" x14ac:dyDescent="0.25">
      <c r="A25" s="16" t="s">
        <v>9555</v>
      </c>
    </row>
    <row r="26" spans="1:1" x14ac:dyDescent="0.25">
      <c r="A26" s="16" t="s">
        <v>2640</v>
      </c>
    </row>
    <row r="27" spans="1:1" x14ac:dyDescent="0.25">
      <c r="A27" s="16" t="s">
        <v>2602</v>
      </c>
    </row>
    <row r="28" spans="1:1" x14ac:dyDescent="0.25">
      <c r="A28" s="16" t="s">
        <v>9594</v>
      </c>
    </row>
    <row r="29" spans="1:1" x14ac:dyDescent="0.25">
      <c r="A29" s="16" t="s">
        <v>9535</v>
      </c>
    </row>
    <row r="30" spans="1:1" x14ac:dyDescent="0.25">
      <c r="A30" s="16" t="s">
        <v>9566</v>
      </c>
    </row>
    <row r="31" spans="1:1" x14ac:dyDescent="0.25">
      <c r="A31" s="16" t="s">
        <v>9522</v>
      </c>
    </row>
    <row r="32" spans="1:1" x14ac:dyDescent="0.25">
      <c r="A32" s="16" t="s">
        <v>9438</v>
      </c>
    </row>
    <row r="33" spans="1:1" x14ac:dyDescent="0.25">
      <c r="A33" s="16" t="s">
        <v>9611</v>
      </c>
    </row>
    <row r="34" spans="1:1" x14ac:dyDescent="0.25">
      <c r="A34" s="16" t="s">
        <v>9608</v>
      </c>
    </row>
    <row r="35" spans="1:1" x14ac:dyDescent="0.25">
      <c r="A35" s="16" t="s">
        <v>9517</v>
      </c>
    </row>
    <row r="36" spans="1:1" x14ac:dyDescent="0.25">
      <c r="A36" s="16" t="s">
        <v>8852</v>
      </c>
    </row>
    <row r="37" spans="1:1" x14ac:dyDescent="0.25">
      <c r="A37" s="16" t="s">
        <v>9592</v>
      </c>
    </row>
    <row r="38" spans="1:1" x14ac:dyDescent="0.25">
      <c r="A38" s="16" t="s">
        <v>9540</v>
      </c>
    </row>
    <row r="39" spans="1:1" x14ac:dyDescent="0.25">
      <c r="A39" s="16" t="s">
        <v>2172</v>
      </c>
    </row>
    <row r="40" spans="1:1" x14ac:dyDescent="0.25">
      <c r="A40" s="16" t="s">
        <v>1313</v>
      </c>
    </row>
    <row r="41" spans="1:1" x14ac:dyDescent="0.25">
      <c r="A41" s="16" t="s">
        <v>13095</v>
      </c>
    </row>
    <row r="42" spans="1:1" x14ac:dyDescent="0.25">
      <c r="A42" s="15" t="s">
        <v>9501</v>
      </c>
    </row>
    <row r="43" spans="1:1" x14ac:dyDescent="0.25">
      <c r="A43" s="16" t="s">
        <v>9512</v>
      </c>
    </row>
    <row r="44" spans="1:1" x14ac:dyDescent="0.25">
      <c r="A44" s="16" t="s">
        <v>9503</v>
      </c>
    </row>
    <row r="45" spans="1:1" x14ac:dyDescent="0.25">
      <c r="A45" s="16" t="s">
        <v>9057</v>
      </c>
    </row>
    <row r="46" spans="1:1" x14ac:dyDescent="0.25">
      <c r="A46" s="16" t="s">
        <v>9072</v>
      </c>
    </row>
    <row r="47" spans="1:1" x14ac:dyDescent="0.25">
      <c r="A47" s="15" t="s">
        <v>9165</v>
      </c>
    </row>
    <row r="48" spans="1:1" x14ac:dyDescent="0.25">
      <c r="A48" s="16" t="s">
        <v>8903</v>
      </c>
    </row>
    <row r="49" spans="1:1" x14ac:dyDescent="0.25">
      <c r="A49" s="16" t="s">
        <v>9297</v>
      </c>
    </row>
    <row r="50" spans="1:1" x14ac:dyDescent="0.25">
      <c r="A50" s="16" t="s">
        <v>9237</v>
      </c>
    </row>
    <row r="51" spans="1:1" x14ac:dyDescent="0.25">
      <c r="A51" s="16" t="s">
        <v>9431</v>
      </c>
    </row>
    <row r="52" spans="1:1" x14ac:dyDescent="0.25">
      <c r="A52" s="16" t="s">
        <v>9495</v>
      </c>
    </row>
    <row r="53" spans="1:1" x14ac:dyDescent="0.25">
      <c r="A53" s="16" t="s">
        <v>9279</v>
      </c>
    </row>
    <row r="54" spans="1:1" x14ac:dyDescent="0.25">
      <c r="A54" s="16" t="s">
        <v>9337</v>
      </c>
    </row>
    <row r="55" spans="1:1" x14ac:dyDescent="0.25">
      <c r="A55" s="16" t="s">
        <v>9454</v>
      </c>
    </row>
    <row r="56" spans="1:1" x14ac:dyDescent="0.25">
      <c r="A56" s="16" t="s">
        <v>9376</v>
      </c>
    </row>
    <row r="57" spans="1:1" x14ac:dyDescent="0.25">
      <c r="A57" s="16" t="s">
        <v>9528</v>
      </c>
    </row>
    <row r="58" spans="1:1" x14ac:dyDescent="0.25">
      <c r="A58" s="16" t="s">
        <v>9395</v>
      </c>
    </row>
    <row r="59" spans="1:1" x14ac:dyDescent="0.25">
      <c r="A59" s="16" t="s">
        <v>9526</v>
      </c>
    </row>
    <row r="60" spans="1:1" x14ac:dyDescent="0.25">
      <c r="A60" s="16" t="s">
        <v>9484</v>
      </c>
    </row>
    <row r="61" spans="1:1" x14ac:dyDescent="0.25">
      <c r="A61" s="16" t="s">
        <v>9398</v>
      </c>
    </row>
    <row r="62" spans="1:1" x14ac:dyDescent="0.25">
      <c r="A62" s="16" t="s">
        <v>9423</v>
      </c>
    </row>
    <row r="63" spans="1:1" x14ac:dyDescent="0.25">
      <c r="A63" s="16" t="s">
        <v>9480</v>
      </c>
    </row>
    <row r="64" spans="1:1" x14ac:dyDescent="0.25">
      <c r="A64" s="16" t="s">
        <v>9482</v>
      </c>
    </row>
    <row r="65" spans="1:1" x14ac:dyDescent="0.25">
      <c r="A65" s="16" t="s">
        <v>9466</v>
      </c>
    </row>
    <row r="66" spans="1:1" x14ac:dyDescent="0.25">
      <c r="A66" s="16" t="s">
        <v>9393</v>
      </c>
    </row>
    <row r="67" spans="1:1" x14ac:dyDescent="0.25">
      <c r="A67" s="16" t="s">
        <v>9384</v>
      </c>
    </row>
    <row r="68" spans="1:1" x14ac:dyDescent="0.25">
      <c r="A68" s="16" t="s">
        <v>9386</v>
      </c>
    </row>
    <row r="69" spans="1:1" x14ac:dyDescent="0.25">
      <c r="A69" s="16" t="s">
        <v>9371</v>
      </c>
    </row>
    <row r="70" spans="1:1" x14ac:dyDescent="0.25">
      <c r="A70" s="16" t="s">
        <v>9239</v>
      </c>
    </row>
    <row r="71" spans="1:1" x14ac:dyDescent="0.25">
      <c r="A71" s="16" t="s">
        <v>9343</v>
      </c>
    </row>
    <row r="72" spans="1:1" x14ac:dyDescent="0.25">
      <c r="A72" s="16" t="s">
        <v>9428</v>
      </c>
    </row>
    <row r="73" spans="1:1" x14ac:dyDescent="0.25">
      <c r="A73" s="16" t="s">
        <v>9590</v>
      </c>
    </row>
    <row r="74" spans="1:1" x14ac:dyDescent="0.25">
      <c r="A74" s="16" t="s">
        <v>9473</v>
      </c>
    </row>
    <row r="75" spans="1:1" x14ac:dyDescent="0.25">
      <c r="A75" s="16" t="s">
        <v>9464</v>
      </c>
    </row>
    <row r="76" spans="1:1" x14ac:dyDescent="0.25">
      <c r="A76" s="16" t="s">
        <v>9235</v>
      </c>
    </row>
    <row r="77" spans="1:1" x14ac:dyDescent="0.25">
      <c r="A77" s="16" t="s">
        <v>9355</v>
      </c>
    </row>
    <row r="78" spans="1:1" x14ac:dyDescent="0.25">
      <c r="A78" s="16" t="s">
        <v>9545</v>
      </c>
    </row>
    <row r="79" spans="1:1" x14ac:dyDescent="0.25">
      <c r="A79" s="16" t="s">
        <v>9291</v>
      </c>
    </row>
    <row r="80" spans="1:1" x14ac:dyDescent="0.25">
      <c r="A80" s="16" t="s">
        <v>9295</v>
      </c>
    </row>
    <row r="81" spans="1:1" x14ac:dyDescent="0.25">
      <c r="A81" s="16" t="s">
        <v>9382</v>
      </c>
    </row>
    <row r="82" spans="1:1" x14ac:dyDescent="0.25">
      <c r="A82" s="16" t="s">
        <v>9400</v>
      </c>
    </row>
    <row r="83" spans="1:1" x14ac:dyDescent="0.25">
      <c r="A83" s="16" t="s">
        <v>9402</v>
      </c>
    </row>
    <row r="84" spans="1:1" x14ac:dyDescent="0.25">
      <c r="A84" s="16" t="s">
        <v>9404</v>
      </c>
    </row>
    <row r="85" spans="1:1" x14ac:dyDescent="0.25">
      <c r="A85" s="16" t="s">
        <v>9406</v>
      </c>
    </row>
    <row r="86" spans="1:1" x14ac:dyDescent="0.25">
      <c r="A86" s="16" t="s">
        <v>9199</v>
      </c>
    </row>
    <row r="87" spans="1:1" x14ac:dyDescent="0.25">
      <c r="A87" s="16" t="s">
        <v>9615</v>
      </c>
    </row>
    <row r="88" spans="1:1" x14ac:dyDescent="0.25">
      <c r="A88" s="16" t="s">
        <v>9604</v>
      </c>
    </row>
    <row r="89" spans="1:1" x14ac:dyDescent="0.25">
      <c r="A89" s="16" t="s">
        <v>9451</v>
      </c>
    </row>
    <row r="90" spans="1:1" x14ac:dyDescent="0.25">
      <c r="A90" s="16" t="s">
        <v>9409</v>
      </c>
    </row>
    <row r="91" spans="1:1" x14ac:dyDescent="0.25">
      <c r="A91" s="16" t="s">
        <v>9607</v>
      </c>
    </row>
    <row r="92" spans="1:1" x14ac:dyDescent="0.25">
      <c r="A92" s="16" t="s">
        <v>8967</v>
      </c>
    </row>
    <row r="93" spans="1:1" x14ac:dyDescent="0.25">
      <c r="A93" s="16" t="s">
        <v>9443</v>
      </c>
    </row>
    <row r="94" spans="1:1" x14ac:dyDescent="0.25">
      <c r="A94" s="16" t="s">
        <v>9586</v>
      </c>
    </row>
    <row r="95" spans="1:1" x14ac:dyDescent="0.25">
      <c r="A95" s="16" t="s">
        <v>9524</v>
      </c>
    </row>
    <row r="96" spans="1:1" x14ac:dyDescent="0.25">
      <c r="A96" s="16" t="s">
        <v>9562</v>
      </c>
    </row>
    <row r="97" spans="1:1" x14ac:dyDescent="0.25">
      <c r="A97" s="16" t="s">
        <v>9543</v>
      </c>
    </row>
    <row r="98" spans="1:1" x14ac:dyDescent="0.25">
      <c r="A98" s="16" t="s">
        <v>9559</v>
      </c>
    </row>
    <row r="99" spans="1:1" x14ac:dyDescent="0.25">
      <c r="A99" s="16" t="s">
        <v>9348</v>
      </c>
    </row>
    <row r="100" spans="1:1" x14ac:dyDescent="0.25">
      <c r="A100" s="16" t="s">
        <v>9329</v>
      </c>
    </row>
    <row r="101" spans="1:1" x14ac:dyDescent="0.25">
      <c r="A101" s="16" t="s">
        <v>9221</v>
      </c>
    </row>
    <row r="102" spans="1:1" x14ac:dyDescent="0.25">
      <c r="A102" s="16" t="s">
        <v>9194</v>
      </c>
    </row>
    <row r="103" spans="1:1" x14ac:dyDescent="0.25">
      <c r="A103" s="16" t="s">
        <v>9519</v>
      </c>
    </row>
    <row r="104" spans="1:1" x14ac:dyDescent="0.25">
      <c r="A104" s="16" t="s">
        <v>9170</v>
      </c>
    </row>
    <row r="105" spans="1:1" x14ac:dyDescent="0.25">
      <c r="A105" s="16" t="s">
        <v>9181</v>
      </c>
    </row>
    <row r="106" spans="1:1" x14ac:dyDescent="0.25">
      <c r="A106" s="16" t="s">
        <v>9243</v>
      </c>
    </row>
    <row r="107" spans="1:1" x14ac:dyDescent="0.25">
      <c r="A107" s="16" t="s">
        <v>9112</v>
      </c>
    </row>
    <row r="108" spans="1:1" x14ac:dyDescent="0.25">
      <c r="A108" s="16" t="s">
        <v>9319</v>
      </c>
    </row>
    <row r="109" spans="1:1" x14ac:dyDescent="0.25">
      <c r="A109" s="16" t="s">
        <v>9155</v>
      </c>
    </row>
    <row r="110" spans="1:1" x14ac:dyDescent="0.25">
      <c r="A110" s="16" t="s">
        <v>9435</v>
      </c>
    </row>
    <row r="111" spans="1:1" x14ac:dyDescent="0.25">
      <c r="A111" s="16" t="s">
        <v>9613</v>
      </c>
    </row>
    <row r="112" spans="1:1" x14ac:dyDescent="0.25">
      <c r="A112" s="16" t="s">
        <v>9245</v>
      </c>
    </row>
    <row r="113" spans="1:1" x14ac:dyDescent="0.25">
      <c r="A113" s="16" t="s">
        <v>9266</v>
      </c>
    </row>
    <row r="114" spans="1:1" x14ac:dyDescent="0.25">
      <c r="A114" s="16" t="s">
        <v>272</v>
      </c>
    </row>
    <row r="115" spans="1:1" x14ac:dyDescent="0.25">
      <c r="A115" s="16" t="s">
        <v>9293</v>
      </c>
    </row>
    <row r="116" spans="1:1" x14ac:dyDescent="0.25">
      <c r="A116" s="16" t="s">
        <v>9352</v>
      </c>
    </row>
    <row r="117" spans="1:1" x14ac:dyDescent="0.25">
      <c r="A117" s="16" t="s">
        <v>9311</v>
      </c>
    </row>
    <row r="118" spans="1:1" x14ac:dyDescent="0.25">
      <c r="A118" s="16" t="s">
        <v>9309</v>
      </c>
    </row>
    <row r="119" spans="1:1" x14ac:dyDescent="0.25">
      <c r="A119" s="16" t="s">
        <v>9374</v>
      </c>
    </row>
    <row r="120" spans="1:1" x14ac:dyDescent="0.25">
      <c r="A120" s="16" t="s">
        <v>9269</v>
      </c>
    </row>
    <row r="121" spans="1:1" x14ac:dyDescent="0.25">
      <c r="A121" s="16" t="s">
        <v>2566</v>
      </c>
    </row>
    <row r="122" spans="1:1" x14ac:dyDescent="0.25">
      <c r="A122" s="16" t="s">
        <v>9365</v>
      </c>
    </row>
    <row r="123" spans="1:1" x14ac:dyDescent="0.25">
      <c r="A123" s="16" t="s">
        <v>9462</v>
      </c>
    </row>
    <row r="124" spans="1:1" x14ac:dyDescent="0.25">
      <c r="A124" s="16" t="s">
        <v>9530</v>
      </c>
    </row>
    <row r="125" spans="1:1" x14ac:dyDescent="0.25">
      <c r="A125" s="16" t="s">
        <v>9277</v>
      </c>
    </row>
    <row r="126" spans="1:1" x14ac:dyDescent="0.25">
      <c r="A126" s="16" t="s">
        <v>9425</v>
      </c>
    </row>
    <row r="127" spans="1:1" x14ac:dyDescent="0.25">
      <c r="A127" s="16" t="s">
        <v>2430</v>
      </c>
    </row>
    <row r="128" spans="1:1" x14ac:dyDescent="0.25">
      <c r="A128" s="16" t="s">
        <v>9323</v>
      </c>
    </row>
    <row r="129" spans="1:1" x14ac:dyDescent="0.25">
      <c r="A129" s="16" t="s">
        <v>9418</v>
      </c>
    </row>
    <row r="130" spans="1:1" x14ac:dyDescent="0.25">
      <c r="A130" s="16" t="s">
        <v>9191</v>
      </c>
    </row>
    <row r="131" spans="1:1" x14ac:dyDescent="0.25">
      <c r="A131" s="16" t="s">
        <v>9413</v>
      </c>
    </row>
    <row r="132" spans="1:1" x14ac:dyDescent="0.25">
      <c r="A132" s="16" t="s">
        <v>9189</v>
      </c>
    </row>
    <row r="133" spans="1:1" x14ac:dyDescent="0.25">
      <c r="A133" s="16" t="s">
        <v>9360</v>
      </c>
    </row>
    <row r="134" spans="1:1" x14ac:dyDescent="0.25">
      <c r="A134" s="16" t="s">
        <v>9438</v>
      </c>
    </row>
    <row r="135" spans="1:1" x14ac:dyDescent="0.25">
      <c r="A135" s="16" t="s">
        <v>9447</v>
      </c>
    </row>
    <row r="136" spans="1:1" x14ac:dyDescent="0.25">
      <c r="A136" s="16" t="s">
        <v>9460</v>
      </c>
    </row>
    <row r="137" spans="1:1" x14ac:dyDescent="0.25">
      <c r="A137" s="16" t="s">
        <v>9517</v>
      </c>
    </row>
    <row r="138" spans="1:1" x14ac:dyDescent="0.25">
      <c r="A138" s="16" t="s">
        <v>9176</v>
      </c>
    </row>
    <row r="139" spans="1:1" x14ac:dyDescent="0.25">
      <c r="A139" s="16" t="s">
        <v>9470</v>
      </c>
    </row>
    <row r="140" spans="1:1" x14ac:dyDescent="0.25">
      <c r="A140" s="16" t="s">
        <v>9233</v>
      </c>
    </row>
    <row r="141" spans="1:1" x14ac:dyDescent="0.25">
      <c r="A141" s="16" t="s">
        <v>9458</v>
      </c>
    </row>
    <row r="142" spans="1:1" x14ac:dyDescent="0.25">
      <c r="A142" s="16" t="s">
        <v>8852</v>
      </c>
    </row>
    <row r="143" spans="1:1" x14ac:dyDescent="0.25">
      <c r="A143" s="16" t="s">
        <v>9252</v>
      </c>
    </row>
    <row r="144" spans="1:1" x14ac:dyDescent="0.25">
      <c r="A144" s="16" t="s">
        <v>9183</v>
      </c>
    </row>
    <row r="145" spans="1:1" x14ac:dyDescent="0.25">
      <c r="A145" s="16" t="s">
        <v>9214</v>
      </c>
    </row>
    <row r="146" spans="1:1" x14ac:dyDescent="0.25">
      <c r="A146" s="16" t="s">
        <v>9475</v>
      </c>
    </row>
    <row r="147" spans="1:1" x14ac:dyDescent="0.25">
      <c r="A147" s="16" t="s">
        <v>9389</v>
      </c>
    </row>
    <row r="148" spans="1:1" x14ac:dyDescent="0.25">
      <c r="A148" s="16" t="s">
        <v>9186</v>
      </c>
    </row>
    <row r="149" spans="1:1" x14ac:dyDescent="0.25">
      <c r="A149" s="16" t="s">
        <v>9313</v>
      </c>
    </row>
    <row r="150" spans="1:1" x14ac:dyDescent="0.25">
      <c r="A150" s="16" t="s">
        <v>1928</v>
      </c>
    </row>
    <row r="151" spans="1:1" x14ac:dyDescent="0.25">
      <c r="A151" s="16" t="s">
        <v>9249</v>
      </c>
    </row>
    <row r="152" spans="1:1" x14ac:dyDescent="0.25">
      <c r="A152" s="16" t="s">
        <v>9478</v>
      </c>
    </row>
    <row r="153" spans="1:1" x14ac:dyDescent="0.25">
      <c r="A153" s="16" t="s">
        <v>9345</v>
      </c>
    </row>
    <row r="154" spans="1:1" x14ac:dyDescent="0.25">
      <c r="A154" s="16" t="s">
        <v>9284</v>
      </c>
    </row>
    <row r="155" spans="1:1" x14ac:dyDescent="0.25">
      <c r="A155" s="16" t="s">
        <v>9209</v>
      </c>
    </row>
    <row r="156" spans="1:1" x14ac:dyDescent="0.25">
      <c r="A156" s="16" t="s">
        <v>9219</v>
      </c>
    </row>
    <row r="157" spans="1:1" x14ac:dyDescent="0.25">
      <c r="A157" s="16" t="s">
        <v>9167</v>
      </c>
    </row>
    <row r="158" spans="1:1" x14ac:dyDescent="0.25">
      <c r="A158" s="16" t="s">
        <v>9204</v>
      </c>
    </row>
    <row r="159" spans="1:1" x14ac:dyDescent="0.25">
      <c r="A159" s="16" t="s">
        <v>9207</v>
      </c>
    </row>
    <row r="160" spans="1:1" x14ac:dyDescent="0.25">
      <c r="A160" s="16" t="s">
        <v>9449</v>
      </c>
    </row>
    <row r="161" spans="1:1" x14ac:dyDescent="0.25">
      <c r="A161" s="16" t="s">
        <v>9254</v>
      </c>
    </row>
    <row r="162" spans="1:1" x14ac:dyDescent="0.25">
      <c r="A162" s="16" t="s">
        <v>9261</v>
      </c>
    </row>
    <row r="163" spans="1:1" x14ac:dyDescent="0.25">
      <c r="A163" s="16" t="s">
        <v>9264</v>
      </c>
    </row>
    <row r="164" spans="1:1" x14ac:dyDescent="0.25">
      <c r="A164" s="16" t="s">
        <v>9350</v>
      </c>
    </row>
    <row r="165" spans="1:1" x14ac:dyDescent="0.25">
      <c r="A165" s="16" t="s">
        <v>9178</v>
      </c>
    </row>
    <row r="166" spans="1:1" x14ac:dyDescent="0.25">
      <c r="A166" s="16" t="s">
        <v>9196</v>
      </c>
    </row>
    <row r="167" spans="1:1" x14ac:dyDescent="0.25">
      <c r="A167" s="16" t="s">
        <v>9335</v>
      </c>
    </row>
    <row r="168" spans="1:1" x14ac:dyDescent="0.25">
      <c r="A168" s="16" t="s">
        <v>9492</v>
      </c>
    </row>
    <row r="169" spans="1:1" x14ac:dyDescent="0.25">
      <c r="A169" s="16" t="s">
        <v>9159</v>
      </c>
    </row>
    <row r="170" spans="1:1" x14ac:dyDescent="0.25">
      <c r="A170" s="16" t="s">
        <v>9420</v>
      </c>
    </row>
    <row r="171" spans="1:1" x14ac:dyDescent="0.25">
      <c r="A171" s="16" t="s">
        <v>9497</v>
      </c>
    </row>
    <row r="172" spans="1:1" x14ac:dyDescent="0.25">
      <c r="A172" s="16" t="s">
        <v>8907</v>
      </c>
    </row>
    <row r="173" spans="1:1" x14ac:dyDescent="0.25">
      <c r="A173" s="16" t="s">
        <v>9303</v>
      </c>
    </row>
    <row r="174" spans="1:1" x14ac:dyDescent="0.25">
      <c r="A174" s="16" t="s">
        <v>2172</v>
      </c>
    </row>
    <row r="175" spans="1:1" x14ac:dyDescent="0.25">
      <c r="A175" s="16" t="s">
        <v>9307</v>
      </c>
    </row>
    <row r="176" spans="1:1" x14ac:dyDescent="0.25">
      <c r="A176" s="16" t="s">
        <v>9286</v>
      </c>
    </row>
    <row r="177" spans="1:1" x14ac:dyDescent="0.25">
      <c r="A177" s="16" t="s">
        <v>9174</v>
      </c>
    </row>
    <row r="178" spans="1:1" x14ac:dyDescent="0.25">
      <c r="A178" s="16" t="s">
        <v>9326</v>
      </c>
    </row>
    <row r="179" spans="1:1" x14ac:dyDescent="0.25">
      <c r="A179" s="16" t="s">
        <v>9201</v>
      </c>
    </row>
    <row r="180" spans="1:1" x14ac:dyDescent="0.25">
      <c r="A180" s="16" t="s">
        <v>2793</v>
      </c>
    </row>
    <row r="181" spans="1:1" x14ac:dyDescent="0.25">
      <c r="A181" s="16" t="s">
        <v>9506</v>
      </c>
    </row>
    <row r="182" spans="1:1" x14ac:dyDescent="0.25">
      <c r="A182" s="16" t="s">
        <v>2762</v>
      </c>
    </row>
    <row r="183" spans="1:1" x14ac:dyDescent="0.25">
      <c r="A183" s="16" t="s">
        <v>1313</v>
      </c>
    </row>
    <row r="184" spans="1:1" x14ac:dyDescent="0.25">
      <c r="A184" s="16" t="s">
        <v>9223</v>
      </c>
    </row>
    <row r="185" spans="1:1" x14ac:dyDescent="0.25">
      <c r="A185" s="16" t="s">
        <v>9225</v>
      </c>
    </row>
    <row r="186" spans="1:1" x14ac:dyDescent="0.25">
      <c r="A186" s="16" t="s">
        <v>9341</v>
      </c>
    </row>
    <row r="187" spans="1:1" x14ac:dyDescent="0.25">
      <c r="A187" s="16" t="s">
        <v>9172</v>
      </c>
    </row>
    <row r="188" spans="1:1" x14ac:dyDescent="0.25">
      <c r="A188" s="16" t="s">
        <v>9216</v>
      </c>
    </row>
    <row r="189" spans="1:1" x14ac:dyDescent="0.25">
      <c r="A189" s="16" t="s">
        <v>9229</v>
      </c>
    </row>
    <row r="190" spans="1:1" x14ac:dyDescent="0.25">
      <c r="A190" s="16" t="s">
        <v>9231</v>
      </c>
    </row>
    <row r="191" spans="1:1" x14ac:dyDescent="0.25">
      <c r="A191" s="16" t="s">
        <v>9227</v>
      </c>
    </row>
    <row r="192" spans="1:1" x14ac:dyDescent="0.25">
      <c r="A192" s="16" t="s">
        <v>9300</v>
      </c>
    </row>
    <row r="193" spans="1:1" x14ac:dyDescent="0.25">
      <c r="A193" s="20">
        <v>46027</v>
      </c>
    </row>
    <row r="194" spans="1:1" x14ac:dyDescent="0.25">
      <c r="A194" s="20">
        <v>46116</v>
      </c>
    </row>
    <row r="195" spans="1:1" x14ac:dyDescent="0.25">
      <c r="A195" s="16" t="s">
        <v>13095</v>
      </c>
    </row>
    <row r="196" spans="1:1" x14ac:dyDescent="0.25">
      <c r="A196" s="15" t="s">
        <v>9595</v>
      </c>
    </row>
    <row r="197" spans="1:1" x14ac:dyDescent="0.25">
      <c r="A197" s="16" t="s">
        <v>9524</v>
      </c>
    </row>
    <row r="198" spans="1:1" x14ac:dyDescent="0.25">
      <c r="A198" s="16" t="s">
        <v>2640</v>
      </c>
    </row>
    <row r="199" spans="1:1" x14ac:dyDescent="0.25">
      <c r="A199" s="16" t="s">
        <v>1332</v>
      </c>
    </row>
    <row r="200" spans="1:1" x14ac:dyDescent="0.25">
      <c r="A200" s="15" t="s">
        <v>13095</v>
      </c>
    </row>
    <row r="201" spans="1:1" x14ac:dyDescent="0.25">
      <c r="A201" s="16" t="s">
        <v>13095</v>
      </c>
    </row>
    <row r="202" spans="1:1" x14ac:dyDescent="0.25">
      <c r="A202" s="15" t="s">
        <v>13096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4A35D-79B1-40AC-BB01-17400400BB39}">
  <dimension ref="A1:I335"/>
  <sheetViews>
    <sheetView workbookViewId="0">
      <selection sqref="A1:XFD1048576"/>
    </sheetView>
  </sheetViews>
  <sheetFormatPr baseColWidth="10" defaultRowHeight="15" x14ac:dyDescent="0.25"/>
  <cols>
    <col min="1" max="1" width="24.7109375" bestFit="1" customWidth="1"/>
    <col min="2" max="2" width="4.42578125" bestFit="1" customWidth="1"/>
    <col min="3" max="3" width="14.85546875" bestFit="1" customWidth="1"/>
    <col min="4" max="4" width="12.28515625" bestFit="1" customWidth="1"/>
    <col min="5" max="5" width="19.28515625" bestFit="1" customWidth="1"/>
    <col min="6" max="6" width="10.7109375" bestFit="1" customWidth="1"/>
    <col min="7" max="7" width="13.7109375" bestFit="1" customWidth="1"/>
    <col min="8" max="8" width="45.5703125" bestFit="1" customWidth="1"/>
    <col min="9" max="9" width="12" bestFit="1" customWidth="1"/>
  </cols>
  <sheetData>
    <row r="1" spans="1:9" x14ac:dyDescent="0.25">
      <c r="A1" t="s">
        <v>3324</v>
      </c>
      <c r="B1" t="s">
        <v>8854</v>
      </c>
      <c r="C1" t="s">
        <v>8855</v>
      </c>
      <c r="D1" t="s">
        <v>8856</v>
      </c>
      <c r="E1" t="s">
        <v>8857</v>
      </c>
      <c r="F1" t="s">
        <v>8858</v>
      </c>
      <c r="G1" t="s">
        <v>9162</v>
      </c>
      <c r="H1" t="s">
        <v>9163</v>
      </c>
      <c r="I1" t="s">
        <v>8862</v>
      </c>
    </row>
    <row r="2" spans="1:9" x14ac:dyDescent="0.25">
      <c r="A2" t="s">
        <v>9164</v>
      </c>
      <c r="C2" t="s">
        <v>9165</v>
      </c>
      <c r="D2" t="s">
        <v>9166</v>
      </c>
      <c r="E2" t="s">
        <v>9167</v>
      </c>
      <c r="F2" s="1">
        <v>43851</v>
      </c>
      <c r="G2" t="str">
        <f>"300081"</f>
        <v>300081</v>
      </c>
      <c r="H2" t="s">
        <v>2045</v>
      </c>
      <c r="I2">
        <v>89280</v>
      </c>
    </row>
    <row r="3" spans="1:9" x14ac:dyDescent="0.25">
      <c r="A3" t="s">
        <v>9164</v>
      </c>
      <c r="C3" t="s">
        <v>9165</v>
      </c>
      <c r="D3" t="s">
        <v>9168</v>
      </c>
      <c r="E3" t="s">
        <v>2172</v>
      </c>
      <c r="F3" s="1">
        <v>43945</v>
      </c>
      <c r="G3" t="str">
        <f t="shared" ref="G3:G12" si="0">"300115"</f>
        <v>300115</v>
      </c>
      <c r="H3" t="s">
        <v>2938</v>
      </c>
      <c r="I3">
        <v>38959.153200000001</v>
      </c>
    </row>
    <row r="4" spans="1:9" x14ac:dyDescent="0.25">
      <c r="A4" t="s">
        <v>9164</v>
      </c>
      <c r="C4" t="s">
        <v>9165</v>
      </c>
      <c r="D4" t="s">
        <v>9169</v>
      </c>
      <c r="E4" t="s">
        <v>9170</v>
      </c>
      <c r="F4" s="1">
        <v>43946</v>
      </c>
      <c r="G4" t="str">
        <f t="shared" si="0"/>
        <v>300115</v>
      </c>
      <c r="H4" t="s">
        <v>2938</v>
      </c>
      <c r="I4">
        <v>14941.789500000001</v>
      </c>
    </row>
    <row r="5" spans="1:9" x14ac:dyDescent="0.25">
      <c r="A5" t="s">
        <v>9164</v>
      </c>
      <c r="C5" t="s">
        <v>9165</v>
      </c>
      <c r="D5" t="s">
        <v>9171</v>
      </c>
      <c r="E5" t="s">
        <v>9172</v>
      </c>
      <c r="F5" s="1">
        <v>43956</v>
      </c>
      <c r="G5" t="str">
        <f t="shared" si="0"/>
        <v>300115</v>
      </c>
      <c r="H5" t="s">
        <v>2938</v>
      </c>
      <c r="I5">
        <v>39493.684999999998</v>
      </c>
    </row>
    <row r="6" spans="1:9" x14ac:dyDescent="0.25">
      <c r="A6" t="s">
        <v>9164</v>
      </c>
      <c r="C6" t="s">
        <v>9165</v>
      </c>
      <c r="D6" t="s">
        <v>9173</v>
      </c>
      <c r="E6" t="s">
        <v>9174</v>
      </c>
      <c r="F6" s="1">
        <v>43960</v>
      </c>
      <c r="G6" t="str">
        <f t="shared" si="0"/>
        <v>300115</v>
      </c>
      <c r="H6" t="s">
        <v>2938</v>
      </c>
      <c r="I6">
        <v>27368.871200000001</v>
      </c>
    </row>
    <row r="7" spans="1:9" x14ac:dyDescent="0.25">
      <c r="A7" t="s">
        <v>9164</v>
      </c>
      <c r="C7" t="s">
        <v>9165</v>
      </c>
      <c r="D7" t="s">
        <v>9175</v>
      </c>
      <c r="E7" t="s">
        <v>9176</v>
      </c>
      <c r="F7" s="1">
        <v>43963</v>
      </c>
      <c r="G7" t="str">
        <f t="shared" si="0"/>
        <v>300115</v>
      </c>
      <c r="H7" t="s">
        <v>2938</v>
      </c>
      <c r="I7">
        <v>4752</v>
      </c>
    </row>
    <row r="8" spans="1:9" x14ac:dyDescent="0.25">
      <c r="A8" t="s">
        <v>9164</v>
      </c>
      <c r="C8" t="s">
        <v>9165</v>
      </c>
      <c r="D8" t="s">
        <v>9177</v>
      </c>
      <c r="E8" t="s">
        <v>9178</v>
      </c>
      <c r="F8" s="1">
        <v>43969</v>
      </c>
      <c r="G8" t="str">
        <f t="shared" si="0"/>
        <v>300115</v>
      </c>
      <c r="H8" t="s">
        <v>2938</v>
      </c>
      <c r="I8">
        <v>105655</v>
      </c>
    </row>
    <row r="9" spans="1:9" x14ac:dyDescent="0.25">
      <c r="A9" t="s">
        <v>9164</v>
      </c>
      <c r="C9" t="s">
        <v>9165</v>
      </c>
      <c r="D9" t="s">
        <v>9179</v>
      </c>
      <c r="F9" s="1">
        <v>43969</v>
      </c>
      <c r="G9" t="str">
        <f t="shared" si="0"/>
        <v>300115</v>
      </c>
      <c r="H9" t="s">
        <v>2938</v>
      </c>
      <c r="I9">
        <v>386100</v>
      </c>
    </row>
    <row r="10" spans="1:9" x14ac:dyDescent="0.25">
      <c r="A10" t="s">
        <v>9164</v>
      </c>
      <c r="C10" t="s">
        <v>9165</v>
      </c>
      <c r="D10" t="s">
        <v>9180</v>
      </c>
      <c r="E10" t="s">
        <v>9181</v>
      </c>
      <c r="F10" s="1">
        <v>43972</v>
      </c>
      <c r="G10" t="str">
        <f t="shared" si="0"/>
        <v>300115</v>
      </c>
      <c r="H10" t="s">
        <v>2938</v>
      </c>
      <c r="I10">
        <v>91193.337400000004</v>
      </c>
    </row>
    <row r="11" spans="1:9" x14ac:dyDescent="0.25">
      <c r="A11" t="s">
        <v>9164</v>
      </c>
      <c r="C11" t="s">
        <v>9165</v>
      </c>
      <c r="D11" t="s">
        <v>9182</v>
      </c>
      <c r="E11" t="s">
        <v>9183</v>
      </c>
      <c r="F11" s="1">
        <v>43972</v>
      </c>
      <c r="G11" t="str">
        <f t="shared" si="0"/>
        <v>300115</v>
      </c>
      <c r="H11" t="s">
        <v>2938</v>
      </c>
      <c r="I11">
        <v>158664</v>
      </c>
    </row>
    <row r="12" spans="1:9" x14ac:dyDescent="0.25">
      <c r="A12" t="s">
        <v>9164</v>
      </c>
      <c r="C12" t="s">
        <v>9165</v>
      </c>
      <c r="D12" t="s">
        <v>9184</v>
      </c>
      <c r="E12" s="2">
        <v>46027</v>
      </c>
      <c r="F12" s="1">
        <v>43994</v>
      </c>
      <c r="G12" t="str">
        <f t="shared" si="0"/>
        <v>300115</v>
      </c>
      <c r="H12" t="s">
        <v>2938</v>
      </c>
      <c r="I12">
        <v>85358.592000000004</v>
      </c>
    </row>
    <row r="13" spans="1:9" x14ac:dyDescent="0.25">
      <c r="A13" t="s">
        <v>9164</v>
      </c>
      <c r="C13" t="s">
        <v>9165</v>
      </c>
      <c r="D13" t="s">
        <v>9185</v>
      </c>
      <c r="E13" t="s">
        <v>9186</v>
      </c>
      <c r="F13" s="1">
        <v>44004</v>
      </c>
      <c r="G13" t="str">
        <f>"300302"</f>
        <v>300302</v>
      </c>
      <c r="H13" t="s">
        <v>2690</v>
      </c>
      <c r="I13">
        <v>6300</v>
      </c>
    </row>
    <row r="14" spans="1:9" x14ac:dyDescent="0.25">
      <c r="A14" t="s">
        <v>9164</v>
      </c>
      <c r="C14" t="s">
        <v>9165</v>
      </c>
      <c r="D14" t="s">
        <v>9187</v>
      </c>
      <c r="E14" t="s">
        <v>9172</v>
      </c>
      <c r="F14" s="1">
        <v>44006</v>
      </c>
      <c r="G14" t="str">
        <f t="shared" ref="G14:G21" si="1">"300115"</f>
        <v>300115</v>
      </c>
      <c r="H14" t="s">
        <v>2938</v>
      </c>
      <c r="I14">
        <v>49335.752399999998</v>
      </c>
    </row>
    <row r="15" spans="1:9" x14ac:dyDescent="0.25">
      <c r="A15" t="s">
        <v>9164</v>
      </c>
      <c r="C15" t="s">
        <v>9165</v>
      </c>
      <c r="D15" t="s">
        <v>9188</v>
      </c>
      <c r="E15" t="s">
        <v>9189</v>
      </c>
      <c r="F15" s="1">
        <v>44014</v>
      </c>
      <c r="G15" t="str">
        <f t="shared" si="1"/>
        <v>300115</v>
      </c>
      <c r="H15" t="s">
        <v>2938</v>
      </c>
      <c r="I15">
        <v>405107.40600000002</v>
      </c>
    </row>
    <row r="16" spans="1:9" x14ac:dyDescent="0.25">
      <c r="A16" t="s">
        <v>9164</v>
      </c>
      <c r="C16" t="s">
        <v>9165</v>
      </c>
      <c r="D16" t="s">
        <v>9190</v>
      </c>
      <c r="E16" t="s">
        <v>9191</v>
      </c>
      <c r="F16" s="1">
        <v>44020</v>
      </c>
      <c r="G16" t="str">
        <f t="shared" si="1"/>
        <v>300115</v>
      </c>
      <c r="H16" t="s">
        <v>2938</v>
      </c>
      <c r="I16">
        <v>634800.44099999999</v>
      </c>
    </row>
    <row r="17" spans="1:9" x14ac:dyDescent="0.25">
      <c r="A17" t="s">
        <v>9164</v>
      </c>
      <c r="C17" t="s">
        <v>9165</v>
      </c>
      <c r="D17" t="s">
        <v>9192</v>
      </c>
      <c r="E17" t="s">
        <v>9189</v>
      </c>
      <c r="F17" s="1">
        <v>44035</v>
      </c>
      <c r="G17" t="str">
        <f t="shared" si="1"/>
        <v>300115</v>
      </c>
      <c r="H17" t="s">
        <v>2938</v>
      </c>
      <c r="I17">
        <v>3091330.1275999998</v>
      </c>
    </row>
    <row r="18" spans="1:9" x14ac:dyDescent="0.25">
      <c r="A18" t="s">
        <v>9164</v>
      </c>
      <c r="C18" t="s">
        <v>9165</v>
      </c>
      <c r="D18" t="s">
        <v>9193</v>
      </c>
      <c r="E18" t="s">
        <v>9194</v>
      </c>
      <c r="F18" s="1">
        <v>44036</v>
      </c>
      <c r="G18" t="str">
        <f t="shared" si="1"/>
        <v>300115</v>
      </c>
      <c r="H18" t="s">
        <v>2938</v>
      </c>
      <c r="I18">
        <v>16414.930400000001</v>
      </c>
    </row>
    <row r="19" spans="1:9" x14ac:dyDescent="0.25">
      <c r="A19" t="s">
        <v>9164</v>
      </c>
      <c r="C19" t="s">
        <v>9165</v>
      </c>
      <c r="D19" t="s">
        <v>9195</v>
      </c>
      <c r="E19" t="s">
        <v>9196</v>
      </c>
      <c r="F19" s="1">
        <v>44071</v>
      </c>
      <c r="G19" t="str">
        <f t="shared" si="1"/>
        <v>300115</v>
      </c>
      <c r="H19" t="s">
        <v>2938</v>
      </c>
      <c r="I19">
        <v>74250</v>
      </c>
    </row>
    <row r="20" spans="1:9" x14ac:dyDescent="0.25">
      <c r="A20" t="s">
        <v>9164</v>
      </c>
      <c r="C20" t="s">
        <v>9165</v>
      </c>
      <c r="D20" t="s">
        <v>9197</v>
      </c>
      <c r="E20" t="s">
        <v>9189</v>
      </c>
      <c r="F20" s="1">
        <v>44076</v>
      </c>
      <c r="G20" t="str">
        <f t="shared" si="1"/>
        <v>300115</v>
      </c>
      <c r="H20" t="s">
        <v>2938</v>
      </c>
      <c r="I20">
        <v>17183.832600000002</v>
      </c>
    </row>
    <row r="21" spans="1:9" x14ac:dyDescent="0.25">
      <c r="A21" t="s">
        <v>9164</v>
      </c>
      <c r="C21" t="s">
        <v>9165</v>
      </c>
      <c r="D21" t="s">
        <v>9198</v>
      </c>
      <c r="E21" t="s">
        <v>9199</v>
      </c>
      <c r="F21" s="1">
        <v>44091</v>
      </c>
      <c r="G21" t="str">
        <f t="shared" si="1"/>
        <v>300115</v>
      </c>
      <c r="H21" t="s">
        <v>2938</v>
      </c>
      <c r="I21">
        <v>10175</v>
      </c>
    </row>
    <row r="22" spans="1:9" x14ac:dyDescent="0.25">
      <c r="A22" t="s">
        <v>9164</v>
      </c>
      <c r="C22" t="s">
        <v>9165</v>
      </c>
      <c r="D22" t="s">
        <v>9200</v>
      </c>
      <c r="E22" t="s">
        <v>9201</v>
      </c>
      <c r="F22" s="1">
        <v>44110</v>
      </c>
      <c r="G22" t="str">
        <f>"300081"</f>
        <v>300081</v>
      </c>
      <c r="H22" t="s">
        <v>2045</v>
      </c>
      <c r="I22">
        <v>106750</v>
      </c>
    </row>
    <row r="23" spans="1:9" x14ac:dyDescent="0.25">
      <c r="A23" t="s">
        <v>9164</v>
      </c>
      <c r="C23" t="s">
        <v>9165</v>
      </c>
      <c r="D23" t="s">
        <v>9202</v>
      </c>
      <c r="E23" t="s">
        <v>9191</v>
      </c>
      <c r="F23" s="1">
        <v>44117</v>
      </c>
      <c r="G23" t="str">
        <f>"300115"</f>
        <v>300115</v>
      </c>
      <c r="H23" t="s">
        <v>2938</v>
      </c>
      <c r="I23">
        <v>100208.317</v>
      </c>
    </row>
    <row r="24" spans="1:9" x14ac:dyDescent="0.25">
      <c r="A24" t="s">
        <v>9164</v>
      </c>
      <c r="C24" t="s">
        <v>9165</v>
      </c>
      <c r="D24" t="s">
        <v>9203</v>
      </c>
      <c r="E24" t="s">
        <v>9204</v>
      </c>
      <c r="F24" s="1">
        <v>44117</v>
      </c>
      <c r="G24" t="str">
        <f>"300115"</f>
        <v>300115</v>
      </c>
      <c r="H24" t="s">
        <v>2938</v>
      </c>
      <c r="I24">
        <v>70547.399999999994</v>
      </c>
    </row>
    <row r="25" spans="1:9" x14ac:dyDescent="0.25">
      <c r="A25" t="s">
        <v>9164</v>
      </c>
      <c r="C25" t="s">
        <v>9165</v>
      </c>
      <c r="D25" t="s">
        <v>9205</v>
      </c>
      <c r="E25" t="s">
        <v>2172</v>
      </c>
      <c r="F25" s="1">
        <v>44118</v>
      </c>
      <c r="G25" t="str">
        <f>"300115"</f>
        <v>300115</v>
      </c>
      <c r="H25" t="s">
        <v>2938</v>
      </c>
      <c r="I25">
        <v>1207324.6680000001</v>
      </c>
    </row>
    <row r="26" spans="1:9" x14ac:dyDescent="0.25">
      <c r="A26" t="s">
        <v>9164</v>
      </c>
      <c r="C26" t="s">
        <v>9165</v>
      </c>
      <c r="D26" t="s">
        <v>9206</v>
      </c>
      <c r="E26" t="s">
        <v>9207</v>
      </c>
      <c r="F26" s="1">
        <v>44121</v>
      </c>
      <c r="G26" t="str">
        <f>"300115"</f>
        <v>300115</v>
      </c>
      <c r="H26" t="s">
        <v>2938</v>
      </c>
      <c r="I26">
        <v>2200</v>
      </c>
    </row>
    <row r="27" spans="1:9" x14ac:dyDescent="0.25">
      <c r="A27" t="s">
        <v>9164</v>
      </c>
      <c r="C27" t="s">
        <v>9165</v>
      </c>
      <c r="D27" t="s">
        <v>9208</v>
      </c>
      <c r="E27" t="s">
        <v>9209</v>
      </c>
      <c r="F27" s="1">
        <v>44127</v>
      </c>
      <c r="G27" t="str">
        <f>"300076"</f>
        <v>300076</v>
      </c>
      <c r="H27" t="s">
        <v>2905</v>
      </c>
      <c r="I27">
        <v>3000</v>
      </c>
    </row>
    <row r="28" spans="1:9" x14ac:dyDescent="0.25">
      <c r="A28" t="s">
        <v>9164</v>
      </c>
      <c r="C28" t="s">
        <v>9165</v>
      </c>
      <c r="D28" t="s">
        <v>9210</v>
      </c>
      <c r="E28" t="s">
        <v>9191</v>
      </c>
      <c r="F28" s="1">
        <v>44137</v>
      </c>
      <c r="G28" t="str">
        <f t="shared" ref="G28:G33" si="2">"300115"</f>
        <v>300115</v>
      </c>
      <c r="H28" t="s">
        <v>2938</v>
      </c>
      <c r="I28">
        <v>417704.1</v>
      </c>
    </row>
    <row r="29" spans="1:9" x14ac:dyDescent="0.25">
      <c r="A29" t="s">
        <v>9164</v>
      </c>
      <c r="C29" t="s">
        <v>9165</v>
      </c>
      <c r="D29" t="s">
        <v>9211</v>
      </c>
      <c r="E29" t="s">
        <v>9181</v>
      </c>
      <c r="F29" s="1">
        <v>44140</v>
      </c>
      <c r="G29" t="str">
        <f t="shared" si="2"/>
        <v>300115</v>
      </c>
      <c r="H29" t="s">
        <v>2938</v>
      </c>
      <c r="I29">
        <v>198659.0221</v>
      </c>
    </row>
    <row r="30" spans="1:9" x14ac:dyDescent="0.25">
      <c r="A30" t="s">
        <v>9164</v>
      </c>
      <c r="C30" t="s">
        <v>9165</v>
      </c>
      <c r="D30" t="s">
        <v>9212</v>
      </c>
      <c r="E30" t="s">
        <v>9191</v>
      </c>
      <c r="F30" s="1">
        <v>44144</v>
      </c>
      <c r="G30" t="str">
        <f t="shared" si="2"/>
        <v>300115</v>
      </c>
      <c r="H30" t="s">
        <v>2938</v>
      </c>
      <c r="I30">
        <v>36301.65</v>
      </c>
    </row>
    <row r="31" spans="1:9" x14ac:dyDescent="0.25">
      <c r="A31" t="s">
        <v>9164</v>
      </c>
      <c r="C31" t="s">
        <v>9165</v>
      </c>
      <c r="D31" t="s">
        <v>9213</v>
      </c>
      <c r="E31" t="s">
        <v>9214</v>
      </c>
      <c r="F31" s="1">
        <v>44148</v>
      </c>
      <c r="G31" t="str">
        <f t="shared" si="2"/>
        <v>300115</v>
      </c>
      <c r="H31" t="s">
        <v>2938</v>
      </c>
      <c r="I31">
        <v>434138.56199999998</v>
      </c>
    </row>
    <row r="32" spans="1:9" x14ac:dyDescent="0.25">
      <c r="A32" t="s">
        <v>9164</v>
      </c>
      <c r="C32" t="s">
        <v>9165</v>
      </c>
      <c r="D32" t="s">
        <v>9215</v>
      </c>
      <c r="E32" t="s">
        <v>9216</v>
      </c>
      <c r="F32" s="1">
        <v>44154</v>
      </c>
      <c r="G32" t="str">
        <f t="shared" si="2"/>
        <v>300115</v>
      </c>
      <c r="H32" t="s">
        <v>2938</v>
      </c>
      <c r="I32">
        <v>8409.3768</v>
      </c>
    </row>
    <row r="33" spans="1:9" x14ac:dyDescent="0.25">
      <c r="A33" t="s">
        <v>9164</v>
      </c>
      <c r="C33" t="s">
        <v>9165</v>
      </c>
      <c r="D33" t="s">
        <v>9217</v>
      </c>
      <c r="E33" t="s">
        <v>9189</v>
      </c>
      <c r="F33" s="1">
        <v>44154</v>
      </c>
      <c r="G33" t="str">
        <f t="shared" si="2"/>
        <v>300115</v>
      </c>
      <c r="H33" t="s">
        <v>2938</v>
      </c>
      <c r="I33">
        <v>523498.8616</v>
      </c>
    </row>
    <row r="34" spans="1:9" x14ac:dyDescent="0.25">
      <c r="A34" t="s">
        <v>9164</v>
      </c>
      <c r="C34" t="s">
        <v>9165</v>
      </c>
      <c r="D34" t="s">
        <v>9218</v>
      </c>
      <c r="E34" t="s">
        <v>9219</v>
      </c>
      <c r="F34" s="1">
        <v>44160</v>
      </c>
      <c r="G34" t="str">
        <f>"300081"</f>
        <v>300081</v>
      </c>
      <c r="H34" t="s">
        <v>2045</v>
      </c>
      <c r="I34">
        <v>1041.67</v>
      </c>
    </row>
    <row r="35" spans="1:9" x14ac:dyDescent="0.25">
      <c r="A35" t="s">
        <v>9164</v>
      </c>
      <c r="C35" t="s">
        <v>9165</v>
      </c>
      <c r="D35" t="s">
        <v>9220</v>
      </c>
      <c r="E35" t="s">
        <v>9221</v>
      </c>
      <c r="F35" s="1">
        <v>44175</v>
      </c>
      <c r="G35" t="str">
        <f t="shared" ref="G35:G76" si="3">"300115"</f>
        <v>300115</v>
      </c>
      <c r="H35" t="s">
        <v>2938</v>
      </c>
      <c r="I35">
        <v>14929.683999999999</v>
      </c>
    </row>
    <row r="36" spans="1:9" x14ac:dyDescent="0.25">
      <c r="A36" t="s">
        <v>9164</v>
      </c>
      <c r="C36" t="s">
        <v>9165</v>
      </c>
      <c r="D36" t="s">
        <v>9222</v>
      </c>
      <c r="E36" t="s">
        <v>9223</v>
      </c>
      <c r="F36" s="1">
        <v>44189</v>
      </c>
      <c r="G36" t="str">
        <f t="shared" si="3"/>
        <v>300115</v>
      </c>
      <c r="H36" t="s">
        <v>2938</v>
      </c>
      <c r="I36">
        <v>612184.21</v>
      </c>
    </row>
    <row r="37" spans="1:9" x14ac:dyDescent="0.25">
      <c r="A37" t="s">
        <v>9164</v>
      </c>
      <c r="C37" t="s">
        <v>9165</v>
      </c>
      <c r="D37" t="s">
        <v>9224</v>
      </c>
      <c r="E37" t="s">
        <v>9225</v>
      </c>
      <c r="F37" s="1">
        <v>44189</v>
      </c>
      <c r="G37" t="str">
        <f t="shared" si="3"/>
        <v>300115</v>
      </c>
      <c r="H37" t="s">
        <v>2938</v>
      </c>
      <c r="I37">
        <v>2297680</v>
      </c>
    </row>
    <row r="38" spans="1:9" x14ac:dyDescent="0.25">
      <c r="A38" t="s">
        <v>9164</v>
      </c>
      <c r="C38" t="s">
        <v>9165</v>
      </c>
      <c r="D38" t="s">
        <v>9226</v>
      </c>
      <c r="E38" t="s">
        <v>9227</v>
      </c>
      <c r="F38" s="1">
        <v>44190</v>
      </c>
      <c r="G38" t="str">
        <f t="shared" si="3"/>
        <v>300115</v>
      </c>
      <c r="H38" t="s">
        <v>2938</v>
      </c>
      <c r="I38">
        <v>152130</v>
      </c>
    </row>
    <row r="39" spans="1:9" x14ac:dyDescent="0.25">
      <c r="A39" t="s">
        <v>9164</v>
      </c>
      <c r="C39" t="s">
        <v>9165</v>
      </c>
      <c r="D39" t="s">
        <v>9228</v>
      </c>
      <c r="E39" t="s">
        <v>9229</v>
      </c>
      <c r="F39" s="1">
        <v>44190</v>
      </c>
      <c r="G39" t="str">
        <f t="shared" si="3"/>
        <v>300115</v>
      </c>
      <c r="H39" t="s">
        <v>2938</v>
      </c>
      <c r="I39">
        <v>76065</v>
      </c>
    </row>
    <row r="40" spans="1:9" x14ac:dyDescent="0.25">
      <c r="A40" t="s">
        <v>9164</v>
      </c>
      <c r="C40" t="s">
        <v>9165</v>
      </c>
      <c r="D40" t="s">
        <v>9230</v>
      </c>
      <c r="E40" t="s">
        <v>9231</v>
      </c>
      <c r="F40" s="1">
        <v>44190</v>
      </c>
      <c r="G40" t="str">
        <f t="shared" si="3"/>
        <v>300115</v>
      </c>
      <c r="H40" t="s">
        <v>2938</v>
      </c>
      <c r="I40">
        <v>76065</v>
      </c>
    </row>
    <row r="41" spans="1:9" x14ac:dyDescent="0.25">
      <c r="A41" t="s">
        <v>9164</v>
      </c>
      <c r="C41" t="s">
        <v>9165</v>
      </c>
      <c r="D41" t="s">
        <v>9232</v>
      </c>
      <c r="E41" t="s">
        <v>9233</v>
      </c>
      <c r="F41" s="1">
        <v>44196</v>
      </c>
      <c r="G41" t="str">
        <f t="shared" si="3"/>
        <v>300115</v>
      </c>
      <c r="H41" t="s">
        <v>2938</v>
      </c>
      <c r="I41">
        <v>13824.755999999999</v>
      </c>
    </row>
    <row r="42" spans="1:9" x14ac:dyDescent="0.25">
      <c r="A42" t="s">
        <v>9164</v>
      </c>
      <c r="C42" t="s">
        <v>9165</v>
      </c>
      <c r="D42" t="s">
        <v>9234</v>
      </c>
      <c r="E42" t="s">
        <v>9235</v>
      </c>
      <c r="F42" s="1">
        <v>44203</v>
      </c>
      <c r="G42" t="str">
        <f t="shared" si="3"/>
        <v>300115</v>
      </c>
      <c r="H42" t="s">
        <v>2938</v>
      </c>
      <c r="I42">
        <v>91524.356</v>
      </c>
    </row>
    <row r="43" spans="1:9" x14ac:dyDescent="0.25">
      <c r="A43" t="s">
        <v>9164</v>
      </c>
      <c r="C43" t="s">
        <v>9165</v>
      </c>
      <c r="D43" t="s">
        <v>9236</v>
      </c>
      <c r="E43" t="s">
        <v>9237</v>
      </c>
      <c r="F43" s="1">
        <v>44208</v>
      </c>
      <c r="G43" t="str">
        <f t="shared" si="3"/>
        <v>300115</v>
      </c>
      <c r="H43" t="s">
        <v>2938</v>
      </c>
      <c r="I43">
        <v>40225.68</v>
      </c>
    </row>
    <row r="44" spans="1:9" x14ac:dyDescent="0.25">
      <c r="A44" t="s">
        <v>9164</v>
      </c>
      <c r="C44" t="s">
        <v>9165</v>
      </c>
      <c r="D44" t="s">
        <v>9238</v>
      </c>
      <c r="E44" t="s">
        <v>9239</v>
      </c>
      <c r="F44" s="1">
        <v>44210</v>
      </c>
      <c r="G44" t="str">
        <f t="shared" si="3"/>
        <v>300115</v>
      </c>
      <c r="H44" t="s">
        <v>2938</v>
      </c>
      <c r="I44">
        <v>1678501.2749999999</v>
      </c>
    </row>
    <row r="45" spans="1:9" x14ac:dyDescent="0.25">
      <c r="A45" t="s">
        <v>9164</v>
      </c>
      <c r="C45" t="s">
        <v>9165</v>
      </c>
      <c r="D45" t="s">
        <v>9240</v>
      </c>
      <c r="E45" t="s">
        <v>2172</v>
      </c>
      <c r="F45" s="1">
        <v>44214</v>
      </c>
      <c r="G45" t="str">
        <f t="shared" si="3"/>
        <v>300115</v>
      </c>
      <c r="H45" t="s">
        <v>2938</v>
      </c>
      <c r="I45">
        <v>104346.39599999999</v>
      </c>
    </row>
    <row r="46" spans="1:9" x14ac:dyDescent="0.25">
      <c r="A46" t="s">
        <v>9164</v>
      </c>
      <c r="C46" t="s">
        <v>9165</v>
      </c>
      <c r="D46" t="s">
        <v>9241</v>
      </c>
      <c r="E46" t="s">
        <v>2172</v>
      </c>
      <c r="F46" s="1">
        <v>44214</v>
      </c>
      <c r="G46" t="str">
        <f t="shared" si="3"/>
        <v>300115</v>
      </c>
      <c r="H46" t="s">
        <v>2938</v>
      </c>
      <c r="I46">
        <v>93401.066000000006</v>
      </c>
    </row>
    <row r="47" spans="1:9" x14ac:dyDescent="0.25">
      <c r="A47" t="s">
        <v>9164</v>
      </c>
      <c r="C47" t="s">
        <v>9165</v>
      </c>
      <c r="D47" t="s">
        <v>9242</v>
      </c>
      <c r="E47" t="s">
        <v>9243</v>
      </c>
      <c r="F47" s="1">
        <v>44215</v>
      </c>
      <c r="G47" t="str">
        <f t="shared" si="3"/>
        <v>300115</v>
      </c>
      <c r="H47" t="s">
        <v>2938</v>
      </c>
      <c r="I47">
        <v>165749.76000000001</v>
      </c>
    </row>
    <row r="48" spans="1:9" x14ac:dyDescent="0.25">
      <c r="A48" t="s">
        <v>9164</v>
      </c>
      <c r="C48" t="s">
        <v>9165</v>
      </c>
      <c r="D48" t="s">
        <v>9244</v>
      </c>
      <c r="E48" t="s">
        <v>9245</v>
      </c>
      <c r="F48" s="1">
        <v>44232</v>
      </c>
      <c r="G48" t="str">
        <f t="shared" si="3"/>
        <v>300115</v>
      </c>
      <c r="H48" t="s">
        <v>2938</v>
      </c>
      <c r="I48">
        <v>20328</v>
      </c>
    </row>
    <row r="49" spans="1:9" x14ac:dyDescent="0.25">
      <c r="A49" t="s">
        <v>9164</v>
      </c>
      <c r="C49" t="s">
        <v>9165</v>
      </c>
      <c r="D49" t="s">
        <v>9246</v>
      </c>
      <c r="E49" t="s">
        <v>2172</v>
      </c>
      <c r="F49" s="1">
        <v>44235</v>
      </c>
      <c r="G49" t="str">
        <f t="shared" si="3"/>
        <v>300115</v>
      </c>
      <c r="H49" t="s">
        <v>2938</v>
      </c>
      <c r="I49">
        <v>9012.8279999999995</v>
      </c>
    </row>
    <row r="50" spans="1:9" x14ac:dyDescent="0.25">
      <c r="A50" t="s">
        <v>9164</v>
      </c>
      <c r="C50" t="s">
        <v>9165</v>
      </c>
      <c r="D50" t="s">
        <v>9247</v>
      </c>
      <c r="E50" t="s">
        <v>9194</v>
      </c>
      <c r="F50" s="1">
        <v>44235</v>
      </c>
      <c r="G50" t="str">
        <f t="shared" si="3"/>
        <v>300115</v>
      </c>
      <c r="H50" t="s">
        <v>2938</v>
      </c>
      <c r="I50">
        <v>275838.55200000003</v>
      </c>
    </row>
    <row r="51" spans="1:9" x14ac:dyDescent="0.25">
      <c r="A51" t="s">
        <v>9164</v>
      </c>
      <c r="C51" t="s">
        <v>9165</v>
      </c>
      <c r="D51" t="s">
        <v>9248</v>
      </c>
      <c r="E51" t="s">
        <v>9249</v>
      </c>
      <c r="F51" s="1">
        <v>44245</v>
      </c>
      <c r="G51" t="str">
        <f t="shared" si="3"/>
        <v>300115</v>
      </c>
      <c r="H51" t="s">
        <v>2938</v>
      </c>
      <c r="I51">
        <v>316169.56800000003</v>
      </c>
    </row>
    <row r="52" spans="1:9" x14ac:dyDescent="0.25">
      <c r="A52" t="s">
        <v>9164</v>
      </c>
      <c r="C52" t="s">
        <v>9165</v>
      </c>
      <c r="D52" t="s">
        <v>9250</v>
      </c>
      <c r="E52" t="s">
        <v>2172</v>
      </c>
      <c r="F52" s="1">
        <v>44245</v>
      </c>
      <c r="G52" t="str">
        <f t="shared" si="3"/>
        <v>300115</v>
      </c>
      <c r="H52" t="s">
        <v>2938</v>
      </c>
      <c r="I52">
        <v>7929802.4960000003</v>
      </c>
    </row>
    <row r="53" spans="1:9" x14ac:dyDescent="0.25">
      <c r="A53" t="s">
        <v>9164</v>
      </c>
      <c r="C53" t="s">
        <v>9165</v>
      </c>
      <c r="D53" t="s">
        <v>9251</v>
      </c>
      <c r="E53" t="s">
        <v>9252</v>
      </c>
      <c r="F53" s="1">
        <v>44257</v>
      </c>
      <c r="G53" t="str">
        <f t="shared" si="3"/>
        <v>300115</v>
      </c>
      <c r="H53" t="s">
        <v>2938</v>
      </c>
      <c r="I53">
        <v>60206.96</v>
      </c>
    </row>
    <row r="54" spans="1:9" x14ac:dyDescent="0.25">
      <c r="A54" t="s">
        <v>9164</v>
      </c>
      <c r="C54" t="s">
        <v>9165</v>
      </c>
      <c r="D54" t="s">
        <v>9253</v>
      </c>
      <c r="E54" t="s">
        <v>9254</v>
      </c>
      <c r="F54" s="1">
        <v>44273</v>
      </c>
      <c r="G54" t="str">
        <f t="shared" si="3"/>
        <v>300115</v>
      </c>
      <c r="H54" t="s">
        <v>2938</v>
      </c>
      <c r="I54">
        <v>18771.768400000001</v>
      </c>
    </row>
    <row r="55" spans="1:9" x14ac:dyDescent="0.25">
      <c r="A55" t="s">
        <v>9164</v>
      </c>
      <c r="C55" t="s">
        <v>9165</v>
      </c>
      <c r="D55" t="s">
        <v>9255</v>
      </c>
      <c r="E55" t="s">
        <v>9254</v>
      </c>
      <c r="F55" s="1">
        <v>44279</v>
      </c>
      <c r="G55" t="str">
        <f t="shared" si="3"/>
        <v>300115</v>
      </c>
      <c r="H55" t="s">
        <v>2938</v>
      </c>
      <c r="I55">
        <v>202840</v>
      </c>
    </row>
    <row r="56" spans="1:9" x14ac:dyDescent="0.25">
      <c r="A56" t="s">
        <v>9164</v>
      </c>
      <c r="C56" t="s">
        <v>9165</v>
      </c>
      <c r="D56" t="s">
        <v>9256</v>
      </c>
      <c r="E56" t="s">
        <v>9249</v>
      </c>
      <c r="F56" s="1">
        <v>44281</v>
      </c>
      <c r="G56" t="str">
        <f t="shared" si="3"/>
        <v>300115</v>
      </c>
      <c r="H56" t="s">
        <v>2938</v>
      </c>
      <c r="I56">
        <v>474254.35200000001</v>
      </c>
    </row>
    <row r="57" spans="1:9" x14ac:dyDescent="0.25">
      <c r="A57" t="s">
        <v>9164</v>
      </c>
      <c r="C57" t="s">
        <v>9165</v>
      </c>
      <c r="D57" t="s">
        <v>9257</v>
      </c>
      <c r="E57" t="s">
        <v>2430</v>
      </c>
      <c r="F57" s="1">
        <v>44289</v>
      </c>
      <c r="G57" t="str">
        <f t="shared" si="3"/>
        <v>300115</v>
      </c>
      <c r="H57" t="s">
        <v>2938</v>
      </c>
      <c r="I57">
        <v>202917</v>
      </c>
    </row>
    <row r="58" spans="1:9" x14ac:dyDescent="0.25">
      <c r="A58" t="s">
        <v>9164</v>
      </c>
      <c r="C58" t="s">
        <v>9165</v>
      </c>
      <c r="D58" t="s">
        <v>9258</v>
      </c>
      <c r="E58" t="s">
        <v>2566</v>
      </c>
      <c r="F58" s="1">
        <v>44295</v>
      </c>
      <c r="G58" t="str">
        <f t="shared" si="3"/>
        <v>300115</v>
      </c>
      <c r="H58" t="s">
        <v>2938</v>
      </c>
      <c r="I58">
        <v>2339492.5641999999</v>
      </c>
    </row>
    <row r="59" spans="1:9" x14ac:dyDescent="0.25">
      <c r="A59" t="s">
        <v>9164</v>
      </c>
      <c r="C59" t="s">
        <v>9165</v>
      </c>
      <c r="D59" t="s">
        <v>9259</v>
      </c>
      <c r="E59" t="s">
        <v>8852</v>
      </c>
      <c r="F59" s="1">
        <v>44298</v>
      </c>
      <c r="G59" t="str">
        <f t="shared" si="3"/>
        <v>300115</v>
      </c>
      <c r="H59" t="s">
        <v>2938</v>
      </c>
      <c r="I59">
        <v>54146.822399999997</v>
      </c>
    </row>
    <row r="60" spans="1:9" x14ac:dyDescent="0.25">
      <c r="A60" t="s">
        <v>9164</v>
      </c>
      <c r="C60" t="s">
        <v>9165</v>
      </c>
      <c r="D60" t="s">
        <v>9260</v>
      </c>
      <c r="E60" t="s">
        <v>9261</v>
      </c>
      <c r="F60" s="1">
        <v>44307</v>
      </c>
      <c r="G60" t="str">
        <f t="shared" si="3"/>
        <v>300115</v>
      </c>
      <c r="H60" t="s">
        <v>2938</v>
      </c>
      <c r="I60">
        <v>66528</v>
      </c>
    </row>
    <row r="61" spans="1:9" x14ac:dyDescent="0.25">
      <c r="A61" t="s">
        <v>9164</v>
      </c>
      <c r="C61" t="s">
        <v>9165</v>
      </c>
      <c r="D61" t="s">
        <v>9262</v>
      </c>
      <c r="E61" t="s">
        <v>9191</v>
      </c>
      <c r="F61" s="1">
        <v>44308</v>
      </c>
      <c r="G61" t="str">
        <f t="shared" si="3"/>
        <v>300115</v>
      </c>
      <c r="H61" t="s">
        <v>2938</v>
      </c>
      <c r="I61">
        <v>173061.21799999999</v>
      </c>
    </row>
    <row r="62" spans="1:9" x14ac:dyDescent="0.25">
      <c r="A62" t="s">
        <v>9164</v>
      </c>
      <c r="C62" t="s">
        <v>9165</v>
      </c>
      <c r="D62" t="s">
        <v>9263</v>
      </c>
      <c r="E62" t="s">
        <v>9264</v>
      </c>
      <c r="F62" s="1">
        <v>44335</v>
      </c>
      <c r="G62" t="str">
        <f t="shared" si="3"/>
        <v>300115</v>
      </c>
      <c r="H62" t="s">
        <v>2938</v>
      </c>
      <c r="I62">
        <v>369600</v>
      </c>
    </row>
    <row r="63" spans="1:9" x14ac:dyDescent="0.25">
      <c r="A63" t="s">
        <v>9164</v>
      </c>
      <c r="C63" t="s">
        <v>9165</v>
      </c>
      <c r="D63" t="s">
        <v>9265</v>
      </c>
      <c r="E63" t="s">
        <v>9266</v>
      </c>
      <c r="F63" s="1">
        <v>44341</v>
      </c>
      <c r="G63" t="str">
        <f t="shared" si="3"/>
        <v>300115</v>
      </c>
      <c r="H63" t="s">
        <v>2938</v>
      </c>
      <c r="I63">
        <v>32778.196000000004</v>
      </c>
    </row>
    <row r="64" spans="1:9" x14ac:dyDescent="0.25">
      <c r="A64" t="s">
        <v>9164</v>
      </c>
      <c r="C64" t="s">
        <v>9165</v>
      </c>
      <c r="D64" t="s">
        <v>9267</v>
      </c>
      <c r="E64" t="s">
        <v>9266</v>
      </c>
      <c r="F64" s="1">
        <v>44341</v>
      </c>
      <c r="G64" t="str">
        <f t="shared" si="3"/>
        <v>300115</v>
      </c>
      <c r="H64" t="s">
        <v>2938</v>
      </c>
      <c r="I64">
        <v>45456.857600000003</v>
      </c>
    </row>
    <row r="65" spans="1:9" x14ac:dyDescent="0.25">
      <c r="A65" t="s">
        <v>9164</v>
      </c>
      <c r="C65" t="s">
        <v>9165</v>
      </c>
      <c r="D65" t="s">
        <v>9268</v>
      </c>
      <c r="E65" t="s">
        <v>9269</v>
      </c>
      <c r="F65" s="1">
        <v>44344</v>
      </c>
      <c r="G65" t="str">
        <f t="shared" si="3"/>
        <v>300115</v>
      </c>
      <c r="H65" t="s">
        <v>2938</v>
      </c>
      <c r="I65">
        <v>619520</v>
      </c>
    </row>
    <row r="66" spans="1:9" x14ac:dyDescent="0.25">
      <c r="A66" t="s">
        <v>9164</v>
      </c>
      <c r="C66" t="s">
        <v>9165</v>
      </c>
      <c r="D66" t="s">
        <v>9270</v>
      </c>
      <c r="E66" t="s">
        <v>9269</v>
      </c>
      <c r="F66" s="1">
        <v>44344</v>
      </c>
      <c r="G66" t="str">
        <f t="shared" si="3"/>
        <v>300115</v>
      </c>
      <c r="H66" t="s">
        <v>2938</v>
      </c>
      <c r="I66">
        <v>601677.82400000002</v>
      </c>
    </row>
    <row r="67" spans="1:9" x14ac:dyDescent="0.25">
      <c r="A67" t="s">
        <v>9164</v>
      </c>
      <c r="C67" t="s">
        <v>9165</v>
      </c>
      <c r="D67" t="s">
        <v>9271</v>
      </c>
      <c r="E67" t="s">
        <v>2172</v>
      </c>
      <c r="F67" s="1">
        <v>44345</v>
      </c>
      <c r="G67" t="str">
        <f t="shared" si="3"/>
        <v>300115</v>
      </c>
      <c r="H67" t="s">
        <v>2938</v>
      </c>
      <c r="I67">
        <v>1759558.5083999999</v>
      </c>
    </row>
    <row r="68" spans="1:9" x14ac:dyDescent="0.25">
      <c r="A68" t="s">
        <v>9164</v>
      </c>
      <c r="C68" t="s">
        <v>9165</v>
      </c>
      <c r="D68" t="s">
        <v>9272</v>
      </c>
      <c r="E68" t="s">
        <v>2172</v>
      </c>
      <c r="F68" s="1">
        <v>44355</v>
      </c>
      <c r="G68" t="str">
        <f t="shared" si="3"/>
        <v>300115</v>
      </c>
      <c r="H68" t="s">
        <v>2938</v>
      </c>
      <c r="I68">
        <v>9081.7628000000004</v>
      </c>
    </row>
    <row r="69" spans="1:9" x14ac:dyDescent="0.25">
      <c r="A69" t="s">
        <v>9164</v>
      </c>
      <c r="C69" t="s">
        <v>9165</v>
      </c>
      <c r="D69" t="s">
        <v>9273</v>
      </c>
      <c r="E69" t="s">
        <v>9243</v>
      </c>
      <c r="F69" s="1">
        <v>44359</v>
      </c>
      <c r="G69" t="str">
        <f t="shared" si="3"/>
        <v>300115</v>
      </c>
      <c r="H69" t="s">
        <v>2938</v>
      </c>
      <c r="I69">
        <v>802204.84299999999</v>
      </c>
    </row>
    <row r="70" spans="1:9" x14ac:dyDescent="0.25">
      <c r="A70" t="s">
        <v>9164</v>
      </c>
      <c r="C70" t="s">
        <v>9165</v>
      </c>
      <c r="D70" t="s">
        <v>9274</v>
      </c>
      <c r="E70" t="s">
        <v>2172</v>
      </c>
      <c r="F70" s="1">
        <v>44362</v>
      </c>
      <c r="G70" t="str">
        <f t="shared" si="3"/>
        <v>300115</v>
      </c>
      <c r="H70" t="s">
        <v>2938</v>
      </c>
      <c r="I70">
        <v>2052600</v>
      </c>
    </row>
    <row r="71" spans="1:9" x14ac:dyDescent="0.25">
      <c r="A71" t="s">
        <v>9164</v>
      </c>
      <c r="C71" t="s">
        <v>9165</v>
      </c>
      <c r="D71" t="s">
        <v>9275</v>
      </c>
      <c r="E71" t="s">
        <v>9189</v>
      </c>
      <c r="F71" s="1">
        <v>44369</v>
      </c>
      <c r="G71" t="str">
        <f t="shared" si="3"/>
        <v>300115</v>
      </c>
      <c r="H71" t="s">
        <v>2938</v>
      </c>
      <c r="I71">
        <v>111936.84480000001</v>
      </c>
    </row>
    <row r="72" spans="1:9" x14ac:dyDescent="0.25">
      <c r="A72" t="s">
        <v>9164</v>
      </c>
      <c r="C72" t="s">
        <v>9165</v>
      </c>
      <c r="D72" t="s">
        <v>9276</v>
      </c>
      <c r="E72" t="s">
        <v>9277</v>
      </c>
      <c r="F72" s="1">
        <v>44380</v>
      </c>
      <c r="G72" t="str">
        <f t="shared" si="3"/>
        <v>300115</v>
      </c>
      <c r="H72" t="s">
        <v>2938</v>
      </c>
      <c r="I72">
        <v>152277.84</v>
      </c>
    </row>
    <row r="73" spans="1:9" x14ac:dyDescent="0.25">
      <c r="A73" t="s">
        <v>9164</v>
      </c>
      <c r="C73" t="s">
        <v>9165</v>
      </c>
      <c r="D73" t="s">
        <v>9278</v>
      </c>
      <c r="E73" t="s">
        <v>9279</v>
      </c>
      <c r="F73" s="1">
        <v>44432</v>
      </c>
      <c r="G73" t="str">
        <f t="shared" si="3"/>
        <v>300115</v>
      </c>
      <c r="H73" t="s">
        <v>2938</v>
      </c>
      <c r="I73">
        <v>133903.42240000001</v>
      </c>
    </row>
    <row r="74" spans="1:9" x14ac:dyDescent="0.25">
      <c r="A74" t="s">
        <v>9164</v>
      </c>
      <c r="C74" t="s">
        <v>9165</v>
      </c>
      <c r="D74" t="s">
        <v>9280</v>
      </c>
      <c r="E74" t="s">
        <v>8852</v>
      </c>
      <c r="F74" s="1">
        <v>44446</v>
      </c>
      <c r="G74" t="str">
        <f t="shared" si="3"/>
        <v>300115</v>
      </c>
      <c r="H74" t="s">
        <v>2938</v>
      </c>
      <c r="I74">
        <v>203030.61900000001</v>
      </c>
    </row>
    <row r="75" spans="1:9" x14ac:dyDescent="0.25">
      <c r="A75" t="s">
        <v>9164</v>
      </c>
      <c r="C75" t="s">
        <v>9165</v>
      </c>
      <c r="D75" t="s">
        <v>9281</v>
      </c>
      <c r="E75" t="s">
        <v>1313</v>
      </c>
      <c r="F75" s="1">
        <v>44460</v>
      </c>
      <c r="G75" t="str">
        <f t="shared" si="3"/>
        <v>300115</v>
      </c>
      <c r="H75" t="s">
        <v>2938</v>
      </c>
      <c r="I75">
        <v>1458170.1816</v>
      </c>
    </row>
    <row r="76" spans="1:9" x14ac:dyDescent="0.25">
      <c r="A76" t="s">
        <v>9164</v>
      </c>
      <c r="C76" t="s">
        <v>9165</v>
      </c>
      <c r="D76" t="s">
        <v>9282</v>
      </c>
      <c r="E76" t="s">
        <v>8907</v>
      </c>
      <c r="F76" s="1">
        <v>44460</v>
      </c>
      <c r="G76" t="str">
        <f t="shared" si="3"/>
        <v>300115</v>
      </c>
      <c r="H76" t="s">
        <v>2938</v>
      </c>
      <c r="I76">
        <v>7117000</v>
      </c>
    </row>
    <row r="77" spans="1:9" x14ac:dyDescent="0.25">
      <c r="A77" t="s">
        <v>9164</v>
      </c>
      <c r="C77" t="s">
        <v>9165</v>
      </c>
      <c r="D77" t="s">
        <v>9283</v>
      </c>
      <c r="E77" t="s">
        <v>9284</v>
      </c>
      <c r="F77" s="1">
        <v>44469</v>
      </c>
      <c r="G77" t="str">
        <f>"300076"</f>
        <v>300076</v>
      </c>
      <c r="H77" t="s">
        <v>2905</v>
      </c>
      <c r="I77">
        <v>4200</v>
      </c>
    </row>
    <row r="78" spans="1:9" x14ac:dyDescent="0.25">
      <c r="A78" t="s">
        <v>9164</v>
      </c>
      <c r="C78" t="s">
        <v>9165</v>
      </c>
      <c r="D78" t="s">
        <v>9285</v>
      </c>
      <c r="E78" t="s">
        <v>9286</v>
      </c>
      <c r="F78" s="1">
        <v>44484</v>
      </c>
      <c r="G78" t="str">
        <f>"300115"</f>
        <v>300115</v>
      </c>
      <c r="H78" t="s">
        <v>2938</v>
      </c>
      <c r="I78">
        <v>188456.22289999999</v>
      </c>
    </row>
    <row r="79" spans="1:9" x14ac:dyDescent="0.25">
      <c r="A79" t="s">
        <v>9164</v>
      </c>
      <c r="C79" t="s">
        <v>9165</v>
      </c>
      <c r="D79" t="s">
        <v>9287</v>
      </c>
      <c r="E79" t="s">
        <v>9264</v>
      </c>
      <c r="F79" s="1">
        <v>44497</v>
      </c>
      <c r="G79" t="str">
        <f>"300115"</f>
        <v>300115</v>
      </c>
      <c r="H79" t="s">
        <v>2938</v>
      </c>
      <c r="I79">
        <v>202840</v>
      </c>
    </row>
    <row r="80" spans="1:9" x14ac:dyDescent="0.25">
      <c r="A80" t="s">
        <v>9164</v>
      </c>
      <c r="C80" t="s">
        <v>9165</v>
      </c>
      <c r="D80" t="s">
        <v>9288</v>
      </c>
      <c r="E80" t="s">
        <v>9189</v>
      </c>
      <c r="F80" s="1">
        <v>44509</v>
      </c>
      <c r="G80" t="str">
        <f>"300115"</f>
        <v>300115</v>
      </c>
      <c r="H80" t="s">
        <v>2938</v>
      </c>
      <c r="I80">
        <v>7623.6952000000001</v>
      </c>
    </row>
    <row r="81" spans="1:9" x14ac:dyDescent="0.25">
      <c r="A81" t="s">
        <v>9164</v>
      </c>
      <c r="C81" t="s">
        <v>9165</v>
      </c>
      <c r="D81" t="s">
        <v>9289</v>
      </c>
      <c r="E81" t="s">
        <v>2172</v>
      </c>
      <c r="F81" s="1">
        <v>44510</v>
      </c>
      <c r="G81" t="str">
        <f>"300115"</f>
        <v>300115</v>
      </c>
      <c r="H81" t="s">
        <v>2938</v>
      </c>
      <c r="I81">
        <v>368902.92560000002</v>
      </c>
    </row>
    <row r="82" spans="1:9" x14ac:dyDescent="0.25">
      <c r="A82" t="s">
        <v>9164</v>
      </c>
      <c r="C82" t="s">
        <v>9165</v>
      </c>
      <c r="D82" t="s">
        <v>9290</v>
      </c>
      <c r="E82" t="s">
        <v>9291</v>
      </c>
      <c r="F82" s="1">
        <v>44515</v>
      </c>
      <c r="G82" t="str">
        <f>"300115"</f>
        <v>300115</v>
      </c>
      <c r="H82" t="s">
        <v>2938</v>
      </c>
      <c r="I82">
        <v>317884.908</v>
      </c>
    </row>
    <row r="83" spans="1:9" x14ac:dyDescent="0.25">
      <c r="A83" t="s">
        <v>9164</v>
      </c>
      <c r="C83" t="s">
        <v>9165</v>
      </c>
      <c r="D83" t="s">
        <v>9292</v>
      </c>
      <c r="E83" t="s">
        <v>9293</v>
      </c>
      <c r="F83" s="1">
        <v>44560</v>
      </c>
      <c r="G83" t="str">
        <f>"300312"</f>
        <v>300312</v>
      </c>
      <c r="H83" t="s">
        <v>3053</v>
      </c>
      <c r="I83">
        <v>15586.56</v>
      </c>
    </row>
    <row r="84" spans="1:9" x14ac:dyDescent="0.25">
      <c r="A84" t="s">
        <v>9164</v>
      </c>
      <c r="C84" t="s">
        <v>9165</v>
      </c>
      <c r="D84" t="s">
        <v>9294</v>
      </c>
      <c r="E84" t="s">
        <v>9295</v>
      </c>
      <c r="F84" s="1">
        <v>44571</v>
      </c>
      <c r="G84" t="str">
        <f>"300081"</f>
        <v>300081</v>
      </c>
      <c r="H84" t="s">
        <v>2045</v>
      </c>
      <c r="I84">
        <v>121150.08</v>
      </c>
    </row>
    <row r="85" spans="1:9" x14ac:dyDescent="0.25">
      <c r="A85" t="s">
        <v>9164</v>
      </c>
      <c r="C85" t="s">
        <v>9165</v>
      </c>
      <c r="D85" t="s">
        <v>9296</v>
      </c>
      <c r="E85" t="s">
        <v>9297</v>
      </c>
      <c r="F85" s="1">
        <v>44580</v>
      </c>
      <c r="G85" t="str">
        <f t="shared" ref="G85:G104" si="4">"300115"</f>
        <v>300115</v>
      </c>
      <c r="H85" t="s">
        <v>2938</v>
      </c>
      <c r="I85">
        <v>816512.46600000001</v>
      </c>
    </row>
    <row r="86" spans="1:9" x14ac:dyDescent="0.25">
      <c r="A86" t="s">
        <v>9164</v>
      </c>
      <c r="C86" t="s">
        <v>9165</v>
      </c>
      <c r="D86" t="s">
        <v>9298</v>
      </c>
      <c r="E86" t="s">
        <v>9239</v>
      </c>
      <c r="F86" s="1">
        <v>44585</v>
      </c>
      <c r="G86" t="str">
        <f t="shared" si="4"/>
        <v>300115</v>
      </c>
      <c r="H86" t="s">
        <v>2938</v>
      </c>
      <c r="I86">
        <v>3335108.6252000001</v>
      </c>
    </row>
    <row r="87" spans="1:9" x14ac:dyDescent="0.25">
      <c r="A87" t="s">
        <v>9164</v>
      </c>
      <c r="C87" t="s">
        <v>9165</v>
      </c>
      <c r="D87" t="s">
        <v>9299</v>
      </c>
      <c r="E87" t="s">
        <v>9300</v>
      </c>
      <c r="F87" s="1">
        <v>44646</v>
      </c>
      <c r="G87" t="str">
        <f t="shared" si="4"/>
        <v>300115</v>
      </c>
      <c r="H87" t="s">
        <v>2938</v>
      </c>
      <c r="I87">
        <v>0</v>
      </c>
    </row>
    <row r="88" spans="1:9" x14ac:dyDescent="0.25">
      <c r="A88" t="s">
        <v>9164</v>
      </c>
      <c r="C88" t="s">
        <v>9165</v>
      </c>
      <c r="D88" t="s">
        <v>9301</v>
      </c>
      <c r="E88" t="s">
        <v>9300</v>
      </c>
      <c r="F88" s="1">
        <v>44651</v>
      </c>
      <c r="G88" t="str">
        <f t="shared" si="4"/>
        <v>300115</v>
      </c>
      <c r="H88" t="s">
        <v>2938</v>
      </c>
      <c r="I88">
        <v>105917.0442</v>
      </c>
    </row>
    <row r="89" spans="1:9" x14ac:dyDescent="0.25">
      <c r="A89" t="s">
        <v>9164</v>
      </c>
      <c r="C89" t="s">
        <v>9165</v>
      </c>
      <c r="D89" t="s">
        <v>9302</v>
      </c>
      <c r="E89" t="s">
        <v>9303</v>
      </c>
      <c r="F89" s="1">
        <v>44670</v>
      </c>
      <c r="G89" t="str">
        <f t="shared" si="4"/>
        <v>300115</v>
      </c>
      <c r="H89" t="s">
        <v>2938</v>
      </c>
      <c r="I89">
        <v>1588087.5053999999</v>
      </c>
    </row>
    <row r="90" spans="1:9" x14ac:dyDescent="0.25">
      <c r="A90" t="s">
        <v>9164</v>
      </c>
      <c r="C90" t="s">
        <v>9165</v>
      </c>
      <c r="D90" t="s">
        <v>9304</v>
      </c>
      <c r="E90" t="s">
        <v>9189</v>
      </c>
      <c r="F90" s="1">
        <v>44677</v>
      </c>
      <c r="G90" t="str">
        <f t="shared" si="4"/>
        <v>300115</v>
      </c>
      <c r="H90" t="s">
        <v>2938</v>
      </c>
      <c r="I90">
        <v>46779.612000000001</v>
      </c>
    </row>
    <row r="91" spans="1:9" x14ac:dyDescent="0.25">
      <c r="A91" t="s">
        <v>9164</v>
      </c>
      <c r="C91" t="s">
        <v>9165</v>
      </c>
      <c r="D91" t="s">
        <v>9305</v>
      </c>
      <c r="E91" s="2">
        <v>46027</v>
      </c>
      <c r="F91" s="1">
        <v>44694</v>
      </c>
      <c r="G91" t="str">
        <f t="shared" si="4"/>
        <v>300115</v>
      </c>
      <c r="H91" t="s">
        <v>2938</v>
      </c>
      <c r="I91">
        <v>104018.80499999999</v>
      </c>
    </row>
    <row r="92" spans="1:9" x14ac:dyDescent="0.25">
      <c r="A92" t="s">
        <v>9164</v>
      </c>
      <c r="C92" t="s">
        <v>9165</v>
      </c>
      <c r="D92" t="s">
        <v>9306</v>
      </c>
      <c r="E92" t="s">
        <v>9307</v>
      </c>
      <c r="F92" s="1">
        <v>44721</v>
      </c>
      <c r="G92" t="str">
        <f t="shared" si="4"/>
        <v>300115</v>
      </c>
      <c r="H92" t="s">
        <v>2938</v>
      </c>
      <c r="I92">
        <v>17769.5144</v>
      </c>
    </row>
    <row r="93" spans="1:9" x14ac:dyDescent="0.25">
      <c r="A93" t="s">
        <v>9164</v>
      </c>
      <c r="C93" t="s">
        <v>9165</v>
      </c>
      <c r="D93" t="s">
        <v>9308</v>
      </c>
      <c r="E93" t="s">
        <v>9309</v>
      </c>
      <c r="F93" s="1">
        <v>44725</v>
      </c>
      <c r="G93" t="str">
        <f t="shared" si="4"/>
        <v>300115</v>
      </c>
      <c r="H93" t="s">
        <v>2938</v>
      </c>
      <c r="I93">
        <v>0</v>
      </c>
    </row>
    <row r="94" spans="1:9" x14ac:dyDescent="0.25">
      <c r="A94" t="s">
        <v>9164</v>
      </c>
      <c r="C94" t="s">
        <v>9165</v>
      </c>
      <c r="D94" t="s">
        <v>9310</v>
      </c>
      <c r="E94" t="s">
        <v>9311</v>
      </c>
      <c r="F94" s="1">
        <v>44725</v>
      </c>
      <c r="G94" t="str">
        <f t="shared" si="4"/>
        <v>300115</v>
      </c>
      <c r="H94" t="s">
        <v>2938</v>
      </c>
      <c r="I94">
        <v>4079397.8412000001</v>
      </c>
    </row>
    <row r="95" spans="1:9" x14ac:dyDescent="0.25">
      <c r="A95" t="s">
        <v>9164</v>
      </c>
      <c r="C95" t="s">
        <v>9165</v>
      </c>
      <c r="D95" t="s">
        <v>9312</v>
      </c>
      <c r="E95" t="s">
        <v>9313</v>
      </c>
      <c r="F95" s="1">
        <v>44767</v>
      </c>
      <c r="G95" t="str">
        <f t="shared" si="4"/>
        <v>300115</v>
      </c>
      <c r="H95" t="s">
        <v>2938</v>
      </c>
      <c r="I95">
        <v>660194.21710000001</v>
      </c>
    </row>
    <row r="96" spans="1:9" x14ac:dyDescent="0.25">
      <c r="A96" t="s">
        <v>9164</v>
      </c>
      <c r="C96" t="s">
        <v>9165</v>
      </c>
      <c r="D96" t="s">
        <v>9314</v>
      </c>
      <c r="E96" s="2">
        <v>46027</v>
      </c>
      <c r="F96" s="1">
        <v>44784</v>
      </c>
      <c r="G96" t="str">
        <f t="shared" si="4"/>
        <v>300115</v>
      </c>
      <c r="H96" t="s">
        <v>2938</v>
      </c>
      <c r="I96">
        <v>129094.02</v>
      </c>
    </row>
    <row r="97" spans="1:9" x14ac:dyDescent="0.25">
      <c r="A97" t="s">
        <v>9164</v>
      </c>
      <c r="C97" t="s">
        <v>9165</v>
      </c>
      <c r="D97" t="s">
        <v>9315</v>
      </c>
      <c r="E97" t="s">
        <v>1313</v>
      </c>
      <c r="F97" s="1">
        <v>44796</v>
      </c>
      <c r="G97" t="str">
        <f t="shared" si="4"/>
        <v>300115</v>
      </c>
      <c r="H97" t="s">
        <v>2938</v>
      </c>
      <c r="I97">
        <v>173934.54759999999</v>
      </c>
    </row>
    <row r="98" spans="1:9" x14ac:dyDescent="0.25">
      <c r="A98" t="s">
        <v>9164</v>
      </c>
      <c r="C98" t="s">
        <v>9165</v>
      </c>
      <c r="D98" t="s">
        <v>9316</v>
      </c>
      <c r="E98" t="s">
        <v>9269</v>
      </c>
      <c r="F98" s="1">
        <v>44796</v>
      </c>
      <c r="G98" t="str">
        <f t="shared" si="4"/>
        <v>300115</v>
      </c>
      <c r="H98" t="s">
        <v>2938</v>
      </c>
      <c r="I98">
        <v>652520</v>
      </c>
    </row>
    <row r="99" spans="1:9" x14ac:dyDescent="0.25">
      <c r="A99" t="s">
        <v>9164</v>
      </c>
      <c r="C99" t="s">
        <v>9165</v>
      </c>
      <c r="D99" t="s">
        <v>9317</v>
      </c>
      <c r="E99" t="s">
        <v>9297</v>
      </c>
      <c r="F99" s="1">
        <v>44799</v>
      </c>
      <c r="G99" t="str">
        <f t="shared" si="4"/>
        <v>300115</v>
      </c>
      <c r="H99" t="s">
        <v>2938</v>
      </c>
      <c r="I99">
        <v>762543.93599999999</v>
      </c>
    </row>
    <row r="100" spans="1:9" x14ac:dyDescent="0.25">
      <c r="A100" t="s">
        <v>9164</v>
      </c>
      <c r="C100" t="s">
        <v>9165</v>
      </c>
      <c r="D100" t="s">
        <v>9318</v>
      </c>
      <c r="E100" t="s">
        <v>9319</v>
      </c>
      <c r="F100" s="1">
        <v>44806</v>
      </c>
      <c r="G100" t="str">
        <f t="shared" si="4"/>
        <v>300115</v>
      </c>
      <c r="H100" t="s">
        <v>2938</v>
      </c>
      <c r="I100">
        <v>154598.39999999999</v>
      </c>
    </row>
    <row r="101" spans="1:9" x14ac:dyDescent="0.25">
      <c r="A101" t="s">
        <v>9164</v>
      </c>
      <c r="C101" t="s">
        <v>9165</v>
      </c>
      <c r="D101" t="s">
        <v>9320</v>
      </c>
      <c r="E101" t="s">
        <v>8852</v>
      </c>
      <c r="F101" s="1">
        <v>44813</v>
      </c>
      <c r="G101" t="str">
        <f t="shared" si="4"/>
        <v>300115</v>
      </c>
      <c r="H101" t="s">
        <v>2938</v>
      </c>
      <c r="I101">
        <v>108419.564</v>
      </c>
    </row>
    <row r="102" spans="1:9" x14ac:dyDescent="0.25">
      <c r="A102" t="s">
        <v>9164</v>
      </c>
      <c r="C102" t="s">
        <v>9165</v>
      </c>
      <c r="D102" t="s">
        <v>9321</v>
      </c>
      <c r="E102" t="s">
        <v>8852</v>
      </c>
      <c r="F102" s="1">
        <v>44841</v>
      </c>
      <c r="G102" t="str">
        <f t="shared" si="4"/>
        <v>300115</v>
      </c>
      <c r="H102" t="s">
        <v>2938</v>
      </c>
      <c r="I102">
        <v>152056.88080000001</v>
      </c>
    </row>
    <row r="103" spans="1:9" x14ac:dyDescent="0.25">
      <c r="A103" t="s">
        <v>9164</v>
      </c>
      <c r="C103" t="s">
        <v>9165</v>
      </c>
      <c r="D103" t="s">
        <v>9322</v>
      </c>
      <c r="E103" t="s">
        <v>9323</v>
      </c>
      <c r="F103" s="1">
        <v>44841</v>
      </c>
      <c r="G103" t="str">
        <f t="shared" si="4"/>
        <v>300115</v>
      </c>
      <c r="H103" t="s">
        <v>2938</v>
      </c>
      <c r="I103">
        <v>21210.6587</v>
      </c>
    </row>
    <row r="104" spans="1:9" x14ac:dyDescent="0.25">
      <c r="A104" t="s">
        <v>9164</v>
      </c>
      <c r="C104" t="s">
        <v>9165</v>
      </c>
      <c r="D104" t="s">
        <v>9324</v>
      </c>
      <c r="E104" t="s">
        <v>9239</v>
      </c>
      <c r="F104" s="1">
        <v>44841</v>
      </c>
      <c r="G104" t="str">
        <f t="shared" si="4"/>
        <v>300115</v>
      </c>
      <c r="H104" t="s">
        <v>2938</v>
      </c>
      <c r="I104">
        <v>5582.94</v>
      </c>
    </row>
    <row r="105" spans="1:9" x14ac:dyDescent="0.25">
      <c r="A105" t="s">
        <v>9164</v>
      </c>
      <c r="C105" t="s">
        <v>9165</v>
      </c>
      <c r="D105" t="s">
        <v>9325</v>
      </c>
      <c r="E105" t="s">
        <v>9326</v>
      </c>
      <c r="F105" s="1">
        <v>44851</v>
      </c>
      <c r="G105" t="str">
        <f>"300226"</f>
        <v>300226</v>
      </c>
      <c r="H105" t="s">
        <v>3025</v>
      </c>
      <c r="I105">
        <v>2557.8000000000002</v>
      </c>
    </row>
    <row r="106" spans="1:9" x14ac:dyDescent="0.25">
      <c r="A106" t="s">
        <v>9164</v>
      </c>
      <c r="C106" t="s">
        <v>9165</v>
      </c>
      <c r="D106" t="s">
        <v>9327</v>
      </c>
      <c r="E106" t="s">
        <v>9112</v>
      </c>
      <c r="F106" s="1">
        <v>44861</v>
      </c>
      <c r="G106" t="str">
        <f t="shared" ref="G106:G116" si="5">"300115"</f>
        <v>300115</v>
      </c>
      <c r="H106" t="s">
        <v>2938</v>
      </c>
      <c r="I106">
        <v>2266220</v>
      </c>
    </row>
    <row r="107" spans="1:9" x14ac:dyDescent="0.25">
      <c r="A107" t="s">
        <v>9164</v>
      </c>
      <c r="C107" t="s">
        <v>9165</v>
      </c>
      <c r="D107" t="s">
        <v>9328</v>
      </c>
      <c r="E107" t="s">
        <v>9329</v>
      </c>
      <c r="F107" s="1">
        <v>44867</v>
      </c>
      <c r="G107" t="str">
        <f t="shared" si="5"/>
        <v>300115</v>
      </c>
      <c r="H107" t="s">
        <v>2938</v>
      </c>
      <c r="I107">
        <v>266443.07799999998</v>
      </c>
    </row>
    <row r="108" spans="1:9" x14ac:dyDescent="0.25">
      <c r="A108" t="s">
        <v>9164</v>
      </c>
      <c r="C108" t="s">
        <v>9165</v>
      </c>
      <c r="D108" t="s">
        <v>9330</v>
      </c>
      <c r="E108" t="s">
        <v>9239</v>
      </c>
      <c r="F108" s="1">
        <v>44881</v>
      </c>
      <c r="G108" t="str">
        <f t="shared" si="5"/>
        <v>300115</v>
      </c>
      <c r="H108" t="s">
        <v>2938</v>
      </c>
      <c r="I108">
        <v>1289169.8160000001</v>
      </c>
    </row>
    <row r="109" spans="1:9" x14ac:dyDescent="0.25">
      <c r="A109" t="s">
        <v>9164</v>
      </c>
      <c r="C109" t="s">
        <v>9165</v>
      </c>
      <c r="D109" t="s">
        <v>9331</v>
      </c>
      <c r="E109" t="s">
        <v>9266</v>
      </c>
      <c r="F109" s="1">
        <v>44895</v>
      </c>
      <c r="G109" t="str">
        <f t="shared" si="5"/>
        <v>300115</v>
      </c>
      <c r="H109" t="s">
        <v>2938</v>
      </c>
      <c r="I109">
        <v>144410.11199999999</v>
      </c>
    </row>
    <row r="110" spans="1:9" x14ac:dyDescent="0.25">
      <c r="A110" t="s">
        <v>9164</v>
      </c>
      <c r="C110" t="s">
        <v>9165</v>
      </c>
      <c r="D110" t="s">
        <v>9332</v>
      </c>
      <c r="E110" t="s">
        <v>2566</v>
      </c>
      <c r="F110" s="1">
        <v>44900</v>
      </c>
      <c r="G110" t="str">
        <f t="shared" si="5"/>
        <v>300115</v>
      </c>
      <c r="H110" t="s">
        <v>2938</v>
      </c>
      <c r="I110">
        <v>250034.4</v>
      </c>
    </row>
    <row r="111" spans="1:9" x14ac:dyDescent="0.25">
      <c r="A111" t="s">
        <v>9164</v>
      </c>
      <c r="C111" t="s">
        <v>9165</v>
      </c>
      <c r="D111" t="s">
        <v>9333</v>
      </c>
      <c r="E111" t="s">
        <v>1313</v>
      </c>
      <c r="F111" s="1">
        <v>44921</v>
      </c>
      <c r="G111" t="str">
        <f t="shared" si="5"/>
        <v>300115</v>
      </c>
      <c r="H111" t="s">
        <v>2938</v>
      </c>
      <c r="I111">
        <v>1343576.135</v>
      </c>
    </row>
    <row r="112" spans="1:9" x14ac:dyDescent="0.25">
      <c r="A112" t="s">
        <v>9164</v>
      </c>
      <c r="C112" t="s">
        <v>9165</v>
      </c>
      <c r="D112" t="s">
        <v>9334</v>
      </c>
      <c r="E112" t="s">
        <v>9335</v>
      </c>
      <c r="F112" s="1">
        <v>44923</v>
      </c>
      <c r="G112" t="str">
        <f t="shared" si="5"/>
        <v>300115</v>
      </c>
      <c r="H112" t="s">
        <v>2938</v>
      </c>
      <c r="I112">
        <v>2364303.0070000002</v>
      </c>
    </row>
    <row r="113" spans="1:9" x14ac:dyDescent="0.25">
      <c r="A113" t="s">
        <v>9164</v>
      </c>
      <c r="C113" t="s">
        <v>9165</v>
      </c>
      <c r="D113" t="s">
        <v>9336</v>
      </c>
      <c r="E113" t="s">
        <v>9337</v>
      </c>
      <c r="F113" s="1">
        <v>44923</v>
      </c>
      <c r="G113" t="str">
        <f t="shared" si="5"/>
        <v>300115</v>
      </c>
      <c r="H113" t="s">
        <v>2938</v>
      </c>
      <c r="I113">
        <v>6655000</v>
      </c>
    </row>
    <row r="114" spans="1:9" x14ac:dyDescent="0.25">
      <c r="A114" t="s">
        <v>9164</v>
      </c>
      <c r="C114" t="s">
        <v>9165</v>
      </c>
      <c r="D114" t="s">
        <v>9338</v>
      </c>
      <c r="E114" t="s">
        <v>9264</v>
      </c>
      <c r="F114" s="1">
        <v>44923</v>
      </c>
      <c r="G114" t="str">
        <f t="shared" si="5"/>
        <v>300115</v>
      </c>
      <c r="H114" t="s">
        <v>2938</v>
      </c>
      <c r="I114">
        <v>298210</v>
      </c>
    </row>
    <row r="115" spans="1:9" x14ac:dyDescent="0.25">
      <c r="A115" t="s">
        <v>9164</v>
      </c>
      <c r="C115" t="s">
        <v>9165</v>
      </c>
      <c r="D115" t="s">
        <v>9339</v>
      </c>
      <c r="E115" t="s">
        <v>1313</v>
      </c>
      <c r="F115" s="1">
        <v>44943</v>
      </c>
      <c r="G115" t="str">
        <f t="shared" si="5"/>
        <v>300115</v>
      </c>
      <c r="H115" t="s">
        <v>2938</v>
      </c>
      <c r="I115">
        <v>6874823.4720000001</v>
      </c>
    </row>
    <row r="116" spans="1:9" x14ac:dyDescent="0.25">
      <c r="A116" t="s">
        <v>9164</v>
      </c>
      <c r="C116" t="s">
        <v>9165</v>
      </c>
      <c r="D116" t="s">
        <v>9340</v>
      </c>
      <c r="E116" t="s">
        <v>9341</v>
      </c>
      <c r="F116" s="1">
        <v>44943</v>
      </c>
      <c r="G116" t="str">
        <f t="shared" si="5"/>
        <v>300115</v>
      </c>
      <c r="H116" t="s">
        <v>2938</v>
      </c>
      <c r="I116">
        <v>2574179.1570000001</v>
      </c>
    </row>
    <row r="117" spans="1:9" x14ac:dyDescent="0.25">
      <c r="A117" t="s">
        <v>9164</v>
      </c>
      <c r="C117" t="s">
        <v>9165</v>
      </c>
      <c r="D117" t="s">
        <v>9342</v>
      </c>
      <c r="E117" t="s">
        <v>9343</v>
      </c>
      <c r="F117" s="1">
        <v>44965</v>
      </c>
      <c r="G117" t="str">
        <f>"300220"</f>
        <v>300220</v>
      </c>
      <c r="H117" t="s">
        <v>2170</v>
      </c>
      <c r="I117">
        <v>175717.212</v>
      </c>
    </row>
    <row r="118" spans="1:9" x14ac:dyDescent="0.25">
      <c r="A118" t="s">
        <v>9164</v>
      </c>
      <c r="C118" t="s">
        <v>9165</v>
      </c>
      <c r="D118" t="s">
        <v>9344</v>
      </c>
      <c r="E118" t="s">
        <v>9345</v>
      </c>
      <c r="F118" s="1">
        <v>44973</v>
      </c>
      <c r="G118" t="str">
        <f>"300115"</f>
        <v>300115</v>
      </c>
      <c r="H118" t="s">
        <v>2938</v>
      </c>
      <c r="I118">
        <v>0</v>
      </c>
    </row>
    <row r="119" spans="1:9" x14ac:dyDescent="0.25">
      <c r="A119" t="s">
        <v>9164</v>
      </c>
      <c r="C119" t="s">
        <v>9165</v>
      </c>
      <c r="D119" t="s">
        <v>9346</v>
      </c>
      <c r="E119" t="s">
        <v>9204</v>
      </c>
      <c r="F119" s="1">
        <v>44984</v>
      </c>
      <c r="G119" t="str">
        <f>"300115"</f>
        <v>300115</v>
      </c>
      <c r="H119" t="s">
        <v>2938</v>
      </c>
      <c r="I119">
        <v>10331.9931</v>
      </c>
    </row>
    <row r="120" spans="1:9" x14ac:dyDescent="0.25">
      <c r="A120" t="s">
        <v>9164</v>
      </c>
      <c r="C120" t="s">
        <v>9165</v>
      </c>
      <c r="D120" t="s">
        <v>9347</v>
      </c>
      <c r="E120" t="s">
        <v>9348</v>
      </c>
      <c r="F120" s="1">
        <v>44988</v>
      </c>
      <c r="G120" t="str">
        <f>"300115"</f>
        <v>300115</v>
      </c>
      <c r="H120" t="s">
        <v>2938</v>
      </c>
      <c r="I120">
        <v>2324.6761999999999</v>
      </c>
    </row>
    <row r="121" spans="1:9" x14ac:dyDescent="0.25">
      <c r="A121" t="s">
        <v>9164</v>
      </c>
      <c r="C121" t="s">
        <v>9165</v>
      </c>
      <c r="D121" t="s">
        <v>9349</v>
      </c>
      <c r="E121" t="s">
        <v>9350</v>
      </c>
      <c r="F121" s="1">
        <v>44994</v>
      </c>
      <c r="G121" t="str">
        <f>"300115"</f>
        <v>300115</v>
      </c>
      <c r="H121" t="s">
        <v>2938</v>
      </c>
      <c r="I121">
        <v>319000</v>
      </c>
    </row>
    <row r="122" spans="1:9" x14ac:dyDescent="0.25">
      <c r="A122" t="s">
        <v>9164</v>
      </c>
      <c r="C122" t="s">
        <v>9165</v>
      </c>
      <c r="D122" t="s">
        <v>9351</v>
      </c>
      <c r="E122" t="s">
        <v>9352</v>
      </c>
      <c r="F122" s="1">
        <v>45023</v>
      </c>
      <c r="G122" t="str">
        <f>"300312"</f>
        <v>300312</v>
      </c>
      <c r="H122" t="s">
        <v>3053</v>
      </c>
      <c r="I122">
        <v>0</v>
      </c>
    </row>
    <row r="123" spans="1:9" x14ac:dyDescent="0.25">
      <c r="A123" t="s">
        <v>9164</v>
      </c>
      <c r="C123" t="s">
        <v>9165</v>
      </c>
      <c r="D123" t="s">
        <v>9353</v>
      </c>
      <c r="E123" t="s">
        <v>9343</v>
      </c>
      <c r="F123" s="1">
        <v>45048</v>
      </c>
      <c r="G123" t="str">
        <f>"300220"</f>
        <v>300220</v>
      </c>
      <c r="H123" t="s">
        <v>2170</v>
      </c>
      <c r="I123">
        <v>172923.2</v>
      </c>
    </row>
    <row r="124" spans="1:9" x14ac:dyDescent="0.25">
      <c r="A124" t="s">
        <v>9164</v>
      </c>
      <c r="C124" t="s">
        <v>9165</v>
      </c>
      <c r="D124" t="s">
        <v>9354</v>
      </c>
      <c r="E124" t="s">
        <v>9355</v>
      </c>
      <c r="F124" s="1">
        <v>45064</v>
      </c>
      <c r="G124" t="str">
        <f>"300115"</f>
        <v>300115</v>
      </c>
      <c r="H124" t="s">
        <v>2938</v>
      </c>
      <c r="I124">
        <v>616000</v>
      </c>
    </row>
    <row r="125" spans="1:9" x14ac:dyDescent="0.25">
      <c r="A125" t="s">
        <v>9164</v>
      </c>
      <c r="C125" t="s">
        <v>9165</v>
      </c>
      <c r="D125" t="s">
        <v>9356</v>
      </c>
      <c r="E125" t="s">
        <v>1928</v>
      </c>
      <c r="F125" s="1">
        <v>45085</v>
      </c>
      <c r="G125" t="str">
        <f>"300115"</f>
        <v>300115</v>
      </c>
      <c r="H125" t="s">
        <v>2938</v>
      </c>
      <c r="I125">
        <v>804482.11800000002</v>
      </c>
    </row>
    <row r="126" spans="1:9" x14ac:dyDescent="0.25">
      <c r="A126" t="s">
        <v>9164</v>
      </c>
      <c r="C126" t="s">
        <v>9165</v>
      </c>
      <c r="D126" t="s">
        <v>9357</v>
      </c>
      <c r="E126" t="s">
        <v>1313</v>
      </c>
      <c r="F126" s="1">
        <v>45089</v>
      </c>
      <c r="G126" t="str">
        <f>"300115"</f>
        <v>300115</v>
      </c>
      <c r="H126" t="s">
        <v>2938</v>
      </c>
      <c r="I126">
        <v>19581</v>
      </c>
    </row>
    <row r="127" spans="1:9" x14ac:dyDescent="0.25">
      <c r="A127" t="s">
        <v>9164</v>
      </c>
      <c r="C127" t="s">
        <v>9165</v>
      </c>
      <c r="D127" t="s">
        <v>9358</v>
      </c>
      <c r="E127" t="s">
        <v>9343</v>
      </c>
      <c r="F127" s="1">
        <v>45119</v>
      </c>
      <c r="G127" t="str">
        <f>"300220"</f>
        <v>300220</v>
      </c>
      <c r="H127" t="s">
        <v>2170</v>
      </c>
      <c r="I127">
        <v>2858570.9240000001</v>
      </c>
    </row>
    <row r="128" spans="1:9" x14ac:dyDescent="0.25">
      <c r="A128" t="s">
        <v>9164</v>
      </c>
      <c r="C128" t="s">
        <v>9165</v>
      </c>
      <c r="D128" t="s">
        <v>9359</v>
      </c>
      <c r="E128" t="s">
        <v>9360</v>
      </c>
      <c r="F128" s="1">
        <v>45119</v>
      </c>
      <c r="G128" t="str">
        <f>"300220"</f>
        <v>300220</v>
      </c>
      <c r="H128" t="s">
        <v>2170</v>
      </c>
      <c r="I128">
        <v>9588563.2479999997</v>
      </c>
    </row>
    <row r="129" spans="1:9" x14ac:dyDescent="0.25">
      <c r="A129" t="s">
        <v>9164</v>
      </c>
      <c r="C129" t="s">
        <v>9165</v>
      </c>
      <c r="D129" t="s">
        <v>9361</v>
      </c>
      <c r="E129" t="s">
        <v>9112</v>
      </c>
      <c r="F129" s="1">
        <v>45127</v>
      </c>
      <c r="G129" t="str">
        <f>"300115"</f>
        <v>300115</v>
      </c>
      <c r="H129" t="s">
        <v>2938</v>
      </c>
      <c r="I129">
        <v>1938407.504</v>
      </c>
    </row>
    <row r="130" spans="1:9" x14ac:dyDescent="0.25">
      <c r="A130" t="s">
        <v>9164</v>
      </c>
      <c r="C130" t="s">
        <v>9165</v>
      </c>
      <c r="D130" t="s">
        <v>9362</v>
      </c>
      <c r="E130" t="s">
        <v>1313</v>
      </c>
      <c r="F130" s="1">
        <v>45135</v>
      </c>
      <c r="G130" t="str">
        <f>"300115"</f>
        <v>300115</v>
      </c>
      <c r="H130" t="s">
        <v>2938</v>
      </c>
      <c r="I130">
        <v>5872.9946</v>
      </c>
    </row>
    <row r="131" spans="1:9" x14ac:dyDescent="0.25">
      <c r="A131" t="s">
        <v>9164</v>
      </c>
      <c r="C131" t="s">
        <v>9165</v>
      </c>
      <c r="D131" t="s">
        <v>9363</v>
      </c>
      <c r="E131" t="s">
        <v>9335</v>
      </c>
      <c r="F131" s="1">
        <v>45176</v>
      </c>
      <c r="G131" t="str">
        <f>"300115"</f>
        <v>300115</v>
      </c>
      <c r="H131" t="s">
        <v>2938</v>
      </c>
      <c r="I131">
        <v>275.26400000000001</v>
      </c>
    </row>
    <row r="132" spans="1:9" x14ac:dyDescent="0.25">
      <c r="A132" t="s">
        <v>9164</v>
      </c>
      <c r="C132" t="s">
        <v>9165</v>
      </c>
      <c r="D132" t="s">
        <v>9364</v>
      </c>
      <c r="E132" t="s">
        <v>9365</v>
      </c>
      <c r="F132" s="1">
        <v>45190</v>
      </c>
      <c r="G132" t="str">
        <f>"300115"</f>
        <v>300115</v>
      </c>
      <c r="H132" t="s">
        <v>2938</v>
      </c>
      <c r="I132">
        <v>37854.460599999999</v>
      </c>
    </row>
    <row r="133" spans="1:9" x14ac:dyDescent="0.25">
      <c r="A133" t="s">
        <v>9164</v>
      </c>
      <c r="C133" t="s">
        <v>9165</v>
      </c>
      <c r="D133" t="s">
        <v>9366</v>
      </c>
      <c r="E133" t="s">
        <v>9337</v>
      </c>
      <c r="F133" s="1">
        <v>45215</v>
      </c>
      <c r="G133" t="str">
        <f>"300115"</f>
        <v>300115</v>
      </c>
      <c r="H133" t="s">
        <v>2938</v>
      </c>
      <c r="I133">
        <v>3943500</v>
      </c>
    </row>
    <row r="134" spans="1:9" x14ac:dyDescent="0.25">
      <c r="A134" t="s">
        <v>9164</v>
      </c>
      <c r="C134" t="s">
        <v>9165</v>
      </c>
      <c r="D134" t="s">
        <v>9367</v>
      </c>
      <c r="E134" t="s">
        <v>9189</v>
      </c>
      <c r="F134" s="1">
        <v>45225</v>
      </c>
      <c r="G134" t="str">
        <f>"300220"</f>
        <v>300220</v>
      </c>
      <c r="H134" t="s">
        <v>2170</v>
      </c>
      <c r="I134">
        <v>242000</v>
      </c>
    </row>
    <row r="135" spans="1:9" x14ac:dyDescent="0.25">
      <c r="A135" t="s">
        <v>9164</v>
      </c>
      <c r="C135" t="s">
        <v>9165</v>
      </c>
      <c r="D135" t="s">
        <v>9368</v>
      </c>
      <c r="E135" t="s">
        <v>9365</v>
      </c>
      <c r="F135" s="1">
        <v>45241</v>
      </c>
      <c r="G135" t="str">
        <f>"300115"</f>
        <v>300115</v>
      </c>
      <c r="H135" t="s">
        <v>2938</v>
      </c>
      <c r="I135">
        <v>179968.03</v>
      </c>
    </row>
    <row r="136" spans="1:9" x14ac:dyDescent="0.25">
      <c r="A136" t="s">
        <v>9164</v>
      </c>
      <c r="C136" t="s">
        <v>9165</v>
      </c>
      <c r="D136" t="s">
        <v>9369</v>
      </c>
      <c r="E136" t="s">
        <v>9204</v>
      </c>
      <c r="F136" s="1">
        <v>45260</v>
      </c>
      <c r="G136" t="str">
        <f>"300115"</f>
        <v>300115</v>
      </c>
      <c r="H136" t="s">
        <v>2938</v>
      </c>
      <c r="I136">
        <v>3475.1651000000002</v>
      </c>
    </row>
    <row r="137" spans="1:9" x14ac:dyDescent="0.25">
      <c r="A137" t="s">
        <v>9164</v>
      </c>
      <c r="C137" t="s">
        <v>9165</v>
      </c>
      <c r="D137" t="s">
        <v>9370</v>
      </c>
      <c r="E137" t="s">
        <v>9371</v>
      </c>
      <c r="F137" s="1">
        <v>45285</v>
      </c>
      <c r="G137" t="str">
        <f>"300220"</f>
        <v>300220</v>
      </c>
      <c r="H137" t="s">
        <v>2170</v>
      </c>
      <c r="I137">
        <v>1084600</v>
      </c>
    </row>
    <row r="138" spans="1:9" x14ac:dyDescent="0.25">
      <c r="A138" t="s">
        <v>9164</v>
      </c>
      <c r="C138" t="s">
        <v>9165</v>
      </c>
      <c r="D138" t="s">
        <v>9372</v>
      </c>
      <c r="E138" t="s">
        <v>9335</v>
      </c>
      <c r="F138" s="1">
        <v>45296</v>
      </c>
      <c r="G138" t="str">
        <f>"300115"</f>
        <v>300115</v>
      </c>
      <c r="H138" t="s">
        <v>2938</v>
      </c>
      <c r="I138">
        <v>170805.69</v>
      </c>
    </row>
    <row r="139" spans="1:9" x14ac:dyDescent="0.25">
      <c r="A139" t="s">
        <v>9164</v>
      </c>
      <c r="C139" t="s">
        <v>9165</v>
      </c>
      <c r="D139" t="s">
        <v>9373</v>
      </c>
      <c r="E139" t="s">
        <v>9374</v>
      </c>
      <c r="F139" s="1">
        <v>45308</v>
      </c>
      <c r="G139" t="str">
        <f>"300220"</f>
        <v>300220</v>
      </c>
      <c r="H139" t="s">
        <v>2170</v>
      </c>
      <c r="I139">
        <v>311785.58399999997</v>
      </c>
    </row>
    <row r="140" spans="1:9" x14ac:dyDescent="0.25">
      <c r="A140" t="s">
        <v>9164</v>
      </c>
      <c r="C140" t="s">
        <v>9165</v>
      </c>
      <c r="D140" t="s">
        <v>9375</v>
      </c>
      <c r="E140" t="s">
        <v>9376</v>
      </c>
      <c r="F140" s="1">
        <v>45330</v>
      </c>
      <c r="G140" t="str">
        <f>"300220"</f>
        <v>300220</v>
      </c>
      <c r="H140" t="s">
        <v>2170</v>
      </c>
      <c r="I140">
        <v>1045000</v>
      </c>
    </row>
    <row r="141" spans="1:9" x14ac:dyDescent="0.25">
      <c r="A141" t="s">
        <v>9164</v>
      </c>
      <c r="C141" t="s">
        <v>9165</v>
      </c>
      <c r="D141" t="s">
        <v>9377</v>
      </c>
      <c r="E141" t="s">
        <v>9189</v>
      </c>
      <c r="F141" s="1">
        <v>45337</v>
      </c>
      <c r="G141" t="str">
        <f>"300115"</f>
        <v>300115</v>
      </c>
      <c r="H141" t="s">
        <v>2938</v>
      </c>
      <c r="I141">
        <v>52472.211000000003</v>
      </c>
    </row>
    <row r="142" spans="1:9" x14ac:dyDescent="0.25">
      <c r="A142" t="s">
        <v>9164</v>
      </c>
      <c r="C142" t="s">
        <v>9165</v>
      </c>
      <c r="D142" t="s">
        <v>9378</v>
      </c>
      <c r="E142" t="s">
        <v>9335</v>
      </c>
      <c r="F142" s="1">
        <v>45341</v>
      </c>
      <c r="G142" t="str">
        <f>"300381"</f>
        <v>300381</v>
      </c>
      <c r="H142" t="s">
        <v>3118</v>
      </c>
      <c r="I142">
        <v>726665.43729999999</v>
      </c>
    </row>
    <row r="143" spans="1:9" x14ac:dyDescent="0.25">
      <c r="A143" t="s">
        <v>9164</v>
      </c>
      <c r="C143" t="s">
        <v>9165</v>
      </c>
      <c r="D143" t="s">
        <v>9379</v>
      </c>
      <c r="E143" t="s">
        <v>9345</v>
      </c>
      <c r="F143" s="1">
        <v>45345</v>
      </c>
      <c r="G143" t="str">
        <f>"300115"</f>
        <v>300115</v>
      </c>
      <c r="H143" t="s">
        <v>2938</v>
      </c>
      <c r="I143">
        <v>9230.4519999999993</v>
      </c>
    </row>
    <row r="144" spans="1:9" x14ac:dyDescent="0.25">
      <c r="A144" t="s">
        <v>9164</v>
      </c>
      <c r="C144" t="s">
        <v>9165</v>
      </c>
      <c r="D144" t="s">
        <v>9380</v>
      </c>
      <c r="E144" t="s">
        <v>8967</v>
      </c>
      <c r="F144" s="1">
        <v>45364</v>
      </c>
      <c r="G144" t="str">
        <f>"300356"</f>
        <v>300356</v>
      </c>
      <c r="H144" t="s">
        <v>3094</v>
      </c>
      <c r="I144">
        <v>3291.2</v>
      </c>
    </row>
    <row r="145" spans="1:9" x14ac:dyDescent="0.25">
      <c r="A145" t="s">
        <v>9164</v>
      </c>
      <c r="C145" t="s">
        <v>9165</v>
      </c>
      <c r="D145" t="s">
        <v>9381</v>
      </c>
      <c r="E145" t="s">
        <v>9382</v>
      </c>
      <c r="F145" s="1">
        <v>45377</v>
      </c>
      <c r="G145" t="str">
        <f>"300382"</f>
        <v>300382</v>
      </c>
      <c r="H145" t="s">
        <v>3119</v>
      </c>
      <c r="I145">
        <v>625739.4</v>
      </c>
    </row>
    <row r="146" spans="1:9" x14ac:dyDescent="0.25">
      <c r="A146" t="s">
        <v>9164</v>
      </c>
      <c r="C146" t="s">
        <v>9165</v>
      </c>
      <c r="D146" t="s">
        <v>9383</v>
      </c>
      <c r="E146" t="s">
        <v>9384</v>
      </c>
      <c r="F146" s="1">
        <v>45412</v>
      </c>
      <c r="G146" t="str">
        <f>"300220"</f>
        <v>300220</v>
      </c>
      <c r="H146" t="s">
        <v>2170</v>
      </c>
      <c r="I146">
        <v>1094500</v>
      </c>
    </row>
    <row r="147" spans="1:9" x14ac:dyDescent="0.25">
      <c r="A147" t="s">
        <v>9164</v>
      </c>
      <c r="C147" t="s">
        <v>9165</v>
      </c>
      <c r="D147" t="s">
        <v>9385</v>
      </c>
      <c r="E147" t="s">
        <v>9386</v>
      </c>
      <c r="F147" s="1">
        <v>45412</v>
      </c>
      <c r="G147" t="str">
        <f>"300220"</f>
        <v>300220</v>
      </c>
      <c r="H147" t="s">
        <v>2170</v>
      </c>
      <c r="I147">
        <v>1144000</v>
      </c>
    </row>
    <row r="148" spans="1:9" x14ac:dyDescent="0.25">
      <c r="A148" t="s">
        <v>9164</v>
      </c>
      <c r="C148" t="s">
        <v>9165</v>
      </c>
      <c r="D148" t="s">
        <v>9387</v>
      </c>
      <c r="F148" s="1">
        <v>45412</v>
      </c>
      <c r="G148" t="str">
        <f>"300356"</f>
        <v>300356</v>
      </c>
      <c r="H148" t="s">
        <v>3094</v>
      </c>
      <c r="I148">
        <v>206844</v>
      </c>
    </row>
    <row r="149" spans="1:9" x14ac:dyDescent="0.25">
      <c r="A149" t="s">
        <v>9164</v>
      </c>
      <c r="C149" t="s">
        <v>9165</v>
      </c>
      <c r="D149" t="s">
        <v>9388</v>
      </c>
      <c r="E149" t="s">
        <v>9389</v>
      </c>
      <c r="F149" s="1">
        <v>45412</v>
      </c>
      <c r="G149" t="str">
        <f>"300356"</f>
        <v>300356</v>
      </c>
      <c r="H149" t="s">
        <v>3094</v>
      </c>
      <c r="I149">
        <v>197034.2</v>
      </c>
    </row>
    <row r="150" spans="1:9" x14ac:dyDescent="0.25">
      <c r="A150" t="s">
        <v>9164</v>
      </c>
      <c r="C150" t="s">
        <v>9165</v>
      </c>
      <c r="D150" t="s">
        <v>9390</v>
      </c>
      <c r="E150" t="s">
        <v>9343</v>
      </c>
      <c r="F150" s="1">
        <v>45415</v>
      </c>
      <c r="G150" t="str">
        <f>"300220"</f>
        <v>300220</v>
      </c>
      <c r="H150" t="s">
        <v>2170</v>
      </c>
      <c r="I150">
        <v>3834048.702</v>
      </c>
    </row>
    <row r="151" spans="1:9" x14ac:dyDescent="0.25">
      <c r="A151" t="s">
        <v>9164</v>
      </c>
      <c r="C151" t="s">
        <v>9165</v>
      </c>
      <c r="D151" t="s">
        <v>9391</v>
      </c>
      <c r="E151" t="s">
        <v>9155</v>
      </c>
      <c r="F151" s="1">
        <v>45419</v>
      </c>
      <c r="G151" t="str">
        <f>"300115"</f>
        <v>300115</v>
      </c>
      <c r="H151" t="s">
        <v>2938</v>
      </c>
      <c r="I151">
        <v>1089000</v>
      </c>
    </row>
    <row r="152" spans="1:9" x14ac:dyDescent="0.25">
      <c r="A152" t="s">
        <v>9164</v>
      </c>
      <c r="C152" t="s">
        <v>9165</v>
      </c>
      <c r="D152" t="s">
        <v>9392</v>
      </c>
      <c r="E152" t="s">
        <v>9393</v>
      </c>
      <c r="F152" s="1">
        <v>45425</v>
      </c>
      <c r="G152" t="str">
        <f>"300220"</f>
        <v>300220</v>
      </c>
      <c r="H152" t="s">
        <v>2170</v>
      </c>
      <c r="I152">
        <v>1187929.6000000001</v>
      </c>
    </row>
    <row r="153" spans="1:9" x14ac:dyDescent="0.25">
      <c r="A153" t="s">
        <v>9164</v>
      </c>
      <c r="C153" t="s">
        <v>9165</v>
      </c>
      <c r="D153" t="s">
        <v>9394</v>
      </c>
      <c r="E153" t="s">
        <v>9395</v>
      </c>
      <c r="F153" s="1">
        <v>45432</v>
      </c>
      <c r="G153" t="str">
        <f>"300381"</f>
        <v>300381</v>
      </c>
      <c r="H153" t="s">
        <v>3118</v>
      </c>
      <c r="I153">
        <v>1111000</v>
      </c>
    </row>
    <row r="154" spans="1:9" x14ac:dyDescent="0.25">
      <c r="A154" t="s">
        <v>9164</v>
      </c>
      <c r="C154" t="s">
        <v>9165</v>
      </c>
      <c r="D154" t="s">
        <v>9396</v>
      </c>
      <c r="E154" t="s">
        <v>1313</v>
      </c>
      <c r="F154" s="1">
        <v>45439</v>
      </c>
      <c r="G154" t="str">
        <f>"300115"</f>
        <v>300115</v>
      </c>
      <c r="H154" t="s">
        <v>2938</v>
      </c>
      <c r="I154">
        <v>2223332.1</v>
      </c>
    </row>
    <row r="155" spans="1:9" x14ac:dyDescent="0.25">
      <c r="A155" t="s">
        <v>9164</v>
      </c>
      <c r="C155" t="s">
        <v>9165</v>
      </c>
      <c r="D155" t="s">
        <v>9397</v>
      </c>
      <c r="E155" t="s">
        <v>9398</v>
      </c>
      <c r="F155" s="1">
        <v>45439</v>
      </c>
      <c r="G155" t="str">
        <f>"300220"</f>
        <v>300220</v>
      </c>
      <c r="H155" t="s">
        <v>2170</v>
      </c>
      <c r="I155">
        <v>502952.82400000002</v>
      </c>
    </row>
    <row r="156" spans="1:9" x14ac:dyDescent="0.25">
      <c r="A156" t="s">
        <v>9164</v>
      </c>
      <c r="C156" t="s">
        <v>9165</v>
      </c>
      <c r="D156" t="s">
        <v>9399</v>
      </c>
      <c r="E156" t="s">
        <v>9400</v>
      </c>
      <c r="F156" s="1">
        <v>45440</v>
      </c>
      <c r="G156" t="str">
        <f>"300382"</f>
        <v>300382</v>
      </c>
      <c r="H156" t="s">
        <v>3119</v>
      </c>
      <c r="I156">
        <v>171751.58</v>
      </c>
    </row>
    <row r="157" spans="1:9" x14ac:dyDescent="0.25">
      <c r="A157" t="s">
        <v>9164</v>
      </c>
      <c r="C157" t="s">
        <v>9165</v>
      </c>
      <c r="D157" t="s">
        <v>9401</v>
      </c>
      <c r="E157" t="s">
        <v>9402</v>
      </c>
      <c r="F157" s="1">
        <v>45440</v>
      </c>
      <c r="G157" t="str">
        <f>"300382"</f>
        <v>300382</v>
      </c>
      <c r="H157" t="s">
        <v>3119</v>
      </c>
      <c r="I157">
        <v>171751.58</v>
      </c>
    </row>
    <row r="158" spans="1:9" x14ac:dyDescent="0.25">
      <c r="A158" t="s">
        <v>9164</v>
      </c>
      <c r="C158" t="s">
        <v>9165</v>
      </c>
      <c r="D158" t="s">
        <v>9403</v>
      </c>
      <c r="E158" t="s">
        <v>9404</v>
      </c>
      <c r="F158" s="1">
        <v>45440</v>
      </c>
      <c r="G158" t="str">
        <f>"300382"</f>
        <v>300382</v>
      </c>
      <c r="H158" t="s">
        <v>3119</v>
      </c>
      <c r="I158">
        <v>171751.58</v>
      </c>
    </row>
    <row r="159" spans="1:9" x14ac:dyDescent="0.25">
      <c r="A159" t="s">
        <v>9164</v>
      </c>
      <c r="C159" t="s">
        <v>9165</v>
      </c>
      <c r="D159" t="s">
        <v>9405</v>
      </c>
      <c r="E159" t="s">
        <v>9406</v>
      </c>
      <c r="F159" s="1">
        <v>45440</v>
      </c>
      <c r="G159" t="str">
        <f>"300382"</f>
        <v>300382</v>
      </c>
      <c r="H159" t="s">
        <v>3119</v>
      </c>
      <c r="I159">
        <v>171751.58</v>
      </c>
    </row>
    <row r="160" spans="1:9" x14ac:dyDescent="0.25">
      <c r="A160" t="s">
        <v>9164</v>
      </c>
      <c r="C160" t="s">
        <v>9165</v>
      </c>
      <c r="D160" t="s">
        <v>9407</v>
      </c>
      <c r="E160" t="s">
        <v>9112</v>
      </c>
      <c r="F160" s="1">
        <v>45442</v>
      </c>
      <c r="G160" t="str">
        <f>"300115"</f>
        <v>300115</v>
      </c>
      <c r="H160" t="s">
        <v>2938</v>
      </c>
      <c r="I160">
        <v>1867800</v>
      </c>
    </row>
    <row r="161" spans="1:9" x14ac:dyDescent="0.25">
      <c r="A161" t="s">
        <v>9164</v>
      </c>
      <c r="C161" t="s">
        <v>9165</v>
      </c>
      <c r="D161" t="s">
        <v>9408</v>
      </c>
      <c r="E161" t="s">
        <v>9409</v>
      </c>
      <c r="F161" s="1">
        <v>45447</v>
      </c>
      <c r="G161" t="str">
        <f>"300115"</f>
        <v>300115</v>
      </c>
      <c r="H161" t="s">
        <v>2938</v>
      </c>
      <c r="I161">
        <v>4384.2150000000001</v>
      </c>
    </row>
    <row r="162" spans="1:9" x14ac:dyDescent="0.25">
      <c r="A162" t="s">
        <v>9164</v>
      </c>
      <c r="C162" t="s">
        <v>9165</v>
      </c>
      <c r="D162" t="s">
        <v>9410</v>
      </c>
      <c r="E162" t="s">
        <v>2762</v>
      </c>
      <c r="F162" s="1">
        <v>45447</v>
      </c>
      <c r="G162" t="str">
        <f>"300115"</f>
        <v>300115</v>
      </c>
      <c r="H162" t="s">
        <v>2938</v>
      </c>
      <c r="I162">
        <v>571160.93099999998</v>
      </c>
    </row>
    <row r="163" spans="1:9" x14ac:dyDescent="0.25">
      <c r="A163" t="s">
        <v>9164</v>
      </c>
      <c r="C163" t="s">
        <v>9165</v>
      </c>
      <c r="D163" t="s">
        <v>9411</v>
      </c>
      <c r="E163" t="s">
        <v>9189</v>
      </c>
      <c r="F163" s="1">
        <v>45477</v>
      </c>
      <c r="G163" t="str">
        <f>"300115"</f>
        <v>300115</v>
      </c>
      <c r="H163" t="s">
        <v>2938</v>
      </c>
      <c r="I163">
        <v>561937.95900000003</v>
      </c>
    </row>
    <row r="164" spans="1:9" x14ac:dyDescent="0.25">
      <c r="A164" t="s">
        <v>9164</v>
      </c>
      <c r="C164" t="s">
        <v>9165</v>
      </c>
      <c r="D164" t="s">
        <v>9412</v>
      </c>
      <c r="E164" t="s">
        <v>9413</v>
      </c>
      <c r="F164" s="1">
        <v>45477</v>
      </c>
      <c r="G164" t="str">
        <f>"300220"</f>
        <v>300220</v>
      </c>
      <c r="H164" t="s">
        <v>2170</v>
      </c>
      <c r="I164">
        <v>4488506.88</v>
      </c>
    </row>
    <row r="165" spans="1:9" x14ac:dyDescent="0.25">
      <c r="A165" t="s">
        <v>9164</v>
      </c>
      <c r="C165" t="s">
        <v>9165</v>
      </c>
      <c r="D165" t="s">
        <v>9414</v>
      </c>
      <c r="E165" t="s">
        <v>8903</v>
      </c>
      <c r="F165" s="1">
        <v>45478</v>
      </c>
      <c r="G165" t="str">
        <f>"300115"</f>
        <v>300115</v>
      </c>
      <c r="H165" t="s">
        <v>2938</v>
      </c>
      <c r="I165">
        <v>203686.56</v>
      </c>
    </row>
    <row r="166" spans="1:9" x14ac:dyDescent="0.25">
      <c r="A166" t="s">
        <v>9164</v>
      </c>
      <c r="C166" t="s">
        <v>9165</v>
      </c>
      <c r="D166" t="s">
        <v>9415</v>
      </c>
      <c r="E166" t="s">
        <v>2172</v>
      </c>
      <c r="F166" s="1">
        <v>45488</v>
      </c>
      <c r="G166" t="str">
        <f>"300381"</f>
        <v>300381</v>
      </c>
      <c r="H166" t="s">
        <v>3118</v>
      </c>
      <c r="I166">
        <v>1845950.2324999999</v>
      </c>
    </row>
    <row r="167" spans="1:9" x14ac:dyDescent="0.25">
      <c r="A167" t="s">
        <v>9164</v>
      </c>
      <c r="C167" t="s">
        <v>9165</v>
      </c>
      <c r="D167" t="s">
        <v>9416</v>
      </c>
      <c r="E167" t="s">
        <v>8852</v>
      </c>
      <c r="F167" s="1">
        <v>45492</v>
      </c>
      <c r="G167" t="str">
        <f>"300381"</f>
        <v>300381</v>
      </c>
      <c r="H167" t="s">
        <v>3118</v>
      </c>
      <c r="I167">
        <v>4708000</v>
      </c>
    </row>
    <row r="168" spans="1:9" x14ac:dyDescent="0.25">
      <c r="A168" t="s">
        <v>9164</v>
      </c>
      <c r="C168" t="s">
        <v>9165</v>
      </c>
      <c r="D168" t="s">
        <v>9417</v>
      </c>
      <c r="E168" t="s">
        <v>9418</v>
      </c>
      <c r="F168" s="1">
        <v>45497</v>
      </c>
      <c r="G168" t="str">
        <f>"300381"</f>
        <v>300381</v>
      </c>
      <c r="H168" t="s">
        <v>3118</v>
      </c>
      <c r="I168">
        <v>1047678.72</v>
      </c>
    </row>
    <row r="169" spans="1:9" x14ac:dyDescent="0.25">
      <c r="A169" t="s">
        <v>9164</v>
      </c>
      <c r="C169" t="s">
        <v>9165</v>
      </c>
      <c r="D169" t="s">
        <v>9419</v>
      </c>
      <c r="E169" t="s">
        <v>9420</v>
      </c>
      <c r="F169" s="1">
        <v>45505</v>
      </c>
      <c r="G169" t="str">
        <f>"300381"</f>
        <v>300381</v>
      </c>
      <c r="H169" t="s">
        <v>3118</v>
      </c>
      <c r="I169">
        <v>1580897.692</v>
      </c>
    </row>
    <row r="170" spans="1:9" x14ac:dyDescent="0.25">
      <c r="A170" t="s">
        <v>9164</v>
      </c>
      <c r="C170" t="s">
        <v>9165</v>
      </c>
      <c r="D170" t="s">
        <v>9421</v>
      </c>
      <c r="F170" s="1">
        <v>45506</v>
      </c>
      <c r="G170" t="str">
        <f>"300115"</f>
        <v>300115</v>
      </c>
      <c r="H170" t="s">
        <v>2938</v>
      </c>
      <c r="I170">
        <v>640179.54</v>
      </c>
    </row>
    <row r="171" spans="1:9" x14ac:dyDescent="0.25">
      <c r="A171" t="s">
        <v>9164</v>
      </c>
      <c r="C171" t="s">
        <v>9165</v>
      </c>
      <c r="D171" t="s">
        <v>9422</v>
      </c>
      <c r="E171" t="s">
        <v>9423</v>
      </c>
      <c r="F171" s="1">
        <v>45546</v>
      </c>
      <c r="G171" t="str">
        <f>"300220"</f>
        <v>300220</v>
      </c>
      <c r="H171" t="s">
        <v>2170</v>
      </c>
      <c r="I171">
        <v>5500000</v>
      </c>
    </row>
    <row r="172" spans="1:9" x14ac:dyDescent="0.25">
      <c r="A172" t="s">
        <v>9164</v>
      </c>
      <c r="C172" t="s">
        <v>9165</v>
      </c>
      <c r="D172" t="s">
        <v>9424</v>
      </c>
      <c r="E172" t="s">
        <v>9425</v>
      </c>
      <c r="F172" s="1">
        <v>45546</v>
      </c>
      <c r="G172" t="str">
        <f>"300356"</f>
        <v>300356</v>
      </c>
      <c r="H172" t="s">
        <v>3094</v>
      </c>
      <c r="I172">
        <v>15465.89</v>
      </c>
    </row>
    <row r="173" spans="1:9" x14ac:dyDescent="0.25">
      <c r="A173" t="s">
        <v>9164</v>
      </c>
      <c r="C173" t="s">
        <v>9165</v>
      </c>
      <c r="D173" t="s">
        <v>9426</v>
      </c>
      <c r="E173" t="s">
        <v>9343</v>
      </c>
      <c r="F173" s="1">
        <v>45567</v>
      </c>
      <c r="G173" t="str">
        <f>"300115"</f>
        <v>300115</v>
      </c>
      <c r="H173" t="s">
        <v>2938</v>
      </c>
      <c r="I173">
        <v>748440</v>
      </c>
    </row>
    <row r="174" spans="1:9" x14ac:dyDescent="0.25">
      <c r="A174" t="s">
        <v>9164</v>
      </c>
      <c r="C174" t="s">
        <v>9165</v>
      </c>
      <c r="D174" t="s">
        <v>9427</v>
      </c>
      <c r="E174" t="s">
        <v>9428</v>
      </c>
      <c r="F174" s="1">
        <v>45567</v>
      </c>
      <c r="G174" t="str">
        <f>"300381"</f>
        <v>300381</v>
      </c>
      <c r="H174" t="s">
        <v>3118</v>
      </c>
      <c r="I174">
        <v>320973.4363</v>
      </c>
    </row>
    <row r="175" spans="1:9" x14ac:dyDescent="0.25">
      <c r="A175" t="s">
        <v>9164</v>
      </c>
      <c r="C175" t="s">
        <v>9165</v>
      </c>
      <c r="D175" t="s">
        <v>9429</v>
      </c>
      <c r="E175" t="s">
        <v>9189</v>
      </c>
      <c r="F175" s="1">
        <v>45576</v>
      </c>
      <c r="G175" t="str">
        <f t="shared" ref="G175:G182" si="6">"300115"</f>
        <v>300115</v>
      </c>
      <c r="H175" t="s">
        <v>2938</v>
      </c>
      <c r="I175">
        <v>915204.07</v>
      </c>
    </row>
    <row r="176" spans="1:9" x14ac:dyDescent="0.25">
      <c r="A176" t="s">
        <v>9164</v>
      </c>
      <c r="C176" t="s">
        <v>9165</v>
      </c>
      <c r="D176" t="s">
        <v>9430</v>
      </c>
      <c r="E176" t="s">
        <v>9431</v>
      </c>
      <c r="F176" s="1">
        <v>45582</v>
      </c>
      <c r="G176" t="str">
        <f t="shared" si="6"/>
        <v>300115</v>
      </c>
      <c r="H176" t="s">
        <v>2938</v>
      </c>
      <c r="I176">
        <v>163713.44</v>
      </c>
    </row>
    <row r="177" spans="1:9" x14ac:dyDescent="0.25">
      <c r="A177" t="s">
        <v>9164</v>
      </c>
      <c r="C177" t="s">
        <v>9165</v>
      </c>
      <c r="D177" t="s">
        <v>9432</v>
      </c>
      <c r="E177" t="s">
        <v>9409</v>
      </c>
      <c r="F177" s="1">
        <v>45608</v>
      </c>
      <c r="G177" t="str">
        <f t="shared" si="6"/>
        <v>300115</v>
      </c>
      <c r="H177" t="s">
        <v>2938</v>
      </c>
      <c r="I177">
        <v>9508.9500000000007</v>
      </c>
    </row>
    <row r="178" spans="1:9" x14ac:dyDescent="0.25">
      <c r="A178" t="s">
        <v>9164</v>
      </c>
      <c r="C178" t="s">
        <v>9165</v>
      </c>
      <c r="D178" t="s">
        <v>9433</v>
      </c>
      <c r="E178" t="s">
        <v>9189</v>
      </c>
      <c r="F178" s="1">
        <v>45615</v>
      </c>
      <c r="G178" t="str">
        <f t="shared" si="6"/>
        <v>300115</v>
      </c>
      <c r="H178" t="s">
        <v>2938</v>
      </c>
      <c r="I178">
        <v>485304.6924</v>
      </c>
    </row>
    <row r="179" spans="1:9" x14ac:dyDescent="0.25">
      <c r="A179" t="s">
        <v>9164</v>
      </c>
      <c r="C179" t="s">
        <v>9165</v>
      </c>
      <c r="D179" t="s">
        <v>9434</v>
      </c>
      <c r="E179" t="s">
        <v>9435</v>
      </c>
      <c r="F179" s="1">
        <v>45623</v>
      </c>
      <c r="G179" t="str">
        <f t="shared" si="6"/>
        <v>300115</v>
      </c>
      <c r="H179" t="s">
        <v>2938</v>
      </c>
      <c r="I179">
        <v>8800</v>
      </c>
    </row>
    <row r="180" spans="1:9" x14ac:dyDescent="0.25">
      <c r="A180" t="s">
        <v>9164</v>
      </c>
      <c r="C180" t="s">
        <v>9165</v>
      </c>
      <c r="D180" t="s">
        <v>9436</v>
      </c>
      <c r="E180" t="s">
        <v>272</v>
      </c>
      <c r="F180" s="1">
        <v>45623</v>
      </c>
      <c r="G180" t="str">
        <f t="shared" si="6"/>
        <v>300115</v>
      </c>
      <c r="H180" t="s">
        <v>2938</v>
      </c>
      <c r="I180">
        <v>118311.6</v>
      </c>
    </row>
    <row r="181" spans="1:9" x14ac:dyDescent="0.25">
      <c r="A181" t="s">
        <v>9164</v>
      </c>
      <c r="C181" t="s">
        <v>9165</v>
      </c>
      <c r="D181" t="s">
        <v>9437</v>
      </c>
      <c r="E181" t="s">
        <v>9438</v>
      </c>
      <c r="F181" s="1">
        <v>45628</v>
      </c>
      <c r="G181" t="str">
        <f t="shared" si="6"/>
        <v>300115</v>
      </c>
      <c r="H181" t="s">
        <v>2938</v>
      </c>
      <c r="I181">
        <v>4627951.449</v>
      </c>
    </row>
    <row r="182" spans="1:9" x14ac:dyDescent="0.25">
      <c r="A182" t="s">
        <v>9164</v>
      </c>
      <c r="C182" t="s">
        <v>9165</v>
      </c>
      <c r="D182" t="s">
        <v>9439</v>
      </c>
      <c r="E182" t="s">
        <v>9435</v>
      </c>
      <c r="F182" s="1">
        <v>45636</v>
      </c>
      <c r="G182" t="str">
        <f t="shared" si="6"/>
        <v>300115</v>
      </c>
      <c r="H182" t="s">
        <v>2938</v>
      </c>
      <c r="I182">
        <v>0</v>
      </c>
    </row>
    <row r="183" spans="1:9" x14ac:dyDescent="0.25">
      <c r="A183" t="s">
        <v>9164</v>
      </c>
      <c r="C183" t="s">
        <v>9165</v>
      </c>
      <c r="D183" t="s">
        <v>9440</v>
      </c>
      <c r="E183" t="s">
        <v>9189</v>
      </c>
      <c r="F183" s="1">
        <v>45644</v>
      </c>
      <c r="G183" t="str">
        <f>"300381"</f>
        <v>300381</v>
      </c>
      <c r="H183" t="s">
        <v>3118</v>
      </c>
      <c r="I183">
        <v>68028.104099999997</v>
      </c>
    </row>
    <row r="184" spans="1:9" x14ac:dyDescent="0.25">
      <c r="A184" t="s">
        <v>9164</v>
      </c>
      <c r="C184" t="s">
        <v>9165</v>
      </c>
      <c r="D184" t="s">
        <v>9441</v>
      </c>
      <c r="E184" t="s">
        <v>8852</v>
      </c>
      <c r="F184" s="1">
        <v>45666</v>
      </c>
      <c r="G184" t="str">
        <f>"300381"</f>
        <v>300381</v>
      </c>
      <c r="H184" t="s">
        <v>3118</v>
      </c>
      <c r="I184">
        <v>2119291.4270000001</v>
      </c>
    </row>
    <row r="185" spans="1:9" x14ac:dyDescent="0.25">
      <c r="A185" t="s">
        <v>9164</v>
      </c>
      <c r="C185" t="s">
        <v>9165</v>
      </c>
      <c r="D185" t="s">
        <v>9442</v>
      </c>
      <c r="E185" t="s">
        <v>9443</v>
      </c>
      <c r="F185" s="1">
        <v>45672</v>
      </c>
      <c r="G185" t="str">
        <f>"300356"</f>
        <v>300356</v>
      </c>
      <c r="H185" t="s">
        <v>3094</v>
      </c>
      <c r="I185">
        <v>7584.28</v>
      </c>
    </row>
    <row r="186" spans="1:9" x14ac:dyDescent="0.25">
      <c r="A186" t="s">
        <v>9164</v>
      </c>
      <c r="C186" t="s">
        <v>9165</v>
      </c>
      <c r="D186" t="s">
        <v>9444</v>
      </c>
      <c r="E186" t="s">
        <v>1313</v>
      </c>
      <c r="F186" s="1">
        <v>45706</v>
      </c>
      <c r="G186" t="str">
        <f>"300115"</f>
        <v>300115</v>
      </c>
      <c r="H186" t="s">
        <v>2938</v>
      </c>
      <c r="I186">
        <v>64643.040000000001</v>
      </c>
    </row>
    <row r="187" spans="1:9" x14ac:dyDescent="0.25">
      <c r="A187" t="s">
        <v>9164</v>
      </c>
      <c r="C187" t="s">
        <v>9165</v>
      </c>
      <c r="D187" t="s">
        <v>9445</v>
      </c>
      <c r="E187" t="s">
        <v>9428</v>
      </c>
      <c r="F187" s="1">
        <v>45712</v>
      </c>
      <c r="G187" t="str">
        <f>"300381"</f>
        <v>300381</v>
      </c>
      <c r="H187" t="s">
        <v>3118</v>
      </c>
      <c r="I187">
        <v>472557.3688</v>
      </c>
    </row>
    <row r="188" spans="1:9" x14ac:dyDescent="0.25">
      <c r="A188" t="s">
        <v>9164</v>
      </c>
      <c r="C188" t="s">
        <v>9165</v>
      </c>
      <c r="D188" t="s">
        <v>9446</v>
      </c>
      <c r="E188" t="s">
        <v>9447</v>
      </c>
      <c r="F188" s="1">
        <v>45720</v>
      </c>
      <c r="G188" t="str">
        <f>"300220"</f>
        <v>300220</v>
      </c>
      <c r="H188" t="s">
        <v>2170</v>
      </c>
      <c r="I188">
        <v>786254.96400000004</v>
      </c>
    </row>
    <row r="189" spans="1:9" x14ac:dyDescent="0.25">
      <c r="A189" t="s">
        <v>9164</v>
      </c>
      <c r="C189" t="s">
        <v>9165</v>
      </c>
      <c r="D189" t="s">
        <v>9448</v>
      </c>
      <c r="E189" t="s">
        <v>9449</v>
      </c>
      <c r="F189" s="1">
        <v>45737</v>
      </c>
      <c r="G189" t="str">
        <f>"300220"</f>
        <v>300220</v>
      </c>
      <c r="H189" t="s">
        <v>2170</v>
      </c>
      <c r="I189">
        <v>1745.1279999999999</v>
      </c>
    </row>
    <row r="190" spans="1:9" x14ac:dyDescent="0.25">
      <c r="A190" t="s">
        <v>9164</v>
      </c>
      <c r="C190" t="s">
        <v>9165</v>
      </c>
      <c r="D190" t="s">
        <v>9450</v>
      </c>
      <c r="E190" t="s">
        <v>9451</v>
      </c>
      <c r="F190" s="1">
        <v>45743</v>
      </c>
      <c r="G190" t="str">
        <f>"300356"</f>
        <v>300356</v>
      </c>
      <c r="H190" t="s">
        <v>3094</v>
      </c>
      <c r="I190">
        <v>191219.6</v>
      </c>
    </row>
    <row r="191" spans="1:9" x14ac:dyDescent="0.25">
      <c r="A191" t="s">
        <v>9164</v>
      </c>
      <c r="C191" t="s">
        <v>9165</v>
      </c>
      <c r="D191" t="s">
        <v>9452</v>
      </c>
      <c r="E191" t="s">
        <v>8852</v>
      </c>
      <c r="F191" s="1">
        <v>45756</v>
      </c>
      <c r="G191" t="str">
        <f>"300381"</f>
        <v>300381</v>
      </c>
      <c r="H191" t="s">
        <v>3118</v>
      </c>
      <c r="I191">
        <v>49406.038</v>
      </c>
    </row>
    <row r="192" spans="1:9" x14ac:dyDescent="0.25">
      <c r="A192" t="s">
        <v>9164</v>
      </c>
      <c r="C192" t="s">
        <v>9165</v>
      </c>
      <c r="D192" t="s">
        <v>9453</v>
      </c>
      <c r="E192" t="s">
        <v>9454</v>
      </c>
      <c r="F192" s="1">
        <v>45762</v>
      </c>
      <c r="G192" t="str">
        <f>"300220"</f>
        <v>300220</v>
      </c>
      <c r="H192" t="s">
        <v>2170</v>
      </c>
      <c r="I192">
        <v>224572.65599999999</v>
      </c>
    </row>
    <row r="193" spans="1:9" x14ac:dyDescent="0.25">
      <c r="A193" t="s">
        <v>9164</v>
      </c>
      <c r="C193" t="s">
        <v>9165</v>
      </c>
      <c r="D193" t="s">
        <v>9455</v>
      </c>
      <c r="E193" t="s">
        <v>2172</v>
      </c>
      <c r="F193" s="1">
        <v>45764</v>
      </c>
      <c r="G193" t="str">
        <f>"300381"</f>
        <v>300381</v>
      </c>
      <c r="H193" t="s">
        <v>3118</v>
      </c>
      <c r="I193">
        <v>2799363.6660000002</v>
      </c>
    </row>
    <row r="194" spans="1:9" x14ac:dyDescent="0.25">
      <c r="A194" t="s">
        <v>9164</v>
      </c>
      <c r="C194" t="s">
        <v>9165</v>
      </c>
      <c r="D194" t="s">
        <v>9456</v>
      </c>
      <c r="F194" s="1">
        <v>45771</v>
      </c>
      <c r="G194" t="str">
        <f>"300154"</f>
        <v>300154</v>
      </c>
      <c r="H194" t="s">
        <v>1313</v>
      </c>
      <c r="I194">
        <v>223566.72</v>
      </c>
    </row>
    <row r="195" spans="1:9" x14ac:dyDescent="0.25">
      <c r="A195" t="s">
        <v>9164</v>
      </c>
      <c r="C195" t="s">
        <v>9165</v>
      </c>
      <c r="D195" t="s">
        <v>9457</v>
      </c>
      <c r="E195" t="s">
        <v>9458</v>
      </c>
      <c r="F195" s="1">
        <v>45775</v>
      </c>
      <c r="G195" t="str">
        <f>"300220"</f>
        <v>300220</v>
      </c>
      <c r="H195" t="s">
        <v>2170</v>
      </c>
      <c r="I195">
        <v>805.42</v>
      </c>
    </row>
    <row r="196" spans="1:9" x14ac:dyDescent="0.25">
      <c r="A196" t="s">
        <v>9164</v>
      </c>
      <c r="C196" t="s">
        <v>9165</v>
      </c>
      <c r="D196" t="s">
        <v>9459</v>
      </c>
      <c r="E196" t="s">
        <v>9460</v>
      </c>
      <c r="F196" s="1">
        <v>45785</v>
      </c>
      <c r="G196" t="str">
        <f>"300220"</f>
        <v>300220</v>
      </c>
      <c r="H196" t="s">
        <v>2170</v>
      </c>
      <c r="I196">
        <v>568569.40800000005</v>
      </c>
    </row>
    <row r="197" spans="1:9" x14ac:dyDescent="0.25">
      <c r="A197" t="s">
        <v>9164</v>
      </c>
      <c r="C197" t="s">
        <v>9165</v>
      </c>
      <c r="D197" t="s">
        <v>9461</v>
      </c>
      <c r="E197" t="s">
        <v>9462</v>
      </c>
      <c r="F197" s="1">
        <v>45791</v>
      </c>
      <c r="G197" t="str">
        <f>"300220"</f>
        <v>300220</v>
      </c>
      <c r="H197" t="s">
        <v>2170</v>
      </c>
      <c r="I197">
        <v>1329900</v>
      </c>
    </row>
    <row r="198" spans="1:9" x14ac:dyDescent="0.25">
      <c r="A198" t="s">
        <v>9164</v>
      </c>
      <c r="C198" t="s">
        <v>9165</v>
      </c>
      <c r="D198" t="s">
        <v>9463</v>
      </c>
      <c r="E198" t="s">
        <v>9464</v>
      </c>
      <c r="F198" s="1">
        <v>45791</v>
      </c>
      <c r="G198" t="str">
        <f>"300220"</f>
        <v>300220</v>
      </c>
      <c r="H198" t="s">
        <v>2170</v>
      </c>
      <c r="I198">
        <v>4672225.3600000003</v>
      </c>
    </row>
    <row r="199" spans="1:9" x14ac:dyDescent="0.25">
      <c r="A199" t="s">
        <v>9164</v>
      </c>
      <c r="C199" t="s">
        <v>9165</v>
      </c>
      <c r="D199" t="s">
        <v>9465</v>
      </c>
      <c r="E199" t="s">
        <v>9466</v>
      </c>
      <c r="F199" s="1">
        <v>45791</v>
      </c>
      <c r="G199" t="str">
        <f>"300381"</f>
        <v>300381</v>
      </c>
      <c r="H199" t="s">
        <v>3118</v>
      </c>
      <c r="I199">
        <v>1815000</v>
      </c>
    </row>
    <row r="200" spans="1:9" x14ac:dyDescent="0.25">
      <c r="A200" t="s">
        <v>9164</v>
      </c>
      <c r="C200" t="s">
        <v>9165</v>
      </c>
      <c r="D200" t="s">
        <v>9467</v>
      </c>
      <c r="F200" s="1">
        <v>45796</v>
      </c>
      <c r="G200" t="str">
        <f>"300154"</f>
        <v>300154</v>
      </c>
      <c r="H200" t="s">
        <v>1313</v>
      </c>
      <c r="I200">
        <v>335350.08</v>
      </c>
    </row>
    <row r="201" spans="1:9" x14ac:dyDescent="0.25">
      <c r="A201" t="s">
        <v>9164</v>
      </c>
      <c r="C201" t="s">
        <v>9165</v>
      </c>
      <c r="D201" t="s">
        <v>9468</v>
      </c>
      <c r="E201" t="s">
        <v>9382</v>
      </c>
      <c r="F201" s="1">
        <v>45810</v>
      </c>
      <c r="G201" t="str">
        <f>"300382"</f>
        <v>300382</v>
      </c>
      <c r="H201" t="s">
        <v>3119</v>
      </c>
      <c r="I201">
        <v>153847.74239999999</v>
      </c>
    </row>
    <row r="202" spans="1:9" x14ac:dyDescent="0.25">
      <c r="A202" t="s">
        <v>9164</v>
      </c>
      <c r="C202" t="s">
        <v>9165</v>
      </c>
      <c r="D202" t="s">
        <v>9469</v>
      </c>
      <c r="E202" t="s">
        <v>9470</v>
      </c>
      <c r="F202" s="1">
        <v>45812</v>
      </c>
      <c r="G202" t="str">
        <f>"300115"</f>
        <v>300115</v>
      </c>
      <c r="H202" t="s">
        <v>2938</v>
      </c>
      <c r="I202">
        <v>11654.775</v>
      </c>
    </row>
    <row r="203" spans="1:9" x14ac:dyDescent="0.25">
      <c r="A203" t="s">
        <v>9164</v>
      </c>
      <c r="C203" t="s">
        <v>9165</v>
      </c>
      <c r="D203" t="s">
        <v>9471</v>
      </c>
      <c r="E203" t="s">
        <v>8852</v>
      </c>
      <c r="F203" s="1">
        <v>45819</v>
      </c>
      <c r="G203" t="str">
        <f>"300381"</f>
        <v>300381</v>
      </c>
      <c r="H203" t="s">
        <v>3118</v>
      </c>
      <c r="I203">
        <v>29627.576000000001</v>
      </c>
    </row>
    <row r="204" spans="1:9" x14ac:dyDescent="0.25">
      <c r="A204" t="s">
        <v>9164</v>
      </c>
      <c r="C204" t="s">
        <v>9165</v>
      </c>
      <c r="D204" t="s">
        <v>9472</v>
      </c>
      <c r="E204" t="s">
        <v>9473</v>
      </c>
      <c r="F204" s="1">
        <v>45826</v>
      </c>
      <c r="G204" t="str">
        <f>"300115"</f>
        <v>300115</v>
      </c>
      <c r="H204" t="s">
        <v>2938</v>
      </c>
      <c r="I204">
        <v>2103309.1683999998</v>
      </c>
    </row>
    <row r="205" spans="1:9" x14ac:dyDescent="0.25">
      <c r="A205" t="s">
        <v>9164</v>
      </c>
      <c r="C205" t="s">
        <v>9165</v>
      </c>
      <c r="D205" t="s">
        <v>9474</v>
      </c>
      <c r="E205" t="s">
        <v>9475</v>
      </c>
      <c r="F205" s="1">
        <v>45828</v>
      </c>
      <c r="G205" t="str">
        <f>"300381"</f>
        <v>300381</v>
      </c>
      <c r="H205" t="s">
        <v>3118</v>
      </c>
      <c r="I205">
        <v>1783202.52</v>
      </c>
    </row>
    <row r="206" spans="1:9" x14ac:dyDescent="0.25">
      <c r="A206" t="s">
        <v>9164</v>
      </c>
      <c r="C206" t="s">
        <v>9165</v>
      </c>
      <c r="D206" t="s">
        <v>9476</v>
      </c>
      <c r="E206" t="s">
        <v>9112</v>
      </c>
      <c r="F206" s="1">
        <v>45831</v>
      </c>
      <c r="G206" t="str">
        <f>"300115"</f>
        <v>300115</v>
      </c>
      <c r="H206" t="s">
        <v>2938</v>
      </c>
      <c r="I206">
        <v>3665028.4065999999</v>
      </c>
    </row>
    <row r="207" spans="1:9" x14ac:dyDescent="0.25">
      <c r="A207" t="s">
        <v>9164</v>
      </c>
      <c r="C207" t="s">
        <v>9165</v>
      </c>
      <c r="D207" t="s">
        <v>9477</v>
      </c>
      <c r="E207" t="s">
        <v>9478</v>
      </c>
      <c r="F207" s="1">
        <v>45847</v>
      </c>
      <c r="G207" t="str">
        <f>"300115"</f>
        <v>300115</v>
      </c>
      <c r="H207" t="s">
        <v>2938</v>
      </c>
      <c r="I207">
        <v>756784.49</v>
      </c>
    </row>
    <row r="208" spans="1:9" x14ac:dyDescent="0.25">
      <c r="A208" t="s">
        <v>9164</v>
      </c>
      <c r="C208" t="s">
        <v>9165</v>
      </c>
      <c r="D208" t="s">
        <v>9479</v>
      </c>
      <c r="E208" t="s">
        <v>9480</v>
      </c>
      <c r="F208" s="1">
        <v>45848</v>
      </c>
      <c r="G208" t="str">
        <f>"300220"</f>
        <v>300220</v>
      </c>
      <c r="H208" t="s">
        <v>2170</v>
      </c>
      <c r="I208">
        <v>536800</v>
      </c>
    </row>
    <row r="209" spans="1:9" x14ac:dyDescent="0.25">
      <c r="A209" t="s">
        <v>9164</v>
      </c>
      <c r="C209" t="s">
        <v>9165</v>
      </c>
      <c r="D209" t="s">
        <v>9481</v>
      </c>
      <c r="E209" t="s">
        <v>9482</v>
      </c>
      <c r="F209" s="1">
        <v>45857</v>
      </c>
      <c r="G209" t="str">
        <f>"300220"</f>
        <v>300220</v>
      </c>
      <c r="H209" t="s">
        <v>2170</v>
      </c>
      <c r="I209">
        <v>3152131.7729000002</v>
      </c>
    </row>
    <row r="210" spans="1:9" x14ac:dyDescent="0.25">
      <c r="A210" t="s">
        <v>9164</v>
      </c>
      <c r="C210" t="s">
        <v>9165</v>
      </c>
      <c r="D210" t="s">
        <v>9483</v>
      </c>
      <c r="E210" t="s">
        <v>9484</v>
      </c>
      <c r="F210" s="1">
        <v>45866</v>
      </c>
      <c r="G210" t="str">
        <f>"300220"</f>
        <v>300220</v>
      </c>
      <c r="H210" t="s">
        <v>2170</v>
      </c>
      <c r="I210">
        <v>431457.4</v>
      </c>
    </row>
    <row r="211" spans="1:9" x14ac:dyDescent="0.25">
      <c r="A211" t="s">
        <v>9164</v>
      </c>
      <c r="C211" t="s">
        <v>9165</v>
      </c>
      <c r="D211" t="s">
        <v>9485</v>
      </c>
      <c r="E211" t="s">
        <v>9266</v>
      </c>
      <c r="F211" s="1">
        <v>45877</v>
      </c>
      <c r="G211" t="str">
        <f>"300115"</f>
        <v>300115</v>
      </c>
      <c r="H211" t="s">
        <v>2938</v>
      </c>
      <c r="I211">
        <v>120114.32399999999</v>
      </c>
    </row>
    <row r="212" spans="1:9" x14ac:dyDescent="0.25">
      <c r="A212" t="s">
        <v>9164</v>
      </c>
      <c r="C212" t="s">
        <v>9165</v>
      </c>
      <c r="D212" t="s">
        <v>9486</v>
      </c>
      <c r="E212" t="s">
        <v>9475</v>
      </c>
      <c r="F212" s="1">
        <v>45877</v>
      </c>
      <c r="G212" t="str">
        <f>"300381"</f>
        <v>300381</v>
      </c>
      <c r="H212" t="s">
        <v>3118</v>
      </c>
      <c r="I212">
        <v>941600</v>
      </c>
    </row>
    <row r="213" spans="1:9" x14ac:dyDescent="0.25">
      <c r="A213" t="s">
        <v>9164</v>
      </c>
      <c r="C213" t="s">
        <v>9165</v>
      </c>
      <c r="D213" t="s">
        <v>9487</v>
      </c>
      <c r="E213" t="s">
        <v>2793</v>
      </c>
      <c r="F213" s="1">
        <v>45884</v>
      </c>
      <c r="G213" t="str">
        <f>"300381"</f>
        <v>300381</v>
      </c>
      <c r="H213" t="s">
        <v>3118</v>
      </c>
      <c r="I213">
        <v>1930014.1006</v>
      </c>
    </row>
    <row r="214" spans="1:9" x14ac:dyDescent="0.25">
      <c r="A214" t="s">
        <v>9164</v>
      </c>
      <c r="C214" t="s">
        <v>9165</v>
      </c>
      <c r="D214" t="s">
        <v>9488</v>
      </c>
      <c r="E214" t="s">
        <v>9438</v>
      </c>
      <c r="F214" s="1">
        <v>45887</v>
      </c>
      <c r="G214" t="str">
        <f>"300220"</f>
        <v>300220</v>
      </c>
      <c r="H214" t="s">
        <v>2170</v>
      </c>
      <c r="I214">
        <v>1045000</v>
      </c>
    </row>
    <row r="215" spans="1:9" x14ac:dyDescent="0.25">
      <c r="A215" t="s">
        <v>9164</v>
      </c>
      <c r="C215" t="s">
        <v>9165</v>
      </c>
      <c r="D215" t="s">
        <v>9489</v>
      </c>
      <c r="E215" t="s">
        <v>9475</v>
      </c>
      <c r="F215" s="1">
        <v>45888</v>
      </c>
      <c r="G215" t="str">
        <f>"300381"</f>
        <v>300381</v>
      </c>
      <c r="H215" t="s">
        <v>3118</v>
      </c>
      <c r="I215">
        <v>72341.275599999994</v>
      </c>
    </row>
    <row r="216" spans="1:9" x14ac:dyDescent="0.25">
      <c r="A216" t="s">
        <v>9164</v>
      </c>
      <c r="C216" t="s">
        <v>9165</v>
      </c>
      <c r="D216" t="s">
        <v>9490</v>
      </c>
      <c r="E216" t="s">
        <v>9386</v>
      </c>
      <c r="F216" s="1">
        <v>45909</v>
      </c>
      <c r="G216" t="str">
        <f>"300220"</f>
        <v>300220</v>
      </c>
      <c r="H216" t="s">
        <v>2170</v>
      </c>
      <c r="I216">
        <v>1048068.12</v>
      </c>
    </row>
    <row r="217" spans="1:9" x14ac:dyDescent="0.25">
      <c r="A217" t="s">
        <v>9164</v>
      </c>
      <c r="C217" t="s">
        <v>9165</v>
      </c>
      <c r="D217" t="s">
        <v>9491</v>
      </c>
      <c r="E217" t="s">
        <v>9492</v>
      </c>
      <c r="F217" s="1">
        <v>45916</v>
      </c>
      <c r="G217" t="str">
        <f>"300381"</f>
        <v>300381</v>
      </c>
      <c r="H217" t="s">
        <v>3118</v>
      </c>
      <c r="I217">
        <v>333907.20000000001</v>
      </c>
    </row>
    <row r="218" spans="1:9" x14ac:dyDescent="0.25">
      <c r="A218" t="s">
        <v>9164</v>
      </c>
      <c r="C218" t="s">
        <v>9165</v>
      </c>
      <c r="D218" t="s">
        <v>9493</v>
      </c>
      <c r="E218" t="s">
        <v>8903</v>
      </c>
      <c r="F218" s="1">
        <v>45919</v>
      </c>
      <c r="G218" t="str">
        <f>"300115"</f>
        <v>300115</v>
      </c>
      <c r="H218" t="s">
        <v>2938</v>
      </c>
      <c r="I218">
        <v>130517.01300000001</v>
      </c>
    </row>
    <row r="219" spans="1:9" x14ac:dyDescent="0.25">
      <c r="A219" t="s">
        <v>9164</v>
      </c>
      <c r="C219" t="s">
        <v>9165</v>
      </c>
      <c r="D219" t="s">
        <v>9494</v>
      </c>
      <c r="E219" t="s">
        <v>9495</v>
      </c>
      <c r="F219" s="1">
        <v>45922</v>
      </c>
      <c r="G219" t="str">
        <f>"300115"</f>
        <v>300115</v>
      </c>
      <c r="H219" t="s">
        <v>2938</v>
      </c>
      <c r="I219">
        <v>1067220</v>
      </c>
    </row>
    <row r="220" spans="1:9" x14ac:dyDescent="0.25">
      <c r="A220" t="s">
        <v>9164</v>
      </c>
      <c r="C220" t="s">
        <v>9165</v>
      </c>
      <c r="D220" t="s">
        <v>9496</v>
      </c>
      <c r="E220" t="s">
        <v>9497</v>
      </c>
      <c r="F220" s="1">
        <v>45936</v>
      </c>
      <c r="G220" t="str">
        <f>"300381"</f>
        <v>300381</v>
      </c>
      <c r="H220" t="s">
        <v>3118</v>
      </c>
      <c r="I220">
        <v>899800</v>
      </c>
    </row>
    <row r="221" spans="1:9" x14ac:dyDescent="0.25">
      <c r="A221" t="s">
        <v>9164</v>
      </c>
      <c r="C221" t="s">
        <v>9165</v>
      </c>
      <c r="D221" t="s">
        <v>9498</v>
      </c>
      <c r="E221" t="s">
        <v>8852</v>
      </c>
      <c r="F221" s="1">
        <v>45943</v>
      </c>
      <c r="G221" t="str">
        <f>"300381"</f>
        <v>300381</v>
      </c>
      <c r="H221" t="s">
        <v>3118</v>
      </c>
      <c r="I221">
        <v>183300.579</v>
      </c>
    </row>
    <row r="222" spans="1:9" x14ac:dyDescent="0.25">
      <c r="A222" t="s">
        <v>9164</v>
      </c>
      <c r="C222" t="s">
        <v>9165</v>
      </c>
      <c r="D222" t="s">
        <v>9499</v>
      </c>
      <c r="E222" t="s">
        <v>9438</v>
      </c>
      <c r="F222" s="1">
        <v>45965</v>
      </c>
      <c r="G222" t="str">
        <f>"300220"</f>
        <v>300220</v>
      </c>
      <c r="H222" t="s">
        <v>2170</v>
      </c>
      <c r="I222">
        <v>158721.37710000001</v>
      </c>
    </row>
    <row r="223" spans="1:9" x14ac:dyDescent="0.25">
      <c r="A223" t="s">
        <v>9500</v>
      </c>
      <c r="C223" t="s">
        <v>9501</v>
      </c>
      <c r="D223" t="s">
        <v>9502</v>
      </c>
      <c r="E223" t="s">
        <v>9503</v>
      </c>
      <c r="F223" s="1">
        <v>45968</v>
      </c>
      <c r="G223" t="str">
        <f>"300133"</f>
        <v>300133</v>
      </c>
      <c r="H223" t="s">
        <v>2955</v>
      </c>
      <c r="I223">
        <v>60491.63</v>
      </c>
    </row>
    <row r="224" spans="1:9" x14ac:dyDescent="0.25">
      <c r="A224" t="s">
        <v>9164</v>
      </c>
      <c r="C224" t="s">
        <v>9165</v>
      </c>
      <c r="D224" t="s">
        <v>9504</v>
      </c>
      <c r="E224" t="s">
        <v>8852</v>
      </c>
      <c r="F224" s="1">
        <v>45974</v>
      </c>
      <c r="G224" t="str">
        <f>"300381"</f>
        <v>300381</v>
      </c>
      <c r="H224" t="s">
        <v>3118</v>
      </c>
      <c r="I224">
        <v>297330</v>
      </c>
    </row>
    <row r="225" spans="1:9" x14ac:dyDescent="0.25">
      <c r="A225" t="s">
        <v>9164</v>
      </c>
      <c r="C225" t="s">
        <v>9165</v>
      </c>
      <c r="D225" t="s">
        <v>9505</v>
      </c>
      <c r="E225" t="s">
        <v>9506</v>
      </c>
      <c r="F225" s="1">
        <v>45987</v>
      </c>
      <c r="G225" t="str">
        <f>"300064"</f>
        <v>300064</v>
      </c>
      <c r="H225" t="s">
        <v>2896</v>
      </c>
      <c r="I225">
        <v>10128</v>
      </c>
    </row>
    <row r="226" spans="1:9" x14ac:dyDescent="0.25">
      <c r="A226" t="s">
        <v>9164</v>
      </c>
      <c r="C226" t="s">
        <v>9165</v>
      </c>
      <c r="D226" t="s">
        <v>9507</v>
      </c>
      <c r="E226" t="s">
        <v>2793</v>
      </c>
      <c r="F226" s="1">
        <v>45987</v>
      </c>
      <c r="G226" t="str">
        <f>"300381"</f>
        <v>300381</v>
      </c>
      <c r="H226" t="s">
        <v>3118</v>
      </c>
      <c r="I226">
        <v>887558.1</v>
      </c>
    </row>
    <row r="227" spans="1:9" x14ac:dyDescent="0.25">
      <c r="A227" t="s">
        <v>9500</v>
      </c>
      <c r="C227" t="s">
        <v>9501</v>
      </c>
      <c r="D227" t="s">
        <v>9508</v>
      </c>
      <c r="E227" t="s">
        <v>9072</v>
      </c>
      <c r="F227" s="1">
        <v>46009</v>
      </c>
      <c r="G227" t="str">
        <f>"300133"</f>
        <v>300133</v>
      </c>
      <c r="H227" t="s">
        <v>2955</v>
      </c>
      <c r="I227">
        <v>5300</v>
      </c>
    </row>
    <row r="228" spans="1:9" x14ac:dyDescent="0.25">
      <c r="A228" t="s">
        <v>9164</v>
      </c>
      <c r="C228" t="s">
        <v>9165</v>
      </c>
      <c r="D228" t="s">
        <v>9509</v>
      </c>
      <c r="E228" t="s">
        <v>8852</v>
      </c>
      <c r="F228" s="1">
        <v>46028</v>
      </c>
      <c r="G228" t="str">
        <f>"300381"</f>
        <v>300381</v>
      </c>
      <c r="H228" t="s">
        <v>3118</v>
      </c>
      <c r="I228">
        <v>1777809.4861999999</v>
      </c>
    </row>
    <row r="229" spans="1:9" x14ac:dyDescent="0.25">
      <c r="A229" t="s">
        <v>9164</v>
      </c>
      <c r="C229" t="s">
        <v>9165</v>
      </c>
      <c r="D229" t="s">
        <v>9510</v>
      </c>
      <c r="E229" t="s">
        <v>8852</v>
      </c>
      <c r="F229" s="1">
        <v>46051</v>
      </c>
      <c r="G229" t="str">
        <f>"300381"</f>
        <v>300381</v>
      </c>
      <c r="H229" t="s">
        <v>3118</v>
      </c>
      <c r="I229">
        <v>173491.7635</v>
      </c>
    </row>
    <row r="230" spans="1:9" x14ac:dyDescent="0.25">
      <c r="A230" t="s">
        <v>9500</v>
      </c>
      <c r="C230" t="s">
        <v>9501</v>
      </c>
      <c r="D230" t="s">
        <v>9511</v>
      </c>
      <c r="E230" t="s">
        <v>9512</v>
      </c>
      <c r="F230" s="1">
        <v>46072</v>
      </c>
      <c r="G230" t="str">
        <f>"300080"</f>
        <v>300080</v>
      </c>
      <c r="H230" t="s">
        <v>2907</v>
      </c>
      <c r="I230">
        <v>39.9</v>
      </c>
    </row>
    <row r="231" spans="1:9" x14ac:dyDescent="0.25">
      <c r="A231" t="s">
        <v>9164</v>
      </c>
      <c r="C231" t="s">
        <v>9165</v>
      </c>
      <c r="D231" t="s">
        <v>9513</v>
      </c>
      <c r="E231" t="s">
        <v>9438</v>
      </c>
      <c r="F231" s="1">
        <v>46078</v>
      </c>
      <c r="G231" t="str">
        <f>"300115"</f>
        <v>300115</v>
      </c>
      <c r="H231" t="s">
        <v>2938</v>
      </c>
      <c r="I231">
        <v>536310.027</v>
      </c>
    </row>
    <row r="232" spans="1:9" x14ac:dyDescent="0.25">
      <c r="A232" t="s">
        <v>8863</v>
      </c>
      <c r="C232" t="s">
        <v>8864</v>
      </c>
      <c r="D232" t="s">
        <v>9514</v>
      </c>
      <c r="E232" t="s">
        <v>9515</v>
      </c>
      <c r="F232" s="1">
        <v>46081</v>
      </c>
      <c r="G232" t="str">
        <f>"300321"</f>
        <v>300321</v>
      </c>
      <c r="H232" t="s">
        <v>2706</v>
      </c>
      <c r="I232">
        <v>27950</v>
      </c>
    </row>
    <row r="233" spans="1:9" x14ac:dyDescent="0.25">
      <c r="A233" t="s">
        <v>9164</v>
      </c>
      <c r="C233" t="s">
        <v>9165</v>
      </c>
      <c r="D233" t="s">
        <v>9516</v>
      </c>
      <c r="E233" t="s">
        <v>9517</v>
      </c>
      <c r="F233" s="1">
        <v>46085</v>
      </c>
      <c r="G233" t="str">
        <f>"300381"</f>
        <v>300381</v>
      </c>
      <c r="H233" t="s">
        <v>3118</v>
      </c>
      <c r="I233">
        <v>3457484.7999999998</v>
      </c>
    </row>
    <row r="234" spans="1:9" x14ac:dyDescent="0.25">
      <c r="A234" t="s">
        <v>9164</v>
      </c>
      <c r="C234" t="s">
        <v>9165</v>
      </c>
      <c r="D234" t="s">
        <v>9518</v>
      </c>
      <c r="E234" t="s">
        <v>9519</v>
      </c>
      <c r="F234" s="1">
        <v>46090</v>
      </c>
      <c r="G234" t="str">
        <f>"300133"</f>
        <v>300133</v>
      </c>
      <c r="H234" t="s">
        <v>2955</v>
      </c>
      <c r="I234">
        <v>26395.599999999999</v>
      </c>
    </row>
    <row r="235" spans="1:9" x14ac:dyDescent="0.25">
      <c r="A235" t="s">
        <v>9500</v>
      </c>
      <c r="C235" t="s">
        <v>9501</v>
      </c>
      <c r="D235" t="s">
        <v>9520</v>
      </c>
      <c r="E235" t="s">
        <v>9057</v>
      </c>
      <c r="F235" s="1">
        <v>46098</v>
      </c>
      <c r="G235" t="str">
        <f>"300066"</f>
        <v>300066</v>
      </c>
      <c r="H235" t="s">
        <v>2898</v>
      </c>
      <c r="I235">
        <v>168.08</v>
      </c>
    </row>
    <row r="236" spans="1:9" x14ac:dyDescent="0.25">
      <c r="A236" t="s">
        <v>9164</v>
      </c>
      <c r="C236" t="s">
        <v>9165</v>
      </c>
      <c r="D236" t="s">
        <v>9521</v>
      </c>
      <c r="E236" t="s">
        <v>9297</v>
      </c>
      <c r="F236" s="1">
        <v>46104</v>
      </c>
      <c r="G236" t="str">
        <f>"300115"</f>
        <v>300115</v>
      </c>
      <c r="H236" t="s">
        <v>2938</v>
      </c>
      <c r="I236">
        <v>367400</v>
      </c>
    </row>
    <row r="237" spans="1:9" x14ac:dyDescent="0.25">
      <c r="A237" t="s">
        <v>8863</v>
      </c>
      <c r="C237" t="s">
        <v>8864</v>
      </c>
      <c r="D237" t="str">
        <f>"261200275"</f>
        <v>261200275</v>
      </c>
      <c r="E237" t="s">
        <v>9522</v>
      </c>
      <c r="F237" s="1">
        <v>46110</v>
      </c>
      <c r="G237" t="str">
        <f>"300373"</f>
        <v>300373</v>
      </c>
      <c r="H237" t="s">
        <v>3110</v>
      </c>
      <c r="I237">
        <v>196023.10200000001</v>
      </c>
    </row>
    <row r="238" spans="1:9" x14ac:dyDescent="0.25">
      <c r="A238" t="s">
        <v>9164</v>
      </c>
      <c r="C238" t="s">
        <v>9165</v>
      </c>
      <c r="D238" t="s">
        <v>9523</v>
      </c>
      <c r="E238" t="s">
        <v>9524</v>
      </c>
      <c r="F238" s="1">
        <v>46111</v>
      </c>
      <c r="G238" t="str">
        <f>"300133"</f>
        <v>300133</v>
      </c>
      <c r="H238" t="s">
        <v>2955</v>
      </c>
      <c r="I238">
        <v>202045.6</v>
      </c>
    </row>
    <row r="239" spans="1:9" x14ac:dyDescent="0.25">
      <c r="A239" t="s">
        <v>9164</v>
      </c>
      <c r="C239" t="s">
        <v>9165</v>
      </c>
      <c r="D239" t="s">
        <v>9525</v>
      </c>
      <c r="E239" t="s">
        <v>9526</v>
      </c>
      <c r="F239" s="1">
        <v>46111</v>
      </c>
      <c r="G239" t="str">
        <f>"300220"</f>
        <v>300220</v>
      </c>
      <c r="H239" t="s">
        <v>2170</v>
      </c>
      <c r="I239">
        <v>3366000</v>
      </c>
    </row>
    <row r="240" spans="1:9" x14ac:dyDescent="0.25">
      <c r="A240" t="s">
        <v>9164</v>
      </c>
      <c r="C240" t="s">
        <v>9165</v>
      </c>
      <c r="D240" t="s">
        <v>9527</v>
      </c>
      <c r="E240" t="s">
        <v>9528</v>
      </c>
      <c r="F240" s="1">
        <v>46111</v>
      </c>
      <c r="G240" t="str">
        <f>"300220"</f>
        <v>300220</v>
      </c>
      <c r="H240" t="s">
        <v>2170</v>
      </c>
      <c r="I240">
        <v>1679700</v>
      </c>
    </row>
    <row r="241" spans="1:9" x14ac:dyDescent="0.25">
      <c r="A241" t="s">
        <v>9164</v>
      </c>
      <c r="C241" t="s">
        <v>9165</v>
      </c>
      <c r="D241" t="s">
        <v>9529</v>
      </c>
      <c r="E241" t="s">
        <v>9530</v>
      </c>
      <c r="F241" s="1">
        <v>46111</v>
      </c>
      <c r="G241" t="str">
        <f>"300381"</f>
        <v>300381</v>
      </c>
      <c r="H241" t="s">
        <v>3118</v>
      </c>
      <c r="I241">
        <v>1567500</v>
      </c>
    </row>
    <row r="242" spans="1:9" x14ac:dyDescent="0.25">
      <c r="A242" t="s">
        <v>8863</v>
      </c>
      <c r="C242" t="s">
        <v>8864</v>
      </c>
      <c r="D242" t="str">
        <f>"29944"</f>
        <v>29944</v>
      </c>
      <c r="E242" t="s">
        <v>9531</v>
      </c>
      <c r="F242" s="1">
        <v>46113</v>
      </c>
      <c r="G242" t="str">
        <f>"300043"</f>
        <v>300043</v>
      </c>
      <c r="H242" t="s">
        <v>2876</v>
      </c>
      <c r="I242">
        <v>1304</v>
      </c>
    </row>
    <row r="243" spans="1:9" x14ac:dyDescent="0.25">
      <c r="A243" t="s">
        <v>8863</v>
      </c>
      <c r="C243" t="s">
        <v>8864</v>
      </c>
      <c r="D243" t="str">
        <f>"29976"</f>
        <v>29976</v>
      </c>
      <c r="E243" t="s">
        <v>9532</v>
      </c>
      <c r="F243" s="1">
        <v>46113</v>
      </c>
      <c r="G243" t="str">
        <f>"300043"</f>
        <v>300043</v>
      </c>
      <c r="H243" t="s">
        <v>2876</v>
      </c>
      <c r="I243">
        <v>1304</v>
      </c>
    </row>
    <row r="244" spans="1:9" x14ac:dyDescent="0.25">
      <c r="A244" t="s">
        <v>8863</v>
      </c>
      <c r="C244" t="s">
        <v>8864</v>
      </c>
      <c r="D244" t="s">
        <v>9533</v>
      </c>
      <c r="E244" t="s">
        <v>9534</v>
      </c>
      <c r="F244" s="1">
        <v>46113</v>
      </c>
      <c r="G244" t="str">
        <f>"300101"</f>
        <v>300101</v>
      </c>
      <c r="H244" t="s">
        <v>2926</v>
      </c>
      <c r="I244">
        <v>14899.26</v>
      </c>
    </row>
    <row r="245" spans="1:9" x14ac:dyDescent="0.25">
      <c r="A245" t="s">
        <v>8863</v>
      </c>
      <c r="C245" t="s">
        <v>8864</v>
      </c>
      <c r="D245" t="str">
        <f>"5489"</f>
        <v>5489</v>
      </c>
      <c r="E245" t="s">
        <v>9535</v>
      </c>
      <c r="F245" s="1">
        <v>46115</v>
      </c>
      <c r="G245" t="str">
        <f>"300043"</f>
        <v>300043</v>
      </c>
      <c r="H245" t="s">
        <v>2876</v>
      </c>
      <c r="I245">
        <v>3002</v>
      </c>
    </row>
    <row r="246" spans="1:9" x14ac:dyDescent="0.25">
      <c r="A246" t="s">
        <v>8863</v>
      </c>
      <c r="C246" t="s">
        <v>8864</v>
      </c>
      <c r="D246" t="s">
        <v>9536</v>
      </c>
      <c r="E246" t="str">
        <f>"2300"</f>
        <v>2300</v>
      </c>
      <c r="F246" s="1">
        <v>46118</v>
      </c>
      <c r="G246" t="str">
        <f>"300133"</f>
        <v>300133</v>
      </c>
      <c r="H246" t="s">
        <v>2955</v>
      </c>
      <c r="I246">
        <v>45648</v>
      </c>
    </row>
    <row r="247" spans="1:9" x14ac:dyDescent="0.25">
      <c r="A247" t="s">
        <v>8863</v>
      </c>
      <c r="C247" t="s">
        <v>8864</v>
      </c>
      <c r="D247" t="s">
        <v>9537</v>
      </c>
      <c r="E247" t="s">
        <v>9538</v>
      </c>
      <c r="F247" s="1">
        <v>46118</v>
      </c>
      <c r="G247" t="str">
        <f>"300133"</f>
        <v>300133</v>
      </c>
      <c r="H247" t="s">
        <v>2955</v>
      </c>
      <c r="I247">
        <v>28808.65</v>
      </c>
    </row>
    <row r="248" spans="1:9" x14ac:dyDescent="0.25">
      <c r="A248" t="s">
        <v>8863</v>
      </c>
      <c r="C248" t="s">
        <v>8864</v>
      </c>
      <c r="D248" t="s">
        <v>9539</v>
      </c>
      <c r="E248" t="s">
        <v>9538</v>
      </c>
      <c r="F248" s="1">
        <v>46118</v>
      </c>
      <c r="G248" t="str">
        <f>"300133"</f>
        <v>300133</v>
      </c>
      <c r="H248" t="s">
        <v>2955</v>
      </c>
      <c r="I248">
        <v>17285.189999999999</v>
      </c>
    </row>
    <row r="249" spans="1:9" x14ac:dyDescent="0.25">
      <c r="A249" t="s">
        <v>8863</v>
      </c>
      <c r="C249" t="s">
        <v>8864</v>
      </c>
      <c r="D249" t="str">
        <f>"80214775"</f>
        <v>80214775</v>
      </c>
      <c r="E249" t="s">
        <v>8852</v>
      </c>
      <c r="F249" s="1">
        <v>46118</v>
      </c>
      <c r="G249" t="str">
        <f>"300381"</f>
        <v>300381</v>
      </c>
      <c r="H249" t="s">
        <v>3118</v>
      </c>
      <c r="I249">
        <v>350749.87199999997</v>
      </c>
    </row>
    <row r="250" spans="1:9" x14ac:dyDescent="0.25">
      <c r="A250" t="s">
        <v>8863</v>
      </c>
      <c r="C250" t="s">
        <v>8864</v>
      </c>
      <c r="D250" t="str">
        <f>"80215066"</f>
        <v>80215066</v>
      </c>
      <c r="E250" t="s">
        <v>9540</v>
      </c>
      <c r="F250" s="1">
        <v>46118</v>
      </c>
      <c r="G250" t="str">
        <f>"300381"</f>
        <v>300381</v>
      </c>
      <c r="H250" t="s">
        <v>3118</v>
      </c>
      <c r="I250">
        <v>333907.20000000001</v>
      </c>
    </row>
    <row r="251" spans="1:9" x14ac:dyDescent="0.25">
      <c r="A251" t="s">
        <v>8863</v>
      </c>
      <c r="C251" t="s">
        <v>8864</v>
      </c>
      <c r="D251" t="str">
        <f>"80215274"</f>
        <v>80215274</v>
      </c>
      <c r="E251" t="s">
        <v>2172</v>
      </c>
      <c r="F251" s="1">
        <v>46118</v>
      </c>
      <c r="G251" t="str">
        <f>"300381"</f>
        <v>300381</v>
      </c>
      <c r="H251" t="s">
        <v>3118</v>
      </c>
      <c r="I251">
        <v>333907.20000000001</v>
      </c>
    </row>
    <row r="252" spans="1:9" x14ac:dyDescent="0.25">
      <c r="A252" t="s">
        <v>8863</v>
      </c>
      <c r="C252" t="s">
        <v>8864</v>
      </c>
      <c r="D252" t="str">
        <f>"29699"</f>
        <v>29699</v>
      </c>
      <c r="E252" t="s">
        <v>9541</v>
      </c>
      <c r="F252" s="1">
        <v>46119</v>
      </c>
      <c r="G252" t="str">
        <f>"300043"</f>
        <v>300043</v>
      </c>
      <c r="H252" t="s">
        <v>2876</v>
      </c>
      <c r="I252">
        <v>17150</v>
      </c>
    </row>
    <row r="253" spans="1:9" x14ac:dyDescent="0.25">
      <c r="A253" t="s">
        <v>9164</v>
      </c>
      <c r="C253" t="s">
        <v>9165</v>
      </c>
      <c r="D253" t="s">
        <v>9542</v>
      </c>
      <c r="E253" t="s">
        <v>9543</v>
      </c>
      <c r="F253" s="1">
        <v>46119</v>
      </c>
      <c r="G253" t="str">
        <f>"300064"</f>
        <v>300064</v>
      </c>
      <c r="H253" t="s">
        <v>2896</v>
      </c>
      <c r="I253">
        <v>5</v>
      </c>
    </row>
    <row r="254" spans="1:9" x14ac:dyDescent="0.25">
      <c r="A254" t="s">
        <v>9164</v>
      </c>
      <c r="C254" t="s">
        <v>9165</v>
      </c>
      <c r="D254" t="s">
        <v>9544</v>
      </c>
      <c r="E254" t="s">
        <v>9545</v>
      </c>
      <c r="F254" s="1">
        <v>46119</v>
      </c>
      <c r="G254" t="str">
        <f>"300220"</f>
        <v>300220</v>
      </c>
      <c r="H254" t="s">
        <v>2170</v>
      </c>
      <c r="I254">
        <v>95000</v>
      </c>
    </row>
    <row r="255" spans="1:9" x14ac:dyDescent="0.25">
      <c r="A255" t="s">
        <v>8863</v>
      </c>
      <c r="C255" t="s">
        <v>8864</v>
      </c>
      <c r="D255" t="s">
        <v>9546</v>
      </c>
      <c r="E255" t="s">
        <v>9547</v>
      </c>
      <c r="F255" s="1">
        <v>46120</v>
      </c>
      <c r="G255" t="str">
        <f>"300064"</f>
        <v>300064</v>
      </c>
      <c r="H255" t="s">
        <v>2896</v>
      </c>
      <c r="I255">
        <v>59011.44</v>
      </c>
    </row>
    <row r="256" spans="1:9" x14ac:dyDescent="0.25">
      <c r="A256" t="s">
        <v>8863</v>
      </c>
      <c r="C256" t="s">
        <v>8864</v>
      </c>
      <c r="D256" t="s">
        <v>9548</v>
      </c>
      <c r="E256" t="s">
        <v>9549</v>
      </c>
      <c r="F256" s="1">
        <v>46120</v>
      </c>
      <c r="G256" t="str">
        <f>"300064"</f>
        <v>300064</v>
      </c>
      <c r="H256" t="s">
        <v>2896</v>
      </c>
      <c r="I256">
        <v>93039.2</v>
      </c>
    </row>
    <row r="257" spans="1:9" x14ac:dyDescent="0.25">
      <c r="A257" t="s">
        <v>8863</v>
      </c>
      <c r="C257" t="s">
        <v>8864</v>
      </c>
      <c r="D257" t="str">
        <f>"10175580"</f>
        <v>10175580</v>
      </c>
      <c r="E257" t="s">
        <v>9438</v>
      </c>
      <c r="F257" s="1">
        <v>46120</v>
      </c>
      <c r="G257" t="str">
        <f>"300115"</f>
        <v>300115</v>
      </c>
      <c r="H257" t="s">
        <v>2938</v>
      </c>
      <c r="I257">
        <v>346287.84299999999</v>
      </c>
    </row>
    <row r="258" spans="1:9" x14ac:dyDescent="0.25">
      <c r="A258" t="s">
        <v>8863</v>
      </c>
      <c r="C258" t="s">
        <v>8864</v>
      </c>
      <c r="D258" t="str">
        <f>"10175614"</f>
        <v>10175614</v>
      </c>
      <c r="E258" t="s">
        <v>9438</v>
      </c>
      <c r="F258" s="1">
        <v>46121</v>
      </c>
      <c r="G258" t="str">
        <f>"300115"</f>
        <v>300115</v>
      </c>
      <c r="H258" t="s">
        <v>2938</v>
      </c>
      <c r="I258">
        <v>346283.685</v>
      </c>
    </row>
    <row r="259" spans="1:9" x14ac:dyDescent="0.25">
      <c r="A259" t="s">
        <v>8863</v>
      </c>
      <c r="C259" t="s">
        <v>8864</v>
      </c>
      <c r="D259" t="s">
        <v>9550</v>
      </c>
      <c r="E259" t="s">
        <v>9532</v>
      </c>
      <c r="F259" s="1">
        <v>46121</v>
      </c>
      <c r="G259" t="str">
        <f>"300423"</f>
        <v>300423</v>
      </c>
      <c r="H259" t="s">
        <v>3156</v>
      </c>
      <c r="I259">
        <v>3215.1</v>
      </c>
    </row>
    <row r="260" spans="1:9" x14ac:dyDescent="0.25">
      <c r="A260" t="s">
        <v>8863</v>
      </c>
      <c r="C260" t="s">
        <v>8864</v>
      </c>
      <c r="D260" t="s">
        <v>9551</v>
      </c>
      <c r="E260" t="s">
        <v>9531</v>
      </c>
      <c r="F260" s="1">
        <v>46121</v>
      </c>
      <c r="G260" t="str">
        <f>"300423"</f>
        <v>300423</v>
      </c>
      <c r="H260" t="s">
        <v>3156</v>
      </c>
      <c r="I260">
        <v>3550.72</v>
      </c>
    </row>
    <row r="261" spans="1:9" x14ac:dyDescent="0.25">
      <c r="A261" t="s">
        <v>8863</v>
      </c>
      <c r="C261" t="s">
        <v>8864</v>
      </c>
      <c r="D261" t="s">
        <v>9552</v>
      </c>
      <c r="E261" t="s">
        <v>9553</v>
      </c>
      <c r="F261" s="1">
        <v>46122</v>
      </c>
      <c r="G261" t="str">
        <f>"300133"</f>
        <v>300133</v>
      </c>
      <c r="H261" t="s">
        <v>2955</v>
      </c>
      <c r="I261">
        <v>9201.6</v>
      </c>
    </row>
    <row r="262" spans="1:9" x14ac:dyDescent="0.25">
      <c r="A262" t="s">
        <v>8863</v>
      </c>
      <c r="C262" t="s">
        <v>8864</v>
      </c>
      <c r="D262" t="s">
        <v>9554</v>
      </c>
      <c r="E262" t="s">
        <v>9555</v>
      </c>
      <c r="F262" s="1">
        <v>46122</v>
      </c>
      <c r="G262" t="str">
        <f>"300133"</f>
        <v>300133</v>
      </c>
      <c r="H262" t="s">
        <v>2955</v>
      </c>
      <c r="I262">
        <v>29160</v>
      </c>
    </row>
    <row r="263" spans="1:9" x14ac:dyDescent="0.25">
      <c r="A263" t="s">
        <v>8863</v>
      </c>
      <c r="C263" t="s">
        <v>8864</v>
      </c>
      <c r="D263" t="s">
        <v>9556</v>
      </c>
      <c r="E263" t="s">
        <v>9553</v>
      </c>
      <c r="F263" s="1">
        <v>46122</v>
      </c>
      <c r="G263" t="str">
        <f>"300133"</f>
        <v>300133</v>
      </c>
      <c r="H263" t="s">
        <v>2955</v>
      </c>
      <c r="I263">
        <v>9201.6</v>
      </c>
    </row>
    <row r="264" spans="1:9" x14ac:dyDescent="0.25">
      <c r="A264" t="s">
        <v>8863</v>
      </c>
      <c r="C264" t="s">
        <v>8864</v>
      </c>
      <c r="D264" t="s">
        <v>9557</v>
      </c>
      <c r="E264" t="s">
        <v>9541</v>
      </c>
      <c r="F264" s="1">
        <v>46122</v>
      </c>
      <c r="G264" t="str">
        <f>"300191"</f>
        <v>300191</v>
      </c>
      <c r="H264" t="s">
        <v>3008</v>
      </c>
      <c r="I264">
        <v>6973.36</v>
      </c>
    </row>
    <row r="265" spans="1:9" x14ac:dyDescent="0.25">
      <c r="A265" t="s">
        <v>9164</v>
      </c>
      <c r="C265" t="s">
        <v>9165</v>
      </c>
      <c r="D265" t="s">
        <v>9558</v>
      </c>
      <c r="E265" t="s">
        <v>9559</v>
      </c>
      <c r="F265" s="1">
        <v>46125</v>
      </c>
      <c r="G265" t="str">
        <f>"300064"</f>
        <v>300064</v>
      </c>
      <c r="H265" t="s">
        <v>2896</v>
      </c>
      <c r="I265">
        <v>170235.51999999999</v>
      </c>
    </row>
    <row r="266" spans="1:9" x14ac:dyDescent="0.25">
      <c r="A266" t="s">
        <v>8863</v>
      </c>
      <c r="C266" t="s">
        <v>8864</v>
      </c>
      <c r="D266" t="s">
        <v>9560</v>
      </c>
      <c r="E266" t="s">
        <v>2602</v>
      </c>
      <c r="F266" s="1">
        <v>46125</v>
      </c>
      <c r="G266" t="str">
        <f>"300064"</f>
        <v>300064</v>
      </c>
      <c r="H266" t="s">
        <v>2896</v>
      </c>
      <c r="I266">
        <v>180315.51999999999</v>
      </c>
    </row>
    <row r="267" spans="1:9" x14ac:dyDescent="0.25">
      <c r="A267" t="s">
        <v>8863</v>
      </c>
      <c r="C267" t="s">
        <v>8864</v>
      </c>
      <c r="D267" t="s">
        <v>9561</v>
      </c>
      <c r="E267" t="s">
        <v>9562</v>
      </c>
      <c r="F267" s="1">
        <v>46125</v>
      </c>
      <c r="G267" t="str">
        <f>"300133"</f>
        <v>300133</v>
      </c>
      <c r="H267" t="s">
        <v>2955</v>
      </c>
      <c r="I267">
        <v>45648</v>
      </c>
    </row>
    <row r="268" spans="1:9" x14ac:dyDescent="0.25">
      <c r="A268" t="s">
        <v>8863</v>
      </c>
      <c r="C268" t="s">
        <v>8864</v>
      </c>
      <c r="D268" t="str">
        <f>"80215693"</f>
        <v>80215693</v>
      </c>
      <c r="E268" t="s">
        <v>8852</v>
      </c>
      <c r="F268" s="1">
        <v>46125</v>
      </c>
      <c r="G268" t="str">
        <f>"300381"</f>
        <v>300381</v>
      </c>
      <c r="H268" t="s">
        <v>3118</v>
      </c>
      <c r="I268">
        <v>356998.35600000003</v>
      </c>
    </row>
    <row r="269" spans="1:9" x14ac:dyDescent="0.25">
      <c r="A269" t="s">
        <v>8863</v>
      </c>
      <c r="C269" t="s">
        <v>8864</v>
      </c>
      <c r="D269" t="str">
        <f>"44275"</f>
        <v>44275</v>
      </c>
      <c r="E269" t="s">
        <v>9563</v>
      </c>
      <c r="F269" s="1">
        <v>46126</v>
      </c>
      <c r="G269" t="str">
        <f>"300043"</f>
        <v>300043</v>
      </c>
      <c r="H269" t="s">
        <v>2876</v>
      </c>
      <c r="I269">
        <v>626</v>
      </c>
    </row>
    <row r="270" spans="1:9" x14ac:dyDescent="0.25">
      <c r="A270" t="s">
        <v>8863</v>
      </c>
      <c r="C270" t="s">
        <v>8864</v>
      </c>
      <c r="D270" t="s">
        <v>9564</v>
      </c>
      <c r="E270" t="s">
        <v>9565</v>
      </c>
      <c r="F270" s="1">
        <v>46126</v>
      </c>
      <c r="G270" t="str">
        <f>"300133"</f>
        <v>300133</v>
      </c>
      <c r="H270" t="s">
        <v>2955</v>
      </c>
      <c r="I270">
        <v>38565</v>
      </c>
    </row>
    <row r="271" spans="1:9" x14ac:dyDescent="0.25">
      <c r="A271" t="s">
        <v>8863</v>
      </c>
      <c r="C271" t="s">
        <v>8864</v>
      </c>
      <c r="D271" t="str">
        <f>"80215763"</f>
        <v>80215763</v>
      </c>
      <c r="E271" t="s">
        <v>9566</v>
      </c>
      <c r="F271" s="1">
        <v>46126</v>
      </c>
      <c r="G271" t="str">
        <f>"300381"</f>
        <v>300381</v>
      </c>
      <c r="H271" t="s">
        <v>3118</v>
      </c>
      <c r="I271">
        <v>333907.20000000001</v>
      </c>
    </row>
    <row r="272" spans="1:9" x14ac:dyDescent="0.25">
      <c r="A272" t="s">
        <v>8863</v>
      </c>
      <c r="C272" t="s">
        <v>8864</v>
      </c>
      <c r="D272" t="s">
        <v>9567</v>
      </c>
      <c r="E272" t="s">
        <v>9568</v>
      </c>
      <c r="F272" s="1">
        <v>46127</v>
      </c>
      <c r="G272" t="str">
        <f>"300133"</f>
        <v>300133</v>
      </c>
      <c r="H272" t="s">
        <v>2955</v>
      </c>
      <c r="I272">
        <v>8694</v>
      </c>
    </row>
    <row r="273" spans="1:9" x14ac:dyDescent="0.25">
      <c r="A273" t="s">
        <v>8863</v>
      </c>
      <c r="C273" t="s">
        <v>8864</v>
      </c>
      <c r="D273" t="s">
        <v>9569</v>
      </c>
      <c r="E273" t="s">
        <v>9562</v>
      </c>
      <c r="F273" s="1">
        <v>46127</v>
      </c>
      <c r="G273" t="str">
        <f>"300133"</f>
        <v>300133</v>
      </c>
      <c r="H273" t="s">
        <v>2955</v>
      </c>
      <c r="I273">
        <v>36518.400000000001</v>
      </c>
    </row>
    <row r="274" spans="1:9" x14ac:dyDescent="0.25">
      <c r="A274" t="s">
        <v>8863</v>
      </c>
      <c r="C274" t="s">
        <v>8864</v>
      </c>
      <c r="D274" t="s">
        <v>9570</v>
      </c>
      <c r="E274" t="s">
        <v>9571</v>
      </c>
      <c r="F274" s="1">
        <v>46127</v>
      </c>
      <c r="G274" t="str">
        <f>"300133"</f>
        <v>300133</v>
      </c>
      <c r="H274" t="s">
        <v>2955</v>
      </c>
      <c r="I274">
        <v>33858</v>
      </c>
    </row>
    <row r="275" spans="1:9" x14ac:dyDescent="0.25">
      <c r="A275" t="s">
        <v>8863</v>
      </c>
      <c r="C275" t="s">
        <v>8864</v>
      </c>
      <c r="D275" t="s">
        <v>9572</v>
      </c>
      <c r="E275" t="s">
        <v>9438</v>
      </c>
      <c r="F275" s="1">
        <v>46127</v>
      </c>
      <c r="G275" t="str">
        <f>"300220"</f>
        <v>300220</v>
      </c>
      <c r="H275" t="s">
        <v>2170</v>
      </c>
      <c r="I275">
        <v>380955.96</v>
      </c>
    </row>
    <row r="276" spans="1:9" x14ac:dyDescent="0.25">
      <c r="A276" t="s">
        <v>8863</v>
      </c>
      <c r="C276" t="s">
        <v>8864</v>
      </c>
      <c r="D276" t="s">
        <v>9573</v>
      </c>
      <c r="E276" t="s">
        <v>9438</v>
      </c>
      <c r="F276" s="1">
        <v>46127</v>
      </c>
      <c r="G276" t="str">
        <f>"300220"</f>
        <v>300220</v>
      </c>
      <c r="H276" t="s">
        <v>2170</v>
      </c>
      <c r="I276">
        <v>380955.96</v>
      </c>
    </row>
    <row r="277" spans="1:9" x14ac:dyDescent="0.25">
      <c r="A277" t="s">
        <v>8863</v>
      </c>
      <c r="C277" t="s">
        <v>8864</v>
      </c>
      <c r="D277" t="str">
        <f>"80215312"</f>
        <v>80215312</v>
      </c>
      <c r="E277" t="s">
        <v>9517</v>
      </c>
      <c r="F277" s="1">
        <v>46127</v>
      </c>
      <c r="G277" t="str">
        <f>"300381"</f>
        <v>300381</v>
      </c>
      <c r="H277" t="s">
        <v>3118</v>
      </c>
      <c r="I277">
        <v>333907.20000000001</v>
      </c>
    </row>
    <row r="278" spans="1:9" x14ac:dyDescent="0.25">
      <c r="A278" t="s">
        <v>8863</v>
      </c>
      <c r="C278" t="s">
        <v>8864</v>
      </c>
      <c r="D278" t="str">
        <f>"361826"</f>
        <v>361826</v>
      </c>
      <c r="F278" s="1">
        <v>46127</v>
      </c>
      <c r="G278" t="str">
        <f>"300590"</f>
        <v>300590</v>
      </c>
      <c r="H278" t="s">
        <v>3318</v>
      </c>
      <c r="I278">
        <v>19975.150000000001</v>
      </c>
    </row>
    <row r="279" spans="1:9" x14ac:dyDescent="0.25">
      <c r="A279" t="s">
        <v>8863</v>
      </c>
      <c r="C279" t="s">
        <v>8864</v>
      </c>
      <c r="D279" t="str">
        <f>"51898"</f>
        <v>51898</v>
      </c>
      <c r="E279" t="s">
        <v>9574</v>
      </c>
      <c r="F279" s="1">
        <v>46128</v>
      </c>
      <c r="G279" t="str">
        <f>"300043"</f>
        <v>300043</v>
      </c>
      <c r="H279" t="s">
        <v>2876</v>
      </c>
      <c r="I279">
        <v>9687</v>
      </c>
    </row>
    <row r="280" spans="1:9" x14ac:dyDescent="0.25">
      <c r="A280" t="s">
        <v>8863</v>
      </c>
      <c r="C280" t="s">
        <v>8864</v>
      </c>
      <c r="D280" t="s">
        <v>9575</v>
      </c>
      <c r="E280" t="s">
        <v>9563</v>
      </c>
      <c r="F280" s="1">
        <v>46128</v>
      </c>
      <c r="G280" t="str">
        <f>"300191"</f>
        <v>300191</v>
      </c>
      <c r="H280" t="s">
        <v>3008</v>
      </c>
      <c r="I280">
        <v>12346.75</v>
      </c>
    </row>
    <row r="281" spans="1:9" x14ac:dyDescent="0.25">
      <c r="A281" t="s">
        <v>8863</v>
      </c>
      <c r="C281" t="s">
        <v>8864</v>
      </c>
      <c r="D281" t="s">
        <v>9576</v>
      </c>
      <c r="E281" t="s">
        <v>9438</v>
      </c>
      <c r="F281" s="1">
        <v>46128</v>
      </c>
      <c r="G281" t="str">
        <f>"300220"</f>
        <v>300220</v>
      </c>
      <c r="H281" t="s">
        <v>2170</v>
      </c>
      <c r="I281">
        <v>1223780.976</v>
      </c>
    </row>
    <row r="282" spans="1:9" x14ac:dyDescent="0.25">
      <c r="A282" t="s">
        <v>8863</v>
      </c>
      <c r="C282" t="s">
        <v>8864</v>
      </c>
      <c r="D282" t="str">
        <f>"80215377"</f>
        <v>80215377</v>
      </c>
      <c r="E282" t="s">
        <v>9517</v>
      </c>
      <c r="F282" s="1">
        <v>46128</v>
      </c>
      <c r="G282" t="str">
        <f>"300381"</f>
        <v>300381</v>
      </c>
      <c r="H282" t="s">
        <v>3118</v>
      </c>
      <c r="I282">
        <v>333907.20000000001</v>
      </c>
    </row>
    <row r="283" spans="1:9" x14ac:dyDescent="0.25">
      <c r="A283" t="s">
        <v>8863</v>
      </c>
      <c r="C283" t="s">
        <v>8864</v>
      </c>
      <c r="D283" t="s">
        <v>9577</v>
      </c>
      <c r="E283" t="s">
        <v>9574</v>
      </c>
      <c r="F283" s="1">
        <v>46129</v>
      </c>
      <c r="G283" t="str">
        <f>"300191"</f>
        <v>300191</v>
      </c>
      <c r="H283" t="s">
        <v>3008</v>
      </c>
      <c r="I283">
        <v>14777.78</v>
      </c>
    </row>
    <row r="284" spans="1:9" x14ac:dyDescent="0.25">
      <c r="A284" t="s">
        <v>8863</v>
      </c>
      <c r="C284" t="s">
        <v>8864</v>
      </c>
      <c r="D284" t="s">
        <v>9578</v>
      </c>
      <c r="E284" t="s">
        <v>9579</v>
      </c>
      <c r="F284" s="1">
        <v>46130</v>
      </c>
      <c r="G284" t="str">
        <f>"300133"</f>
        <v>300133</v>
      </c>
      <c r="H284" t="s">
        <v>2955</v>
      </c>
      <c r="I284">
        <v>30391.200000000001</v>
      </c>
    </row>
    <row r="285" spans="1:9" x14ac:dyDescent="0.25">
      <c r="A285" t="s">
        <v>8863</v>
      </c>
      <c r="C285" t="s">
        <v>8864</v>
      </c>
      <c r="D285" t="str">
        <f>"80215573"</f>
        <v>80215573</v>
      </c>
      <c r="E285" t="s">
        <v>9517</v>
      </c>
      <c r="F285" s="1">
        <v>46132</v>
      </c>
      <c r="G285" t="str">
        <f>"300381"</f>
        <v>300381</v>
      </c>
      <c r="H285" t="s">
        <v>3118</v>
      </c>
      <c r="I285">
        <v>333907.20000000001</v>
      </c>
    </row>
    <row r="286" spans="1:9" x14ac:dyDescent="0.25">
      <c r="A286" t="s">
        <v>8863</v>
      </c>
      <c r="C286" t="s">
        <v>8864</v>
      </c>
      <c r="D286" t="str">
        <f>"55830"</f>
        <v>55830</v>
      </c>
      <c r="E286" t="s">
        <v>9580</v>
      </c>
      <c r="F286" s="1">
        <v>46134</v>
      </c>
      <c r="G286" t="str">
        <f>"300043"</f>
        <v>300043</v>
      </c>
      <c r="H286" t="s">
        <v>2876</v>
      </c>
      <c r="I286">
        <v>607</v>
      </c>
    </row>
    <row r="287" spans="1:9" x14ac:dyDescent="0.25">
      <c r="A287" t="s">
        <v>8863</v>
      </c>
      <c r="C287" t="s">
        <v>8864</v>
      </c>
      <c r="D287" t="str">
        <f>"80215941"</f>
        <v>80215941</v>
      </c>
      <c r="E287" t="s">
        <v>9438</v>
      </c>
      <c r="F287" s="1">
        <v>46134</v>
      </c>
      <c r="G287" t="str">
        <f>"300381"</f>
        <v>300381</v>
      </c>
      <c r="H287" t="s">
        <v>3118</v>
      </c>
      <c r="I287">
        <v>333907.20000000001</v>
      </c>
    </row>
    <row r="288" spans="1:9" x14ac:dyDescent="0.25">
      <c r="A288" t="s">
        <v>8863</v>
      </c>
      <c r="C288" t="s">
        <v>8864</v>
      </c>
      <c r="D288" t="str">
        <f>"80216203"</f>
        <v>80216203</v>
      </c>
      <c r="E288" t="s">
        <v>8852</v>
      </c>
      <c r="F288" s="1">
        <v>46134</v>
      </c>
      <c r="G288" t="str">
        <f>"300381"</f>
        <v>300381</v>
      </c>
      <c r="H288" t="s">
        <v>3118</v>
      </c>
      <c r="I288">
        <v>352615.82400000002</v>
      </c>
    </row>
    <row r="289" spans="1:9" x14ac:dyDescent="0.25">
      <c r="A289" t="s">
        <v>9164</v>
      </c>
      <c r="C289" t="s">
        <v>9165</v>
      </c>
      <c r="D289" t="s">
        <v>9581</v>
      </c>
      <c r="E289" s="2">
        <v>46116</v>
      </c>
      <c r="F289" s="1">
        <v>46135</v>
      </c>
      <c r="G289" t="str">
        <f>"300064"</f>
        <v>300064</v>
      </c>
      <c r="H289" t="s">
        <v>2896</v>
      </c>
      <c r="I289">
        <v>196145.04</v>
      </c>
    </row>
    <row r="290" spans="1:9" x14ac:dyDescent="0.25">
      <c r="A290" t="s">
        <v>8863</v>
      </c>
      <c r="C290" t="s">
        <v>8864</v>
      </c>
      <c r="D290" t="s">
        <v>9582</v>
      </c>
      <c r="E290" t="s">
        <v>9562</v>
      </c>
      <c r="F290" s="1">
        <v>46135</v>
      </c>
      <c r="G290" t="str">
        <f>"300133"</f>
        <v>300133</v>
      </c>
      <c r="H290" t="s">
        <v>2955</v>
      </c>
      <c r="I290">
        <v>13694.4</v>
      </c>
    </row>
    <row r="291" spans="1:9" x14ac:dyDescent="0.25">
      <c r="A291" t="s">
        <v>8863</v>
      </c>
      <c r="C291" t="s">
        <v>8864</v>
      </c>
      <c r="D291" t="s">
        <v>9583</v>
      </c>
      <c r="E291" t="s">
        <v>9580</v>
      </c>
      <c r="F291" s="1">
        <v>46135</v>
      </c>
      <c r="G291" t="str">
        <f>"300191"</f>
        <v>300191</v>
      </c>
      <c r="H291" t="s">
        <v>3008</v>
      </c>
      <c r="I291">
        <v>8925.7099999999991</v>
      </c>
    </row>
    <row r="292" spans="1:9" x14ac:dyDescent="0.25">
      <c r="A292" t="s">
        <v>8863</v>
      </c>
      <c r="C292" t="s">
        <v>8864</v>
      </c>
      <c r="D292" t="str">
        <f>"80215739"</f>
        <v>80215739</v>
      </c>
      <c r="E292" t="s">
        <v>9517</v>
      </c>
      <c r="F292" s="1">
        <v>46135</v>
      </c>
      <c r="G292" t="str">
        <f>"300381"</f>
        <v>300381</v>
      </c>
      <c r="H292" t="s">
        <v>3118</v>
      </c>
      <c r="I292">
        <v>333907.20000000001</v>
      </c>
    </row>
    <row r="293" spans="1:9" x14ac:dyDescent="0.25">
      <c r="A293" t="s">
        <v>8863</v>
      </c>
      <c r="C293" t="s">
        <v>8864</v>
      </c>
      <c r="D293" t="str">
        <f>"80216283"</f>
        <v>80216283</v>
      </c>
      <c r="E293" t="s">
        <v>9517</v>
      </c>
      <c r="F293" s="1">
        <v>46135</v>
      </c>
      <c r="G293" t="str">
        <f>"300381"</f>
        <v>300381</v>
      </c>
      <c r="H293" t="s">
        <v>3118</v>
      </c>
      <c r="I293">
        <v>333907.20000000001</v>
      </c>
    </row>
    <row r="294" spans="1:9" x14ac:dyDescent="0.25">
      <c r="A294" t="s">
        <v>9164</v>
      </c>
      <c r="C294" t="s">
        <v>9165</v>
      </c>
      <c r="D294" t="s">
        <v>9584</v>
      </c>
      <c r="E294" t="s">
        <v>9159</v>
      </c>
      <c r="F294" s="1">
        <v>46136</v>
      </c>
      <c r="G294" t="str">
        <f>"300381"</f>
        <v>300381</v>
      </c>
      <c r="H294" t="s">
        <v>3118</v>
      </c>
      <c r="I294">
        <v>1221990.088</v>
      </c>
    </row>
    <row r="295" spans="1:9" x14ac:dyDescent="0.25">
      <c r="A295" t="s">
        <v>9164</v>
      </c>
      <c r="C295" t="s">
        <v>9165</v>
      </c>
      <c r="D295" t="s">
        <v>9585</v>
      </c>
      <c r="E295" t="s">
        <v>9586</v>
      </c>
      <c r="F295" s="1">
        <v>46139</v>
      </c>
      <c r="G295" t="str">
        <f>"300133"</f>
        <v>300133</v>
      </c>
      <c r="H295" t="s">
        <v>2955</v>
      </c>
      <c r="I295">
        <v>38500</v>
      </c>
    </row>
    <row r="296" spans="1:9" x14ac:dyDescent="0.25">
      <c r="A296" t="s">
        <v>8863</v>
      </c>
      <c r="C296" t="s">
        <v>8864</v>
      </c>
      <c r="D296" t="s">
        <v>9587</v>
      </c>
      <c r="E296" t="s">
        <v>9571</v>
      </c>
      <c r="F296" s="1">
        <v>46139</v>
      </c>
      <c r="G296" t="str">
        <f>"300133"</f>
        <v>300133</v>
      </c>
      <c r="H296" t="s">
        <v>2955</v>
      </c>
      <c r="I296">
        <v>51004.800000000003</v>
      </c>
    </row>
    <row r="297" spans="1:9" x14ac:dyDescent="0.25">
      <c r="A297" t="s">
        <v>9164</v>
      </c>
      <c r="C297" t="s">
        <v>9165</v>
      </c>
      <c r="D297" t="s">
        <v>9588</v>
      </c>
      <c r="E297" t="s">
        <v>9386</v>
      </c>
      <c r="F297" s="1">
        <v>46139</v>
      </c>
      <c r="G297" t="str">
        <f>"300220"</f>
        <v>300220</v>
      </c>
      <c r="H297" t="s">
        <v>2170</v>
      </c>
      <c r="I297">
        <v>6050000</v>
      </c>
    </row>
    <row r="298" spans="1:9" x14ac:dyDescent="0.25">
      <c r="A298" t="s">
        <v>8863</v>
      </c>
      <c r="C298" t="s">
        <v>8864</v>
      </c>
      <c r="D298" t="str">
        <f>"80216282"</f>
        <v>80216282</v>
      </c>
      <c r="E298" t="s">
        <v>2172</v>
      </c>
      <c r="F298" s="1">
        <v>46139</v>
      </c>
      <c r="G298" t="str">
        <f>"300381"</f>
        <v>300381</v>
      </c>
      <c r="H298" t="s">
        <v>3118</v>
      </c>
      <c r="I298">
        <v>333907.20000000001</v>
      </c>
    </row>
    <row r="299" spans="1:9" x14ac:dyDescent="0.25">
      <c r="A299" t="s">
        <v>8863</v>
      </c>
      <c r="C299" t="s">
        <v>8864</v>
      </c>
      <c r="D299" t="str">
        <f>"80216477"</f>
        <v>80216477</v>
      </c>
      <c r="E299" t="s">
        <v>9517</v>
      </c>
      <c r="F299" s="1">
        <v>46139</v>
      </c>
      <c r="G299" t="str">
        <f>"300381"</f>
        <v>300381</v>
      </c>
      <c r="H299" t="s">
        <v>3118</v>
      </c>
      <c r="I299">
        <v>333907.20000000001</v>
      </c>
    </row>
    <row r="300" spans="1:9" x14ac:dyDescent="0.25">
      <c r="A300" t="s">
        <v>9164</v>
      </c>
      <c r="C300" t="s">
        <v>9165</v>
      </c>
      <c r="D300" t="s">
        <v>9589</v>
      </c>
      <c r="E300" t="s">
        <v>9590</v>
      </c>
      <c r="F300" s="1">
        <v>46140</v>
      </c>
      <c r="G300" t="str">
        <f>"300115"</f>
        <v>300115</v>
      </c>
      <c r="H300" t="s">
        <v>2938</v>
      </c>
      <c r="I300">
        <v>5830000</v>
      </c>
    </row>
    <row r="301" spans="1:9" x14ac:dyDescent="0.25">
      <c r="A301" t="s">
        <v>8894</v>
      </c>
      <c r="C301" t="s">
        <v>8864</v>
      </c>
      <c r="D301" t="s">
        <v>9591</v>
      </c>
      <c r="E301" t="s">
        <v>9592</v>
      </c>
      <c r="F301" s="1">
        <v>46141</v>
      </c>
      <c r="G301" t="str">
        <f>"300220"</f>
        <v>300220</v>
      </c>
      <c r="H301" t="s">
        <v>2170</v>
      </c>
      <c r="I301">
        <v>99000</v>
      </c>
    </row>
    <row r="302" spans="1:9" x14ac:dyDescent="0.25">
      <c r="A302" t="s">
        <v>8863</v>
      </c>
      <c r="C302" t="s">
        <v>8864</v>
      </c>
      <c r="D302" t="s">
        <v>9593</v>
      </c>
      <c r="E302" t="s">
        <v>9594</v>
      </c>
      <c r="F302" s="1">
        <v>46142</v>
      </c>
      <c r="G302" t="str">
        <f>"300191"</f>
        <v>300191</v>
      </c>
      <c r="H302" t="s">
        <v>3008</v>
      </c>
      <c r="I302">
        <v>249.61</v>
      </c>
    </row>
    <row r="303" spans="1:9" x14ac:dyDescent="0.25">
      <c r="A303" t="s">
        <v>8863</v>
      </c>
      <c r="C303" t="s">
        <v>8864</v>
      </c>
      <c r="D303" t="str">
        <f>"80216659"</f>
        <v>80216659</v>
      </c>
      <c r="E303" t="s">
        <v>8852</v>
      </c>
      <c r="F303" s="1">
        <v>46142</v>
      </c>
      <c r="G303" t="str">
        <f>"300381"</f>
        <v>300381</v>
      </c>
      <c r="H303" t="s">
        <v>3118</v>
      </c>
      <c r="I303">
        <v>358213.68</v>
      </c>
    </row>
    <row r="304" spans="1:9" x14ac:dyDescent="0.25">
      <c r="A304" t="s">
        <v>9119</v>
      </c>
      <c r="C304" t="s">
        <v>9595</v>
      </c>
      <c r="D304" t="s">
        <v>9596</v>
      </c>
      <c r="E304" t="s">
        <v>9524</v>
      </c>
      <c r="F304" s="1">
        <v>46146</v>
      </c>
      <c r="G304" t="str">
        <f>"300133"</f>
        <v>300133</v>
      </c>
      <c r="H304" t="s">
        <v>2955</v>
      </c>
      <c r="I304">
        <v>23983.200000000001</v>
      </c>
    </row>
    <row r="305" spans="1:9" x14ac:dyDescent="0.25">
      <c r="A305" t="s">
        <v>8863</v>
      </c>
      <c r="C305" t="s">
        <v>8864</v>
      </c>
      <c r="D305" t="s">
        <v>9597</v>
      </c>
      <c r="E305" t="s">
        <v>9598</v>
      </c>
      <c r="F305" s="1">
        <v>46146</v>
      </c>
      <c r="G305" t="str">
        <f>"300133"</f>
        <v>300133</v>
      </c>
      <c r="H305" t="s">
        <v>2955</v>
      </c>
      <c r="I305">
        <v>6375.6</v>
      </c>
    </row>
    <row r="306" spans="1:9" x14ac:dyDescent="0.25">
      <c r="A306" t="s">
        <v>8863</v>
      </c>
      <c r="C306" t="s">
        <v>8864</v>
      </c>
      <c r="D306" t="str">
        <f>"80216479"</f>
        <v>80216479</v>
      </c>
      <c r="E306" t="s">
        <v>2640</v>
      </c>
      <c r="F306" s="1">
        <v>46146</v>
      </c>
      <c r="G306" t="str">
        <f>"300381"</f>
        <v>300381</v>
      </c>
      <c r="H306" t="s">
        <v>3118</v>
      </c>
      <c r="I306">
        <v>333907.20000000001</v>
      </c>
    </row>
    <row r="307" spans="1:9" x14ac:dyDescent="0.25">
      <c r="A307" t="s">
        <v>9164</v>
      </c>
      <c r="C307" t="s">
        <v>9165</v>
      </c>
      <c r="D307" t="s">
        <v>9599</v>
      </c>
      <c r="E307" t="s">
        <v>9337</v>
      </c>
      <c r="F307" s="1">
        <v>46148</v>
      </c>
      <c r="G307" t="str">
        <f>"300080"</f>
        <v>300080</v>
      </c>
      <c r="H307" t="s">
        <v>2907</v>
      </c>
      <c r="I307">
        <v>1200000</v>
      </c>
    </row>
    <row r="308" spans="1:9" x14ac:dyDescent="0.25">
      <c r="A308" t="s">
        <v>9164</v>
      </c>
      <c r="C308" t="s">
        <v>9165</v>
      </c>
      <c r="D308" t="s">
        <v>9600</v>
      </c>
      <c r="E308" t="s">
        <v>9562</v>
      </c>
      <c r="F308" s="1">
        <v>46148</v>
      </c>
      <c r="G308" t="str">
        <f>"300133"</f>
        <v>300133</v>
      </c>
      <c r="H308" t="s">
        <v>2955</v>
      </c>
      <c r="I308">
        <v>58521.599999999999</v>
      </c>
    </row>
    <row r="309" spans="1:9" x14ac:dyDescent="0.25">
      <c r="A309" t="s">
        <v>8863</v>
      </c>
      <c r="C309" t="s">
        <v>8864</v>
      </c>
      <c r="D309" t="s">
        <v>9601</v>
      </c>
      <c r="E309" t="s">
        <v>9524</v>
      </c>
      <c r="F309" s="1">
        <v>46148</v>
      </c>
      <c r="G309" t="str">
        <f>"300133"</f>
        <v>300133</v>
      </c>
      <c r="H309" t="s">
        <v>2955</v>
      </c>
      <c r="I309">
        <v>29671.200000000001</v>
      </c>
    </row>
    <row r="310" spans="1:9" x14ac:dyDescent="0.25">
      <c r="A310" t="s">
        <v>8863</v>
      </c>
      <c r="C310" t="s">
        <v>8864</v>
      </c>
      <c r="D310" t="s">
        <v>9602</v>
      </c>
      <c r="E310" t="s">
        <v>9565</v>
      </c>
      <c r="F310" s="1">
        <v>46148</v>
      </c>
      <c r="G310" t="str">
        <f>"300133"</f>
        <v>300133</v>
      </c>
      <c r="H310" t="s">
        <v>2955</v>
      </c>
      <c r="I310">
        <v>45738</v>
      </c>
    </row>
    <row r="311" spans="1:9" x14ac:dyDescent="0.25">
      <c r="A311" t="s">
        <v>8863</v>
      </c>
      <c r="C311" t="s">
        <v>8864</v>
      </c>
      <c r="D311" t="str">
        <f>"10176277"</f>
        <v>10176277</v>
      </c>
      <c r="E311" t="s">
        <v>9438</v>
      </c>
      <c r="F311" s="1">
        <v>46150</v>
      </c>
      <c r="G311" t="str">
        <f>"300115"</f>
        <v>300115</v>
      </c>
      <c r="H311" t="s">
        <v>2938</v>
      </c>
      <c r="I311">
        <v>338447.95600000001</v>
      </c>
    </row>
    <row r="312" spans="1:9" x14ac:dyDescent="0.25">
      <c r="A312" t="s">
        <v>9164</v>
      </c>
      <c r="C312" t="s">
        <v>9165</v>
      </c>
      <c r="D312" t="s">
        <v>9603</v>
      </c>
      <c r="E312" t="s">
        <v>9604</v>
      </c>
      <c r="F312" s="1">
        <v>46153</v>
      </c>
      <c r="G312" t="str">
        <f>"300115"</f>
        <v>300115</v>
      </c>
      <c r="H312" t="s">
        <v>2938</v>
      </c>
      <c r="I312">
        <v>214984</v>
      </c>
    </row>
    <row r="313" spans="1:9" x14ac:dyDescent="0.25">
      <c r="A313" t="s">
        <v>9119</v>
      </c>
      <c r="C313" t="s">
        <v>9595</v>
      </c>
      <c r="D313" t="str">
        <f>"80344254"</f>
        <v>80344254</v>
      </c>
      <c r="E313" t="s">
        <v>1332</v>
      </c>
      <c r="F313" s="1">
        <v>46153</v>
      </c>
      <c r="G313" t="str">
        <f>"300115"</f>
        <v>300115</v>
      </c>
      <c r="H313" t="s">
        <v>2938</v>
      </c>
      <c r="I313">
        <v>110373.71400000001</v>
      </c>
    </row>
    <row r="314" spans="1:9" x14ac:dyDescent="0.25">
      <c r="A314" t="s">
        <v>8863</v>
      </c>
      <c r="C314" t="s">
        <v>8864</v>
      </c>
      <c r="D314" t="s">
        <v>9605</v>
      </c>
      <c r="E314" t="s">
        <v>9562</v>
      </c>
      <c r="F314" s="1">
        <v>46153</v>
      </c>
      <c r="G314" t="str">
        <f>"300133"</f>
        <v>300133</v>
      </c>
      <c r="H314" t="s">
        <v>2955</v>
      </c>
      <c r="I314">
        <v>34502.400000000001</v>
      </c>
    </row>
    <row r="315" spans="1:9" x14ac:dyDescent="0.25">
      <c r="A315" t="s">
        <v>9164</v>
      </c>
      <c r="C315" t="s">
        <v>9165</v>
      </c>
      <c r="D315" t="s">
        <v>9606</v>
      </c>
      <c r="E315" t="s">
        <v>9607</v>
      </c>
      <c r="F315" s="1">
        <v>46153</v>
      </c>
      <c r="G315" t="str">
        <f>"300588"</f>
        <v>300588</v>
      </c>
      <c r="H315" t="s">
        <v>529</v>
      </c>
      <c r="I315">
        <v>1.0072000000000001</v>
      </c>
    </row>
    <row r="316" spans="1:9" x14ac:dyDescent="0.25">
      <c r="A316" t="s">
        <v>8863</v>
      </c>
      <c r="C316" t="s">
        <v>8864</v>
      </c>
      <c r="D316" t="str">
        <f>"10176353"</f>
        <v>10176353</v>
      </c>
      <c r="E316" t="s">
        <v>9608</v>
      </c>
      <c r="F316" s="1">
        <v>46155</v>
      </c>
      <c r="G316" t="str">
        <f>"300115"</f>
        <v>300115</v>
      </c>
      <c r="H316" t="s">
        <v>2938</v>
      </c>
      <c r="I316">
        <v>110373.71400000001</v>
      </c>
    </row>
    <row r="317" spans="1:9" x14ac:dyDescent="0.25">
      <c r="A317" t="s">
        <v>9164</v>
      </c>
      <c r="C317" t="s">
        <v>9165</v>
      </c>
      <c r="D317" t="s">
        <v>9609</v>
      </c>
      <c r="E317" t="s">
        <v>9562</v>
      </c>
      <c r="F317" s="1">
        <v>46155</v>
      </c>
      <c r="G317" t="str">
        <f>"300133"</f>
        <v>300133</v>
      </c>
      <c r="H317" t="s">
        <v>2955</v>
      </c>
      <c r="I317">
        <v>73382.399999999994</v>
      </c>
    </row>
    <row r="318" spans="1:9" x14ac:dyDescent="0.25">
      <c r="A318" t="s">
        <v>8863</v>
      </c>
      <c r="C318" t="s">
        <v>8864</v>
      </c>
      <c r="D318" t="s">
        <v>9610</v>
      </c>
      <c r="E318" t="s">
        <v>9562</v>
      </c>
      <c r="F318" s="1">
        <v>46156</v>
      </c>
      <c r="G318" t="str">
        <f>"300133"</f>
        <v>300133</v>
      </c>
      <c r="H318" t="s">
        <v>2955</v>
      </c>
      <c r="I318">
        <v>31449.599999999999</v>
      </c>
    </row>
    <row r="319" spans="1:9" x14ac:dyDescent="0.25">
      <c r="A319" t="s">
        <v>8863</v>
      </c>
      <c r="C319" t="s">
        <v>8864</v>
      </c>
      <c r="D319" t="str">
        <f>"80217254"</f>
        <v>80217254</v>
      </c>
      <c r="E319" t="s">
        <v>8852</v>
      </c>
      <c r="F319" s="1">
        <v>46157</v>
      </c>
      <c r="G319" t="str">
        <f>"300381"</f>
        <v>300381</v>
      </c>
      <c r="H319" t="s">
        <v>3118</v>
      </c>
      <c r="I319">
        <v>359379.9</v>
      </c>
    </row>
    <row r="320" spans="1:9" x14ac:dyDescent="0.25">
      <c r="A320" t="s">
        <v>8863</v>
      </c>
      <c r="C320" t="s">
        <v>8864</v>
      </c>
      <c r="D320" t="str">
        <f>"80217507"</f>
        <v>80217507</v>
      </c>
      <c r="E320" t="s">
        <v>2640</v>
      </c>
      <c r="F320" s="1">
        <v>46157</v>
      </c>
      <c r="G320" t="str">
        <f>"300381"</f>
        <v>300381</v>
      </c>
      <c r="H320" t="s">
        <v>3118</v>
      </c>
      <c r="I320">
        <v>333907.20000000001</v>
      </c>
    </row>
    <row r="321" spans="1:9" x14ac:dyDescent="0.25">
      <c r="A321" t="s">
        <v>9119</v>
      </c>
      <c r="C321" t="s">
        <v>9595</v>
      </c>
      <c r="D321" t="str">
        <f>"80217600"</f>
        <v>80217600</v>
      </c>
      <c r="E321" t="s">
        <v>2640</v>
      </c>
      <c r="F321" s="1">
        <v>46160</v>
      </c>
      <c r="G321" t="str">
        <f>"300381"</f>
        <v>300381</v>
      </c>
      <c r="H321" t="s">
        <v>3118</v>
      </c>
      <c r="I321">
        <v>333907.20000000001</v>
      </c>
    </row>
    <row r="322" spans="1:9" x14ac:dyDescent="0.25">
      <c r="A322" t="s">
        <v>8863</v>
      </c>
      <c r="C322" t="s">
        <v>8864</v>
      </c>
      <c r="D322" t="str">
        <f>"80217599"</f>
        <v>80217599</v>
      </c>
      <c r="E322" t="s">
        <v>9566</v>
      </c>
      <c r="F322" s="1">
        <v>46160</v>
      </c>
      <c r="G322" t="str">
        <f>"300381"</f>
        <v>300381</v>
      </c>
      <c r="H322" t="s">
        <v>3118</v>
      </c>
      <c r="I322">
        <v>333907.20000000001</v>
      </c>
    </row>
    <row r="323" spans="1:9" x14ac:dyDescent="0.25">
      <c r="A323" t="s">
        <v>8863</v>
      </c>
      <c r="C323" t="s">
        <v>8864</v>
      </c>
      <c r="D323" t="str">
        <f>"10176523"</f>
        <v>10176523</v>
      </c>
      <c r="E323" t="s">
        <v>1313</v>
      </c>
      <c r="F323" s="1">
        <v>46163</v>
      </c>
      <c r="G323" t="str">
        <f>"300115"</f>
        <v>300115</v>
      </c>
      <c r="H323" t="s">
        <v>2938</v>
      </c>
      <c r="I323">
        <v>141039.35999999999</v>
      </c>
    </row>
    <row r="324" spans="1:9" x14ac:dyDescent="0.25">
      <c r="A324" t="s">
        <v>8863</v>
      </c>
      <c r="C324" t="s">
        <v>8864</v>
      </c>
      <c r="D324" t="str">
        <f>"10176527"</f>
        <v>10176527</v>
      </c>
      <c r="E324" t="s">
        <v>1313</v>
      </c>
      <c r="F324" s="1">
        <v>46163</v>
      </c>
      <c r="G324" t="str">
        <f>"300115"</f>
        <v>300115</v>
      </c>
      <c r="H324" t="s">
        <v>2938</v>
      </c>
      <c r="I324">
        <v>141039.35999999999</v>
      </c>
    </row>
    <row r="325" spans="1:9" x14ac:dyDescent="0.25">
      <c r="A325" t="s">
        <v>8863</v>
      </c>
      <c r="C325" t="s">
        <v>8864</v>
      </c>
      <c r="D325" t="str">
        <f>"80217724"</f>
        <v>80217724</v>
      </c>
      <c r="E325" t="s">
        <v>8852</v>
      </c>
      <c r="F325" s="1">
        <v>46163</v>
      </c>
      <c r="G325" t="str">
        <f>"300381"</f>
        <v>300381</v>
      </c>
      <c r="H325" t="s">
        <v>3118</v>
      </c>
      <c r="I325">
        <v>357280.70400000003</v>
      </c>
    </row>
    <row r="326" spans="1:9" x14ac:dyDescent="0.25">
      <c r="A326" t="s">
        <v>8863</v>
      </c>
      <c r="C326" t="s">
        <v>8864</v>
      </c>
      <c r="D326" t="str">
        <f>"10176603"</f>
        <v>10176603</v>
      </c>
      <c r="E326" t="s">
        <v>1313</v>
      </c>
      <c r="F326" s="1">
        <v>46164</v>
      </c>
      <c r="G326" t="str">
        <f>"300115"</f>
        <v>300115</v>
      </c>
      <c r="H326" t="s">
        <v>2938</v>
      </c>
      <c r="I326">
        <v>141039.35999999999</v>
      </c>
    </row>
    <row r="327" spans="1:9" x14ac:dyDescent="0.25">
      <c r="A327" t="s">
        <v>8863</v>
      </c>
      <c r="C327" t="s">
        <v>8864</v>
      </c>
      <c r="D327" t="str">
        <f>"10176604"</f>
        <v>10176604</v>
      </c>
      <c r="E327" t="s">
        <v>1313</v>
      </c>
      <c r="F327" s="1">
        <v>46164</v>
      </c>
      <c r="G327" t="str">
        <f>"300115"</f>
        <v>300115</v>
      </c>
      <c r="H327" t="s">
        <v>2938</v>
      </c>
      <c r="I327">
        <v>141039.35999999999</v>
      </c>
    </row>
    <row r="328" spans="1:9" x14ac:dyDescent="0.25">
      <c r="A328" t="s">
        <v>8863</v>
      </c>
      <c r="C328" t="s">
        <v>8864</v>
      </c>
      <c r="D328" t="str">
        <f>"10176656"</f>
        <v>10176656</v>
      </c>
      <c r="E328" t="s">
        <v>1313</v>
      </c>
      <c r="F328" s="1">
        <v>46168</v>
      </c>
      <c r="G328" t="str">
        <f>"300115"</f>
        <v>300115</v>
      </c>
      <c r="H328" t="s">
        <v>2938</v>
      </c>
      <c r="I328">
        <v>141039.35999999999</v>
      </c>
    </row>
    <row r="329" spans="1:9" x14ac:dyDescent="0.25">
      <c r="A329" t="s">
        <v>8863</v>
      </c>
      <c r="C329" t="s">
        <v>8864</v>
      </c>
      <c r="D329" t="str">
        <f>"10176657"</f>
        <v>10176657</v>
      </c>
      <c r="E329" t="s">
        <v>1313</v>
      </c>
      <c r="F329" s="1">
        <v>46168</v>
      </c>
      <c r="G329" t="str">
        <f>"300115"</f>
        <v>300115</v>
      </c>
      <c r="H329" t="s">
        <v>2938</v>
      </c>
      <c r="I329">
        <v>141039.35999999999</v>
      </c>
    </row>
    <row r="330" spans="1:9" x14ac:dyDescent="0.25">
      <c r="A330" t="s">
        <v>8863</v>
      </c>
      <c r="C330" t="s">
        <v>8864</v>
      </c>
      <c r="D330" t="str">
        <f>"10176658"</f>
        <v>10176658</v>
      </c>
      <c r="E330" t="s">
        <v>1313</v>
      </c>
      <c r="F330" s="1">
        <v>46168</v>
      </c>
      <c r="G330" t="str">
        <f>"300115"</f>
        <v>300115</v>
      </c>
      <c r="H330" t="s">
        <v>2938</v>
      </c>
      <c r="I330">
        <v>141039.35999999999</v>
      </c>
    </row>
    <row r="331" spans="1:9" x14ac:dyDescent="0.25">
      <c r="A331" t="s">
        <v>8863</v>
      </c>
      <c r="C331" t="s">
        <v>8864</v>
      </c>
      <c r="D331" t="str">
        <f>"80217712"</f>
        <v>80217712</v>
      </c>
      <c r="E331" t="s">
        <v>9517</v>
      </c>
      <c r="F331" s="1">
        <v>46171</v>
      </c>
      <c r="G331" t="str">
        <f>"300381"</f>
        <v>300381</v>
      </c>
      <c r="H331" t="s">
        <v>3118</v>
      </c>
      <c r="I331">
        <v>333907.20000000001</v>
      </c>
    </row>
    <row r="332" spans="1:9" x14ac:dyDescent="0.25">
      <c r="A332" t="s">
        <v>8863</v>
      </c>
      <c r="C332" t="s">
        <v>8864</v>
      </c>
      <c r="D332" t="str">
        <f>"80218114"</f>
        <v>80218114</v>
      </c>
      <c r="E332" t="s">
        <v>8852</v>
      </c>
      <c r="F332" s="1">
        <v>46171</v>
      </c>
      <c r="G332" t="str">
        <f>"300381"</f>
        <v>300381</v>
      </c>
      <c r="H332" t="s">
        <v>3118</v>
      </c>
      <c r="I332">
        <v>357280.70400000003</v>
      </c>
    </row>
    <row r="333" spans="1:9" x14ac:dyDescent="0.25">
      <c r="A333" t="s">
        <v>8863</v>
      </c>
      <c r="C333" t="s">
        <v>8864</v>
      </c>
      <c r="D333" t="str">
        <f>"10176773"</f>
        <v>10176773</v>
      </c>
      <c r="E333" t="s">
        <v>9611</v>
      </c>
      <c r="F333" s="1">
        <v>46174</v>
      </c>
      <c r="G333" t="str">
        <f>"300115"</f>
        <v>300115</v>
      </c>
      <c r="H333" t="s">
        <v>2938</v>
      </c>
      <c r="I333">
        <v>110348.37</v>
      </c>
    </row>
    <row r="334" spans="1:9" x14ac:dyDescent="0.25">
      <c r="A334" t="s">
        <v>9164</v>
      </c>
      <c r="C334" t="s">
        <v>9165</v>
      </c>
      <c r="D334" t="s">
        <v>9612</v>
      </c>
      <c r="E334" t="s">
        <v>9613</v>
      </c>
      <c r="F334" s="1">
        <v>46177</v>
      </c>
      <c r="G334" t="str">
        <f>"300115"</f>
        <v>300115</v>
      </c>
      <c r="H334" t="s">
        <v>2938</v>
      </c>
      <c r="I334">
        <v>4652.2475999999997</v>
      </c>
    </row>
    <row r="335" spans="1:9" x14ac:dyDescent="0.25">
      <c r="A335" t="s">
        <v>9164</v>
      </c>
      <c r="C335" t="s">
        <v>9165</v>
      </c>
      <c r="D335" t="s">
        <v>9614</v>
      </c>
      <c r="E335" t="s">
        <v>9615</v>
      </c>
      <c r="F335" s="1">
        <v>46177</v>
      </c>
      <c r="G335" t="str">
        <f>"300133"</f>
        <v>300133</v>
      </c>
      <c r="H335" t="s">
        <v>2955</v>
      </c>
      <c r="I335">
        <v>83584.5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BD76F-ED86-4C9A-9C1D-EF26849DC497}">
  <dimension ref="A3:A10"/>
  <sheetViews>
    <sheetView workbookViewId="0">
      <selection activeCell="A3" sqref="A3"/>
    </sheetView>
  </sheetViews>
  <sheetFormatPr baseColWidth="10" defaultRowHeight="15" x14ac:dyDescent="0.25"/>
  <cols>
    <col min="1" max="1" width="21" bestFit="1" customWidth="1"/>
  </cols>
  <sheetData>
    <row r="3" spans="1:1" x14ac:dyDescent="0.25">
      <c r="A3" s="14" t="s">
        <v>13094</v>
      </c>
    </row>
    <row r="4" spans="1:1" x14ac:dyDescent="0.25">
      <c r="A4" s="15" t="s">
        <v>13095</v>
      </c>
    </row>
    <row r="5" spans="1:1" x14ac:dyDescent="0.25">
      <c r="A5" s="16" t="s">
        <v>9502</v>
      </c>
    </row>
    <row r="6" spans="1:1" x14ac:dyDescent="0.25">
      <c r="A6" s="16" t="s">
        <v>9508</v>
      </c>
    </row>
    <row r="7" spans="1:1" x14ac:dyDescent="0.25">
      <c r="A7" s="16" t="s">
        <v>9511</v>
      </c>
    </row>
    <row r="8" spans="1:1" x14ac:dyDescent="0.25">
      <c r="A8" s="16" t="s">
        <v>9520</v>
      </c>
    </row>
    <row r="9" spans="1:1" x14ac:dyDescent="0.25">
      <c r="A9" s="16" t="s">
        <v>13095</v>
      </c>
    </row>
    <row r="10" spans="1:1" x14ac:dyDescent="0.25">
      <c r="A10" s="15" t="s">
        <v>13096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A06D8-BB89-4E2F-BC7C-31A774CB516D}">
  <dimension ref="A1:I5"/>
  <sheetViews>
    <sheetView workbookViewId="0">
      <selection sqref="A1:XFD1048576"/>
    </sheetView>
  </sheetViews>
  <sheetFormatPr baseColWidth="10" defaultRowHeight="15" x14ac:dyDescent="0.25"/>
  <cols>
    <col min="1" max="1" width="24.7109375" bestFit="1" customWidth="1"/>
    <col min="2" max="2" width="4.42578125" bestFit="1" customWidth="1"/>
    <col min="3" max="3" width="8.140625" bestFit="1" customWidth="1"/>
    <col min="4" max="4" width="10.7109375" bestFit="1" customWidth="1"/>
    <col min="5" max="5" width="18.28515625" bestFit="1" customWidth="1"/>
    <col min="6" max="6" width="10.7109375" bestFit="1" customWidth="1"/>
    <col min="7" max="7" width="13.7109375" bestFit="1" customWidth="1"/>
    <col min="8" max="8" width="18.28515625" bestFit="1" customWidth="1"/>
    <col min="9" max="9" width="9.28515625" bestFit="1" customWidth="1"/>
  </cols>
  <sheetData>
    <row r="1" spans="1:9" x14ac:dyDescent="0.25">
      <c r="A1" t="s">
        <v>3324</v>
      </c>
      <c r="B1" t="s">
        <v>8854</v>
      </c>
      <c r="C1" t="s">
        <v>8855</v>
      </c>
      <c r="D1" t="s">
        <v>8856</v>
      </c>
      <c r="E1" t="s">
        <v>8857</v>
      </c>
      <c r="F1" t="s">
        <v>8858</v>
      </c>
      <c r="G1" t="s">
        <v>9162</v>
      </c>
      <c r="H1" t="s">
        <v>9163</v>
      </c>
      <c r="I1" t="s">
        <v>8862</v>
      </c>
    </row>
    <row r="2" spans="1:9" x14ac:dyDescent="0.25">
      <c r="A2" t="s">
        <v>9500</v>
      </c>
      <c r="C2" t="s">
        <v>9501</v>
      </c>
      <c r="D2" t="s">
        <v>9502</v>
      </c>
      <c r="E2" t="s">
        <v>9503</v>
      </c>
      <c r="F2" s="1">
        <v>45968</v>
      </c>
      <c r="G2" t="str">
        <f>"300133"</f>
        <v>300133</v>
      </c>
      <c r="H2" t="s">
        <v>2955</v>
      </c>
      <c r="I2">
        <v>60491.63</v>
      </c>
    </row>
    <row r="3" spans="1:9" x14ac:dyDescent="0.25">
      <c r="A3" t="s">
        <v>9500</v>
      </c>
      <c r="C3" t="s">
        <v>9501</v>
      </c>
      <c r="D3" t="s">
        <v>9508</v>
      </c>
      <c r="E3" t="s">
        <v>9072</v>
      </c>
      <c r="F3" s="1">
        <v>46009</v>
      </c>
      <c r="G3" t="str">
        <f>"300133"</f>
        <v>300133</v>
      </c>
      <c r="H3" t="s">
        <v>2955</v>
      </c>
      <c r="I3">
        <v>5300</v>
      </c>
    </row>
    <row r="4" spans="1:9" x14ac:dyDescent="0.25">
      <c r="A4" t="s">
        <v>9500</v>
      </c>
      <c r="C4" t="s">
        <v>9501</v>
      </c>
      <c r="D4" t="s">
        <v>9511</v>
      </c>
      <c r="E4" t="s">
        <v>9512</v>
      </c>
      <c r="F4" s="1">
        <v>46072</v>
      </c>
      <c r="G4" t="str">
        <f>"300080"</f>
        <v>300080</v>
      </c>
      <c r="H4" t="s">
        <v>2907</v>
      </c>
      <c r="I4">
        <v>39.9</v>
      </c>
    </row>
    <row r="5" spans="1:9" x14ac:dyDescent="0.25">
      <c r="A5" t="s">
        <v>9500</v>
      </c>
      <c r="C5" t="s">
        <v>9501</v>
      </c>
      <c r="D5" t="s">
        <v>9520</v>
      </c>
      <c r="E5" t="s">
        <v>9057</v>
      </c>
      <c r="F5" s="1">
        <v>46098</v>
      </c>
      <c r="G5" t="str">
        <f>"300066"</f>
        <v>300066</v>
      </c>
      <c r="H5" t="s">
        <v>2898</v>
      </c>
      <c r="I5">
        <v>168.08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573B8-5E8B-47C1-A45B-C8D810D9C074}">
  <dimension ref="A3:A504"/>
  <sheetViews>
    <sheetView workbookViewId="0">
      <selection activeCell="A3" sqref="A3"/>
    </sheetView>
  </sheetViews>
  <sheetFormatPr baseColWidth="10" defaultRowHeight="15" x14ac:dyDescent="0.25"/>
  <cols>
    <col min="1" max="1" width="23" bestFit="1" customWidth="1"/>
  </cols>
  <sheetData>
    <row r="3" spans="1:1" x14ac:dyDescent="0.25">
      <c r="A3" s="14" t="s">
        <v>13094</v>
      </c>
    </row>
    <row r="4" spans="1:1" x14ac:dyDescent="0.25">
      <c r="A4" s="15" t="s">
        <v>9166</v>
      </c>
    </row>
    <row r="5" spans="1:1" x14ac:dyDescent="0.25">
      <c r="A5" s="16" t="s">
        <v>9167</v>
      </c>
    </row>
    <row r="6" spans="1:1" x14ac:dyDescent="0.25">
      <c r="A6" s="15" t="s">
        <v>9168</v>
      </c>
    </row>
    <row r="7" spans="1:1" x14ac:dyDescent="0.25">
      <c r="A7" s="16" t="s">
        <v>2172</v>
      </c>
    </row>
    <row r="8" spans="1:1" x14ac:dyDescent="0.25">
      <c r="A8" s="15" t="s">
        <v>9169</v>
      </c>
    </row>
    <row r="9" spans="1:1" x14ac:dyDescent="0.25">
      <c r="A9" s="16" t="s">
        <v>9170</v>
      </c>
    </row>
    <row r="10" spans="1:1" x14ac:dyDescent="0.25">
      <c r="A10" s="15" t="s">
        <v>9171</v>
      </c>
    </row>
    <row r="11" spans="1:1" x14ac:dyDescent="0.25">
      <c r="A11" s="16" t="s">
        <v>9172</v>
      </c>
    </row>
    <row r="12" spans="1:1" x14ac:dyDescent="0.25">
      <c r="A12" s="15" t="s">
        <v>9173</v>
      </c>
    </row>
    <row r="13" spans="1:1" x14ac:dyDescent="0.25">
      <c r="A13" s="16" t="s">
        <v>9174</v>
      </c>
    </row>
    <row r="14" spans="1:1" x14ac:dyDescent="0.25">
      <c r="A14" s="15" t="s">
        <v>9175</v>
      </c>
    </row>
    <row r="15" spans="1:1" x14ac:dyDescent="0.25">
      <c r="A15" s="16" t="s">
        <v>9176</v>
      </c>
    </row>
    <row r="16" spans="1:1" x14ac:dyDescent="0.25">
      <c r="A16" s="15" t="s">
        <v>9177</v>
      </c>
    </row>
    <row r="17" spans="1:1" x14ac:dyDescent="0.25">
      <c r="A17" s="16" t="s">
        <v>9178</v>
      </c>
    </row>
    <row r="18" spans="1:1" x14ac:dyDescent="0.25">
      <c r="A18" s="15" t="s">
        <v>9179</v>
      </c>
    </row>
    <row r="19" spans="1:1" x14ac:dyDescent="0.25">
      <c r="A19" s="16" t="s">
        <v>13095</v>
      </c>
    </row>
    <row r="20" spans="1:1" x14ac:dyDescent="0.25">
      <c r="A20" s="15" t="s">
        <v>9180</v>
      </c>
    </row>
    <row r="21" spans="1:1" x14ac:dyDescent="0.25">
      <c r="A21" s="16" t="s">
        <v>9181</v>
      </c>
    </row>
    <row r="22" spans="1:1" x14ac:dyDescent="0.25">
      <c r="A22" s="15" t="s">
        <v>9182</v>
      </c>
    </row>
    <row r="23" spans="1:1" x14ac:dyDescent="0.25">
      <c r="A23" s="16" t="s">
        <v>9183</v>
      </c>
    </row>
    <row r="24" spans="1:1" x14ac:dyDescent="0.25">
      <c r="A24" s="15" t="s">
        <v>9184</v>
      </c>
    </row>
    <row r="25" spans="1:1" x14ac:dyDescent="0.25">
      <c r="A25" s="20">
        <v>46027</v>
      </c>
    </row>
    <row r="26" spans="1:1" x14ac:dyDescent="0.25">
      <c r="A26" s="15" t="s">
        <v>9185</v>
      </c>
    </row>
    <row r="27" spans="1:1" x14ac:dyDescent="0.25">
      <c r="A27" s="16" t="s">
        <v>9186</v>
      </c>
    </row>
    <row r="28" spans="1:1" x14ac:dyDescent="0.25">
      <c r="A28" s="15" t="s">
        <v>9187</v>
      </c>
    </row>
    <row r="29" spans="1:1" x14ac:dyDescent="0.25">
      <c r="A29" s="16" t="s">
        <v>9172</v>
      </c>
    </row>
    <row r="30" spans="1:1" x14ac:dyDescent="0.25">
      <c r="A30" s="15" t="s">
        <v>9188</v>
      </c>
    </row>
    <row r="31" spans="1:1" x14ac:dyDescent="0.25">
      <c r="A31" s="16" t="s">
        <v>9189</v>
      </c>
    </row>
    <row r="32" spans="1:1" x14ac:dyDescent="0.25">
      <c r="A32" s="15" t="s">
        <v>9190</v>
      </c>
    </row>
    <row r="33" spans="1:1" x14ac:dyDescent="0.25">
      <c r="A33" s="16" t="s">
        <v>9191</v>
      </c>
    </row>
    <row r="34" spans="1:1" x14ac:dyDescent="0.25">
      <c r="A34" s="15" t="s">
        <v>9192</v>
      </c>
    </row>
    <row r="35" spans="1:1" x14ac:dyDescent="0.25">
      <c r="A35" s="16" t="s">
        <v>9189</v>
      </c>
    </row>
    <row r="36" spans="1:1" x14ac:dyDescent="0.25">
      <c r="A36" s="15" t="s">
        <v>9193</v>
      </c>
    </row>
    <row r="37" spans="1:1" x14ac:dyDescent="0.25">
      <c r="A37" s="16" t="s">
        <v>9194</v>
      </c>
    </row>
    <row r="38" spans="1:1" x14ac:dyDescent="0.25">
      <c r="A38" s="15" t="s">
        <v>9195</v>
      </c>
    </row>
    <row r="39" spans="1:1" x14ac:dyDescent="0.25">
      <c r="A39" s="16" t="s">
        <v>9196</v>
      </c>
    </row>
    <row r="40" spans="1:1" x14ac:dyDescent="0.25">
      <c r="A40" s="15" t="s">
        <v>9197</v>
      </c>
    </row>
    <row r="41" spans="1:1" x14ac:dyDescent="0.25">
      <c r="A41" s="16" t="s">
        <v>9189</v>
      </c>
    </row>
    <row r="42" spans="1:1" x14ac:dyDescent="0.25">
      <c r="A42" s="15" t="s">
        <v>9198</v>
      </c>
    </row>
    <row r="43" spans="1:1" x14ac:dyDescent="0.25">
      <c r="A43" s="16" t="s">
        <v>9199</v>
      </c>
    </row>
    <row r="44" spans="1:1" x14ac:dyDescent="0.25">
      <c r="A44" s="15" t="s">
        <v>9200</v>
      </c>
    </row>
    <row r="45" spans="1:1" x14ac:dyDescent="0.25">
      <c r="A45" s="16" t="s">
        <v>9201</v>
      </c>
    </row>
    <row r="46" spans="1:1" x14ac:dyDescent="0.25">
      <c r="A46" s="15" t="s">
        <v>9202</v>
      </c>
    </row>
    <row r="47" spans="1:1" x14ac:dyDescent="0.25">
      <c r="A47" s="16" t="s">
        <v>9191</v>
      </c>
    </row>
    <row r="48" spans="1:1" x14ac:dyDescent="0.25">
      <c r="A48" s="15" t="s">
        <v>9203</v>
      </c>
    </row>
    <row r="49" spans="1:1" x14ac:dyDescent="0.25">
      <c r="A49" s="16" t="s">
        <v>9204</v>
      </c>
    </row>
    <row r="50" spans="1:1" x14ac:dyDescent="0.25">
      <c r="A50" s="15" t="s">
        <v>9205</v>
      </c>
    </row>
    <row r="51" spans="1:1" x14ac:dyDescent="0.25">
      <c r="A51" s="16" t="s">
        <v>2172</v>
      </c>
    </row>
    <row r="52" spans="1:1" x14ac:dyDescent="0.25">
      <c r="A52" s="15" t="s">
        <v>9206</v>
      </c>
    </row>
    <row r="53" spans="1:1" x14ac:dyDescent="0.25">
      <c r="A53" s="16" t="s">
        <v>9207</v>
      </c>
    </row>
    <row r="54" spans="1:1" x14ac:dyDescent="0.25">
      <c r="A54" s="15" t="s">
        <v>9208</v>
      </c>
    </row>
    <row r="55" spans="1:1" x14ac:dyDescent="0.25">
      <c r="A55" s="16" t="s">
        <v>9209</v>
      </c>
    </row>
    <row r="56" spans="1:1" x14ac:dyDescent="0.25">
      <c r="A56" s="15" t="s">
        <v>9210</v>
      </c>
    </row>
    <row r="57" spans="1:1" x14ac:dyDescent="0.25">
      <c r="A57" s="16" t="s">
        <v>9191</v>
      </c>
    </row>
    <row r="58" spans="1:1" x14ac:dyDescent="0.25">
      <c r="A58" s="15" t="s">
        <v>9211</v>
      </c>
    </row>
    <row r="59" spans="1:1" x14ac:dyDescent="0.25">
      <c r="A59" s="16" t="s">
        <v>9181</v>
      </c>
    </row>
    <row r="60" spans="1:1" x14ac:dyDescent="0.25">
      <c r="A60" s="15" t="s">
        <v>9212</v>
      </c>
    </row>
    <row r="61" spans="1:1" x14ac:dyDescent="0.25">
      <c r="A61" s="16" t="s">
        <v>9191</v>
      </c>
    </row>
    <row r="62" spans="1:1" x14ac:dyDescent="0.25">
      <c r="A62" s="15" t="s">
        <v>9213</v>
      </c>
    </row>
    <row r="63" spans="1:1" x14ac:dyDescent="0.25">
      <c r="A63" s="16" t="s">
        <v>9214</v>
      </c>
    </row>
    <row r="64" spans="1:1" x14ac:dyDescent="0.25">
      <c r="A64" s="15" t="s">
        <v>9215</v>
      </c>
    </row>
    <row r="65" spans="1:1" x14ac:dyDescent="0.25">
      <c r="A65" s="16" t="s">
        <v>9216</v>
      </c>
    </row>
    <row r="66" spans="1:1" x14ac:dyDescent="0.25">
      <c r="A66" s="15" t="s">
        <v>9217</v>
      </c>
    </row>
    <row r="67" spans="1:1" x14ac:dyDescent="0.25">
      <c r="A67" s="16" t="s">
        <v>9189</v>
      </c>
    </row>
    <row r="68" spans="1:1" x14ac:dyDescent="0.25">
      <c r="A68" s="15" t="s">
        <v>9218</v>
      </c>
    </row>
    <row r="69" spans="1:1" x14ac:dyDescent="0.25">
      <c r="A69" s="16" t="s">
        <v>9219</v>
      </c>
    </row>
    <row r="70" spans="1:1" x14ac:dyDescent="0.25">
      <c r="A70" s="15" t="s">
        <v>9220</v>
      </c>
    </row>
    <row r="71" spans="1:1" x14ac:dyDescent="0.25">
      <c r="A71" s="16" t="s">
        <v>9221</v>
      </c>
    </row>
    <row r="72" spans="1:1" x14ac:dyDescent="0.25">
      <c r="A72" s="15" t="s">
        <v>9222</v>
      </c>
    </row>
    <row r="73" spans="1:1" x14ac:dyDescent="0.25">
      <c r="A73" s="16" t="s">
        <v>9223</v>
      </c>
    </row>
    <row r="74" spans="1:1" x14ac:dyDescent="0.25">
      <c r="A74" s="15" t="s">
        <v>9224</v>
      </c>
    </row>
    <row r="75" spans="1:1" x14ac:dyDescent="0.25">
      <c r="A75" s="16" t="s">
        <v>9225</v>
      </c>
    </row>
    <row r="76" spans="1:1" x14ac:dyDescent="0.25">
      <c r="A76" s="15" t="s">
        <v>9226</v>
      </c>
    </row>
    <row r="77" spans="1:1" x14ac:dyDescent="0.25">
      <c r="A77" s="16" t="s">
        <v>9227</v>
      </c>
    </row>
    <row r="78" spans="1:1" x14ac:dyDescent="0.25">
      <c r="A78" s="15" t="s">
        <v>9228</v>
      </c>
    </row>
    <row r="79" spans="1:1" x14ac:dyDescent="0.25">
      <c r="A79" s="16" t="s">
        <v>9229</v>
      </c>
    </row>
    <row r="80" spans="1:1" x14ac:dyDescent="0.25">
      <c r="A80" s="15" t="s">
        <v>9230</v>
      </c>
    </row>
    <row r="81" spans="1:1" x14ac:dyDescent="0.25">
      <c r="A81" s="16" t="s">
        <v>9231</v>
      </c>
    </row>
    <row r="82" spans="1:1" x14ac:dyDescent="0.25">
      <c r="A82" s="15" t="s">
        <v>9232</v>
      </c>
    </row>
    <row r="83" spans="1:1" x14ac:dyDescent="0.25">
      <c r="A83" s="16" t="s">
        <v>9233</v>
      </c>
    </row>
    <row r="84" spans="1:1" x14ac:dyDescent="0.25">
      <c r="A84" s="15" t="s">
        <v>9234</v>
      </c>
    </row>
    <row r="85" spans="1:1" x14ac:dyDescent="0.25">
      <c r="A85" s="16" t="s">
        <v>9235</v>
      </c>
    </row>
    <row r="86" spans="1:1" x14ac:dyDescent="0.25">
      <c r="A86" s="15" t="s">
        <v>9236</v>
      </c>
    </row>
    <row r="87" spans="1:1" x14ac:dyDescent="0.25">
      <c r="A87" s="16" t="s">
        <v>9237</v>
      </c>
    </row>
    <row r="88" spans="1:1" x14ac:dyDescent="0.25">
      <c r="A88" s="15" t="s">
        <v>9238</v>
      </c>
    </row>
    <row r="89" spans="1:1" x14ac:dyDescent="0.25">
      <c r="A89" s="16" t="s">
        <v>9239</v>
      </c>
    </row>
    <row r="90" spans="1:1" x14ac:dyDescent="0.25">
      <c r="A90" s="15" t="s">
        <v>9240</v>
      </c>
    </row>
    <row r="91" spans="1:1" x14ac:dyDescent="0.25">
      <c r="A91" s="16" t="s">
        <v>2172</v>
      </c>
    </row>
    <row r="92" spans="1:1" x14ac:dyDescent="0.25">
      <c r="A92" s="15" t="s">
        <v>9241</v>
      </c>
    </row>
    <row r="93" spans="1:1" x14ac:dyDescent="0.25">
      <c r="A93" s="16" t="s">
        <v>2172</v>
      </c>
    </row>
    <row r="94" spans="1:1" x14ac:dyDescent="0.25">
      <c r="A94" s="15" t="s">
        <v>9242</v>
      </c>
    </row>
    <row r="95" spans="1:1" x14ac:dyDescent="0.25">
      <c r="A95" s="16" t="s">
        <v>9243</v>
      </c>
    </row>
    <row r="96" spans="1:1" x14ac:dyDescent="0.25">
      <c r="A96" s="15" t="s">
        <v>9244</v>
      </c>
    </row>
    <row r="97" spans="1:1" x14ac:dyDescent="0.25">
      <c r="A97" s="16" t="s">
        <v>9245</v>
      </c>
    </row>
    <row r="98" spans="1:1" x14ac:dyDescent="0.25">
      <c r="A98" s="15" t="s">
        <v>9246</v>
      </c>
    </row>
    <row r="99" spans="1:1" x14ac:dyDescent="0.25">
      <c r="A99" s="16" t="s">
        <v>2172</v>
      </c>
    </row>
    <row r="100" spans="1:1" x14ac:dyDescent="0.25">
      <c r="A100" s="15" t="s">
        <v>9247</v>
      </c>
    </row>
    <row r="101" spans="1:1" x14ac:dyDescent="0.25">
      <c r="A101" s="16" t="s">
        <v>9194</v>
      </c>
    </row>
    <row r="102" spans="1:1" x14ac:dyDescent="0.25">
      <c r="A102" s="15" t="s">
        <v>9248</v>
      </c>
    </row>
    <row r="103" spans="1:1" x14ac:dyDescent="0.25">
      <c r="A103" s="16" t="s">
        <v>9249</v>
      </c>
    </row>
    <row r="104" spans="1:1" x14ac:dyDescent="0.25">
      <c r="A104" s="15" t="s">
        <v>9250</v>
      </c>
    </row>
    <row r="105" spans="1:1" x14ac:dyDescent="0.25">
      <c r="A105" s="16" t="s">
        <v>2172</v>
      </c>
    </row>
    <row r="106" spans="1:1" x14ac:dyDescent="0.25">
      <c r="A106" s="15" t="s">
        <v>9251</v>
      </c>
    </row>
    <row r="107" spans="1:1" x14ac:dyDescent="0.25">
      <c r="A107" s="16" t="s">
        <v>9252</v>
      </c>
    </row>
    <row r="108" spans="1:1" x14ac:dyDescent="0.25">
      <c r="A108" s="15" t="s">
        <v>9253</v>
      </c>
    </row>
    <row r="109" spans="1:1" x14ac:dyDescent="0.25">
      <c r="A109" s="16" t="s">
        <v>9254</v>
      </c>
    </row>
    <row r="110" spans="1:1" x14ac:dyDescent="0.25">
      <c r="A110" s="15" t="s">
        <v>9255</v>
      </c>
    </row>
    <row r="111" spans="1:1" x14ac:dyDescent="0.25">
      <c r="A111" s="16" t="s">
        <v>9254</v>
      </c>
    </row>
    <row r="112" spans="1:1" x14ac:dyDescent="0.25">
      <c r="A112" s="15" t="s">
        <v>9256</v>
      </c>
    </row>
    <row r="113" spans="1:1" x14ac:dyDescent="0.25">
      <c r="A113" s="16" t="s">
        <v>9249</v>
      </c>
    </row>
    <row r="114" spans="1:1" x14ac:dyDescent="0.25">
      <c r="A114" s="15" t="s">
        <v>9257</v>
      </c>
    </row>
    <row r="115" spans="1:1" x14ac:dyDescent="0.25">
      <c r="A115" s="16" t="s">
        <v>2430</v>
      </c>
    </row>
    <row r="116" spans="1:1" x14ac:dyDescent="0.25">
      <c r="A116" s="15" t="s">
        <v>9258</v>
      </c>
    </row>
    <row r="117" spans="1:1" x14ac:dyDescent="0.25">
      <c r="A117" s="16" t="s">
        <v>2566</v>
      </c>
    </row>
    <row r="118" spans="1:1" x14ac:dyDescent="0.25">
      <c r="A118" s="15" t="s">
        <v>9259</v>
      </c>
    </row>
    <row r="119" spans="1:1" x14ac:dyDescent="0.25">
      <c r="A119" s="16" t="s">
        <v>8852</v>
      </c>
    </row>
    <row r="120" spans="1:1" x14ac:dyDescent="0.25">
      <c r="A120" s="15" t="s">
        <v>9260</v>
      </c>
    </row>
    <row r="121" spans="1:1" x14ac:dyDescent="0.25">
      <c r="A121" s="16" t="s">
        <v>9261</v>
      </c>
    </row>
    <row r="122" spans="1:1" x14ac:dyDescent="0.25">
      <c r="A122" s="15" t="s">
        <v>9262</v>
      </c>
    </row>
    <row r="123" spans="1:1" x14ac:dyDescent="0.25">
      <c r="A123" s="16" t="s">
        <v>9191</v>
      </c>
    </row>
    <row r="124" spans="1:1" x14ac:dyDescent="0.25">
      <c r="A124" s="15" t="s">
        <v>9263</v>
      </c>
    </row>
    <row r="125" spans="1:1" x14ac:dyDescent="0.25">
      <c r="A125" s="16" t="s">
        <v>9264</v>
      </c>
    </row>
    <row r="126" spans="1:1" x14ac:dyDescent="0.25">
      <c r="A126" s="15" t="s">
        <v>9265</v>
      </c>
    </row>
    <row r="127" spans="1:1" x14ac:dyDescent="0.25">
      <c r="A127" s="16" t="s">
        <v>9266</v>
      </c>
    </row>
    <row r="128" spans="1:1" x14ac:dyDescent="0.25">
      <c r="A128" s="15" t="s">
        <v>9267</v>
      </c>
    </row>
    <row r="129" spans="1:1" x14ac:dyDescent="0.25">
      <c r="A129" s="16" t="s">
        <v>9266</v>
      </c>
    </row>
    <row r="130" spans="1:1" x14ac:dyDescent="0.25">
      <c r="A130" s="15" t="s">
        <v>9268</v>
      </c>
    </row>
    <row r="131" spans="1:1" x14ac:dyDescent="0.25">
      <c r="A131" s="16" t="s">
        <v>9269</v>
      </c>
    </row>
    <row r="132" spans="1:1" x14ac:dyDescent="0.25">
      <c r="A132" s="15" t="s">
        <v>9270</v>
      </c>
    </row>
    <row r="133" spans="1:1" x14ac:dyDescent="0.25">
      <c r="A133" s="16" t="s">
        <v>9269</v>
      </c>
    </row>
    <row r="134" spans="1:1" x14ac:dyDescent="0.25">
      <c r="A134" s="15" t="s">
        <v>9271</v>
      </c>
    </row>
    <row r="135" spans="1:1" x14ac:dyDescent="0.25">
      <c r="A135" s="16" t="s">
        <v>2172</v>
      </c>
    </row>
    <row r="136" spans="1:1" x14ac:dyDescent="0.25">
      <c r="A136" s="15" t="s">
        <v>9272</v>
      </c>
    </row>
    <row r="137" spans="1:1" x14ac:dyDescent="0.25">
      <c r="A137" s="16" t="s">
        <v>2172</v>
      </c>
    </row>
    <row r="138" spans="1:1" x14ac:dyDescent="0.25">
      <c r="A138" s="15" t="s">
        <v>9273</v>
      </c>
    </row>
    <row r="139" spans="1:1" x14ac:dyDescent="0.25">
      <c r="A139" s="16" t="s">
        <v>9243</v>
      </c>
    </row>
    <row r="140" spans="1:1" x14ac:dyDescent="0.25">
      <c r="A140" s="15" t="s">
        <v>9274</v>
      </c>
    </row>
    <row r="141" spans="1:1" x14ac:dyDescent="0.25">
      <c r="A141" s="16" t="s">
        <v>2172</v>
      </c>
    </row>
    <row r="142" spans="1:1" x14ac:dyDescent="0.25">
      <c r="A142" s="15" t="s">
        <v>9275</v>
      </c>
    </row>
    <row r="143" spans="1:1" x14ac:dyDescent="0.25">
      <c r="A143" s="16" t="s">
        <v>9189</v>
      </c>
    </row>
    <row r="144" spans="1:1" x14ac:dyDescent="0.25">
      <c r="A144" s="15" t="s">
        <v>9276</v>
      </c>
    </row>
    <row r="145" spans="1:1" x14ac:dyDescent="0.25">
      <c r="A145" s="16" t="s">
        <v>9277</v>
      </c>
    </row>
    <row r="146" spans="1:1" x14ac:dyDescent="0.25">
      <c r="A146" s="15" t="s">
        <v>9278</v>
      </c>
    </row>
    <row r="147" spans="1:1" x14ac:dyDescent="0.25">
      <c r="A147" s="16" t="s">
        <v>9279</v>
      </c>
    </row>
    <row r="148" spans="1:1" x14ac:dyDescent="0.25">
      <c r="A148" s="15" t="s">
        <v>9280</v>
      </c>
    </row>
    <row r="149" spans="1:1" x14ac:dyDescent="0.25">
      <c r="A149" s="16" t="s">
        <v>8852</v>
      </c>
    </row>
    <row r="150" spans="1:1" x14ac:dyDescent="0.25">
      <c r="A150" s="15" t="s">
        <v>9281</v>
      </c>
    </row>
    <row r="151" spans="1:1" x14ac:dyDescent="0.25">
      <c r="A151" s="16" t="s">
        <v>1313</v>
      </c>
    </row>
    <row r="152" spans="1:1" x14ac:dyDescent="0.25">
      <c r="A152" s="15" t="s">
        <v>9282</v>
      </c>
    </row>
    <row r="153" spans="1:1" x14ac:dyDescent="0.25">
      <c r="A153" s="16" t="s">
        <v>8907</v>
      </c>
    </row>
    <row r="154" spans="1:1" x14ac:dyDescent="0.25">
      <c r="A154" s="15" t="s">
        <v>9283</v>
      </c>
    </row>
    <row r="155" spans="1:1" x14ac:dyDescent="0.25">
      <c r="A155" s="16" t="s">
        <v>9284</v>
      </c>
    </row>
    <row r="156" spans="1:1" x14ac:dyDescent="0.25">
      <c r="A156" s="15" t="s">
        <v>9285</v>
      </c>
    </row>
    <row r="157" spans="1:1" x14ac:dyDescent="0.25">
      <c r="A157" s="16" t="s">
        <v>9286</v>
      </c>
    </row>
    <row r="158" spans="1:1" x14ac:dyDescent="0.25">
      <c r="A158" s="15" t="s">
        <v>9287</v>
      </c>
    </row>
    <row r="159" spans="1:1" x14ac:dyDescent="0.25">
      <c r="A159" s="16" t="s">
        <v>9264</v>
      </c>
    </row>
    <row r="160" spans="1:1" x14ac:dyDescent="0.25">
      <c r="A160" s="15" t="s">
        <v>9288</v>
      </c>
    </row>
    <row r="161" spans="1:1" x14ac:dyDescent="0.25">
      <c r="A161" s="16" t="s">
        <v>9189</v>
      </c>
    </row>
    <row r="162" spans="1:1" x14ac:dyDescent="0.25">
      <c r="A162" s="15" t="s">
        <v>9289</v>
      </c>
    </row>
    <row r="163" spans="1:1" x14ac:dyDescent="0.25">
      <c r="A163" s="16" t="s">
        <v>2172</v>
      </c>
    </row>
    <row r="164" spans="1:1" x14ac:dyDescent="0.25">
      <c r="A164" s="15" t="s">
        <v>9290</v>
      </c>
    </row>
    <row r="165" spans="1:1" x14ac:dyDescent="0.25">
      <c r="A165" s="16" t="s">
        <v>9291</v>
      </c>
    </row>
    <row r="166" spans="1:1" x14ac:dyDescent="0.25">
      <c r="A166" s="15" t="s">
        <v>9292</v>
      </c>
    </row>
    <row r="167" spans="1:1" x14ac:dyDescent="0.25">
      <c r="A167" s="16" t="s">
        <v>9293</v>
      </c>
    </row>
    <row r="168" spans="1:1" x14ac:dyDescent="0.25">
      <c r="A168" s="15" t="s">
        <v>9294</v>
      </c>
    </row>
    <row r="169" spans="1:1" x14ac:dyDescent="0.25">
      <c r="A169" s="16" t="s">
        <v>9295</v>
      </c>
    </row>
    <row r="170" spans="1:1" x14ac:dyDescent="0.25">
      <c r="A170" s="15" t="s">
        <v>9296</v>
      </c>
    </row>
    <row r="171" spans="1:1" x14ac:dyDescent="0.25">
      <c r="A171" s="16" t="s">
        <v>9297</v>
      </c>
    </row>
    <row r="172" spans="1:1" x14ac:dyDescent="0.25">
      <c r="A172" s="15" t="s">
        <v>9298</v>
      </c>
    </row>
    <row r="173" spans="1:1" x14ac:dyDescent="0.25">
      <c r="A173" s="16" t="s">
        <v>9239</v>
      </c>
    </row>
    <row r="174" spans="1:1" x14ac:dyDescent="0.25">
      <c r="A174" s="15" t="s">
        <v>9299</v>
      </c>
    </row>
    <row r="175" spans="1:1" x14ac:dyDescent="0.25">
      <c r="A175" s="16" t="s">
        <v>9300</v>
      </c>
    </row>
    <row r="176" spans="1:1" x14ac:dyDescent="0.25">
      <c r="A176" s="15" t="s">
        <v>9301</v>
      </c>
    </row>
    <row r="177" spans="1:1" x14ac:dyDescent="0.25">
      <c r="A177" s="16" t="s">
        <v>9300</v>
      </c>
    </row>
    <row r="178" spans="1:1" x14ac:dyDescent="0.25">
      <c r="A178" s="15" t="s">
        <v>9302</v>
      </c>
    </row>
    <row r="179" spans="1:1" x14ac:dyDescent="0.25">
      <c r="A179" s="16" t="s">
        <v>9303</v>
      </c>
    </row>
    <row r="180" spans="1:1" x14ac:dyDescent="0.25">
      <c r="A180" s="15" t="s">
        <v>9304</v>
      </c>
    </row>
    <row r="181" spans="1:1" x14ac:dyDescent="0.25">
      <c r="A181" s="16" t="s">
        <v>9189</v>
      </c>
    </row>
    <row r="182" spans="1:1" x14ac:dyDescent="0.25">
      <c r="A182" s="15" t="s">
        <v>9305</v>
      </c>
    </row>
    <row r="183" spans="1:1" x14ac:dyDescent="0.25">
      <c r="A183" s="20">
        <v>46027</v>
      </c>
    </row>
    <row r="184" spans="1:1" x14ac:dyDescent="0.25">
      <c r="A184" s="15" t="s">
        <v>9306</v>
      </c>
    </row>
    <row r="185" spans="1:1" x14ac:dyDescent="0.25">
      <c r="A185" s="16" t="s">
        <v>9307</v>
      </c>
    </row>
    <row r="186" spans="1:1" x14ac:dyDescent="0.25">
      <c r="A186" s="15" t="s">
        <v>9308</v>
      </c>
    </row>
    <row r="187" spans="1:1" x14ac:dyDescent="0.25">
      <c r="A187" s="16" t="s">
        <v>9309</v>
      </c>
    </row>
    <row r="188" spans="1:1" x14ac:dyDescent="0.25">
      <c r="A188" s="15" t="s">
        <v>9310</v>
      </c>
    </row>
    <row r="189" spans="1:1" x14ac:dyDescent="0.25">
      <c r="A189" s="16" t="s">
        <v>9311</v>
      </c>
    </row>
    <row r="190" spans="1:1" x14ac:dyDescent="0.25">
      <c r="A190" s="15" t="s">
        <v>9312</v>
      </c>
    </row>
    <row r="191" spans="1:1" x14ac:dyDescent="0.25">
      <c r="A191" s="16" t="s">
        <v>9313</v>
      </c>
    </row>
    <row r="192" spans="1:1" x14ac:dyDescent="0.25">
      <c r="A192" s="15" t="s">
        <v>9314</v>
      </c>
    </row>
    <row r="193" spans="1:1" x14ac:dyDescent="0.25">
      <c r="A193" s="20">
        <v>46027</v>
      </c>
    </row>
    <row r="194" spans="1:1" x14ac:dyDescent="0.25">
      <c r="A194" s="15" t="s">
        <v>9315</v>
      </c>
    </row>
    <row r="195" spans="1:1" x14ac:dyDescent="0.25">
      <c r="A195" s="16" t="s">
        <v>1313</v>
      </c>
    </row>
    <row r="196" spans="1:1" x14ac:dyDescent="0.25">
      <c r="A196" s="15" t="s">
        <v>9316</v>
      </c>
    </row>
    <row r="197" spans="1:1" x14ac:dyDescent="0.25">
      <c r="A197" s="16" t="s">
        <v>9269</v>
      </c>
    </row>
    <row r="198" spans="1:1" x14ac:dyDescent="0.25">
      <c r="A198" s="15" t="s">
        <v>9317</v>
      </c>
    </row>
    <row r="199" spans="1:1" x14ac:dyDescent="0.25">
      <c r="A199" s="16" t="s">
        <v>9297</v>
      </c>
    </row>
    <row r="200" spans="1:1" x14ac:dyDescent="0.25">
      <c r="A200" s="15" t="s">
        <v>9318</v>
      </c>
    </row>
    <row r="201" spans="1:1" x14ac:dyDescent="0.25">
      <c r="A201" s="16" t="s">
        <v>9319</v>
      </c>
    </row>
    <row r="202" spans="1:1" x14ac:dyDescent="0.25">
      <c r="A202" s="15" t="s">
        <v>9320</v>
      </c>
    </row>
    <row r="203" spans="1:1" x14ac:dyDescent="0.25">
      <c r="A203" s="16" t="s">
        <v>8852</v>
      </c>
    </row>
    <row r="204" spans="1:1" x14ac:dyDescent="0.25">
      <c r="A204" s="15" t="s">
        <v>9321</v>
      </c>
    </row>
    <row r="205" spans="1:1" x14ac:dyDescent="0.25">
      <c r="A205" s="16" t="s">
        <v>8852</v>
      </c>
    </row>
    <row r="206" spans="1:1" x14ac:dyDescent="0.25">
      <c r="A206" s="15" t="s">
        <v>9322</v>
      </c>
    </row>
    <row r="207" spans="1:1" x14ac:dyDescent="0.25">
      <c r="A207" s="16" t="s">
        <v>9323</v>
      </c>
    </row>
    <row r="208" spans="1:1" x14ac:dyDescent="0.25">
      <c r="A208" s="15" t="s">
        <v>9324</v>
      </c>
    </row>
    <row r="209" spans="1:1" x14ac:dyDescent="0.25">
      <c r="A209" s="16" t="s">
        <v>9239</v>
      </c>
    </row>
    <row r="210" spans="1:1" x14ac:dyDescent="0.25">
      <c r="A210" s="15" t="s">
        <v>9325</v>
      </c>
    </row>
    <row r="211" spans="1:1" x14ac:dyDescent="0.25">
      <c r="A211" s="16" t="s">
        <v>9326</v>
      </c>
    </row>
    <row r="212" spans="1:1" x14ac:dyDescent="0.25">
      <c r="A212" s="15" t="s">
        <v>9327</v>
      </c>
    </row>
    <row r="213" spans="1:1" x14ac:dyDescent="0.25">
      <c r="A213" s="16" t="s">
        <v>9112</v>
      </c>
    </row>
    <row r="214" spans="1:1" x14ac:dyDescent="0.25">
      <c r="A214" s="15" t="s">
        <v>9328</v>
      </c>
    </row>
    <row r="215" spans="1:1" x14ac:dyDescent="0.25">
      <c r="A215" s="16" t="s">
        <v>9329</v>
      </c>
    </row>
    <row r="216" spans="1:1" x14ac:dyDescent="0.25">
      <c r="A216" s="15" t="s">
        <v>9330</v>
      </c>
    </row>
    <row r="217" spans="1:1" x14ac:dyDescent="0.25">
      <c r="A217" s="16" t="s">
        <v>9239</v>
      </c>
    </row>
    <row r="218" spans="1:1" x14ac:dyDescent="0.25">
      <c r="A218" s="15" t="s">
        <v>9331</v>
      </c>
    </row>
    <row r="219" spans="1:1" x14ac:dyDescent="0.25">
      <c r="A219" s="16" t="s">
        <v>9266</v>
      </c>
    </row>
    <row r="220" spans="1:1" x14ac:dyDescent="0.25">
      <c r="A220" s="15" t="s">
        <v>9332</v>
      </c>
    </row>
    <row r="221" spans="1:1" x14ac:dyDescent="0.25">
      <c r="A221" s="16" t="s">
        <v>2566</v>
      </c>
    </row>
    <row r="222" spans="1:1" x14ac:dyDescent="0.25">
      <c r="A222" s="15" t="s">
        <v>9333</v>
      </c>
    </row>
    <row r="223" spans="1:1" x14ac:dyDescent="0.25">
      <c r="A223" s="16" t="s">
        <v>1313</v>
      </c>
    </row>
    <row r="224" spans="1:1" x14ac:dyDescent="0.25">
      <c r="A224" s="15" t="s">
        <v>9334</v>
      </c>
    </row>
    <row r="225" spans="1:1" x14ac:dyDescent="0.25">
      <c r="A225" s="16" t="s">
        <v>9335</v>
      </c>
    </row>
    <row r="226" spans="1:1" x14ac:dyDescent="0.25">
      <c r="A226" s="15" t="s">
        <v>9336</v>
      </c>
    </row>
    <row r="227" spans="1:1" x14ac:dyDescent="0.25">
      <c r="A227" s="16" t="s">
        <v>9337</v>
      </c>
    </row>
    <row r="228" spans="1:1" x14ac:dyDescent="0.25">
      <c r="A228" s="15" t="s">
        <v>9338</v>
      </c>
    </row>
    <row r="229" spans="1:1" x14ac:dyDescent="0.25">
      <c r="A229" s="16" t="s">
        <v>9264</v>
      </c>
    </row>
    <row r="230" spans="1:1" x14ac:dyDescent="0.25">
      <c r="A230" s="15" t="s">
        <v>9339</v>
      </c>
    </row>
    <row r="231" spans="1:1" x14ac:dyDescent="0.25">
      <c r="A231" s="16" t="s">
        <v>1313</v>
      </c>
    </row>
    <row r="232" spans="1:1" x14ac:dyDescent="0.25">
      <c r="A232" s="15" t="s">
        <v>9340</v>
      </c>
    </row>
    <row r="233" spans="1:1" x14ac:dyDescent="0.25">
      <c r="A233" s="16" t="s">
        <v>9341</v>
      </c>
    </row>
    <row r="234" spans="1:1" x14ac:dyDescent="0.25">
      <c r="A234" s="15" t="s">
        <v>9342</v>
      </c>
    </row>
    <row r="235" spans="1:1" x14ac:dyDescent="0.25">
      <c r="A235" s="16" t="s">
        <v>9343</v>
      </c>
    </row>
    <row r="236" spans="1:1" x14ac:dyDescent="0.25">
      <c r="A236" s="15" t="s">
        <v>9344</v>
      </c>
    </row>
    <row r="237" spans="1:1" x14ac:dyDescent="0.25">
      <c r="A237" s="16" t="s">
        <v>9345</v>
      </c>
    </row>
    <row r="238" spans="1:1" x14ac:dyDescent="0.25">
      <c r="A238" s="15" t="s">
        <v>9346</v>
      </c>
    </row>
    <row r="239" spans="1:1" x14ac:dyDescent="0.25">
      <c r="A239" s="16" t="s">
        <v>9204</v>
      </c>
    </row>
    <row r="240" spans="1:1" x14ac:dyDescent="0.25">
      <c r="A240" s="15" t="s">
        <v>9347</v>
      </c>
    </row>
    <row r="241" spans="1:1" x14ac:dyDescent="0.25">
      <c r="A241" s="16" t="s">
        <v>9348</v>
      </c>
    </row>
    <row r="242" spans="1:1" x14ac:dyDescent="0.25">
      <c r="A242" s="15" t="s">
        <v>9349</v>
      </c>
    </row>
    <row r="243" spans="1:1" x14ac:dyDescent="0.25">
      <c r="A243" s="16" t="s">
        <v>9350</v>
      </c>
    </row>
    <row r="244" spans="1:1" x14ac:dyDescent="0.25">
      <c r="A244" s="15" t="s">
        <v>9351</v>
      </c>
    </row>
    <row r="245" spans="1:1" x14ac:dyDescent="0.25">
      <c r="A245" s="16" t="s">
        <v>9352</v>
      </c>
    </row>
    <row r="246" spans="1:1" x14ac:dyDescent="0.25">
      <c r="A246" s="15" t="s">
        <v>9353</v>
      </c>
    </row>
    <row r="247" spans="1:1" x14ac:dyDescent="0.25">
      <c r="A247" s="16" t="s">
        <v>9343</v>
      </c>
    </row>
    <row r="248" spans="1:1" x14ac:dyDescent="0.25">
      <c r="A248" s="15" t="s">
        <v>9354</v>
      </c>
    </row>
    <row r="249" spans="1:1" x14ac:dyDescent="0.25">
      <c r="A249" s="16" t="s">
        <v>9355</v>
      </c>
    </row>
    <row r="250" spans="1:1" x14ac:dyDescent="0.25">
      <c r="A250" s="15" t="s">
        <v>9356</v>
      </c>
    </row>
    <row r="251" spans="1:1" x14ac:dyDescent="0.25">
      <c r="A251" s="16" t="s">
        <v>1928</v>
      </c>
    </row>
    <row r="252" spans="1:1" x14ac:dyDescent="0.25">
      <c r="A252" s="15" t="s">
        <v>9357</v>
      </c>
    </row>
    <row r="253" spans="1:1" x14ac:dyDescent="0.25">
      <c r="A253" s="16" t="s">
        <v>1313</v>
      </c>
    </row>
    <row r="254" spans="1:1" x14ac:dyDescent="0.25">
      <c r="A254" s="15" t="s">
        <v>9358</v>
      </c>
    </row>
    <row r="255" spans="1:1" x14ac:dyDescent="0.25">
      <c r="A255" s="16" t="s">
        <v>9343</v>
      </c>
    </row>
    <row r="256" spans="1:1" x14ac:dyDescent="0.25">
      <c r="A256" s="15" t="s">
        <v>9359</v>
      </c>
    </row>
    <row r="257" spans="1:1" x14ac:dyDescent="0.25">
      <c r="A257" s="16" t="s">
        <v>9360</v>
      </c>
    </row>
    <row r="258" spans="1:1" x14ac:dyDescent="0.25">
      <c r="A258" s="15" t="s">
        <v>9361</v>
      </c>
    </row>
    <row r="259" spans="1:1" x14ac:dyDescent="0.25">
      <c r="A259" s="16" t="s">
        <v>9112</v>
      </c>
    </row>
    <row r="260" spans="1:1" x14ac:dyDescent="0.25">
      <c r="A260" s="15" t="s">
        <v>9362</v>
      </c>
    </row>
    <row r="261" spans="1:1" x14ac:dyDescent="0.25">
      <c r="A261" s="16" t="s">
        <v>1313</v>
      </c>
    </row>
    <row r="262" spans="1:1" x14ac:dyDescent="0.25">
      <c r="A262" s="15" t="s">
        <v>9363</v>
      </c>
    </row>
    <row r="263" spans="1:1" x14ac:dyDescent="0.25">
      <c r="A263" s="16" t="s">
        <v>9335</v>
      </c>
    </row>
    <row r="264" spans="1:1" x14ac:dyDescent="0.25">
      <c r="A264" s="15" t="s">
        <v>9364</v>
      </c>
    </row>
    <row r="265" spans="1:1" x14ac:dyDescent="0.25">
      <c r="A265" s="16" t="s">
        <v>9365</v>
      </c>
    </row>
    <row r="266" spans="1:1" x14ac:dyDescent="0.25">
      <c r="A266" s="15" t="s">
        <v>9366</v>
      </c>
    </row>
    <row r="267" spans="1:1" x14ac:dyDescent="0.25">
      <c r="A267" s="16" t="s">
        <v>9337</v>
      </c>
    </row>
    <row r="268" spans="1:1" x14ac:dyDescent="0.25">
      <c r="A268" s="15" t="s">
        <v>9367</v>
      </c>
    </row>
    <row r="269" spans="1:1" x14ac:dyDescent="0.25">
      <c r="A269" s="16" t="s">
        <v>9189</v>
      </c>
    </row>
    <row r="270" spans="1:1" x14ac:dyDescent="0.25">
      <c r="A270" s="15" t="s">
        <v>9368</v>
      </c>
    </row>
    <row r="271" spans="1:1" x14ac:dyDescent="0.25">
      <c r="A271" s="16" t="s">
        <v>9365</v>
      </c>
    </row>
    <row r="272" spans="1:1" x14ac:dyDescent="0.25">
      <c r="A272" s="15" t="s">
        <v>9369</v>
      </c>
    </row>
    <row r="273" spans="1:1" x14ac:dyDescent="0.25">
      <c r="A273" s="16" t="s">
        <v>9204</v>
      </c>
    </row>
    <row r="274" spans="1:1" x14ac:dyDescent="0.25">
      <c r="A274" s="15" t="s">
        <v>9370</v>
      </c>
    </row>
    <row r="275" spans="1:1" x14ac:dyDescent="0.25">
      <c r="A275" s="16" t="s">
        <v>9371</v>
      </c>
    </row>
    <row r="276" spans="1:1" x14ac:dyDescent="0.25">
      <c r="A276" s="15" t="s">
        <v>9372</v>
      </c>
    </row>
    <row r="277" spans="1:1" x14ac:dyDescent="0.25">
      <c r="A277" s="16" t="s">
        <v>9335</v>
      </c>
    </row>
    <row r="278" spans="1:1" x14ac:dyDescent="0.25">
      <c r="A278" s="15" t="s">
        <v>9373</v>
      </c>
    </row>
    <row r="279" spans="1:1" x14ac:dyDescent="0.25">
      <c r="A279" s="16" t="s">
        <v>9374</v>
      </c>
    </row>
    <row r="280" spans="1:1" x14ac:dyDescent="0.25">
      <c r="A280" s="15" t="s">
        <v>9375</v>
      </c>
    </row>
    <row r="281" spans="1:1" x14ac:dyDescent="0.25">
      <c r="A281" s="16" t="s">
        <v>9376</v>
      </c>
    </row>
    <row r="282" spans="1:1" x14ac:dyDescent="0.25">
      <c r="A282" s="15" t="s">
        <v>9377</v>
      </c>
    </row>
    <row r="283" spans="1:1" x14ac:dyDescent="0.25">
      <c r="A283" s="16" t="s">
        <v>9189</v>
      </c>
    </row>
    <row r="284" spans="1:1" x14ac:dyDescent="0.25">
      <c r="A284" s="15" t="s">
        <v>9378</v>
      </c>
    </row>
    <row r="285" spans="1:1" x14ac:dyDescent="0.25">
      <c r="A285" s="16" t="s">
        <v>9335</v>
      </c>
    </row>
    <row r="286" spans="1:1" x14ac:dyDescent="0.25">
      <c r="A286" s="15" t="s">
        <v>9379</v>
      </c>
    </row>
    <row r="287" spans="1:1" x14ac:dyDescent="0.25">
      <c r="A287" s="16" t="s">
        <v>9345</v>
      </c>
    </row>
    <row r="288" spans="1:1" x14ac:dyDescent="0.25">
      <c r="A288" s="15" t="s">
        <v>9380</v>
      </c>
    </row>
    <row r="289" spans="1:1" x14ac:dyDescent="0.25">
      <c r="A289" s="16" t="s">
        <v>8967</v>
      </c>
    </row>
    <row r="290" spans="1:1" x14ac:dyDescent="0.25">
      <c r="A290" s="15" t="s">
        <v>9381</v>
      </c>
    </row>
    <row r="291" spans="1:1" x14ac:dyDescent="0.25">
      <c r="A291" s="16" t="s">
        <v>9382</v>
      </c>
    </row>
    <row r="292" spans="1:1" x14ac:dyDescent="0.25">
      <c r="A292" s="15" t="s">
        <v>9383</v>
      </c>
    </row>
    <row r="293" spans="1:1" x14ac:dyDescent="0.25">
      <c r="A293" s="16" t="s">
        <v>9384</v>
      </c>
    </row>
    <row r="294" spans="1:1" x14ac:dyDescent="0.25">
      <c r="A294" s="15" t="s">
        <v>9385</v>
      </c>
    </row>
    <row r="295" spans="1:1" x14ac:dyDescent="0.25">
      <c r="A295" s="16" t="s">
        <v>9386</v>
      </c>
    </row>
    <row r="296" spans="1:1" x14ac:dyDescent="0.25">
      <c r="A296" s="15" t="s">
        <v>9387</v>
      </c>
    </row>
    <row r="297" spans="1:1" x14ac:dyDescent="0.25">
      <c r="A297" s="16" t="s">
        <v>13095</v>
      </c>
    </row>
    <row r="298" spans="1:1" x14ac:dyDescent="0.25">
      <c r="A298" s="15" t="s">
        <v>9388</v>
      </c>
    </row>
    <row r="299" spans="1:1" x14ac:dyDescent="0.25">
      <c r="A299" s="16" t="s">
        <v>9389</v>
      </c>
    </row>
    <row r="300" spans="1:1" x14ac:dyDescent="0.25">
      <c r="A300" s="15" t="s">
        <v>9390</v>
      </c>
    </row>
    <row r="301" spans="1:1" x14ac:dyDescent="0.25">
      <c r="A301" s="16" t="s">
        <v>9343</v>
      </c>
    </row>
    <row r="302" spans="1:1" x14ac:dyDescent="0.25">
      <c r="A302" s="15" t="s">
        <v>9391</v>
      </c>
    </row>
    <row r="303" spans="1:1" x14ac:dyDescent="0.25">
      <c r="A303" s="16" t="s">
        <v>9155</v>
      </c>
    </row>
    <row r="304" spans="1:1" x14ac:dyDescent="0.25">
      <c r="A304" s="15" t="s">
        <v>9392</v>
      </c>
    </row>
    <row r="305" spans="1:1" x14ac:dyDescent="0.25">
      <c r="A305" s="16" t="s">
        <v>9393</v>
      </c>
    </row>
    <row r="306" spans="1:1" x14ac:dyDescent="0.25">
      <c r="A306" s="15" t="s">
        <v>9394</v>
      </c>
    </row>
    <row r="307" spans="1:1" x14ac:dyDescent="0.25">
      <c r="A307" s="16" t="s">
        <v>9395</v>
      </c>
    </row>
    <row r="308" spans="1:1" x14ac:dyDescent="0.25">
      <c r="A308" s="15" t="s">
        <v>9396</v>
      </c>
    </row>
    <row r="309" spans="1:1" x14ac:dyDescent="0.25">
      <c r="A309" s="16" t="s">
        <v>1313</v>
      </c>
    </row>
    <row r="310" spans="1:1" x14ac:dyDescent="0.25">
      <c r="A310" s="15" t="s">
        <v>9397</v>
      </c>
    </row>
    <row r="311" spans="1:1" x14ac:dyDescent="0.25">
      <c r="A311" s="16" t="s">
        <v>9398</v>
      </c>
    </row>
    <row r="312" spans="1:1" x14ac:dyDescent="0.25">
      <c r="A312" s="15" t="s">
        <v>9399</v>
      </c>
    </row>
    <row r="313" spans="1:1" x14ac:dyDescent="0.25">
      <c r="A313" s="16" t="s">
        <v>9400</v>
      </c>
    </row>
    <row r="314" spans="1:1" x14ac:dyDescent="0.25">
      <c r="A314" s="15" t="s">
        <v>9401</v>
      </c>
    </row>
    <row r="315" spans="1:1" x14ac:dyDescent="0.25">
      <c r="A315" s="16" t="s">
        <v>9402</v>
      </c>
    </row>
    <row r="316" spans="1:1" x14ac:dyDescent="0.25">
      <c r="A316" s="15" t="s">
        <v>9403</v>
      </c>
    </row>
    <row r="317" spans="1:1" x14ac:dyDescent="0.25">
      <c r="A317" s="16" t="s">
        <v>9404</v>
      </c>
    </row>
    <row r="318" spans="1:1" x14ac:dyDescent="0.25">
      <c r="A318" s="15" t="s">
        <v>9405</v>
      </c>
    </row>
    <row r="319" spans="1:1" x14ac:dyDescent="0.25">
      <c r="A319" s="16" t="s">
        <v>9406</v>
      </c>
    </row>
    <row r="320" spans="1:1" x14ac:dyDescent="0.25">
      <c r="A320" s="15" t="s">
        <v>9407</v>
      </c>
    </row>
    <row r="321" spans="1:1" x14ac:dyDescent="0.25">
      <c r="A321" s="16" t="s">
        <v>9112</v>
      </c>
    </row>
    <row r="322" spans="1:1" x14ac:dyDescent="0.25">
      <c r="A322" s="15" t="s">
        <v>9408</v>
      </c>
    </row>
    <row r="323" spans="1:1" x14ac:dyDescent="0.25">
      <c r="A323" s="16" t="s">
        <v>9409</v>
      </c>
    </row>
    <row r="324" spans="1:1" x14ac:dyDescent="0.25">
      <c r="A324" s="15" t="s">
        <v>9410</v>
      </c>
    </row>
    <row r="325" spans="1:1" x14ac:dyDescent="0.25">
      <c r="A325" s="16" t="s">
        <v>2762</v>
      </c>
    </row>
    <row r="326" spans="1:1" x14ac:dyDescent="0.25">
      <c r="A326" s="15" t="s">
        <v>9412</v>
      </c>
    </row>
    <row r="327" spans="1:1" x14ac:dyDescent="0.25">
      <c r="A327" s="16" t="s">
        <v>9413</v>
      </c>
    </row>
    <row r="328" spans="1:1" x14ac:dyDescent="0.25">
      <c r="A328" s="15" t="s">
        <v>9411</v>
      </c>
    </row>
    <row r="329" spans="1:1" x14ac:dyDescent="0.25">
      <c r="A329" s="16" t="s">
        <v>9189</v>
      </c>
    </row>
    <row r="330" spans="1:1" x14ac:dyDescent="0.25">
      <c r="A330" s="15" t="s">
        <v>9414</v>
      </c>
    </row>
    <row r="331" spans="1:1" x14ac:dyDescent="0.25">
      <c r="A331" s="16" t="s">
        <v>8903</v>
      </c>
    </row>
    <row r="332" spans="1:1" x14ac:dyDescent="0.25">
      <c r="A332" s="15" t="s">
        <v>9415</v>
      </c>
    </row>
    <row r="333" spans="1:1" x14ac:dyDescent="0.25">
      <c r="A333" s="16" t="s">
        <v>2172</v>
      </c>
    </row>
    <row r="334" spans="1:1" x14ac:dyDescent="0.25">
      <c r="A334" s="15" t="s">
        <v>9416</v>
      </c>
    </row>
    <row r="335" spans="1:1" x14ac:dyDescent="0.25">
      <c r="A335" s="16" t="s">
        <v>8852</v>
      </c>
    </row>
    <row r="336" spans="1:1" x14ac:dyDescent="0.25">
      <c r="A336" s="15" t="s">
        <v>9417</v>
      </c>
    </row>
    <row r="337" spans="1:1" x14ac:dyDescent="0.25">
      <c r="A337" s="16" t="s">
        <v>9418</v>
      </c>
    </row>
    <row r="338" spans="1:1" x14ac:dyDescent="0.25">
      <c r="A338" s="15" t="s">
        <v>9419</v>
      </c>
    </row>
    <row r="339" spans="1:1" x14ac:dyDescent="0.25">
      <c r="A339" s="16" t="s">
        <v>9420</v>
      </c>
    </row>
    <row r="340" spans="1:1" x14ac:dyDescent="0.25">
      <c r="A340" s="15" t="s">
        <v>9421</v>
      </c>
    </row>
    <row r="341" spans="1:1" x14ac:dyDescent="0.25">
      <c r="A341" s="16" t="s">
        <v>13095</v>
      </c>
    </row>
    <row r="342" spans="1:1" x14ac:dyDescent="0.25">
      <c r="A342" s="15" t="s">
        <v>9422</v>
      </c>
    </row>
    <row r="343" spans="1:1" x14ac:dyDescent="0.25">
      <c r="A343" s="16" t="s">
        <v>9423</v>
      </c>
    </row>
    <row r="344" spans="1:1" x14ac:dyDescent="0.25">
      <c r="A344" s="15" t="s">
        <v>9424</v>
      </c>
    </row>
    <row r="345" spans="1:1" x14ac:dyDescent="0.25">
      <c r="A345" s="16" t="s">
        <v>9425</v>
      </c>
    </row>
    <row r="346" spans="1:1" x14ac:dyDescent="0.25">
      <c r="A346" s="15" t="s">
        <v>9426</v>
      </c>
    </row>
    <row r="347" spans="1:1" x14ac:dyDescent="0.25">
      <c r="A347" s="16" t="s">
        <v>9343</v>
      </c>
    </row>
    <row r="348" spans="1:1" x14ac:dyDescent="0.25">
      <c r="A348" s="15" t="s">
        <v>9427</v>
      </c>
    </row>
    <row r="349" spans="1:1" x14ac:dyDescent="0.25">
      <c r="A349" s="16" t="s">
        <v>9428</v>
      </c>
    </row>
    <row r="350" spans="1:1" x14ac:dyDescent="0.25">
      <c r="A350" s="15" t="s">
        <v>9429</v>
      </c>
    </row>
    <row r="351" spans="1:1" x14ac:dyDescent="0.25">
      <c r="A351" s="16" t="s">
        <v>9189</v>
      </c>
    </row>
    <row r="352" spans="1:1" x14ac:dyDescent="0.25">
      <c r="A352" s="15" t="s">
        <v>9430</v>
      </c>
    </row>
    <row r="353" spans="1:1" x14ac:dyDescent="0.25">
      <c r="A353" s="16" t="s">
        <v>9431</v>
      </c>
    </row>
    <row r="354" spans="1:1" x14ac:dyDescent="0.25">
      <c r="A354" s="15" t="s">
        <v>9432</v>
      </c>
    </row>
    <row r="355" spans="1:1" x14ac:dyDescent="0.25">
      <c r="A355" s="16" t="s">
        <v>9409</v>
      </c>
    </row>
    <row r="356" spans="1:1" x14ac:dyDescent="0.25">
      <c r="A356" s="15" t="s">
        <v>9433</v>
      </c>
    </row>
    <row r="357" spans="1:1" x14ac:dyDescent="0.25">
      <c r="A357" s="16" t="s">
        <v>9189</v>
      </c>
    </row>
    <row r="358" spans="1:1" x14ac:dyDescent="0.25">
      <c r="A358" s="15" t="s">
        <v>9434</v>
      </c>
    </row>
    <row r="359" spans="1:1" x14ac:dyDescent="0.25">
      <c r="A359" s="16" t="s">
        <v>9435</v>
      </c>
    </row>
    <row r="360" spans="1:1" x14ac:dyDescent="0.25">
      <c r="A360" s="15" t="s">
        <v>9436</v>
      </c>
    </row>
    <row r="361" spans="1:1" x14ac:dyDescent="0.25">
      <c r="A361" s="16" t="s">
        <v>272</v>
      </c>
    </row>
    <row r="362" spans="1:1" x14ac:dyDescent="0.25">
      <c r="A362" s="15" t="s">
        <v>9437</v>
      </c>
    </row>
    <row r="363" spans="1:1" x14ac:dyDescent="0.25">
      <c r="A363" s="16" t="s">
        <v>9438</v>
      </c>
    </row>
    <row r="364" spans="1:1" x14ac:dyDescent="0.25">
      <c r="A364" s="15" t="s">
        <v>9439</v>
      </c>
    </row>
    <row r="365" spans="1:1" x14ac:dyDescent="0.25">
      <c r="A365" s="16" t="s">
        <v>9435</v>
      </c>
    </row>
    <row r="366" spans="1:1" x14ac:dyDescent="0.25">
      <c r="A366" s="15" t="s">
        <v>9440</v>
      </c>
    </row>
    <row r="367" spans="1:1" x14ac:dyDescent="0.25">
      <c r="A367" s="16" t="s">
        <v>9189</v>
      </c>
    </row>
    <row r="368" spans="1:1" x14ac:dyDescent="0.25">
      <c r="A368" s="15" t="s">
        <v>9441</v>
      </c>
    </row>
    <row r="369" spans="1:1" x14ac:dyDescent="0.25">
      <c r="A369" s="16" t="s">
        <v>8852</v>
      </c>
    </row>
    <row r="370" spans="1:1" x14ac:dyDescent="0.25">
      <c r="A370" s="15" t="s">
        <v>9442</v>
      </c>
    </row>
    <row r="371" spans="1:1" x14ac:dyDescent="0.25">
      <c r="A371" s="16" t="s">
        <v>9443</v>
      </c>
    </row>
    <row r="372" spans="1:1" x14ac:dyDescent="0.25">
      <c r="A372" s="15" t="s">
        <v>9444</v>
      </c>
    </row>
    <row r="373" spans="1:1" x14ac:dyDescent="0.25">
      <c r="A373" s="16" t="s">
        <v>1313</v>
      </c>
    </row>
    <row r="374" spans="1:1" x14ac:dyDescent="0.25">
      <c r="A374" s="15" t="s">
        <v>9445</v>
      </c>
    </row>
    <row r="375" spans="1:1" x14ac:dyDescent="0.25">
      <c r="A375" s="16" t="s">
        <v>9428</v>
      </c>
    </row>
    <row r="376" spans="1:1" x14ac:dyDescent="0.25">
      <c r="A376" s="15" t="s">
        <v>9446</v>
      </c>
    </row>
    <row r="377" spans="1:1" x14ac:dyDescent="0.25">
      <c r="A377" s="16" t="s">
        <v>9447</v>
      </c>
    </row>
    <row r="378" spans="1:1" x14ac:dyDescent="0.25">
      <c r="A378" s="15" t="s">
        <v>9448</v>
      </c>
    </row>
    <row r="379" spans="1:1" x14ac:dyDescent="0.25">
      <c r="A379" s="16" t="s">
        <v>9449</v>
      </c>
    </row>
    <row r="380" spans="1:1" x14ac:dyDescent="0.25">
      <c r="A380" s="15" t="s">
        <v>9450</v>
      </c>
    </row>
    <row r="381" spans="1:1" x14ac:dyDescent="0.25">
      <c r="A381" s="16" t="s">
        <v>9451</v>
      </c>
    </row>
    <row r="382" spans="1:1" x14ac:dyDescent="0.25">
      <c r="A382" s="15" t="s">
        <v>9452</v>
      </c>
    </row>
    <row r="383" spans="1:1" x14ac:dyDescent="0.25">
      <c r="A383" s="16" t="s">
        <v>8852</v>
      </c>
    </row>
    <row r="384" spans="1:1" x14ac:dyDescent="0.25">
      <c r="A384" s="15" t="s">
        <v>9453</v>
      </c>
    </row>
    <row r="385" spans="1:1" x14ac:dyDescent="0.25">
      <c r="A385" s="16" t="s">
        <v>9454</v>
      </c>
    </row>
    <row r="386" spans="1:1" x14ac:dyDescent="0.25">
      <c r="A386" s="15" t="s">
        <v>9455</v>
      </c>
    </row>
    <row r="387" spans="1:1" x14ac:dyDescent="0.25">
      <c r="A387" s="16" t="s">
        <v>2172</v>
      </c>
    </row>
    <row r="388" spans="1:1" x14ac:dyDescent="0.25">
      <c r="A388" s="15" t="s">
        <v>9456</v>
      </c>
    </row>
    <row r="389" spans="1:1" x14ac:dyDescent="0.25">
      <c r="A389" s="16" t="s">
        <v>13095</v>
      </c>
    </row>
    <row r="390" spans="1:1" x14ac:dyDescent="0.25">
      <c r="A390" s="15" t="s">
        <v>9457</v>
      </c>
    </row>
    <row r="391" spans="1:1" x14ac:dyDescent="0.25">
      <c r="A391" s="16" t="s">
        <v>9458</v>
      </c>
    </row>
    <row r="392" spans="1:1" x14ac:dyDescent="0.25">
      <c r="A392" s="15" t="s">
        <v>9459</v>
      </c>
    </row>
    <row r="393" spans="1:1" x14ac:dyDescent="0.25">
      <c r="A393" s="16" t="s">
        <v>9460</v>
      </c>
    </row>
    <row r="394" spans="1:1" x14ac:dyDescent="0.25">
      <c r="A394" s="15" t="s">
        <v>9465</v>
      </c>
    </row>
    <row r="395" spans="1:1" x14ac:dyDescent="0.25">
      <c r="A395" s="16" t="s">
        <v>9466</v>
      </c>
    </row>
    <row r="396" spans="1:1" x14ac:dyDescent="0.25">
      <c r="A396" s="15" t="s">
        <v>9461</v>
      </c>
    </row>
    <row r="397" spans="1:1" x14ac:dyDescent="0.25">
      <c r="A397" s="16" t="s">
        <v>9462</v>
      </c>
    </row>
    <row r="398" spans="1:1" x14ac:dyDescent="0.25">
      <c r="A398" s="15" t="s">
        <v>9463</v>
      </c>
    </row>
    <row r="399" spans="1:1" x14ac:dyDescent="0.25">
      <c r="A399" s="16" t="s">
        <v>9464</v>
      </c>
    </row>
    <row r="400" spans="1:1" x14ac:dyDescent="0.25">
      <c r="A400" s="15" t="s">
        <v>9467</v>
      </c>
    </row>
    <row r="401" spans="1:1" x14ac:dyDescent="0.25">
      <c r="A401" s="16" t="s">
        <v>13095</v>
      </c>
    </row>
    <row r="402" spans="1:1" x14ac:dyDescent="0.25">
      <c r="A402" s="15" t="s">
        <v>9468</v>
      </c>
    </row>
    <row r="403" spans="1:1" x14ac:dyDescent="0.25">
      <c r="A403" s="16" t="s">
        <v>9382</v>
      </c>
    </row>
    <row r="404" spans="1:1" x14ac:dyDescent="0.25">
      <c r="A404" s="15" t="s">
        <v>9469</v>
      </c>
    </row>
    <row r="405" spans="1:1" x14ac:dyDescent="0.25">
      <c r="A405" s="16" t="s">
        <v>9470</v>
      </c>
    </row>
    <row r="406" spans="1:1" x14ac:dyDescent="0.25">
      <c r="A406" s="15" t="s">
        <v>9471</v>
      </c>
    </row>
    <row r="407" spans="1:1" x14ac:dyDescent="0.25">
      <c r="A407" s="16" t="s">
        <v>8852</v>
      </c>
    </row>
    <row r="408" spans="1:1" x14ac:dyDescent="0.25">
      <c r="A408" s="15" t="s">
        <v>9472</v>
      </c>
    </row>
    <row r="409" spans="1:1" x14ac:dyDescent="0.25">
      <c r="A409" s="16" t="s">
        <v>9473</v>
      </c>
    </row>
    <row r="410" spans="1:1" x14ac:dyDescent="0.25">
      <c r="A410" s="15" t="s">
        <v>9474</v>
      </c>
    </row>
    <row r="411" spans="1:1" x14ac:dyDescent="0.25">
      <c r="A411" s="16" t="s">
        <v>9475</v>
      </c>
    </row>
    <row r="412" spans="1:1" x14ac:dyDescent="0.25">
      <c r="A412" s="15" t="s">
        <v>9476</v>
      </c>
    </row>
    <row r="413" spans="1:1" x14ac:dyDescent="0.25">
      <c r="A413" s="16" t="s">
        <v>9112</v>
      </c>
    </row>
    <row r="414" spans="1:1" x14ac:dyDescent="0.25">
      <c r="A414" s="15" t="s">
        <v>9477</v>
      </c>
    </row>
    <row r="415" spans="1:1" x14ac:dyDescent="0.25">
      <c r="A415" s="16" t="s">
        <v>9478</v>
      </c>
    </row>
    <row r="416" spans="1:1" x14ac:dyDescent="0.25">
      <c r="A416" s="15" t="s">
        <v>9479</v>
      </c>
    </row>
    <row r="417" spans="1:1" x14ac:dyDescent="0.25">
      <c r="A417" s="16" t="s">
        <v>9480</v>
      </c>
    </row>
    <row r="418" spans="1:1" x14ac:dyDescent="0.25">
      <c r="A418" s="15" t="s">
        <v>9481</v>
      </c>
    </row>
    <row r="419" spans="1:1" x14ac:dyDescent="0.25">
      <c r="A419" s="16" t="s">
        <v>9482</v>
      </c>
    </row>
    <row r="420" spans="1:1" x14ac:dyDescent="0.25">
      <c r="A420" s="15" t="s">
        <v>9483</v>
      </c>
    </row>
    <row r="421" spans="1:1" x14ac:dyDescent="0.25">
      <c r="A421" s="16" t="s">
        <v>9484</v>
      </c>
    </row>
    <row r="422" spans="1:1" x14ac:dyDescent="0.25">
      <c r="A422" s="15" t="s">
        <v>9486</v>
      </c>
    </row>
    <row r="423" spans="1:1" x14ac:dyDescent="0.25">
      <c r="A423" s="16" t="s">
        <v>9475</v>
      </c>
    </row>
    <row r="424" spans="1:1" x14ac:dyDescent="0.25">
      <c r="A424" s="15" t="s">
        <v>9485</v>
      </c>
    </row>
    <row r="425" spans="1:1" x14ac:dyDescent="0.25">
      <c r="A425" s="16" t="s">
        <v>9266</v>
      </c>
    </row>
    <row r="426" spans="1:1" x14ac:dyDescent="0.25">
      <c r="A426" s="15" t="s">
        <v>9487</v>
      </c>
    </row>
    <row r="427" spans="1:1" x14ac:dyDescent="0.25">
      <c r="A427" s="16" t="s">
        <v>2793</v>
      </c>
    </row>
    <row r="428" spans="1:1" x14ac:dyDescent="0.25">
      <c r="A428" s="15" t="s">
        <v>9488</v>
      </c>
    </row>
    <row r="429" spans="1:1" x14ac:dyDescent="0.25">
      <c r="A429" s="16" t="s">
        <v>9438</v>
      </c>
    </row>
    <row r="430" spans="1:1" x14ac:dyDescent="0.25">
      <c r="A430" s="15" t="s">
        <v>9489</v>
      </c>
    </row>
    <row r="431" spans="1:1" x14ac:dyDescent="0.25">
      <c r="A431" s="16" t="s">
        <v>9475</v>
      </c>
    </row>
    <row r="432" spans="1:1" x14ac:dyDescent="0.25">
      <c r="A432" s="15" t="s">
        <v>9490</v>
      </c>
    </row>
    <row r="433" spans="1:1" x14ac:dyDescent="0.25">
      <c r="A433" s="16" t="s">
        <v>9386</v>
      </c>
    </row>
    <row r="434" spans="1:1" x14ac:dyDescent="0.25">
      <c r="A434" s="15" t="s">
        <v>9491</v>
      </c>
    </row>
    <row r="435" spans="1:1" x14ac:dyDescent="0.25">
      <c r="A435" s="16" t="s">
        <v>9492</v>
      </c>
    </row>
    <row r="436" spans="1:1" x14ac:dyDescent="0.25">
      <c r="A436" s="15" t="s">
        <v>9493</v>
      </c>
    </row>
    <row r="437" spans="1:1" x14ac:dyDescent="0.25">
      <c r="A437" s="16" t="s">
        <v>8903</v>
      </c>
    </row>
    <row r="438" spans="1:1" x14ac:dyDescent="0.25">
      <c r="A438" s="15" t="s">
        <v>9494</v>
      </c>
    </row>
    <row r="439" spans="1:1" x14ac:dyDescent="0.25">
      <c r="A439" s="16" t="s">
        <v>9495</v>
      </c>
    </row>
    <row r="440" spans="1:1" x14ac:dyDescent="0.25">
      <c r="A440" s="15" t="s">
        <v>9496</v>
      </c>
    </row>
    <row r="441" spans="1:1" x14ac:dyDescent="0.25">
      <c r="A441" s="16" t="s">
        <v>9497</v>
      </c>
    </row>
    <row r="442" spans="1:1" x14ac:dyDescent="0.25">
      <c r="A442" s="15" t="s">
        <v>9498</v>
      </c>
    </row>
    <row r="443" spans="1:1" x14ac:dyDescent="0.25">
      <c r="A443" s="16" t="s">
        <v>8852</v>
      </c>
    </row>
    <row r="444" spans="1:1" x14ac:dyDescent="0.25">
      <c r="A444" s="15" t="s">
        <v>9499</v>
      </c>
    </row>
    <row r="445" spans="1:1" x14ac:dyDescent="0.25">
      <c r="A445" s="16" t="s">
        <v>9438</v>
      </c>
    </row>
    <row r="446" spans="1:1" x14ac:dyDescent="0.25">
      <c r="A446" s="15" t="s">
        <v>9504</v>
      </c>
    </row>
    <row r="447" spans="1:1" x14ac:dyDescent="0.25">
      <c r="A447" s="16" t="s">
        <v>8852</v>
      </c>
    </row>
    <row r="448" spans="1:1" x14ac:dyDescent="0.25">
      <c r="A448" s="15" t="s">
        <v>9507</v>
      </c>
    </row>
    <row r="449" spans="1:1" x14ac:dyDescent="0.25">
      <c r="A449" s="16" t="s">
        <v>2793</v>
      </c>
    </row>
    <row r="450" spans="1:1" x14ac:dyDescent="0.25">
      <c r="A450" s="15" t="s">
        <v>9505</v>
      </c>
    </row>
    <row r="451" spans="1:1" x14ac:dyDescent="0.25">
      <c r="A451" s="16" t="s">
        <v>9506</v>
      </c>
    </row>
    <row r="452" spans="1:1" x14ac:dyDescent="0.25">
      <c r="A452" s="15" t="s">
        <v>9509</v>
      </c>
    </row>
    <row r="453" spans="1:1" x14ac:dyDescent="0.25">
      <c r="A453" s="16" t="s">
        <v>8852</v>
      </c>
    </row>
    <row r="454" spans="1:1" x14ac:dyDescent="0.25">
      <c r="A454" s="15" t="s">
        <v>9510</v>
      </c>
    </row>
    <row r="455" spans="1:1" x14ac:dyDescent="0.25">
      <c r="A455" s="16" t="s">
        <v>8852</v>
      </c>
    </row>
    <row r="456" spans="1:1" x14ac:dyDescent="0.25">
      <c r="A456" s="15" t="s">
        <v>9513</v>
      </c>
    </row>
    <row r="457" spans="1:1" x14ac:dyDescent="0.25">
      <c r="A457" s="16" t="s">
        <v>9438</v>
      </c>
    </row>
    <row r="458" spans="1:1" x14ac:dyDescent="0.25">
      <c r="A458" s="15" t="s">
        <v>9516</v>
      </c>
    </row>
    <row r="459" spans="1:1" x14ac:dyDescent="0.25">
      <c r="A459" s="16" t="s">
        <v>9517</v>
      </c>
    </row>
    <row r="460" spans="1:1" x14ac:dyDescent="0.25">
      <c r="A460" s="15" t="s">
        <v>9518</v>
      </c>
    </row>
    <row r="461" spans="1:1" x14ac:dyDescent="0.25">
      <c r="A461" s="16" t="s">
        <v>9519</v>
      </c>
    </row>
    <row r="462" spans="1:1" x14ac:dyDescent="0.25">
      <c r="A462" s="15" t="s">
        <v>9521</v>
      </c>
    </row>
    <row r="463" spans="1:1" x14ac:dyDescent="0.25">
      <c r="A463" s="16" t="s">
        <v>9297</v>
      </c>
    </row>
    <row r="464" spans="1:1" x14ac:dyDescent="0.25">
      <c r="A464" s="15" t="s">
        <v>9523</v>
      </c>
    </row>
    <row r="465" spans="1:1" x14ac:dyDescent="0.25">
      <c r="A465" s="16" t="s">
        <v>9524</v>
      </c>
    </row>
    <row r="466" spans="1:1" x14ac:dyDescent="0.25">
      <c r="A466" s="15" t="s">
        <v>9529</v>
      </c>
    </row>
    <row r="467" spans="1:1" x14ac:dyDescent="0.25">
      <c r="A467" s="16" t="s">
        <v>9530</v>
      </c>
    </row>
    <row r="468" spans="1:1" x14ac:dyDescent="0.25">
      <c r="A468" s="15" t="s">
        <v>9525</v>
      </c>
    </row>
    <row r="469" spans="1:1" x14ac:dyDescent="0.25">
      <c r="A469" s="16" t="s">
        <v>9526</v>
      </c>
    </row>
    <row r="470" spans="1:1" x14ac:dyDescent="0.25">
      <c r="A470" s="15" t="s">
        <v>9527</v>
      </c>
    </row>
    <row r="471" spans="1:1" x14ac:dyDescent="0.25">
      <c r="A471" s="16" t="s">
        <v>9528</v>
      </c>
    </row>
    <row r="472" spans="1:1" x14ac:dyDescent="0.25">
      <c r="A472" s="15" t="s">
        <v>9544</v>
      </c>
    </row>
    <row r="473" spans="1:1" x14ac:dyDescent="0.25">
      <c r="A473" s="16" t="s">
        <v>9545</v>
      </c>
    </row>
    <row r="474" spans="1:1" x14ac:dyDescent="0.25">
      <c r="A474" s="15" t="s">
        <v>9584</v>
      </c>
    </row>
    <row r="475" spans="1:1" x14ac:dyDescent="0.25">
      <c r="A475" s="16" t="s">
        <v>9159</v>
      </c>
    </row>
    <row r="476" spans="1:1" x14ac:dyDescent="0.25">
      <c r="A476" s="15" t="s">
        <v>9542</v>
      </c>
    </row>
    <row r="477" spans="1:1" x14ac:dyDescent="0.25">
      <c r="A477" s="16" t="s">
        <v>9543</v>
      </c>
    </row>
    <row r="478" spans="1:1" x14ac:dyDescent="0.25">
      <c r="A478" s="15" t="s">
        <v>9558</v>
      </c>
    </row>
    <row r="479" spans="1:1" x14ac:dyDescent="0.25">
      <c r="A479" s="16" t="s">
        <v>9559</v>
      </c>
    </row>
    <row r="480" spans="1:1" x14ac:dyDescent="0.25">
      <c r="A480" s="15" t="s">
        <v>9581</v>
      </c>
    </row>
    <row r="481" spans="1:1" x14ac:dyDescent="0.25">
      <c r="A481" s="20">
        <v>46116</v>
      </c>
    </row>
    <row r="482" spans="1:1" x14ac:dyDescent="0.25">
      <c r="A482" s="15" t="s">
        <v>9585</v>
      </c>
    </row>
    <row r="483" spans="1:1" x14ac:dyDescent="0.25">
      <c r="A483" s="16" t="s">
        <v>9586</v>
      </c>
    </row>
    <row r="484" spans="1:1" x14ac:dyDescent="0.25">
      <c r="A484" s="15" t="s">
        <v>9599</v>
      </c>
    </row>
    <row r="485" spans="1:1" x14ac:dyDescent="0.25">
      <c r="A485" s="16" t="s">
        <v>9337</v>
      </c>
    </row>
    <row r="486" spans="1:1" x14ac:dyDescent="0.25">
      <c r="A486" s="15" t="s">
        <v>9588</v>
      </c>
    </row>
    <row r="487" spans="1:1" x14ac:dyDescent="0.25">
      <c r="A487" s="16" t="s">
        <v>9386</v>
      </c>
    </row>
    <row r="488" spans="1:1" x14ac:dyDescent="0.25">
      <c r="A488" s="15" t="s">
        <v>9589</v>
      </c>
    </row>
    <row r="489" spans="1:1" x14ac:dyDescent="0.25">
      <c r="A489" s="16" t="s">
        <v>9590</v>
      </c>
    </row>
    <row r="490" spans="1:1" x14ac:dyDescent="0.25">
      <c r="A490" s="15" t="s">
        <v>9600</v>
      </c>
    </row>
    <row r="491" spans="1:1" x14ac:dyDescent="0.25">
      <c r="A491" s="16" t="s">
        <v>9562</v>
      </c>
    </row>
    <row r="492" spans="1:1" x14ac:dyDescent="0.25">
      <c r="A492" s="15" t="s">
        <v>9603</v>
      </c>
    </row>
    <row r="493" spans="1:1" x14ac:dyDescent="0.25">
      <c r="A493" s="16" t="s">
        <v>9604</v>
      </c>
    </row>
    <row r="494" spans="1:1" x14ac:dyDescent="0.25">
      <c r="A494" s="15" t="s">
        <v>9606</v>
      </c>
    </row>
    <row r="495" spans="1:1" x14ac:dyDescent="0.25">
      <c r="A495" s="16" t="s">
        <v>9607</v>
      </c>
    </row>
    <row r="496" spans="1:1" x14ac:dyDescent="0.25">
      <c r="A496" s="15" t="s">
        <v>9609</v>
      </c>
    </row>
    <row r="497" spans="1:1" x14ac:dyDescent="0.25">
      <c r="A497" s="16" t="s">
        <v>9562</v>
      </c>
    </row>
    <row r="498" spans="1:1" x14ac:dyDescent="0.25">
      <c r="A498" s="15" t="s">
        <v>9614</v>
      </c>
    </row>
    <row r="499" spans="1:1" x14ac:dyDescent="0.25">
      <c r="A499" s="16" t="s">
        <v>9615</v>
      </c>
    </row>
    <row r="500" spans="1:1" x14ac:dyDescent="0.25">
      <c r="A500" s="15" t="s">
        <v>9612</v>
      </c>
    </row>
    <row r="501" spans="1:1" x14ac:dyDescent="0.25">
      <c r="A501" s="16" t="s">
        <v>9613</v>
      </c>
    </row>
    <row r="502" spans="1:1" x14ac:dyDescent="0.25">
      <c r="A502" s="15" t="s">
        <v>13095</v>
      </c>
    </row>
    <row r="503" spans="1:1" x14ac:dyDescent="0.25">
      <c r="A503" s="16" t="s">
        <v>13095</v>
      </c>
    </row>
    <row r="504" spans="1:1" x14ac:dyDescent="0.25">
      <c r="A504" s="15" t="s">
        <v>13096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4A673-6ED1-40ED-ABCC-C851DCA7BD8B}">
  <dimension ref="A1:I250"/>
  <sheetViews>
    <sheetView workbookViewId="0">
      <selection sqref="A1:XFD1048576"/>
    </sheetView>
  </sheetViews>
  <sheetFormatPr baseColWidth="10" defaultRowHeight="15" x14ac:dyDescent="0.25"/>
  <cols>
    <col min="1" max="1" width="17.5703125" bestFit="1" customWidth="1"/>
    <col min="2" max="2" width="4.42578125" bestFit="1" customWidth="1"/>
    <col min="3" max="3" width="7.42578125" bestFit="1" customWidth="1"/>
    <col min="4" max="4" width="10.5703125" bestFit="1" customWidth="1"/>
    <col min="5" max="5" width="19.28515625" bestFit="1" customWidth="1"/>
    <col min="6" max="6" width="10.7109375" bestFit="1" customWidth="1"/>
    <col min="7" max="7" width="13.7109375" bestFit="1" customWidth="1"/>
    <col min="8" max="8" width="32.85546875" bestFit="1" customWidth="1"/>
    <col min="9" max="9" width="12" bestFit="1" customWidth="1"/>
  </cols>
  <sheetData>
    <row r="1" spans="1:9" x14ac:dyDescent="0.25">
      <c r="A1" t="s">
        <v>3324</v>
      </c>
      <c r="B1" t="s">
        <v>8854</v>
      </c>
      <c r="C1" t="s">
        <v>8855</v>
      </c>
      <c r="D1" t="s">
        <v>8856</v>
      </c>
      <c r="E1" t="s">
        <v>8857</v>
      </c>
      <c r="F1" t="s">
        <v>8858</v>
      </c>
      <c r="G1" t="s">
        <v>9162</v>
      </c>
      <c r="H1" t="s">
        <v>9163</v>
      </c>
      <c r="I1" t="s">
        <v>8862</v>
      </c>
    </row>
    <row r="2" spans="1:9" x14ac:dyDescent="0.25">
      <c r="A2" t="s">
        <v>9164</v>
      </c>
      <c r="C2" t="s">
        <v>9165</v>
      </c>
      <c r="D2" t="s">
        <v>9166</v>
      </c>
      <c r="E2" t="s">
        <v>9167</v>
      </c>
      <c r="F2" s="1">
        <v>43851</v>
      </c>
      <c r="G2" t="str">
        <f>"300081"</f>
        <v>300081</v>
      </c>
      <c r="H2" t="s">
        <v>2045</v>
      </c>
      <c r="I2">
        <v>89280</v>
      </c>
    </row>
    <row r="3" spans="1:9" x14ac:dyDescent="0.25">
      <c r="A3" t="s">
        <v>9164</v>
      </c>
      <c r="C3" t="s">
        <v>9165</v>
      </c>
      <c r="D3" t="s">
        <v>9168</v>
      </c>
      <c r="E3" t="s">
        <v>2172</v>
      </c>
      <c r="F3" s="1">
        <v>43945</v>
      </c>
      <c r="G3" t="str">
        <f t="shared" ref="G3:G12" si="0">"300115"</f>
        <v>300115</v>
      </c>
      <c r="H3" t="s">
        <v>2938</v>
      </c>
      <c r="I3">
        <v>38959.153200000001</v>
      </c>
    </row>
    <row r="4" spans="1:9" x14ac:dyDescent="0.25">
      <c r="A4" t="s">
        <v>9164</v>
      </c>
      <c r="C4" t="s">
        <v>9165</v>
      </c>
      <c r="D4" t="s">
        <v>9169</v>
      </c>
      <c r="E4" t="s">
        <v>9170</v>
      </c>
      <c r="F4" s="1">
        <v>43946</v>
      </c>
      <c r="G4" t="str">
        <f t="shared" si="0"/>
        <v>300115</v>
      </c>
      <c r="H4" t="s">
        <v>2938</v>
      </c>
      <c r="I4">
        <v>14941.789500000001</v>
      </c>
    </row>
    <row r="5" spans="1:9" x14ac:dyDescent="0.25">
      <c r="A5" t="s">
        <v>9164</v>
      </c>
      <c r="C5" t="s">
        <v>9165</v>
      </c>
      <c r="D5" t="s">
        <v>9171</v>
      </c>
      <c r="E5" t="s">
        <v>9172</v>
      </c>
      <c r="F5" s="1">
        <v>43956</v>
      </c>
      <c r="G5" t="str">
        <f t="shared" si="0"/>
        <v>300115</v>
      </c>
      <c r="H5" t="s">
        <v>2938</v>
      </c>
      <c r="I5">
        <v>39493.684999999998</v>
      </c>
    </row>
    <row r="6" spans="1:9" x14ac:dyDescent="0.25">
      <c r="A6" t="s">
        <v>9164</v>
      </c>
      <c r="C6" t="s">
        <v>9165</v>
      </c>
      <c r="D6" t="s">
        <v>9173</v>
      </c>
      <c r="E6" t="s">
        <v>9174</v>
      </c>
      <c r="F6" s="1">
        <v>43960</v>
      </c>
      <c r="G6" t="str">
        <f t="shared" si="0"/>
        <v>300115</v>
      </c>
      <c r="H6" t="s">
        <v>2938</v>
      </c>
      <c r="I6">
        <v>27368.871200000001</v>
      </c>
    </row>
    <row r="7" spans="1:9" x14ac:dyDescent="0.25">
      <c r="A7" t="s">
        <v>9164</v>
      </c>
      <c r="C7" t="s">
        <v>9165</v>
      </c>
      <c r="D7" t="s">
        <v>9175</v>
      </c>
      <c r="E7" t="s">
        <v>9176</v>
      </c>
      <c r="F7" s="1">
        <v>43963</v>
      </c>
      <c r="G7" t="str">
        <f t="shared" si="0"/>
        <v>300115</v>
      </c>
      <c r="H7" t="s">
        <v>2938</v>
      </c>
      <c r="I7">
        <v>4752</v>
      </c>
    </row>
    <row r="8" spans="1:9" x14ac:dyDescent="0.25">
      <c r="A8" t="s">
        <v>9164</v>
      </c>
      <c r="C8" t="s">
        <v>9165</v>
      </c>
      <c r="D8" t="s">
        <v>9177</v>
      </c>
      <c r="E8" t="s">
        <v>9178</v>
      </c>
      <c r="F8" s="1">
        <v>43969</v>
      </c>
      <c r="G8" t="str">
        <f t="shared" si="0"/>
        <v>300115</v>
      </c>
      <c r="H8" t="s">
        <v>2938</v>
      </c>
      <c r="I8">
        <v>105655</v>
      </c>
    </row>
    <row r="9" spans="1:9" x14ac:dyDescent="0.25">
      <c r="A9" t="s">
        <v>9164</v>
      </c>
      <c r="C9" t="s">
        <v>9165</v>
      </c>
      <c r="D9" t="s">
        <v>9179</v>
      </c>
      <c r="F9" s="1">
        <v>43969</v>
      </c>
      <c r="G9" t="str">
        <f t="shared" si="0"/>
        <v>300115</v>
      </c>
      <c r="H9" t="s">
        <v>2938</v>
      </c>
      <c r="I9">
        <v>386100</v>
      </c>
    </row>
    <row r="10" spans="1:9" x14ac:dyDescent="0.25">
      <c r="A10" t="s">
        <v>9164</v>
      </c>
      <c r="C10" t="s">
        <v>9165</v>
      </c>
      <c r="D10" t="s">
        <v>9180</v>
      </c>
      <c r="E10" t="s">
        <v>9181</v>
      </c>
      <c r="F10" s="1">
        <v>43972</v>
      </c>
      <c r="G10" t="str">
        <f t="shared" si="0"/>
        <v>300115</v>
      </c>
      <c r="H10" t="s">
        <v>2938</v>
      </c>
      <c r="I10">
        <v>91193.337400000004</v>
      </c>
    </row>
    <row r="11" spans="1:9" x14ac:dyDescent="0.25">
      <c r="A11" t="s">
        <v>9164</v>
      </c>
      <c r="C11" t="s">
        <v>9165</v>
      </c>
      <c r="D11" t="s">
        <v>9182</v>
      </c>
      <c r="E11" t="s">
        <v>9183</v>
      </c>
      <c r="F11" s="1">
        <v>43972</v>
      </c>
      <c r="G11" t="str">
        <f t="shared" si="0"/>
        <v>300115</v>
      </c>
      <c r="H11" t="s">
        <v>2938</v>
      </c>
      <c r="I11">
        <v>158664</v>
      </c>
    </row>
    <row r="12" spans="1:9" x14ac:dyDescent="0.25">
      <c r="A12" t="s">
        <v>9164</v>
      </c>
      <c r="C12" t="s">
        <v>9165</v>
      </c>
      <c r="D12" t="s">
        <v>9184</v>
      </c>
      <c r="E12" s="2">
        <v>46027</v>
      </c>
      <c r="F12" s="1">
        <v>43994</v>
      </c>
      <c r="G12" t="str">
        <f t="shared" si="0"/>
        <v>300115</v>
      </c>
      <c r="H12" t="s">
        <v>2938</v>
      </c>
      <c r="I12">
        <v>85358.592000000004</v>
      </c>
    </row>
    <row r="13" spans="1:9" x14ac:dyDescent="0.25">
      <c r="A13" t="s">
        <v>9164</v>
      </c>
      <c r="C13" t="s">
        <v>9165</v>
      </c>
      <c r="D13" t="s">
        <v>9185</v>
      </c>
      <c r="E13" t="s">
        <v>9186</v>
      </c>
      <c r="F13" s="1">
        <v>44004</v>
      </c>
      <c r="G13" t="str">
        <f>"300302"</f>
        <v>300302</v>
      </c>
      <c r="H13" t="s">
        <v>2690</v>
      </c>
      <c r="I13">
        <v>6300</v>
      </c>
    </row>
    <row r="14" spans="1:9" x14ac:dyDescent="0.25">
      <c r="A14" t="s">
        <v>9164</v>
      </c>
      <c r="C14" t="s">
        <v>9165</v>
      </c>
      <c r="D14" t="s">
        <v>9187</v>
      </c>
      <c r="E14" t="s">
        <v>9172</v>
      </c>
      <c r="F14" s="1">
        <v>44006</v>
      </c>
      <c r="G14" t="str">
        <f t="shared" ref="G14:G21" si="1">"300115"</f>
        <v>300115</v>
      </c>
      <c r="H14" t="s">
        <v>2938</v>
      </c>
      <c r="I14">
        <v>49335.752399999998</v>
      </c>
    </row>
    <row r="15" spans="1:9" x14ac:dyDescent="0.25">
      <c r="A15" t="s">
        <v>9164</v>
      </c>
      <c r="C15" t="s">
        <v>9165</v>
      </c>
      <c r="D15" t="s">
        <v>9188</v>
      </c>
      <c r="E15" t="s">
        <v>9189</v>
      </c>
      <c r="F15" s="1">
        <v>44014</v>
      </c>
      <c r="G15" t="str">
        <f t="shared" si="1"/>
        <v>300115</v>
      </c>
      <c r="H15" t="s">
        <v>2938</v>
      </c>
      <c r="I15">
        <v>405107.40600000002</v>
      </c>
    </row>
    <row r="16" spans="1:9" x14ac:dyDescent="0.25">
      <c r="A16" t="s">
        <v>9164</v>
      </c>
      <c r="C16" t="s">
        <v>9165</v>
      </c>
      <c r="D16" t="s">
        <v>9190</v>
      </c>
      <c r="E16" t="s">
        <v>9191</v>
      </c>
      <c r="F16" s="1">
        <v>44020</v>
      </c>
      <c r="G16" t="str">
        <f t="shared" si="1"/>
        <v>300115</v>
      </c>
      <c r="H16" t="s">
        <v>2938</v>
      </c>
      <c r="I16">
        <v>634800.44099999999</v>
      </c>
    </row>
    <row r="17" spans="1:9" x14ac:dyDescent="0.25">
      <c r="A17" t="s">
        <v>9164</v>
      </c>
      <c r="C17" t="s">
        <v>9165</v>
      </c>
      <c r="D17" t="s">
        <v>9192</v>
      </c>
      <c r="E17" t="s">
        <v>9189</v>
      </c>
      <c r="F17" s="1">
        <v>44035</v>
      </c>
      <c r="G17" t="str">
        <f t="shared" si="1"/>
        <v>300115</v>
      </c>
      <c r="H17" t="s">
        <v>2938</v>
      </c>
      <c r="I17">
        <v>3091330.1275999998</v>
      </c>
    </row>
    <row r="18" spans="1:9" x14ac:dyDescent="0.25">
      <c r="A18" t="s">
        <v>9164</v>
      </c>
      <c r="C18" t="s">
        <v>9165</v>
      </c>
      <c r="D18" t="s">
        <v>9193</v>
      </c>
      <c r="E18" t="s">
        <v>9194</v>
      </c>
      <c r="F18" s="1">
        <v>44036</v>
      </c>
      <c r="G18" t="str">
        <f t="shared" si="1"/>
        <v>300115</v>
      </c>
      <c r="H18" t="s">
        <v>2938</v>
      </c>
      <c r="I18">
        <v>16414.930400000001</v>
      </c>
    </row>
    <row r="19" spans="1:9" x14ac:dyDescent="0.25">
      <c r="A19" t="s">
        <v>9164</v>
      </c>
      <c r="C19" t="s">
        <v>9165</v>
      </c>
      <c r="D19" t="s">
        <v>9195</v>
      </c>
      <c r="E19" t="s">
        <v>9196</v>
      </c>
      <c r="F19" s="1">
        <v>44071</v>
      </c>
      <c r="G19" t="str">
        <f t="shared" si="1"/>
        <v>300115</v>
      </c>
      <c r="H19" t="s">
        <v>2938</v>
      </c>
      <c r="I19">
        <v>74250</v>
      </c>
    </row>
    <row r="20" spans="1:9" x14ac:dyDescent="0.25">
      <c r="A20" t="s">
        <v>9164</v>
      </c>
      <c r="C20" t="s">
        <v>9165</v>
      </c>
      <c r="D20" t="s">
        <v>9197</v>
      </c>
      <c r="E20" t="s">
        <v>9189</v>
      </c>
      <c r="F20" s="1">
        <v>44076</v>
      </c>
      <c r="G20" t="str">
        <f t="shared" si="1"/>
        <v>300115</v>
      </c>
      <c r="H20" t="s">
        <v>2938</v>
      </c>
      <c r="I20">
        <v>17183.832600000002</v>
      </c>
    </row>
    <row r="21" spans="1:9" x14ac:dyDescent="0.25">
      <c r="A21" t="s">
        <v>9164</v>
      </c>
      <c r="C21" t="s">
        <v>9165</v>
      </c>
      <c r="D21" t="s">
        <v>9198</v>
      </c>
      <c r="E21" t="s">
        <v>9199</v>
      </c>
      <c r="F21" s="1">
        <v>44091</v>
      </c>
      <c r="G21" t="str">
        <f t="shared" si="1"/>
        <v>300115</v>
      </c>
      <c r="H21" t="s">
        <v>2938</v>
      </c>
      <c r="I21">
        <v>10175</v>
      </c>
    </row>
    <row r="22" spans="1:9" x14ac:dyDescent="0.25">
      <c r="A22" t="s">
        <v>9164</v>
      </c>
      <c r="C22" t="s">
        <v>9165</v>
      </c>
      <c r="D22" t="s">
        <v>9200</v>
      </c>
      <c r="E22" t="s">
        <v>9201</v>
      </c>
      <c r="F22" s="1">
        <v>44110</v>
      </c>
      <c r="G22" t="str">
        <f>"300081"</f>
        <v>300081</v>
      </c>
      <c r="H22" t="s">
        <v>2045</v>
      </c>
      <c r="I22">
        <v>106750</v>
      </c>
    </row>
    <row r="23" spans="1:9" x14ac:dyDescent="0.25">
      <c r="A23" t="s">
        <v>9164</v>
      </c>
      <c r="C23" t="s">
        <v>9165</v>
      </c>
      <c r="D23" t="s">
        <v>9202</v>
      </c>
      <c r="E23" t="s">
        <v>9191</v>
      </c>
      <c r="F23" s="1">
        <v>44117</v>
      </c>
      <c r="G23" t="str">
        <f>"300115"</f>
        <v>300115</v>
      </c>
      <c r="H23" t="s">
        <v>2938</v>
      </c>
      <c r="I23">
        <v>100208.317</v>
      </c>
    </row>
    <row r="24" spans="1:9" x14ac:dyDescent="0.25">
      <c r="A24" t="s">
        <v>9164</v>
      </c>
      <c r="C24" t="s">
        <v>9165</v>
      </c>
      <c r="D24" t="s">
        <v>9203</v>
      </c>
      <c r="E24" t="s">
        <v>9204</v>
      </c>
      <c r="F24" s="1">
        <v>44117</v>
      </c>
      <c r="G24" t="str">
        <f>"300115"</f>
        <v>300115</v>
      </c>
      <c r="H24" t="s">
        <v>2938</v>
      </c>
      <c r="I24">
        <v>70547.399999999994</v>
      </c>
    </row>
    <row r="25" spans="1:9" x14ac:dyDescent="0.25">
      <c r="A25" t="s">
        <v>9164</v>
      </c>
      <c r="C25" t="s">
        <v>9165</v>
      </c>
      <c r="D25" t="s">
        <v>9205</v>
      </c>
      <c r="E25" t="s">
        <v>2172</v>
      </c>
      <c r="F25" s="1">
        <v>44118</v>
      </c>
      <c r="G25" t="str">
        <f>"300115"</f>
        <v>300115</v>
      </c>
      <c r="H25" t="s">
        <v>2938</v>
      </c>
      <c r="I25">
        <v>1207324.6680000001</v>
      </c>
    </row>
    <row r="26" spans="1:9" x14ac:dyDescent="0.25">
      <c r="A26" t="s">
        <v>9164</v>
      </c>
      <c r="C26" t="s">
        <v>9165</v>
      </c>
      <c r="D26" t="s">
        <v>9206</v>
      </c>
      <c r="E26" t="s">
        <v>9207</v>
      </c>
      <c r="F26" s="1">
        <v>44121</v>
      </c>
      <c r="G26" t="str">
        <f>"300115"</f>
        <v>300115</v>
      </c>
      <c r="H26" t="s">
        <v>2938</v>
      </c>
      <c r="I26">
        <v>2200</v>
      </c>
    </row>
    <row r="27" spans="1:9" x14ac:dyDescent="0.25">
      <c r="A27" t="s">
        <v>9164</v>
      </c>
      <c r="C27" t="s">
        <v>9165</v>
      </c>
      <c r="D27" t="s">
        <v>9208</v>
      </c>
      <c r="E27" t="s">
        <v>9209</v>
      </c>
      <c r="F27" s="1">
        <v>44127</v>
      </c>
      <c r="G27" t="str">
        <f>"300076"</f>
        <v>300076</v>
      </c>
      <c r="H27" t="s">
        <v>2905</v>
      </c>
      <c r="I27">
        <v>3000</v>
      </c>
    </row>
    <row r="28" spans="1:9" x14ac:dyDescent="0.25">
      <c r="A28" t="s">
        <v>9164</v>
      </c>
      <c r="C28" t="s">
        <v>9165</v>
      </c>
      <c r="D28" t="s">
        <v>9210</v>
      </c>
      <c r="E28" t="s">
        <v>9191</v>
      </c>
      <c r="F28" s="1">
        <v>44137</v>
      </c>
      <c r="G28" t="str">
        <f t="shared" ref="G28:G33" si="2">"300115"</f>
        <v>300115</v>
      </c>
      <c r="H28" t="s">
        <v>2938</v>
      </c>
      <c r="I28">
        <v>417704.1</v>
      </c>
    </row>
    <row r="29" spans="1:9" x14ac:dyDescent="0.25">
      <c r="A29" t="s">
        <v>9164</v>
      </c>
      <c r="C29" t="s">
        <v>9165</v>
      </c>
      <c r="D29" t="s">
        <v>9211</v>
      </c>
      <c r="E29" t="s">
        <v>9181</v>
      </c>
      <c r="F29" s="1">
        <v>44140</v>
      </c>
      <c r="G29" t="str">
        <f t="shared" si="2"/>
        <v>300115</v>
      </c>
      <c r="H29" t="s">
        <v>2938</v>
      </c>
      <c r="I29">
        <v>198659.0221</v>
      </c>
    </row>
    <row r="30" spans="1:9" x14ac:dyDescent="0.25">
      <c r="A30" t="s">
        <v>9164</v>
      </c>
      <c r="C30" t="s">
        <v>9165</v>
      </c>
      <c r="D30" t="s">
        <v>9212</v>
      </c>
      <c r="E30" t="s">
        <v>9191</v>
      </c>
      <c r="F30" s="1">
        <v>44144</v>
      </c>
      <c r="G30" t="str">
        <f t="shared" si="2"/>
        <v>300115</v>
      </c>
      <c r="H30" t="s">
        <v>2938</v>
      </c>
      <c r="I30">
        <v>36301.65</v>
      </c>
    </row>
    <row r="31" spans="1:9" x14ac:dyDescent="0.25">
      <c r="A31" t="s">
        <v>9164</v>
      </c>
      <c r="C31" t="s">
        <v>9165</v>
      </c>
      <c r="D31" t="s">
        <v>9213</v>
      </c>
      <c r="E31" t="s">
        <v>9214</v>
      </c>
      <c r="F31" s="1">
        <v>44148</v>
      </c>
      <c r="G31" t="str">
        <f t="shared" si="2"/>
        <v>300115</v>
      </c>
      <c r="H31" t="s">
        <v>2938</v>
      </c>
      <c r="I31">
        <v>434138.56199999998</v>
      </c>
    </row>
    <row r="32" spans="1:9" x14ac:dyDescent="0.25">
      <c r="A32" t="s">
        <v>9164</v>
      </c>
      <c r="C32" t="s">
        <v>9165</v>
      </c>
      <c r="D32" t="s">
        <v>9215</v>
      </c>
      <c r="E32" t="s">
        <v>9216</v>
      </c>
      <c r="F32" s="1">
        <v>44154</v>
      </c>
      <c r="G32" t="str">
        <f t="shared" si="2"/>
        <v>300115</v>
      </c>
      <c r="H32" t="s">
        <v>2938</v>
      </c>
      <c r="I32">
        <v>8409.3768</v>
      </c>
    </row>
    <row r="33" spans="1:9" x14ac:dyDescent="0.25">
      <c r="A33" t="s">
        <v>9164</v>
      </c>
      <c r="C33" t="s">
        <v>9165</v>
      </c>
      <c r="D33" t="s">
        <v>9217</v>
      </c>
      <c r="E33" t="s">
        <v>9189</v>
      </c>
      <c r="F33" s="1">
        <v>44154</v>
      </c>
      <c r="G33" t="str">
        <f t="shared" si="2"/>
        <v>300115</v>
      </c>
      <c r="H33" t="s">
        <v>2938</v>
      </c>
      <c r="I33">
        <v>523498.8616</v>
      </c>
    </row>
    <row r="34" spans="1:9" x14ac:dyDescent="0.25">
      <c r="A34" t="s">
        <v>9164</v>
      </c>
      <c r="C34" t="s">
        <v>9165</v>
      </c>
      <c r="D34" t="s">
        <v>9218</v>
      </c>
      <c r="E34" t="s">
        <v>9219</v>
      </c>
      <c r="F34" s="1">
        <v>44160</v>
      </c>
      <c r="G34" t="str">
        <f>"300081"</f>
        <v>300081</v>
      </c>
      <c r="H34" t="s">
        <v>2045</v>
      </c>
      <c r="I34">
        <v>1041.67</v>
      </c>
    </row>
    <row r="35" spans="1:9" x14ac:dyDescent="0.25">
      <c r="A35" t="s">
        <v>9164</v>
      </c>
      <c r="C35" t="s">
        <v>9165</v>
      </c>
      <c r="D35" t="s">
        <v>9220</v>
      </c>
      <c r="E35" t="s">
        <v>9221</v>
      </c>
      <c r="F35" s="1">
        <v>44175</v>
      </c>
      <c r="G35" t="str">
        <f t="shared" ref="G35:G76" si="3">"300115"</f>
        <v>300115</v>
      </c>
      <c r="H35" t="s">
        <v>2938</v>
      </c>
      <c r="I35">
        <v>14929.683999999999</v>
      </c>
    </row>
    <row r="36" spans="1:9" x14ac:dyDescent="0.25">
      <c r="A36" t="s">
        <v>9164</v>
      </c>
      <c r="C36" t="s">
        <v>9165</v>
      </c>
      <c r="D36" t="s">
        <v>9222</v>
      </c>
      <c r="E36" t="s">
        <v>9223</v>
      </c>
      <c r="F36" s="1">
        <v>44189</v>
      </c>
      <c r="G36" t="str">
        <f t="shared" si="3"/>
        <v>300115</v>
      </c>
      <c r="H36" t="s">
        <v>2938</v>
      </c>
      <c r="I36">
        <v>612184.21</v>
      </c>
    </row>
    <row r="37" spans="1:9" x14ac:dyDescent="0.25">
      <c r="A37" t="s">
        <v>9164</v>
      </c>
      <c r="C37" t="s">
        <v>9165</v>
      </c>
      <c r="D37" t="s">
        <v>9224</v>
      </c>
      <c r="E37" t="s">
        <v>9225</v>
      </c>
      <c r="F37" s="1">
        <v>44189</v>
      </c>
      <c r="G37" t="str">
        <f t="shared" si="3"/>
        <v>300115</v>
      </c>
      <c r="H37" t="s">
        <v>2938</v>
      </c>
      <c r="I37">
        <v>2297680</v>
      </c>
    </row>
    <row r="38" spans="1:9" x14ac:dyDescent="0.25">
      <c r="A38" t="s">
        <v>9164</v>
      </c>
      <c r="C38" t="s">
        <v>9165</v>
      </c>
      <c r="D38" t="s">
        <v>9226</v>
      </c>
      <c r="E38" t="s">
        <v>9227</v>
      </c>
      <c r="F38" s="1">
        <v>44190</v>
      </c>
      <c r="G38" t="str">
        <f t="shared" si="3"/>
        <v>300115</v>
      </c>
      <c r="H38" t="s">
        <v>2938</v>
      </c>
      <c r="I38">
        <v>152130</v>
      </c>
    </row>
    <row r="39" spans="1:9" x14ac:dyDescent="0.25">
      <c r="A39" t="s">
        <v>9164</v>
      </c>
      <c r="C39" t="s">
        <v>9165</v>
      </c>
      <c r="D39" t="s">
        <v>9228</v>
      </c>
      <c r="E39" t="s">
        <v>9229</v>
      </c>
      <c r="F39" s="1">
        <v>44190</v>
      </c>
      <c r="G39" t="str">
        <f t="shared" si="3"/>
        <v>300115</v>
      </c>
      <c r="H39" t="s">
        <v>2938</v>
      </c>
      <c r="I39">
        <v>76065</v>
      </c>
    </row>
    <row r="40" spans="1:9" x14ac:dyDescent="0.25">
      <c r="A40" t="s">
        <v>9164</v>
      </c>
      <c r="C40" t="s">
        <v>9165</v>
      </c>
      <c r="D40" t="s">
        <v>9230</v>
      </c>
      <c r="E40" t="s">
        <v>9231</v>
      </c>
      <c r="F40" s="1">
        <v>44190</v>
      </c>
      <c r="G40" t="str">
        <f t="shared" si="3"/>
        <v>300115</v>
      </c>
      <c r="H40" t="s">
        <v>2938</v>
      </c>
      <c r="I40">
        <v>76065</v>
      </c>
    </row>
    <row r="41" spans="1:9" x14ac:dyDescent="0.25">
      <c r="A41" t="s">
        <v>9164</v>
      </c>
      <c r="C41" t="s">
        <v>9165</v>
      </c>
      <c r="D41" t="s">
        <v>9232</v>
      </c>
      <c r="E41" t="s">
        <v>9233</v>
      </c>
      <c r="F41" s="1">
        <v>44196</v>
      </c>
      <c r="G41" t="str">
        <f t="shared" si="3"/>
        <v>300115</v>
      </c>
      <c r="H41" t="s">
        <v>2938</v>
      </c>
      <c r="I41">
        <v>13824.755999999999</v>
      </c>
    </row>
    <row r="42" spans="1:9" x14ac:dyDescent="0.25">
      <c r="A42" t="s">
        <v>9164</v>
      </c>
      <c r="C42" t="s">
        <v>9165</v>
      </c>
      <c r="D42" t="s">
        <v>9234</v>
      </c>
      <c r="E42" t="s">
        <v>9235</v>
      </c>
      <c r="F42" s="1">
        <v>44203</v>
      </c>
      <c r="G42" t="str">
        <f t="shared" si="3"/>
        <v>300115</v>
      </c>
      <c r="H42" t="s">
        <v>2938</v>
      </c>
      <c r="I42">
        <v>91524.356</v>
      </c>
    </row>
    <row r="43" spans="1:9" x14ac:dyDescent="0.25">
      <c r="A43" t="s">
        <v>9164</v>
      </c>
      <c r="C43" t="s">
        <v>9165</v>
      </c>
      <c r="D43" t="s">
        <v>9236</v>
      </c>
      <c r="E43" t="s">
        <v>9237</v>
      </c>
      <c r="F43" s="1">
        <v>44208</v>
      </c>
      <c r="G43" t="str">
        <f t="shared" si="3"/>
        <v>300115</v>
      </c>
      <c r="H43" t="s">
        <v>2938</v>
      </c>
      <c r="I43">
        <v>40225.68</v>
      </c>
    </row>
    <row r="44" spans="1:9" x14ac:dyDescent="0.25">
      <c r="A44" t="s">
        <v>9164</v>
      </c>
      <c r="C44" t="s">
        <v>9165</v>
      </c>
      <c r="D44" t="s">
        <v>9238</v>
      </c>
      <c r="E44" t="s">
        <v>9239</v>
      </c>
      <c r="F44" s="1">
        <v>44210</v>
      </c>
      <c r="G44" t="str">
        <f t="shared" si="3"/>
        <v>300115</v>
      </c>
      <c r="H44" t="s">
        <v>2938</v>
      </c>
      <c r="I44">
        <v>1678501.2749999999</v>
      </c>
    </row>
    <row r="45" spans="1:9" x14ac:dyDescent="0.25">
      <c r="A45" t="s">
        <v>9164</v>
      </c>
      <c r="C45" t="s">
        <v>9165</v>
      </c>
      <c r="D45" t="s">
        <v>9240</v>
      </c>
      <c r="E45" t="s">
        <v>2172</v>
      </c>
      <c r="F45" s="1">
        <v>44214</v>
      </c>
      <c r="G45" t="str">
        <f t="shared" si="3"/>
        <v>300115</v>
      </c>
      <c r="H45" t="s">
        <v>2938</v>
      </c>
      <c r="I45">
        <v>104346.39599999999</v>
      </c>
    </row>
    <row r="46" spans="1:9" x14ac:dyDescent="0.25">
      <c r="A46" t="s">
        <v>9164</v>
      </c>
      <c r="C46" t="s">
        <v>9165</v>
      </c>
      <c r="D46" t="s">
        <v>9241</v>
      </c>
      <c r="E46" t="s">
        <v>2172</v>
      </c>
      <c r="F46" s="1">
        <v>44214</v>
      </c>
      <c r="G46" t="str">
        <f t="shared" si="3"/>
        <v>300115</v>
      </c>
      <c r="H46" t="s">
        <v>2938</v>
      </c>
      <c r="I46">
        <v>93401.066000000006</v>
      </c>
    </row>
    <row r="47" spans="1:9" x14ac:dyDescent="0.25">
      <c r="A47" t="s">
        <v>9164</v>
      </c>
      <c r="C47" t="s">
        <v>9165</v>
      </c>
      <c r="D47" t="s">
        <v>9242</v>
      </c>
      <c r="E47" t="s">
        <v>9243</v>
      </c>
      <c r="F47" s="1">
        <v>44215</v>
      </c>
      <c r="G47" t="str">
        <f t="shared" si="3"/>
        <v>300115</v>
      </c>
      <c r="H47" t="s">
        <v>2938</v>
      </c>
      <c r="I47">
        <v>165749.76000000001</v>
      </c>
    </row>
    <row r="48" spans="1:9" x14ac:dyDescent="0.25">
      <c r="A48" t="s">
        <v>9164</v>
      </c>
      <c r="C48" t="s">
        <v>9165</v>
      </c>
      <c r="D48" t="s">
        <v>9244</v>
      </c>
      <c r="E48" t="s">
        <v>9245</v>
      </c>
      <c r="F48" s="1">
        <v>44232</v>
      </c>
      <c r="G48" t="str">
        <f t="shared" si="3"/>
        <v>300115</v>
      </c>
      <c r="H48" t="s">
        <v>2938</v>
      </c>
      <c r="I48">
        <v>20328</v>
      </c>
    </row>
    <row r="49" spans="1:9" x14ac:dyDescent="0.25">
      <c r="A49" t="s">
        <v>9164</v>
      </c>
      <c r="C49" t="s">
        <v>9165</v>
      </c>
      <c r="D49" t="s">
        <v>9246</v>
      </c>
      <c r="E49" t="s">
        <v>2172</v>
      </c>
      <c r="F49" s="1">
        <v>44235</v>
      </c>
      <c r="G49" t="str">
        <f t="shared" si="3"/>
        <v>300115</v>
      </c>
      <c r="H49" t="s">
        <v>2938</v>
      </c>
      <c r="I49">
        <v>9012.8279999999995</v>
      </c>
    </row>
    <row r="50" spans="1:9" x14ac:dyDescent="0.25">
      <c r="A50" t="s">
        <v>9164</v>
      </c>
      <c r="C50" t="s">
        <v>9165</v>
      </c>
      <c r="D50" t="s">
        <v>9247</v>
      </c>
      <c r="E50" t="s">
        <v>9194</v>
      </c>
      <c r="F50" s="1">
        <v>44235</v>
      </c>
      <c r="G50" t="str">
        <f t="shared" si="3"/>
        <v>300115</v>
      </c>
      <c r="H50" t="s">
        <v>2938</v>
      </c>
      <c r="I50">
        <v>275838.55200000003</v>
      </c>
    </row>
    <row r="51" spans="1:9" x14ac:dyDescent="0.25">
      <c r="A51" t="s">
        <v>9164</v>
      </c>
      <c r="C51" t="s">
        <v>9165</v>
      </c>
      <c r="D51" t="s">
        <v>9248</v>
      </c>
      <c r="E51" t="s">
        <v>9249</v>
      </c>
      <c r="F51" s="1">
        <v>44245</v>
      </c>
      <c r="G51" t="str">
        <f t="shared" si="3"/>
        <v>300115</v>
      </c>
      <c r="H51" t="s">
        <v>2938</v>
      </c>
      <c r="I51">
        <v>316169.56800000003</v>
      </c>
    </row>
    <row r="52" spans="1:9" x14ac:dyDescent="0.25">
      <c r="A52" t="s">
        <v>9164</v>
      </c>
      <c r="C52" t="s">
        <v>9165</v>
      </c>
      <c r="D52" t="s">
        <v>9250</v>
      </c>
      <c r="E52" t="s">
        <v>2172</v>
      </c>
      <c r="F52" s="1">
        <v>44245</v>
      </c>
      <c r="G52" t="str">
        <f t="shared" si="3"/>
        <v>300115</v>
      </c>
      <c r="H52" t="s">
        <v>2938</v>
      </c>
      <c r="I52">
        <v>7929802.4960000003</v>
      </c>
    </row>
    <row r="53" spans="1:9" x14ac:dyDescent="0.25">
      <c r="A53" t="s">
        <v>9164</v>
      </c>
      <c r="C53" t="s">
        <v>9165</v>
      </c>
      <c r="D53" t="s">
        <v>9251</v>
      </c>
      <c r="E53" t="s">
        <v>9252</v>
      </c>
      <c r="F53" s="1">
        <v>44257</v>
      </c>
      <c r="G53" t="str">
        <f t="shared" si="3"/>
        <v>300115</v>
      </c>
      <c r="H53" t="s">
        <v>2938</v>
      </c>
      <c r="I53">
        <v>60206.96</v>
      </c>
    </row>
    <row r="54" spans="1:9" x14ac:dyDescent="0.25">
      <c r="A54" t="s">
        <v>9164</v>
      </c>
      <c r="C54" t="s">
        <v>9165</v>
      </c>
      <c r="D54" t="s">
        <v>9253</v>
      </c>
      <c r="E54" t="s">
        <v>9254</v>
      </c>
      <c r="F54" s="1">
        <v>44273</v>
      </c>
      <c r="G54" t="str">
        <f t="shared" si="3"/>
        <v>300115</v>
      </c>
      <c r="H54" t="s">
        <v>2938</v>
      </c>
      <c r="I54">
        <v>18771.768400000001</v>
      </c>
    </row>
    <row r="55" spans="1:9" x14ac:dyDescent="0.25">
      <c r="A55" t="s">
        <v>9164</v>
      </c>
      <c r="C55" t="s">
        <v>9165</v>
      </c>
      <c r="D55" t="s">
        <v>9255</v>
      </c>
      <c r="E55" t="s">
        <v>9254</v>
      </c>
      <c r="F55" s="1">
        <v>44279</v>
      </c>
      <c r="G55" t="str">
        <f t="shared" si="3"/>
        <v>300115</v>
      </c>
      <c r="H55" t="s">
        <v>2938</v>
      </c>
      <c r="I55">
        <v>202840</v>
      </c>
    </row>
    <row r="56" spans="1:9" x14ac:dyDescent="0.25">
      <c r="A56" t="s">
        <v>9164</v>
      </c>
      <c r="C56" t="s">
        <v>9165</v>
      </c>
      <c r="D56" t="s">
        <v>9256</v>
      </c>
      <c r="E56" t="s">
        <v>9249</v>
      </c>
      <c r="F56" s="1">
        <v>44281</v>
      </c>
      <c r="G56" t="str">
        <f t="shared" si="3"/>
        <v>300115</v>
      </c>
      <c r="H56" t="s">
        <v>2938</v>
      </c>
      <c r="I56">
        <v>474254.35200000001</v>
      </c>
    </row>
    <row r="57" spans="1:9" x14ac:dyDescent="0.25">
      <c r="A57" t="s">
        <v>9164</v>
      </c>
      <c r="C57" t="s">
        <v>9165</v>
      </c>
      <c r="D57" t="s">
        <v>9257</v>
      </c>
      <c r="E57" t="s">
        <v>2430</v>
      </c>
      <c r="F57" s="1">
        <v>44289</v>
      </c>
      <c r="G57" t="str">
        <f t="shared" si="3"/>
        <v>300115</v>
      </c>
      <c r="H57" t="s">
        <v>2938</v>
      </c>
      <c r="I57">
        <v>202917</v>
      </c>
    </row>
    <row r="58" spans="1:9" x14ac:dyDescent="0.25">
      <c r="A58" t="s">
        <v>9164</v>
      </c>
      <c r="C58" t="s">
        <v>9165</v>
      </c>
      <c r="D58" t="s">
        <v>9258</v>
      </c>
      <c r="E58" t="s">
        <v>2566</v>
      </c>
      <c r="F58" s="1">
        <v>44295</v>
      </c>
      <c r="G58" t="str">
        <f t="shared" si="3"/>
        <v>300115</v>
      </c>
      <c r="H58" t="s">
        <v>2938</v>
      </c>
      <c r="I58">
        <v>2339492.5641999999</v>
      </c>
    </row>
    <row r="59" spans="1:9" x14ac:dyDescent="0.25">
      <c r="A59" t="s">
        <v>9164</v>
      </c>
      <c r="C59" t="s">
        <v>9165</v>
      </c>
      <c r="D59" t="s">
        <v>9259</v>
      </c>
      <c r="E59" t="s">
        <v>8852</v>
      </c>
      <c r="F59" s="1">
        <v>44298</v>
      </c>
      <c r="G59" t="str">
        <f t="shared" si="3"/>
        <v>300115</v>
      </c>
      <c r="H59" t="s">
        <v>2938</v>
      </c>
      <c r="I59">
        <v>54146.822399999997</v>
      </c>
    </row>
    <row r="60" spans="1:9" x14ac:dyDescent="0.25">
      <c r="A60" t="s">
        <v>9164</v>
      </c>
      <c r="C60" t="s">
        <v>9165</v>
      </c>
      <c r="D60" t="s">
        <v>9260</v>
      </c>
      <c r="E60" t="s">
        <v>9261</v>
      </c>
      <c r="F60" s="1">
        <v>44307</v>
      </c>
      <c r="G60" t="str">
        <f t="shared" si="3"/>
        <v>300115</v>
      </c>
      <c r="H60" t="s">
        <v>2938</v>
      </c>
      <c r="I60">
        <v>66528</v>
      </c>
    </row>
    <row r="61" spans="1:9" x14ac:dyDescent="0.25">
      <c r="A61" t="s">
        <v>9164</v>
      </c>
      <c r="C61" t="s">
        <v>9165</v>
      </c>
      <c r="D61" t="s">
        <v>9262</v>
      </c>
      <c r="E61" t="s">
        <v>9191</v>
      </c>
      <c r="F61" s="1">
        <v>44308</v>
      </c>
      <c r="G61" t="str">
        <f t="shared" si="3"/>
        <v>300115</v>
      </c>
      <c r="H61" t="s">
        <v>2938</v>
      </c>
      <c r="I61">
        <v>173061.21799999999</v>
      </c>
    </row>
    <row r="62" spans="1:9" x14ac:dyDescent="0.25">
      <c r="A62" t="s">
        <v>9164</v>
      </c>
      <c r="C62" t="s">
        <v>9165</v>
      </c>
      <c r="D62" t="s">
        <v>9263</v>
      </c>
      <c r="E62" t="s">
        <v>9264</v>
      </c>
      <c r="F62" s="1">
        <v>44335</v>
      </c>
      <c r="G62" t="str">
        <f t="shared" si="3"/>
        <v>300115</v>
      </c>
      <c r="H62" t="s">
        <v>2938</v>
      </c>
      <c r="I62">
        <v>369600</v>
      </c>
    </row>
    <row r="63" spans="1:9" x14ac:dyDescent="0.25">
      <c r="A63" t="s">
        <v>9164</v>
      </c>
      <c r="C63" t="s">
        <v>9165</v>
      </c>
      <c r="D63" t="s">
        <v>9265</v>
      </c>
      <c r="E63" t="s">
        <v>9266</v>
      </c>
      <c r="F63" s="1">
        <v>44341</v>
      </c>
      <c r="G63" t="str">
        <f t="shared" si="3"/>
        <v>300115</v>
      </c>
      <c r="H63" t="s">
        <v>2938</v>
      </c>
      <c r="I63">
        <v>32778.196000000004</v>
      </c>
    </row>
    <row r="64" spans="1:9" x14ac:dyDescent="0.25">
      <c r="A64" t="s">
        <v>9164</v>
      </c>
      <c r="C64" t="s">
        <v>9165</v>
      </c>
      <c r="D64" t="s">
        <v>9267</v>
      </c>
      <c r="E64" t="s">
        <v>9266</v>
      </c>
      <c r="F64" s="1">
        <v>44341</v>
      </c>
      <c r="G64" t="str">
        <f t="shared" si="3"/>
        <v>300115</v>
      </c>
      <c r="H64" t="s">
        <v>2938</v>
      </c>
      <c r="I64">
        <v>45456.857600000003</v>
      </c>
    </row>
    <row r="65" spans="1:9" x14ac:dyDescent="0.25">
      <c r="A65" t="s">
        <v>9164</v>
      </c>
      <c r="C65" t="s">
        <v>9165</v>
      </c>
      <c r="D65" t="s">
        <v>9268</v>
      </c>
      <c r="E65" t="s">
        <v>9269</v>
      </c>
      <c r="F65" s="1">
        <v>44344</v>
      </c>
      <c r="G65" t="str">
        <f t="shared" si="3"/>
        <v>300115</v>
      </c>
      <c r="H65" t="s">
        <v>2938</v>
      </c>
      <c r="I65">
        <v>619520</v>
      </c>
    </row>
    <row r="66" spans="1:9" x14ac:dyDescent="0.25">
      <c r="A66" t="s">
        <v>9164</v>
      </c>
      <c r="C66" t="s">
        <v>9165</v>
      </c>
      <c r="D66" t="s">
        <v>9270</v>
      </c>
      <c r="E66" t="s">
        <v>9269</v>
      </c>
      <c r="F66" s="1">
        <v>44344</v>
      </c>
      <c r="G66" t="str">
        <f t="shared" si="3"/>
        <v>300115</v>
      </c>
      <c r="H66" t="s">
        <v>2938</v>
      </c>
      <c r="I66">
        <v>601677.82400000002</v>
      </c>
    </row>
    <row r="67" spans="1:9" x14ac:dyDescent="0.25">
      <c r="A67" t="s">
        <v>9164</v>
      </c>
      <c r="C67" t="s">
        <v>9165</v>
      </c>
      <c r="D67" t="s">
        <v>9271</v>
      </c>
      <c r="E67" t="s">
        <v>2172</v>
      </c>
      <c r="F67" s="1">
        <v>44345</v>
      </c>
      <c r="G67" t="str">
        <f t="shared" si="3"/>
        <v>300115</v>
      </c>
      <c r="H67" t="s">
        <v>2938</v>
      </c>
      <c r="I67">
        <v>1759558.5083999999</v>
      </c>
    </row>
    <row r="68" spans="1:9" x14ac:dyDescent="0.25">
      <c r="A68" t="s">
        <v>9164</v>
      </c>
      <c r="C68" t="s">
        <v>9165</v>
      </c>
      <c r="D68" t="s">
        <v>9272</v>
      </c>
      <c r="E68" t="s">
        <v>2172</v>
      </c>
      <c r="F68" s="1">
        <v>44355</v>
      </c>
      <c r="G68" t="str">
        <f t="shared" si="3"/>
        <v>300115</v>
      </c>
      <c r="H68" t="s">
        <v>2938</v>
      </c>
      <c r="I68">
        <v>9081.7628000000004</v>
      </c>
    </row>
    <row r="69" spans="1:9" x14ac:dyDescent="0.25">
      <c r="A69" t="s">
        <v>9164</v>
      </c>
      <c r="C69" t="s">
        <v>9165</v>
      </c>
      <c r="D69" t="s">
        <v>9273</v>
      </c>
      <c r="E69" t="s">
        <v>9243</v>
      </c>
      <c r="F69" s="1">
        <v>44359</v>
      </c>
      <c r="G69" t="str">
        <f t="shared" si="3"/>
        <v>300115</v>
      </c>
      <c r="H69" t="s">
        <v>2938</v>
      </c>
      <c r="I69">
        <v>802204.84299999999</v>
      </c>
    </row>
    <row r="70" spans="1:9" x14ac:dyDescent="0.25">
      <c r="A70" t="s">
        <v>9164</v>
      </c>
      <c r="C70" t="s">
        <v>9165</v>
      </c>
      <c r="D70" t="s">
        <v>9274</v>
      </c>
      <c r="E70" t="s">
        <v>2172</v>
      </c>
      <c r="F70" s="1">
        <v>44362</v>
      </c>
      <c r="G70" t="str">
        <f t="shared" si="3"/>
        <v>300115</v>
      </c>
      <c r="H70" t="s">
        <v>2938</v>
      </c>
      <c r="I70">
        <v>2052600</v>
      </c>
    </row>
    <row r="71" spans="1:9" x14ac:dyDescent="0.25">
      <c r="A71" t="s">
        <v>9164</v>
      </c>
      <c r="C71" t="s">
        <v>9165</v>
      </c>
      <c r="D71" t="s">
        <v>9275</v>
      </c>
      <c r="E71" t="s">
        <v>9189</v>
      </c>
      <c r="F71" s="1">
        <v>44369</v>
      </c>
      <c r="G71" t="str">
        <f t="shared" si="3"/>
        <v>300115</v>
      </c>
      <c r="H71" t="s">
        <v>2938</v>
      </c>
      <c r="I71">
        <v>111936.84480000001</v>
      </c>
    </row>
    <row r="72" spans="1:9" x14ac:dyDescent="0.25">
      <c r="A72" t="s">
        <v>9164</v>
      </c>
      <c r="C72" t="s">
        <v>9165</v>
      </c>
      <c r="D72" t="s">
        <v>9276</v>
      </c>
      <c r="E72" t="s">
        <v>9277</v>
      </c>
      <c r="F72" s="1">
        <v>44380</v>
      </c>
      <c r="G72" t="str">
        <f t="shared" si="3"/>
        <v>300115</v>
      </c>
      <c r="H72" t="s">
        <v>2938</v>
      </c>
      <c r="I72">
        <v>152277.84</v>
      </c>
    </row>
    <row r="73" spans="1:9" x14ac:dyDescent="0.25">
      <c r="A73" t="s">
        <v>9164</v>
      </c>
      <c r="C73" t="s">
        <v>9165</v>
      </c>
      <c r="D73" t="s">
        <v>9278</v>
      </c>
      <c r="E73" t="s">
        <v>9279</v>
      </c>
      <c r="F73" s="1">
        <v>44432</v>
      </c>
      <c r="G73" t="str">
        <f t="shared" si="3"/>
        <v>300115</v>
      </c>
      <c r="H73" t="s">
        <v>2938</v>
      </c>
      <c r="I73">
        <v>133903.42240000001</v>
      </c>
    </row>
    <row r="74" spans="1:9" x14ac:dyDescent="0.25">
      <c r="A74" t="s">
        <v>9164</v>
      </c>
      <c r="C74" t="s">
        <v>9165</v>
      </c>
      <c r="D74" t="s">
        <v>9280</v>
      </c>
      <c r="E74" t="s">
        <v>8852</v>
      </c>
      <c r="F74" s="1">
        <v>44446</v>
      </c>
      <c r="G74" t="str">
        <f t="shared" si="3"/>
        <v>300115</v>
      </c>
      <c r="H74" t="s">
        <v>2938</v>
      </c>
      <c r="I74">
        <v>203030.61900000001</v>
      </c>
    </row>
    <row r="75" spans="1:9" x14ac:dyDescent="0.25">
      <c r="A75" t="s">
        <v>9164</v>
      </c>
      <c r="C75" t="s">
        <v>9165</v>
      </c>
      <c r="D75" t="s">
        <v>9281</v>
      </c>
      <c r="E75" t="s">
        <v>1313</v>
      </c>
      <c r="F75" s="1">
        <v>44460</v>
      </c>
      <c r="G75" t="str">
        <f t="shared" si="3"/>
        <v>300115</v>
      </c>
      <c r="H75" t="s">
        <v>2938</v>
      </c>
      <c r="I75">
        <v>1458170.1816</v>
      </c>
    </row>
    <row r="76" spans="1:9" x14ac:dyDescent="0.25">
      <c r="A76" t="s">
        <v>9164</v>
      </c>
      <c r="C76" t="s">
        <v>9165</v>
      </c>
      <c r="D76" t="s">
        <v>9282</v>
      </c>
      <c r="E76" t="s">
        <v>8907</v>
      </c>
      <c r="F76" s="1">
        <v>44460</v>
      </c>
      <c r="G76" t="str">
        <f t="shared" si="3"/>
        <v>300115</v>
      </c>
      <c r="H76" t="s">
        <v>2938</v>
      </c>
      <c r="I76">
        <v>7117000</v>
      </c>
    </row>
    <row r="77" spans="1:9" x14ac:dyDescent="0.25">
      <c r="A77" t="s">
        <v>9164</v>
      </c>
      <c r="C77" t="s">
        <v>9165</v>
      </c>
      <c r="D77" t="s">
        <v>9283</v>
      </c>
      <c r="E77" t="s">
        <v>9284</v>
      </c>
      <c r="F77" s="1">
        <v>44469</v>
      </c>
      <c r="G77" t="str">
        <f>"300076"</f>
        <v>300076</v>
      </c>
      <c r="H77" t="s">
        <v>2905</v>
      </c>
      <c r="I77">
        <v>4200</v>
      </c>
    </row>
    <row r="78" spans="1:9" x14ac:dyDescent="0.25">
      <c r="A78" t="s">
        <v>9164</v>
      </c>
      <c r="C78" t="s">
        <v>9165</v>
      </c>
      <c r="D78" t="s">
        <v>9285</v>
      </c>
      <c r="E78" t="s">
        <v>9286</v>
      </c>
      <c r="F78" s="1">
        <v>44484</v>
      </c>
      <c r="G78" t="str">
        <f>"300115"</f>
        <v>300115</v>
      </c>
      <c r="H78" t="s">
        <v>2938</v>
      </c>
      <c r="I78">
        <v>188456.22289999999</v>
      </c>
    </row>
    <row r="79" spans="1:9" x14ac:dyDescent="0.25">
      <c r="A79" t="s">
        <v>9164</v>
      </c>
      <c r="C79" t="s">
        <v>9165</v>
      </c>
      <c r="D79" t="s">
        <v>9287</v>
      </c>
      <c r="E79" t="s">
        <v>9264</v>
      </c>
      <c r="F79" s="1">
        <v>44497</v>
      </c>
      <c r="G79" t="str">
        <f>"300115"</f>
        <v>300115</v>
      </c>
      <c r="H79" t="s">
        <v>2938</v>
      </c>
      <c r="I79">
        <v>202840</v>
      </c>
    </row>
    <row r="80" spans="1:9" x14ac:dyDescent="0.25">
      <c r="A80" t="s">
        <v>9164</v>
      </c>
      <c r="C80" t="s">
        <v>9165</v>
      </c>
      <c r="D80" t="s">
        <v>9288</v>
      </c>
      <c r="E80" t="s">
        <v>9189</v>
      </c>
      <c r="F80" s="1">
        <v>44509</v>
      </c>
      <c r="G80" t="str">
        <f>"300115"</f>
        <v>300115</v>
      </c>
      <c r="H80" t="s">
        <v>2938</v>
      </c>
      <c r="I80">
        <v>7623.6952000000001</v>
      </c>
    </row>
    <row r="81" spans="1:9" x14ac:dyDescent="0.25">
      <c r="A81" t="s">
        <v>9164</v>
      </c>
      <c r="C81" t="s">
        <v>9165</v>
      </c>
      <c r="D81" t="s">
        <v>9289</v>
      </c>
      <c r="E81" t="s">
        <v>2172</v>
      </c>
      <c r="F81" s="1">
        <v>44510</v>
      </c>
      <c r="G81" t="str">
        <f>"300115"</f>
        <v>300115</v>
      </c>
      <c r="H81" t="s">
        <v>2938</v>
      </c>
      <c r="I81">
        <v>368902.92560000002</v>
      </c>
    </row>
    <row r="82" spans="1:9" x14ac:dyDescent="0.25">
      <c r="A82" t="s">
        <v>9164</v>
      </c>
      <c r="C82" t="s">
        <v>9165</v>
      </c>
      <c r="D82" t="s">
        <v>9290</v>
      </c>
      <c r="E82" t="s">
        <v>9291</v>
      </c>
      <c r="F82" s="1">
        <v>44515</v>
      </c>
      <c r="G82" t="str">
        <f>"300115"</f>
        <v>300115</v>
      </c>
      <c r="H82" t="s">
        <v>2938</v>
      </c>
      <c r="I82">
        <v>317884.908</v>
      </c>
    </row>
    <row r="83" spans="1:9" x14ac:dyDescent="0.25">
      <c r="A83" t="s">
        <v>9164</v>
      </c>
      <c r="C83" t="s">
        <v>9165</v>
      </c>
      <c r="D83" t="s">
        <v>9292</v>
      </c>
      <c r="E83" t="s">
        <v>9293</v>
      </c>
      <c r="F83" s="1">
        <v>44560</v>
      </c>
      <c r="G83" t="str">
        <f>"300312"</f>
        <v>300312</v>
      </c>
      <c r="H83" t="s">
        <v>3053</v>
      </c>
      <c r="I83">
        <v>15586.56</v>
      </c>
    </row>
    <row r="84" spans="1:9" x14ac:dyDescent="0.25">
      <c r="A84" t="s">
        <v>9164</v>
      </c>
      <c r="C84" t="s">
        <v>9165</v>
      </c>
      <c r="D84" t="s">
        <v>9294</v>
      </c>
      <c r="E84" t="s">
        <v>9295</v>
      </c>
      <c r="F84" s="1">
        <v>44571</v>
      </c>
      <c r="G84" t="str">
        <f>"300081"</f>
        <v>300081</v>
      </c>
      <c r="H84" t="s">
        <v>2045</v>
      </c>
      <c r="I84">
        <v>121150.08</v>
      </c>
    </row>
    <row r="85" spans="1:9" x14ac:dyDescent="0.25">
      <c r="A85" t="s">
        <v>9164</v>
      </c>
      <c r="C85" t="s">
        <v>9165</v>
      </c>
      <c r="D85" t="s">
        <v>9296</v>
      </c>
      <c r="E85" t="s">
        <v>9297</v>
      </c>
      <c r="F85" s="1">
        <v>44580</v>
      </c>
      <c r="G85" t="str">
        <f t="shared" ref="G85:G104" si="4">"300115"</f>
        <v>300115</v>
      </c>
      <c r="H85" t="s">
        <v>2938</v>
      </c>
      <c r="I85">
        <v>816512.46600000001</v>
      </c>
    </row>
    <row r="86" spans="1:9" x14ac:dyDescent="0.25">
      <c r="A86" t="s">
        <v>9164</v>
      </c>
      <c r="C86" t="s">
        <v>9165</v>
      </c>
      <c r="D86" t="s">
        <v>9298</v>
      </c>
      <c r="E86" t="s">
        <v>9239</v>
      </c>
      <c r="F86" s="1">
        <v>44585</v>
      </c>
      <c r="G86" t="str">
        <f t="shared" si="4"/>
        <v>300115</v>
      </c>
      <c r="H86" t="s">
        <v>2938</v>
      </c>
      <c r="I86">
        <v>3335108.6252000001</v>
      </c>
    </row>
    <row r="87" spans="1:9" x14ac:dyDescent="0.25">
      <c r="A87" t="s">
        <v>9164</v>
      </c>
      <c r="C87" t="s">
        <v>9165</v>
      </c>
      <c r="D87" t="s">
        <v>9299</v>
      </c>
      <c r="E87" t="s">
        <v>9300</v>
      </c>
      <c r="F87" s="1">
        <v>44646</v>
      </c>
      <c r="G87" t="str">
        <f t="shared" si="4"/>
        <v>300115</v>
      </c>
      <c r="H87" t="s">
        <v>2938</v>
      </c>
      <c r="I87">
        <v>0</v>
      </c>
    </row>
    <row r="88" spans="1:9" x14ac:dyDescent="0.25">
      <c r="A88" t="s">
        <v>9164</v>
      </c>
      <c r="C88" t="s">
        <v>9165</v>
      </c>
      <c r="D88" t="s">
        <v>9301</v>
      </c>
      <c r="E88" t="s">
        <v>9300</v>
      </c>
      <c r="F88" s="1">
        <v>44651</v>
      </c>
      <c r="G88" t="str">
        <f t="shared" si="4"/>
        <v>300115</v>
      </c>
      <c r="H88" t="s">
        <v>2938</v>
      </c>
      <c r="I88">
        <v>105917.0442</v>
      </c>
    </row>
    <row r="89" spans="1:9" x14ac:dyDescent="0.25">
      <c r="A89" t="s">
        <v>9164</v>
      </c>
      <c r="C89" t="s">
        <v>9165</v>
      </c>
      <c r="D89" t="s">
        <v>9302</v>
      </c>
      <c r="E89" t="s">
        <v>9303</v>
      </c>
      <c r="F89" s="1">
        <v>44670</v>
      </c>
      <c r="G89" t="str">
        <f t="shared" si="4"/>
        <v>300115</v>
      </c>
      <c r="H89" t="s">
        <v>2938</v>
      </c>
      <c r="I89">
        <v>1588087.5053999999</v>
      </c>
    </row>
    <row r="90" spans="1:9" x14ac:dyDescent="0.25">
      <c r="A90" t="s">
        <v>9164</v>
      </c>
      <c r="C90" t="s">
        <v>9165</v>
      </c>
      <c r="D90" t="s">
        <v>9304</v>
      </c>
      <c r="E90" t="s">
        <v>9189</v>
      </c>
      <c r="F90" s="1">
        <v>44677</v>
      </c>
      <c r="G90" t="str">
        <f t="shared" si="4"/>
        <v>300115</v>
      </c>
      <c r="H90" t="s">
        <v>2938</v>
      </c>
      <c r="I90">
        <v>46779.612000000001</v>
      </c>
    </row>
    <row r="91" spans="1:9" x14ac:dyDescent="0.25">
      <c r="A91" t="s">
        <v>9164</v>
      </c>
      <c r="C91" t="s">
        <v>9165</v>
      </c>
      <c r="D91" t="s">
        <v>9305</v>
      </c>
      <c r="E91" s="2">
        <v>46027</v>
      </c>
      <c r="F91" s="1">
        <v>44694</v>
      </c>
      <c r="G91" t="str">
        <f t="shared" si="4"/>
        <v>300115</v>
      </c>
      <c r="H91" t="s">
        <v>2938</v>
      </c>
      <c r="I91">
        <v>104018.80499999999</v>
      </c>
    </row>
    <row r="92" spans="1:9" x14ac:dyDescent="0.25">
      <c r="A92" t="s">
        <v>9164</v>
      </c>
      <c r="C92" t="s">
        <v>9165</v>
      </c>
      <c r="D92" t="s">
        <v>9306</v>
      </c>
      <c r="E92" t="s">
        <v>9307</v>
      </c>
      <c r="F92" s="1">
        <v>44721</v>
      </c>
      <c r="G92" t="str">
        <f t="shared" si="4"/>
        <v>300115</v>
      </c>
      <c r="H92" t="s">
        <v>2938</v>
      </c>
      <c r="I92">
        <v>17769.5144</v>
      </c>
    </row>
    <row r="93" spans="1:9" x14ac:dyDescent="0.25">
      <c r="A93" t="s">
        <v>9164</v>
      </c>
      <c r="C93" t="s">
        <v>9165</v>
      </c>
      <c r="D93" t="s">
        <v>9308</v>
      </c>
      <c r="E93" t="s">
        <v>9309</v>
      </c>
      <c r="F93" s="1">
        <v>44725</v>
      </c>
      <c r="G93" t="str">
        <f t="shared" si="4"/>
        <v>300115</v>
      </c>
      <c r="H93" t="s">
        <v>2938</v>
      </c>
      <c r="I93">
        <v>0</v>
      </c>
    </row>
    <row r="94" spans="1:9" x14ac:dyDescent="0.25">
      <c r="A94" t="s">
        <v>9164</v>
      </c>
      <c r="C94" t="s">
        <v>9165</v>
      </c>
      <c r="D94" t="s">
        <v>9310</v>
      </c>
      <c r="E94" t="s">
        <v>9311</v>
      </c>
      <c r="F94" s="1">
        <v>44725</v>
      </c>
      <c r="G94" t="str">
        <f t="shared" si="4"/>
        <v>300115</v>
      </c>
      <c r="H94" t="s">
        <v>2938</v>
      </c>
      <c r="I94">
        <v>4079397.8412000001</v>
      </c>
    </row>
    <row r="95" spans="1:9" x14ac:dyDescent="0.25">
      <c r="A95" t="s">
        <v>9164</v>
      </c>
      <c r="C95" t="s">
        <v>9165</v>
      </c>
      <c r="D95" t="s">
        <v>9312</v>
      </c>
      <c r="E95" t="s">
        <v>9313</v>
      </c>
      <c r="F95" s="1">
        <v>44767</v>
      </c>
      <c r="G95" t="str">
        <f t="shared" si="4"/>
        <v>300115</v>
      </c>
      <c r="H95" t="s">
        <v>2938</v>
      </c>
      <c r="I95">
        <v>660194.21710000001</v>
      </c>
    </row>
    <row r="96" spans="1:9" x14ac:dyDescent="0.25">
      <c r="A96" t="s">
        <v>9164</v>
      </c>
      <c r="C96" t="s">
        <v>9165</v>
      </c>
      <c r="D96" t="s">
        <v>9314</v>
      </c>
      <c r="E96" s="2">
        <v>46027</v>
      </c>
      <c r="F96" s="1">
        <v>44784</v>
      </c>
      <c r="G96" t="str">
        <f t="shared" si="4"/>
        <v>300115</v>
      </c>
      <c r="H96" t="s">
        <v>2938</v>
      </c>
      <c r="I96">
        <v>129094.02</v>
      </c>
    </row>
    <row r="97" spans="1:9" x14ac:dyDescent="0.25">
      <c r="A97" t="s">
        <v>9164</v>
      </c>
      <c r="C97" t="s">
        <v>9165</v>
      </c>
      <c r="D97" t="s">
        <v>9315</v>
      </c>
      <c r="E97" t="s">
        <v>1313</v>
      </c>
      <c r="F97" s="1">
        <v>44796</v>
      </c>
      <c r="G97" t="str">
        <f t="shared" si="4"/>
        <v>300115</v>
      </c>
      <c r="H97" t="s">
        <v>2938</v>
      </c>
      <c r="I97">
        <v>173934.54759999999</v>
      </c>
    </row>
    <row r="98" spans="1:9" x14ac:dyDescent="0.25">
      <c r="A98" t="s">
        <v>9164</v>
      </c>
      <c r="C98" t="s">
        <v>9165</v>
      </c>
      <c r="D98" t="s">
        <v>9316</v>
      </c>
      <c r="E98" t="s">
        <v>9269</v>
      </c>
      <c r="F98" s="1">
        <v>44796</v>
      </c>
      <c r="G98" t="str">
        <f t="shared" si="4"/>
        <v>300115</v>
      </c>
      <c r="H98" t="s">
        <v>2938</v>
      </c>
      <c r="I98">
        <v>652520</v>
      </c>
    </row>
    <row r="99" spans="1:9" x14ac:dyDescent="0.25">
      <c r="A99" t="s">
        <v>9164</v>
      </c>
      <c r="C99" t="s">
        <v>9165</v>
      </c>
      <c r="D99" t="s">
        <v>9317</v>
      </c>
      <c r="E99" t="s">
        <v>9297</v>
      </c>
      <c r="F99" s="1">
        <v>44799</v>
      </c>
      <c r="G99" t="str">
        <f t="shared" si="4"/>
        <v>300115</v>
      </c>
      <c r="H99" t="s">
        <v>2938</v>
      </c>
      <c r="I99">
        <v>762543.93599999999</v>
      </c>
    </row>
    <row r="100" spans="1:9" x14ac:dyDescent="0.25">
      <c r="A100" t="s">
        <v>9164</v>
      </c>
      <c r="C100" t="s">
        <v>9165</v>
      </c>
      <c r="D100" t="s">
        <v>9318</v>
      </c>
      <c r="E100" t="s">
        <v>9319</v>
      </c>
      <c r="F100" s="1">
        <v>44806</v>
      </c>
      <c r="G100" t="str">
        <f t="shared" si="4"/>
        <v>300115</v>
      </c>
      <c r="H100" t="s">
        <v>2938</v>
      </c>
      <c r="I100">
        <v>154598.39999999999</v>
      </c>
    </row>
    <row r="101" spans="1:9" x14ac:dyDescent="0.25">
      <c r="A101" t="s">
        <v>9164</v>
      </c>
      <c r="C101" t="s">
        <v>9165</v>
      </c>
      <c r="D101" t="s">
        <v>9320</v>
      </c>
      <c r="E101" t="s">
        <v>8852</v>
      </c>
      <c r="F101" s="1">
        <v>44813</v>
      </c>
      <c r="G101" t="str">
        <f t="shared" si="4"/>
        <v>300115</v>
      </c>
      <c r="H101" t="s">
        <v>2938</v>
      </c>
      <c r="I101">
        <v>108419.564</v>
      </c>
    </row>
    <row r="102" spans="1:9" x14ac:dyDescent="0.25">
      <c r="A102" t="s">
        <v>9164</v>
      </c>
      <c r="C102" t="s">
        <v>9165</v>
      </c>
      <c r="D102" t="s">
        <v>9321</v>
      </c>
      <c r="E102" t="s">
        <v>8852</v>
      </c>
      <c r="F102" s="1">
        <v>44841</v>
      </c>
      <c r="G102" t="str">
        <f t="shared" si="4"/>
        <v>300115</v>
      </c>
      <c r="H102" t="s">
        <v>2938</v>
      </c>
      <c r="I102">
        <v>152056.88080000001</v>
      </c>
    </row>
    <row r="103" spans="1:9" x14ac:dyDescent="0.25">
      <c r="A103" t="s">
        <v>9164</v>
      </c>
      <c r="C103" t="s">
        <v>9165</v>
      </c>
      <c r="D103" t="s">
        <v>9322</v>
      </c>
      <c r="E103" t="s">
        <v>9323</v>
      </c>
      <c r="F103" s="1">
        <v>44841</v>
      </c>
      <c r="G103" t="str">
        <f t="shared" si="4"/>
        <v>300115</v>
      </c>
      <c r="H103" t="s">
        <v>2938</v>
      </c>
      <c r="I103">
        <v>21210.6587</v>
      </c>
    </row>
    <row r="104" spans="1:9" x14ac:dyDescent="0.25">
      <c r="A104" t="s">
        <v>9164</v>
      </c>
      <c r="C104" t="s">
        <v>9165</v>
      </c>
      <c r="D104" t="s">
        <v>9324</v>
      </c>
      <c r="E104" t="s">
        <v>9239</v>
      </c>
      <c r="F104" s="1">
        <v>44841</v>
      </c>
      <c r="G104" t="str">
        <f t="shared" si="4"/>
        <v>300115</v>
      </c>
      <c r="H104" t="s">
        <v>2938</v>
      </c>
      <c r="I104">
        <v>5582.94</v>
      </c>
    </row>
    <row r="105" spans="1:9" x14ac:dyDescent="0.25">
      <c r="A105" t="s">
        <v>9164</v>
      </c>
      <c r="C105" t="s">
        <v>9165</v>
      </c>
      <c r="D105" t="s">
        <v>9325</v>
      </c>
      <c r="E105" t="s">
        <v>9326</v>
      </c>
      <c r="F105" s="1">
        <v>44851</v>
      </c>
      <c r="G105" t="str">
        <f>"300226"</f>
        <v>300226</v>
      </c>
      <c r="H105" t="s">
        <v>3025</v>
      </c>
      <c r="I105">
        <v>2557.8000000000002</v>
      </c>
    </row>
    <row r="106" spans="1:9" x14ac:dyDescent="0.25">
      <c r="A106" t="s">
        <v>9164</v>
      </c>
      <c r="C106" t="s">
        <v>9165</v>
      </c>
      <c r="D106" t="s">
        <v>9327</v>
      </c>
      <c r="E106" t="s">
        <v>9112</v>
      </c>
      <c r="F106" s="1">
        <v>44861</v>
      </c>
      <c r="G106" t="str">
        <f t="shared" ref="G106:G116" si="5">"300115"</f>
        <v>300115</v>
      </c>
      <c r="H106" t="s">
        <v>2938</v>
      </c>
      <c r="I106">
        <v>2266220</v>
      </c>
    </row>
    <row r="107" spans="1:9" x14ac:dyDescent="0.25">
      <c r="A107" t="s">
        <v>9164</v>
      </c>
      <c r="C107" t="s">
        <v>9165</v>
      </c>
      <c r="D107" t="s">
        <v>9328</v>
      </c>
      <c r="E107" t="s">
        <v>9329</v>
      </c>
      <c r="F107" s="1">
        <v>44867</v>
      </c>
      <c r="G107" t="str">
        <f t="shared" si="5"/>
        <v>300115</v>
      </c>
      <c r="H107" t="s">
        <v>2938</v>
      </c>
      <c r="I107">
        <v>266443.07799999998</v>
      </c>
    </row>
    <row r="108" spans="1:9" x14ac:dyDescent="0.25">
      <c r="A108" t="s">
        <v>9164</v>
      </c>
      <c r="C108" t="s">
        <v>9165</v>
      </c>
      <c r="D108" t="s">
        <v>9330</v>
      </c>
      <c r="E108" t="s">
        <v>9239</v>
      </c>
      <c r="F108" s="1">
        <v>44881</v>
      </c>
      <c r="G108" t="str">
        <f t="shared" si="5"/>
        <v>300115</v>
      </c>
      <c r="H108" t="s">
        <v>2938</v>
      </c>
      <c r="I108">
        <v>1289169.8160000001</v>
      </c>
    </row>
    <row r="109" spans="1:9" x14ac:dyDescent="0.25">
      <c r="A109" t="s">
        <v>9164</v>
      </c>
      <c r="C109" t="s">
        <v>9165</v>
      </c>
      <c r="D109" t="s">
        <v>9331</v>
      </c>
      <c r="E109" t="s">
        <v>9266</v>
      </c>
      <c r="F109" s="1">
        <v>44895</v>
      </c>
      <c r="G109" t="str">
        <f t="shared" si="5"/>
        <v>300115</v>
      </c>
      <c r="H109" t="s">
        <v>2938</v>
      </c>
      <c r="I109">
        <v>144410.11199999999</v>
      </c>
    </row>
    <row r="110" spans="1:9" x14ac:dyDescent="0.25">
      <c r="A110" t="s">
        <v>9164</v>
      </c>
      <c r="C110" t="s">
        <v>9165</v>
      </c>
      <c r="D110" t="s">
        <v>9332</v>
      </c>
      <c r="E110" t="s">
        <v>2566</v>
      </c>
      <c r="F110" s="1">
        <v>44900</v>
      </c>
      <c r="G110" t="str">
        <f t="shared" si="5"/>
        <v>300115</v>
      </c>
      <c r="H110" t="s">
        <v>2938</v>
      </c>
      <c r="I110">
        <v>250034.4</v>
      </c>
    </row>
    <row r="111" spans="1:9" x14ac:dyDescent="0.25">
      <c r="A111" t="s">
        <v>9164</v>
      </c>
      <c r="C111" t="s">
        <v>9165</v>
      </c>
      <c r="D111" t="s">
        <v>9333</v>
      </c>
      <c r="E111" t="s">
        <v>1313</v>
      </c>
      <c r="F111" s="1">
        <v>44921</v>
      </c>
      <c r="G111" t="str">
        <f t="shared" si="5"/>
        <v>300115</v>
      </c>
      <c r="H111" t="s">
        <v>2938</v>
      </c>
      <c r="I111">
        <v>1343576.135</v>
      </c>
    </row>
    <row r="112" spans="1:9" x14ac:dyDescent="0.25">
      <c r="A112" t="s">
        <v>9164</v>
      </c>
      <c r="C112" t="s">
        <v>9165</v>
      </c>
      <c r="D112" t="s">
        <v>9334</v>
      </c>
      <c r="E112" t="s">
        <v>9335</v>
      </c>
      <c r="F112" s="1">
        <v>44923</v>
      </c>
      <c r="G112" t="str">
        <f t="shared" si="5"/>
        <v>300115</v>
      </c>
      <c r="H112" t="s">
        <v>2938</v>
      </c>
      <c r="I112">
        <v>2364303.0070000002</v>
      </c>
    </row>
    <row r="113" spans="1:9" x14ac:dyDescent="0.25">
      <c r="A113" t="s">
        <v>9164</v>
      </c>
      <c r="C113" t="s">
        <v>9165</v>
      </c>
      <c r="D113" t="s">
        <v>9336</v>
      </c>
      <c r="E113" t="s">
        <v>9337</v>
      </c>
      <c r="F113" s="1">
        <v>44923</v>
      </c>
      <c r="G113" t="str">
        <f t="shared" si="5"/>
        <v>300115</v>
      </c>
      <c r="H113" t="s">
        <v>2938</v>
      </c>
      <c r="I113">
        <v>6655000</v>
      </c>
    </row>
    <row r="114" spans="1:9" x14ac:dyDescent="0.25">
      <c r="A114" t="s">
        <v>9164</v>
      </c>
      <c r="C114" t="s">
        <v>9165</v>
      </c>
      <c r="D114" t="s">
        <v>9338</v>
      </c>
      <c r="E114" t="s">
        <v>9264</v>
      </c>
      <c r="F114" s="1">
        <v>44923</v>
      </c>
      <c r="G114" t="str">
        <f t="shared" si="5"/>
        <v>300115</v>
      </c>
      <c r="H114" t="s">
        <v>2938</v>
      </c>
      <c r="I114">
        <v>298210</v>
      </c>
    </row>
    <row r="115" spans="1:9" x14ac:dyDescent="0.25">
      <c r="A115" t="s">
        <v>9164</v>
      </c>
      <c r="C115" t="s">
        <v>9165</v>
      </c>
      <c r="D115" t="s">
        <v>9339</v>
      </c>
      <c r="E115" t="s">
        <v>1313</v>
      </c>
      <c r="F115" s="1">
        <v>44943</v>
      </c>
      <c r="G115" t="str">
        <f t="shared" si="5"/>
        <v>300115</v>
      </c>
      <c r="H115" t="s">
        <v>2938</v>
      </c>
      <c r="I115">
        <v>6874823.4720000001</v>
      </c>
    </row>
    <row r="116" spans="1:9" x14ac:dyDescent="0.25">
      <c r="A116" t="s">
        <v>9164</v>
      </c>
      <c r="C116" t="s">
        <v>9165</v>
      </c>
      <c r="D116" t="s">
        <v>9340</v>
      </c>
      <c r="E116" t="s">
        <v>9341</v>
      </c>
      <c r="F116" s="1">
        <v>44943</v>
      </c>
      <c r="G116" t="str">
        <f t="shared" si="5"/>
        <v>300115</v>
      </c>
      <c r="H116" t="s">
        <v>2938</v>
      </c>
      <c r="I116">
        <v>2574179.1570000001</v>
      </c>
    </row>
    <row r="117" spans="1:9" x14ac:dyDescent="0.25">
      <c r="A117" t="s">
        <v>9164</v>
      </c>
      <c r="C117" t="s">
        <v>9165</v>
      </c>
      <c r="D117" t="s">
        <v>9342</v>
      </c>
      <c r="E117" t="s">
        <v>9343</v>
      </c>
      <c r="F117" s="1">
        <v>44965</v>
      </c>
      <c r="G117" t="str">
        <f>"300220"</f>
        <v>300220</v>
      </c>
      <c r="H117" t="s">
        <v>2170</v>
      </c>
      <c r="I117">
        <v>175717.212</v>
      </c>
    </row>
    <row r="118" spans="1:9" x14ac:dyDescent="0.25">
      <c r="A118" t="s">
        <v>9164</v>
      </c>
      <c r="C118" t="s">
        <v>9165</v>
      </c>
      <c r="D118" t="s">
        <v>9344</v>
      </c>
      <c r="E118" t="s">
        <v>9345</v>
      </c>
      <c r="F118" s="1">
        <v>44973</v>
      </c>
      <c r="G118" t="str">
        <f>"300115"</f>
        <v>300115</v>
      </c>
      <c r="H118" t="s">
        <v>2938</v>
      </c>
      <c r="I118">
        <v>0</v>
      </c>
    </row>
    <row r="119" spans="1:9" x14ac:dyDescent="0.25">
      <c r="A119" t="s">
        <v>9164</v>
      </c>
      <c r="C119" t="s">
        <v>9165</v>
      </c>
      <c r="D119" t="s">
        <v>9346</v>
      </c>
      <c r="E119" t="s">
        <v>9204</v>
      </c>
      <c r="F119" s="1">
        <v>44984</v>
      </c>
      <c r="G119" t="str">
        <f>"300115"</f>
        <v>300115</v>
      </c>
      <c r="H119" t="s">
        <v>2938</v>
      </c>
      <c r="I119">
        <v>10331.9931</v>
      </c>
    </row>
    <row r="120" spans="1:9" x14ac:dyDescent="0.25">
      <c r="A120" t="s">
        <v>9164</v>
      </c>
      <c r="C120" t="s">
        <v>9165</v>
      </c>
      <c r="D120" t="s">
        <v>9347</v>
      </c>
      <c r="E120" t="s">
        <v>9348</v>
      </c>
      <c r="F120" s="1">
        <v>44988</v>
      </c>
      <c r="G120" t="str">
        <f>"300115"</f>
        <v>300115</v>
      </c>
      <c r="H120" t="s">
        <v>2938</v>
      </c>
      <c r="I120">
        <v>2324.6761999999999</v>
      </c>
    </row>
    <row r="121" spans="1:9" x14ac:dyDescent="0.25">
      <c r="A121" t="s">
        <v>9164</v>
      </c>
      <c r="C121" t="s">
        <v>9165</v>
      </c>
      <c r="D121" t="s">
        <v>9349</v>
      </c>
      <c r="E121" t="s">
        <v>9350</v>
      </c>
      <c r="F121" s="1">
        <v>44994</v>
      </c>
      <c r="G121" t="str">
        <f>"300115"</f>
        <v>300115</v>
      </c>
      <c r="H121" t="s">
        <v>2938</v>
      </c>
      <c r="I121">
        <v>319000</v>
      </c>
    </row>
    <row r="122" spans="1:9" x14ac:dyDescent="0.25">
      <c r="A122" t="s">
        <v>9164</v>
      </c>
      <c r="C122" t="s">
        <v>9165</v>
      </c>
      <c r="D122" t="s">
        <v>9351</v>
      </c>
      <c r="E122" t="s">
        <v>9352</v>
      </c>
      <c r="F122" s="1">
        <v>45023</v>
      </c>
      <c r="G122" t="str">
        <f>"300312"</f>
        <v>300312</v>
      </c>
      <c r="H122" t="s">
        <v>3053</v>
      </c>
      <c r="I122">
        <v>0</v>
      </c>
    </row>
    <row r="123" spans="1:9" x14ac:dyDescent="0.25">
      <c r="A123" t="s">
        <v>9164</v>
      </c>
      <c r="C123" t="s">
        <v>9165</v>
      </c>
      <c r="D123" t="s">
        <v>9353</v>
      </c>
      <c r="E123" t="s">
        <v>9343</v>
      </c>
      <c r="F123" s="1">
        <v>45048</v>
      </c>
      <c r="G123" t="str">
        <f>"300220"</f>
        <v>300220</v>
      </c>
      <c r="H123" t="s">
        <v>2170</v>
      </c>
      <c r="I123">
        <v>172923.2</v>
      </c>
    </row>
    <row r="124" spans="1:9" x14ac:dyDescent="0.25">
      <c r="A124" t="s">
        <v>9164</v>
      </c>
      <c r="C124" t="s">
        <v>9165</v>
      </c>
      <c r="D124" t="s">
        <v>9354</v>
      </c>
      <c r="E124" t="s">
        <v>9355</v>
      </c>
      <c r="F124" s="1">
        <v>45064</v>
      </c>
      <c r="G124" t="str">
        <f>"300115"</f>
        <v>300115</v>
      </c>
      <c r="H124" t="s">
        <v>2938</v>
      </c>
      <c r="I124">
        <v>616000</v>
      </c>
    </row>
    <row r="125" spans="1:9" x14ac:dyDescent="0.25">
      <c r="A125" t="s">
        <v>9164</v>
      </c>
      <c r="C125" t="s">
        <v>9165</v>
      </c>
      <c r="D125" t="s">
        <v>9356</v>
      </c>
      <c r="E125" t="s">
        <v>1928</v>
      </c>
      <c r="F125" s="1">
        <v>45085</v>
      </c>
      <c r="G125" t="str">
        <f>"300115"</f>
        <v>300115</v>
      </c>
      <c r="H125" t="s">
        <v>2938</v>
      </c>
      <c r="I125">
        <v>804482.11800000002</v>
      </c>
    </row>
    <row r="126" spans="1:9" x14ac:dyDescent="0.25">
      <c r="A126" t="s">
        <v>9164</v>
      </c>
      <c r="C126" t="s">
        <v>9165</v>
      </c>
      <c r="D126" t="s">
        <v>9357</v>
      </c>
      <c r="E126" t="s">
        <v>1313</v>
      </c>
      <c r="F126" s="1">
        <v>45089</v>
      </c>
      <c r="G126" t="str">
        <f>"300115"</f>
        <v>300115</v>
      </c>
      <c r="H126" t="s">
        <v>2938</v>
      </c>
      <c r="I126">
        <v>19581</v>
      </c>
    </row>
    <row r="127" spans="1:9" x14ac:dyDescent="0.25">
      <c r="A127" t="s">
        <v>9164</v>
      </c>
      <c r="C127" t="s">
        <v>9165</v>
      </c>
      <c r="D127" t="s">
        <v>9358</v>
      </c>
      <c r="E127" t="s">
        <v>9343</v>
      </c>
      <c r="F127" s="1">
        <v>45119</v>
      </c>
      <c r="G127" t="str">
        <f>"300220"</f>
        <v>300220</v>
      </c>
      <c r="H127" t="s">
        <v>2170</v>
      </c>
      <c r="I127">
        <v>2858570.9240000001</v>
      </c>
    </row>
    <row r="128" spans="1:9" x14ac:dyDescent="0.25">
      <c r="A128" t="s">
        <v>9164</v>
      </c>
      <c r="C128" t="s">
        <v>9165</v>
      </c>
      <c r="D128" t="s">
        <v>9359</v>
      </c>
      <c r="E128" t="s">
        <v>9360</v>
      </c>
      <c r="F128" s="1">
        <v>45119</v>
      </c>
      <c r="G128" t="str">
        <f>"300220"</f>
        <v>300220</v>
      </c>
      <c r="H128" t="s">
        <v>2170</v>
      </c>
      <c r="I128">
        <v>9588563.2479999997</v>
      </c>
    </row>
    <row r="129" spans="1:9" x14ac:dyDescent="0.25">
      <c r="A129" t="s">
        <v>9164</v>
      </c>
      <c r="C129" t="s">
        <v>9165</v>
      </c>
      <c r="D129" t="s">
        <v>9361</v>
      </c>
      <c r="E129" t="s">
        <v>9112</v>
      </c>
      <c r="F129" s="1">
        <v>45127</v>
      </c>
      <c r="G129" t="str">
        <f>"300115"</f>
        <v>300115</v>
      </c>
      <c r="H129" t="s">
        <v>2938</v>
      </c>
      <c r="I129">
        <v>1938407.504</v>
      </c>
    </row>
    <row r="130" spans="1:9" x14ac:dyDescent="0.25">
      <c r="A130" t="s">
        <v>9164</v>
      </c>
      <c r="C130" t="s">
        <v>9165</v>
      </c>
      <c r="D130" t="s">
        <v>9362</v>
      </c>
      <c r="E130" t="s">
        <v>1313</v>
      </c>
      <c r="F130" s="1">
        <v>45135</v>
      </c>
      <c r="G130" t="str">
        <f>"300115"</f>
        <v>300115</v>
      </c>
      <c r="H130" t="s">
        <v>2938</v>
      </c>
      <c r="I130">
        <v>5872.9946</v>
      </c>
    </row>
    <row r="131" spans="1:9" x14ac:dyDescent="0.25">
      <c r="A131" t="s">
        <v>9164</v>
      </c>
      <c r="C131" t="s">
        <v>9165</v>
      </c>
      <c r="D131" t="s">
        <v>9363</v>
      </c>
      <c r="E131" t="s">
        <v>9335</v>
      </c>
      <c r="F131" s="1">
        <v>45176</v>
      </c>
      <c r="G131" t="str">
        <f>"300115"</f>
        <v>300115</v>
      </c>
      <c r="H131" t="s">
        <v>2938</v>
      </c>
      <c r="I131">
        <v>275.26400000000001</v>
      </c>
    </row>
    <row r="132" spans="1:9" x14ac:dyDescent="0.25">
      <c r="A132" t="s">
        <v>9164</v>
      </c>
      <c r="C132" t="s">
        <v>9165</v>
      </c>
      <c r="D132" t="s">
        <v>9364</v>
      </c>
      <c r="E132" t="s">
        <v>9365</v>
      </c>
      <c r="F132" s="1">
        <v>45190</v>
      </c>
      <c r="G132" t="str">
        <f>"300115"</f>
        <v>300115</v>
      </c>
      <c r="H132" t="s">
        <v>2938</v>
      </c>
      <c r="I132">
        <v>37854.460599999999</v>
      </c>
    </row>
    <row r="133" spans="1:9" x14ac:dyDescent="0.25">
      <c r="A133" t="s">
        <v>9164</v>
      </c>
      <c r="C133" t="s">
        <v>9165</v>
      </c>
      <c r="D133" t="s">
        <v>9366</v>
      </c>
      <c r="E133" t="s">
        <v>9337</v>
      </c>
      <c r="F133" s="1">
        <v>45215</v>
      </c>
      <c r="G133" t="str">
        <f>"300115"</f>
        <v>300115</v>
      </c>
      <c r="H133" t="s">
        <v>2938</v>
      </c>
      <c r="I133">
        <v>3943500</v>
      </c>
    </row>
    <row r="134" spans="1:9" x14ac:dyDescent="0.25">
      <c r="A134" t="s">
        <v>9164</v>
      </c>
      <c r="C134" t="s">
        <v>9165</v>
      </c>
      <c r="D134" t="s">
        <v>9367</v>
      </c>
      <c r="E134" t="s">
        <v>9189</v>
      </c>
      <c r="F134" s="1">
        <v>45225</v>
      </c>
      <c r="G134" t="str">
        <f>"300220"</f>
        <v>300220</v>
      </c>
      <c r="H134" t="s">
        <v>2170</v>
      </c>
      <c r="I134">
        <v>242000</v>
      </c>
    </row>
    <row r="135" spans="1:9" x14ac:dyDescent="0.25">
      <c r="A135" t="s">
        <v>9164</v>
      </c>
      <c r="C135" t="s">
        <v>9165</v>
      </c>
      <c r="D135" t="s">
        <v>9368</v>
      </c>
      <c r="E135" t="s">
        <v>9365</v>
      </c>
      <c r="F135" s="1">
        <v>45241</v>
      </c>
      <c r="G135" t="str">
        <f>"300115"</f>
        <v>300115</v>
      </c>
      <c r="H135" t="s">
        <v>2938</v>
      </c>
      <c r="I135">
        <v>179968.03</v>
      </c>
    </row>
    <row r="136" spans="1:9" x14ac:dyDescent="0.25">
      <c r="A136" t="s">
        <v>9164</v>
      </c>
      <c r="C136" t="s">
        <v>9165</v>
      </c>
      <c r="D136" t="s">
        <v>9369</v>
      </c>
      <c r="E136" t="s">
        <v>9204</v>
      </c>
      <c r="F136" s="1">
        <v>45260</v>
      </c>
      <c r="G136" t="str">
        <f>"300115"</f>
        <v>300115</v>
      </c>
      <c r="H136" t="s">
        <v>2938</v>
      </c>
      <c r="I136">
        <v>3475.1651000000002</v>
      </c>
    </row>
    <row r="137" spans="1:9" x14ac:dyDescent="0.25">
      <c r="A137" t="s">
        <v>9164</v>
      </c>
      <c r="C137" t="s">
        <v>9165</v>
      </c>
      <c r="D137" t="s">
        <v>9370</v>
      </c>
      <c r="E137" t="s">
        <v>9371</v>
      </c>
      <c r="F137" s="1">
        <v>45285</v>
      </c>
      <c r="G137" t="str">
        <f>"300220"</f>
        <v>300220</v>
      </c>
      <c r="H137" t="s">
        <v>2170</v>
      </c>
      <c r="I137">
        <v>1084600</v>
      </c>
    </row>
    <row r="138" spans="1:9" x14ac:dyDescent="0.25">
      <c r="A138" t="s">
        <v>9164</v>
      </c>
      <c r="C138" t="s">
        <v>9165</v>
      </c>
      <c r="D138" t="s">
        <v>9372</v>
      </c>
      <c r="E138" t="s">
        <v>9335</v>
      </c>
      <c r="F138" s="1">
        <v>45296</v>
      </c>
      <c r="G138" t="str">
        <f>"300115"</f>
        <v>300115</v>
      </c>
      <c r="H138" t="s">
        <v>2938</v>
      </c>
      <c r="I138">
        <v>170805.69</v>
      </c>
    </row>
    <row r="139" spans="1:9" x14ac:dyDescent="0.25">
      <c r="A139" t="s">
        <v>9164</v>
      </c>
      <c r="C139" t="s">
        <v>9165</v>
      </c>
      <c r="D139" t="s">
        <v>9373</v>
      </c>
      <c r="E139" t="s">
        <v>9374</v>
      </c>
      <c r="F139" s="1">
        <v>45308</v>
      </c>
      <c r="G139" t="str">
        <f>"300220"</f>
        <v>300220</v>
      </c>
      <c r="H139" t="s">
        <v>2170</v>
      </c>
      <c r="I139">
        <v>311785.58399999997</v>
      </c>
    </row>
    <row r="140" spans="1:9" x14ac:dyDescent="0.25">
      <c r="A140" t="s">
        <v>9164</v>
      </c>
      <c r="C140" t="s">
        <v>9165</v>
      </c>
      <c r="D140" t="s">
        <v>9375</v>
      </c>
      <c r="E140" t="s">
        <v>9376</v>
      </c>
      <c r="F140" s="1">
        <v>45330</v>
      </c>
      <c r="G140" t="str">
        <f>"300220"</f>
        <v>300220</v>
      </c>
      <c r="H140" t="s">
        <v>2170</v>
      </c>
      <c r="I140">
        <v>1045000</v>
      </c>
    </row>
    <row r="141" spans="1:9" x14ac:dyDescent="0.25">
      <c r="A141" t="s">
        <v>9164</v>
      </c>
      <c r="C141" t="s">
        <v>9165</v>
      </c>
      <c r="D141" t="s">
        <v>9377</v>
      </c>
      <c r="E141" t="s">
        <v>9189</v>
      </c>
      <c r="F141" s="1">
        <v>45337</v>
      </c>
      <c r="G141" t="str">
        <f>"300115"</f>
        <v>300115</v>
      </c>
      <c r="H141" t="s">
        <v>2938</v>
      </c>
      <c r="I141">
        <v>52472.211000000003</v>
      </c>
    </row>
    <row r="142" spans="1:9" x14ac:dyDescent="0.25">
      <c r="A142" t="s">
        <v>9164</v>
      </c>
      <c r="C142" t="s">
        <v>9165</v>
      </c>
      <c r="D142" t="s">
        <v>9378</v>
      </c>
      <c r="E142" t="s">
        <v>9335</v>
      </c>
      <c r="F142" s="1">
        <v>45341</v>
      </c>
      <c r="G142" t="str">
        <f>"300381"</f>
        <v>300381</v>
      </c>
      <c r="H142" t="s">
        <v>3118</v>
      </c>
      <c r="I142">
        <v>726665.43729999999</v>
      </c>
    </row>
    <row r="143" spans="1:9" x14ac:dyDescent="0.25">
      <c r="A143" t="s">
        <v>9164</v>
      </c>
      <c r="C143" t="s">
        <v>9165</v>
      </c>
      <c r="D143" t="s">
        <v>9379</v>
      </c>
      <c r="E143" t="s">
        <v>9345</v>
      </c>
      <c r="F143" s="1">
        <v>45345</v>
      </c>
      <c r="G143" t="str">
        <f>"300115"</f>
        <v>300115</v>
      </c>
      <c r="H143" t="s">
        <v>2938</v>
      </c>
      <c r="I143">
        <v>9230.4519999999993</v>
      </c>
    </row>
    <row r="144" spans="1:9" x14ac:dyDescent="0.25">
      <c r="A144" t="s">
        <v>9164</v>
      </c>
      <c r="C144" t="s">
        <v>9165</v>
      </c>
      <c r="D144" t="s">
        <v>9380</v>
      </c>
      <c r="E144" t="s">
        <v>8967</v>
      </c>
      <c r="F144" s="1">
        <v>45364</v>
      </c>
      <c r="G144" t="str">
        <f>"300356"</f>
        <v>300356</v>
      </c>
      <c r="H144" t="s">
        <v>3094</v>
      </c>
      <c r="I144">
        <v>3291.2</v>
      </c>
    </row>
    <row r="145" spans="1:9" x14ac:dyDescent="0.25">
      <c r="A145" t="s">
        <v>9164</v>
      </c>
      <c r="C145" t="s">
        <v>9165</v>
      </c>
      <c r="D145" t="s">
        <v>9381</v>
      </c>
      <c r="E145" t="s">
        <v>9382</v>
      </c>
      <c r="F145" s="1">
        <v>45377</v>
      </c>
      <c r="G145" t="str">
        <f>"300382"</f>
        <v>300382</v>
      </c>
      <c r="H145" t="s">
        <v>3119</v>
      </c>
      <c r="I145">
        <v>625739.4</v>
      </c>
    </row>
    <row r="146" spans="1:9" x14ac:dyDescent="0.25">
      <c r="A146" t="s">
        <v>9164</v>
      </c>
      <c r="C146" t="s">
        <v>9165</v>
      </c>
      <c r="D146" t="s">
        <v>9383</v>
      </c>
      <c r="E146" t="s">
        <v>9384</v>
      </c>
      <c r="F146" s="1">
        <v>45412</v>
      </c>
      <c r="G146" t="str">
        <f>"300220"</f>
        <v>300220</v>
      </c>
      <c r="H146" t="s">
        <v>2170</v>
      </c>
      <c r="I146">
        <v>1094500</v>
      </c>
    </row>
    <row r="147" spans="1:9" x14ac:dyDescent="0.25">
      <c r="A147" t="s">
        <v>9164</v>
      </c>
      <c r="C147" t="s">
        <v>9165</v>
      </c>
      <c r="D147" t="s">
        <v>9385</v>
      </c>
      <c r="E147" t="s">
        <v>9386</v>
      </c>
      <c r="F147" s="1">
        <v>45412</v>
      </c>
      <c r="G147" t="str">
        <f>"300220"</f>
        <v>300220</v>
      </c>
      <c r="H147" t="s">
        <v>2170</v>
      </c>
      <c r="I147">
        <v>1144000</v>
      </c>
    </row>
    <row r="148" spans="1:9" x14ac:dyDescent="0.25">
      <c r="A148" t="s">
        <v>9164</v>
      </c>
      <c r="C148" t="s">
        <v>9165</v>
      </c>
      <c r="D148" t="s">
        <v>9387</v>
      </c>
      <c r="F148" s="1">
        <v>45412</v>
      </c>
      <c r="G148" t="str">
        <f>"300356"</f>
        <v>300356</v>
      </c>
      <c r="H148" t="s">
        <v>3094</v>
      </c>
      <c r="I148">
        <v>206844</v>
      </c>
    </row>
    <row r="149" spans="1:9" x14ac:dyDescent="0.25">
      <c r="A149" t="s">
        <v>9164</v>
      </c>
      <c r="C149" t="s">
        <v>9165</v>
      </c>
      <c r="D149" t="s">
        <v>9388</v>
      </c>
      <c r="E149" t="s">
        <v>9389</v>
      </c>
      <c r="F149" s="1">
        <v>45412</v>
      </c>
      <c r="G149" t="str">
        <f>"300356"</f>
        <v>300356</v>
      </c>
      <c r="H149" t="s">
        <v>3094</v>
      </c>
      <c r="I149">
        <v>197034.2</v>
      </c>
    </row>
    <row r="150" spans="1:9" x14ac:dyDescent="0.25">
      <c r="A150" t="s">
        <v>9164</v>
      </c>
      <c r="C150" t="s">
        <v>9165</v>
      </c>
      <c r="D150" t="s">
        <v>9390</v>
      </c>
      <c r="E150" t="s">
        <v>9343</v>
      </c>
      <c r="F150" s="1">
        <v>45415</v>
      </c>
      <c r="G150" t="str">
        <f>"300220"</f>
        <v>300220</v>
      </c>
      <c r="H150" t="s">
        <v>2170</v>
      </c>
      <c r="I150">
        <v>3834048.702</v>
      </c>
    </row>
    <row r="151" spans="1:9" x14ac:dyDescent="0.25">
      <c r="A151" t="s">
        <v>9164</v>
      </c>
      <c r="C151" t="s">
        <v>9165</v>
      </c>
      <c r="D151" t="s">
        <v>9391</v>
      </c>
      <c r="E151" t="s">
        <v>9155</v>
      </c>
      <c r="F151" s="1">
        <v>45419</v>
      </c>
      <c r="G151" t="str">
        <f>"300115"</f>
        <v>300115</v>
      </c>
      <c r="H151" t="s">
        <v>2938</v>
      </c>
      <c r="I151">
        <v>1089000</v>
      </c>
    </row>
    <row r="152" spans="1:9" x14ac:dyDescent="0.25">
      <c r="A152" t="s">
        <v>9164</v>
      </c>
      <c r="C152" t="s">
        <v>9165</v>
      </c>
      <c r="D152" t="s">
        <v>9392</v>
      </c>
      <c r="E152" t="s">
        <v>9393</v>
      </c>
      <c r="F152" s="1">
        <v>45425</v>
      </c>
      <c r="G152" t="str">
        <f>"300220"</f>
        <v>300220</v>
      </c>
      <c r="H152" t="s">
        <v>2170</v>
      </c>
      <c r="I152">
        <v>1187929.6000000001</v>
      </c>
    </row>
    <row r="153" spans="1:9" x14ac:dyDescent="0.25">
      <c r="A153" t="s">
        <v>9164</v>
      </c>
      <c r="C153" t="s">
        <v>9165</v>
      </c>
      <c r="D153" t="s">
        <v>9394</v>
      </c>
      <c r="E153" t="s">
        <v>9395</v>
      </c>
      <c r="F153" s="1">
        <v>45432</v>
      </c>
      <c r="G153" t="str">
        <f>"300381"</f>
        <v>300381</v>
      </c>
      <c r="H153" t="s">
        <v>3118</v>
      </c>
      <c r="I153">
        <v>1111000</v>
      </c>
    </row>
    <row r="154" spans="1:9" x14ac:dyDescent="0.25">
      <c r="A154" t="s">
        <v>9164</v>
      </c>
      <c r="C154" t="s">
        <v>9165</v>
      </c>
      <c r="D154" t="s">
        <v>9396</v>
      </c>
      <c r="E154" t="s">
        <v>1313</v>
      </c>
      <c r="F154" s="1">
        <v>45439</v>
      </c>
      <c r="G154" t="str">
        <f>"300115"</f>
        <v>300115</v>
      </c>
      <c r="H154" t="s">
        <v>2938</v>
      </c>
      <c r="I154">
        <v>2223332.1</v>
      </c>
    </row>
    <row r="155" spans="1:9" x14ac:dyDescent="0.25">
      <c r="A155" t="s">
        <v>9164</v>
      </c>
      <c r="C155" t="s">
        <v>9165</v>
      </c>
      <c r="D155" t="s">
        <v>9397</v>
      </c>
      <c r="E155" t="s">
        <v>9398</v>
      </c>
      <c r="F155" s="1">
        <v>45439</v>
      </c>
      <c r="G155" t="str">
        <f>"300220"</f>
        <v>300220</v>
      </c>
      <c r="H155" t="s">
        <v>2170</v>
      </c>
      <c r="I155">
        <v>502952.82400000002</v>
      </c>
    </row>
    <row r="156" spans="1:9" x14ac:dyDescent="0.25">
      <c r="A156" t="s">
        <v>9164</v>
      </c>
      <c r="C156" t="s">
        <v>9165</v>
      </c>
      <c r="D156" t="s">
        <v>9399</v>
      </c>
      <c r="E156" t="s">
        <v>9400</v>
      </c>
      <c r="F156" s="1">
        <v>45440</v>
      </c>
      <c r="G156" t="str">
        <f>"300382"</f>
        <v>300382</v>
      </c>
      <c r="H156" t="s">
        <v>3119</v>
      </c>
      <c r="I156">
        <v>171751.58</v>
      </c>
    </row>
    <row r="157" spans="1:9" x14ac:dyDescent="0.25">
      <c r="A157" t="s">
        <v>9164</v>
      </c>
      <c r="C157" t="s">
        <v>9165</v>
      </c>
      <c r="D157" t="s">
        <v>9401</v>
      </c>
      <c r="E157" t="s">
        <v>9402</v>
      </c>
      <c r="F157" s="1">
        <v>45440</v>
      </c>
      <c r="G157" t="str">
        <f>"300382"</f>
        <v>300382</v>
      </c>
      <c r="H157" t="s">
        <v>3119</v>
      </c>
      <c r="I157">
        <v>171751.58</v>
      </c>
    </row>
    <row r="158" spans="1:9" x14ac:dyDescent="0.25">
      <c r="A158" t="s">
        <v>9164</v>
      </c>
      <c r="C158" t="s">
        <v>9165</v>
      </c>
      <c r="D158" t="s">
        <v>9403</v>
      </c>
      <c r="E158" t="s">
        <v>9404</v>
      </c>
      <c r="F158" s="1">
        <v>45440</v>
      </c>
      <c r="G158" t="str">
        <f>"300382"</f>
        <v>300382</v>
      </c>
      <c r="H158" t="s">
        <v>3119</v>
      </c>
      <c r="I158">
        <v>171751.58</v>
      </c>
    </row>
    <row r="159" spans="1:9" x14ac:dyDescent="0.25">
      <c r="A159" t="s">
        <v>9164</v>
      </c>
      <c r="C159" t="s">
        <v>9165</v>
      </c>
      <c r="D159" t="s">
        <v>9405</v>
      </c>
      <c r="E159" t="s">
        <v>9406</v>
      </c>
      <c r="F159" s="1">
        <v>45440</v>
      </c>
      <c r="G159" t="str">
        <f>"300382"</f>
        <v>300382</v>
      </c>
      <c r="H159" t="s">
        <v>3119</v>
      </c>
      <c r="I159">
        <v>171751.58</v>
      </c>
    </row>
    <row r="160" spans="1:9" x14ac:dyDescent="0.25">
      <c r="A160" t="s">
        <v>9164</v>
      </c>
      <c r="C160" t="s">
        <v>9165</v>
      </c>
      <c r="D160" t="s">
        <v>9407</v>
      </c>
      <c r="E160" t="s">
        <v>9112</v>
      </c>
      <c r="F160" s="1">
        <v>45442</v>
      </c>
      <c r="G160" t="str">
        <f>"300115"</f>
        <v>300115</v>
      </c>
      <c r="H160" t="s">
        <v>2938</v>
      </c>
      <c r="I160">
        <v>1867800</v>
      </c>
    </row>
    <row r="161" spans="1:9" x14ac:dyDescent="0.25">
      <c r="A161" t="s">
        <v>9164</v>
      </c>
      <c r="C161" t="s">
        <v>9165</v>
      </c>
      <c r="D161" t="s">
        <v>9408</v>
      </c>
      <c r="E161" t="s">
        <v>9409</v>
      </c>
      <c r="F161" s="1">
        <v>45447</v>
      </c>
      <c r="G161" t="str">
        <f>"300115"</f>
        <v>300115</v>
      </c>
      <c r="H161" t="s">
        <v>2938</v>
      </c>
      <c r="I161">
        <v>4384.2150000000001</v>
      </c>
    </row>
    <row r="162" spans="1:9" x14ac:dyDescent="0.25">
      <c r="A162" t="s">
        <v>9164</v>
      </c>
      <c r="C162" t="s">
        <v>9165</v>
      </c>
      <c r="D162" t="s">
        <v>9410</v>
      </c>
      <c r="E162" t="s">
        <v>2762</v>
      </c>
      <c r="F162" s="1">
        <v>45447</v>
      </c>
      <c r="G162" t="str">
        <f>"300115"</f>
        <v>300115</v>
      </c>
      <c r="H162" t="s">
        <v>2938</v>
      </c>
      <c r="I162">
        <v>571160.93099999998</v>
      </c>
    </row>
    <row r="163" spans="1:9" x14ac:dyDescent="0.25">
      <c r="A163" t="s">
        <v>9164</v>
      </c>
      <c r="C163" t="s">
        <v>9165</v>
      </c>
      <c r="D163" t="s">
        <v>9411</v>
      </c>
      <c r="E163" t="s">
        <v>9189</v>
      </c>
      <c r="F163" s="1">
        <v>45477</v>
      </c>
      <c r="G163" t="str">
        <f>"300115"</f>
        <v>300115</v>
      </c>
      <c r="H163" t="s">
        <v>2938</v>
      </c>
      <c r="I163">
        <v>561937.95900000003</v>
      </c>
    </row>
    <row r="164" spans="1:9" x14ac:dyDescent="0.25">
      <c r="A164" t="s">
        <v>9164</v>
      </c>
      <c r="C164" t="s">
        <v>9165</v>
      </c>
      <c r="D164" t="s">
        <v>9412</v>
      </c>
      <c r="E164" t="s">
        <v>9413</v>
      </c>
      <c r="F164" s="1">
        <v>45477</v>
      </c>
      <c r="G164" t="str">
        <f>"300220"</f>
        <v>300220</v>
      </c>
      <c r="H164" t="s">
        <v>2170</v>
      </c>
      <c r="I164">
        <v>4488506.88</v>
      </c>
    </row>
    <row r="165" spans="1:9" x14ac:dyDescent="0.25">
      <c r="A165" t="s">
        <v>9164</v>
      </c>
      <c r="C165" t="s">
        <v>9165</v>
      </c>
      <c r="D165" t="s">
        <v>9414</v>
      </c>
      <c r="E165" t="s">
        <v>8903</v>
      </c>
      <c r="F165" s="1">
        <v>45478</v>
      </c>
      <c r="G165" t="str">
        <f>"300115"</f>
        <v>300115</v>
      </c>
      <c r="H165" t="s">
        <v>2938</v>
      </c>
      <c r="I165">
        <v>203686.56</v>
      </c>
    </row>
    <row r="166" spans="1:9" x14ac:dyDescent="0.25">
      <c r="A166" t="s">
        <v>9164</v>
      </c>
      <c r="C166" t="s">
        <v>9165</v>
      </c>
      <c r="D166" t="s">
        <v>9415</v>
      </c>
      <c r="E166" t="s">
        <v>2172</v>
      </c>
      <c r="F166" s="1">
        <v>45488</v>
      </c>
      <c r="G166" t="str">
        <f>"300381"</f>
        <v>300381</v>
      </c>
      <c r="H166" t="s">
        <v>3118</v>
      </c>
      <c r="I166">
        <v>1845950.2324999999</v>
      </c>
    </row>
    <row r="167" spans="1:9" x14ac:dyDescent="0.25">
      <c r="A167" t="s">
        <v>9164</v>
      </c>
      <c r="C167" t="s">
        <v>9165</v>
      </c>
      <c r="D167" t="s">
        <v>9416</v>
      </c>
      <c r="E167" t="s">
        <v>8852</v>
      </c>
      <c r="F167" s="1">
        <v>45492</v>
      </c>
      <c r="G167" t="str">
        <f>"300381"</f>
        <v>300381</v>
      </c>
      <c r="H167" t="s">
        <v>3118</v>
      </c>
      <c r="I167">
        <v>4708000</v>
      </c>
    </row>
    <row r="168" spans="1:9" x14ac:dyDescent="0.25">
      <c r="A168" t="s">
        <v>9164</v>
      </c>
      <c r="C168" t="s">
        <v>9165</v>
      </c>
      <c r="D168" t="s">
        <v>9417</v>
      </c>
      <c r="E168" t="s">
        <v>9418</v>
      </c>
      <c r="F168" s="1">
        <v>45497</v>
      </c>
      <c r="G168" t="str">
        <f>"300381"</f>
        <v>300381</v>
      </c>
      <c r="H168" t="s">
        <v>3118</v>
      </c>
      <c r="I168">
        <v>1047678.72</v>
      </c>
    </row>
    <row r="169" spans="1:9" x14ac:dyDescent="0.25">
      <c r="A169" t="s">
        <v>9164</v>
      </c>
      <c r="C169" t="s">
        <v>9165</v>
      </c>
      <c r="D169" t="s">
        <v>9419</v>
      </c>
      <c r="E169" t="s">
        <v>9420</v>
      </c>
      <c r="F169" s="1">
        <v>45505</v>
      </c>
      <c r="G169" t="str">
        <f>"300381"</f>
        <v>300381</v>
      </c>
      <c r="H169" t="s">
        <v>3118</v>
      </c>
      <c r="I169">
        <v>1580897.692</v>
      </c>
    </row>
    <row r="170" spans="1:9" x14ac:dyDescent="0.25">
      <c r="A170" t="s">
        <v>9164</v>
      </c>
      <c r="C170" t="s">
        <v>9165</v>
      </c>
      <c r="D170" t="s">
        <v>9421</v>
      </c>
      <c r="F170" s="1">
        <v>45506</v>
      </c>
      <c r="G170" t="str">
        <f>"300115"</f>
        <v>300115</v>
      </c>
      <c r="H170" t="s">
        <v>2938</v>
      </c>
      <c r="I170">
        <v>640179.54</v>
      </c>
    </row>
    <row r="171" spans="1:9" x14ac:dyDescent="0.25">
      <c r="A171" t="s">
        <v>9164</v>
      </c>
      <c r="C171" t="s">
        <v>9165</v>
      </c>
      <c r="D171" t="s">
        <v>9422</v>
      </c>
      <c r="E171" t="s">
        <v>9423</v>
      </c>
      <c r="F171" s="1">
        <v>45546</v>
      </c>
      <c r="G171" t="str">
        <f>"300220"</f>
        <v>300220</v>
      </c>
      <c r="H171" t="s">
        <v>2170</v>
      </c>
      <c r="I171">
        <v>5500000</v>
      </c>
    </row>
    <row r="172" spans="1:9" x14ac:dyDescent="0.25">
      <c r="A172" t="s">
        <v>9164</v>
      </c>
      <c r="C172" t="s">
        <v>9165</v>
      </c>
      <c r="D172" t="s">
        <v>9424</v>
      </c>
      <c r="E172" t="s">
        <v>9425</v>
      </c>
      <c r="F172" s="1">
        <v>45546</v>
      </c>
      <c r="G172" t="str">
        <f>"300356"</f>
        <v>300356</v>
      </c>
      <c r="H172" t="s">
        <v>3094</v>
      </c>
      <c r="I172">
        <v>15465.89</v>
      </c>
    </row>
    <row r="173" spans="1:9" x14ac:dyDescent="0.25">
      <c r="A173" t="s">
        <v>9164</v>
      </c>
      <c r="C173" t="s">
        <v>9165</v>
      </c>
      <c r="D173" t="s">
        <v>9426</v>
      </c>
      <c r="E173" t="s">
        <v>9343</v>
      </c>
      <c r="F173" s="1">
        <v>45567</v>
      </c>
      <c r="G173" t="str">
        <f>"300115"</f>
        <v>300115</v>
      </c>
      <c r="H173" t="s">
        <v>2938</v>
      </c>
      <c r="I173">
        <v>748440</v>
      </c>
    </row>
    <row r="174" spans="1:9" x14ac:dyDescent="0.25">
      <c r="A174" t="s">
        <v>9164</v>
      </c>
      <c r="C174" t="s">
        <v>9165</v>
      </c>
      <c r="D174" t="s">
        <v>9427</v>
      </c>
      <c r="E174" t="s">
        <v>9428</v>
      </c>
      <c r="F174" s="1">
        <v>45567</v>
      </c>
      <c r="G174" t="str">
        <f>"300381"</f>
        <v>300381</v>
      </c>
      <c r="H174" t="s">
        <v>3118</v>
      </c>
      <c r="I174">
        <v>320973.4363</v>
      </c>
    </row>
    <row r="175" spans="1:9" x14ac:dyDescent="0.25">
      <c r="A175" t="s">
        <v>9164</v>
      </c>
      <c r="C175" t="s">
        <v>9165</v>
      </c>
      <c r="D175" t="s">
        <v>9429</v>
      </c>
      <c r="E175" t="s">
        <v>9189</v>
      </c>
      <c r="F175" s="1">
        <v>45576</v>
      </c>
      <c r="G175" t="str">
        <f t="shared" ref="G175:G182" si="6">"300115"</f>
        <v>300115</v>
      </c>
      <c r="H175" t="s">
        <v>2938</v>
      </c>
      <c r="I175">
        <v>915204.07</v>
      </c>
    </row>
    <row r="176" spans="1:9" x14ac:dyDescent="0.25">
      <c r="A176" t="s">
        <v>9164</v>
      </c>
      <c r="C176" t="s">
        <v>9165</v>
      </c>
      <c r="D176" t="s">
        <v>9430</v>
      </c>
      <c r="E176" t="s">
        <v>9431</v>
      </c>
      <c r="F176" s="1">
        <v>45582</v>
      </c>
      <c r="G176" t="str">
        <f t="shared" si="6"/>
        <v>300115</v>
      </c>
      <c r="H176" t="s">
        <v>2938</v>
      </c>
      <c r="I176">
        <v>163713.44</v>
      </c>
    </row>
    <row r="177" spans="1:9" x14ac:dyDescent="0.25">
      <c r="A177" t="s">
        <v>9164</v>
      </c>
      <c r="C177" t="s">
        <v>9165</v>
      </c>
      <c r="D177" t="s">
        <v>9432</v>
      </c>
      <c r="E177" t="s">
        <v>9409</v>
      </c>
      <c r="F177" s="1">
        <v>45608</v>
      </c>
      <c r="G177" t="str">
        <f t="shared" si="6"/>
        <v>300115</v>
      </c>
      <c r="H177" t="s">
        <v>2938</v>
      </c>
      <c r="I177">
        <v>9508.9500000000007</v>
      </c>
    </row>
    <row r="178" spans="1:9" x14ac:dyDescent="0.25">
      <c r="A178" t="s">
        <v>9164</v>
      </c>
      <c r="C178" t="s">
        <v>9165</v>
      </c>
      <c r="D178" t="s">
        <v>9433</v>
      </c>
      <c r="E178" t="s">
        <v>9189</v>
      </c>
      <c r="F178" s="1">
        <v>45615</v>
      </c>
      <c r="G178" t="str">
        <f t="shared" si="6"/>
        <v>300115</v>
      </c>
      <c r="H178" t="s">
        <v>2938</v>
      </c>
      <c r="I178">
        <v>485304.6924</v>
      </c>
    </row>
    <row r="179" spans="1:9" x14ac:dyDescent="0.25">
      <c r="A179" t="s">
        <v>9164</v>
      </c>
      <c r="C179" t="s">
        <v>9165</v>
      </c>
      <c r="D179" t="s">
        <v>9434</v>
      </c>
      <c r="E179" t="s">
        <v>9435</v>
      </c>
      <c r="F179" s="1">
        <v>45623</v>
      </c>
      <c r="G179" t="str">
        <f t="shared" si="6"/>
        <v>300115</v>
      </c>
      <c r="H179" t="s">
        <v>2938</v>
      </c>
      <c r="I179">
        <v>8800</v>
      </c>
    </row>
    <row r="180" spans="1:9" x14ac:dyDescent="0.25">
      <c r="A180" t="s">
        <v>9164</v>
      </c>
      <c r="C180" t="s">
        <v>9165</v>
      </c>
      <c r="D180" t="s">
        <v>9436</v>
      </c>
      <c r="E180" t="s">
        <v>272</v>
      </c>
      <c r="F180" s="1">
        <v>45623</v>
      </c>
      <c r="G180" t="str">
        <f t="shared" si="6"/>
        <v>300115</v>
      </c>
      <c r="H180" t="s">
        <v>2938</v>
      </c>
      <c r="I180">
        <v>118311.6</v>
      </c>
    </row>
    <row r="181" spans="1:9" x14ac:dyDescent="0.25">
      <c r="A181" t="s">
        <v>9164</v>
      </c>
      <c r="C181" t="s">
        <v>9165</v>
      </c>
      <c r="D181" t="s">
        <v>9437</v>
      </c>
      <c r="E181" t="s">
        <v>9438</v>
      </c>
      <c r="F181" s="1">
        <v>45628</v>
      </c>
      <c r="G181" t="str">
        <f t="shared" si="6"/>
        <v>300115</v>
      </c>
      <c r="H181" t="s">
        <v>2938</v>
      </c>
      <c r="I181">
        <v>4627951.449</v>
      </c>
    </row>
    <row r="182" spans="1:9" x14ac:dyDescent="0.25">
      <c r="A182" t="s">
        <v>9164</v>
      </c>
      <c r="C182" t="s">
        <v>9165</v>
      </c>
      <c r="D182" t="s">
        <v>9439</v>
      </c>
      <c r="E182" t="s">
        <v>9435</v>
      </c>
      <c r="F182" s="1">
        <v>45636</v>
      </c>
      <c r="G182" t="str">
        <f t="shared" si="6"/>
        <v>300115</v>
      </c>
      <c r="H182" t="s">
        <v>2938</v>
      </c>
      <c r="I182">
        <v>0</v>
      </c>
    </row>
    <row r="183" spans="1:9" x14ac:dyDescent="0.25">
      <c r="A183" t="s">
        <v>9164</v>
      </c>
      <c r="C183" t="s">
        <v>9165</v>
      </c>
      <c r="D183" t="s">
        <v>9440</v>
      </c>
      <c r="E183" t="s">
        <v>9189</v>
      </c>
      <c r="F183" s="1">
        <v>45644</v>
      </c>
      <c r="G183" t="str">
        <f>"300381"</f>
        <v>300381</v>
      </c>
      <c r="H183" t="s">
        <v>3118</v>
      </c>
      <c r="I183">
        <v>68028.104099999997</v>
      </c>
    </row>
    <row r="184" spans="1:9" x14ac:dyDescent="0.25">
      <c r="A184" t="s">
        <v>9164</v>
      </c>
      <c r="C184" t="s">
        <v>9165</v>
      </c>
      <c r="D184" t="s">
        <v>9441</v>
      </c>
      <c r="E184" t="s">
        <v>8852</v>
      </c>
      <c r="F184" s="1">
        <v>45666</v>
      </c>
      <c r="G184" t="str">
        <f>"300381"</f>
        <v>300381</v>
      </c>
      <c r="H184" t="s">
        <v>3118</v>
      </c>
      <c r="I184">
        <v>2119291.4270000001</v>
      </c>
    </row>
    <row r="185" spans="1:9" x14ac:dyDescent="0.25">
      <c r="A185" t="s">
        <v>9164</v>
      </c>
      <c r="C185" t="s">
        <v>9165</v>
      </c>
      <c r="D185" t="s">
        <v>9442</v>
      </c>
      <c r="E185" t="s">
        <v>9443</v>
      </c>
      <c r="F185" s="1">
        <v>45672</v>
      </c>
      <c r="G185" t="str">
        <f>"300356"</f>
        <v>300356</v>
      </c>
      <c r="H185" t="s">
        <v>3094</v>
      </c>
      <c r="I185">
        <v>7584.28</v>
      </c>
    </row>
    <row r="186" spans="1:9" x14ac:dyDescent="0.25">
      <c r="A186" t="s">
        <v>9164</v>
      </c>
      <c r="C186" t="s">
        <v>9165</v>
      </c>
      <c r="D186" t="s">
        <v>9444</v>
      </c>
      <c r="E186" t="s">
        <v>1313</v>
      </c>
      <c r="F186" s="1">
        <v>45706</v>
      </c>
      <c r="G186" t="str">
        <f>"300115"</f>
        <v>300115</v>
      </c>
      <c r="H186" t="s">
        <v>2938</v>
      </c>
      <c r="I186">
        <v>64643.040000000001</v>
      </c>
    </row>
    <row r="187" spans="1:9" x14ac:dyDescent="0.25">
      <c r="A187" t="s">
        <v>9164</v>
      </c>
      <c r="C187" t="s">
        <v>9165</v>
      </c>
      <c r="D187" t="s">
        <v>9445</v>
      </c>
      <c r="E187" t="s">
        <v>9428</v>
      </c>
      <c r="F187" s="1">
        <v>45712</v>
      </c>
      <c r="G187" t="str">
        <f>"300381"</f>
        <v>300381</v>
      </c>
      <c r="H187" t="s">
        <v>3118</v>
      </c>
      <c r="I187">
        <v>472557.3688</v>
      </c>
    </row>
    <row r="188" spans="1:9" x14ac:dyDescent="0.25">
      <c r="A188" t="s">
        <v>9164</v>
      </c>
      <c r="C188" t="s">
        <v>9165</v>
      </c>
      <c r="D188" t="s">
        <v>9446</v>
      </c>
      <c r="E188" t="s">
        <v>9447</v>
      </c>
      <c r="F188" s="1">
        <v>45720</v>
      </c>
      <c r="G188" t="str">
        <f>"300220"</f>
        <v>300220</v>
      </c>
      <c r="H188" t="s">
        <v>2170</v>
      </c>
      <c r="I188">
        <v>786254.96400000004</v>
      </c>
    </row>
    <row r="189" spans="1:9" x14ac:dyDescent="0.25">
      <c r="A189" t="s">
        <v>9164</v>
      </c>
      <c r="C189" t="s">
        <v>9165</v>
      </c>
      <c r="D189" t="s">
        <v>9448</v>
      </c>
      <c r="E189" t="s">
        <v>9449</v>
      </c>
      <c r="F189" s="1">
        <v>45737</v>
      </c>
      <c r="G189" t="str">
        <f>"300220"</f>
        <v>300220</v>
      </c>
      <c r="H189" t="s">
        <v>2170</v>
      </c>
      <c r="I189">
        <v>1745.1279999999999</v>
      </c>
    </row>
    <row r="190" spans="1:9" x14ac:dyDescent="0.25">
      <c r="A190" t="s">
        <v>9164</v>
      </c>
      <c r="C190" t="s">
        <v>9165</v>
      </c>
      <c r="D190" t="s">
        <v>9450</v>
      </c>
      <c r="E190" t="s">
        <v>9451</v>
      </c>
      <c r="F190" s="1">
        <v>45743</v>
      </c>
      <c r="G190" t="str">
        <f>"300356"</f>
        <v>300356</v>
      </c>
      <c r="H190" t="s">
        <v>3094</v>
      </c>
      <c r="I190">
        <v>191219.6</v>
      </c>
    </row>
    <row r="191" spans="1:9" x14ac:dyDescent="0.25">
      <c r="A191" t="s">
        <v>9164</v>
      </c>
      <c r="C191" t="s">
        <v>9165</v>
      </c>
      <c r="D191" t="s">
        <v>9452</v>
      </c>
      <c r="E191" t="s">
        <v>8852</v>
      </c>
      <c r="F191" s="1">
        <v>45756</v>
      </c>
      <c r="G191" t="str">
        <f>"300381"</f>
        <v>300381</v>
      </c>
      <c r="H191" t="s">
        <v>3118</v>
      </c>
      <c r="I191">
        <v>49406.038</v>
      </c>
    </row>
    <row r="192" spans="1:9" x14ac:dyDescent="0.25">
      <c r="A192" t="s">
        <v>9164</v>
      </c>
      <c r="C192" t="s">
        <v>9165</v>
      </c>
      <c r="D192" t="s">
        <v>9453</v>
      </c>
      <c r="E192" t="s">
        <v>9454</v>
      </c>
      <c r="F192" s="1">
        <v>45762</v>
      </c>
      <c r="G192" t="str">
        <f>"300220"</f>
        <v>300220</v>
      </c>
      <c r="H192" t="s">
        <v>2170</v>
      </c>
      <c r="I192">
        <v>224572.65599999999</v>
      </c>
    </row>
    <row r="193" spans="1:9" x14ac:dyDescent="0.25">
      <c r="A193" t="s">
        <v>9164</v>
      </c>
      <c r="C193" t="s">
        <v>9165</v>
      </c>
      <c r="D193" t="s">
        <v>9455</v>
      </c>
      <c r="E193" t="s">
        <v>2172</v>
      </c>
      <c r="F193" s="1">
        <v>45764</v>
      </c>
      <c r="G193" t="str">
        <f>"300381"</f>
        <v>300381</v>
      </c>
      <c r="H193" t="s">
        <v>3118</v>
      </c>
      <c r="I193">
        <v>2799363.6660000002</v>
      </c>
    </row>
    <row r="194" spans="1:9" x14ac:dyDescent="0.25">
      <c r="A194" t="s">
        <v>9164</v>
      </c>
      <c r="C194" t="s">
        <v>9165</v>
      </c>
      <c r="D194" t="s">
        <v>9456</v>
      </c>
      <c r="F194" s="1">
        <v>45771</v>
      </c>
      <c r="G194" t="str">
        <f>"300154"</f>
        <v>300154</v>
      </c>
      <c r="H194" t="s">
        <v>1313</v>
      </c>
      <c r="I194">
        <v>223566.72</v>
      </c>
    </row>
    <row r="195" spans="1:9" x14ac:dyDescent="0.25">
      <c r="A195" t="s">
        <v>9164</v>
      </c>
      <c r="C195" t="s">
        <v>9165</v>
      </c>
      <c r="D195" t="s">
        <v>9457</v>
      </c>
      <c r="E195" t="s">
        <v>9458</v>
      </c>
      <c r="F195" s="1">
        <v>45775</v>
      </c>
      <c r="G195" t="str">
        <f>"300220"</f>
        <v>300220</v>
      </c>
      <c r="H195" t="s">
        <v>2170</v>
      </c>
      <c r="I195">
        <v>805.42</v>
      </c>
    </row>
    <row r="196" spans="1:9" x14ac:dyDescent="0.25">
      <c r="A196" t="s">
        <v>9164</v>
      </c>
      <c r="C196" t="s">
        <v>9165</v>
      </c>
      <c r="D196" t="s">
        <v>9459</v>
      </c>
      <c r="E196" t="s">
        <v>9460</v>
      </c>
      <c r="F196" s="1">
        <v>45785</v>
      </c>
      <c r="G196" t="str">
        <f>"300220"</f>
        <v>300220</v>
      </c>
      <c r="H196" t="s">
        <v>2170</v>
      </c>
      <c r="I196">
        <v>568569.40800000005</v>
      </c>
    </row>
    <row r="197" spans="1:9" x14ac:dyDescent="0.25">
      <c r="A197" t="s">
        <v>9164</v>
      </c>
      <c r="C197" t="s">
        <v>9165</v>
      </c>
      <c r="D197" t="s">
        <v>9461</v>
      </c>
      <c r="E197" t="s">
        <v>9462</v>
      </c>
      <c r="F197" s="1">
        <v>45791</v>
      </c>
      <c r="G197" t="str">
        <f>"300220"</f>
        <v>300220</v>
      </c>
      <c r="H197" t="s">
        <v>2170</v>
      </c>
      <c r="I197">
        <v>1329900</v>
      </c>
    </row>
    <row r="198" spans="1:9" x14ac:dyDescent="0.25">
      <c r="A198" t="s">
        <v>9164</v>
      </c>
      <c r="C198" t="s">
        <v>9165</v>
      </c>
      <c r="D198" t="s">
        <v>9463</v>
      </c>
      <c r="E198" t="s">
        <v>9464</v>
      </c>
      <c r="F198" s="1">
        <v>45791</v>
      </c>
      <c r="G198" t="str">
        <f>"300220"</f>
        <v>300220</v>
      </c>
      <c r="H198" t="s">
        <v>2170</v>
      </c>
      <c r="I198">
        <v>4672225.3600000003</v>
      </c>
    </row>
    <row r="199" spans="1:9" x14ac:dyDescent="0.25">
      <c r="A199" t="s">
        <v>9164</v>
      </c>
      <c r="C199" t="s">
        <v>9165</v>
      </c>
      <c r="D199" t="s">
        <v>9465</v>
      </c>
      <c r="E199" t="s">
        <v>9466</v>
      </c>
      <c r="F199" s="1">
        <v>45791</v>
      </c>
      <c r="G199" t="str">
        <f>"300381"</f>
        <v>300381</v>
      </c>
      <c r="H199" t="s">
        <v>3118</v>
      </c>
      <c r="I199">
        <v>1815000</v>
      </c>
    </row>
    <row r="200" spans="1:9" x14ac:dyDescent="0.25">
      <c r="A200" t="s">
        <v>9164</v>
      </c>
      <c r="C200" t="s">
        <v>9165</v>
      </c>
      <c r="D200" t="s">
        <v>9467</v>
      </c>
      <c r="F200" s="1">
        <v>45796</v>
      </c>
      <c r="G200" t="str">
        <f>"300154"</f>
        <v>300154</v>
      </c>
      <c r="H200" t="s">
        <v>1313</v>
      </c>
      <c r="I200">
        <v>335350.08</v>
      </c>
    </row>
    <row r="201" spans="1:9" x14ac:dyDescent="0.25">
      <c r="A201" t="s">
        <v>9164</v>
      </c>
      <c r="C201" t="s">
        <v>9165</v>
      </c>
      <c r="D201" t="s">
        <v>9468</v>
      </c>
      <c r="E201" t="s">
        <v>9382</v>
      </c>
      <c r="F201" s="1">
        <v>45810</v>
      </c>
      <c r="G201" t="str">
        <f>"300382"</f>
        <v>300382</v>
      </c>
      <c r="H201" t="s">
        <v>3119</v>
      </c>
      <c r="I201">
        <v>153847.74239999999</v>
      </c>
    </row>
    <row r="202" spans="1:9" x14ac:dyDescent="0.25">
      <c r="A202" t="s">
        <v>9164</v>
      </c>
      <c r="C202" t="s">
        <v>9165</v>
      </c>
      <c r="D202" t="s">
        <v>9469</v>
      </c>
      <c r="E202" t="s">
        <v>9470</v>
      </c>
      <c r="F202" s="1">
        <v>45812</v>
      </c>
      <c r="G202" t="str">
        <f>"300115"</f>
        <v>300115</v>
      </c>
      <c r="H202" t="s">
        <v>2938</v>
      </c>
      <c r="I202">
        <v>11654.775</v>
      </c>
    </row>
    <row r="203" spans="1:9" x14ac:dyDescent="0.25">
      <c r="A203" t="s">
        <v>9164</v>
      </c>
      <c r="C203" t="s">
        <v>9165</v>
      </c>
      <c r="D203" t="s">
        <v>9471</v>
      </c>
      <c r="E203" t="s">
        <v>8852</v>
      </c>
      <c r="F203" s="1">
        <v>45819</v>
      </c>
      <c r="G203" t="str">
        <f>"300381"</f>
        <v>300381</v>
      </c>
      <c r="H203" t="s">
        <v>3118</v>
      </c>
      <c r="I203">
        <v>29627.576000000001</v>
      </c>
    </row>
    <row r="204" spans="1:9" x14ac:dyDescent="0.25">
      <c r="A204" t="s">
        <v>9164</v>
      </c>
      <c r="C204" t="s">
        <v>9165</v>
      </c>
      <c r="D204" t="s">
        <v>9472</v>
      </c>
      <c r="E204" t="s">
        <v>9473</v>
      </c>
      <c r="F204" s="1">
        <v>45826</v>
      </c>
      <c r="G204" t="str">
        <f>"300115"</f>
        <v>300115</v>
      </c>
      <c r="H204" t="s">
        <v>2938</v>
      </c>
      <c r="I204">
        <v>2103309.1683999998</v>
      </c>
    </row>
    <row r="205" spans="1:9" x14ac:dyDescent="0.25">
      <c r="A205" t="s">
        <v>9164</v>
      </c>
      <c r="C205" t="s">
        <v>9165</v>
      </c>
      <c r="D205" t="s">
        <v>9474</v>
      </c>
      <c r="E205" t="s">
        <v>9475</v>
      </c>
      <c r="F205" s="1">
        <v>45828</v>
      </c>
      <c r="G205" t="str">
        <f>"300381"</f>
        <v>300381</v>
      </c>
      <c r="H205" t="s">
        <v>3118</v>
      </c>
      <c r="I205">
        <v>1783202.52</v>
      </c>
    </row>
    <row r="206" spans="1:9" x14ac:dyDescent="0.25">
      <c r="A206" t="s">
        <v>9164</v>
      </c>
      <c r="C206" t="s">
        <v>9165</v>
      </c>
      <c r="D206" t="s">
        <v>9476</v>
      </c>
      <c r="E206" t="s">
        <v>9112</v>
      </c>
      <c r="F206" s="1">
        <v>45831</v>
      </c>
      <c r="G206" t="str">
        <f>"300115"</f>
        <v>300115</v>
      </c>
      <c r="H206" t="s">
        <v>2938</v>
      </c>
      <c r="I206">
        <v>3665028.4065999999</v>
      </c>
    </row>
    <row r="207" spans="1:9" x14ac:dyDescent="0.25">
      <c r="A207" t="s">
        <v>9164</v>
      </c>
      <c r="C207" t="s">
        <v>9165</v>
      </c>
      <c r="D207" t="s">
        <v>9477</v>
      </c>
      <c r="E207" t="s">
        <v>9478</v>
      </c>
      <c r="F207" s="1">
        <v>45847</v>
      </c>
      <c r="G207" t="str">
        <f>"300115"</f>
        <v>300115</v>
      </c>
      <c r="H207" t="s">
        <v>2938</v>
      </c>
      <c r="I207">
        <v>756784.49</v>
      </c>
    </row>
    <row r="208" spans="1:9" x14ac:dyDescent="0.25">
      <c r="A208" t="s">
        <v>9164</v>
      </c>
      <c r="C208" t="s">
        <v>9165</v>
      </c>
      <c r="D208" t="s">
        <v>9479</v>
      </c>
      <c r="E208" t="s">
        <v>9480</v>
      </c>
      <c r="F208" s="1">
        <v>45848</v>
      </c>
      <c r="G208" t="str">
        <f>"300220"</f>
        <v>300220</v>
      </c>
      <c r="H208" t="s">
        <v>2170</v>
      </c>
      <c r="I208">
        <v>536800</v>
      </c>
    </row>
    <row r="209" spans="1:9" x14ac:dyDescent="0.25">
      <c r="A209" t="s">
        <v>9164</v>
      </c>
      <c r="C209" t="s">
        <v>9165</v>
      </c>
      <c r="D209" t="s">
        <v>9481</v>
      </c>
      <c r="E209" t="s">
        <v>9482</v>
      </c>
      <c r="F209" s="1">
        <v>45857</v>
      </c>
      <c r="G209" t="str">
        <f>"300220"</f>
        <v>300220</v>
      </c>
      <c r="H209" t="s">
        <v>2170</v>
      </c>
      <c r="I209">
        <v>3152131.7729000002</v>
      </c>
    </row>
    <row r="210" spans="1:9" x14ac:dyDescent="0.25">
      <c r="A210" t="s">
        <v>9164</v>
      </c>
      <c r="C210" t="s">
        <v>9165</v>
      </c>
      <c r="D210" t="s">
        <v>9483</v>
      </c>
      <c r="E210" t="s">
        <v>9484</v>
      </c>
      <c r="F210" s="1">
        <v>45866</v>
      </c>
      <c r="G210" t="str">
        <f>"300220"</f>
        <v>300220</v>
      </c>
      <c r="H210" t="s">
        <v>2170</v>
      </c>
      <c r="I210">
        <v>431457.4</v>
      </c>
    </row>
    <row r="211" spans="1:9" x14ac:dyDescent="0.25">
      <c r="A211" t="s">
        <v>9164</v>
      </c>
      <c r="C211" t="s">
        <v>9165</v>
      </c>
      <c r="D211" t="s">
        <v>9485</v>
      </c>
      <c r="E211" t="s">
        <v>9266</v>
      </c>
      <c r="F211" s="1">
        <v>45877</v>
      </c>
      <c r="G211" t="str">
        <f>"300115"</f>
        <v>300115</v>
      </c>
      <c r="H211" t="s">
        <v>2938</v>
      </c>
      <c r="I211">
        <v>120114.32399999999</v>
      </c>
    </row>
    <row r="212" spans="1:9" x14ac:dyDescent="0.25">
      <c r="A212" t="s">
        <v>9164</v>
      </c>
      <c r="C212" t="s">
        <v>9165</v>
      </c>
      <c r="D212" t="s">
        <v>9486</v>
      </c>
      <c r="E212" t="s">
        <v>9475</v>
      </c>
      <c r="F212" s="1">
        <v>45877</v>
      </c>
      <c r="G212" t="str">
        <f>"300381"</f>
        <v>300381</v>
      </c>
      <c r="H212" t="s">
        <v>3118</v>
      </c>
      <c r="I212">
        <v>941600</v>
      </c>
    </row>
    <row r="213" spans="1:9" x14ac:dyDescent="0.25">
      <c r="A213" t="s">
        <v>9164</v>
      </c>
      <c r="C213" t="s">
        <v>9165</v>
      </c>
      <c r="D213" t="s">
        <v>9487</v>
      </c>
      <c r="E213" t="s">
        <v>2793</v>
      </c>
      <c r="F213" s="1">
        <v>45884</v>
      </c>
      <c r="G213" t="str">
        <f>"300381"</f>
        <v>300381</v>
      </c>
      <c r="H213" t="s">
        <v>3118</v>
      </c>
      <c r="I213">
        <v>1930014.1006</v>
      </c>
    </row>
    <row r="214" spans="1:9" x14ac:dyDescent="0.25">
      <c r="A214" t="s">
        <v>9164</v>
      </c>
      <c r="C214" t="s">
        <v>9165</v>
      </c>
      <c r="D214" t="s">
        <v>9488</v>
      </c>
      <c r="E214" t="s">
        <v>9438</v>
      </c>
      <c r="F214" s="1">
        <v>45887</v>
      </c>
      <c r="G214" t="str">
        <f>"300220"</f>
        <v>300220</v>
      </c>
      <c r="H214" t="s">
        <v>2170</v>
      </c>
      <c r="I214">
        <v>1045000</v>
      </c>
    </row>
    <row r="215" spans="1:9" x14ac:dyDescent="0.25">
      <c r="A215" t="s">
        <v>9164</v>
      </c>
      <c r="C215" t="s">
        <v>9165</v>
      </c>
      <c r="D215" t="s">
        <v>9489</v>
      </c>
      <c r="E215" t="s">
        <v>9475</v>
      </c>
      <c r="F215" s="1">
        <v>45888</v>
      </c>
      <c r="G215" t="str">
        <f>"300381"</f>
        <v>300381</v>
      </c>
      <c r="H215" t="s">
        <v>3118</v>
      </c>
      <c r="I215">
        <v>72341.275599999994</v>
      </c>
    </row>
    <row r="216" spans="1:9" x14ac:dyDescent="0.25">
      <c r="A216" t="s">
        <v>9164</v>
      </c>
      <c r="C216" t="s">
        <v>9165</v>
      </c>
      <c r="D216" t="s">
        <v>9490</v>
      </c>
      <c r="E216" t="s">
        <v>9386</v>
      </c>
      <c r="F216" s="1">
        <v>45909</v>
      </c>
      <c r="G216" t="str">
        <f>"300220"</f>
        <v>300220</v>
      </c>
      <c r="H216" t="s">
        <v>2170</v>
      </c>
      <c r="I216">
        <v>1048068.12</v>
      </c>
    </row>
    <row r="217" spans="1:9" x14ac:dyDescent="0.25">
      <c r="A217" t="s">
        <v>9164</v>
      </c>
      <c r="C217" t="s">
        <v>9165</v>
      </c>
      <c r="D217" t="s">
        <v>9491</v>
      </c>
      <c r="E217" t="s">
        <v>9492</v>
      </c>
      <c r="F217" s="1">
        <v>45916</v>
      </c>
      <c r="G217" t="str">
        <f>"300381"</f>
        <v>300381</v>
      </c>
      <c r="H217" t="s">
        <v>3118</v>
      </c>
      <c r="I217">
        <v>333907.20000000001</v>
      </c>
    </row>
    <row r="218" spans="1:9" x14ac:dyDescent="0.25">
      <c r="A218" t="s">
        <v>9164</v>
      </c>
      <c r="C218" t="s">
        <v>9165</v>
      </c>
      <c r="D218" t="s">
        <v>9493</v>
      </c>
      <c r="E218" t="s">
        <v>8903</v>
      </c>
      <c r="F218" s="1">
        <v>45919</v>
      </c>
      <c r="G218" t="str">
        <f>"300115"</f>
        <v>300115</v>
      </c>
      <c r="H218" t="s">
        <v>2938</v>
      </c>
      <c r="I218">
        <v>130517.01300000001</v>
      </c>
    </row>
    <row r="219" spans="1:9" x14ac:dyDescent="0.25">
      <c r="A219" t="s">
        <v>9164</v>
      </c>
      <c r="C219" t="s">
        <v>9165</v>
      </c>
      <c r="D219" t="s">
        <v>9494</v>
      </c>
      <c r="E219" t="s">
        <v>9495</v>
      </c>
      <c r="F219" s="1">
        <v>45922</v>
      </c>
      <c r="G219" t="str">
        <f>"300115"</f>
        <v>300115</v>
      </c>
      <c r="H219" t="s">
        <v>2938</v>
      </c>
      <c r="I219">
        <v>1067220</v>
      </c>
    </row>
    <row r="220" spans="1:9" x14ac:dyDescent="0.25">
      <c r="A220" t="s">
        <v>9164</v>
      </c>
      <c r="C220" t="s">
        <v>9165</v>
      </c>
      <c r="D220" t="s">
        <v>9496</v>
      </c>
      <c r="E220" t="s">
        <v>9497</v>
      </c>
      <c r="F220" s="1">
        <v>45936</v>
      </c>
      <c r="G220" t="str">
        <f>"300381"</f>
        <v>300381</v>
      </c>
      <c r="H220" t="s">
        <v>3118</v>
      </c>
      <c r="I220">
        <v>899800</v>
      </c>
    </row>
    <row r="221" spans="1:9" x14ac:dyDescent="0.25">
      <c r="A221" t="s">
        <v>9164</v>
      </c>
      <c r="C221" t="s">
        <v>9165</v>
      </c>
      <c r="D221" t="s">
        <v>9498</v>
      </c>
      <c r="E221" t="s">
        <v>8852</v>
      </c>
      <c r="F221" s="1">
        <v>45943</v>
      </c>
      <c r="G221" t="str">
        <f>"300381"</f>
        <v>300381</v>
      </c>
      <c r="H221" t="s">
        <v>3118</v>
      </c>
      <c r="I221">
        <v>183300.579</v>
      </c>
    </row>
    <row r="222" spans="1:9" x14ac:dyDescent="0.25">
      <c r="A222" t="s">
        <v>9164</v>
      </c>
      <c r="C222" t="s">
        <v>9165</v>
      </c>
      <c r="D222" t="s">
        <v>9499</v>
      </c>
      <c r="E222" t="s">
        <v>9438</v>
      </c>
      <c r="F222" s="1">
        <v>45965</v>
      </c>
      <c r="G222" t="str">
        <f>"300220"</f>
        <v>300220</v>
      </c>
      <c r="H222" t="s">
        <v>2170</v>
      </c>
      <c r="I222">
        <v>158721.37710000001</v>
      </c>
    </row>
    <row r="223" spans="1:9" x14ac:dyDescent="0.25">
      <c r="A223" t="s">
        <v>9164</v>
      </c>
      <c r="C223" t="s">
        <v>9165</v>
      </c>
      <c r="D223" t="s">
        <v>9504</v>
      </c>
      <c r="E223" t="s">
        <v>8852</v>
      </c>
      <c r="F223" s="1">
        <v>45974</v>
      </c>
      <c r="G223" t="str">
        <f>"300381"</f>
        <v>300381</v>
      </c>
      <c r="H223" t="s">
        <v>3118</v>
      </c>
      <c r="I223">
        <v>297330</v>
      </c>
    </row>
    <row r="224" spans="1:9" x14ac:dyDescent="0.25">
      <c r="A224" t="s">
        <v>9164</v>
      </c>
      <c r="C224" t="s">
        <v>9165</v>
      </c>
      <c r="D224" t="s">
        <v>9505</v>
      </c>
      <c r="E224" t="s">
        <v>9506</v>
      </c>
      <c r="F224" s="1">
        <v>45987</v>
      </c>
      <c r="G224" t="str">
        <f>"300064"</f>
        <v>300064</v>
      </c>
      <c r="H224" t="s">
        <v>2896</v>
      </c>
      <c r="I224">
        <v>10128</v>
      </c>
    </row>
    <row r="225" spans="1:9" x14ac:dyDescent="0.25">
      <c r="A225" t="s">
        <v>9164</v>
      </c>
      <c r="C225" t="s">
        <v>9165</v>
      </c>
      <c r="D225" t="s">
        <v>9507</v>
      </c>
      <c r="E225" t="s">
        <v>2793</v>
      </c>
      <c r="F225" s="1">
        <v>45987</v>
      </c>
      <c r="G225" t="str">
        <f>"300381"</f>
        <v>300381</v>
      </c>
      <c r="H225" t="s">
        <v>3118</v>
      </c>
      <c r="I225">
        <v>887558.1</v>
      </c>
    </row>
    <row r="226" spans="1:9" x14ac:dyDescent="0.25">
      <c r="A226" t="s">
        <v>9164</v>
      </c>
      <c r="C226" t="s">
        <v>9165</v>
      </c>
      <c r="D226" t="s">
        <v>9509</v>
      </c>
      <c r="E226" t="s">
        <v>8852</v>
      </c>
      <c r="F226" s="1">
        <v>46028</v>
      </c>
      <c r="G226" t="str">
        <f>"300381"</f>
        <v>300381</v>
      </c>
      <c r="H226" t="s">
        <v>3118</v>
      </c>
      <c r="I226">
        <v>1777809.4861999999</v>
      </c>
    </row>
    <row r="227" spans="1:9" x14ac:dyDescent="0.25">
      <c r="A227" t="s">
        <v>9164</v>
      </c>
      <c r="C227" t="s">
        <v>9165</v>
      </c>
      <c r="D227" t="s">
        <v>9510</v>
      </c>
      <c r="E227" t="s">
        <v>8852</v>
      </c>
      <c r="F227" s="1">
        <v>46051</v>
      </c>
      <c r="G227" t="str">
        <f>"300381"</f>
        <v>300381</v>
      </c>
      <c r="H227" t="s">
        <v>3118</v>
      </c>
      <c r="I227">
        <v>173491.7635</v>
      </c>
    </row>
    <row r="228" spans="1:9" x14ac:dyDescent="0.25">
      <c r="A228" t="s">
        <v>9164</v>
      </c>
      <c r="C228" t="s">
        <v>9165</v>
      </c>
      <c r="D228" t="s">
        <v>9513</v>
      </c>
      <c r="E228" t="s">
        <v>9438</v>
      </c>
      <c r="F228" s="1">
        <v>46078</v>
      </c>
      <c r="G228" t="str">
        <f>"300115"</f>
        <v>300115</v>
      </c>
      <c r="H228" t="s">
        <v>2938</v>
      </c>
      <c r="I228">
        <v>536310.027</v>
      </c>
    </row>
    <row r="229" spans="1:9" x14ac:dyDescent="0.25">
      <c r="A229" t="s">
        <v>9164</v>
      </c>
      <c r="C229" t="s">
        <v>9165</v>
      </c>
      <c r="D229" t="s">
        <v>9516</v>
      </c>
      <c r="E229" t="s">
        <v>9517</v>
      </c>
      <c r="F229" s="1">
        <v>46085</v>
      </c>
      <c r="G229" t="str">
        <f>"300381"</f>
        <v>300381</v>
      </c>
      <c r="H229" t="s">
        <v>3118</v>
      </c>
      <c r="I229">
        <v>3457484.7999999998</v>
      </c>
    </row>
    <row r="230" spans="1:9" x14ac:dyDescent="0.25">
      <c r="A230" t="s">
        <v>9164</v>
      </c>
      <c r="C230" t="s">
        <v>9165</v>
      </c>
      <c r="D230" t="s">
        <v>9518</v>
      </c>
      <c r="E230" t="s">
        <v>9519</v>
      </c>
      <c r="F230" s="1">
        <v>46090</v>
      </c>
      <c r="G230" t="str">
        <f>"300133"</f>
        <v>300133</v>
      </c>
      <c r="H230" t="s">
        <v>2955</v>
      </c>
      <c r="I230">
        <v>26395.599999999999</v>
      </c>
    </row>
    <row r="231" spans="1:9" x14ac:dyDescent="0.25">
      <c r="A231" t="s">
        <v>9164</v>
      </c>
      <c r="C231" t="s">
        <v>9165</v>
      </c>
      <c r="D231" t="s">
        <v>9521</v>
      </c>
      <c r="E231" t="s">
        <v>9297</v>
      </c>
      <c r="F231" s="1">
        <v>46104</v>
      </c>
      <c r="G231" t="str">
        <f>"300115"</f>
        <v>300115</v>
      </c>
      <c r="H231" t="s">
        <v>2938</v>
      </c>
      <c r="I231">
        <v>367400</v>
      </c>
    </row>
    <row r="232" spans="1:9" x14ac:dyDescent="0.25">
      <c r="A232" t="s">
        <v>9164</v>
      </c>
      <c r="C232" t="s">
        <v>9165</v>
      </c>
      <c r="D232" t="s">
        <v>9523</v>
      </c>
      <c r="E232" t="s">
        <v>9524</v>
      </c>
      <c r="F232" s="1">
        <v>46111</v>
      </c>
      <c r="G232" t="str">
        <f>"300133"</f>
        <v>300133</v>
      </c>
      <c r="H232" t="s">
        <v>2955</v>
      </c>
      <c r="I232">
        <v>202045.6</v>
      </c>
    </row>
    <row r="233" spans="1:9" x14ac:dyDescent="0.25">
      <c r="A233" t="s">
        <v>9164</v>
      </c>
      <c r="C233" t="s">
        <v>9165</v>
      </c>
      <c r="D233" t="s">
        <v>9525</v>
      </c>
      <c r="E233" t="s">
        <v>9526</v>
      </c>
      <c r="F233" s="1">
        <v>46111</v>
      </c>
      <c r="G233" t="str">
        <f>"300220"</f>
        <v>300220</v>
      </c>
      <c r="H233" t="s">
        <v>2170</v>
      </c>
      <c r="I233">
        <v>3366000</v>
      </c>
    </row>
    <row r="234" spans="1:9" x14ac:dyDescent="0.25">
      <c r="A234" t="s">
        <v>9164</v>
      </c>
      <c r="C234" t="s">
        <v>9165</v>
      </c>
      <c r="D234" t="s">
        <v>9527</v>
      </c>
      <c r="E234" t="s">
        <v>9528</v>
      </c>
      <c r="F234" s="1">
        <v>46111</v>
      </c>
      <c r="G234" t="str">
        <f>"300220"</f>
        <v>300220</v>
      </c>
      <c r="H234" t="s">
        <v>2170</v>
      </c>
      <c r="I234">
        <v>1679700</v>
      </c>
    </row>
    <row r="235" spans="1:9" x14ac:dyDescent="0.25">
      <c r="A235" t="s">
        <v>9164</v>
      </c>
      <c r="C235" t="s">
        <v>9165</v>
      </c>
      <c r="D235" t="s">
        <v>9529</v>
      </c>
      <c r="E235" t="s">
        <v>9530</v>
      </c>
      <c r="F235" s="1">
        <v>46111</v>
      </c>
      <c r="G235" t="str">
        <f>"300381"</f>
        <v>300381</v>
      </c>
      <c r="H235" t="s">
        <v>3118</v>
      </c>
      <c r="I235">
        <v>1567500</v>
      </c>
    </row>
    <row r="236" spans="1:9" x14ac:dyDescent="0.25">
      <c r="A236" t="s">
        <v>9164</v>
      </c>
      <c r="C236" t="s">
        <v>9165</v>
      </c>
      <c r="D236" t="s">
        <v>9542</v>
      </c>
      <c r="E236" t="s">
        <v>9543</v>
      </c>
      <c r="F236" s="1">
        <v>46119</v>
      </c>
      <c r="G236" t="str">
        <f>"300064"</f>
        <v>300064</v>
      </c>
      <c r="H236" t="s">
        <v>2896</v>
      </c>
      <c r="I236">
        <v>5</v>
      </c>
    </row>
    <row r="237" spans="1:9" x14ac:dyDescent="0.25">
      <c r="A237" t="s">
        <v>9164</v>
      </c>
      <c r="C237" t="s">
        <v>9165</v>
      </c>
      <c r="D237" t="s">
        <v>9544</v>
      </c>
      <c r="E237" t="s">
        <v>9545</v>
      </c>
      <c r="F237" s="1">
        <v>46119</v>
      </c>
      <c r="G237" t="str">
        <f>"300220"</f>
        <v>300220</v>
      </c>
      <c r="H237" t="s">
        <v>2170</v>
      </c>
      <c r="I237">
        <v>95000</v>
      </c>
    </row>
    <row r="238" spans="1:9" x14ac:dyDescent="0.25">
      <c r="A238" t="s">
        <v>9164</v>
      </c>
      <c r="C238" t="s">
        <v>9165</v>
      </c>
      <c r="D238" t="s">
        <v>9558</v>
      </c>
      <c r="E238" t="s">
        <v>9559</v>
      </c>
      <c r="F238" s="1">
        <v>46125</v>
      </c>
      <c r="G238" t="str">
        <f>"300064"</f>
        <v>300064</v>
      </c>
      <c r="H238" t="s">
        <v>2896</v>
      </c>
      <c r="I238">
        <v>170235.51999999999</v>
      </c>
    </row>
    <row r="239" spans="1:9" x14ac:dyDescent="0.25">
      <c r="A239" t="s">
        <v>9164</v>
      </c>
      <c r="C239" t="s">
        <v>9165</v>
      </c>
      <c r="D239" t="s">
        <v>9581</v>
      </c>
      <c r="E239" s="2">
        <v>46116</v>
      </c>
      <c r="F239" s="1">
        <v>46135</v>
      </c>
      <c r="G239" t="str">
        <f>"300064"</f>
        <v>300064</v>
      </c>
      <c r="H239" t="s">
        <v>2896</v>
      </c>
      <c r="I239">
        <v>196145.04</v>
      </c>
    </row>
    <row r="240" spans="1:9" x14ac:dyDescent="0.25">
      <c r="A240" t="s">
        <v>9164</v>
      </c>
      <c r="C240" t="s">
        <v>9165</v>
      </c>
      <c r="D240" t="s">
        <v>9584</v>
      </c>
      <c r="E240" t="s">
        <v>9159</v>
      </c>
      <c r="F240" s="1">
        <v>46136</v>
      </c>
      <c r="G240" t="str">
        <f>"300381"</f>
        <v>300381</v>
      </c>
      <c r="H240" t="s">
        <v>3118</v>
      </c>
      <c r="I240">
        <v>1221990.088</v>
      </c>
    </row>
    <row r="241" spans="1:9" x14ac:dyDescent="0.25">
      <c r="A241" t="s">
        <v>9164</v>
      </c>
      <c r="C241" t="s">
        <v>9165</v>
      </c>
      <c r="D241" t="s">
        <v>9585</v>
      </c>
      <c r="E241" t="s">
        <v>9586</v>
      </c>
      <c r="F241" s="1">
        <v>46139</v>
      </c>
      <c r="G241" t="str">
        <f>"300133"</f>
        <v>300133</v>
      </c>
      <c r="H241" t="s">
        <v>2955</v>
      </c>
      <c r="I241">
        <v>38500</v>
      </c>
    </row>
    <row r="242" spans="1:9" x14ac:dyDescent="0.25">
      <c r="A242" t="s">
        <v>9164</v>
      </c>
      <c r="C242" t="s">
        <v>9165</v>
      </c>
      <c r="D242" t="s">
        <v>9588</v>
      </c>
      <c r="E242" t="s">
        <v>9386</v>
      </c>
      <c r="F242" s="1">
        <v>46139</v>
      </c>
      <c r="G242" t="str">
        <f>"300220"</f>
        <v>300220</v>
      </c>
      <c r="H242" t="s">
        <v>2170</v>
      </c>
      <c r="I242">
        <v>6050000</v>
      </c>
    </row>
    <row r="243" spans="1:9" x14ac:dyDescent="0.25">
      <c r="A243" t="s">
        <v>9164</v>
      </c>
      <c r="C243" t="s">
        <v>9165</v>
      </c>
      <c r="D243" t="s">
        <v>9589</v>
      </c>
      <c r="E243" t="s">
        <v>9590</v>
      </c>
      <c r="F243" s="1">
        <v>46140</v>
      </c>
      <c r="G243" t="str">
        <f>"300115"</f>
        <v>300115</v>
      </c>
      <c r="H243" t="s">
        <v>2938</v>
      </c>
      <c r="I243">
        <v>5830000</v>
      </c>
    </row>
    <row r="244" spans="1:9" x14ac:dyDescent="0.25">
      <c r="A244" t="s">
        <v>9164</v>
      </c>
      <c r="C244" t="s">
        <v>9165</v>
      </c>
      <c r="D244" t="s">
        <v>9599</v>
      </c>
      <c r="E244" t="s">
        <v>9337</v>
      </c>
      <c r="F244" s="1">
        <v>46148</v>
      </c>
      <c r="G244" t="str">
        <f>"300080"</f>
        <v>300080</v>
      </c>
      <c r="H244" t="s">
        <v>2907</v>
      </c>
      <c r="I244">
        <v>1200000</v>
      </c>
    </row>
    <row r="245" spans="1:9" x14ac:dyDescent="0.25">
      <c r="A245" t="s">
        <v>9164</v>
      </c>
      <c r="C245" t="s">
        <v>9165</v>
      </c>
      <c r="D245" t="s">
        <v>9600</v>
      </c>
      <c r="E245" t="s">
        <v>9562</v>
      </c>
      <c r="F245" s="1">
        <v>46148</v>
      </c>
      <c r="G245" t="str">
        <f>"300133"</f>
        <v>300133</v>
      </c>
      <c r="H245" t="s">
        <v>2955</v>
      </c>
      <c r="I245">
        <v>58521.599999999999</v>
      </c>
    </row>
    <row r="246" spans="1:9" x14ac:dyDescent="0.25">
      <c r="A246" t="s">
        <v>9164</v>
      </c>
      <c r="C246" t="s">
        <v>9165</v>
      </c>
      <c r="D246" t="s">
        <v>9603</v>
      </c>
      <c r="E246" t="s">
        <v>9604</v>
      </c>
      <c r="F246" s="1">
        <v>46153</v>
      </c>
      <c r="G246" t="str">
        <f>"300115"</f>
        <v>300115</v>
      </c>
      <c r="H246" t="s">
        <v>2938</v>
      </c>
      <c r="I246">
        <v>214984</v>
      </c>
    </row>
    <row r="247" spans="1:9" x14ac:dyDescent="0.25">
      <c r="A247" t="s">
        <v>9164</v>
      </c>
      <c r="C247" t="s">
        <v>9165</v>
      </c>
      <c r="D247" t="s">
        <v>9606</v>
      </c>
      <c r="E247" t="s">
        <v>9607</v>
      </c>
      <c r="F247" s="1">
        <v>46153</v>
      </c>
      <c r="G247" t="str">
        <f>"300588"</f>
        <v>300588</v>
      </c>
      <c r="H247" t="s">
        <v>529</v>
      </c>
      <c r="I247">
        <v>1.0072000000000001</v>
      </c>
    </row>
    <row r="248" spans="1:9" x14ac:dyDescent="0.25">
      <c r="A248" t="s">
        <v>9164</v>
      </c>
      <c r="C248" t="s">
        <v>9165</v>
      </c>
      <c r="D248" t="s">
        <v>9609</v>
      </c>
      <c r="E248" t="s">
        <v>9562</v>
      </c>
      <c r="F248" s="1">
        <v>46155</v>
      </c>
      <c r="G248" t="str">
        <f>"300133"</f>
        <v>300133</v>
      </c>
      <c r="H248" t="s">
        <v>2955</v>
      </c>
      <c r="I248">
        <v>73382.399999999994</v>
      </c>
    </row>
    <row r="249" spans="1:9" x14ac:dyDescent="0.25">
      <c r="A249" t="s">
        <v>9164</v>
      </c>
      <c r="C249" t="s">
        <v>9165</v>
      </c>
      <c r="D249" t="s">
        <v>9612</v>
      </c>
      <c r="E249" t="s">
        <v>9613</v>
      </c>
      <c r="F249" s="1">
        <v>46177</v>
      </c>
      <c r="G249" t="str">
        <f>"300115"</f>
        <v>300115</v>
      </c>
      <c r="H249" t="s">
        <v>2938</v>
      </c>
      <c r="I249">
        <v>4652.2475999999997</v>
      </c>
    </row>
    <row r="250" spans="1:9" x14ac:dyDescent="0.25">
      <c r="A250" t="s">
        <v>9164</v>
      </c>
      <c r="C250" t="s">
        <v>9165</v>
      </c>
      <c r="D250" t="s">
        <v>9614</v>
      </c>
      <c r="E250" t="s">
        <v>9615</v>
      </c>
      <c r="F250" s="1">
        <v>46177</v>
      </c>
      <c r="G250" t="str">
        <f>"300133"</f>
        <v>300133</v>
      </c>
      <c r="H250" t="s">
        <v>2955</v>
      </c>
      <c r="I250">
        <v>83584.5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A5662-AAB3-488D-AE67-11C6D694437A}">
  <dimension ref="A3:A255"/>
  <sheetViews>
    <sheetView workbookViewId="0">
      <selection activeCell="A3" sqref="A3"/>
    </sheetView>
  </sheetViews>
  <sheetFormatPr baseColWidth="10" defaultRowHeight="15" x14ac:dyDescent="0.25"/>
  <cols>
    <col min="1" max="1" width="21" bestFit="1" customWidth="1"/>
  </cols>
  <sheetData>
    <row r="3" spans="1:1" x14ac:dyDescent="0.25">
      <c r="A3" s="14" t="s">
        <v>13094</v>
      </c>
    </row>
    <row r="4" spans="1:1" x14ac:dyDescent="0.25">
      <c r="A4" s="15" t="s">
        <v>13095</v>
      </c>
    </row>
    <row r="5" spans="1:1" x14ac:dyDescent="0.25">
      <c r="A5" s="16" t="s">
        <v>9166</v>
      </c>
    </row>
    <row r="6" spans="1:1" x14ac:dyDescent="0.25">
      <c r="A6" s="16" t="s">
        <v>9168</v>
      </c>
    </row>
    <row r="7" spans="1:1" x14ac:dyDescent="0.25">
      <c r="A7" s="16" t="s">
        <v>9169</v>
      </c>
    </row>
    <row r="8" spans="1:1" x14ac:dyDescent="0.25">
      <c r="A8" s="16" t="s">
        <v>9171</v>
      </c>
    </row>
    <row r="9" spans="1:1" x14ac:dyDescent="0.25">
      <c r="A9" s="16" t="s">
        <v>9173</v>
      </c>
    </row>
    <row r="10" spans="1:1" x14ac:dyDescent="0.25">
      <c r="A10" s="16" t="s">
        <v>9175</v>
      </c>
    </row>
    <row r="11" spans="1:1" x14ac:dyDescent="0.25">
      <c r="A11" s="16" t="s">
        <v>9177</v>
      </c>
    </row>
    <row r="12" spans="1:1" x14ac:dyDescent="0.25">
      <c r="A12" s="16" t="s">
        <v>9179</v>
      </c>
    </row>
    <row r="13" spans="1:1" x14ac:dyDescent="0.25">
      <c r="A13" s="16" t="s">
        <v>9180</v>
      </c>
    </row>
    <row r="14" spans="1:1" x14ac:dyDescent="0.25">
      <c r="A14" s="16" t="s">
        <v>9182</v>
      </c>
    </row>
    <row r="15" spans="1:1" x14ac:dyDescent="0.25">
      <c r="A15" s="16" t="s">
        <v>9184</v>
      </c>
    </row>
    <row r="16" spans="1:1" x14ac:dyDescent="0.25">
      <c r="A16" s="16" t="s">
        <v>9185</v>
      </c>
    </row>
    <row r="17" spans="1:1" x14ac:dyDescent="0.25">
      <c r="A17" s="16" t="s">
        <v>9187</v>
      </c>
    </row>
    <row r="18" spans="1:1" x14ac:dyDescent="0.25">
      <c r="A18" s="16" t="s">
        <v>9188</v>
      </c>
    </row>
    <row r="19" spans="1:1" x14ac:dyDescent="0.25">
      <c r="A19" s="16" t="s">
        <v>9190</v>
      </c>
    </row>
    <row r="20" spans="1:1" x14ac:dyDescent="0.25">
      <c r="A20" s="16" t="s">
        <v>9192</v>
      </c>
    </row>
    <row r="21" spans="1:1" x14ac:dyDescent="0.25">
      <c r="A21" s="16" t="s">
        <v>9193</v>
      </c>
    </row>
    <row r="22" spans="1:1" x14ac:dyDescent="0.25">
      <c r="A22" s="16" t="s">
        <v>9195</v>
      </c>
    </row>
    <row r="23" spans="1:1" x14ac:dyDescent="0.25">
      <c r="A23" s="16" t="s">
        <v>9197</v>
      </c>
    </row>
    <row r="24" spans="1:1" x14ac:dyDescent="0.25">
      <c r="A24" s="16" t="s">
        <v>9198</v>
      </c>
    </row>
    <row r="25" spans="1:1" x14ac:dyDescent="0.25">
      <c r="A25" s="16" t="s">
        <v>9200</v>
      </c>
    </row>
    <row r="26" spans="1:1" x14ac:dyDescent="0.25">
      <c r="A26" s="16" t="s">
        <v>9202</v>
      </c>
    </row>
    <row r="27" spans="1:1" x14ac:dyDescent="0.25">
      <c r="A27" s="16" t="s">
        <v>9203</v>
      </c>
    </row>
    <row r="28" spans="1:1" x14ac:dyDescent="0.25">
      <c r="A28" s="16" t="s">
        <v>9205</v>
      </c>
    </row>
    <row r="29" spans="1:1" x14ac:dyDescent="0.25">
      <c r="A29" s="16" t="s">
        <v>9206</v>
      </c>
    </row>
    <row r="30" spans="1:1" x14ac:dyDescent="0.25">
      <c r="A30" s="16" t="s">
        <v>9208</v>
      </c>
    </row>
    <row r="31" spans="1:1" x14ac:dyDescent="0.25">
      <c r="A31" s="16" t="s">
        <v>9210</v>
      </c>
    </row>
    <row r="32" spans="1:1" x14ac:dyDescent="0.25">
      <c r="A32" s="16" t="s">
        <v>9211</v>
      </c>
    </row>
    <row r="33" spans="1:1" x14ac:dyDescent="0.25">
      <c r="A33" s="16" t="s">
        <v>9212</v>
      </c>
    </row>
    <row r="34" spans="1:1" x14ac:dyDescent="0.25">
      <c r="A34" s="16" t="s">
        <v>9213</v>
      </c>
    </row>
    <row r="35" spans="1:1" x14ac:dyDescent="0.25">
      <c r="A35" s="16" t="s">
        <v>9215</v>
      </c>
    </row>
    <row r="36" spans="1:1" x14ac:dyDescent="0.25">
      <c r="A36" s="16" t="s">
        <v>9217</v>
      </c>
    </row>
    <row r="37" spans="1:1" x14ac:dyDescent="0.25">
      <c r="A37" s="16" t="s">
        <v>9218</v>
      </c>
    </row>
    <row r="38" spans="1:1" x14ac:dyDescent="0.25">
      <c r="A38" s="16" t="s">
        <v>9220</v>
      </c>
    </row>
    <row r="39" spans="1:1" x14ac:dyDescent="0.25">
      <c r="A39" s="16" t="s">
        <v>9222</v>
      </c>
    </row>
    <row r="40" spans="1:1" x14ac:dyDescent="0.25">
      <c r="A40" s="16" t="s">
        <v>9224</v>
      </c>
    </row>
    <row r="41" spans="1:1" x14ac:dyDescent="0.25">
      <c r="A41" s="16" t="s">
        <v>9226</v>
      </c>
    </row>
    <row r="42" spans="1:1" x14ac:dyDescent="0.25">
      <c r="A42" s="16" t="s">
        <v>9228</v>
      </c>
    </row>
    <row r="43" spans="1:1" x14ac:dyDescent="0.25">
      <c r="A43" s="16" t="s">
        <v>9230</v>
      </c>
    </row>
    <row r="44" spans="1:1" x14ac:dyDescent="0.25">
      <c r="A44" s="16" t="s">
        <v>9232</v>
      </c>
    </row>
    <row r="45" spans="1:1" x14ac:dyDescent="0.25">
      <c r="A45" s="16" t="s">
        <v>9234</v>
      </c>
    </row>
    <row r="46" spans="1:1" x14ac:dyDescent="0.25">
      <c r="A46" s="16" t="s">
        <v>9236</v>
      </c>
    </row>
    <row r="47" spans="1:1" x14ac:dyDescent="0.25">
      <c r="A47" s="16" t="s">
        <v>9238</v>
      </c>
    </row>
    <row r="48" spans="1:1" x14ac:dyDescent="0.25">
      <c r="A48" s="16" t="s">
        <v>9240</v>
      </c>
    </row>
    <row r="49" spans="1:1" x14ac:dyDescent="0.25">
      <c r="A49" s="16" t="s">
        <v>9241</v>
      </c>
    </row>
    <row r="50" spans="1:1" x14ac:dyDescent="0.25">
      <c r="A50" s="16" t="s">
        <v>9242</v>
      </c>
    </row>
    <row r="51" spans="1:1" x14ac:dyDescent="0.25">
      <c r="A51" s="16" t="s">
        <v>9244</v>
      </c>
    </row>
    <row r="52" spans="1:1" x14ac:dyDescent="0.25">
      <c r="A52" s="16" t="s">
        <v>9246</v>
      </c>
    </row>
    <row r="53" spans="1:1" x14ac:dyDescent="0.25">
      <c r="A53" s="16" t="s">
        <v>9247</v>
      </c>
    </row>
    <row r="54" spans="1:1" x14ac:dyDescent="0.25">
      <c r="A54" s="16" t="s">
        <v>9248</v>
      </c>
    </row>
    <row r="55" spans="1:1" x14ac:dyDescent="0.25">
      <c r="A55" s="16" t="s">
        <v>9250</v>
      </c>
    </row>
    <row r="56" spans="1:1" x14ac:dyDescent="0.25">
      <c r="A56" s="16" t="s">
        <v>9251</v>
      </c>
    </row>
    <row r="57" spans="1:1" x14ac:dyDescent="0.25">
      <c r="A57" s="16" t="s">
        <v>9253</v>
      </c>
    </row>
    <row r="58" spans="1:1" x14ac:dyDescent="0.25">
      <c r="A58" s="16" t="s">
        <v>9255</v>
      </c>
    </row>
    <row r="59" spans="1:1" x14ac:dyDescent="0.25">
      <c r="A59" s="16" t="s">
        <v>9256</v>
      </c>
    </row>
    <row r="60" spans="1:1" x14ac:dyDescent="0.25">
      <c r="A60" s="16" t="s">
        <v>9257</v>
      </c>
    </row>
    <row r="61" spans="1:1" x14ac:dyDescent="0.25">
      <c r="A61" s="16" t="s">
        <v>9258</v>
      </c>
    </row>
    <row r="62" spans="1:1" x14ac:dyDescent="0.25">
      <c r="A62" s="16" t="s">
        <v>9259</v>
      </c>
    </row>
    <row r="63" spans="1:1" x14ac:dyDescent="0.25">
      <c r="A63" s="16" t="s">
        <v>9260</v>
      </c>
    </row>
    <row r="64" spans="1:1" x14ac:dyDescent="0.25">
      <c r="A64" s="16" t="s">
        <v>9262</v>
      </c>
    </row>
    <row r="65" spans="1:1" x14ac:dyDescent="0.25">
      <c r="A65" s="16" t="s">
        <v>9263</v>
      </c>
    </row>
    <row r="66" spans="1:1" x14ac:dyDescent="0.25">
      <c r="A66" s="16" t="s">
        <v>9265</v>
      </c>
    </row>
    <row r="67" spans="1:1" x14ac:dyDescent="0.25">
      <c r="A67" s="16" t="s">
        <v>9267</v>
      </c>
    </row>
    <row r="68" spans="1:1" x14ac:dyDescent="0.25">
      <c r="A68" s="16" t="s">
        <v>9268</v>
      </c>
    </row>
    <row r="69" spans="1:1" x14ac:dyDescent="0.25">
      <c r="A69" s="16" t="s">
        <v>9270</v>
      </c>
    </row>
    <row r="70" spans="1:1" x14ac:dyDescent="0.25">
      <c r="A70" s="16" t="s">
        <v>9271</v>
      </c>
    </row>
    <row r="71" spans="1:1" x14ac:dyDescent="0.25">
      <c r="A71" s="16" t="s">
        <v>9272</v>
      </c>
    </row>
    <row r="72" spans="1:1" x14ac:dyDescent="0.25">
      <c r="A72" s="16" t="s">
        <v>9273</v>
      </c>
    </row>
    <row r="73" spans="1:1" x14ac:dyDescent="0.25">
      <c r="A73" s="16" t="s">
        <v>9274</v>
      </c>
    </row>
    <row r="74" spans="1:1" x14ac:dyDescent="0.25">
      <c r="A74" s="16" t="s">
        <v>9275</v>
      </c>
    </row>
    <row r="75" spans="1:1" x14ac:dyDescent="0.25">
      <c r="A75" s="16" t="s">
        <v>9276</v>
      </c>
    </row>
    <row r="76" spans="1:1" x14ac:dyDescent="0.25">
      <c r="A76" s="16" t="s">
        <v>9278</v>
      </c>
    </row>
    <row r="77" spans="1:1" x14ac:dyDescent="0.25">
      <c r="A77" s="16" t="s">
        <v>9280</v>
      </c>
    </row>
    <row r="78" spans="1:1" x14ac:dyDescent="0.25">
      <c r="A78" s="16" t="s">
        <v>9281</v>
      </c>
    </row>
    <row r="79" spans="1:1" x14ac:dyDescent="0.25">
      <c r="A79" s="16" t="s">
        <v>9282</v>
      </c>
    </row>
    <row r="80" spans="1:1" x14ac:dyDescent="0.25">
      <c r="A80" s="16" t="s">
        <v>9283</v>
      </c>
    </row>
    <row r="81" spans="1:1" x14ac:dyDescent="0.25">
      <c r="A81" s="16" t="s">
        <v>9285</v>
      </c>
    </row>
    <row r="82" spans="1:1" x14ac:dyDescent="0.25">
      <c r="A82" s="16" t="s">
        <v>9287</v>
      </c>
    </row>
    <row r="83" spans="1:1" x14ac:dyDescent="0.25">
      <c r="A83" s="16" t="s">
        <v>9288</v>
      </c>
    </row>
    <row r="84" spans="1:1" x14ac:dyDescent="0.25">
      <c r="A84" s="16" t="s">
        <v>9289</v>
      </c>
    </row>
    <row r="85" spans="1:1" x14ac:dyDescent="0.25">
      <c r="A85" s="16" t="s">
        <v>9290</v>
      </c>
    </row>
    <row r="86" spans="1:1" x14ac:dyDescent="0.25">
      <c r="A86" s="16" t="s">
        <v>9292</v>
      </c>
    </row>
    <row r="87" spans="1:1" x14ac:dyDescent="0.25">
      <c r="A87" s="16" t="s">
        <v>9294</v>
      </c>
    </row>
    <row r="88" spans="1:1" x14ac:dyDescent="0.25">
      <c r="A88" s="16" t="s">
        <v>9296</v>
      </c>
    </row>
    <row r="89" spans="1:1" x14ac:dyDescent="0.25">
      <c r="A89" s="16" t="s">
        <v>9298</v>
      </c>
    </row>
    <row r="90" spans="1:1" x14ac:dyDescent="0.25">
      <c r="A90" s="16" t="s">
        <v>9299</v>
      </c>
    </row>
    <row r="91" spans="1:1" x14ac:dyDescent="0.25">
      <c r="A91" s="16" t="s">
        <v>9301</v>
      </c>
    </row>
    <row r="92" spans="1:1" x14ac:dyDescent="0.25">
      <c r="A92" s="16" t="s">
        <v>9302</v>
      </c>
    </row>
    <row r="93" spans="1:1" x14ac:dyDescent="0.25">
      <c r="A93" s="16" t="s">
        <v>9304</v>
      </c>
    </row>
    <row r="94" spans="1:1" x14ac:dyDescent="0.25">
      <c r="A94" s="16" t="s">
        <v>9305</v>
      </c>
    </row>
    <row r="95" spans="1:1" x14ac:dyDescent="0.25">
      <c r="A95" s="16" t="s">
        <v>9306</v>
      </c>
    </row>
    <row r="96" spans="1:1" x14ac:dyDescent="0.25">
      <c r="A96" s="16" t="s">
        <v>9308</v>
      </c>
    </row>
    <row r="97" spans="1:1" x14ac:dyDescent="0.25">
      <c r="A97" s="16" t="s">
        <v>9310</v>
      </c>
    </row>
    <row r="98" spans="1:1" x14ac:dyDescent="0.25">
      <c r="A98" s="16" t="s">
        <v>9312</v>
      </c>
    </row>
    <row r="99" spans="1:1" x14ac:dyDescent="0.25">
      <c r="A99" s="16" t="s">
        <v>9314</v>
      </c>
    </row>
    <row r="100" spans="1:1" x14ac:dyDescent="0.25">
      <c r="A100" s="16" t="s">
        <v>9315</v>
      </c>
    </row>
    <row r="101" spans="1:1" x14ac:dyDescent="0.25">
      <c r="A101" s="16" t="s">
        <v>9316</v>
      </c>
    </row>
    <row r="102" spans="1:1" x14ac:dyDescent="0.25">
      <c r="A102" s="16" t="s">
        <v>9317</v>
      </c>
    </row>
    <row r="103" spans="1:1" x14ac:dyDescent="0.25">
      <c r="A103" s="16" t="s">
        <v>9318</v>
      </c>
    </row>
    <row r="104" spans="1:1" x14ac:dyDescent="0.25">
      <c r="A104" s="16" t="s">
        <v>9320</v>
      </c>
    </row>
    <row r="105" spans="1:1" x14ac:dyDescent="0.25">
      <c r="A105" s="16" t="s">
        <v>9321</v>
      </c>
    </row>
    <row r="106" spans="1:1" x14ac:dyDescent="0.25">
      <c r="A106" s="16" t="s">
        <v>9322</v>
      </c>
    </row>
    <row r="107" spans="1:1" x14ac:dyDescent="0.25">
      <c r="A107" s="16" t="s">
        <v>9324</v>
      </c>
    </row>
    <row r="108" spans="1:1" x14ac:dyDescent="0.25">
      <c r="A108" s="16" t="s">
        <v>9325</v>
      </c>
    </row>
    <row r="109" spans="1:1" x14ac:dyDescent="0.25">
      <c r="A109" s="16" t="s">
        <v>9327</v>
      </c>
    </row>
    <row r="110" spans="1:1" x14ac:dyDescent="0.25">
      <c r="A110" s="16" t="s">
        <v>9328</v>
      </c>
    </row>
    <row r="111" spans="1:1" x14ac:dyDescent="0.25">
      <c r="A111" s="16" t="s">
        <v>9330</v>
      </c>
    </row>
    <row r="112" spans="1:1" x14ac:dyDescent="0.25">
      <c r="A112" s="16" t="s">
        <v>9331</v>
      </c>
    </row>
    <row r="113" spans="1:1" x14ac:dyDescent="0.25">
      <c r="A113" s="16" t="s">
        <v>9332</v>
      </c>
    </row>
    <row r="114" spans="1:1" x14ac:dyDescent="0.25">
      <c r="A114" s="16" t="s">
        <v>9333</v>
      </c>
    </row>
    <row r="115" spans="1:1" x14ac:dyDescent="0.25">
      <c r="A115" s="16" t="s">
        <v>9334</v>
      </c>
    </row>
    <row r="116" spans="1:1" x14ac:dyDescent="0.25">
      <c r="A116" s="16" t="s">
        <v>9336</v>
      </c>
    </row>
    <row r="117" spans="1:1" x14ac:dyDescent="0.25">
      <c r="A117" s="16" t="s">
        <v>9338</v>
      </c>
    </row>
    <row r="118" spans="1:1" x14ac:dyDescent="0.25">
      <c r="A118" s="16" t="s">
        <v>9339</v>
      </c>
    </row>
    <row r="119" spans="1:1" x14ac:dyDescent="0.25">
      <c r="A119" s="16" t="s">
        <v>9340</v>
      </c>
    </row>
    <row r="120" spans="1:1" x14ac:dyDescent="0.25">
      <c r="A120" s="16" t="s">
        <v>9342</v>
      </c>
    </row>
    <row r="121" spans="1:1" x14ac:dyDescent="0.25">
      <c r="A121" s="16" t="s">
        <v>9344</v>
      </c>
    </row>
    <row r="122" spans="1:1" x14ac:dyDescent="0.25">
      <c r="A122" s="16" t="s">
        <v>9346</v>
      </c>
    </row>
    <row r="123" spans="1:1" x14ac:dyDescent="0.25">
      <c r="A123" s="16" t="s">
        <v>9347</v>
      </c>
    </row>
    <row r="124" spans="1:1" x14ac:dyDescent="0.25">
      <c r="A124" s="16" t="s">
        <v>9349</v>
      </c>
    </row>
    <row r="125" spans="1:1" x14ac:dyDescent="0.25">
      <c r="A125" s="16" t="s">
        <v>9351</v>
      </c>
    </row>
    <row r="126" spans="1:1" x14ac:dyDescent="0.25">
      <c r="A126" s="16" t="s">
        <v>9353</v>
      </c>
    </row>
    <row r="127" spans="1:1" x14ac:dyDescent="0.25">
      <c r="A127" s="16" t="s">
        <v>9354</v>
      </c>
    </row>
    <row r="128" spans="1:1" x14ac:dyDescent="0.25">
      <c r="A128" s="16" t="s">
        <v>9356</v>
      </c>
    </row>
    <row r="129" spans="1:1" x14ac:dyDescent="0.25">
      <c r="A129" s="16" t="s">
        <v>9357</v>
      </c>
    </row>
    <row r="130" spans="1:1" x14ac:dyDescent="0.25">
      <c r="A130" s="16" t="s">
        <v>9358</v>
      </c>
    </row>
    <row r="131" spans="1:1" x14ac:dyDescent="0.25">
      <c r="A131" s="16" t="s">
        <v>9359</v>
      </c>
    </row>
    <row r="132" spans="1:1" x14ac:dyDescent="0.25">
      <c r="A132" s="16" t="s">
        <v>9361</v>
      </c>
    </row>
    <row r="133" spans="1:1" x14ac:dyDescent="0.25">
      <c r="A133" s="16" t="s">
        <v>9362</v>
      </c>
    </row>
    <row r="134" spans="1:1" x14ac:dyDescent="0.25">
      <c r="A134" s="16" t="s">
        <v>9363</v>
      </c>
    </row>
    <row r="135" spans="1:1" x14ac:dyDescent="0.25">
      <c r="A135" s="16" t="s">
        <v>9364</v>
      </c>
    </row>
    <row r="136" spans="1:1" x14ac:dyDescent="0.25">
      <c r="A136" s="16" t="s">
        <v>9366</v>
      </c>
    </row>
    <row r="137" spans="1:1" x14ac:dyDescent="0.25">
      <c r="A137" s="16" t="s">
        <v>9367</v>
      </c>
    </row>
    <row r="138" spans="1:1" x14ac:dyDescent="0.25">
      <c r="A138" s="16" t="s">
        <v>9368</v>
      </c>
    </row>
    <row r="139" spans="1:1" x14ac:dyDescent="0.25">
      <c r="A139" s="16" t="s">
        <v>9369</v>
      </c>
    </row>
    <row r="140" spans="1:1" x14ac:dyDescent="0.25">
      <c r="A140" s="16" t="s">
        <v>9370</v>
      </c>
    </row>
    <row r="141" spans="1:1" x14ac:dyDescent="0.25">
      <c r="A141" s="16" t="s">
        <v>9372</v>
      </c>
    </row>
    <row r="142" spans="1:1" x14ac:dyDescent="0.25">
      <c r="A142" s="16" t="s">
        <v>9373</v>
      </c>
    </row>
    <row r="143" spans="1:1" x14ac:dyDescent="0.25">
      <c r="A143" s="16" t="s">
        <v>9375</v>
      </c>
    </row>
    <row r="144" spans="1:1" x14ac:dyDescent="0.25">
      <c r="A144" s="16" t="s">
        <v>9377</v>
      </c>
    </row>
    <row r="145" spans="1:1" x14ac:dyDescent="0.25">
      <c r="A145" s="16" t="s">
        <v>9378</v>
      </c>
    </row>
    <row r="146" spans="1:1" x14ac:dyDescent="0.25">
      <c r="A146" s="16" t="s">
        <v>9379</v>
      </c>
    </row>
    <row r="147" spans="1:1" x14ac:dyDescent="0.25">
      <c r="A147" s="16" t="s">
        <v>9380</v>
      </c>
    </row>
    <row r="148" spans="1:1" x14ac:dyDescent="0.25">
      <c r="A148" s="16" t="s">
        <v>9381</v>
      </c>
    </row>
    <row r="149" spans="1:1" x14ac:dyDescent="0.25">
      <c r="A149" s="16" t="s">
        <v>9383</v>
      </c>
    </row>
    <row r="150" spans="1:1" x14ac:dyDescent="0.25">
      <c r="A150" s="16" t="s">
        <v>9385</v>
      </c>
    </row>
    <row r="151" spans="1:1" x14ac:dyDescent="0.25">
      <c r="A151" s="16" t="s">
        <v>9387</v>
      </c>
    </row>
    <row r="152" spans="1:1" x14ac:dyDescent="0.25">
      <c r="A152" s="16" t="s">
        <v>9388</v>
      </c>
    </row>
    <row r="153" spans="1:1" x14ac:dyDescent="0.25">
      <c r="A153" s="16" t="s">
        <v>9390</v>
      </c>
    </row>
    <row r="154" spans="1:1" x14ac:dyDescent="0.25">
      <c r="A154" s="16" t="s">
        <v>9391</v>
      </c>
    </row>
    <row r="155" spans="1:1" x14ac:dyDescent="0.25">
      <c r="A155" s="16" t="s">
        <v>9392</v>
      </c>
    </row>
    <row r="156" spans="1:1" x14ac:dyDescent="0.25">
      <c r="A156" s="16" t="s">
        <v>9394</v>
      </c>
    </row>
    <row r="157" spans="1:1" x14ac:dyDescent="0.25">
      <c r="A157" s="16" t="s">
        <v>9396</v>
      </c>
    </row>
    <row r="158" spans="1:1" x14ac:dyDescent="0.25">
      <c r="A158" s="16" t="s">
        <v>9397</v>
      </c>
    </row>
    <row r="159" spans="1:1" x14ac:dyDescent="0.25">
      <c r="A159" s="16" t="s">
        <v>9399</v>
      </c>
    </row>
    <row r="160" spans="1:1" x14ac:dyDescent="0.25">
      <c r="A160" s="16" t="s">
        <v>9401</v>
      </c>
    </row>
    <row r="161" spans="1:1" x14ac:dyDescent="0.25">
      <c r="A161" s="16" t="s">
        <v>9403</v>
      </c>
    </row>
    <row r="162" spans="1:1" x14ac:dyDescent="0.25">
      <c r="A162" s="16" t="s">
        <v>9405</v>
      </c>
    </row>
    <row r="163" spans="1:1" x14ac:dyDescent="0.25">
      <c r="A163" s="16" t="s">
        <v>9407</v>
      </c>
    </row>
    <row r="164" spans="1:1" x14ac:dyDescent="0.25">
      <c r="A164" s="16" t="s">
        <v>9408</v>
      </c>
    </row>
    <row r="165" spans="1:1" x14ac:dyDescent="0.25">
      <c r="A165" s="16" t="s">
        <v>9410</v>
      </c>
    </row>
    <row r="166" spans="1:1" x14ac:dyDescent="0.25">
      <c r="A166" s="16" t="s">
        <v>9412</v>
      </c>
    </row>
    <row r="167" spans="1:1" x14ac:dyDescent="0.25">
      <c r="A167" s="16" t="s">
        <v>9411</v>
      </c>
    </row>
    <row r="168" spans="1:1" x14ac:dyDescent="0.25">
      <c r="A168" s="16" t="s">
        <v>9414</v>
      </c>
    </row>
    <row r="169" spans="1:1" x14ac:dyDescent="0.25">
      <c r="A169" s="16" t="s">
        <v>9415</v>
      </c>
    </row>
    <row r="170" spans="1:1" x14ac:dyDescent="0.25">
      <c r="A170" s="16" t="s">
        <v>9416</v>
      </c>
    </row>
    <row r="171" spans="1:1" x14ac:dyDescent="0.25">
      <c r="A171" s="16" t="s">
        <v>9417</v>
      </c>
    </row>
    <row r="172" spans="1:1" x14ac:dyDescent="0.25">
      <c r="A172" s="16" t="s">
        <v>9419</v>
      </c>
    </row>
    <row r="173" spans="1:1" x14ac:dyDescent="0.25">
      <c r="A173" s="16" t="s">
        <v>9421</v>
      </c>
    </row>
    <row r="174" spans="1:1" x14ac:dyDescent="0.25">
      <c r="A174" s="16" t="s">
        <v>9422</v>
      </c>
    </row>
    <row r="175" spans="1:1" x14ac:dyDescent="0.25">
      <c r="A175" s="16" t="s">
        <v>9424</v>
      </c>
    </row>
    <row r="176" spans="1:1" x14ac:dyDescent="0.25">
      <c r="A176" s="16" t="s">
        <v>9426</v>
      </c>
    </row>
    <row r="177" spans="1:1" x14ac:dyDescent="0.25">
      <c r="A177" s="16" t="s">
        <v>9427</v>
      </c>
    </row>
    <row r="178" spans="1:1" x14ac:dyDescent="0.25">
      <c r="A178" s="16" t="s">
        <v>9429</v>
      </c>
    </row>
    <row r="179" spans="1:1" x14ac:dyDescent="0.25">
      <c r="A179" s="16" t="s">
        <v>9430</v>
      </c>
    </row>
    <row r="180" spans="1:1" x14ac:dyDescent="0.25">
      <c r="A180" s="16" t="s">
        <v>9432</v>
      </c>
    </row>
    <row r="181" spans="1:1" x14ac:dyDescent="0.25">
      <c r="A181" s="16" t="s">
        <v>9433</v>
      </c>
    </row>
    <row r="182" spans="1:1" x14ac:dyDescent="0.25">
      <c r="A182" s="16" t="s">
        <v>9434</v>
      </c>
    </row>
    <row r="183" spans="1:1" x14ac:dyDescent="0.25">
      <c r="A183" s="16" t="s">
        <v>9436</v>
      </c>
    </row>
    <row r="184" spans="1:1" x14ac:dyDescent="0.25">
      <c r="A184" s="16" t="s">
        <v>9437</v>
      </c>
    </row>
    <row r="185" spans="1:1" x14ac:dyDescent="0.25">
      <c r="A185" s="16" t="s">
        <v>9439</v>
      </c>
    </row>
    <row r="186" spans="1:1" x14ac:dyDescent="0.25">
      <c r="A186" s="16" t="s">
        <v>9440</v>
      </c>
    </row>
    <row r="187" spans="1:1" x14ac:dyDescent="0.25">
      <c r="A187" s="16" t="s">
        <v>9441</v>
      </c>
    </row>
    <row r="188" spans="1:1" x14ac:dyDescent="0.25">
      <c r="A188" s="16" t="s">
        <v>9442</v>
      </c>
    </row>
    <row r="189" spans="1:1" x14ac:dyDescent="0.25">
      <c r="A189" s="16" t="s">
        <v>9444</v>
      </c>
    </row>
    <row r="190" spans="1:1" x14ac:dyDescent="0.25">
      <c r="A190" s="16" t="s">
        <v>9445</v>
      </c>
    </row>
    <row r="191" spans="1:1" x14ac:dyDescent="0.25">
      <c r="A191" s="16" t="s">
        <v>9446</v>
      </c>
    </row>
    <row r="192" spans="1:1" x14ac:dyDescent="0.25">
      <c r="A192" s="16" t="s">
        <v>9448</v>
      </c>
    </row>
    <row r="193" spans="1:1" x14ac:dyDescent="0.25">
      <c r="A193" s="16" t="s">
        <v>9450</v>
      </c>
    </row>
    <row r="194" spans="1:1" x14ac:dyDescent="0.25">
      <c r="A194" s="16" t="s">
        <v>9452</v>
      </c>
    </row>
    <row r="195" spans="1:1" x14ac:dyDescent="0.25">
      <c r="A195" s="16" t="s">
        <v>9453</v>
      </c>
    </row>
    <row r="196" spans="1:1" x14ac:dyDescent="0.25">
      <c r="A196" s="16" t="s">
        <v>9455</v>
      </c>
    </row>
    <row r="197" spans="1:1" x14ac:dyDescent="0.25">
      <c r="A197" s="16" t="s">
        <v>9456</v>
      </c>
    </row>
    <row r="198" spans="1:1" x14ac:dyDescent="0.25">
      <c r="A198" s="16" t="s">
        <v>9457</v>
      </c>
    </row>
    <row r="199" spans="1:1" x14ac:dyDescent="0.25">
      <c r="A199" s="16" t="s">
        <v>9459</v>
      </c>
    </row>
    <row r="200" spans="1:1" x14ac:dyDescent="0.25">
      <c r="A200" s="16" t="s">
        <v>9465</v>
      </c>
    </row>
    <row r="201" spans="1:1" x14ac:dyDescent="0.25">
      <c r="A201" s="16" t="s">
        <v>9461</v>
      </c>
    </row>
    <row r="202" spans="1:1" x14ac:dyDescent="0.25">
      <c r="A202" s="16" t="s">
        <v>9463</v>
      </c>
    </row>
    <row r="203" spans="1:1" x14ac:dyDescent="0.25">
      <c r="A203" s="16" t="s">
        <v>9467</v>
      </c>
    </row>
    <row r="204" spans="1:1" x14ac:dyDescent="0.25">
      <c r="A204" s="16" t="s">
        <v>9468</v>
      </c>
    </row>
    <row r="205" spans="1:1" x14ac:dyDescent="0.25">
      <c r="A205" s="16" t="s">
        <v>9469</v>
      </c>
    </row>
    <row r="206" spans="1:1" x14ac:dyDescent="0.25">
      <c r="A206" s="16" t="s">
        <v>9471</v>
      </c>
    </row>
    <row r="207" spans="1:1" x14ac:dyDescent="0.25">
      <c r="A207" s="16" t="s">
        <v>9472</v>
      </c>
    </row>
    <row r="208" spans="1:1" x14ac:dyDescent="0.25">
      <c r="A208" s="16" t="s">
        <v>9474</v>
      </c>
    </row>
    <row r="209" spans="1:1" x14ac:dyDescent="0.25">
      <c r="A209" s="16" t="s">
        <v>9476</v>
      </c>
    </row>
    <row r="210" spans="1:1" x14ac:dyDescent="0.25">
      <c r="A210" s="16" t="s">
        <v>9477</v>
      </c>
    </row>
    <row r="211" spans="1:1" x14ac:dyDescent="0.25">
      <c r="A211" s="16" t="s">
        <v>9479</v>
      </c>
    </row>
    <row r="212" spans="1:1" x14ac:dyDescent="0.25">
      <c r="A212" s="16" t="s">
        <v>9481</v>
      </c>
    </row>
    <row r="213" spans="1:1" x14ac:dyDescent="0.25">
      <c r="A213" s="16" t="s">
        <v>9483</v>
      </c>
    </row>
    <row r="214" spans="1:1" x14ac:dyDescent="0.25">
      <c r="A214" s="16" t="s">
        <v>9486</v>
      </c>
    </row>
    <row r="215" spans="1:1" x14ac:dyDescent="0.25">
      <c r="A215" s="16" t="s">
        <v>9485</v>
      </c>
    </row>
    <row r="216" spans="1:1" x14ac:dyDescent="0.25">
      <c r="A216" s="16" t="s">
        <v>9487</v>
      </c>
    </row>
    <row r="217" spans="1:1" x14ac:dyDescent="0.25">
      <c r="A217" s="16" t="s">
        <v>9488</v>
      </c>
    </row>
    <row r="218" spans="1:1" x14ac:dyDescent="0.25">
      <c r="A218" s="16" t="s">
        <v>9489</v>
      </c>
    </row>
    <row r="219" spans="1:1" x14ac:dyDescent="0.25">
      <c r="A219" s="16" t="s">
        <v>9490</v>
      </c>
    </row>
    <row r="220" spans="1:1" x14ac:dyDescent="0.25">
      <c r="A220" s="16" t="s">
        <v>9491</v>
      </c>
    </row>
    <row r="221" spans="1:1" x14ac:dyDescent="0.25">
      <c r="A221" s="16" t="s">
        <v>9493</v>
      </c>
    </row>
    <row r="222" spans="1:1" x14ac:dyDescent="0.25">
      <c r="A222" s="16" t="s">
        <v>9494</v>
      </c>
    </row>
    <row r="223" spans="1:1" x14ac:dyDescent="0.25">
      <c r="A223" s="16" t="s">
        <v>9496</v>
      </c>
    </row>
    <row r="224" spans="1:1" x14ac:dyDescent="0.25">
      <c r="A224" s="16" t="s">
        <v>9498</v>
      </c>
    </row>
    <row r="225" spans="1:1" x14ac:dyDescent="0.25">
      <c r="A225" s="16" t="s">
        <v>9499</v>
      </c>
    </row>
    <row r="226" spans="1:1" x14ac:dyDescent="0.25">
      <c r="A226" s="16" t="s">
        <v>9504</v>
      </c>
    </row>
    <row r="227" spans="1:1" x14ac:dyDescent="0.25">
      <c r="A227" s="16" t="s">
        <v>9507</v>
      </c>
    </row>
    <row r="228" spans="1:1" x14ac:dyDescent="0.25">
      <c r="A228" s="16" t="s">
        <v>9505</v>
      </c>
    </row>
    <row r="229" spans="1:1" x14ac:dyDescent="0.25">
      <c r="A229" s="16" t="s">
        <v>9509</v>
      </c>
    </row>
    <row r="230" spans="1:1" x14ac:dyDescent="0.25">
      <c r="A230" s="16" t="s">
        <v>9510</v>
      </c>
    </row>
    <row r="231" spans="1:1" x14ac:dyDescent="0.25">
      <c r="A231" s="16" t="s">
        <v>9513</v>
      </c>
    </row>
    <row r="232" spans="1:1" x14ac:dyDescent="0.25">
      <c r="A232" s="16" t="s">
        <v>9516</v>
      </c>
    </row>
    <row r="233" spans="1:1" x14ac:dyDescent="0.25">
      <c r="A233" s="16" t="s">
        <v>9518</v>
      </c>
    </row>
    <row r="234" spans="1:1" x14ac:dyDescent="0.25">
      <c r="A234" s="16" t="s">
        <v>9521</v>
      </c>
    </row>
    <row r="235" spans="1:1" x14ac:dyDescent="0.25">
      <c r="A235" s="16" t="s">
        <v>9523</v>
      </c>
    </row>
    <row r="236" spans="1:1" x14ac:dyDescent="0.25">
      <c r="A236" s="16" t="s">
        <v>9529</v>
      </c>
    </row>
    <row r="237" spans="1:1" x14ac:dyDescent="0.25">
      <c r="A237" s="16" t="s">
        <v>9525</v>
      </c>
    </row>
    <row r="238" spans="1:1" x14ac:dyDescent="0.25">
      <c r="A238" s="16" t="s">
        <v>9527</v>
      </c>
    </row>
    <row r="239" spans="1:1" x14ac:dyDescent="0.25">
      <c r="A239" s="16" t="s">
        <v>9544</v>
      </c>
    </row>
    <row r="240" spans="1:1" x14ac:dyDescent="0.25">
      <c r="A240" s="16" t="s">
        <v>9584</v>
      </c>
    </row>
    <row r="241" spans="1:1" x14ac:dyDescent="0.25">
      <c r="A241" s="16" t="s">
        <v>9542</v>
      </c>
    </row>
    <row r="242" spans="1:1" x14ac:dyDescent="0.25">
      <c r="A242" s="16" t="s">
        <v>9558</v>
      </c>
    </row>
    <row r="243" spans="1:1" x14ac:dyDescent="0.25">
      <c r="A243" s="16" t="s">
        <v>9581</v>
      </c>
    </row>
    <row r="244" spans="1:1" x14ac:dyDescent="0.25">
      <c r="A244" s="16" t="s">
        <v>9585</v>
      </c>
    </row>
    <row r="245" spans="1:1" x14ac:dyDescent="0.25">
      <c r="A245" s="16" t="s">
        <v>9599</v>
      </c>
    </row>
    <row r="246" spans="1:1" x14ac:dyDescent="0.25">
      <c r="A246" s="16" t="s">
        <v>9588</v>
      </c>
    </row>
    <row r="247" spans="1:1" x14ac:dyDescent="0.25">
      <c r="A247" s="16" t="s">
        <v>9589</v>
      </c>
    </row>
    <row r="248" spans="1:1" x14ac:dyDescent="0.25">
      <c r="A248" s="16" t="s">
        <v>9600</v>
      </c>
    </row>
    <row r="249" spans="1:1" x14ac:dyDescent="0.25">
      <c r="A249" s="16" t="s">
        <v>9603</v>
      </c>
    </row>
    <row r="250" spans="1:1" x14ac:dyDescent="0.25">
      <c r="A250" s="16" t="s">
        <v>9606</v>
      </c>
    </row>
    <row r="251" spans="1:1" x14ac:dyDescent="0.25">
      <c r="A251" s="16" t="s">
        <v>9609</v>
      </c>
    </row>
    <row r="252" spans="1:1" x14ac:dyDescent="0.25">
      <c r="A252" s="16" t="s">
        <v>9614</v>
      </c>
    </row>
    <row r="253" spans="1:1" x14ac:dyDescent="0.25">
      <c r="A253" s="16" t="s">
        <v>9612</v>
      </c>
    </row>
    <row r="254" spans="1:1" x14ac:dyDescent="0.25">
      <c r="A254" s="16" t="s">
        <v>13095</v>
      </c>
    </row>
    <row r="255" spans="1:1" x14ac:dyDescent="0.25">
      <c r="A255" s="15" t="s">
        <v>13096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33336-8B68-487D-8D11-E036150E1CF7}">
  <dimension ref="A1:I250"/>
  <sheetViews>
    <sheetView workbookViewId="0">
      <selection sqref="A1:XFD1048576"/>
    </sheetView>
  </sheetViews>
  <sheetFormatPr baseColWidth="10" defaultRowHeight="15" x14ac:dyDescent="0.25"/>
  <cols>
    <col min="1" max="1" width="17.5703125" bestFit="1" customWidth="1"/>
    <col min="2" max="2" width="4.42578125" bestFit="1" customWidth="1"/>
    <col min="3" max="3" width="7.42578125" bestFit="1" customWidth="1"/>
    <col min="4" max="4" width="10.5703125" bestFit="1" customWidth="1"/>
    <col min="5" max="5" width="19.28515625" bestFit="1" customWidth="1"/>
    <col min="6" max="6" width="10.7109375" bestFit="1" customWidth="1"/>
    <col min="7" max="7" width="13.7109375" bestFit="1" customWidth="1"/>
    <col min="8" max="8" width="32.85546875" bestFit="1" customWidth="1"/>
    <col min="9" max="9" width="12" bestFit="1" customWidth="1"/>
  </cols>
  <sheetData>
    <row r="1" spans="1:9" x14ac:dyDescent="0.25">
      <c r="A1" s="3" t="s">
        <v>3324</v>
      </c>
      <c r="B1" t="s">
        <v>8854</v>
      </c>
      <c r="C1" t="s">
        <v>8855</v>
      </c>
      <c r="D1" t="s">
        <v>8856</v>
      </c>
      <c r="E1" t="s">
        <v>8857</v>
      </c>
      <c r="F1" t="s">
        <v>8858</v>
      </c>
      <c r="G1" t="s">
        <v>9162</v>
      </c>
      <c r="H1" t="s">
        <v>9163</v>
      </c>
      <c r="I1" t="s">
        <v>8862</v>
      </c>
    </row>
    <row r="2" spans="1:9" x14ac:dyDescent="0.25">
      <c r="A2" t="s">
        <v>9164</v>
      </c>
      <c r="C2" t="s">
        <v>9165</v>
      </c>
      <c r="D2" t="s">
        <v>9166</v>
      </c>
      <c r="E2" t="s">
        <v>9167</v>
      </c>
      <c r="F2" s="1">
        <v>43851</v>
      </c>
      <c r="G2" t="str">
        <f>"300081"</f>
        <v>300081</v>
      </c>
      <c r="H2" t="s">
        <v>2045</v>
      </c>
      <c r="I2">
        <v>89280</v>
      </c>
    </row>
    <row r="3" spans="1:9" x14ac:dyDescent="0.25">
      <c r="A3" t="s">
        <v>9164</v>
      </c>
      <c r="C3" t="s">
        <v>9165</v>
      </c>
      <c r="D3" t="s">
        <v>9168</v>
      </c>
      <c r="E3" t="s">
        <v>2172</v>
      </c>
      <c r="F3" s="1">
        <v>43945</v>
      </c>
      <c r="G3" t="str">
        <f t="shared" ref="G3:G12" si="0">"300115"</f>
        <v>300115</v>
      </c>
      <c r="H3" t="s">
        <v>2938</v>
      </c>
      <c r="I3">
        <v>38959.153200000001</v>
      </c>
    </row>
    <row r="4" spans="1:9" x14ac:dyDescent="0.25">
      <c r="A4" t="s">
        <v>9164</v>
      </c>
      <c r="C4" t="s">
        <v>9165</v>
      </c>
      <c r="D4" t="s">
        <v>9169</v>
      </c>
      <c r="E4" t="s">
        <v>9170</v>
      </c>
      <c r="F4" s="1">
        <v>43946</v>
      </c>
      <c r="G4" t="str">
        <f t="shared" si="0"/>
        <v>300115</v>
      </c>
      <c r="H4" t="s">
        <v>2938</v>
      </c>
      <c r="I4">
        <v>14941.789500000001</v>
      </c>
    </row>
    <row r="5" spans="1:9" x14ac:dyDescent="0.25">
      <c r="A5" t="s">
        <v>9164</v>
      </c>
      <c r="C5" t="s">
        <v>9165</v>
      </c>
      <c r="D5" t="s">
        <v>9171</v>
      </c>
      <c r="E5" t="s">
        <v>9172</v>
      </c>
      <c r="F5" s="1">
        <v>43956</v>
      </c>
      <c r="G5" t="str">
        <f t="shared" si="0"/>
        <v>300115</v>
      </c>
      <c r="H5" t="s">
        <v>2938</v>
      </c>
      <c r="I5">
        <v>39493.684999999998</v>
      </c>
    </row>
    <row r="6" spans="1:9" x14ac:dyDescent="0.25">
      <c r="A6" t="s">
        <v>9164</v>
      </c>
      <c r="C6" t="s">
        <v>9165</v>
      </c>
      <c r="D6" t="s">
        <v>9173</v>
      </c>
      <c r="E6" t="s">
        <v>9174</v>
      </c>
      <c r="F6" s="1">
        <v>43960</v>
      </c>
      <c r="G6" t="str">
        <f t="shared" si="0"/>
        <v>300115</v>
      </c>
      <c r="H6" t="s">
        <v>2938</v>
      </c>
      <c r="I6">
        <v>27368.871200000001</v>
      </c>
    </row>
    <row r="7" spans="1:9" x14ac:dyDescent="0.25">
      <c r="A7" t="s">
        <v>9164</v>
      </c>
      <c r="C7" t="s">
        <v>9165</v>
      </c>
      <c r="D7" t="s">
        <v>9175</v>
      </c>
      <c r="E7" t="s">
        <v>9176</v>
      </c>
      <c r="F7" s="1">
        <v>43963</v>
      </c>
      <c r="G7" t="str">
        <f t="shared" si="0"/>
        <v>300115</v>
      </c>
      <c r="H7" t="s">
        <v>2938</v>
      </c>
      <c r="I7">
        <v>4752</v>
      </c>
    </row>
    <row r="8" spans="1:9" x14ac:dyDescent="0.25">
      <c r="A8" t="s">
        <v>9164</v>
      </c>
      <c r="C8" t="s">
        <v>9165</v>
      </c>
      <c r="D8" t="s">
        <v>9177</v>
      </c>
      <c r="E8" t="s">
        <v>9178</v>
      </c>
      <c r="F8" s="1">
        <v>43969</v>
      </c>
      <c r="G8" t="str">
        <f t="shared" si="0"/>
        <v>300115</v>
      </c>
      <c r="H8" t="s">
        <v>2938</v>
      </c>
      <c r="I8">
        <v>105655</v>
      </c>
    </row>
    <row r="9" spans="1:9" x14ac:dyDescent="0.25">
      <c r="A9" t="s">
        <v>9164</v>
      </c>
      <c r="C9" t="s">
        <v>9165</v>
      </c>
      <c r="D9" t="s">
        <v>9179</v>
      </c>
      <c r="F9" s="1">
        <v>43969</v>
      </c>
      <c r="G9" t="str">
        <f t="shared" si="0"/>
        <v>300115</v>
      </c>
      <c r="H9" t="s">
        <v>2938</v>
      </c>
      <c r="I9">
        <v>386100</v>
      </c>
    </row>
    <row r="10" spans="1:9" x14ac:dyDescent="0.25">
      <c r="A10" t="s">
        <v>9164</v>
      </c>
      <c r="C10" t="s">
        <v>9165</v>
      </c>
      <c r="D10" t="s">
        <v>9180</v>
      </c>
      <c r="E10" t="s">
        <v>9181</v>
      </c>
      <c r="F10" s="1">
        <v>43972</v>
      </c>
      <c r="G10" t="str">
        <f t="shared" si="0"/>
        <v>300115</v>
      </c>
      <c r="H10" t="s">
        <v>2938</v>
      </c>
      <c r="I10">
        <v>91193.337400000004</v>
      </c>
    </row>
    <row r="11" spans="1:9" x14ac:dyDescent="0.25">
      <c r="A11" t="s">
        <v>9164</v>
      </c>
      <c r="C11" t="s">
        <v>9165</v>
      </c>
      <c r="D11" t="s">
        <v>9182</v>
      </c>
      <c r="E11" t="s">
        <v>9183</v>
      </c>
      <c r="F11" s="1">
        <v>43972</v>
      </c>
      <c r="G11" t="str">
        <f t="shared" si="0"/>
        <v>300115</v>
      </c>
      <c r="H11" t="s">
        <v>2938</v>
      </c>
      <c r="I11">
        <v>158664</v>
      </c>
    </row>
    <row r="12" spans="1:9" x14ac:dyDescent="0.25">
      <c r="A12" t="s">
        <v>9164</v>
      </c>
      <c r="C12" t="s">
        <v>9165</v>
      </c>
      <c r="D12" t="s">
        <v>9184</v>
      </c>
      <c r="E12" s="2">
        <v>46027</v>
      </c>
      <c r="F12" s="1">
        <v>43994</v>
      </c>
      <c r="G12" t="str">
        <f t="shared" si="0"/>
        <v>300115</v>
      </c>
      <c r="H12" t="s">
        <v>2938</v>
      </c>
      <c r="I12">
        <v>85358.592000000004</v>
      </c>
    </row>
    <row r="13" spans="1:9" x14ac:dyDescent="0.25">
      <c r="A13" t="s">
        <v>9164</v>
      </c>
      <c r="C13" t="s">
        <v>9165</v>
      </c>
      <c r="D13" t="s">
        <v>9185</v>
      </c>
      <c r="E13" t="s">
        <v>9186</v>
      </c>
      <c r="F13" s="1">
        <v>44004</v>
      </c>
      <c r="G13" t="str">
        <f>"300302"</f>
        <v>300302</v>
      </c>
      <c r="H13" t="s">
        <v>2690</v>
      </c>
      <c r="I13">
        <v>6300</v>
      </c>
    </row>
    <row r="14" spans="1:9" x14ac:dyDescent="0.25">
      <c r="A14" t="s">
        <v>9164</v>
      </c>
      <c r="C14" t="s">
        <v>9165</v>
      </c>
      <c r="D14" t="s">
        <v>9187</v>
      </c>
      <c r="E14" t="s">
        <v>9172</v>
      </c>
      <c r="F14" s="1">
        <v>44006</v>
      </c>
      <c r="G14" t="str">
        <f t="shared" ref="G14:G21" si="1">"300115"</f>
        <v>300115</v>
      </c>
      <c r="H14" t="s">
        <v>2938</v>
      </c>
      <c r="I14">
        <v>49335.752399999998</v>
      </c>
    </row>
    <row r="15" spans="1:9" x14ac:dyDescent="0.25">
      <c r="A15" t="s">
        <v>9164</v>
      </c>
      <c r="C15" t="s">
        <v>9165</v>
      </c>
      <c r="D15" t="s">
        <v>9188</v>
      </c>
      <c r="E15" t="s">
        <v>9189</v>
      </c>
      <c r="F15" s="1">
        <v>44014</v>
      </c>
      <c r="G15" t="str">
        <f t="shared" si="1"/>
        <v>300115</v>
      </c>
      <c r="H15" t="s">
        <v>2938</v>
      </c>
      <c r="I15">
        <v>405107.40600000002</v>
      </c>
    </row>
    <row r="16" spans="1:9" x14ac:dyDescent="0.25">
      <c r="A16" t="s">
        <v>9164</v>
      </c>
      <c r="C16" t="s">
        <v>9165</v>
      </c>
      <c r="D16" t="s">
        <v>9190</v>
      </c>
      <c r="E16" t="s">
        <v>9191</v>
      </c>
      <c r="F16" s="1">
        <v>44020</v>
      </c>
      <c r="G16" t="str">
        <f t="shared" si="1"/>
        <v>300115</v>
      </c>
      <c r="H16" t="s">
        <v>2938</v>
      </c>
      <c r="I16">
        <v>634800.44099999999</v>
      </c>
    </row>
    <row r="17" spans="1:9" x14ac:dyDescent="0.25">
      <c r="A17" t="s">
        <v>9164</v>
      </c>
      <c r="C17" t="s">
        <v>9165</v>
      </c>
      <c r="D17" t="s">
        <v>9192</v>
      </c>
      <c r="E17" t="s">
        <v>9189</v>
      </c>
      <c r="F17" s="1">
        <v>44035</v>
      </c>
      <c r="G17" t="str">
        <f t="shared" si="1"/>
        <v>300115</v>
      </c>
      <c r="H17" t="s">
        <v>2938</v>
      </c>
      <c r="I17">
        <v>3091330.1275999998</v>
      </c>
    </row>
    <row r="18" spans="1:9" x14ac:dyDescent="0.25">
      <c r="A18" t="s">
        <v>9164</v>
      </c>
      <c r="C18" t="s">
        <v>9165</v>
      </c>
      <c r="D18" t="s">
        <v>9193</v>
      </c>
      <c r="E18" t="s">
        <v>9194</v>
      </c>
      <c r="F18" s="1">
        <v>44036</v>
      </c>
      <c r="G18" t="str">
        <f t="shared" si="1"/>
        <v>300115</v>
      </c>
      <c r="H18" t="s">
        <v>2938</v>
      </c>
      <c r="I18">
        <v>16414.930400000001</v>
      </c>
    </row>
    <row r="19" spans="1:9" x14ac:dyDescent="0.25">
      <c r="A19" t="s">
        <v>9164</v>
      </c>
      <c r="C19" t="s">
        <v>9165</v>
      </c>
      <c r="D19" t="s">
        <v>9195</v>
      </c>
      <c r="E19" t="s">
        <v>9196</v>
      </c>
      <c r="F19" s="1">
        <v>44071</v>
      </c>
      <c r="G19" t="str">
        <f t="shared" si="1"/>
        <v>300115</v>
      </c>
      <c r="H19" t="s">
        <v>2938</v>
      </c>
      <c r="I19">
        <v>74250</v>
      </c>
    </row>
    <row r="20" spans="1:9" x14ac:dyDescent="0.25">
      <c r="A20" t="s">
        <v>9164</v>
      </c>
      <c r="C20" t="s">
        <v>9165</v>
      </c>
      <c r="D20" t="s">
        <v>9197</v>
      </c>
      <c r="E20" t="s">
        <v>9189</v>
      </c>
      <c r="F20" s="1">
        <v>44076</v>
      </c>
      <c r="G20" t="str">
        <f t="shared" si="1"/>
        <v>300115</v>
      </c>
      <c r="H20" t="s">
        <v>2938</v>
      </c>
      <c r="I20">
        <v>17183.832600000002</v>
      </c>
    </row>
    <row r="21" spans="1:9" x14ac:dyDescent="0.25">
      <c r="A21" t="s">
        <v>9164</v>
      </c>
      <c r="C21" t="s">
        <v>9165</v>
      </c>
      <c r="D21" t="s">
        <v>9198</v>
      </c>
      <c r="E21" t="s">
        <v>9199</v>
      </c>
      <c r="F21" s="1">
        <v>44091</v>
      </c>
      <c r="G21" t="str">
        <f t="shared" si="1"/>
        <v>300115</v>
      </c>
      <c r="H21" t="s">
        <v>2938</v>
      </c>
      <c r="I21">
        <v>10175</v>
      </c>
    </row>
    <row r="22" spans="1:9" x14ac:dyDescent="0.25">
      <c r="A22" t="s">
        <v>9164</v>
      </c>
      <c r="C22" t="s">
        <v>9165</v>
      </c>
      <c r="D22" t="s">
        <v>9200</v>
      </c>
      <c r="E22" t="s">
        <v>9201</v>
      </c>
      <c r="F22" s="1">
        <v>44110</v>
      </c>
      <c r="G22" t="str">
        <f>"300081"</f>
        <v>300081</v>
      </c>
      <c r="H22" t="s">
        <v>2045</v>
      </c>
      <c r="I22">
        <v>106750</v>
      </c>
    </row>
    <row r="23" spans="1:9" x14ac:dyDescent="0.25">
      <c r="A23" t="s">
        <v>9164</v>
      </c>
      <c r="C23" t="s">
        <v>9165</v>
      </c>
      <c r="D23" t="s">
        <v>9202</v>
      </c>
      <c r="E23" t="s">
        <v>9191</v>
      </c>
      <c r="F23" s="1">
        <v>44117</v>
      </c>
      <c r="G23" t="str">
        <f>"300115"</f>
        <v>300115</v>
      </c>
      <c r="H23" t="s">
        <v>2938</v>
      </c>
      <c r="I23">
        <v>100208.317</v>
      </c>
    </row>
    <row r="24" spans="1:9" x14ac:dyDescent="0.25">
      <c r="A24" t="s">
        <v>9164</v>
      </c>
      <c r="C24" t="s">
        <v>9165</v>
      </c>
      <c r="D24" t="s">
        <v>9203</v>
      </c>
      <c r="E24" t="s">
        <v>9204</v>
      </c>
      <c r="F24" s="1">
        <v>44117</v>
      </c>
      <c r="G24" t="str">
        <f>"300115"</f>
        <v>300115</v>
      </c>
      <c r="H24" t="s">
        <v>2938</v>
      </c>
      <c r="I24">
        <v>70547.399999999994</v>
      </c>
    </row>
    <row r="25" spans="1:9" x14ac:dyDescent="0.25">
      <c r="A25" t="s">
        <v>9164</v>
      </c>
      <c r="C25" t="s">
        <v>9165</v>
      </c>
      <c r="D25" t="s">
        <v>9205</v>
      </c>
      <c r="E25" t="s">
        <v>2172</v>
      </c>
      <c r="F25" s="1">
        <v>44118</v>
      </c>
      <c r="G25" t="str">
        <f>"300115"</f>
        <v>300115</v>
      </c>
      <c r="H25" t="s">
        <v>2938</v>
      </c>
      <c r="I25">
        <v>1207324.6680000001</v>
      </c>
    </row>
    <row r="26" spans="1:9" x14ac:dyDescent="0.25">
      <c r="A26" t="s">
        <v>9164</v>
      </c>
      <c r="C26" t="s">
        <v>9165</v>
      </c>
      <c r="D26" t="s">
        <v>9206</v>
      </c>
      <c r="E26" t="s">
        <v>9207</v>
      </c>
      <c r="F26" s="1">
        <v>44121</v>
      </c>
      <c r="G26" t="str">
        <f>"300115"</f>
        <v>300115</v>
      </c>
      <c r="H26" t="s">
        <v>2938</v>
      </c>
      <c r="I26">
        <v>2200</v>
      </c>
    </row>
    <row r="27" spans="1:9" x14ac:dyDescent="0.25">
      <c r="A27" t="s">
        <v>9164</v>
      </c>
      <c r="C27" t="s">
        <v>9165</v>
      </c>
      <c r="D27" t="s">
        <v>9208</v>
      </c>
      <c r="E27" t="s">
        <v>9209</v>
      </c>
      <c r="F27" s="1">
        <v>44127</v>
      </c>
      <c r="G27" t="str">
        <f>"300076"</f>
        <v>300076</v>
      </c>
      <c r="H27" t="s">
        <v>2905</v>
      </c>
      <c r="I27">
        <v>3000</v>
      </c>
    </row>
    <row r="28" spans="1:9" x14ac:dyDescent="0.25">
      <c r="A28" t="s">
        <v>9164</v>
      </c>
      <c r="C28" t="s">
        <v>9165</v>
      </c>
      <c r="D28" t="s">
        <v>9210</v>
      </c>
      <c r="E28" t="s">
        <v>9191</v>
      </c>
      <c r="F28" s="1">
        <v>44137</v>
      </c>
      <c r="G28" t="str">
        <f t="shared" ref="G28:G33" si="2">"300115"</f>
        <v>300115</v>
      </c>
      <c r="H28" t="s">
        <v>2938</v>
      </c>
      <c r="I28">
        <v>417704.1</v>
      </c>
    </row>
    <row r="29" spans="1:9" x14ac:dyDescent="0.25">
      <c r="A29" t="s">
        <v>9164</v>
      </c>
      <c r="C29" t="s">
        <v>9165</v>
      </c>
      <c r="D29" t="s">
        <v>9211</v>
      </c>
      <c r="E29" t="s">
        <v>9181</v>
      </c>
      <c r="F29" s="1">
        <v>44140</v>
      </c>
      <c r="G29" t="str">
        <f t="shared" si="2"/>
        <v>300115</v>
      </c>
      <c r="H29" t="s">
        <v>2938</v>
      </c>
      <c r="I29">
        <v>198659.0221</v>
      </c>
    </row>
    <row r="30" spans="1:9" x14ac:dyDescent="0.25">
      <c r="A30" t="s">
        <v>9164</v>
      </c>
      <c r="C30" t="s">
        <v>9165</v>
      </c>
      <c r="D30" t="s">
        <v>9212</v>
      </c>
      <c r="E30" t="s">
        <v>9191</v>
      </c>
      <c r="F30" s="1">
        <v>44144</v>
      </c>
      <c r="G30" t="str">
        <f t="shared" si="2"/>
        <v>300115</v>
      </c>
      <c r="H30" t="s">
        <v>2938</v>
      </c>
      <c r="I30">
        <v>36301.65</v>
      </c>
    </row>
    <row r="31" spans="1:9" x14ac:dyDescent="0.25">
      <c r="A31" t="s">
        <v>9164</v>
      </c>
      <c r="C31" t="s">
        <v>9165</v>
      </c>
      <c r="D31" t="s">
        <v>9213</v>
      </c>
      <c r="E31" t="s">
        <v>9214</v>
      </c>
      <c r="F31" s="1">
        <v>44148</v>
      </c>
      <c r="G31" t="str">
        <f t="shared" si="2"/>
        <v>300115</v>
      </c>
      <c r="H31" t="s">
        <v>2938</v>
      </c>
      <c r="I31">
        <v>434138.56199999998</v>
      </c>
    </row>
    <row r="32" spans="1:9" x14ac:dyDescent="0.25">
      <c r="A32" t="s">
        <v>9164</v>
      </c>
      <c r="C32" t="s">
        <v>9165</v>
      </c>
      <c r="D32" t="s">
        <v>9215</v>
      </c>
      <c r="E32" t="s">
        <v>9216</v>
      </c>
      <c r="F32" s="1">
        <v>44154</v>
      </c>
      <c r="G32" t="str">
        <f t="shared" si="2"/>
        <v>300115</v>
      </c>
      <c r="H32" t="s">
        <v>2938</v>
      </c>
      <c r="I32">
        <v>8409.3768</v>
      </c>
    </row>
    <row r="33" spans="1:9" x14ac:dyDescent="0.25">
      <c r="A33" t="s">
        <v>9164</v>
      </c>
      <c r="C33" t="s">
        <v>9165</v>
      </c>
      <c r="D33" t="s">
        <v>9217</v>
      </c>
      <c r="E33" t="s">
        <v>9189</v>
      </c>
      <c r="F33" s="1">
        <v>44154</v>
      </c>
      <c r="G33" t="str">
        <f t="shared" si="2"/>
        <v>300115</v>
      </c>
      <c r="H33" t="s">
        <v>2938</v>
      </c>
      <c r="I33">
        <v>523498.8616</v>
      </c>
    </row>
    <row r="34" spans="1:9" x14ac:dyDescent="0.25">
      <c r="A34" t="s">
        <v>9164</v>
      </c>
      <c r="C34" t="s">
        <v>9165</v>
      </c>
      <c r="D34" t="s">
        <v>9218</v>
      </c>
      <c r="E34" t="s">
        <v>9219</v>
      </c>
      <c r="F34" s="1">
        <v>44160</v>
      </c>
      <c r="G34" t="str">
        <f>"300081"</f>
        <v>300081</v>
      </c>
      <c r="H34" t="s">
        <v>2045</v>
      </c>
      <c r="I34">
        <v>1041.67</v>
      </c>
    </row>
    <row r="35" spans="1:9" x14ac:dyDescent="0.25">
      <c r="A35" t="s">
        <v>9164</v>
      </c>
      <c r="C35" t="s">
        <v>9165</v>
      </c>
      <c r="D35" t="s">
        <v>9220</v>
      </c>
      <c r="E35" t="s">
        <v>9221</v>
      </c>
      <c r="F35" s="1">
        <v>44175</v>
      </c>
      <c r="G35" t="str">
        <f t="shared" ref="G35:G76" si="3">"300115"</f>
        <v>300115</v>
      </c>
      <c r="H35" t="s">
        <v>2938</v>
      </c>
      <c r="I35">
        <v>14929.683999999999</v>
      </c>
    </row>
    <row r="36" spans="1:9" x14ac:dyDescent="0.25">
      <c r="A36" t="s">
        <v>9164</v>
      </c>
      <c r="C36" t="s">
        <v>9165</v>
      </c>
      <c r="D36" t="s">
        <v>9222</v>
      </c>
      <c r="E36" t="s">
        <v>9223</v>
      </c>
      <c r="F36" s="1">
        <v>44189</v>
      </c>
      <c r="G36" t="str">
        <f t="shared" si="3"/>
        <v>300115</v>
      </c>
      <c r="H36" t="s">
        <v>2938</v>
      </c>
      <c r="I36">
        <v>612184.21</v>
      </c>
    </row>
    <row r="37" spans="1:9" x14ac:dyDescent="0.25">
      <c r="A37" t="s">
        <v>9164</v>
      </c>
      <c r="C37" t="s">
        <v>9165</v>
      </c>
      <c r="D37" t="s">
        <v>9224</v>
      </c>
      <c r="E37" t="s">
        <v>9225</v>
      </c>
      <c r="F37" s="1">
        <v>44189</v>
      </c>
      <c r="G37" t="str">
        <f t="shared" si="3"/>
        <v>300115</v>
      </c>
      <c r="H37" t="s">
        <v>2938</v>
      </c>
      <c r="I37">
        <v>2297680</v>
      </c>
    </row>
    <row r="38" spans="1:9" x14ac:dyDescent="0.25">
      <c r="A38" t="s">
        <v>9164</v>
      </c>
      <c r="C38" t="s">
        <v>9165</v>
      </c>
      <c r="D38" t="s">
        <v>9226</v>
      </c>
      <c r="E38" t="s">
        <v>9227</v>
      </c>
      <c r="F38" s="1">
        <v>44190</v>
      </c>
      <c r="G38" t="str">
        <f t="shared" si="3"/>
        <v>300115</v>
      </c>
      <c r="H38" t="s">
        <v>2938</v>
      </c>
      <c r="I38">
        <v>152130</v>
      </c>
    </row>
    <row r="39" spans="1:9" x14ac:dyDescent="0.25">
      <c r="A39" t="s">
        <v>9164</v>
      </c>
      <c r="C39" t="s">
        <v>9165</v>
      </c>
      <c r="D39" t="s">
        <v>9228</v>
      </c>
      <c r="E39" t="s">
        <v>9229</v>
      </c>
      <c r="F39" s="1">
        <v>44190</v>
      </c>
      <c r="G39" t="str">
        <f t="shared" si="3"/>
        <v>300115</v>
      </c>
      <c r="H39" t="s">
        <v>2938</v>
      </c>
      <c r="I39">
        <v>76065</v>
      </c>
    </row>
    <row r="40" spans="1:9" x14ac:dyDescent="0.25">
      <c r="A40" t="s">
        <v>9164</v>
      </c>
      <c r="C40" t="s">
        <v>9165</v>
      </c>
      <c r="D40" t="s">
        <v>9230</v>
      </c>
      <c r="E40" t="s">
        <v>9231</v>
      </c>
      <c r="F40" s="1">
        <v>44190</v>
      </c>
      <c r="G40" t="str">
        <f t="shared" si="3"/>
        <v>300115</v>
      </c>
      <c r="H40" t="s">
        <v>2938</v>
      </c>
      <c r="I40">
        <v>76065</v>
      </c>
    </row>
    <row r="41" spans="1:9" x14ac:dyDescent="0.25">
      <c r="A41" t="s">
        <v>9164</v>
      </c>
      <c r="C41" t="s">
        <v>9165</v>
      </c>
      <c r="D41" t="s">
        <v>9232</v>
      </c>
      <c r="E41" t="s">
        <v>9233</v>
      </c>
      <c r="F41" s="1">
        <v>44196</v>
      </c>
      <c r="G41" t="str">
        <f t="shared" si="3"/>
        <v>300115</v>
      </c>
      <c r="H41" t="s">
        <v>2938</v>
      </c>
      <c r="I41">
        <v>13824.755999999999</v>
      </c>
    </row>
    <row r="42" spans="1:9" x14ac:dyDescent="0.25">
      <c r="A42" t="s">
        <v>9164</v>
      </c>
      <c r="C42" t="s">
        <v>9165</v>
      </c>
      <c r="D42" t="s">
        <v>9234</v>
      </c>
      <c r="E42" t="s">
        <v>9235</v>
      </c>
      <c r="F42" s="1">
        <v>44203</v>
      </c>
      <c r="G42" t="str">
        <f t="shared" si="3"/>
        <v>300115</v>
      </c>
      <c r="H42" t="s">
        <v>2938</v>
      </c>
      <c r="I42">
        <v>91524.356</v>
      </c>
    </row>
    <row r="43" spans="1:9" x14ac:dyDescent="0.25">
      <c r="A43" t="s">
        <v>9164</v>
      </c>
      <c r="C43" t="s">
        <v>9165</v>
      </c>
      <c r="D43" t="s">
        <v>9236</v>
      </c>
      <c r="E43" t="s">
        <v>9237</v>
      </c>
      <c r="F43" s="1">
        <v>44208</v>
      </c>
      <c r="G43" t="str">
        <f t="shared" si="3"/>
        <v>300115</v>
      </c>
      <c r="H43" t="s">
        <v>2938</v>
      </c>
      <c r="I43">
        <v>40225.68</v>
      </c>
    </row>
    <row r="44" spans="1:9" x14ac:dyDescent="0.25">
      <c r="A44" t="s">
        <v>9164</v>
      </c>
      <c r="C44" t="s">
        <v>9165</v>
      </c>
      <c r="D44" t="s">
        <v>9238</v>
      </c>
      <c r="E44" t="s">
        <v>9239</v>
      </c>
      <c r="F44" s="1">
        <v>44210</v>
      </c>
      <c r="G44" t="str">
        <f t="shared" si="3"/>
        <v>300115</v>
      </c>
      <c r="H44" t="s">
        <v>2938</v>
      </c>
      <c r="I44">
        <v>1678501.2749999999</v>
      </c>
    </row>
    <row r="45" spans="1:9" x14ac:dyDescent="0.25">
      <c r="A45" t="s">
        <v>9164</v>
      </c>
      <c r="C45" t="s">
        <v>9165</v>
      </c>
      <c r="D45" t="s">
        <v>9240</v>
      </c>
      <c r="E45" t="s">
        <v>2172</v>
      </c>
      <c r="F45" s="1">
        <v>44214</v>
      </c>
      <c r="G45" t="str">
        <f t="shared" si="3"/>
        <v>300115</v>
      </c>
      <c r="H45" t="s">
        <v>2938</v>
      </c>
      <c r="I45">
        <v>104346.39599999999</v>
      </c>
    </row>
    <row r="46" spans="1:9" x14ac:dyDescent="0.25">
      <c r="A46" t="s">
        <v>9164</v>
      </c>
      <c r="C46" t="s">
        <v>9165</v>
      </c>
      <c r="D46" t="s">
        <v>9241</v>
      </c>
      <c r="E46" t="s">
        <v>2172</v>
      </c>
      <c r="F46" s="1">
        <v>44214</v>
      </c>
      <c r="G46" t="str">
        <f t="shared" si="3"/>
        <v>300115</v>
      </c>
      <c r="H46" t="s">
        <v>2938</v>
      </c>
      <c r="I46">
        <v>93401.066000000006</v>
      </c>
    </row>
    <row r="47" spans="1:9" x14ac:dyDescent="0.25">
      <c r="A47" t="s">
        <v>9164</v>
      </c>
      <c r="C47" t="s">
        <v>9165</v>
      </c>
      <c r="D47" t="s">
        <v>9242</v>
      </c>
      <c r="E47" t="s">
        <v>9243</v>
      </c>
      <c r="F47" s="1">
        <v>44215</v>
      </c>
      <c r="G47" t="str">
        <f t="shared" si="3"/>
        <v>300115</v>
      </c>
      <c r="H47" t="s">
        <v>2938</v>
      </c>
      <c r="I47">
        <v>165749.76000000001</v>
      </c>
    </row>
    <row r="48" spans="1:9" x14ac:dyDescent="0.25">
      <c r="A48" t="s">
        <v>9164</v>
      </c>
      <c r="C48" t="s">
        <v>9165</v>
      </c>
      <c r="D48" t="s">
        <v>9244</v>
      </c>
      <c r="E48" t="s">
        <v>9245</v>
      </c>
      <c r="F48" s="1">
        <v>44232</v>
      </c>
      <c r="G48" t="str">
        <f t="shared" si="3"/>
        <v>300115</v>
      </c>
      <c r="H48" t="s">
        <v>2938</v>
      </c>
      <c r="I48">
        <v>20328</v>
      </c>
    </row>
    <row r="49" spans="1:9" x14ac:dyDescent="0.25">
      <c r="A49" t="s">
        <v>9164</v>
      </c>
      <c r="C49" t="s">
        <v>9165</v>
      </c>
      <c r="D49" t="s">
        <v>9246</v>
      </c>
      <c r="E49" t="s">
        <v>2172</v>
      </c>
      <c r="F49" s="1">
        <v>44235</v>
      </c>
      <c r="G49" t="str">
        <f t="shared" si="3"/>
        <v>300115</v>
      </c>
      <c r="H49" t="s">
        <v>2938</v>
      </c>
      <c r="I49">
        <v>9012.8279999999995</v>
      </c>
    </row>
    <row r="50" spans="1:9" x14ac:dyDescent="0.25">
      <c r="A50" t="s">
        <v>9164</v>
      </c>
      <c r="C50" t="s">
        <v>9165</v>
      </c>
      <c r="D50" t="s">
        <v>9247</v>
      </c>
      <c r="E50" t="s">
        <v>9194</v>
      </c>
      <c r="F50" s="1">
        <v>44235</v>
      </c>
      <c r="G50" t="str">
        <f t="shared" si="3"/>
        <v>300115</v>
      </c>
      <c r="H50" t="s">
        <v>2938</v>
      </c>
      <c r="I50">
        <v>275838.55200000003</v>
      </c>
    </row>
    <row r="51" spans="1:9" x14ac:dyDescent="0.25">
      <c r="A51" t="s">
        <v>9164</v>
      </c>
      <c r="C51" t="s">
        <v>9165</v>
      </c>
      <c r="D51" t="s">
        <v>9248</v>
      </c>
      <c r="E51" t="s">
        <v>9249</v>
      </c>
      <c r="F51" s="1">
        <v>44245</v>
      </c>
      <c r="G51" t="str">
        <f t="shared" si="3"/>
        <v>300115</v>
      </c>
      <c r="H51" t="s">
        <v>2938</v>
      </c>
      <c r="I51">
        <v>316169.56800000003</v>
      </c>
    </row>
    <row r="52" spans="1:9" x14ac:dyDescent="0.25">
      <c r="A52" t="s">
        <v>9164</v>
      </c>
      <c r="C52" t="s">
        <v>9165</v>
      </c>
      <c r="D52" t="s">
        <v>9250</v>
      </c>
      <c r="E52" t="s">
        <v>2172</v>
      </c>
      <c r="F52" s="1">
        <v>44245</v>
      </c>
      <c r="G52" t="str">
        <f t="shared" si="3"/>
        <v>300115</v>
      </c>
      <c r="H52" t="s">
        <v>2938</v>
      </c>
      <c r="I52">
        <v>7929802.4960000003</v>
      </c>
    </row>
    <row r="53" spans="1:9" x14ac:dyDescent="0.25">
      <c r="A53" t="s">
        <v>9164</v>
      </c>
      <c r="C53" t="s">
        <v>9165</v>
      </c>
      <c r="D53" t="s">
        <v>9251</v>
      </c>
      <c r="E53" t="s">
        <v>9252</v>
      </c>
      <c r="F53" s="1">
        <v>44257</v>
      </c>
      <c r="G53" t="str">
        <f t="shared" si="3"/>
        <v>300115</v>
      </c>
      <c r="H53" t="s">
        <v>2938</v>
      </c>
      <c r="I53">
        <v>60206.96</v>
      </c>
    </row>
    <row r="54" spans="1:9" x14ac:dyDescent="0.25">
      <c r="A54" t="s">
        <v>9164</v>
      </c>
      <c r="C54" t="s">
        <v>9165</v>
      </c>
      <c r="D54" t="s">
        <v>9253</v>
      </c>
      <c r="E54" t="s">
        <v>9254</v>
      </c>
      <c r="F54" s="1">
        <v>44273</v>
      </c>
      <c r="G54" t="str">
        <f t="shared" si="3"/>
        <v>300115</v>
      </c>
      <c r="H54" t="s">
        <v>2938</v>
      </c>
      <c r="I54">
        <v>18771.768400000001</v>
      </c>
    </row>
    <row r="55" spans="1:9" x14ac:dyDescent="0.25">
      <c r="A55" t="s">
        <v>9164</v>
      </c>
      <c r="C55" t="s">
        <v>9165</v>
      </c>
      <c r="D55" t="s">
        <v>9255</v>
      </c>
      <c r="E55" t="s">
        <v>9254</v>
      </c>
      <c r="F55" s="1">
        <v>44279</v>
      </c>
      <c r="G55" t="str">
        <f t="shared" si="3"/>
        <v>300115</v>
      </c>
      <c r="H55" t="s">
        <v>2938</v>
      </c>
      <c r="I55">
        <v>202840</v>
      </c>
    </row>
    <row r="56" spans="1:9" x14ac:dyDescent="0.25">
      <c r="A56" t="s">
        <v>9164</v>
      </c>
      <c r="C56" t="s">
        <v>9165</v>
      </c>
      <c r="D56" t="s">
        <v>9256</v>
      </c>
      <c r="E56" t="s">
        <v>9249</v>
      </c>
      <c r="F56" s="1">
        <v>44281</v>
      </c>
      <c r="G56" t="str">
        <f t="shared" si="3"/>
        <v>300115</v>
      </c>
      <c r="H56" t="s">
        <v>2938</v>
      </c>
      <c r="I56">
        <v>474254.35200000001</v>
      </c>
    </row>
    <row r="57" spans="1:9" x14ac:dyDescent="0.25">
      <c r="A57" t="s">
        <v>9164</v>
      </c>
      <c r="C57" t="s">
        <v>9165</v>
      </c>
      <c r="D57" t="s">
        <v>9257</v>
      </c>
      <c r="E57" t="s">
        <v>2430</v>
      </c>
      <c r="F57" s="1">
        <v>44289</v>
      </c>
      <c r="G57" t="str">
        <f t="shared" si="3"/>
        <v>300115</v>
      </c>
      <c r="H57" t="s">
        <v>2938</v>
      </c>
      <c r="I57">
        <v>202917</v>
      </c>
    </row>
    <row r="58" spans="1:9" x14ac:dyDescent="0.25">
      <c r="A58" t="s">
        <v>9164</v>
      </c>
      <c r="C58" t="s">
        <v>9165</v>
      </c>
      <c r="D58" t="s">
        <v>9258</v>
      </c>
      <c r="E58" t="s">
        <v>2566</v>
      </c>
      <c r="F58" s="1">
        <v>44295</v>
      </c>
      <c r="G58" t="str">
        <f t="shared" si="3"/>
        <v>300115</v>
      </c>
      <c r="H58" t="s">
        <v>2938</v>
      </c>
      <c r="I58">
        <v>2339492.5641999999</v>
      </c>
    </row>
    <row r="59" spans="1:9" x14ac:dyDescent="0.25">
      <c r="A59" t="s">
        <v>9164</v>
      </c>
      <c r="C59" t="s">
        <v>9165</v>
      </c>
      <c r="D59" t="s">
        <v>9259</v>
      </c>
      <c r="E59" t="s">
        <v>8852</v>
      </c>
      <c r="F59" s="1">
        <v>44298</v>
      </c>
      <c r="G59" t="str">
        <f t="shared" si="3"/>
        <v>300115</v>
      </c>
      <c r="H59" t="s">
        <v>2938</v>
      </c>
      <c r="I59">
        <v>54146.822399999997</v>
      </c>
    </row>
    <row r="60" spans="1:9" x14ac:dyDescent="0.25">
      <c r="A60" t="s">
        <v>9164</v>
      </c>
      <c r="C60" t="s">
        <v>9165</v>
      </c>
      <c r="D60" t="s">
        <v>9260</v>
      </c>
      <c r="E60" t="s">
        <v>9261</v>
      </c>
      <c r="F60" s="1">
        <v>44307</v>
      </c>
      <c r="G60" t="str">
        <f t="shared" si="3"/>
        <v>300115</v>
      </c>
      <c r="H60" t="s">
        <v>2938</v>
      </c>
      <c r="I60">
        <v>66528</v>
      </c>
    </row>
    <row r="61" spans="1:9" x14ac:dyDescent="0.25">
      <c r="A61" t="s">
        <v>9164</v>
      </c>
      <c r="C61" t="s">
        <v>9165</v>
      </c>
      <c r="D61" t="s">
        <v>9262</v>
      </c>
      <c r="E61" t="s">
        <v>9191</v>
      </c>
      <c r="F61" s="1">
        <v>44308</v>
      </c>
      <c r="G61" t="str">
        <f t="shared" si="3"/>
        <v>300115</v>
      </c>
      <c r="H61" t="s">
        <v>2938</v>
      </c>
      <c r="I61">
        <v>173061.21799999999</v>
      </c>
    </row>
    <row r="62" spans="1:9" x14ac:dyDescent="0.25">
      <c r="A62" t="s">
        <v>9164</v>
      </c>
      <c r="C62" t="s">
        <v>9165</v>
      </c>
      <c r="D62" t="s">
        <v>9263</v>
      </c>
      <c r="E62" t="s">
        <v>9264</v>
      </c>
      <c r="F62" s="1">
        <v>44335</v>
      </c>
      <c r="G62" t="str">
        <f t="shared" si="3"/>
        <v>300115</v>
      </c>
      <c r="H62" t="s">
        <v>2938</v>
      </c>
      <c r="I62">
        <v>369600</v>
      </c>
    </row>
    <row r="63" spans="1:9" x14ac:dyDescent="0.25">
      <c r="A63" t="s">
        <v>9164</v>
      </c>
      <c r="C63" t="s">
        <v>9165</v>
      </c>
      <c r="D63" t="s">
        <v>9265</v>
      </c>
      <c r="E63" t="s">
        <v>9266</v>
      </c>
      <c r="F63" s="1">
        <v>44341</v>
      </c>
      <c r="G63" t="str">
        <f t="shared" si="3"/>
        <v>300115</v>
      </c>
      <c r="H63" t="s">
        <v>2938</v>
      </c>
      <c r="I63">
        <v>32778.196000000004</v>
      </c>
    </row>
    <row r="64" spans="1:9" x14ac:dyDescent="0.25">
      <c r="A64" t="s">
        <v>9164</v>
      </c>
      <c r="C64" t="s">
        <v>9165</v>
      </c>
      <c r="D64" t="s">
        <v>9267</v>
      </c>
      <c r="E64" t="s">
        <v>9266</v>
      </c>
      <c r="F64" s="1">
        <v>44341</v>
      </c>
      <c r="G64" t="str">
        <f t="shared" si="3"/>
        <v>300115</v>
      </c>
      <c r="H64" t="s">
        <v>2938</v>
      </c>
      <c r="I64">
        <v>45456.857600000003</v>
      </c>
    </row>
    <row r="65" spans="1:9" x14ac:dyDescent="0.25">
      <c r="A65" t="s">
        <v>9164</v>
      </c>
      <c r="C65" t="s">
        <v>9165</v>
      </c>
      <c r="D65" t="s">
        <v>9268</v>
      </c>
      <c r="E65" t="s">
        <v>9269</v>
      </c>
      <c r="F65" s="1">
        <v>44344</v>
      </c>
      <c r="G65" t="str">
        <f t="shared" si="3"/>
        <v>300115</v>
      </c>
      <c r="H65" t="s">
        <v>2938</v>
      </c>
      <c r="I65">
        <v>619520</v>
      </c>
    </row>
    <row r="66" spans="1:9" x14ac:dyDescent="0.25">
      <c r="A66" t="s">
        <v>9164</v>
      </c>
      <c r="C66" t="s">
        <v>9165</v>
      </c>
      <c r="D66" t="s">
        <v>9270</v>
      </c>
      <c r="E66" t="s">
        <v>9269</v>
      </c>
      <c r="F66" s="1">
        <v>44344</v>
      </c>
      <c r="G66" t="str">
        <f t="shared" si="3"/>
        <v>300115</v>
      </c>
      <c r="H66" t="s">
        <v>2938</v>
      </c>
      <c r="I66">
        <v>601677.82400000002</v>
      </c>
    </row>
    <row r="67" spans="1:9" x14ac:dyDescent="0.25">
      <c r="A67" t="s">
        <v>9164</v>
      </c>
      <c r="C67" t="s">
        <v>9165</v>
      </c>
      <c r="D67" t="s">
        <v>9271</v>
      </c>
      <c r="E67" t="s">
        <v>2172</v>
      </c>
      <c r="F67" s="1">
        <v>44345</v>
      </c>
      <c r="G67" t="str">
        <f t="shared" si="3"/>
        <v>300115</v>
      </c>
      <c r="H67" t="s">
        <v>2938</v>
      </c>
      <c r="I67">
        <v>1759558.5083999999</v>
      </c>
    </row>
    <row r="68" spans="1:9" x14ac:dyDescent="0.25">
      <c r="A68" t="s">
        <v>9164</v>
      </c>
      <c r="C68" t="s">
        <v>9165</v>
      </c>
      <c r="D68" t="s">
        <v>9272</v>
      </c>
      <c r="E68" t="s">
        <v>2172</v>
      </c>
      <c r="F68" s="1">
        <v>44355</v>
      </c>
      <c r="G68" t="str">
        <f t="shared" si="3"/>
        <v>300115</v>
      </c>
      <c r="H68" t="s">
        <v>2938</v>
      </c>
      <c r="I68">
        <v>9081.7628000000004</v>
      </c>
    </row>
    <row r="69" spans="1:9" x14ac:dyDescent="0.25">
      <c r="A69" t="s">
        <v>9164</v>
      </c>
      <c r="C69" t="s">
        <v>9165</v>
      </c>
      <c r="D69" t="s">
        <v>9273</v>
      </c>
      <c r="E69" t="s">
        <v>9243</v>
      </c>
      <c r="F69" s="1">
        <v>44359</v>
      </c>
      <c r="G69" t="str">
        <f t="shared" si="3"/>
        <v>300115</v>
      </c>
      <c r="H69" t="s">
        <v>2938</v>
      </c>
      <c r="I69">
        <v>802204.84299999999</v>
      </c>
    </row>
    <row r="70" spans="1:9" x14ac:dyDescent="0.25">
      <c r="A70" t="s">
        <v>9164</v>
      </c>
      <c r="C70" t="s">
        <v>9165</v>
      </c>
      <c r="D70" t="s">
        <v>9274</v>
      </c>
      <c r="E70" t="s">
        <v>2172</v>
      </c>
      <c r="F70" s="1">
        <v>44362</v>
      </c>
      <c r="G70" t="str">
        <f t="shared" si="3"/>
        <v>300115</v>
      </c>
      <c r="H70" t="s">
        <v>2938</v>
      </c>
      <c r="I70">
        <v>2052600</v>
      </c>
    </row>
    <row r="71" spans="1:9" x14ac:dyDescent="0.25">
      <c r="A71" t="s">
        <v>9164</v>
      </c>
      <c r="C71" t="s">
        <v>9165</v>
      </c>
      <c r="D71" t="s">
        <v>9275</v>
      </c>
      <c r="E71" t="s">
        <v>9189</v>
      </c>
      <c r="F71" s="1">
        <v>44369</v>
      </c>
      <c r="G71" t="str">
        <f t="shared" si="3"/>
        <v>300115</v>
      </c>
      <c r="H71" t="s">
        <v>2938</v>
      </c>
      <c r="I71">
        <v>111936.84480000001</v>
      </c>
    </row>
    <row r="72" spans="1:9" x14ac:dyDescent="0.25">
      <c r="A72" t="s">
        <v>9164</v>
      </c>
      <c r="C72" t="s">
        <v>9165</v>
      </c>
      <c r="D72" t="s">
        <v>9276</v>
      </c>
      <c r="E72" t="s">
        <v>9277</v>
      </c>
      <c r="F72" s="1">
        <v>44380</v>
      </c>
      <c r="G72" t="str">
        <f t="shared" si="3"/>
        <v>300115</v>
      </c>
      <c r="H72" t="s">
        <v>2938</v>
      </c>
      <c r="I72">
        <v>152277.84</v>
      </c>
    </row>
    <row r="73" spans="1:9" x14ac:dyDescent="0.25">
      <c r="A73" t="s">
        <v>9164</v>
      </c>
      <c r="C73" t="s">
        <v>9165</v>
      </c>
      <c r="D73" t="s">
        <v>9278</v>
      </c>
      <c r="E73" t="s">
        <v>9279</v>
      </c>
      <c r="F73" s="1">
        <v>44432</v>
      </c>
      <c r="G73" t="str">
        <f t="shared" si="3"/>
        <v>300115</v>
      </c>
      <c r="H73" t="s">
        <v>2938</v>
      </c>
      <c r="I73">
        <v>133903.42240000001</v>
      </c>
    </row>
    <row r="74" spans="1:9" x14ac:dyDescent="0.25">
      <c r="A74" t="s">
        <v>9164</v>
      </c>
      <c r="C74" t="s">
        <v>9165</v>
      </c>
      <c r="D74" t="s">
        <v>9280</v>
      </c>
      <c r="E74" t="s">
        <v>8852</v>
      </c>
      <c r="F74" s="1">
        <v>44446</v>
      </c>
      <c r="G74" t="str">
        <f t="shared" si="3"/>
        <v>300115</v>
      </c>
      <c r="H74" t="s">
        <v>2938</v>
      </c>
      <c r="I74">
        <v>203030.61900000001</v>
      </c>
    </row>
    <row r="75" spans="1:9" x14ac:dyDescent="0.25">
      <c r="A75" t="s">
        <v>9164</v>
      </c>
      <c r="C75" t="s">
        <v>9165</v>
      </c>
      <c r="D75" t="s">
        <v>9281</v>
      </c>
      <c r="E75" t="s">
        <v>1313</v>
      </c>
      <c r="F75" s="1">
        <v>44460</v>
      </c>
      <c r="G75" t="str">
        <f t="shared" si="3"/>
        <v>300115</v>
      </c>
      <c r="H75" t="s">
        <v>2938</v>
      </c>
      <c r="I75">
        <v>1458170.1816</v>
      </c>
    </row>
    <row r="76" spans="1:9" x14ac:dyDescent="0.25">
      <c r="A76" t="s">
        <v>9164</v>
      </c>
      <c r="C76" t="s">
        <v>9165</v>
      </c>
      <c r="D76" t="s">
        <v>9282</v>
      </c>
      <c r="E76" t="s">
        <v>8907</v>
      </c>
      <c r="F76" s="1">
        <v>44460</v>
      </c>
      <c r="G76" t="str">
        <f t="shared" si="3"/>
        <v>300115</v>
      </c>
      <c r="H76" t="s">
        <v>2938</v>
      </c>
      <c r="I76">
        <v>7117000</v>
      </c>
    </row>
    <row r="77" spans="1:9" x14ac:dyDescent="0.25">
      <c r="A77" t="s">
        <v>9164</v>
      </c>
      <c r="C77" t="s">
        <v>9165</v>
      </c>
      <c r="D77" t="s">
        <v>9283</v>
      </c>
      <c r="E77" t="s">
        <v>9284</v>
      </c>
      <c r="F77" s="1">
        <v>44469</v>
      </c>
      <c r="G77" t="str">
        <f>"300076"</f>
        <v>300076</v>
      </c>
      <c r="H77" t="s">
        <v>2905</v>
      </c>
      <c r="I77">
        <v>4200</v>
      </c>
    </row>
    <row r="78" spans="1:9" x14ac:dyDescent="0.25">
      <c r="A78" t="s">
        <v>9164</v>
      </c>
      <c r="C78" t="s">
        <v>9165</v>
      </c>
      <c r="D78" t="s">
        <v>9285</v>
      </c>
      <c r="E78" t="s">
        <v>9286</v>
      </c>
      <c r="F78" s="1">
        <v>44484</v>
      </c>
      <c r="G78" t="str">
        <f>"300115"</f>
        <v>300115</v>
      </c>
      <c r="H78" t="s">
        <v>2938</v>
      </c>
      <c r="I78">
        <v>188456.22289999999</v>
      </c>
    </row>
    <row r="79" spans="1:9" x14ac:dyDescent="0.25">
      <c r="A79" t="s">
        <v>9164</v>
      </c>
      <c r="C79" t="s">
        <v>9165</v>
      </c>
      <c r="D79" t="s">
        <v>9287</v>
      </c>
      <c r="E79" t="s">
        <v>9264</v>
      </c>
      <c r="F79" s="1">
        <v>44497</v>
      </c>
      <c r="G79" t="str">
        <f>"300115"</f>
        <v>300115</v>
      </c>
      <c r="H79" t="s">
        <v>2938</v>
      </c>
      <c r="I79">
        <v>202840</v>
      </c>
    </row>
    <row r="80" spans="1:9" x14ac:dyDescent="0.25">
      <c r="A80" t="s">
        <v>9164</v>
      </c>
      <c r="C80" t="s">
        <v>9165</v>
      </c>
      <c r="D80" t="s">
        <v>9288</v>
      </c>
      <c r="E80" t="s">
        <v>9189</v>
      </c>
      <c r="F80" s="1">
        <v>44509</v>
      </c>
      <c r="G80" t="str">
        <f>"300115"</f>
        <v>300115</v>
      </c>
      <c r="H80" t="s">
        <v>2938</v>
      </c>
      <c r="I80">
        <v>7623.6952000000001</v>
      </c>
    </row>
    <row r="81" spans="1:9" x14ac:dyDescent="0.25">
      <c r="A81" t="s">
        <v>9164</v>
      </c>
      <c r="C81" t="s">
        <v>9165</v>
      </c>
      <c r="D81" t="s">
        <v>9289</v>
      </c>
      <c r="E81" t="s">
        <v>2172</v>
      </c>
      <c r="F81" s="1">
        <v>44510</v>
      </c>
      <c r="G81" t="str">
        <f>"300115"</f>
        <v>300115</v>
      </c>
      <c r="H81" t="s">
        <v>2938</v>
      </c>
      <c r="I81">
        <v>368902.92560000002</v>
      </c>
    </row>
    <row r="82" spans="1:9" x14ac:dyDescent="0.25">
      <c r="A82" t="s">
        <v>9164</v>
      </c>
      <c r="C82" t="s">
        <v>9165</v>
      </c>
      <c r="D82" t="s">
        <v>9290</v>
      </c>
      <c r="E82" t="s">
        <v>9291</v>
      </c>
      <c r="F82" s="1">
        <v>44515</v>
      </c>
      <c r="G82" t="str">
        <f>"300115"</f>
        <v>300115</v>
      </c>
      <c r="H82" t="s">
        <v>2938</v>
      </c>
      <c r="I82">
        <v>317884.908</v>
      </c>
    </row>
    <row r="83" spans="1:9" x14ac:dyDescent="0.25">
      <c r="A83" t="s">
        <v>9164</v>
      </c>
      <c r="C83" t="s">
        <v>9165</v>
      </c>
      <c r="D83" t="s">
        <v>9292</v>
      </c>
      <c r="E83" t="s">
        <v>9293</v>
      </c>
      <c r="F83" s="1">
        <v>44560</v>
      </c>
      <c r="G83" t="str">
        <f>"300312"</f>
        <v>300312</v>
      </c>
      <c r="H83" t="s">
        <v>3053</v>
      </c>
      <c r="I83">
        <v>15586.56</v>
      </c>
    </row>
    <row r="84" spans="1:9" x14ac:dyDescent="0.25">
      <c r="A84" t="s">
        <v>9164</v>
      </c>
      <c r="C84" t="s">
        <v>9165</v>
      </c>
      <c r="D84" t="s">
        <v>9294</v>
      </c>
      <c r="E84" t="s">
        <v>9295</v>
      </c>
      <c r="F84" s="1">
        <v>44571</v>
      </c>
      <c r="G84" t="str">
        <f>"300081"</f>
        <v>300081</v>
      </c>
      <c r="H84" t="s">
        <v>2045</v>
      </c>
      <c r="I84">
        <v>121150.08</v>
      </c>
    </row>
    <row r="85" spans="1:9" x14ac:dyDescent="0.25">
      <c r="A85" t="s">
        <v>9164</v>
      </c>
      <c r="C85" t="s">
        <v>9165</v>
      </c>
      <c r="D85" t="s">
        <v>9296</v>
      </c>
      <c r="E85" t="s">
        <v>9297</v>
      </c>
      <c r="F85" s="1">
        <v>44580</v>
      </c>
      <c r="G85" t="str">
        <f t="shared" ref="G85:G104" si="4">"300115"</f>
        <v>300115</v>
      </c>
      <c r="H85" t="s">
        <v>2938</v>
      </c>
      <c r="I85">
        <v>816512.46600000001</v>
      </c>
    </row>
    <row r="86" spans="1:9" x14ac:dyDescent="0.25">
      <c r="A86" t="s">
        <v>9164</v>
      </c>
      <c r="C86" t="s">
        <v>9165</v>
      </c>
      <c r="D86" t="s">
        <v>9298</v>
      </c>
      <c r="E86" t="s">
        <v>9239</v>
      </c>
      <c r="F86" s="1">
        <v>44585</v>
      </c>
      <c r="G86" t="str">
        <f t="shared" si="4"/>
        <v>300115</v>
      </c>
      <c r="H86" t="s">
        <v>2938</v>
      </c>
      <c r="I86">
        <v>3335108.6252000001</v>
      </c>
    </row>
    <row r="87" spans="1:9" x14ac:dyDescent="0.25">
      <c r="A87" t="s">
        <v>9164</v>
      </c>
      <c r="C87" t="s">
        <v>9165</v>
      </c>
      <c r="D87" t="s">
        <v>9299</v>
      </c>
      <c r="E87" t="s">
        <v>9300</v>
      </c>
      <c r="F87" s="1">
        <v>44646</v>
      </c>
      <c r="G87" t="str">
        <f t="shared" si="4"/>
        <v>300115</v>
      </c>
      <c r="H87" t="s">
        <v>2938</v>
      </c>
      <c r="I87">
        <v>0</v>
      </c>
    </row>
    <row r="88" spans="1:9" x14ac:dyDescent="0.25">
      <c r="A88" t="s">
        <v>9164</v>
      </c>
      <c r="C88" t="s">
        <v>9165</v>
      </c>
      <c r="D88" t="s">
        <v>9301</v>
      </c>
      <c r="E88" t="s">
        <v>9300</v>
      </c>
      <c r="F88" s="1">
        <v>44651</v>
      </c>
      <c r="G88" t="str">
        <f t="shared" si="4"/>
        <v>300115</v>
      </c>
      <c r="H88" t="s">
        <v>2938</v>
      </c>
      <c r="I88">
        <v>105917.0442</v>
      </c>
    </row>
    <row r="89" spans="1:9" x14ac:dyDescent="0.25">
      <c r="A89" t="s">
        <v>9164</v>
      </c>
      <c r="C89" t="s">
        <v>9165</v>
      </c>
      <c r="D89" t="s">
        <v>9302</v>
      </c>
      <c r="E89" t="s">
        <v>9303</v>
      </c>
      <c r="F89" s="1">
        <v>44670</v>
      </c>
      <c r="G89" t="str">
        <f t="shared" si="4"/>
        <v>300115</v>
      </c>
      <c r="H89" t="s">
        <v>2938</v>
      </c>
      <c r="I89">
        <v>1588087.5053999999</v>
      </c>
    </row>
    <row r="90" spans="1:9" x14ac:dyDescent="0.25">
      <c r="A90" t="s">
        <v>9164</v>
      </c>
      <c r="C90" t="s">
        <v>9165</v>
      </c>
      <c r="D90" t="s">
        <v>9304</v>
      </c>
      <c r="E90" t="s">
        <v>9189</v>
      </c>
      <c r="F90" s="1">
        <v>44677</v>
      </c>
      <c r="G90" t="str">
        <f t="shared" si="4"/>
        <v>300115</v>
      </c>
      <c r="H90" t="s">
        <v>2938</v>
      </c>
      <c r="I90">
        <v>46779.612000000001</v>
      </c>
    </row>
    <row r="91" spans="1:9" x14ac:dyDescent="0.25">
      <c r="A91" t="s">
        <v>9164</v>
      </c>
      <c r="C91" t="s">
        <v>9165</v>
      </c>
      <c r="D91" t="s">
        <v>9305</v>
      </c>
      <c r="E91" s="2">
        <v>46027</v>
      </c>
      <c r="F91" s="1">
        <v>44694</v>
      </c>
      <c r="G91" t="str">
        <f t="shared" si="4"/>
        <v>300115</v>
      </c>
      <c r="H91" t="s">
        <v>2938</v>
      </c>
      <c r="I91">
        <v>104018.80499999999</v>
      </c>
    </row>
    <row r="92" spans="1:9" x14ac:dyDescent="0.25">
      <c r="A92" t="s">
        <v>9164</v>
      </c>
      <c r="C92" t="s">
        <v>9165</v>
      </c>
      <c r="D92" t="s">
        <v>9306</v>
      </c>
      <c r="E92" t="s">
        <v>9307</v>
      </c>
      <c r="F92" s="1">
        <v>44721</v>
      </c>
      <c r="G92" t="str">
        <f t="shared" si="4"/>
        <v>300115</v>
      </c>
      <c r="H92" t="s">
        <v>2938</v>
      </c>
      <c r="I92">
        <v>17769.5144</v>
      </c>
    </row>
    <row r="93" spans="1:9" x14ac:dyDescent="0.25">
      <c r="A93" t="s">
        <v>9164</v>
      </c>
      <c r="C93" t="s">
        <v>9165</v>
      </c>
      <c r="D93" t="s">
        <v>9308</v>
      </c>
      <c r="E93" t="s">
        <v>9309</v>
      </c>
      <c r="F93" s="1">
        <v>44725</v>
      </c>
      <c r="G93" t="str">
        <f t="shared" si="4"/>
        <v>300115</v>
      </c>
      <c r="H93" t="s">
        <v>2938</v>
      </c>
      <c r="I93">
        <v>0</v>
      </c>
    </row>
    <row r="94" spans="1:9" x14ac:dyDescent="0.25">
      <c r="A94" t="s">
        <v>9164</v>
      </c>
      <c r="C94" t="s">
        <v>9165</v>
      </c>
      <c r="D94" t="s">
        <v>9310</v>
      </c>
      <c r="E94" t="s">
        <v>9311</v>
      </c>
      <c r="F94" s="1">
        <v>44725</v>
      </c>
      <c r="G94" t="str">
        <f t="shared" si="4"/>
        <v>300115</v>
      </c>
      <c r="H94" t="s">
        <v>2938</v>
      </c>
      <c r="I94">
        <v>4079397.8412000001</v>
      </c>
    </row>
    <row r="95" spans="1:9" x14ac:dyDescent="0.25">
      <c r="A95" t="s">
        <v>9164</v>
      </c>
      <c r="C95" t="s">
        <v>9165</v>
      </c>
      <c r="D95" t="s">
        <v>9312</v>
      </c>
      <c r="E95" t="s">
        <v>9313</v>
      </c>
      <c r="F95" s="1">
        <v>44767</v>
      </c>
      <c r="G95" t="str">
        <f t="shared" si="4"/>
        <v>300115</v>
      </c>
      <c r="H95" t="s">
        <v>2938</v>
      </c>
      <c r="I95">
        <v>660194.21710000001</v>
      </c>
    </row>
    <row r="96" spans="1:9" x14ac:dyDescent="0.25">
      <c r="A96" t="s">
        <v>9164</v>
      </c>
      <c r="C96" t="s">
        <v>9165</v>
      </c>
      <c r="D96" t="s">
        <v>9314</v>
      </c>
      <c r="E96" s="2">
        <v>46027</v>
      </c>
      <c r="F96" s="1">
        <v>44784</v>
      </c>
      <c r="G96" t="str">
        <f t="shared" si="4"/>
        <v>300115</v>
      </c>
      <c r="H96" t="s">
        <v>2938</v>
      </c>
      <c r="I96">
        <v>129094.02</v>
      </c>
    </row>
    <row r="97" spans="1:9" x14ac:dyDescent="0.25">
      <c r="A97" t="s">
        <v>9164</v>
      </c>
      <c r="C97" t="s">
        <v>9165</v>
      </c>
      <c r="D97" t="s">
        <v>9315</v>
      </c>
      <c r="E97" t="s">
        <v>1313</v>
      </c>
      <c r="F97" s="1">
        <v>44796</v>
      </c>
      <c r="G97" t="str">
        <f t="shared" si="4"/>
        <v>300115</v>
      </c>
      <c r="H97" t="s">
        <v>2938</v>
      </c>
      <c r="I97">
        <v>173934.54759999999</v>
      </c>
    </row>
    <row r="98" spans="1:9" x14ac:dyDescent="0.25">
      <c r="A98" t="s">
        <v>9164</v>
      </c>
      <c r="C98" t="s">
        <v>9165</v>
      </c>
      <c r="D98" t="s">
        <v>9316</v>
      </c>
      <c r="E98" t="s">
        <v>9269</v>
      </c>
      <c r="F98" s="1">
        <v>44796</v>
      </c>
      <c r="G98" t="str">
        <f t="shared" si="4"/>
        <v>300115</v>
      </c>
      <c r="H98" t="s">
        <v>2938</v>
      </c>
      <c r="I98">
        <v>652520</v>
      </c>
    </row>
    <row r="99" spans="1:9" x14ac:dyDescent="0.25">
      <c r="A99" t="s">
        <v>9164</v>
      </c>
      <c r="C99" t="s">
        <v>9165</v>
      </c>
      <c r="D99" t="s">
        <v>9317</v>
      </c>
      <c r="E99" t="s">
        <v>9297</v>
      </c>
      <c r="F99" s="1">
        <v>44799</v>
      </c>
      <c r="G99" t="str">
        <f t="shared" si="4"/>
        <v>300115</v>
      </c>
      <c r="H99" t="s">
        <v>2938</v>
      </c>
      <c r="I99">
        <v>762543.93599999999</v>
      </c>
    </row>
    <row r="100" spans="1:9" x14ac:dyDescent="0.25">
      <c r="A100" t="s">
        <v>9164</v>
      </c>
      <c r="C100" t="s">
        <v>9165</v>
      </c>
      <c r="D100" t="s">
        <v>9318</v>
      </c>
      <c r="E100" t="s">
        <v>9319</v>
      </c>
      <c r="F100" s="1">
        <v>44806</v>
      </c>
      <c r="G100" t="str">
        <f t="shared" si="4"/>
        <v>300115</v>
      </c>
      <c r="H100" t="s">
        <v>2938</v>
      </c>
      <c r="I100">
        <v>154598.39999999999</v>
      </c>
    </row>
    <row r="101" spans="1:9" x14ac:dyDescent="0.25">
      <c r="A101" t="s">
        <v>9164</v>
      </c>
      <c r="C101" t="s">
        <v>9165</v>
      </c>
      <c r="D101" t="s">
        <v>9320</v>
      </c>
      <c r="E101" t="s">
        <v>8852</v>
      </c>
      <c r="F101" s="1">
        <v>44813</v>
      </c>
      <c r="G101" t="str">
        <f t="shared" si="4"/>
        <v>300115</v>
      </c>
      <c r="H101" t="s">
        <v>2938</v>
      </c>
      <c r="I101">
        <v>108419.564</v>
      </c>
    </row>
    <row r="102" spans="1:9" x14ac:dyDescent="0.25">
      <c r="A102" t="s">
        <v>9164</v>
      </c>
      <c r="C102" t="s">
        <v>9165</v>
      </c>
      <c r="D102" t="s">
        <v>9321</v>
      </c>
      <c r="E102" t="s">
        <v>8852</v>
      </c>
      <c r="F102" s="1">
        <v>44841</v>
      </c>
      <c r="G102" t="str">
        <f t="shared" si="4"/>
        <v>300115</v>
      </c>
      <c r="H102" t="s">
        <v>2938</v>
      </c>
      <c r="I102">
        <v>152056.88080000001</v>
      </c>
    </row>
    <row r="103" spans="1:9" x14ac:dyDescent="0.25">
      <c r="A103" t="s">
        <v>9164</v>
      </c>
      <c r="C103" t="s">
        <v>9165</v>
      </c>
      <c r="D103" t="s">
        <v>9322</v>
      </c>
      <c r="E103" t="s">
        <v>9323</v>
      </c>
      <c r="F103" s="1">
        <v>44841</v>
      </c>
      <c r="G103" t="str">
        <f t="shared" si="4"/>
        <v>300115</v>
      </c>
      <c r="H103" t="s">
        <v>2938</v>
      </c>
      <c r="I103">
        <v>21210.6587</v>
      </c>
    </row>
    <row r="104" spans="1:9" x14ac:dyDescent="0.25">
      <c r="A104" t="s">
        <v>9164</v>
      </c>
      <c r="C104" t="s">
        <v>9165</v>
      </c>
      <c r="D104" t="s">
        <v>9324</v>
      </c>
      <c r="E104" t="s">
        <v>9239</v>
      </c>
      <c r="F104" s="1">
        <v>44841</v>
      </c>
      <c r="G104" t="str">
        <f t="shared" si="4"/>
        <v>300115</v>
      </c>
      <c r="H104" t="s">
        <v>2938</v>
      </c>
      <c r="I104">
        <v>5582.94</v>
      </c>
    </row>
    <row r="105" spans="1:9" x14ac:dyDescent="0.25">
      <c r="A105" t="s">
        <v>9164</v>
      </c>
      <c r="C105" t="s">
        <v>9165</v>
      </c>
      <c r="D105" t="s">
        <v>9325</v>
      </c>
      <c r="E105" t="s">
        <v>9326</v>
      </c>
      <c r="F105" s="1">
        <v>44851</v>
      </c>
      <c r="G105" t="str">
        <f>"300226"</f>
        <v>300226</v>
      </c>
      <c r="H105" t="s">
        <v>3025</v>
      </c>
      <c r="I105">
        <v>2557.8000000000002</v>
      </c>
    </row>
    <row r="106" spans="1:9" x14ac:dyDescent="0.25">
      <c r="A106" t="s">
        <v>9164</v>
      </c>
      <c r="C106" t="s">
        <v>9165</v>
      </c>
      <c r="D106" t="s">
        <v>9327</v>
      </c>
      <c r="E106" t="s">
        <v>9112</v>
      </c>
      <c r="F106" s="1">
        <v>44861</v>
      </c>
      <c r="G106" t="str">
        <f t="shared" ref="G106:G116" si="5">"300115"</f>
        <v>300115</v>
      </c>
      <c r="H106" t="s">
        <v>2938</v>
      </c>
      <c r="I106">
        <v>2266220</v>
      </c>
    </row>
    <row r="107" spans="1:9" x14ac:dyDescent="0.25">
      <c r="A107" t="s">
        <v>9164</v>
      </c>
      <c r="C107" t="s">
        <v>9165</v>
      </c>
      <c r="D107" t="s">
        <v>9328</v>
      </c>
      <c r="E107" t="s">
        <v>9329</v>
      </c>
      <c r="F107" s="1">
        <v>44867</v>
      </c>
      <c r="G107" t="str">
        <f t="shared" si="5"/>
        <v>300115</v>
      </c>
      <c r="H107" t="s">
        <v>2938</v>
      </c>
      <c r="I107">
        <v>266443.07799999998</v>
      </c>
    </row>
    <row r="108" spans="1:9" x14ac:dyDescent="0.25">
      <c r="A108" t="s">
        <v>9164</v>
      </c>
      <c r="C108" t="s">
        <v>9165</v>
      </c>
      <c r="D108" t="s">
        <v>9330</v>
      </c>
      <c r="E108" t="s">
        <v>9239</v>
      </c>
      <c r="F108" s="1">
        <v>44881</v>
      </c>
      <c r="G108" t="str">
        <f t="shared" si="5"/>
        <v>300115</v>
      </c>
      <c r="H108" t="s">
        <v>2938</v>
      </c>
      <c r="I108">
        <v>1289169.8160000001</v>
      </c>
    </row>
    <row r="109" spans="1:9" x14ac:dyDescent="0.25">
      <c r="A109" t="s">
        <v>9164</v>
      </c>
      <c r="C109" t="s">
        <v>9165</v>
      </c>
      <c r="D109" t="s">
        <v>9331</v>
      </c>
      <c r="E109" t="s">
        <v>9266</v>
      </c>
      <c r="F109" s="1">
        <v>44895</v>
      </c>
      <c r="G109" t="str">
        <f t="shared" si="5"/>
        <v>300115</v>
      </c>
      <c r="H109" t="s">
        <v>2938</v>
      </c>
      <c r="I109">
        <v>144410.11199999999</v>
      </c>
    </row>
    <row r="110" spans="1:9" x14ac:dyDescent="0.25">
      <c r="A110" t="s">
        <v>9164</v>
      </c>
      <c r="C110" t="s">
        <v>9165</v>
      </c>
      <c r="D110" t="s">
        <v>9332</v>
      </c>
      <c r="E110" t="s">
        <v>2566</v>
      </c>
      <c r="F110" s="1">
        <v>44900</v>
      </c>
      <c r="G110" t="str">
        <f t="shared" si="5"/>
        <v>300115</v>
      </c>
      <c r="H110" t="s">
        <v>2938</v>
      </c>
      <c r="I110">
        <v>250034.4</v>
      </c>
    </row>
    <row r="111" spans="1:9" x14ac:dyDescent="0.25">
      <c r="A111" t="s">
        <v>9164</v>
      </c>
      <c r="C111" t="s">
        <v>9165</v>
      </c>
      <c r="D111" t="s">
        <v>9333</v>
      </c>
      <c r="E111" t="s">
        <v>1313</v>
      </c>
      <c r="F111" s="1">
        <v>44921</v>
      </c>
      <c r="G111" t="str">
        <f t="shared" si="5"/>
        <v>300115</v>
      </c>
      <c r="H111" t="s">
        <v>2938</v>
      </c>
      <c r="I111">
        <v>1343576.135</v>
      </c>
    </row>
    <row r="112" spans="1:9" x14ac:dyDescent="0.25">
      <c r="A112" t="s">
        <v>9164</v>
      </c>
      <c r="C112" t="s">
        <v>9165</v>
      </c>
      <c r="D112" t="s">
        <v>9334</v>
      </c>
      <c r="E112" t="s">
        <v>9335</v>
      </c>
      <c r="F112" s="1">
        <v>44923</v>
      </c>
      <c r="G112" t="str">
        <f t="shared" si="5"/>
        <v>300115</v>
      </c>
      <c r="H112" t="s">
        <v>2938</v>
      </c>
      <c r="I112">
        <v>2364303.0070000002</v>
      </c>
    </row>
    <row r="113" spans="1:9" x14ac:dyDescent="0.25">
      <c r="A113" t="s">
        <v>9164</v>
      </c>
      <c r="C113" t="s">
        <v>9165</v>
      </c>
      <c r="D113" t="s">
        <v>9336</v>
      </c>
      <c r="E113" t="s">
        <v>9337</v>
      </c>
      <c r="F113" s="1">
        <v>44923</v>
      </c>
      <c r="G113" t="str">
        <f t="shared" si="5"/>
        <v>300115</v>
      </c>
      <c r="H113" t="s">
        <v>2938</v>
      </c>
      <c r="I113">
        <v>6655000</v>
      </c>
    </row>
    <row r="114" spans="1:9" x14ac:dyDescent="0.25">
      <c r="A114" t="s">
        <v>9164</v>
      </c>
      <c r="C114" t="s">
        <v>9165</v>
      </c>
      <c r="D114" t="s">
        <v>9338</v>
      </c>
      <c r="E114" t="s">
        <v>9264</v>
      </c>
      <c r="F114" s="1">
        <v>44923</v>
      </c>
      <c r="G114" t="str">
        <f t="shared" si="5"/>
        <v>300115</v>
      </c>
      <c r="H114" t="s">
        <v>2938</v>
      </c>
      <c r="I114">
        <v>298210</v>
      </c>
    </row>
    <row r="115" spans="1:9" x14ac:dyDescent="0.25">
      <c r="A115" t="s">
        <v>9164</v>
      </c>
      <c r="C115" t="s">
        <v>9165</v>
      </c>
      <c r="D115" t="s">
        <v>9339</v>
      </c>
      <c r="E115" t="s">
        <v>1313</v>
      </c>
      <c r="F115" s="1">
        <v>44943</v>
      </c>
      <c r="G115" t="str">
        <f t="shared" si="5"/>
        <v>300115</v>
      </c>
      <c r="H115" t="s">
        <v>2938</v>
      </c>
      <c r="I115">
        <v>6874823.4720000001</v>
      </c>
    </row>
    <row r="116" spans="1:9" x14ac:dyDescent="0.25">
      <c r="A116" t="s">
        <v>9164</v>
      </c>
      <c r="C116" t="s">
        <v>9165</v>
      </c>
      <c r="D116" t="s">
        <v>9340</v>
      </c>
      <c r="E116" t="s">
        <v>9341</v>
      </c>
      <c r="F116" s="1">
        <v>44943</v>
      </c>
      <c r="G116" t="str">
        <f t="shared" si="5"/>
        <v>300115</v>
      </c>
      <c r="H116" t="s">
        <v>2938</v>
      </c>
      <c r="I116">
        <v>2574179.1570000001</v>
      </c>
    </row>
    <row r="117" spans="1:9" x14ac:dyDescent="0.25">
      <c r="A117" t="s">
        <v>9164</v>
      </c>
      <c r="C117" t="s">
        <v>9165</v>
      </c>
      <c r="D117" t="s">
        <v>9342</v>
      </c>
      <c r="E117" t="s">
        <v>9343</v>
      </c>
      <c r="F117" s="1">
        <v>44965</v>
      </c>
      <c r="G117" t="str">
        <f>"300220"</f>
        <v>300220</v>
      </c>
      <c r="H117" t="s">
        <v>2170</v>
      </c>
      <c r="I117">
        <v>175717.212</v>
      </c>
    </row>
    <row r="118" spans="1:9" x14ac:dyDescent="0.25">
      <c r="A118" t="s">
        <v>9164</v>
      </c>
      <c r="C118" t="s">
        <v>9165</v>
      </c>
      <c r="D118" t="s">
        <v>9344</v>
      </c>
      <c r="E118" t="s">
        <v>9345</v>
      </c>
      <c r="F118" s="1">
        <v>44973</v>
      </c>
      <c r="G118" t="str">
        <f>"300115"</f>
        <v>300115</v>
      </c>
      <c r="H118" t="s">
        <v>2938</v>
      </c>
      <c r="I118">
        <v>0</v>
      </c>
    </row>
    <row r="119" spans="1:9" x14ac:dyDescent="0.25">
      <c r="A119" t="s">
        <v>9164</v>
      </c>
      <c r="C119" t="s">
        <v>9165</v>
      </c>
      <c r="D119" t="s">
        <v>9346</v>
      </c>
      <c r="E119" t="s">
        <v>9204</v>
      </c>
      <c r="F119" s="1">
        <v>44984</v>
      </c>
      <c r="G119" t="str">
        <f>"300115"</f>
        <v>300115</v>
      </c>
      <c r="H119" t="s">
        <v>2938</v>
      </c>
      <c r="I119">
        <v>10331.9931</v>
      </c>
    </row>
    <row r="120" spans="1:9" x14ac:dyDescent="0.25">
      <c r="A120" t="s">
        <v>9164</v>
      </c>
      <c r="C120" t="s">
        <v>9165</v>
      </c>
      <c r="D120" t="s">
        <v>9347</v>
      </c>
      <c r="E120" t="s">
        <v>9348</v>
      </c>
      <c r="F120" s="1">
        <v>44988</v>
      </c>
      <c r="G120" t="str">
        <f>"300115"</f>
        <v>300115</v>
      </c>
      <c r="H120" t="s">
        <v>2938</v>
      </c>
      <c r="I120">
        <v>2324.6761999999999</v>
      </c>
    </row>
    <row r="121" spans="1:9" x14ac:dyDescent="0.25">
      <c r="A121" t="s">
        <v>9164</v>
      </c>
      <c r="C121" t="s">
        <v>9165</v>
      </c>
      <c r="D121" t="s">
        <v>9349</v>
      </c>
      <c r="E121" t="s">
        <v>9350</v>
      </c>
      <c r="F121" s="1">
        <v>44994</v>
      </c>
      <c r="G121" t="str">
        <f>"300115"</f>
        <v>300115</v>
      </c>
      <c r="H121" t="s">
        <v>2938</v>
      </c>
      <c r="I121">
        <v>319000</v>
      </c>
    </row>
    <row r="122" spans="1:9" x14ac:dyDescent="0.25">
      <c r="A122" t="s">
        <v>9164</v>
      </c>
      <c r="C122" t="s">
        <v>9165</v>
      </c>
      <c r="D122" t="s">
        <v>9351</v>
      </c>
      <c r="E122" t="s">
        <v>9352</v>
      </c>
      <c r="F122" s="1">
        <v>45023</v>
      </c>
      <c r="G122" t="str">
        <f>"300312"</f>
        <v>300312</v>
      </c>
      <c r="H122" t="s">
        <v>3053</v>
      </c>
      <c r="I122">
        <v>0</v>
      </c>
    </row>
    <row r="123" spans="1:9" x14ac:dyDescent="0.25">
      <c r="A123" t="s">
        <v>9164</v>
      </c>
      <c r="C123" t="s">
        <v>9165</v>
      </c>
      <c r="D123" t="s">
        <v>9353</v>
      </c>
      <c r="E123" t="s">
        <v>9343</v>
      </c>
      <c r="F123" s="1">
        <v>45048</v>
      </c>
      <c r="G123" t="str">
        <f>"300220"</f>
        <v>300220</v>
      </c>
      <c r="H123" t="s">
        <v>2170</v>
      </c>
      <c r="I123">
        <v>172923.2</v>
      </c>
    </row>
    <row r="124" spans="1:9" x14ac:dyDescent="0.25">
      <c r="A124" t="s">
        <v>9164</v>
      </c>
      <c r="C124" t="s">
        <v>9165</v>
      </c>
      <c r="D124" t="s">
        <v>9354</v>
      </c>
      <c r="E124" t="s">
        <v>9355</v>
      </c>
      <c r="F124" s="1">
        <v>45064</v>
      </c>
      <c r="G124" t="str">
        <f>"300115"</f>
        <v>300115</v>
      </c>
      <c r="H124" t="s">
        <v>2938</v>
      </c>
      <c r="I124">
        <v>616000</v>
      </c>
    </row>
    <row r="125" spans="1:9" x14ac:dyDescent="0.25">
      <c r="A125" t="s">
        <v>9164</v>
      </c>
      <c r="C125" t="s">
        <v>9165</v>
      </c>
      <c r="D125" t="s">
        <v>9356</v>
      </c>
      <c r="E125" t="s">
        <v>1928</v>
      </c>
      <c r="F125" s="1">
        <v>45085</v>
      </c>
      <c r="G125" t="str">
        <f>"300115"</f>
        <v>300115</v>
      </c>
      <c r="H125" t="s">
        <v>2938</v>
      </c>
      <c r="I125">
        <v>804482.11800000002</v>
      </c>
    </row>
    <row r="126" spans="1:9" x14ac:dyDescent="0.25">
      <c r="A126" t="s">
        <v>9164</v>
      </c>
      <c r="C126" t="s">
        <v>9165</v>
      </c>
      <c r="D126" t="s">
        <v>9357</v>
      </c>
      <c r="E126" t="s">
        <v>1313</v>
      </c>
      <c r="F126" s="1">
        <v>45089</v>
      </c>
      <c r="G126" t="str">
        <f>"300115"</f>
        <v>300115</v>
      </c>
      <c r="H126" t="s">
        <v>2938</v>
      </c>
      <c r="I126">
        <v>19581</v>
      </c>
    </row>
    <row r="127" spans="1:9" x14ac:dyDescent="0.25">
      <c r="A127" t="s">
        <v>9164</v>
      </c>
      <c r="C127" t="s">
        <v>9165</v>
      </c>
      <c r="D127" t="s">
        <v>9358</v>
      </c>
      <c r="E127" t="s">
        <v>9343</v>
      </c>
      <c r="F127" s="1">
        <v>45119</v>
      </c>
      <c r="G127" t="str">
        <f>"300220"</f>
        <v>300220</v>
      </c>
      <c r="H127" t="s">
        <v>2170</v>
      </c>
      <c r="I127">
        <v>2858570.9240000001</v>
      </c>
    </row>
    <row r="128" spans="1:9" x14ac:dyDescent="0.25">
      <c r="A128" t="s">
        <v>9164</v>
      </c>
      <c r="C128" t="s">
        <v>9165</v>
      </c>
      <c r="D128" t="s">
        <v>9359</v>
      </c>
      <c r="E128" t="s">
        <v>9360</v>
      </c>
      <c r="F128" s="1">
        <v>45119</v>
      </c>
      <c r="G128" t="str">
        <f>"300220"</f>
        <v>300220</v>
      </c>
      <c r="H128" t="s">
        <v>2170</v>
      </c>
      <c r="I128">
        <v>9588563.2479999997</v>
      </c>
    </row>
    <row r="129" spans="1:9" x14ac:dyDescent="0.25">
      <c r="A129" t="s">
        <v>9164</v>
      </c>
      <c r="C129" t="s">
        <v>9165</v>
      </c>
      <c r="D129" t="s">
        <v>9361</v>
      </c>
      <c r="E129" t="s">
        <v>9112</v>
      </c>
      <c r="F129" s="1">
        <v>45127</v>
      </c>
      <c r="G129" t="str">
        <f>"300115"</f>
        <v>300115</v>
      </c>
      <c r="H129" t="s">
        <v>2938</v>
      </c>
      <c r="I129">
        <v>1938407.504</v>
      </c>
    </row>
    <row r="130" spans="1:9" x14ac:dyDescent="0.25">
      <c r="A130" t="s">
        <v>9164</v>
      </c>
      <c r="C130" t="s">
        <v>9165</v>
      </c>
      <c r="D130" t="s">
        <v>9362</v>
      </c>
      <c r="E130" t="s">
        <v>1313</v>
      </c>
      <c r="F130" s="1">
        <v>45135</v>
      </c>
      <c r="G130" t="str">
        <f>"300115"</f>
        <v>300115</v>
      </c>
      <c r="H130" t="s">
        <v>2938</v>
      </c>
      <c r="I130">
        <v>5872.9946</v>
      </c>
    </row>
    <row r="131" spans="1:9" x14ac:dyDescent="0.25">
      <c r="A131" t="s">
        <v>9164</v>
      </c>
      <c r="C131" t="s">
        <v>9165</v>
      </c>
      <c r="D131" t="s">
        <v>9363</v>
      </c>
      <c r="E131" t="s">
        <v>9335</v>
      </c>
      <c r="F131" s="1">
        <v>45176</v>
      </c>
      <c r="G131" t="str">
        <f>"300115"</f>
        <v>300115</v>
      </c>
      <c r="H131" t="s">
        <v>2938</v>
      </c>
      <c r="I131">
        <v>275.26400000000001</v>
      </c>
    </row>
    <row r="132" spans="1:9" x14ac:dyDescent="0.25">
      <c r="A132" t="s">
        <v>9164</v>
      </c>
      <c r="C132" t="s">
        <v>9165</v>
      </c>
      <c r="D132" t="s">
        <v>9364</v>
      </c>
      <c r="E132" t="s">
        <v>9365</v>
      </c>
      <c r="F132" s="1">
        <v>45190</v>
      </c>
      <c r="G132" t="str">
        <f>"300115"</f>
        <v>300115</v>
      </c>
      <c r="H132" t="s">
        <v>2938</v>
      </c>
      <c r="I132">
        <v>37854.460599999999</v>
      </c>
    </row>
    <row r="133" spans="1:9" x14ac:dyDescent="0.25">
      <c r="A133" t="s">
        <v>9164</v>
      </c>
      <c r="C133" t="s">
        <v>9165</v>
      </c>
      <c r="D133" t="s">
        <v>9366</v>
      </c>
      <c r="E133" t="s">
        <v>9337</v>
      </c>
      <c r="F133" s="1">
        <v>45215</v>
      </c>
      <c r="G133" t="str">
        <f>"300115"</f>
        <v>300115</v>
      </c>
      <c r="H133" t="s">
        <v>2938</v>
      </c>
      <c r="I133">
        <v>3943500</v>
      </c>
    </row>
    <row r="134" spans="1:9" x14ac:dyDescent="0.25">
      <c r="A134" t="s">
        <v>9164</v>
      </c>
      <c r="C134" t="s">
        <v>9165</v>
      </c>
      <c r="D134" t="s">
        <v>9367</v>
      </c>
      <c r="E134" t="s">
        <v>9189</v>
      </c>
      <c r="F134" s="1">
        <v>45225</v>
      </c>
      <c r="G134" t="str">
        <f>"300220"</f>
        <v>300220</v>
      </c>
      <c r="H134" t="s">
        <v>2170</v>
      </c>
      <c r="I134">
        <v>242000</v>
      </c>
    </row>
    <row r="135" spans="1:9" x14ac:dyDescent="0.25">
      <c r="A135" t="s">
        <v>9164</v>
      </c>
      <c r="C135" t="s">
        <v>9165</v>
      </c>
      <c r="D135" t="s">
        <v>9368</v>
      </c>
      <c r="E135" t="s">
        <v>9365</v>
      </c>
      <c r="F135" s="1">
        <v>45241</v>
      </c>
      <c r="G135" t="str">
        <f>"300115"</f>
        <v>300115</v>
      </c>
      <c r="H135" t="s">
        <v>2938</v>
      </c>
      <c r="I135">
        <v>179968.03</v>
      </c>
    </row>
    <row r="136" spans="1:9" x14ac:dyDescent="0.25">
      <c r="A136" t="s">
        <v>9164</v>
      </c>
      <c r="C136" t="s">
        <v>9165</v>
      </c>
      <c r="D136" t="s">
        <v>9369</v>
      </c>
      <c r="E136" t="s">
        <v>9204</v>
      </c>
      <c r="F136" s="1">
        <v>45260</v>
      </c>
      <c r="G136" t="str">
        <f>"300115"</f>
        <v>300115</v>
      </c>
      <c r="H136" t="s">
        <v>2938</v>
      </c>
      <c r="I136">
        <v>3475.1651000000002</v>
      </c>
    </row>
    <row r="137" spans="1:9" x14ac:dyDescent="0.25">
      <c r="A137" t="s">
        <v>9164</v>
      </c>
      <c r="C137" t="s">
        <v>9165</v>
      </c>
      <c r="D137" t="s">
        <v>9370</v>
      </c>
      <c r="E137" t="s">
        <v>9371</v>
      </c>
      <c r="F137" s="1">
        <v>45285</v>
      </c>
      <c r="G137" t="str">
        <f>"300220"</f>
        <v>300220</v>
      </c>
      <c r="H137" t="s">
        <v>2170</v>
      </c>
      <c r="I137">
        <v>1084600</v>
      </c>
    </row>
    <row r="138" spans="1:9" x14ac:dyDescent="0.25">
      <c r="A138" t="s">
        <v>9164</v>
      </c>
      <c r="C138" t="s">
        <v>9165</v>
      </c>
      <c r="D138" t="s">
        <v>9372</v>
      </c>
      <c r="E138" t="s">
        <v>9335</v>
      </c>
      <c r="F138" s="1">
        <v>45296</v>
      </c>
      <c r="G138" t="str">
        <f>"300115"</f>
        <v>300115</v>
      </c>
      <c r="H138" t="s">
        <v>2938</v>
      </c>
      <c r="I138">
        <v>170805.69</v>
      </c>
    </row>
    <row r="139" spans="1:9" x14ac:dyDescent="0.25">
      <c r="A139" t="s">
        <v>9164</v>
      </c>
      <c r="C139" t="s">
        <v>9165</v>
      </c>
      <c r="D139" t="s">
        <v>9373</v>
      </c>
      <c r="E139" t="s">
        <v>9374</v>
      </c>
      <c r="F139" s="1">
        <v>45308</v>
      </c>
      <c r="G139" t="str">
        <f>"300220"</f>
        <v>300220</v>
      </c>
      <c r="H139" t="s">
        <v>2170</v>
      </c>
      <c r="I139">
        <v>311785.58399999997</v>
      </c>
    </row>
    <row r="140" spans="1:9" x14ac:dyDescent="0.25">
      <c r="A140" t="s">
        <v>9164</v>
      </c>
      <c r="C140" t="s">
        <v>9165</v>
      </c>
      <c r="D140" t="s">
        <v>9375</v>
      </c>
      <c r="E140" t="s">
        <v>9376</v>
      </c>
      <c r="F140" s="1">
        <v>45330</v>
      </c>
      <c r="G140" t="str">
        <f>"300220"</f>
        <v>300220</v>
      </c>
      <c r="H140" t="s">
        <v>2170</v>
      </c>
      <c r="I140">
        <v>1045000</v>
      </c>
    </row>
    <row r="141" spans="1:9" x14ac:dyDescent="0.25">
      <c r="A141" t="s">
        <v>9164</v>
      </c>
      <c r="C141" t="s">
        <v>9165</v>
      </c>
      <c r="D141" t="s">
        <v>9377</v>
      </c>
      <c r="E141" t="s">
        <v>9189</v>
      </c>
      <c r="F141" s="1">
        <v>45337</v>
      </c>
      <c r="G141" t="str">
        <f>"300115"</f>
        <v>300115</v>
      </c>
      <c r="H141" t="s">
        <v>2938</v>
      </c>
      <c r="I141">
        <v>52472.211000000003</v>
      </c>
    </row>
    <row r="142" spans="1:9" x14ac:dyDescent="0.25">
      <c r="A142" t="s">
        <v>9164</v>
      </c>
      <c r="C142" t="s">
        <v>9165</v>
      </c>
      <c r="D142" t="s">
        <v>9378</v>
      </c>
      <c r="E142" t="s">
        <v>9335</v>
      </c>
      <c r="F142" s="1">
        <v>45341</v>
      </c>
      <c r="G142" t="str">
        <f>"300381"</f>
        <v>300381</v>
      </c>
      <c r="H142" t="s">
        <v>3118</v>
      </c>
      <c r="I142">
        <v>726665.43729999999</v>
      </c>
    </row>
    <row r="143" spans="1:9" x14ac:dyDescent="0.25">
      <c r="A143" t="s">
        <v>9164</v>
      </c>
      <c r="C143" t="s">
        <v>9165</v>
      </c>
      <c r="D143" t="s">
        <v>9379</v>
      </c>
      <c r="E143" t="s">
        <v>9345</v>
      </c>
      <c r="F143" s="1">
        <v>45345</v>
      </c>
      <c r="G143" t="str">
        <f>"300115"</f>
        <v>300115</v>
      </c>
      <c r="H143" t="s">
        <v>2938</v>
      </c>
      <c r="I143">
        <v>9230.4519999999993</v>
      </c>
    </row>
    <row r="144" spans="1:9" x14ac:dyDescent="0.25">
      <c r="A144" t="s">
        <v>9164</v>
      </c>
      <c r="C144" t="s">
        <v>9165</v>
      </c>
      <c r="D144" t="s">
        <v>9380</v>
      </c>
      <c r="E144" t="s">
        <v>8967</v>
      </c>
      <c r="F144" s="1">
        <v>45364</v>
      </c>
      <c r="G144" t="str">
        <f>"300356"</f>
        <v>300356</v>
      </c>
      <c r="H144" t="s">
        <v>3094</v>
      </c>
      <c r="I144">
        <v>3291.2</v>
      </c>
    </row>
    <row r="145" spans="1:9" x14ac:dyDescent="0.25">
      <c r="A145" t="s">
        <v>9164</v>
      </c>
      <c r="C145" t="s">
        <v>9165</v>
      </c>
      <c r="D145" t="s">
        <v>9381</v>
      </c>
      <c r="E145" t="s">
        <v>9382</v>
      </c>
      <c r="F145" s="1">
        <v>45377</v>
      </c>
      <c r="G145" t="str">
        <f>"300382"</f>
        <v>300382</v>
      </c>
      <c r="H145" t="s">
        <v>3119</v>
      </c>
      <c r="I145">
        <v>625739.4</v>
      </c>
    </row>
    <row r="146" spans="1:9" x14ac:dyDescent="0.25">
      <c r="A146" t="s">
        <v>9164</v>
      </c>
      <c r="C146" t="s">
        <v>9165</v>
      </c>
      <c r="D146" t="s">
        <v>9383</v>
      </c>
      <c r="E146" t="s">
        <v>9384</v>
      </c>
      <c r="F146" s="1">
        <v>45412</v>
      </c>
      <c r="G146" t="str">
        <f>"300220"</f>
        <v>300220</v>
      </c>
      <c r="H146" t="s">
        <v>2170</v>
      </c>
      <c r="I146">
        <v>1094500</v>
      </c>
    </row>
    <row r="147" spans="1:9" x14ac:dyDescent="0.25">
      <c r="A147" t="s">
        <v>9164</v>
      </c>
      <c r="C147" t="s">
        <v>9165</v>
      </c>
      <c r="D147" t="s">
        <v>9385</v>
      </c>
      <c r="E147" t="s">
        <v>9386</v>
      </c>
      <c r="F147" s="1">
        <v>45412</v>
      </c>
      <c r="G147" t="str">
        <f>"300220"</f>
        <v>300220</v>
      </c>
      <c r="H147" t="s">
        <v>2170</v>
      </c>
      <c r="I147">
        <v>1144000</v>
      </c>
    </row>
    <row r="148" spans="1:9" x14ac:dyDescent="0.25">
      <c r="A148" t="s">
        <v>9164</v>
      </c>
      <c r="C148" t="s">
        <v>9165</v>
      </c>
      <c r="D148" t="s">
        <v>9387</v>
      </c>
      <c r="F148" s="1">
        <v>45412</v>
      </c>
      <c r="G148" t="str">
        <f>"300356"</f>
        <v>300356</v>
      </c>
      <c r="H148" t="s">
        <v>3094</v>
      </c>
      <c r="I148">
        <v>206844</v>
      </c>
    </row>
    <row r="149" spans="1:9" x14ac:dyDescent="0.25">
      <c r="A149" t="s">
        <v>9164</v>
      </c>
      <c r="C149" t="s">
        <v>9165</v>
      </c>
      <c r="D149" t="s">
        <v>9388</v>
      </c>
      <c r="E149" t="s">
        <v>9389</v>
      </c>
      <c r="F149" s="1">
        <v>45412</v>
      </c>
      <c r="G149" t="str">
        <f>"300356"</f>
        <v>300356</v>
      </c>
      <c r="H149" t="s">
        <v>3094</v>
      </c>
      <c r="I149">
        <v>197034.2</v>
      </c>
    </row>
    <row r="150" spans="1:9" x14ac:dyDescent="0.25">
      <c r="A150" t="s">
        <v>9164</v>
      </c>
      <c r="C150" t="s">
        <v>9165</v>
      </c>
      <c r="D150" t="s">
        <v>9390</v>
      </c>
      <c r="E150" t="s">
        <v>9343</v>
      </c>
      <c r="F150" s="1">
        <v>45415</v>
      </c>
      <c r="G150" t="str">
        <f>"300220"</f>
        <v>300220</v>
      </c>
      <c r="H150" t="s">
        <v>2170</v>
      </c>
      <c r="I150">
        <v>3834048.702</v>
      </c>
    </row>
    <row r="151" spans="1:9" x14ac:dyDescent="0.25">
      <c r="A151" t="s">
        <v>9164</v>
      </c>
      <c r="C151" t="s">
        <v>9165</v>
      </c>
      <c r="D151" t="s">
        <v>9391</v>
      </c>
      <c r="E151" t="s">
        <v>9155</v>
      </c>
      <c r="F151" s="1">
        <v>45419</v>
      </c>
      <c r="G151" t="str">
        <f>"300115"</f>
        <v>300115</v>
      </c>
      <c r="H151" t="s">
        <v>2938</v>
      </c>
      <c r="I151">
        <v>1089000</v>
      </c>
    </row>
    <row r="152" spans="1:9" x14ac:dyDescent="0.25">
      <c r="A152" t="s">
        <v>9164</v>
      </c>
      <c r="C152" t="s">
        <v>9165</v>
      </c>
      <c r="D152" t="s">
        <v>9392</v>
      </c>
      <c r="E152" t="s">
        <v>9393</v>
      </c>
      <c r="F152" s="1">
        <v>45425</v>
      </c>
      <c r="G152" t="str">
        <f>"300220"</f>
        <v>300220</v>
      </c>
      <c r="H152" t="s">
        <v>2170</v>
      </c>
      <c r="I152">
        <v>1187929.6000000001</v>
      </c>
    </row>
    <row r="153" spans="1:9" x14ac:dyDescent="0.25">
      <c r="A153" t="s">
        <v>9164</v>
      </c>
      <c r="C153" t="s">
        <v>9165</v>
      </c>
      <c r="D153" t="s">
        <v>9394</v>
      </c>
      <c r="E153" t="s">
        <v>9395</v>
      </c>
      <c r="F153" s="1">
        <v>45432</v>
      </c>
      <c r="G153" t="str">
        <f>"300381"</f>
        <v>300381</v>
      </c>
      <c r="H153" t="s">
        <v>3118</v>
      </c>
      <c r="I153">
        <v>1111000</v>
      </c>
    </row>
    <row r="154" spans="1:9" x14ac:dyDescent="0.25">
      <c r="A154" t="s">
        <v>9164</v>
      </c>
      <c r="C154" t="s">
        <v>9165</v>
      </c>
      <c r="D154" t="s">
        <v>9396</v>
      </c>
      <c r="E154" t="s">
        <v>1313</v>
      </c>
      <c r="F154" s="1">
        <v>45439</v>
      </c>
      <c r="G154" t="str">
        <f>"300115"</f>
        <v>300115</v>
      </c>
      <c r="H154" t="s">
        <v>2938</v>
      </c>
      <c r="I154">
        <v>2223332.1</v>
      </c>
    </row>
    <row r="155" spans="1:9" x14ac:dyDescent="0.25">
      <c r="A155" t="s">
        <v>9164</v>
      </c>
      <c r="C155" t="s">
        <v>9165</v>
      </c>
      <c r="D155" t="s">
        <v>9397</v>
      </c>
      <c r="E155" t="s">
        <v>9398</v>
      </c>
      <c r="F155" s="1">
        <v>45439</v>
      </c>
      <c r="G155" t="str">
        <f>"300220"</f>
        <v>300220</v>
      </c>
      <c r="H155" t="s">
        <v>2170</v>
      </c>
      <c r="I155">
        <v>502952.82400000002</v>
      </c>
    </row>
    <row r="156" spans="1:9" x14ac:dyDescent="0.25">
      <c r="A156" t="s">
        <v>9164</v>
      </c>
      <c r="C156" t="s">
        <v>9165</v>
      </c>
      <c r="D156" t="s">
        <v>9399</v>
      </c>
      <c r="E156" t="s">
        <v>9400</v>
      </c>
      <c r="F156" s="1">
        <v>45440</v>
      </c>
      <c r="G156" t="str">
        <f>"300382"</f>
        <v>300382</v>
      </c>
      <c r="H156" t="s">
        <v>3119</v>
      </c>
      <c r="I156">
        <v>171751.58</v>
      </c>
    </row>
    <row r="157" spans="1:9" x14ac:dyDescent="0.25">
      <c r="A157" t="s">
        <v>9164</v>
      </c>
      <c r="C157" t="s">
        <v>9165</v>
      </c>
      <c r="D157" t="s">
        <v>9401</v>
      </c>
      <c r="E157" t="s">
        <v>9402</v>
      </c>
      <c r="F157" s="1">
        <v>45440</v>
      </c>
      <c r="G157" t="str">
        <f>"300382"</f>
        <v>300382</v>
      </c>
      <c r="H157" t="s">
        <v>3119</v>
      </c>
      <c r="I157">
        <v>171751.58</v>
      </c>
    </row>
    <row r="158" spans="1:9" x14ac:dyDescent="0.25">
      <c r="A158" t="s">
        <v>9164</v>
      </c>
      <c r="C158" t="s">
        <v>9165</v>
      </c>
      <c r="D158" t="s">
        <v>9403</v>
      </c>
      <c r="E158" t="s">
        <v>9404</v>
      </c>
      <c r="F158" s="1">
        <v>45440</v>
      </c>
      <c r="G158" t="str">
        <f>"300382"</f>
        <v>300382</v>
      </c>
      <c r="H158" t="s">
        <v>3119</v>
      </c>
      <c r="I158">
        <v>171751.58</v>
      </c>
    </row>
    <row r="159" spans="1:9" x14ac:dyDescent="0.25">
      <c r="A159" t="s">
        <v>9164</v>
      </c>
      <c r="C159" t="s">
        <v>9165</v>
      </c>
      <c r="D159" t="s">
        <v>9405</v>
      </c>
      <c r="E159" t="s">
        <v>9406</v>
      </c>
      <c r="F159" s="1">
        <v>45440</v>
      </c>
      <c r="G159" t="str">
        <f>"300382"</f>
        <v>300382</v>
      </c>
      <c r="H159" t="s">
        <v>3119</v>
      </c>
      <c r="I159">
        <v>171751.58</v>
      </c>
    </row>
    <row r="160" spans="1:9" x14ac:dyDescent="0.25">
      <c r="A160" t="s">
        <v>9164</v>
      </c>
      <c r="C160" t="s">
        <v>9165</v>
      </c>
      <c r="D160" t="s">
        <v>9407</v>
      </c>
      <c r="E160" t="s">
        <v>9112</v>
      </c>
      <c r="F160" s="1">
        <v>45442</v>
      </c>
      <c r="G160" t="str">
        <f>"300115"</f>
        <v>300115</v>
      </c>
      <c r="H160" t="s">
        <v>2938</v>
      </c>
      <c r="I160">
        <v>1867800</v>
      </c>
    </row>
    <row r="161" spans="1:9" x14ac:dyDescent="0.25">
      <c r="A161" t="s">
        <v>9164</v>
      </c>
      <c r="C161" t="s">
        <v>9165</v>
      </c>
      <c r="D161" t="s">
        <v>9408</v>
      </c>
      <c r="E161" t="s">
        <v>9409</v>
      </c>
      <c r="F161" s="1">
        <v>45447</v>
      </c>
      <c r="G161" t="str">
        <f>"300115"</f>
        <v>300115</v>
      </c>
      <c r="H161" t="s">
        <v>2938</v>
      </c>
      <c r="I161">
        <v>4384.2150000000001</v>
      </c>
    </row>
    <row r="162" spans="1:9" x14ac:dyDescent="0.25">
      <c r="A162" t="s">
        <v>9164</v>
      </c>
      <c r="C162" t="s">
        <v>9165</v>
      </c>
      <c r="D162" t="s">
        <v>9410</v>
      </c>
      <c r="E162" t="s">
        <v>2762</v>
      </c>
      <c r="F162" s="1">
        <v>45447</v>
      </c>
      <c r="G162" t="str">
        <f>"300115"</f>
        <v>300115</v>
      </c>
      <c r="H162" t="s">
        <v>2938</v>
      </c>
      <c r="I162">
        <v>571160.93099999998</v>
      </c>
    </row>
    <row r="163" spans="1:9" x14ac:dyDescent="0.25">
      <c r="A163" t="s">
        <v>9164</v>
      </c>
      <c r="C163" t="s">
        <v>9165</v>
      </c>
      <c r="D163" t="s">
        <v>9411</v>
      </c>
      <c r="E163" t="s">
        <v>9189</v>
      </c>
      <c r="F163" s="1">
        <v>45477</v>
      </c>
      <c r="G163" t="str">
        <f>"300115"</f>
        <v>300115</v>
      </c>
      <c r="H163" t="s">
        <v>2938</v>
      </c>
      <c r="I163">
        <v>561937.95900000003</v>
      </c>
    </row>
    <row r="164" spans="1:9" x14ac:dyDescent="0.25">
      <c r="A164" t="s">
        <v>9164</v>
      </c>
      <c r="C164" t="s">
        <v>9165</v>
      </c>
      <c r="D164" t="s">
        <v>9412</v>
      </c>
      <c r="E164" t="s">
        <v>9413</v>
      </c>
      <c r="F164" s="1">
        <v>45477</v>
      </c>
      <c r="G164" t="str">
        <f>"300220"</f>
        <v>300220</v>
      </c>
      <c r="H164" t="s">
        <v>2170</v>
      </c>
      <c r="I164">
        <v>4488506.88</v>
      </c>
    </row>
    <row r="165" spans="1:9" x14ac:dyDescent="0.25">
      <c r="A165" t="s">
        <v>9164</v>
      </c>
      <c r="C165" t="s">
        <v>9165</v>
      </c>
      <c r="D165" t="s">
        <v>9414</v>
      </c>
      <c r="E165" t="s">
        <v>8903</v>
      </c>
      <c r="F165" s="1">
        <v>45478</v>
      </c>
      <c r="G165" t="str">
        <f>"300115"</f>
        <v>300115</v>
      </c>
      <c r="H165" t="s">
        <v>2938</v>
      </c>
      <c r="I165">
        <v>203686.56</v>
      </c>
    </row>
    <row r="166" spans="1:9" x14ac:dyDescent="0.25">
      <c r="A166" t="s">
        <v>9164</v>
      </c>
      <c r="C166" t="s">
        <v>9165</v>
      </c>
      <c r="D166" t="s">
        <v>9415</v>
      </c>
      <c r="E166" t="s">
        <v>2172</v>
      </c>
      <c r="F166" s="1">
        <v>45488</v>
      </c>
      <c r="G166" t="str">
        <f>"300381"</f>
        <v>300381</v>
      </c>
      <c r="H166" t="s">
        <v>3118</v>
      </c>
      <c r="I166">
        <v>1845950.2324999999</v>
      </c>
    </row>
    <row r="167" spans="1:9" x14ac:dyDescent="0.25">
      <c r="A167" t="s">
        <v>9164</v>
      </c>
      <c r="C167" t="s">
        <v>9165</v>
      </c>
      <c r="D167" t="s">
        <v>9416</v>
      </c>
      <c r="E167" t="s">
        <v>8852</v>
      </c>
      <c r="F167" s="1">
        <v>45492</v>
      </c>
      <c r="G167" t="str">
        <f>"300381"</f>
        <v>300381</v>
      </c>
      <c r="H167" t="s">
        <v>3118</v>
      </c>
      <c r="I167">
        <v>4708000</v>
      </c>
    </row>
    <row r="168" spans="1:9" x14ac:dyDescent="0.25">
      <c r="A168" t="s">
        <v>9164</v>
      </c>
      <c r="C168" t="s">
        <v>9165</v>
      </c>
      <c r="D168" t="s">
        <v>9417</v>
      </c>
      <c r="E168" t="s">
        <v>9418</v>
      </c>
      <c r="F168" s="1">
        <v>45497</v>
      </c>
      <c r="G168" t="str">
        <f>"300381"</f>
        <v>300381</v>
      </c>
      <c r="H168" t="s">
        <v>3118</v>
      </c>
      <c r="I168">
        <v>1047678.72</v>
      </c>
    </row>
    <row r="169" spans="1:9" x14ac:dyDescent="0.25">
      <c r="A169" t="s">
        <v>9164</v>
      </c>
      <c r="C169" t="s">
        <v>9165</v>
      </c>
      <c r="D169" t="s">
        <v>9419</v>
      </c>
      <c r="E169" t="s">
        <v>9420</v>
      </c>
      <c r="F169" s="1">
        <v>45505</v>
      </c>
      <c r="G169" t="str">
        <f>"300381"</f>
        <v>300381</v>
      </c>
      <c r="H169" t="s">
        <v>3118</v>
      </c>
      <c r="I169">
        <v>1580897.692</v>
      </c>
    </row>
    <row r="170" spans="1:9" x14ac:dyDescent="0.25">
      <c r="A170" t="s">
        <v>9164</v>
      </c>
      <c r="C170" t="s">
        <v>9165</v>
      </c>
      <c r="D170" t="s">
        <v>9421</v>
      </c>
      <c r="F170" s="1">
        <v>45506</v>
      </c>
      <c r="G170" t="str">
        <f>"300115"</f>
        <v>300115</v>
      </c>
      <c r="H170" t="s">
        <v>2938</v>
      </c>
      <c r="I170">
        <v>640179.54</v>
      </c>
    </row>
    <row r="171" spans="1:9" x14ac:dyDescent="0.25">
      <c r="A171" t="s">
        <v>9164</v>
      </c>
      <c r="C171" t="s">
        <v>9165</v>
      </c>
      <c r="D171" t="s">
        <v>9422</v>
      </c>
      <c r="E171" t="s">
        <v>9423</v>
      </c>
      <c r="F171" s="1">
        <v>45546</v>
      </c>
      <c r="G171" t="str">
        <f>"300220"</f>
        <v>300220</v>
      </c>
      <c r="H171" t="s">
        <v>2170</v>
      </c>
      <c r="I171">
        <v>5500000</v>
      </c>
    </row>
    <row r="172" spans="1:9" x14ac:dyDescent="0.25">
      <c r="A172" t="s">
        <v>9164</v>
      </c>
      <c r="C172" t="s">
        <v>9165</v>
      </c>
      <c r="D172" t="s">
        <v>9424</v>
      </c>
      <c r="E172" t="s">
        <v>9425</v>
      </c>
      <c r="F172" s="1">
        <v>45546</v>
      </c>
      <c r="G172" t="str">
        <f>"300356"</f>
        <v>300356</v>
      </c>
      <c r="H172" t="s">
        <v>3094</v>
      </c>
      <c r="I172">
        <v>15465.89</v>
      </c>
    </row>
    <row r="173" spans="1:9" x14ac:dyDescent="0.25">
      <c r="A173" t="s">
        <v>9164</v>
      </c>
      <c r="C173" t="s">
        <v>9165</v>
      </c>
      <c r="D173" t="s">
        <v>9426</v>
      </c>
      <c r="E173" t="s">
        <v>9343</v>
      </c>
      <c r="F173" s="1">
        <v>45567</v>
      </c>
      <c r="G173" t="str">
        <f>"300115"</f>
        <v>300115</v>
      </c>
      <c r="H173" t="s">
        <v>2938</v>
      </c>
      <c r="I173">
        <v>748440</v>
      </c>
    </row>
    <row r="174" spans="1:9" x14ac:dyDescent="0.25">
      <c r="A174" t="s">
        <v>9164</v>
      </c>
      <c r="C174" t="s">
        <v>9165</v>
      </c>
      <c r="D174" t="s">
        <v>9427</v>
      </c>
      <c r="E174" t="s">
        <v>9428</v>
      </c>
      <c r="F174" s="1">
        <v>45567</v>
      </c>
      <c r="G174" t="str">
        <f>"300381"</f>
        <v>300381</v>
      </c>
      <c r="H174" t="s">
        <v>3118</v>
      </c>
      <c r="I174">
        <v>320973.4363</v>
      </c>
    </row>
    <row r="175" spans="1:9" x14ac:dyDescent="0.25">
      <c r="A175" t="s">
        <v>9164</v>
      </c>
      <c r="C175" t="s">
        <v>9165</v>
      </c>
      <c r="D175" t="s">
        <v>9429</v>
      </c>
      <c r="E175" t="s">
        <v>9189</v>
      </c>
      <c r="F175" s="1">
        <v>45576</v>
      </c>
      <c r="G175" t="str">
        <f t="shared" ref="G175:G182" si="6">"300115"</f>
        <v>300115</v>
      </c>
      <c r="H175" t="s">
        <v>2938</v>
      </c>
      <c r="I175">
        <v>915204.07</v>
      </c>
    </row>
    <row r="176" spans="1:9" x14ac:dyDescent="0.25">
      <c r="A176" t="s">
        <v>9164</v>
      </c>
      <c r="C176" t="s">
        <v>9165</v>
      </c>
      <c r="D176" t="s">
        <v>9430</v>
      </c>
      <c r="E176" t="s">
        <v>9431</v>
      </c>
      <c r="F176" s="1">
        <v>45582</v>
      </c>
      <c r="G176" t="str">
        <f t="shared" si="6"/>
        <v>300115</v>
      </c>
      <c r="H176" t="s">
        <v>2938</v>
      </c>
      <c r="I176">
        <v>163713.44</v>
      </c>
    </row>
    <row r="177" spans="1:9" x14ac:dyDescent="0.25">
      <c r="A177" t="s">
        <v>9164</v>
      </c>
      <c r="C177" t="s">
        <v>9165</v>
      </c>
      <c r="D177" t="s">
        <v>9432</v>
      </c>
      <c r="E177" t="s">
        <v>9409</v>
      </c>
      <c r="F177" s="1">
        <v>45608</v>
      </c>
      <c r="G177" t="str">
        <f t="shared" si="6"/>
        <v>300115</v>
      </c>
      <c r="H177" t="s">
        <v>2938</v>
      </c>
      <c r="I177">
        <v>9508.9500000000007</v>
      </c>
    </row>
    <row r="178" spans="1:9" x14ac:dyDescent="0.25">
      <c r="A178" t="s">
        <v>9164</v>
      </c>
      <c r="C178" t="s">
        <v>9165</v>
      </c>
      <c r="D178" t="s">
        <v>9433</v>
      </c>
      <c r="E178" t="s">
        <v>9189</v>
      </c>
      <c r="F178" s="1">
        <v>45615</v>
      </c>
      <c r="G178" t="str">
        <f t="shared" si="6"/>
        <v>300115</v>
      </c>
      <c r="H178" t="s">
        <v>2938</v>
      </c>
      <c r="I178">
        <v>485304.6924</v>
      </c>
    </row>
    <row r="179" spans="1:9" x14ac:dyDescent="0.25">
      <c r="A179" t="s">
        <v>9164</v>
      </c>
      <c r="C179" t="s">
        <v>9165</v>
      </c>
      <c r="D179" t="s">
        <v>9434</v>
      </c>
      <c r="E179" t="s">
        <v>9435</v>
      </c>
      <c r="F179" s="1">
        <v>45623</v>
      </c>
      <c r="G179" t="str">
        <f t="shared" si="6"/>
        <v>300115</v>
      </c>
      <c r="H179" t="s">
        <v>2938</v>
      </c>
      <c r="I179">
        <v>8800</v>
      </c>
    </row>
    <row r="180" spans="1:9" x14ac:dyDescent="0.25">
      <c r="A180" t="s">
        <v>9164</v>
      </c>
      <c r="C180" t="s">
        <v>9165</v>
      </c>
      <c r="D180" t="s">
        <v>9436</v>
      </c>
      <c r="E180" t="s">
        <v>272</v>
      </c>
      <c r="F180" s="1">
        <v>45623</v>
      </c>
      <c r="G180" t="str">
        <f t="shared" si="6"/>
        <v>300115</v>
      </c>
      <c r="H180" t="s">
        <v>2938</v>
      </c>
      <c r="I180">
        <v>118311.6</v>
      </c>
    </row>
    <row r="181" spans="1:9" x14ac:dyDescent="0.25">
      <c r="A181" t="s">
        <v>9164</v>
      </c>
      <c r="C181" t="s">
        <v>9165</v>
      </c>
      <c r="D181" t="s">
        <v>9437</v>
      </c>
      <c r="E181" t="s">
        <v>9438</v>
      </c>
      <c r="F181" s="1">
        <v>45628</v>
      </c>
      <c r="G181" t="str">
        <f t="shared" si="6"/>
        <v>300115</v>
      </c>
      <c r="H181" t="s">
        <v>2938</v>
      </c>
      <c r="I181">
        <v>4627951.449</v>
      </c>
    </row>
    <row r="182" spans="1:9" x14ac:dyDescent="0.25">
      <c r="A182" t="s">
        <v>9164</v>
      </c>
      <c r="C182" t="s">
        <v>9165</v>
      </c>
      <c r="D182" t="s">
        <v>9439</v>
      </c>
      <c r="E182" t="s">
        <v>9435</v>
      </c>
      <c r="F182" s="1">
        <v>45636</v>
      </c>
      <c r="G182" t="str">
        <f t="shared" si="6"/>
        <v>300115</v>
      </c>
      <c r="H182" t="s">
        <v>2938</v>
      </c>
      <c r="I182">
        <v>0</v>
      </c>
    </row>
    <row r="183" spans="1:9" x14ac:dyDescent="0.25">
      <c r="A183" t="s">
        <v>9164</v>
      </c>
      <c r="C183" t="s">
        <v>9165</v>
      </c>
      <c r="D183" t="s">
        <v>9440</v>
      </c>
      <c r="E183" t="s">
        <v>9189</v>
      </c>
      <c r="F183" s="1">
        <v>45644</v>
      </c>
      <c r="G183" t="str">
        <f>"300381"</f>
        <v>300381</v>
      </c>
      <c r="H183" t="s">
        <v>3118</v>
      </c>
      <c r="I183">
        <v>68028.104099999997</v>
      </c>
    </row>
    <row r="184" spans="1:9" x14ac:dyDescent="0.25">
      <c r="A184" t="s">
        <v>9164</v>
      </c>
      <c r="C184" t="s">
        <v>9165</v>
      </c>
      <c r="D184" t="s">
        <v>9441</v>
      </c>
      <c r="E184" t="s">
        <v>8852</v>
      </c>
      <c r="F184" s="1">
        <v>45666</v>
      </c>
      <c r="G184" t="str">
        <f>"300381"</f>
        <v>300381</v>
      </c>
      <c r="H184" t="s">
        <v>3118</v>
      </c>
      <c r="I184">
        <v>2119291.4270000001</v>
      </c>
    </row>
    <row r="185" spans="1:9" x14ac:dyDescent="0.25">
      <c r="A185" t="s">
        <v>9164</v>
      </c>
      <c r="C185" t="s">
        <v>9165</v>
      </c>
      <c r="D185" t="s">
        <v>9442</v>
      </c>
      <c r="E185" t="s">
        <v>9443</v>
      </c>
      <c r="F185" s="1">
        <v>45672</v>
      </c>
      <c r="G185" t="str">
        <f>"300356"</f>
        <v>300356</v>
      </c>
      <c r="H185" t="s">
        <v>3094</v>
      </c>
      <c r="I185">
        <v>7584.28</v>
      </c>
    </row>
    <row r="186" spans="1:9" x14ac:dyDescent="0.25">
      <c r="A186" t="s">
        <v>9164</v>
      </c>
      <c r="C186" t="s">
        <v>9165</v>
      </c>
      <c r="D186" t="s">
        <v>9444</v>
      </c>
      <c r="E186" t="s">
        <v>1313</v>
      </c>
      <c r="F186" s="1">
        <v>45706</v>
      </c>
      <c r="G186" t="str">
        <f>"300115"</f>
        <v>300115</v>
      </c>
      <c r="H186" t="s">
        <v>2938</v>
      </c>
      <c r="I186">
        <v>64643.040000000001</v>
      </c>
    </row>
    <row r="187" spans="1:9" x14ac:dyDescent="0.25">
      <c r="A187" t="s">
        <v>9164</v>
      </c>
      <c r="C187" t="s">
        <v>9165</v>
      </c>
      <c r="D187" t="s">
        <v>9445</v>
      </c>
      <c r="E187" t="s">
        <v>9428</v>
      </c>
      <c r="F187" s="1">
        <v>45712</v>
      </c>
      <c r="G187" t="str">
        <f>"300381"</f>
        <v>300381</v>
      </c>
      <c r="H187" t="s">
        <v>3118</v>
      </c>
      <c r="I187">
        <v>472557.3688</v>
      </c>
    </row>
    <row r="188" spans="1:9" x14ac:dyDescent="0.25">
      <c r="A188" t="s">
        <v>9164</v>
      </c>
      <c r="C188" t="s">
        <v>9165</v>
      </c>
      <c r="D188" t="s">
        <v>9446</v>
      </c>
      <c r="E188" t="s">
        <v>9447</v>
      </c>
      <c r="F188" s="1">
        <v>45720</v>
      </c>
      <c r="G188" t="str">
        <f>"300220"</f>
        <v>300220</v>
      </c>
      <c r="H188" t="s">
        <v>2170</v>
      </c>
      <c r="I188">
        <v>786254.96400000004</v>
      </c>
    </row>
    <row r="189" spans="1:9" x14ac:dyDescent="0.25">
      <c r="A189" t="s">
        <v>9164</v>
      </c>
      <c r="C189" t="s">
        <v>9165</v>
      </c>
      <c r="D189" t="s">
        <v>9448</v>
      </c>
      <c r="E189" t="s">
        <v>9449</v>
      </c>
      <c r="F189" s="1">
        <v>45737</v>
      </c>
      <c r="G189" t="str">
        <f>"300220"</f>
        <v>300220</v>
      </c>
      <c r="H189" t="s">
        <v>2170</v>
      </c>
      <c r="I189">
        <v>1745.1279999999999</v>
      </c>
    </row>
    <row r="190" spans="1:9" x14ac:dyDescent="0.25">
      <c r="A190" t="s">
        <v>9164</v>
      </c>
      <c r="C190" t="s">
        <v>9165</v>
      </c>
      <c r="D190" t="s">
        <v>9450</v>
      </c>
      <c r="E190" t="s">
        <v>9451</v>
      </c>
      <c r="F190" s="1">
        <v>45743</v>
      </c>
      <c r="G190" t="str">
        <f>"300356"</f>
        <v>300356</v>
      </c>
      <c r="H190" t="s">
        <v>3094</v>
      </c>
      <c r="I190">
        <v>191219.6</v>
      </c>
    </row>
    <row r="191" spans="1:9" x14ac:dyDescent="0.25">
      <c r="A191" t="s">
        <v>9164</v>
      </c>
      <c r="C191" t="s">
        <v>9165</v>
      </c>
      <c r="D191" t="s">
        <v>9452</v>
      </c>
      <c r="E191" t="s">
        <v>8852</v>
      </c>
      <c r="F191" s="1">
        <v>45756</v>
      </c>
      <c r="G191" t="str">
        <f>"300381"</f>
        <v>300381</v>
      </c>
      <c r="H191" t="s">
        <v>3118</v>
      </c>
      <c r="I191">
        <v>49406.038</v>
      </c>
    </row>
    <row r="192" spans="1:9" x14ac:dyDescent="0.25">
      <c r="A192" t="s">
        <v>9164</v>
      </c>
      <c r="C192" t="s">
        <v>9165</v>
      </c>
      <c r="D192" t="s">
        <v>9453</v>
      </c>
      <c r="E192" t="s">
        <v>9454</v>
      </c>
      <c r="F192" s="1">
        <v>45762</v>
      </c>
      <c r="G192" t="str">
        <f>"300220"</f>
        <v>300220</v>
      </c>
      <c r="H192" t="s">
        <v>2170</v>
      </c>
      <c r="I192">
        <v>224572.65599999999</v>
      </c>
    </row>
    <row r="193" spans="1:9" x14ac:dyDescent="0.25">
      <c r="A193" t="s">
        <v>9164</v>
      </c>
      <c r="C193" t="s">
        <v>9165</v>
      </c>
      <c r="D193" t="s">
        <v>9455</v>
      </c>
      <c r="E193" t="s">
        <v>2172</v>
      </c>
      <c r="F193" s="1">
        <v>45764</v>
      </c>
      <c r="G193" t="str">
        <f>"300381"</f>
        <v>300381</v>
      </c>
      <c r="H193" t="s">
        <v>3118</v>
      </c>
      <c r="I193">
        <v>2799363.6660000002</v>
      </c>
    </row>
    <row r="194" spans="1:9" x14ac:dyDescent="0.25">
      <c r="A194" t="s">
        <v>9164</v>
      </c>
      <c r="C194" t="s">
        <v>9165</v>
      </c>
      <c r="D194" t="s">
        <v>9456</v>
      </c>
      <c r="F194" s="1">
        <v>45771</v>
      </c>
      <c r="G194" t="str">
        <f>"300154"</f>
        <v>300154</v>
      </c>
      <c r="H194" t="s">
        <v>1313</v>
      </c>
      <c r="I194">
        <v>223566.72</v>
      </c>
    </row>
    <row r="195" spans="1:9" x14ac:dyDescent="0.25">
      <c r="A195" t="s">
        <v>9164</v>
      </c>
      <c r="C195" t="s">
        <v>9165</v>
      </c>
      <c r="D195" t="s">
        <v>9457</v>
      </c>
      <c r="E195" t="s">
        <v>9458</v>
      </c>
      <c r="F195" s="1">
        <v>45775</v>
      </c>
      <c r="G195" t="str">
        <f>"300220"</f>
        <v>300220</v>
      </c>
      <c r="H195" t="s">
        <v>2170</v>
      </c>
      <c r="I195">
        <v>805.42</v>
      </c>
    </row>
    <row r="196" spans="1:9" x14ac:dyDescent="0.25">
      <c r="A196" t="s">
        <v>9164</v>
      </c>
      <c r="C196" t="s">
        <v>9165</v>
      </c>
      <c r="D196" t="s">
        <v>9459</v>
      </c>
      <c r="E196" t="s">
        <v>9460</v>
      </c>
      <c r="F196" s="1">
        <v>45785</v>
      </c>
      <c r="G196" t="str">
        <f>"300220"</f>
        <v>300220</v>
      </c>
      <c r="H196" t="s">
        <v>2170</v>
      </c>
      <c r="I196">
        <v>568569.40800000005</v>
      </c>
    </row>
    <row r="197" spans="1:9" x14ac:dyDescent="0.25">
      <c r="A197" t="s">
        <v>9164</v>
      </c>
      <c r="C197" t="s">
        <v>9165</v>
      </c>
      <c r="D197" t="s">
        <v>9461</v>
      </c>
      <c r="E197" t="s">
        <v>9462</v>
      </c>
      <c r="F197" s="1">
        <v>45791</v>
      </c>
      <c r="G197" t="str">
        <f>"300220"</f>
        <v>300220</v>
      </c>
      <c r="H197" t="s">
        <v>2170</v>
      </c>
      <c r="I197">
        <v>1329900</v>
      </c>
    </row>
    <row r="198" spans="1:9" x14ac:dyDescent="0.25">
      <c r="A198" t="s">
        <v>9164</v>
      </c>
      <c r="C198" t="s">
        <v>9165</v>
      </c>
      <c r="D198" t="s">
        <v>9463</v>
      </c>
      <c r="E198" t="s">
        <v>9464</v>
      </c>
      <c r="F198" s="1">
        <v>45791</v>
      </c>
      <c r="G198" t="str">
        <f>"300220"</f>
        <v>300220</v>
      </c>
      <c r="H198" t="s">
        <v>2170</v>
      </c>
      <c r="I198">
        <v>4672225.3600000003</v>
      </c>
    </row>
    <row r="199" spans="1:9" x14ac:dyDescent="0.25">
      <c r="A199" t="s">
        <v>9164</v>
      </c>
      <c r="C199" t="s">
        <v>9165</v>
      </c>
      <c r="D199" t="s">
        <v>9465</v>
      </c>
      <c r="E199" t="s">
        <v>9466</v>
      </c>
      <c r="F199" s="1">
        <v>45791</v>
      </c>
      <c r="G199" t="str">
        <f>"300381"</f>
        <v>300381</v>
      </c>
      <c r="H199" t="s">
        <v>3118</v>
      </c>
      <c r="I199">
        <v>1815000</v>
      </c>
    </row>
    <row r="200" spans="1:9" x14ac:dyDescent="0.25">
      <c r="A200" t="s">
        <v>9164</v>
      </c>
      <c r="C200" t="s">
        <v>9165</v>
      </c>
      <c r="D200" t="s">
        <v>9467</v>
      </c>
      <c r="F200" s="1">
        <v>45796</v>
      </c>
      <c r="G200" t="str">
        <f>"300154"</f>
        <v>300154</v>
      </c>
      <c r="H200" t="s">
        <v>1313</v>
      </c>
      <c r="I200">
        <v>335350.08</v>
      </c>
    </row>
    <row r="201" spans="1:9" x14ac:dyDescent="0.25">
      <c r="A201" t="s">
        <v>9164</v>
      </c>
      <c r="C201" t="s">
        <v>9165</v>
      </c>
      <c r="D201" t="s">
        <v>9468</v>
      </c>
      <c r="E201" t="s">
        <v>9382</v>
      </c>
      <c r="F201" s="1">
        <v>45810</v>
      </c>
      <c r="G201" t="str">
        <f>"300382"</f>
        <v>300382</v>
      </c>
      <c r="H201" t="s">
        <v>3119</v>
      </c>
      <c r="I201">
        <v>153847.74239999999</v>
      </c>
    </row>
    <row r="202" spans="1:9" x14ac:dyDescent="0.25">
      <c r="A202" t="s">
        <v>9164</v>
      </c>
      <c r="C202" t="s">
        <v>9165</v>
      </c>
      <c r="D202" t="s">
        <v>9469</v>
      </c>
      <c r="E202" t="s">
        <v>9470</v>
      </c>
      <c r="F202" s="1">
        <v>45812</v>
      </c>
      <c r="G202" t="str">
        <f>"300115"</f>
        <v>300115</v>
      </c>
      <c r="H202" t="s">
        <v>2938</v>
      </c>
      <c r="I202">
        <v>11654.775</v>
      </c>
    </row>
    <row r="203" spans="1:9" x14ac:dyDescent="0.25">
      <c r="A203" t="s">
        <v>9164</v>
      </c>
      <c r="C203" t="s">
        <v>9165</v>
      </c>
      <c r="D203" t="s">
        <v>9471</v>
      </c>
      <c r="E203" t="s">
        <v>8852</v>
      </c>
      <c r="F203" s="1">
        <v>45819</v>
      </c>
      <c r="G203" t="str">
        <f>"300381"</f>
        <v>300381</v>
      </c>
      <c r="H203" t="s">
        <v>3118</v>
      </c>
      <c r="I203">
        <v>29627.576000000001</v>
      </c>
    </row>
    <row r="204" spans="1:9" x14ac:dyDescent="0.25">
      <c r="A204" t="s">
        <v>9164</v>
      </c>
      <c r="C204" t="s">
        <v>9165</v>
      </c>
      <c r="D204" t="s">
        <v>9472</v>
      </c>
      <c r="E204" t="s">
        <v>9473</v>
      </c>
      <c r="F204" s="1">
        <v>45826</v>
      </c>
      <c r="G204" t="str">
        <f>"300115"</f>
        <v>300115</v>
      </c>
      <c r="H204" t="s">
        <v>2938</v>
      </c>
      <c r="I204">
        <v>2103309.1683999998</v>
      </c>
    </row>
    <row r="205" spans="1:9" x14ac:dyDescent="0.25">
      <c r="A205" t="s">
        <v>9164</v>
      </c>
      <c r="C205" t="s">
        <v>9165</v>
      </c>
      <c r="D205" t="s">
        <v>9474</v>
      </c>
      <c r="E205" t="s">
        <v>9475</v>
      </c>
      <c r="F205" s="1">
        <v>45828</v>
      </c>
      <c r="G205" t="str">
        <f>"300381"</f>
        <v>300381</v>
      </c>
      <c r="H205" t="s">
        <v>3118</v>
      </c>
      <c r="I205">
        <v>1783202.52</v>
      </c>
    </row>
    <row r="206" spans="1:9" x14ac:dyDescent="0.25">
      <c r="A206" t="s">
        <v>9164</v>
      </c>
      <c r="C206" t="s">
        <v>9165</v>
      </c>
      <c r="D206" t="s">
        <v>9476</v>
      </c>
      <c r="E206" t="s">
        <v>9112</v>
      </c>
      <c r="F206" s="1">
        <v>45831</v>
      </c>
      <c r="G206" t="str">
        <f>"300115"</f>
        <v>300115</v>
      </c>
      <c r="H206" t="s">
        <v>2938</v>
      </c>
      <c r="I206">
        <v>3665028.4065999999</v>
      </c>
    </row>
    <row r="207" spans="1:9" x14ac:dyDescent="0.25">
      <c r="A207" t="s">
        <v>9164</v>
      </c>
      <c r="C207" t="s">
        <v>9165</v>
      </c>
      <c r="D207" t="s">
        <v>9477</v>
      </c>
      <c r="E207" t="s">
        <v>9478</v>
      </c>
      <c r="F207" s="1">
        <v>45847</v>
      </c>
      <c r="G207" t="str">
        <f>"300115"</f>
        <v>300115</v>
      </c>
      <c r="H207" t="s">
        <v>2938</v>
      </c>
      <c r="I207">
        <v>756784.49</v>
      </c>
    </row>
    <row r="208" spans="1:9" x14ac:dyDescent="0.25">
      <c r="A208" t="s">
        <v>9164</v>
      </c>
      <c r="C208" t="s">
        <v>9165</v>
      </c>
      <c r="D208" t="s">
        <v>9479</v>
      </c>
      <c r="E208" t="s">
        <v>9480</v>
      </c>
      <c r="F208" s="1">
        <v>45848</v>
      </c>
      <c r="G208" t="str">
        <f>"300220"</f>
        <v>300220</v>
      </c>
      <c r="H208" t="s">
        <v>2170</v>
      </c>
      <c r="I208">
        <v>536800</v>
      </c>
    </row>
    <row r="209" spans="1:9" x14ac:dyDescent="0.25">
      <c r="A209" t="s">
        <v>9164</v>
      </c>
      <c r="C209" t="s">
        <v>9165</v>
      </c>
      <c r="D209" t="s">
        <v>9481</v>
      </c>
      <c r="E209" t="s">
        <v>9482</v>
      </c>
      <c r="F209" s="1">
        <v>45857</v>
      </c>
      <c r="G209" t="str">
        <f>"300220"</f>
        <v>300220</v>
      </c>
      <c r="H209" t="s">
        <v>2170</v>
      </c>
      <c r="I209">
        <v>3152131.7729000002</v>
      </c>
    </row>
    <row r="210" spans="1:9" x14ac:dyDescent="0.25">
      <c r="A210" t="s">
        <v>9164</v>
      </c>
      <c r="C210" t="s">
        <v>9165</v>
      </c>
      <c r="D210" t="s">
        <v>9483</v>
      </c>
      <c r="E210" t="s">
        <v>9484</v>
      </c>
      <c r="F210" s="1">
        <v>45866</v>
      </c>
      <c r="G210" t="str">
        <f>"300220"</f>
        <v>300220</v>
      </c>
      <c r="H210" t="s">
        <v>2170</v>
      </c>
      <c r="I210">
        <v>431457.4</v>
      </c>
    </row>
    <row r="211" spans="1:9" x14ac:dyDescent="0.25">
      <c r="A211" t="s">
        <v>9164</v>
      </c>
      <c r="C211" t="s">
        <v>9165</v>
      </c>
      <c r="D211" t="s">
        <v>9485</v>
      </c>
      <c r="E211" t="s">
        <v>9266</v>
      </c>
      <c r="F211" s="1">
        <v>45877</v>
      </c>
      <c r="G211" t="str">
        <f>"300115"</f>
        <v>300115</v>
      </c>
      <c r="H211" t="s">
        <v>2938</v>
      </c>
      <c r="I211">
        <v>120114.32399999999</v>
      </c>
    </row>
    <row r="212" spans="1:9" x14ac:dyDescent="0.25">
      <c r="A212" t="s">
        <v>9164</v>
      </c>
      <c r="C212" t="s">
        <v>9165</v>
      </c>
      <c r="D212" t="s">
        <v>9486</v>
      </c>
      <c r="E212" t="s">
        <v>9475</v>
      </c>
      <c r="F212" s="1">
        <v>45877</v>
      </c>
      <c r="G212" t="str">
        <f>"300381"</f>
        <v>300381</v>
      </c>
      <c r="H212" t="s">
        <v>3118</v>
      </c>
      <c r="I212">
        <v>941600</v>
      </c>
    </row>
    <row r="213" spans="1:9" x14ac:dyDescent="0.25">
      <c r="A213" t="s">
        <v>9164</v>
      </c>
      <c r="C213" t="s">
        <v>9165</v>
      </c>
      <c r="D213" t="s">
        <v>9487</v>
      </c>
      <c r="E213" t="s">
        <v>2793</v>
      </c>
      <c r="F213" s="1">
        <v>45884</v>
      </c>
      <c r="G213" t="str">
        <f>"300381"</f>
        <v>300381</v>
      </c>
      <c r="H213" t="s">
        <v>3118</v>
      </c>
      <c r="I213">
        <v>1930014.1006</v>
      </c>
    </row>
    <row r="214" spans="1:9" x14ac:dyDescent="0.25">
      <c r="A214" t="s">
        <v>9164</v>
      </c>
      <c r="C214" t="s">
        <v>9165</v>
      </c>
      <c r="D214" t="s">
        <v>9488</v>
      </c>
      <c r="E214" t="s">
        <v>9438</v>
      </c>
      <c r="F214" s="1">
        <v>45887</v>
      </c>
      <c r="G214" t="str">
        <f>"300220"</f>
        <v>300220</v>
      </c>
      <c r="H214" t="s">
        <v>2170</v>
      </c>
      <c r="I214">
        <v>1045000</v>
      </c>
    </row>
    <row r="215" spans="1:9" x14ac:dyDescent="0.25">
      <c r="A215" t="s">
        <v>9164</v>
      </c>
      <c r="C215" t="s">
        <v>9165</v>
      </c>
      <c r="D215" t="s">
        <v>9489</v>
      </c>
      <c r="E215" t="s">
        <v>9475</v>
      </c>
      <c r="F215" s="1">
        <v>45888</v>
      </c>
      <c r="G215" t="str">
        <f>"300381"</f>
        <v>300381</v>
      </c>
      <c r="H215" t="s">
        <v>3118</v>
      </c>
      <c r="I215">
        <v>72341.275599999994</v>
      </c>
    </row>
    <row r="216" spans="1:9" x14ac:dyDescent="0.25">
      <c r="A216" t="s">
        <v>9164</v>
      </c>
      <c r="C216" t="s">
        <v>9165</v>
      </c>
      <c r="D216" t="s">
        <v>9490</v>
      </c>
      <c r="E216" t="s">
        <v>9386</v>
      </c>
      <c r="F216" s="1">
        <v>45909</v>
      </c>
      <c r="G216" t="str">
        <f>"300220"</f>
        <v>300220</v>
      </c>
      <c r="H216" t="s">
        <v>2170</v>
      </c>
      <c r="I216">
        <v>1048068.12</v>
      </c>
    </row>
    <row r="217" spans="1:9" x14ac:dyDescent="0.25">
      <c r="A217" t="s">
        <v>9164</v>
      </c>
      <c r="C217" t="s">
        <v>9165</v>
      </c>
      <c r="D217" t="s">
        <v>9491</v>
      </c>
      <c r="E217" t="s">
        <v>9492</v>
      </c>
      <c r="F217" s="1">
        <v>45916</v>
      </c>
      <c r="G217" t="str">
        <f>"300381"</f>
        <v>300381</v>
      </c>
      <c r="H217" t="s">
        <v>3118</v>
      </c>
      <c r="I217">
        <v>333907.20000000001</v>
      </c>
    </row>
    <row r="218" spans="1:9" x14ac:dyDescent="0.25">
      <c r="A218" t="s">
        <v>9164</v>
      </c>
      <c r="C218" t="s">
        <v>9165</v>
      </c>
      <c r="D218" t="s">
        <v>9493</v>
      </c>
      <c r="E218" t="s">
        <v>8903</v>
      </c>
      <c r="F218" s="1">
        <v>45919</v>
      </c>
      <c r="G218" t="str">
        <f>"300115"</f>
        <v>300115</v>
      </c>
      <c r="H218" t="s">
        <v>2938</v>
      </c>
      <c r="I218">
        <v>130517.01300000001</v>
      </c>
    </row>
    <row r="219" spans="1:9" x14ac:dyDescent="0.25">
      <c r="A219" t="s">
        <v>9164</v>
      </c>
      <c r="C219" t="s">
        <v>9165</v>
      </c>
      <c r="D219" t="s">
        <v>9494</v>
      </c>
      <c r="E219" t="s">
        <v>9495</v>
      </c>
      <c r="F219" s="1">
        <v>45922</v>
      </c>
      <c r="G219" t="str">
        <f>"300115"</f>
        <v>300115</v>
      </c>
      <c r="H219" t="s">
        <v>2938</v>
      </c>
      <c r="I219">
        <v>1067220</v>
      </c>
    </row>
    <row r="220" spans="1:9" x14ac:dyDescent="0.25">
      <c r="A220" t="s">
        <v>9164</v>
      </c>
      <c r="C220" t="s">
        <v>9165</v>
      </c>
      <c r="D220" t="s">
        <v>9496</v>
      </c>
      <c r="E220" t="s">
        <v>9497</v>
      </c>
      <c r="F220" s="1">
        <v>45936</v>
      </c>
      <c r="G220" t="str">
        <f>"300381"</f>
        <v>300381</v>
      </c>
      <c r="H220" t="s">
        <v>3118</v>
      </c>
      <c r="I220">
        <v>899800</v>
      </c>
    </row>
    <row r="221" spans="1:9" x14ac:dyDescent="0.25">
      <c r="A221" t="s">
        <v>9164</v>
      </c>
      <c r="C221" t="s">
        <v>9165</v>
      </c>
      <c r="D221" t="s">
        <v>9498</v>
      </c>
      <c r="E221" t="s">
        <v>8852</v>
      </c>
      <c r="F221" s="1">
        <v>45943</v>
      </c>
      <c r="G221" t="str">
        <f>"300381"</f>
        <v>300381</v>
      </c>
      <c r="H221" t="s">
        <v>3118</v>
      </c>
      <c r="I221">
        <v>183300.579</v>
      </c>
    </row>
    <row r="222" spans="1:9" x14ac:dyDescent="0.25">
      <c r="A222" t="s">
        <v>9164</v>
      </c>
      <c r="C222" t="s">
        <v>9165</v>
      </c>
      <c r="D222" t="s">
        <v>9499</v>
      </c>
      <c r="E222" t="s">
        <v>9438</v>
      </c>
      <c r="F222" s="1">
        <v>45965</v>
      </c>
      <c r="G222" t="str">
        <f>"300220"</f>
        <v>300220</v>
      </c>
      <c r="H222" t="s">
        <v>2170</v>
      </c>
      <c r="I222">
        <v>158721.37710000001</v>
      </c>
    </row>
    <row r="223" spans="1:9" x14ac:dyDescent="0.25">
      <c r="A223" t="s">
        <v>9164</v>
      </c>
      <c r="C223" t="s">
        <v>9165</v>
      </c>
      <c r="D223" t="s">
        <v>9504</v>
      </c>
      <c r="E223" t="s">
        <v>8852</v>
      </c>
      <c r="F223" s="1">
        <v>45974</v>
      </c>
      <c r="G223" t="str">
        <f>"300381"</f>
        <v>300381</v>
      </c>
      <c r="H223" t="s">
        <v>3118</v>
      </c>
      <c r="I223">
        <v>297330</v>
      </c>
    </row>
    <row r="224" spans="1:9" x14ac:dyDescent="0.25">
      <c r="A224" t="s">
        <v>9164</v>
      </c>
      <c r="C224" t="s">
        <v>9165</v>
      </c>
      <c r="D224" t="s">
        <v>9505</v>
      </c>
      <c r="E224" t="s">
        <v>9506</v>
      </c>
      <c r="F224" s="1">
        <v>45987</v>
      </c>
      <c r="G224" t="str">
        <f>"300064"</f>
        <v>300064</v>
      </c>
      <c r="H224" t="s">
        <v>2896</v>
      </c>
      <c r="I224">
        <v>10128</v>
      </c>
    </row>
    <row r="225" spans="1:9" x14ac:dyDescent="0.25">
      <c r="A225" t="s">
        <v>9164</v>
      </c>
      <c r="C225" t="s">
        <v>9165</v>
      </c>
      <c r="D225" t="s">
        <v>9507</v>
      </c>
      <c r="E225" t="s">
        <v>2793</v>
      </c>
      <c r="F225" s="1">
        <v>45987</v>
      </c>
      <c r="G225" t="str">
        <f>"300381"</f>
        <v>300381</v>
      </c>
      <c r="H225" t="s">
        <v>3118</v>
      </c>
      <c r="I225">
        <v>887558.1</v>
      </c>
    </row>
    <row r="226" spans="1:9" x14ac:dyDescent="0.25">
      <c r="A226" t="s">
        <v>9164</v>
      </c>
      <c r="C226" t="s">
        <v>9165</v>
      </c>
      <c r="D226" t="s">
        <v>9509</v>
      </c>
      <c r="E226" t="s">
        <v>8852</v>
      </c>
      <c r="F226" s="1">
        <v>46028</v>
      </c>
      <c r="G226" t="str">
        <f>"300381"</f>
        <v>300381</v>
      </c>
      <c r="H226" t="s">
        <v>3118</v>
      </c>
      <c r="I226">
        <v>1777809.4861999999</v>
      </c>
    </row>
    <row r="227" spans="1:9" x14ac:dyDescent="0.25">
      <c r="A227" t="s">
        <v>9164</v>
      </c>
      <c r="C227" t="s">
        <v>9165</v>
      </c>
      <c r="D227" t="s">
        <v>9510</v>
      </c>
      <c r="E227" t="s">
        <v>8852</v>
      </c>
      <c r="F227" s="1">
        <v>46051</v>
      </c>
      <c r="G227" t="str">
        <f>"300381"</f>
        <v>300381</v>
      </c>
      <c r="H227" t="s">
        <v>3118</v>
      </c>
      <c r="I227">
        <v>173491.7635</v>
      </c>
    </row>
    <row r="228" spans="1:9" x14ac:dyDescent="0.25">
      <c r="A228" t="s">
        <v>9164</v>
      </c>
      <c r="C228" t="s">
        <v>9165</v>
      </c>
      <c r="D228" t="s">
        <v>9513</v>
      </c>
      <c r="E228" t="s">
        <v>9438</v>
      </c>
      <c r="F228" s="1">
        <v>46078</v>
      </c>
      <c r="G228" t="str">
        <f>"300115"</f>
        <v>300115</v>
      </c>
      <c r="H228" t="s">
        <v>2938</v>
      </c>
      <c r="I228">
        <v>536310.027</v>
      </c>
    </row>
    <row r="229" spans="1:9" x14ac:dyDescent="0.25">
      <c r="A229" t="s">
        <v>9164</v>
      </c>
      <c r="C229" t="s">
        <v>9165</v>
      </c>
      <c r="D229" t="s">
        <v>9516</v>
      </c>
      <c r="E229" t="s">
        <v>9517</v>
      </c>
      <c r="F229" s="1">
        <v>46085</v>
      </c>
      <c r="G229" t="str">
        <f>"300381"</f>
        <v>300381</v>
      </c>
      <c r="H229" t="s">
        <v>3118</v>
      </c>
      <c r="I229">
        <v>3457484.7999999998</v>
      </c>
    </row>
    <row r="230" spans="1:9" x14ac:dyDescent="0.25">
      <c r="A230" t="s">
        <v>9164</v>
      </c>
      <c r="C230" t="s">
        <v>9165</v>
      </c>
      <c r="D230" t="s">
        <v>9518</v>
      </c>
      <c r="E230" t="s">
        <v>9519</v>
      </c>
      <c r="F230" s="1">
        <v>46090</v>
      </c>
      <c r="G230" t="str">
        <f>"300133"</f>
        <v>300133</v>
      </c>
      <c r="H230" t="s">
        <v>2955</v>
      </c>
      <c r="I230">
        <v>26395.599999999999</v>
      </c>
    </row>
    <row r="231" spans="1:9" x14ac:dyDescent="0.25">
      <c r="A231" t="s">
        <v>9164</v>
      </c>
      <c r="C231" t="s">
        <v>9165</v>
      </c>
      <c r="D231" t="s">
        <v>9521</v>
      </c>
      <c r="E231" t="s">
        <v>9297</v>
      </c>
      <c r="F231" s="1">
        <v>46104</v>
      </c>
      <c r="G231" t="str">
        <f>"300115"</f>
        <v>300115</v>
      </c>
      <c r="H231" t="s">
        <v>2938</v>
      </c>
      <c r="I231">
        <v>367400</v>
      </c>
    </row>
    <row r="232" spans="1:9" x14ac:dyDescent="0.25">
      <c r="A232" t="s">
        <v>9164</v>
      </c>
      <c r="C232" t="s">
        <v>9165</v>
      </c>
      <c r="D232" t="s">
        <v>9523</v>
      </c>
      <c r="E232" t="s">
        <v>9524</v>
      </c>
      <c r="F232" s="1">
        <v>46111</v>
      </c>
      <c r="G232" t="str">
        <f>"300133"</f>
        <v>300133</v>
      </c>
      <c r="H232" t="s">
        <v>2955</v>
      </c>
      <c r="I232">
        <v>202045.6</v>
      </c>
    </row>
    <row r="233" spans="1:9" x14ac:dyDescent="0.25">
      <c r="A233" t="s">
        <v>9164</v>
      </c>
      <c r="C233" t="s">
        <v>9165</v>
      </c>
      <c r="D233" t="s">
        <v>9525</v>
      </c>
      <c r="E233" t="s">
        <v>9526</v>
      </c>
      <c r="F233" s="1">
        <v>46111</v>
      </c>
      <c r="G233" t="str">
        <f>"300220"</f>
        <v>300220</v>
      </c>
      <c r="H233" t="s">
        <v>2170</v>
      </c>
      <c r="I233">
        <v>3366000</v>
      </c>
    </row>
    <row r="234" spans="1:9" x14ac:dyDescent="0.25">
      <c r="A234" t="s">
        <v>9164</v>
      </c>
      <c r="C234" t="s">
        <v>9165</v>
      </c>
      <c r="D234" t="s">
        <v>9527</v>
      </c>
      <c r="E234" t="s">
        <v>9528</v>
      </c>
      <c r="F234" s="1">
        <v>46111</v>
      </c>
      <c r="G234" t="str">
        <f>"300220"</f>
        <v>300220</v>
      </c>
      <c r="H234" t="s">
        <v>2170</v>
      </c>
      <c r="I234">
        <v>1679700</v>
      </c>
    </row>
    <row r="235" spans="1:9" x14ac:dyDescent="0.25">
      <c r="A235" t="s">
        <v>9164</v>
      </c>
      <c r="C235" t="s">
        <v>9165</v>
      </c>
      <c r="D235" t="s">
        <v>9529</v>
      </c>
      <c r="E235" t="s">
        <v>9530</v>
      </c>
      <c r="F235" s="1">
        <v>46111</v>
      </c>
      <c r="G235" t="str">
        <f>"300381"</f>
        <v>300381</v>
      </c>
      <c r="H235" t="s">
        <v>3118</v>
      </c>
      <c r="I235">
        <v>1567500</v>
      </c>
    </row>
    <row r="236" spans="1:9" x14ac:dyDescent="0.25">
      <c r="A236" t="s">
        <v>9164</v>
      </c>
      <c r="C236" t="s">
        <v>9165</v>
      </c>
      <c r="D236" t="s">
        <v>9542</v>
      </c>
      <c r="E236" t="s">
        <v>9543</v>
      </c>
      <c r="F236" s="1">
        <v>46119</v>
      </c>
      <c r="G236" t="str">
        <f>"300064"</f>
        <v>300064</v>
      </c>
      <c r="H236" t="s">
        <v>2896</v>
      </c>
      <c r="I236">
        <v>5</v>
      </c>
    </row>
    <row r="237" spans="1:9" x14ac:dyDescent="0.25">
      <c r="A237" t="s">
        <v>9164</v>
      </c>
      <c r="C237" t="s">
        <v>9165</v>
      </c>
      <c r="D237" t="s">
        <v>9544</v>
      </c>
      <c r="E237" t="s">
        <v>9545</v>
      </c>
      <c r="F237" s="1">
        <v>46119</v>
      </c>
      <c r="G237" t="str">
        <f>"300220"</f>
        <v>300220</v>
      </c>
      <c r="H237" t="s">
        <v>2170</v>
      </c>
      <c r="I237">
        <v>95000</v>
      </c>
    </row>
    <row r="238" spans="1:9" x14ac:dyDescent="0.25">
      <c r="A238" t="s">
        <v>9164</v>
      </c>
      <c r="C238" t="s">
        <v>9165</v>
      </c>
      <c r="D238" t="s">
        <v>9558</v>
      </c>
      <c r="E238" t="s">
        <v>9559</v>
      </c>
      <c r="F238" s="1">
        <v>46125</v>
      </c>
      <c r="G238" t="str">
        <f>"300064"</f>
        <v>300064</v>
      </c>
      <c r="H238" t="s">
        <v>2896</v>
      </c>
      <c r="I238">
        <v>170235.51999999999</v>
      </c>
    </row>
    <row r="239" spans="1:9" x14ac:dyDescent="0.25">
      <c r="A239" t="s">
        <v>9164</v>
      </c>
      <c r="C239" t="s">
        <v>9165</v>
      </c>
      <c r="D239" t="s">
        <v>9581</v>
      </c>
      <c r="E239" s="2">
        <v>46116</v>
      </c>
      <c r="F239" s="1">
        <v>46135</v>
      </c>
      <c r="G239" t="str">
        <f>"300064"</f>
        <v>300064</v>
      </c>
      <c r="H239" t="s">
        <v>2896</v>
      </c>
      <c r="I239">
        <v>196145.04</v>
      </c>
    </row>
    <row r="240" spans="1:9" x14ac:dyDescent="0.25">
      <c r="A240" t="s">
        <v>9164</v>
      </c>
      <c r="C240" t="s">
        <v>9165</v>
      </c>
      <c r="D240" t="s">
        <v>9584</v>
      </c>
      <c r="E240" t="s">
        <v>9159</v>
      </c>
      <c r="F240" s="1">
        <v>46136</v>
      </c>
      <c r="G240" t="str">
        <f>"300381"</f>
        <v>300381</v>
      </c>
      <c r="H240" t="s">
        <v>3118</v>
      </c>
      <c r="I240">
        <v>1221990.088</v>
      </c>
    </row>
    <row r="241" spans="1:9" x14ac:dyDescent="0.25">
      <c r="A241" t="s">
        <v>9164</v>
      </c>
      <c r="C241" t="s">
        <v>9165</v>
      </c>
      <c r="D241" t="s">
        <v>9585</v>
      </c>
      <c r="E241" t="s">
        <v>9586</v>
      </c>
      <c r="F241" s="1">
        <v>46139</v>
      </c>
      <c r="G241" t="str">
        <f>"300133"</f>
        <v>300133</v>
      </c>
      <c r="H241" t="s">
        <v>2955</v>
      </c>
      <c r="I241">
        <v>38500</v>
      </c>
    </row>
    <row r="242" spans="1:9" x14ac:dyDescent="0.25">
      <c r="A242" t="s">
        <v>9164</v>
      </c>
      <c r="C242" t="s">
        <v>9165</v>
      </c>
      <c r="D242" t="s">
        <v>9588</v>
      </c>
      <c r="E242" t="s">
        <v>9386</v>
      </c>
      <c r="F242" s="1">
        <v>46139</v>
      </c>
      <c r="G242" t="str">
        <f>"300220"</f>
        <v>300220</v>
      </c>
      <c r="H242" t="s">
        <v>2170</v>
      </c>
      <c r="I242">
        <v>6050000</v>
      </c>
    </row>
    <row r="243" spans="1:9" x14ac:dyDescent="0.25">
      <c r="A243" t="s">
        <v>9164</v>
      </c>
      <c r="C243" t="s">
        <v>9165</v>
      </c>
      <c r="D243" t="s">
        <v>9589</v>
      </c>
      <c r="E243" t="s">
        <v>9590</v>
      </c>
      <c r="F243" s="1">
        <v>46140</v>
      </c>
      <c r="G243" t="str">
        <f>"300115"</f>
        <v>300115</v>
      </c>
      <c r="H243" t="s">
        <v>2938</v>
      </c>
      <c r="I243">
        <v>5830000</v>
      </c>
    </row>
    <row r="244" spans="1:9" x14ac:dyDescent="0.25">
      <c r="A244" t="s">
        <v>9164</v>
      </c>
      <c r="C244" t="s">
        <v>9165</v>
      </c>
      <c r="D244" t="s">
        <v>9599</v>
      </c>
      <c r="E244" t="s">
        <v>9337</v>
      </c>
      <c r="F244" s="1">
        <v>46148</v>
      </c>
      <c r="G244" t="str">
        <f>"300080"</f>
        <v>300080</v>
      </c>
      <c r="H244" t="s">
        <v>2907</v>
      </c>
      <c r="I244">
        <v>1200000</v>
      </c>
    </row>
    <row r="245" spans="1:9" x14ac:dyDescent="0.25">
      <c r="A245" t="s">
        <v>9164</v>
      </c>
      <c r="C245" t="s">
        <v>9165</v>
      </c>
      <c r="D245" t="s">
        <v>9600</v>
      </c>
      <c r="E245" t="s">
        <v>9562</v>
      </c>
      <c r="F245" s="1">
        <v>46148</v>
      </c>
      <c r="G245" t="str">
        <f>"300133"</f>
        <v>300133</v>
      </c>
      <c r="H245" t="s">
        <v>2955</v>
      </c>
      <c r="I245">
        <v>58521.599999999999</v>
      </c>
    </row>
    <row r="246" spans="1:9" x14ac:dyDescent="0.25">
      <c r="A246" t="s">
        <v>9164</v>
      </c>
      <c r="C246" t="s">
        <v>9165</v>
      </c>
      <c r="D246" t="s">
        <v>9603</v>
      </c>
      <c r="E246" t="s">
        <v>9604</v>
      </c>
      <c r="F246" s="1">
        <v>46153</v>
      </c>
      <c r="G246" t="str">
        <f>"300115"</f>
        <v>300115</v>
      </c>
      <c r="H246" t="s">
        <v>2938</v>
      </c>
      <c r="I246">
        <v>214984</v>
      </c>
    </row>
    <row r="247" spans="1:9" x14ac:dyDescent="0.25">
      <c r="A247" t="s">
        <v>9164</v>
      </c>
      <c r="C247" t="s">
        <v>9165</v>
      </c>
      <c r="D247" t="s">
        <v>9606</v>
      </c>
      <c r="E247" t="s">
        <v>9607</v>
      </c>
      <c r="F247" s="1">
        <v>46153</v>
      </c>
      <c r="G247" t="str">
        <f>"300588"</f>
        <v>300588</v>
      </c>
      <c r="H247" t="s">
        <v>529</v>
      </c>
      <c r="I247">
        <v>1.0072000000000001</v>
      </c>
    </row>
    <row r="248" spans="1:9" x14ac:dyDescent="0.25">
      <c r="A248" t="s">
        <v>9164</v>
      </c>
      <c r="C248" t="s">
        <v>9165</v>
      </c>
      <c r="D248" t="s">
        <v>9609</v>
      </c>
      <c r="E248" t="s">
        <v>9562</v>
      </c>
      <c r="F248" s="1">
        <v>46155</v>
      </c>
      <c r="G248" t="str">
        <f>"300133"</f>
        <v>300133</v>
      </c>
      <c r="H248" t="s">
        <v>2955</v>
      </c>
      <c r="I248">
        <v>73382.399999999994</v>
      </c>
    </row>
    <row r="249" spans="1:9" x14ac:dyDescent="0.25">
      <c r="A249" t="s">
        <v>9164</v>
      </c>
      <c r="C249" t="s">
        <v>9165</v>
      </c>
      <c r="D249" t="s">
        <v>9612</v>
      </c>
      <c r="E249" t="s">
        <v>9613</v>
      </c>
      <c r="F249" s="1">
        <v>46177</v>
      </c>
      <c r="G249" t="str">
        <f>"300115"</f>
        <v>300115</v>
      </c>
      <c r="H249" t="s">
        <v>2938</v>
      </c>
      <c r="I249">
        <v>4652.2475999999997</v>
      </c>
    </row>
    <row r="250" spans="1:9" x14ac:dyDescent="0.25">
      <c r="A250" t="s">
        <v>9164</v>
      </c>
      <c r="C250" t="s">
        <v>9165</v>
      </c>
      <c r="D250" t="s">
        <v>9614</v>
      </c>
      <c r="E250" t="s">
        <v>9615</v>
      </c>
      <c r="F250" s="1">
        <v>46177</v>
      </c>
      <c r="G250" t="str">
        <f>"300133"</f>
        <v>300133</v>
      </c>
      <c r="H250" t="s">
        <v>2955</v>
      </c>
      <c r="I250">
        <v>83584.5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1FD8-647A-4C72-8D05-FEA2DC39E779}">
  <dimension ref="A3:A155"/>
  <sheetViews>
    <sheetView workbookViewId="0">
      <selection activeCell="A3" sqref="A3"/>
    </sheetView>
  </sheetViews>
  <sheetFormatPr baseColWidth="10" defaultRowHeight="15" x14ac:dyDescent="0.25"/>
  <cols>
    <col min="1" max="1" width="23" bestFit="1" customWidth="1"/>
  </cols>
  <sheetData>
    <row r="3" spans="1:1" x14ac:dyDescent="0.25">
      <c r="A3" s="14" t="s">
        <v>13094</v>
      </c>
    </row>
    <row r="4" spans="1:1" x14ac:dyDescent="0.25">
      <c r="A4" s="15" t="s">
        <v>9165</v>
      </c>
    </row>
    <row r="5" spans="1:1" x14ac:dyDescent="0.25">
      <c r="A5" s="16" t="s">
        <v>8903</v>
      </c>
    </row>
    <row r="6" spans="1:1" x14ac:dyDescent="0.25">
      <c r="A6" s="16" t="s">
        <v>9297</v>
      </c>
    </row>
    <row r="7" spans="1:1" x14ac:dyDescent="0.25">
      <c r="A7" s="16" t="s">
        <v>9237</v>
      </c>
    </row>
    <row r="8" spans="1:1" x14ac:dyDescent="0.25">
      <c r="A8" s="16" t="s">
        <v>9431</v>
      </c>
    </row>
    <row r="9" spans="1:1" x14ac:dyDescent="0.25">
      <c r="A9" s="16" t="s">
        <v>9495</v>
      </c>
    </row>
    <row r="10" spans="1:1" x14ac:dyDescent="0.25">
      <c r="A10" s="16" t="s">
        <v>9279</v>
      </c>
    </row>
    <row r="11" spans="1:1" x14ac:dyDescent="0.25">
      <c r="A11" s="16" t="s">
        <v>9337</v>
      </c>
    </row>
    <row r="12" spans="1:1" x14ac:dyDescent="0.25">
      <c r="A12" s="16" t="s">
        <v>9454</v>
      </c>
    </row>
    <row r="13" spans="1:1" x14ac:dyDescent="0.25">
      <c r="A13" s="16" t="s">
        <v>9376</v>
      </c>
    </row>
    <row r="14" spans="1:1" x14ac:dyDescent="0.25">
      <c r="A14" s="16" t="s">
        <v>9528</v>
      </c>
    </row>
    <row r="15" spans="1:1" x14ac:dyDescent="0.25">
      <c r="A15" s="16" t="s">
        <v>9395</v>
      </c>
    </row>
    <row r="16" spans="1:1" x14ac:dyDescent="0.25">
      <c r="A16" s="16" t="s">
        <v>9526</v>
      </c>
    </row>
    <row r="17" spans="1:1" x14ac:dyDescent="0.25">
      <c r="A17" s="16" t="s">
        <v>9484</v>
      </c>
    </row>
    <row r="18" spans="1:1" x14ac:dyDescent="0.25">
      <c r="A18" s="16" t="s">
        <v>9398</v>
      </c>
    </row>
    <row r="19" spans="1:1" x14ac:dyDescent="0.25">
      <c r="A19" s="16" t="s">
        <v>9423</v>
      </c>
    </row>
    <row r="20" spans="1:1" x14ac:dyDescent="0.25">
      <c r="A20" s="16" t="s">
        <v>9480</v>
      </c>
    </row>
    <row r="21" spans="1:1" x14ac:dyDescent="0.25">
      <c r="A21" s="16" t="s">
        <v>9482</v>
      </c>
    </row>
    <row r="22" spans="1:1" x14ac:dyDescent="0.25">
      <c r="A22" s="16" t="s">
        <v>9466</v>
      </c>
    </row>
    <row r="23" spans="1:1" x14ac:dyDescent="0.25">
      <c r="A23" s="16" t="s">
        <v>9393</v>
      </c>
    </row>
    <row r="24" spans="1:1" x14ac:dyDescent="0.25">
      <c r="A24" s="16" t="s">
        <v>9384</v>
      </c>
    </row>
    <row r="25" spans="1:1" x14ac:dyDescent="0.25">
      <c r="A25" s="16" t="s">
        <v>9386</v>
      </c>
    </row>
    <row r="26" spans="1:1" x14ac:dyDescent="0.25">
      <c r="A26" s="16" t="s">
        <v>9371</v>
      </c>
    </row>
    <row r="27" spans="1:1" x14ac:dyDescent="0.25">
      <c r="A27" s="16" t="s">
        <v>9239</v>
      </c>
    </row>
    <row r="28" spans="1:1" x14ac:dyDescent="0.25">
      <c r="A28" s="16" t="s">
        <v>9343</v>
      </c>
    </row>
    <row r="29" spans="1:1" x14ac:dyDescent="0.25">
      <c r="A29" s="16" t="s">
        <v>9428</v>
      </c>
    </row>
    <row r="30" spans="1:1" x14ac:dyDescent="0.25">
      <c r="A30" s="16" t="s">
        <v>9590</v>
      </c>
    </row>
    <row r="31" spans="1:1" x14ac:dyDescent="0.25">
      <c r="A31" s="16" t="s">
        <v>9473</v>
      </c>
    </row>
    <row r="32" spans="1:1" x14ac:dyDescent="0.25">
      <c r="A32" s="16" t="s">
        <v>9464</v>
      </c>
    </row>
    <row r="33" spans="1:1" x14ac:dyDescent="0.25">
      <c r="A33" s="16" t="s">
        <v>9235</v>
      </c>
    </row>
    <row r="34" spans="1:1" x14ac:dyDescent="0.25">
      <c r="A34" s="16" t="s">
        <v>9355</v>
      </c>
    </row>
    <row r="35" spans="1:1" x14ac:dyDescent="0.25">
      <c r="A35" s="16" t="s">
        <v>9545</v>
      </c>
    </row>
    <row r="36" spans="1:1" x14ac:dyDescent="0.25">
      <c r="A36" s="16" t="s">
        <v>9291</v>
      </c>
    </row>
    <row r="37" spans="1:1" x14ac:dyDescent="0.25">
      <c r="A37" s="16" t="s">
        <v>9295</v>
      </c>
    </row>
    <row r="38" spans="1:1" x14ac:dyDescent="0.25">
      <c r="A38" s="16" t="s">
        <v>9382</v>
      </c>
    </row>
    <row r="39" spans="1:1" x14ac:dyDescent="0.25">
      <c r="A39" s="16" t="s">
        <v>9400</v>
      </c>
    </row>
    <row r="40" spans="1:1" x14ac:dyDescent="0.25">
      <c r="A40" s="16" t="s">
        <v>9402</v>
      </c>
    </row>
    <row r="41" spans="1:1" x14ac:dyDescent="0.25">
      <c r="A41" s="16" t="s">
        <v>9404</v>
      </c>
    </row>
    <row r="42" spans="1:1" x14ac:dyDescent="0.25">
      <c r="A42" s="16" t="s">
        <v>9406</v>
      </c>
    </row>
    <row r="43" spans="1:1" x14ac:dyDescent="0.25">
      <c r="A43" s="16" t="s">
        <v>9199</v>
      </c>
    </row>
    <row r="44" spans="1:1" x14ac:dyDescent="0.25">
      <c r="A44" s="16" t="s">
        <v>9615</v>
      </c>
    </row>
    <row r="45" spans="1:1" x14ac:dyDescent="0.25">
      <c r="A45" s="16" t="s">
        <v>9604</v>
      </c>
    </row>
    <row r="46" spans="1:1" x14ac:dyDescent="0.25">
      <c r="A46" s="16" t="s">
        <v>9451</v>
      </c>
    </row>
    <row r="47" spans="1:1" x14ac:dyDescent="0.25">
      <c r="A47" s="16" t="s">
        <v>9409</v>
      </c>
    </row>
    <row r="48" spans="1:1" x14ac:dyDescent="0.25">
      <c r="A48" s="16" t="s">
        <v>9607</v>
      </c>
    </row>
    <row r="49" spans="1:1" x14ac:dyDescent="0.25">
      <c r="A49" s="16" t="s">
        <v>8967</v>
      </c>
    </row>
    <row r="50" spans="1:1" x14ac:dyDescent="0.25">
      <c r="A50" s="16" t="s">
        <v>9443</v>
      </c>
    </row>
    <row r="51" spans="1:1" x14ac:dyDescent="0.25">
      <c r="A51" s="16" t="s">
        <v>9586</v>
      </c>
    </row>
    <row r="52" spans="1:1" x14ac:dyDescent="0.25">
      <c r="A52" s="16" t="s">
        <v>9524</v>
      </c>
    </row>
    <row r="53" spans="1:1" x14ac:dyDescent="0.25">
      <c r="A53" s="16" t="s">
        <v>9562</v>
      </c>
    </row>
    <row r="54" spans="1:1" x14ac:dyDescent="0.25">
      <c r="A54" s="16" t="s">
        <v>9543</v>
      </c>
    </row>
    <row r="55" spans="1:1" x14ac:dyDescent="0.25">
      <c r="A55" s="16" t="s">
        <v>9559</v>
      </c>
    </row>
    <row r="56" spans="1:1" x14ac:dyDescent="0.25">
      <c r="A56" s="16" t="s">
        <v>9348</v>
      </c>
    </row>
    <row r="57" spans="1:1" x14ac:dyDescent="0.25">
      <c r="A57" s="16" t="s">
        <v>9329</v>
      </c>
    </row>
    <row r="58" spans="1:1" x14ac:dyDescent="0.25">
      <c r="A58" s="16" t="s">
        <v>9221</v>
      </c>
    </row>
    <row r="59" spans="1:1" x14ac:dyDescent="0.25">
      <c r="A59" s="16" t="s">
        <v>9194</v>
      </c>
    </row>
    <row r="60" spans="1:1" x14ac:dyDescent="0.25">
      <c r="A60" s="16" t="s">
        <v>9519</v>
      </c>
    </row>
    <row r="61" spans="1:1" x14ac:dyDescent="0.25">
      <c r="A61" s="16" t="s">
        <v>9170</v>
      </c>
    </row>
    <row r="62" spans="1:1" x14ac:dyDescent="0.25">
      <c r="A62" s="16" t="s">
        <v>9181</v>
      </c>
    </row>
    <row r="63" spans="1:1" x14ac:dyDescent="0.25">
      <c r="A63" s="16" t="s">
        <v>9243</v>
      </c>
    </row>
    <row r="64" spans="1:1" x14ac:dyDescent="0.25">
      <c r="A64" s="16" t="s">
        <v>9112</v>
      </c>
    </row>
    <row r="65" spans="1:1" x14ac:dyDescent="0.25">
      <c r="A65" s="16" t="s">
        <v>9319</v>
      </c>
    </row>
    <row r="66" spans="1:1" x14ac:dyDescent="0.25">
      <c r="A66" s="16" t="s">
        <v>9155</v>
      </c>
    </row>
    <row r="67" spans="1:1" x14ac:dyDescent="0.25">
      <c r="A67" s="16" t="s">
        <v>9435</v>
      </c>
    </row>
    <row r="68" spans="1:1" x14ac:dyDescent="0.25">
      <c r="A68" s="16" t="s">
        <v>9613</v>
      </c>
    </row>
    <row r="69" spans="1:1" x14ac:dyDescent="0.25">
      <c r="A69" s="16" t="s">
        <v>9245</v>
      </c>
    </row>
    <row r="70" spans="1:1" x14ac:dyDescent="0.25">
      <c r="A70" s="16" t="s">
        <v>9266</v>
      </c>
    </row>
    <row r="71" spans="1:1" x14ac:dyDescent="0.25">
      <c r="A71" s="16" t="s">
        <v>272</v>
      </c>
    </row>
    <row r="72" spans="1:1" x14ac:dyDescent="0.25">
      <c r="A72" s="16" t="s">
        <v>9293</v>
      </c>
    </row>
    <row r="73" spans="1:1" x14ac:dyDescent="0.25">
      <c r="A73" s="16" t="s">
        <v>9352</v>
      </c>
    </row>
    <row r="74" spans="1:1" x14ac:dyDescent="0.25">
      <c r="A74" s="16" t="s">
        <v>9311</v>
      </c>
    </row>
    <row r="75" spans="1:1" x14ac:dyDescent="0.25">
      <c r="A75" s="16" t="s">
        <v>9309</v>
      </c>
    </row>
    <row r="76" spans="1:1" x14ac:dyDescent="0.25">
      <c r="A76" s="16" t="s">
        <v>9374</v>
      </c>
    </row>
    <row r="77" spans="1:1" x14ac:dyDescent="0.25">
      <c r="A77" s="16" t="s">
        <v>9269</v>
      </c>
    </row>
    <row r="78" spans="1:1" x14ac:dyDescent="0.25">
      <c r="A78" s="16" t="s">
        <v>2566</v>
      </c>
    </row>
    <row r="79" spans="1:1" x14ac:dyDescent="0.25">
      <c r="A79" s="16" t="s">
        <v>9365</v>
      </c>
    </row>
    <row r="80" spans="1:1" x14ac:dyDescent="0.25">
      <c r="A80" s="16" t="s">
        <v>9462</v>
      </c>
    </row>
    <row r="81" spans="1:1" x14ac:dyDescent="0.25">
      <c r="A81" s="16" t="s">
        <v>9530</v>
      </c>
    </row>
    <row r="82" spans="1:1" x14ac:dyDescent="0.25">
      <c r="A82" s="16" t="s">
        <v>9277</v>
      </c>
    </row>
    <row r="83" spans="1:1" x14ac:dyDescent="0.25">
      <c r="A83" s="16" t="s">
        <v>9425</v>
      </c>
    </row>
    <row r="84" spans="1:1" x14ac:dyDescent="0.25">
      <c r="A84" s="16" t="s">
        <v>2430</v>
      </c>
    </row>
    <row r="85" spans="1:1" x14ac:dyDescent="0.25">
      <c r="A85" s="16" t="s">
        <v>9323</v>
      </c>
    </row>
    <row r="86" spans="1:1" x14ac:dyDescent="0.25">
      <c r="A86" s="16" t="s">
        <v>9418</v>
      </c>
    </row>
    <row r="87" spans="1:1" x14ac:dyDescent="0.25">
      <c r="A87" s="16" t="s">
        <v>9191</v>
      </c>
    </row>
    <row r="88" spans="1:1" x14ac:dyDescent="0.25">
      <c r="A88" s="16" t="s">
        <v>9413</v>
      </c>
    </row>
    <row r="89" spans="1:1" x14ac:dyDescent="0.25">
      <c r="A89" s="16" t="s">
        <v>9189</v>
      </c>
    </row>
    <row r="90" spans="1:1" x14ac:dyDescent="0.25">
      <c r="A90" s="16" t="s">
        <v>9360</v>
      </c>
    </row>
    <row r="91" spans="1:1" x14ac:dyDescent="0.25">
      <c r="A91" s="16" t="s">
        <v>9438</v>
      </c>
    </row>
    <row r="92" spans="1:1" x14ac:dyDescent="0.25">
      <c r="A92" s="16" t="s">
        <v>9447</v>
      </c>
    </row>
    <row r="93" spans="1:1" x14ac:dyDescent="0.25">
      <c r="A93" s="16" t="s">
        <v>9460</v>
      </c>
    </row>
    <row r="94" spans="1:1" x14ac:dyDescent="0.25">
      <c r="A94" s="16" t="s">
        <v>9517</v>
      </c>
    </row>
    <row r="95" spans="1:1" x14ac:dyDescent="0.25">
      <c r="A95" s="16" t="s">
        <v>9176</v>
      </c>
    </row>
    <row r="96" spans="1:1" x14ac:dyDescent="0.25">
      <c r="A96" s="16" t="s">
        <v>9470</v>
      </c>
    </row>
    <row r="97" spans="1:1" x14ac:dyDescent="0.25">
      <c r="A97" s="16" t="s">
        <v>9233</v>
      </c>
    </row>
    <row r="98" spans="1:1" x14ac:dyDescent="0.25">
      <c r="A98" s="16" t="s">
        <v>9458</v>
      </c>
    </row>
    <row r="99" spans="1:1" x14ac:dyDescent="0.25">
      <c r="A99" s="16" t="s">
        <v>8852</v>
      </c>
    </row>
    <row r="100" spans="1:1" x14ac:dyDescent="0.25">
      <c r="A100" s="16" t="s">
        <v>9252</v>
      </c>
    </row>
    <row r="101" spans="1:1" x14ac:dyDescent="0.25">
      <c r="A101" s="16" t="s">
        <v>9183</v>
      </c>
    </row>
    <row r="102" spans="1:1" x14ac:dyDescent="0.25">
      <c r="A102" s="16" t="s">
        <v>9214</v>
      </c>
    </row>
    <row r="103" spans="1:1" x14ac:dyDescent="0.25">
      <c r="A103" s="16" t="s">
        <v>9475</v>
      </c>
    </row>
    <row r="104" spans="1:1" x14ac:dyDescent="0.25">
      <c r="A104" s="16" t="s">
        <v>9389</v>
      </c>
    </row>
    <row r="105" spans="1:1" x14ac:dyDescent="0.25">
      <c r="A105" s="16" t="s">
        <v>9186</v>
      </c>
    </row>
    <row r="106" spans="1:1" x14ac:dyDescent="0.25">
      <c r="A106" s="16" t="s">
        <v>9313</v>
      </c>
    </row>
    <row r="107" spans="1:1" x14ac:dyDescent="0.25">
      <c r="A107" s="16" t="s">
        <v>1928</v>
      </c>
    </row>
    <row r="108" spans="1:1" x14ac:dyDescent="0.25">
      <c r="A108" s="16" t="s">
        <v>9249</v>
      </c>
    </row>
    <row r="109" spans="1:1" x14ac:dyDescent="0.25">
      <c r="A109" s="16" t="s">
        <v>9478</v>
      </c>
    </row>
    <row r="110" spans="1:1" x14ac:dyDescent="0.25">
      <c r="A110" s="16" t="s">
        <v>9345</v>
      </c>
    </row>
    <row r="111" spans="1:1" x14ac:dyDescent="0.25">
      <c r="A111" s="16" t="s">
        <v>9284</v>
      </c>
    </row>
    <row r="112" spans="1:1" x14ac:dyDescent="0.25">
      <c r="A112" s="16" t="s">
        <v>9209</v>
      </c>
    </row>
    <row r="113" spans="1:1" x14ac:dyDescent="0.25">
      <c r="A113" s="16" t="s">
        <v>9219</v>
      </c>
    </row>
    <row r="114" spans="1:1" x14ac:dyDescent="0.25">
      <c r="A114" s="16" t="s">
        <v>9167</v>
      </c>
    </row>
    <row r="115" spans="1:1" x14ac:dyDescent="0.25">
      <c r="A115" s="16" t="s">
        <v>9204</v>
      </c>
    </row>
    <row r="116" spans="1:1" x14ac:dyDescent="0.25">
      <c r="A116" s="16" t="s">
        <v>9207</v>
      </c>
    </row>
    <row r="117" spans="1:1" x14ac:dyDescent="0.25">
      <c r="A117" s="16" t="s">
        <v>9449</v>
      </c>
    </row>
    <row r="118" spans="1:1" x14ac:dyDescent="0.25">
      <c r="A118" s="16" t="s">
        <v>9254</v>
      </c>
    </row>
    <row r="119" spans="1:1" x14ac:dyDescent="0.25">
      <c r="A119" s="16" t="s">
        <v>9261</v>
      </c>
    </row>
    <row r="120" spans="1:1" x14ac:dyDescent="0.25">
      <c r="A120" s="16" t="s">
        <v>9264</v>
      </c>
    </row>
    <row r="121" spans="1:1" x14ac:dyDescent="0.25">
      <c r="A121" s="16" t="s">
        <v>9350</v>
      </c>
    </row>
    <row r="122" spans="1:1" x14ac:dyDescent="0.25">
      <c r="A122" s="16" t="s">
        <v>9178</v>
      </c>
    </row>
    <row r="123" spans="1:1" x14ac:dyDescent="0.25">
      <c r="A123" s="16" t="s">
        <v>9196</v>
      </c>
    </row>
    <row r="124" spans="1:1" x14ac:dyDescent="0.25">
      <c r="A124" s="16" t="s">
        <v>9335</v>
      </c>
    </row>
    <row r="125" spans="1:1" x14ac:dyDescent="0.25">
      <c r="A125" s="16" t="s">
        <v>9492</v>
      </c>
    </row>
    <row r="126" spans="1:1" x14ac:dyDescent="0.25">
      <c r="A126" s="16" t="s">
        <v>9159</v>
      </c>
    </row>
    <row r="127" spans="1:1" x14ac:dyDescent="0.25">
      <c r="A127" s="16" t="s">
        <v>9420</v>
      </c>
    </row>
    <row r="128" spans="1:1" x14ac:dyDescent="0.25">
      <c r="A128" s="16" t="s">
        <v>9497</v>
      </c>
    </row>
    <row r="129" spans="1:1" x14ac:dyDescent="0.25">
      <c r="A129" s="16" t="s">
        <v>8907</v>
      </c>
    </row>
    <row r="130" spans="1:1" x14ac:dyDescent="0.25">
      <c r="A130" s="16" t="s">
        <v>9303</v>
      </c>
    </row>
    <row r="131" spans="1:1" x14ac:dyDescent="0.25">
      <c r="A131" s="16" t="s">
        <v>2172</v>
      </c>
    </row>
    <row r="132" spans="1:1" x14ac:dyDescent="0.25">
      <c r="A132" s="16" t="s">
        <v>9307</v>
      </c>
    </row>
    <row r="133" spans="1:1" x14ac:dyDescent="0.25">
      <c r="A133" s="16" t="s">
        <v>9286</v>
      </c>
    </row>
    <row r="134" spans="1:1" x14ac:dyDescent="0.25">
      <c r="A134" s="16" t="s">
        <v>9174</v>
      </c>
    </row>
    <row r="135" spans="1:1" x14ac:dyDescent="0.25">
      <c r="A135" s="16" t="s">
        <v>9326</v>
      </c>
    </row>
    <row r="136" spans="1:1" x14ac:dyDescent="0.25">
      <c r="A136" s="16" t="s">
        <v>9201</v>
      </c>
    </row>
    <row r="137" spans="1:1" x14ac:dyDescent="0.25">
      <c r="A137" s="16" t="s">
        <v>2793</v>
      </c>
    </row>
    <row r="138" spans="1:1" x14ac:dyDescent="0.25">
      <c r="A138" s="16" t="s">
        <v>9506</v>
      </c>
    </row>
    <row r="139" spans="1:1" x14ac:dyDescent="0.25">
      <c r="A139" s="16" t="s">
        <v>2762</v>
      </c>
    </row>
    <row r="140" spans="1:1" x14ac:dyDescent="0.25">
      <c r="A140" s="16" t="s">
        <v>1313</v>
      </c>
    </row>
    <row r="141" spans="1:1" x14ac:dyDescent="0.25">
      <c r="A141" s="16" t="s">
        <v>9223</v>
      </c>
    </row>
    <row r="142" spans="1:1" x14ac:dyDescent="0.25">
      <c r="A142" s="16" t="s">
        <v>9225</v>
      </c>
    </row>
    <row r="143" spans="1:1" x14ac:dyDescent="0.25">
      <c r="A143" s="16" t="s">
        <v>9341</v>
      </c>
    </row>
    <row r="144" spans="1:1" x14ac:dyDescent="0.25">
      <c r="A144" s="16" t="s">
        <v>9172</v>
      </c>
    </row>
    <row r="145" spans="1:1" x14ac:dyDescent="0.25">
      <c r="A145" s="16" t="s">
        <v>9216</v>
      </c>
    </row>
    <row r="146" spans="1:1" x14ac:dyDescent="0.25">
      <c r="A146" s="16" t="s">
        <v>9229</v>
      </c>
    </row>
    <row r="147" spans="1:1" x14ac:dyDescent="0.25">
      <c r="A147" s="16" t="s">
        <v>9231</v>
      </c>
    </row>
    <row r="148" spans="1:1" x14ac:dyDescent="0.25">
      <c r="A148" s="16" t="s">
        <v>9227</v>
      </c>
    </row>
    <row r="149" spans="1:1" x14ac:dyDescent="0.25">
      <c r="A149" s="16" t="s">
        <v>9300</v>
      </c>
    </row>
    <row r="150" spans="1:1" x14ac:dyDescent="0.25">
      <c r="A150" s="20">
        <v>46027</v>
      </c>
    </row>
    <row r="151" spans="1:1" x14ac:dyDescent="0.25">
      <c r="A151" s="20">
        <v>46116</v>
      </c>
    </row>
    <row r="152" spans="1:1" x14ac:dyDescent="0.25">
      <c r="A152" s="16" t="s">
        <v>13095</v>
      </c>
    </row>
    <row r="153" spans="1:1" x14ac:dyDescent="0.25">
      <c r="A153" s="15" t="s">
        <v>13095</v>
      </c>
    </row>
    <row r="154" spans="1:1" x14ac:dyDescent="0.25">
      <c r="A154" s="16" t="s">
        <v>13095</v>
      </c>
    </row>
    <row r="155" spans="1:1" x14ac:dyDescent="0.25">
      <c r="A155" s="15" t="s">
        <v>13096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3277C-E8A3-4444-A3A5-8C1773EE162D}">
  <dimension ref="A1:I250"/>
  <sheetViews>
    <sheetView topLeftCell="A229" workbookViewId="0">
      <selection activeCell="A229" sqref="A1:XFD1048576"/>
    </sheetView>
  </sheetViews>
  <sheetFormatPr baseColWidth="10" defaultRowHeight="15" x14ac:dyDescent="0.25"/>
  <cols>
    <col min="1" max="1" width="17.5703125" bestFit="1" customWidth="1"/>
    <col min="2" max="2" width="4.42578125" bestFit="1" customWidth="1"/>
    <col min="3" max="3" width="7.42578125" bestFit="1" customWidth="1"/>
    <col min="4" max="4" width="10.5703125" bestFit="1" customWidth="1"/>
    <col min="5" max="5" width="19.28515625" bestFit="1" customWidth="1"/>
    <col min="6" max="6" width="10.7109375" bestFit="1" customWidth="1"/>
    <col min="7" max="7" width="13.7109375" bestFit="1" customWidth="1"/>
    <col min="8" max="8" width="32.85546875" bestFit="1" customWidth="1"/>
    <col min="9" max="9" width="12" bestFit="1" customWidth="1"/>
  </cols>
  <sheetData>
    <row r="1" spans="1:9" x14ac:dyDescent="0.25">
      <c r="A1" t="s">
        <v>3324</v>
      </c>
      <c r="B1" t="s">
        <v>8854</v>
      </c>
      <c r="C1" t="s">
        <v>8855</v>
      </c>
      <c r="D1" t="s">
        <v>8856</v>
      </c>
      <c r="E1" t="s">
        <v>8857</v>
      </c>
      <c r="F1" t="s">
        <v>8858</v>
      </c>
      <c r="G1" t="s">
        <v>9162</v>
      </c>
      <c r="H1" t="s">
        <v>9163</v>
      </c>
      <c r="I1" t="s">
        <v>8862</v>
      </c>
    </row>
    <row r="2" spans="1:9" x14ac:dyDescent="0.25">
      <c r="A2" t="s">
        <v>9164</v>
      </c>
      <c r="C2" t="s">
        <v>9165</v>
      </c>
      <c r="D2" t="s">
        <v>9166</v>
      </c>
      <c r="E2" t="s">
        <v>9167</v>
      </c>
      <c r="F2" s="1">
        <v>43851</v>
      </c>
      <c r="G2" t="str">
        <f>"300081"</f>
        <v>300081</v>
      </c>
      <c r="H2" t="s">
        <v>2045</v>
      </c>
      <c r="I2">
        <v>89280</v>
      </c>
    </row>
    <row r="3" spans="1:9" x14ac:dyDescent="0.25">
      <c r="A3" t="s">
        <v>9164</v>
      </c>
      <c r="C3" t="s">
        <v>9165</v>
      </c>
      <c r="D3" t="s">
        <v>9168</v>
      </c>
      <c r="E3" t="s">
        <v>2172</v>
      </c>
      <c r="F3" s="1">
        <v>43945</v>
      </c>
      <c r="G3" t="str">
        <f t="shared" ref="G3:G12" si="0">"300115"</f>
        <v>300115</v>
      </c>
      <c r="H3" t="s">
        <v>2938</v>
      </c>
      <c r="I3">
        <v>38959.153200000001</v>
      </c>
    </row>
    <row r="4" spans="1:9" x14ac:dyDescent="0.25">
      <c r="A4" t="s">
        <v>9164</v>
      </c>
      <c r="C4" t="s">
        <v>9165</v>
      </c>
      <c r="D4" t="s">
        <v>9169</v>
      </c>
      <c r="E4" t="s">
        <v>9170</v>
      </c>
      <c r="F4" s="1">
        <v>43946</v>
      </c>
      <c r="G4" t="str">
        <f t="shared" si="0"/>
        <v>300115</v>
      </c>
      <c r="H4" t="s">
        <v>2938</v>
      </c>
      <c r="I4">
        <v>14941.789500000001</v>
      </c>
    </row>
    <row r="5" spans="1:9" x14ac:dyDescent="0.25">
      <c r="A5" t="s">
        <v>9164</v>
      </c>
      <c r="C5" t="s">
        <v>9165</v>
      </c>
      <c r="D5" t="s">
        <v>9171</v>
      </c>
      <c r="E5" t="s">
        <v>9172</v>
      </c>
      <c r="F5" s="1">
        <v>43956</v>
      </c>
      <c r="G5" t="str">
        <f t="shared" si="0"/>
        <v>300115</v>
      </c>
      <c r="H5" t="s">
        <v>2938</v>
      </c>
      <c r="I5">
        <v>39493.684999999998</v>
      </c>
    </row>
    <row r="6" spans="1:9" x14ac:dyDescent="0.25">
      <c r="A6" t="s">
        <v>9164</v>
      </c>
      <c r="C6" t="s">
        <v>9165</v>
      </c>
      <c r="D6" t="s">
        <v>9173</v>
      </c>
      <c r="E6" t="s">
        <v>9174</v>
      </c>
      <c r="F6" s="1">
        <v>43960</v>
      </c>
      <c r="G6" t="str">
        <f t="shared" si="0"/>
        <v>300115</v>
      </c>
      <c r="H6" t="s">
        <v>2938</v>
      </c>
      <c r="I6">
        <v>27368.871200000001</v>
      </c>
    </row>
    <row r="7" spans="1:9" x14ac:dyDescent="0.25">
      <c r="A7" t="s">
        <v>9164</v>
      </c>
      <c r="C7" t="s">
        <v>9165</v>
      </c>
      <c r="D7" t="s">
        <v>9175</v>
      </c>
      <c r="E7" t="s">
        <v>9176</v>
      </c>
      <c r="F7" s="1">
        <v>43963</v>
      </c>
      <c r="G7" t="str">
        <f t="shared" si="0"/>
        <v>300115</v>
      </c>
      <c r="H7" t="s">
        <v>2938</v>
      </c>
      <c r="I7">
        <v>4752</v>
      </c>
    </row>
    <row r="8" spans="1:9" x14ac:dyDescent="0.25">
      <c r="A8" t="s">
        <v>9164</v>
      </c>
      <c r="C8" t="s">
        <v>9165</v>
      </c>
      <c r="D8" t="s">
        <v>9177</v>
      </c>
      <c r="E8" t="s">
        <v>9178</v>
      </c>
      <c r="F8" s="1">
        <v>43969</v>
      </c>
      <c r="G8" t="str">
        <f t="shared" si="0"/>
        <v>300115</v>
      </c>
      <c r="H8" t="s">
        <v>2938</v>
      </c>
      <c r="I8">
        <v>105655</v>
      </c>
    </row>
    <row r="9" spans="1:9" x14ac:dyDescent="0.25">
      <c r="A9" t="s">
        <v>9164</v>
      </c>
      <c r="C9" t="s">
        <v>9165</v>
      </c>
      <c r="D9" t="s">
        <v>9179</v>
      </c>
      <c r="F9" s="1">
        <v>43969</v>
      </c>
      <c r="G9" t="str">
        <f t="shared" si="0"/>
        <v>300115</v>
      </c>
      <c r="H9" t="s">
        <v>2938</v>
      </c>
      <c r="I9">
        <v>386100</v>
      </c>
    </row>
    <row r="10" spans="1:9" x14ac:dyDescent="0.25">
      <c r="A10" t="s">
        <v>9164</v>
      </c>
      <c r="C10" t="s">
        <v>9165</v>
      </c>
      <c r="D10" t="s">
        <v>9180</v>
      </c>
      <c r="E10" t="s">
        <v>9181</v>
      </c>
      <c r="F10" s="1">
        <v>43972</v>
      </c>
      <c r="G10" t="str">
        <f t="shared" si="0"/>
        <v>300115</v>
      </c>
      <c r="H10" t="s">
        <v>2938</v>
      </c>
      <c r="I10">
        <v>91193.337400000004</v>
      </c>
    </row>
    <row r="11" spans="1:9" x14ac:dyDescent="0.25">
      <c r="A11" t="s">
        <v>9164</v>
      </c>
      <c r="C11" t="s">
        <v>9165</v>
      </c>
      <c r="D11" t="s">
        <v>9182</v>
      </c>
      <c r="E11" t="s">
        <v>9183</v>
      </c>
      <c r="F11" s="1">
        <v>43972</v>
      </c>
      <c r="G11" t="str">
        <f t="shared" si="0"/>
        <v>300115</v>
      </c>
      <c r="H11" t="s">
        <v>2938</v>
      </c>
      <c r="I11">
        <v>158664</v>
      </c>
    </row>
    <row r="12" spans="1:9" x14ac:dyDescent="0.25">
      <c r="A12" t="s">
        <v>9164</v>
      </c>
      <c r="C12" t="s">
        <v>9165</v>
      </c>
      <c r="D12" t="s">
        <v>9184</v>
      </c>
      <c r="E12" s="2">
        <v>46027</v>
      </c>
      <c r="F12" s="1">
        <v>43994</v>
      </c>
      <c r="G12" t="str">
        <f t="shared" si="0"/>
        <v>300115</v>
      </c>
      <c r="H12" t="s">
        <v>2938</v>
      </c>
      <c r="I12">
        <v>85358.592000000004</v>
      </c>
    </row>
    <row r="13" spans="1:9" x14ac:dyDescent="0.25">
      <c r="A13" t="s">
        <v>9164</v>
      </c>
      <c r="C13" t="s">
        <v>9165</v>
      </c>
      <c r="D13" t="s">
        <v>9185</v>
      </c>
      <c r="E13" t="s">
        <v>9186</v>
      </c>
      <c r="F13" s="1">
        <v>44004</v>
      </c>
      <c r="G13" t="str">
        <f>"300302"</f>
        <v>300302</v>
      </c>
      <c r="H13" t="s">
        <v>2690</v>
      </c>
      <c r="I13">
        <v>6300</v>
      </c>
    </row>
    <row r="14" spans="1:9" x14ac:dyDescent="0.25">
      <c r="A14" t="s">
        <v>9164</v>
      </c>
      <c r="C14" t="s">
        <v>9165</v>
      </c>
      <c r="D14" t="s">
        <v>9187</v>
      </c>
      <c r="E14" t="s">
        <v>9172</v>
      </c>
      <c r="F14" s="1">
        <v>44006</v>
      </c>
      <c r="G14" t="str">
        <f t="shared" ref="G14:G21" si="1">"300115"</f>
        <v>300115</v>
      </c>
      <c r="H14" t="s">
        <v>2938</v>
      </c>
      <c r="I14">
        <v>49335.752399999998</v>
      </c>
    </row>
    <row r="15" spans="1:9" x14ac:dyDescent="0.25">
      <c r="A15" t="s">
        <v>9164</v>
      </c>
      <c r="C15" t="s">
        <v>9165</v>
      </c>
      <c r="D15" t="s">
        <v>9188</v>
      </c>
      <c r="E15" t="s">
        <v>9189</v>
      </c>
      <c r="F15" s="1">
        <v>44014</v>
      </c>
      <c r="G15" t="str">
        <f t="shared" si="1"/>
        <v>300115</v>
      </c>
      <c r="H15" t="s">
        <v>2938</v>
      </c>
      <c r="I15">
        <v>405107.40600000002</v>
      </c>
    </row>
    <row r="16" spans="1:9" x14ac:dyDescent="0.25">
      <c r="A16" t="s">
        <v>9164</v>
      </c>
      <c r="C16" t="s">
        <v>9165</v>
      </c>
      <c r="D16" t="s">
        <v>9190</v>
      </c>
      <c r="E16" t="s">
        <v>9191</v>
      </c>
      <c r="F16" s="1">
        <v>44020</v>
      </c>
      <c r="G16" t="str">
        <f t="shared" si="1"/>
        <v>300115</v>
      </c>
      <c r="H16" t="s">
        <v>2938</v>
      </c>
      <c r="I16">
        <v>634800.44099999999</v>
      </c>
    </row>
    <row r="17" spans="1:9" x14ac:dyDescent="0.25">
      <c r="A17" t="s">
        <v>9164</v>
      </c>
      <c r="C17" t="s">
        <v>9165</v>
      </c>
      <c r="D17" t="s">
        <v>9192</v>
      </c>
      <c r="E17" t="s">
        <v>9189</v>
      </c>
      <c r="F17" s="1">
        <v>44035</v>
      </c>
      <c r="G17" t="str">
        <f t="shared" si="1"/>
        <v>300115</v>
      </c>
      <c r="H17" t="s">
        <v>2938</v>
      </c>
      <c r="I17">
        <v>3091330.1275999998</v>
      </c>
    </row>
    <row r="18" spans="1:9" x14ac:dyDescent="0.25">
      <c r="A18" t="s">
        <v>9164</v>
      </c>
      <c r="C18" t="s">
        <v>9165</v>
      </c>
      <c r="D18" t="s">
        <v>9193</v>
      </c>
      <c r="E18" t="s">
        <v>9194</v>
      </c>
      <c r="F18" s="1">
        <v>44036</v>
      </c>
      <c r="G18" t="str">
        <f t="shared" si="1"/>
        <v>300115</v>
      </c>
      <c r="H18" t="s">
        <v>2938</v>
      </c>
      <c r="I18">
        <v>16414.930400000001</v>
      </c>
    </row>
    <row r="19" spans="1:9" x14ac:dyDescent="0.25">
      <c r="A19" t="s">
        <v>9164</v>
      </c>
      <c r="C19" t="s">
        <v>9165</v>
      </c>
      <c r="D19" t="s">
        <v>9195</v>
      </c>
      <c r="E19" t="s">
        <v>9196</v>
      </c>
      <c r="F19" s="1">
        <v>44071</v>
      </c>
      <c r="G19" t="str">
        <f t="shared" si="1"/>
        <v>300115</v>
      </c>
      <c r="H19" t="s">
        <v>2938</v>
      </c>
      <c r="I19">
        <v>74250</v>
      </c>
    </row>
    <row r="20" spans="1:9" x14ac:dyDescent="0.25">
      <c r="A20" t="s">
        <v>9164</v>
      </c>
      <c r="C20" t="s">
        <v>9165</v>
      </c>
      <c r="D20" t="s">
        <v>9197</v>
      </c>
      <c r="E20" t="s">
        <v>9189</v>
      </c>
      <c r="F20" s="1">
        <v>44076</v>
      </c>
      <c r="G20" t="str">
        <f t="shared" si="1"/>
        <v>300115</v>
      </c>
      <c r="H20" t="s">
        <v>2938</v>
      </c>
      <c r="I20">
        <v>17183.832600000002</v>
      </c>
    </row>
    <row r="21" spans="1:9" x14ac:dyDescent="0.25">
      <c r="A21" t="s">
        <v>9164</v>
      </c>
      <c r="C21" t="s">
        <v>9165</v>
      </c>
      <c r="D21" t="s">
        <v>9198</v>
      </c>
      <c r="E21" t="s">
        <v>9199</v>
      </c>
      <c r="F21" s="1">
        <v>44091</v>
      </c>
      <c r="G21" t="str">
        <f t="shared" si="1"/>
        <v>300115</v>
      </c>
      <c r="H21" t="s">
        <v>2938</v>
      </c>
      <c r="I21">
        <v>10175</v>
      </c>
    </row>
    <row r="22" spans="1:9" x14ac:dyDescent="0.25">
      <c r="A22" t="s">
        <v>9164</v>
      </c>
      <c r="C22" t="s">
        <v>9165</v>
      </c>
      <c r="D22" t="s">
        <v>9200</v>
      </c>
      <c r="E22" t="s">
        <v>9201</v>
      </c>
      <c r="F22" s="1">
        <v>44110</v>
      </c>
      <c r="G22" t="str">
        <f>"300081"</f>
        <v>300081</v>
      </c>
      <c r="H22" t="s">
        <v>2045</v>
      </c>
      <c r="I22">
        <v>106750</v>
      </c>
    </row>
    <row r="23" spans="1:9" x14ac:dyDescent="0.25">
      <c r="A23" t="s">
        <v>9164</v>
      </c>
      <c r="C23" t="s">
        <v>9165</v>
      </c>
      <c r="D23" t="s">
        <v>9202</v>
      </c>
      <c r="E23" t="s">
        <v>9191</v>
      </c>
      <c r="F23" s="1">
        <v>44117</v>
      </c>
      <c r="G23" t="str">
        <f>"300115"</f>
        <v>300115</v>
      </c>
      <c r="H23" t="s">
        <v>2938</v>
      </c>
      <c r="I23">
        <v>100208.317</v>
      </c>
    </row>
    <row r="24" spans="1:9" x14ac:dyDescent="0.25">
      <c r="A24" t="s">
        <v>9164</v>
      </c>
      <c r="C24" t="s">
        <v>9165</v>
      </c>
      <c r="D24" t="s">
        <v>9203</v>
      </c>
      <c r="E24" t="s">
        <v>9204</v>
      </c>
      <c r="F24" s="1">
        <v>44117</v>
      </c>
      <c r="G24" t="str">
        <f>"300115"</f>
        <v>300115</v>
      </c>
      <c r="H24" t="s">
        <v>2938</v>
      </c>
      <c r="I24">
        <v>70547.399999999994</v>
      </c>
    </row>
    <row r="25" spans="1:9" x14ac:dyDescent="0.25">
      <c r="A25" t="s">
        <v>9164</v>
      </c>
      <c r="C25" t="s">
        <v>9165</v>
      </c>
      <c r="D25" t="s">
        <v>9205</v>
      </c>
      <c r="E25" t="s">
        <v>2172</v>
      </c>
      <c r="F25" s="1">
        <v>44118</v>
      </c>
      <c r="G25" t="str">
        <f>"300115"</f>
        <v>300115</v>
      </c>
      <c r="H25" t="s">
        <v>2938</v>
      </c>
      <c r="I25">
        <v>1207324.6680000001</v>
      </c>
    </row>
    <row r="26" spans="1:9" x14ac:dyDescent="0.25">
      <c r="A26" t="s">
        <v>9164</v>
      </c>
      <c r="C26" t="s">
        <v>9165</v>
      </c>
      <c r="D26" t="s">
        <v>9206</v>
      </c>
      <c r="E26" t="s">
        <v>9207</v>
      </c>
      <c r="F26" s="1">
        <v>44121</v>
      </c>
      <c r="G26" t="str">
        <f>"300115"</f>
        <v>300115</v>
      </c>
      <c r="H26" t="s">
        <v>2938</v>
      </c>
      <c r="I26">
        <v>2200</v>
      </c>
    </row>
    <row r="27" spans="1:9" x14ac:dyDescent="0.25">
      <c r="A27" t="s">
        <v>9164</v>
      </c>
      <c r="C27" t="s">
        <v>9165</v>
      </c>
      <c r="D27" t="s">
        <v>9208</v>
      </c>
      <c r="E27" t="s">
        <v>9209</v>
      </c>
      <c r="F27" s="1">
        <v>44127</v>
      </c>
      <c r="G27" t="str">
        <f>"300076"</f>
        <v>300076</v>
      </c>
      <c r="H27" t="s">
        <v>2905</v>
      </c>
      <c r="I27">
        <v>3000</v>
      </c>
    </row>
    <row r="28" spans="1:9" x14ac:dyDescent="0.25">
      <c r="A28" t="s">
        <v>9164</v>
      </c>
      <c r="C28" t="s">
        <v>9165</v>
      </c>
      <c r="D28" t="s">
        <v>9210</v>
      </c>
      <c r="E28" t="s">
        <v>9191</v>
      </c>
      <c r="F28" s="1">
        <v>44137</v>
      </c>
      <c r="G28" t="str">
        <f t="shared" ref="G28:G33" si="2">"300115"</f>
        <v>300115</v>
      </c>
      <c r="H28" t="s">
        <v>2938</v>
      </c>
      <c r="I28">
        <v>417704.1</v>
      </c>
    </row>
    <row r="29" spans="1:9" x14ac:dyDescent="0.25">
      <c r="A29" t="s">
        <v>9164</v>
      </c>
      <c r="C29" t="s">
        <v>9165</v>
      </c>
      <c r="D29" t="s">
        <v>9211</v>
      </c>
      <c r="E29" t="s">
        <v>9181</v>
      </c>
      <c r="F29" s="1">
        <v>44140</v>
      </c>
      <c r="G29" t="str">
        <f t="shared" si="2"/>
        <v>300115</v>
      </c>
      <c r="H29" t="s">
        <v>2938</v>
      </c>
      <c r="I29">
        <v>198659.0221</v>
      </c>
    </row>
    <row r="30" spans="1:9" x14ac:dyDescent="0.25">
      <c r="A30" t="s">
        <v>9164</v>
      </c>
      <c r="C30" t="s">
        <v>9165</v>
      </c>
      <c r="D30" t="s">
        <v>9212</v>
      </c>
      <c r="E30" t="s">
        <v>9191</v>
      </c>
      <c r="F30" s="1">
        <v>44144</v>
      </c>
      <c r="G30" t="str">
        <f t="shared" si="2"/>
        <v>300115</v>
      </c>
      <c r="H30" t="s">
        <v>2938</v>
      </c>
      <c r="I30">
        <v>36301.65</v>
      </c>
    </row>
    <row r="31" spans="1:9" x14ac:dyDescent="0.25">
      <c r="A31" t="s">
        <v>9164</v>
      </c>
      <c r="C31" t="s">
        <v>9165</v>
      </c>
      <c r="D31" t="s">
        <v>9213</v>
      </c>
      <c r="E31" t="s">
        <v>9214</v>
      </c>
      <c r="F31" s="1">
        <v>44148</v>
      </c>
      <c r="G31" t="str">
        <f t="shared" si="2"/>
        <v>300115</v>
      </c>
      <c r="H31" t="s">
        <v>2938</v>
      </c>
      <c r="I31">
        <v>434138.56199999998</v>
      </c>
    </row>
    <row r="32" spans="1:9" x14ac:dyDescent="0.25">
      <c r="A32" t="s">
        <v>9164</v>
      </c>
      <c r="C32" t="s">
        <v>9165</v>
      </c>
      <c r="D32" t="s">
        <v>9215</v>
      </c>
      <c r="E32" t="s">
        <v>9216</v>
      </c>
      <c r="F32" s="1">
        <v>44154</v>
      </c>
      <c r="G32" t="str">
        <f t="shared" si="2"/>
        <v>300115</v>
      </c>
      <c r="H32" t="s">
        <v>2938</v>
      </c>
      <c r="I32">
        <v>8409.3768</v>
      </c>
    </row>
    <row r="33" spans="1:9" x14ac:dyDescent="0.25">
      <c r="A33" t="s">
        <v>9164</v>
      </c>
      <c r="C33" t="s">
        <v>9165</v>
      </c>
      <c r="D33" t="s">
        <v>9217</v>
      </c>
      <c r="E33" t="s">
        <v>9189</v>
      </c>
      <c r="F33" s="1">
        <v>44154</v>
      </c>
      <c r="G33" t="str">
        <f t="shared" si="2"/>
        <v>300115</v>
      </c>
      <c r="H33" t="s">
        <v>2938</v>
      </c>
      <c r="I33">
        <v>523498.8616</v>
      </c>
    </row>
    <row r="34" spans="1:9" x14ac:dyDescent="0.25">
      <c r="A34" t="s">
        <v>9164</v>
      </c>
      <c r="C34" t="s">
        <v>9165</v>
      </c>
      <c r="D34" t="s">
        <v>9218</v>
      </c>
      <c r="E34" t="s">
        <v>9219</v>
      </c>
      <c r="F34" s="1">
        <v>44160</v>
      </c>
      <c r="G34" t="str">
        <f>"300081"</f>
        <v>300081</v>
      </c>
      <c r="H34" t="s">
        <v>2045</v>
      </c>
      <c r="I34">
        <v>1041.67</v>
      </c>
    </row>
    <row r="35" spans="1:9" x14ac:dyDescent="0.25">
      <c r="A35" t="s">
        <v>9164</v>
      </c>
      <c r="C35" t="s">
        <v>9165</v>
      </c>
      <c r="D35" t="s">
        <v>9220</v>
      </c>
      <c r="E35" t="s">
        <v>9221</v>
      </c>
      <c r="F35" s="1">
        <v>44175</v>
      </c>
      <c r="G35" t="str">
        <f t="shared" ref="G35:G76" si="3">"300115"</f>
        <v>300115</v>
      </c>
      <c r="H35" t="s">
        <v>2938</v>
      </c>
      <c r="I35">
        <v>14929.683999999999</v>
      </c>
    </row>
    <row r="36" spans="1:9" x14ac:dyDescent="0.25">
      <c r="A36" t="s">
        <v>9164</v>
      </c>
      <c r="C36" t="s">
        <v>9165</v>
      </c>
      <c r="D36" t="s">
        <v>9222</v>
      </c>
      <c r="E36" t="s">
        <v>9223</v>
      </c>
      <c r="F36" s="1">
        <v>44189</v>
      </c>
      <c r="G36" t="str">
        <f t="shared" si="3"/>
        <v>300115</v>
      </c>
      <c r="H36" t="s">
        <v>2938</v>
      </c>
      <c r="I36">
        <v>612184.21</v>
      </c>
    </row>
    <row r="37" spans="1:9" x14ac:dyDescent="0.25">
      <c r="A37" t="s">
        <v>9164</v>
      </c>
      <c r="C37" t="s">
        <v>9165</v>
      </c>
      <c r="D37" t="s">
        <v>9224</v>
      </c>
      <c r="E37" t="s">
        <v>9225</v>
      </c>
      <c r="F37" s="1">
        <v>44189</v>
      </c>
      <c r="G37" t="str">
        <f t="shared" si="3"/>
        <v>300115</v>
      </c>
      <c r="H37" t="s">
        <v>2938</v>
      </c>
      <c r="I37">
        <v>2297680</v>
      </c>
    </row>
    <row r="38" spans="1:9" x14ac:dyDescent="0.25">
      <c r="A38" t="s">
        <v>9164</v>
      </c>
      <c r="C38" t="s">
        <v>9165</v>
      </c>
      <c r="D38" t="s">
        <v>9226</v>
      </c>
      <c r="E38" t="s">
        <v>9227</v>
      </c>
      <c r="F38" s="1">
        <v>44190</v>
      </c>
      <c r="G38" t="str">
        <f t="shared" si="3"/>
        <v>300115</v>
      </c>
      <c r="H38" t="s">
        <v>2938</v>
      </c>
      <c r="I38">
        <v>152130</v>
      </c>
    </row>
    <row r="39" spans="1:9" x14ac:dyDescent="0.25">
      <c r="A39" t="s">
        <v>9164</v>
      </c>
      <c r="C39" t="s">
        <v>9165</v>
      </c>
      <c r="D39" t="s">
        <v>9228</v>
      </c>
      <c r="E39" t="s">
        <v>9229</v>
      </c>
      <c r="F39" s="1">
        <v>44190</v>
      </c>
      <c r="G39" t="str">
        <f t="shared" si="3"/>
        <v>300115</v>
      </c>
      <c r="H39" t="s">
        <v>2938</v>
      </c>
      <c r="I39">
        <v>76065</v>
      </c>
    </row>
    <row r="40" spans="1:9" x14ac:dyDescent="0.25">
      <c r="A40" t="s">
        <v>9164</v>
      </c>
      <c r="C40" t="s">
        <v>9165</v>
      </c>
      <c r="D40" t="s">
        <v>9230</v>
      </c>
      <c r="E40" t="s">
        <v>9231</v>
      </c>
      <c r="F40" s="1">
        <v>44190</v>
      </c>
      <c r="G40" t="str">
        <f t="shared" si="3"/>
        <v>300115</v>
      </c>
      <c r="H40" t="s">
        <v>2938</v>
      </c>
      <c r="I40">
        <v>76065</v>
      </c>
    </row>
    <row r="41" spans="1:9" x14ac:dyDescent="0.25">
      <c r="A41" t="s">
        <v>9164</v>
      </c>
      <c r="C41" t="s">
        <v>9165</v>
      </c>
      <c r="D41" t="s">
        <v>9232</v>
      </c>
      <c r="E41" t="s">
        <v>9233</v>
      </c>
      <c r="F41" s="1">
        <v>44196</v>
      </c>
      <c r="G41" t="str">
        <f t="shared" si="3"/>
        <v>300115</v>
      </c>
      <c r="H41" t="s">
        <v>2938</v>
      </c>
      <c r="I41">
        <v>13824.755999999999</v>
      </c>
    </row>
    <row r="42" spans="1:9" x14ac:dyDescent="0.25">
      <c r="A42" t="s">
        <v>9164</v>
      </c>
      <c r="C42" t="s">
        <v>9165</v>
      </c>
      <c r="D42" t="s">
        <v>9234</v>
      </c>
      <c r="E42" t="s">
        <v>9235</v>
      </c>
      <c r="F42" s="1">
        <v>44203</v>
      </c>
      <c r="G42" t="str">
        <f t="shared" si="3"/>
        <v>300115</v>
      </c>
      <c r="H42" t="s">
        <v>2938</v>
      </c>
      <c r="I42">
        <v>91524.356</v>
      </c>
    </row>
    <row r="43" spans="1:9" x14ac:dyDescent="0.25">
      <c r="A43" t="s">
        <v>9164</v>
      </c>
      <c r="C43" t="s">
        <v>9165</v>
      </c>
      <c r="D43" t="s">
        <v>9236</v>
      </c>
      <c r="E43" t="s">
        <v>9237</v>
      </c>
      <c r="F43" s="1">
        <v>44208</v>
      </c>
      <c r="G43" t="str">
        <f t="shared" si="3"/>
        <v>300115</v>
      </c>
      <c r="H43" t="s">
        <v>2938</v>
      </c>
      <c r="I43">
        <v>40225.68</v>
      </c>
    </row>
    <row r="44" spans="1:9" x14ac:dyDescent="0.25">
      <c r="A44" t="s">
        <v>9164</v>
      </c>
      <c r="C44" t="s">
        <v>9165</v>
      </c>
      <c r="D44" t="s">
        <v>9238</v>
      </c>
      <c r="E44" t="s">
        <v>9239</v>
      </c>
      <c r="F44" s="1">
        <v>44210</v>
      </c>
      <c r="G44" t="str">
        <f t="shared" si="3"/>
        <v>300115</v>
      </c>
      <c r="H44" t="s">
        <v>2938</v>
      </c>
      <c r="I44">
        <v>1678501.2749999999</v>
      </c>
    </row>
    <row r="45" spans="1:9" x14ac:dyDescent="0.25">
      <c r="A45" t="s">
        <v>9164</v>
      </c>
      <c r="C45" t="s">
        <v>9165</v>
      </c>
      <c r="D45" t="s">
        <v>9240</v>
      </c>
      <c r="E45" t="s">
        <v>2172</v>
      </c>
      <c r="F45" s="1">
        <v>44214</v>
      </c>
      <c r="G45" t="str">
        <f t="shared" si="3"/>
        <v>300115</v>
      </c>
      <c r="H45" t="s">
        <v>2938</v>
      </c>
      <c r="I45">
        <v>104346.39599999999</v>
      </c>
    </row>
    <row r="46" spans="1:9" x14ac:dyDescent="0.25">
      <c r="A46" t="s">
        <v>9164</v>
      </c>
      <c r="C46" t="s">
        <v>9165</v>
      </c>
      <c r="D46" t="s">
        <v>9241</v>
      </c>
      <c r="E46" t="s">
        <v>2172</v>
      </c>
      <c r="F46" s="1">
        <v>44214</v>
      </c>
      <c r="G46" t="str">
        <f t="shared" si="3"/>
        <v>300115</v>
      </c>
      <c r="H46" t="s">
        <v>2938</v>
      </c>
      <c r="I46">
        <v>93401.066000000006</v>
      </c>
    </row>
    <row r="47" spans="1:9" x14ac:dyDescent="0.25">
      <c r="A47" t="s">
        <v>9164</v>
      </c>
      <c r="C47" t="s">
        <v>9165</v>
      </c>
      <c r="D47" t="s">
        <v>9242</v>
      </c>
      <c r="E47" t="s">
        <v>9243</v>
      </c>
      <c r="F47" s="1">
        <v>44215</v>
      </c>
      <c r="G47" t="str">
        <f t="shared" si="3"/>
        <v>300115</v>
      </c>
      <c r="H47" t="s">
        <v>2938</v>
      </c>
      <c r="I47">
        <v>165749.76000000001</v>
      </c>
    </row>
    <row r="48" spans="1:9" x14ac:dyDescent="0.25">
      <c r="A48" t="s">
        <v>9164</v>
      </c>
      <c r="C48" t="s">
        <v>9165</v>
      </c>
      <c r="D48" t="s">
        <v>9244</v>
      </c>
      <c r="E48" t="s">
        <v>9245</v>
      </c>
      <c r="F48" s="1">
        <v>44232</v>
      </c>
      <c r="G48" t="str">
        <f t="shared" si="3"/>
        <v>300115</v>
      </c>
      <c r="H48" t="s">
        <v>2938</v>
      </c>
      <c r="I48">
        <v>20328</v>
      </c>
    </row>
    <row r="49" spans="1:9" x14ac:dyDescent="0.25">
      <c r="A49" t="s">
        <v>9164</v>
      </c>
      <c r="C49" t="s">
        <v>9165</v>
      </c>
      <c r="D49" t="s">
        <v>9246</v>
      </c>
      <c r="E49" t="s">
        <v>2172</v>
      </c>
      <c r="F49" s="1">
        <v>44235</v>
      </c>
      <c r="G49" t="str">
        <f t="shared" si="3"/>
        <v>300115</v>
      </c>
      <c r="H49" t="s">
        <v>2938</v>
      </c>
      <c r="I49">
        <v>9012.8279999999995</v>
      </c>
    </row>
    <row r="50" spans="1:9" x14ac:dyDescent="0.25">
      <c r="A50" t="s">
        <v>9164</v>
      </c>
      <c r="C50" t="s">
        <v>9165</v>
      </c>
      <c r="D50" t="s">
        <v>9247</v>
      </c>
      <c r="E50" t="s">
        <v>9194</v>
      </c>
      <c r="F50" s="1">
        <v>44235</v>
      </c>
      <c r="G50" t="str">
        <f t="shared" si="3"/>
        <v>300115</v>
      </c>
      <c r="H50" t="s">
        <v>2938</v>
      </c>
      <c r="I50">
        <v>275838.55200000003</v>
      </c>
    </row>
    <row r="51" spans="1:9" x14ac:dyDescent="0.25">
      <c r="A51" t="s">
        <v>9164</v>
      </c>
      <c r="C51" t="s">
        <v>9165</v>
      </c>
      <c r="D51" t="s">
        <v>9248</v>
      </c>
      <c r="E51" t="s">
        <v>9249</v>
      </c>
      <c r="F51" s="1">
        <v>44245</v>
      </c>
      <c r="G51" t="str">
        <f t="shared" si="3"/>
        <v>300115</v>
      </c>
      <c r="H51" t="s">
        <v>2938</v>
      </c>
      <c r="I51">
        <v>316169.56800000003</v>
      </c>
    </row>
    <row r="52" spans="1:9" x14ac:dyDescent="0.25">
      <c r="A52" t="s">
        <v>9164</v>
      </c>
      <c r="C52" t="s">
        <v>9165</v>
      </c>
      <c r="D52" t="s">
        <v>9250</v>
      </c>
      <c r="E52" t="s">
        <v>2172</v>
      </c>
      <c r="F52" s="1">
        <v>44245</v>
      </c>
      <c r="G52" t="str">
        <f t="shared" si="3"/>
        <v>300115</v>
      </c>
      <c r="H52" t="s">
        <v>2938</v>
      </c>
      <c r="I52">
        <v>7929802.4960000003</v>
      </c>
    </row>
    <row r="53" spans="1:9" x14ac:dyDescent="0.25">
      <c r="A53" t="s">
        <v>9164</v>
      </c>
      <c r="C53" t="s">
        <v>9165</v>
      </c>
      <c r="D53" t="s">
        <v>9251</v>
      </c>
      <c r="E53" t="s">
        <v>9252</v>
      </c>
      <c r="F53" s="1">
        <v>44257</v>
      </c>
      <c r="G53" t="str">
        <f t="shared" si="3"/>
        <v>300115</v>
      </c>
      <c r="H53" t="s">
        <v>2938</v>
      </c>
      <c r="I53">
        <v>60206.96</v>
      </c>
    </row>
    <row r="54" spans="1:9" x14ac:dyDescent="0.25">
      <c r="A54" t="s">
        <v>9164</v>
      </c>
      <c r="C54" t="s">
        <v>9165</v>
      </c>
      <c r="D54" t="s">
        <v>9253</v>
      </c>
      <c r="E54" t="s">
        <v>9254</v>
      </c>
      <c r="F54" s="1">
        <v>44273</v>
      </c>
      <c r="G54" t="str">
        <f t="shared" si="3"/>
        <v>300115</v>
      </c>
      <c r="H54" t="s">
        <v>2938</v>
      </c>
      <c r="I54">
        <v>18771.768400000001</v>
      </c>
    </row>
    <row r="55" spans="1:9" x14ac:dyDescent="0.25">
      <c r="A55" t="s">
        <v>9164</v>
      </c>
      <c r="C55" t="s">
        <v>9165</v>
      </c>
      <c r="D55" t="s">
        <v>9255</v>
      </c>
      <c r="E55" t="s">
        <v>9254</v>
      </c>
      <c r="F55" s="1">
        <v>44279</v>
      </c>
      <c r="G55" t="str">
        <f t="shared" si="3"/>
        <v>300115</v>
      </c>
      <c r="H55" t="s">
        <v>2938</v>
      </c>
      <c r="I55">
        <v>202840</v>
      </c>
    </row>
    <row r="56" spans="1:9" x14ac:dyDescent="0.25">
      <c r="A56" t="s">
        <v>9164</v>
      </c>
      <c r="C56" t="s">
        <v>9165</v>
      </c>
      <c r="D56" t="s">
        <v>9256</v>
      </c>
      <c r="E56" t="s">
        <v>9249</v>
      </c>
      <c r="F56" s="1">
        <v>44281</v>
      </c>
      <c r="G56" t="str">
        <f t="shared" si="3"/>
        <v>300115</v>
      </c>
      <c r="H56" t="s">
        <v>2938</v>
      </c>
      <c r="I56">
        <v>474254.35200000001</v>
      </c>
    </row>
    <row r="57" spans="1:9" x14ac:dyDescent="0.25">
      <c r="A57" t="s">
        <v>9164</v>
      </c>
      <c r="C57" t="s">
        <v>9165</v>
      </c>
      <c r="D57" t="s">
        <v>9257</v>
      </c>
      <c r="E57" t="s">
        <v>2430</v>
      </c>
      <c r="F57" s="1">
        <v>44289</v>
      </c>
      <c r="G57" t="str">
        <f t="shared" si="3"/>
        <v>300115</v>
      </c>
      <c r="H57" t="s">
        <v>2938</v>
      </c>
      <c r="I57">
        <v>202917</v>
      </c>
    </row>
    <row r="58" spans="1:9" x14ac:dyDescent="0.25">
      <c r="A58" t="s">
        <v>9164</v>
      </c>
      <c r="C58" t="s">
        <v>9165</v>
      </c>
      <c r="D58" t="s">
        <v>9258</v>
      </c>
      <c r="E58" t="s">
        <v>2566</v>
      </c>
      <c r="F58" s="1">
        <v>44295</v>
      </c>
      <c r="G58" t="str">
        <f t="shared" si="3"/>
        <v>300115</v>
      </c>
      <c r="H58" t="s">
        <v>2938</v>
      </c>
      <c r="I58">
        <v>2339492.5641999999</v>
      </c>
    </row>
    <row r="59" spans="1:9" x14ac:dyDescent="0.25">
      <c r="A59" t="s">
        <v>9164</v>
      </c>
      <c r="C59" t="s">
        <v>9165</v>
      </c>
      <c r="D59" t="s">
        <v>9259</v>
      </c>
      <c r="E59" t="s">
        <v>8852</v>
      </c>
      <c r="F59" s="1">
        <v>44298</v>
      </c>
      <c r="G59" t="str">
        <f t="shared" si="3"/>
        <v>300115</v>
      </c>
      <c r="H59" t="s">
        <v>2938</v>
      </c>
      <c r="I59">
        <v>54146.822399999997</v>
      </c>
    </row>
    <row r="60" spans="1:9" x14ac:dyDescent="0.25">
      <c r="A60" t="s">
        <v>9164</v>
      </c>
      <c r="C60" t="s">
        <v>9165</v>
      </c>
      <c r="D60" t="s">
        <v>9260</v>
      </c>
      <c r="E60" t="s">
        <v>9261</v>
      </c>
      <c r="F60" s="1">
        <v>44307</v>
      </c>
      <c r="G60" t="str">
        <f t="shared" si="3"/>
        <v>300115</v>
      </c>
      <c r="H60" t="s">
        <v>2938</v>
      </c>
      <c r="I60">
        <v>66528</v>
      </c>
    </row>
    <row r="61" spans="1:9" x14ac:dyDescent="0.25">
      <c r="A61" t="s">
        <v>9164</v>
      </c>
      <c r="C61" t="s">
        <v>9165</v>
      </c>
      <c r="D61" t="s">
        <v>9262</v>
      </c>
      <c r="E61" t="s">
        <v>9191</v>
      </c>
      <c r="F61" s="1">
        <v>44308</v>
      </c>
      <c r="G61" t="str">
        <f t="shared" si="3"/>
        <v>300115</v>
      </c>
      <c r="H61" t="s">
        <v>2938</v>
      </c>
      <c r="I61">
        <v>173061.21799999999</v>
      </c>
    </row>
    <row r="62" spans="1:9" x14ac:dyDescent="0.25">
      <c r="A62" t="s">
        <v>9164</v>
      </c>
      <c r="C62" t="s">
        <v>9165</v>
      </c>
      <c r="D62" t="s">
        <v>9263</v>
      </c>
      <c r="E62" t="s">
        <v>9264</v>
      </c>
      <c r="F62" s="1">
        <v>44335</v>
      </c>
      <c r="G62" t="str">
        <f t="shared" si="3"/>
        <v>300115</v>
      </c>
      <c r="H62" t="s">
        <v>2938</v>
      </c>
      <c r="I62">
        <v>369600</v>
      </c>
    </row>
    <row r="63" spans="1:9" x14ac:dyDescent="0.25">
      <c r="A63" t="s">
        <v>9164</v>
      </c>
      <c r="C63" t="s">
        <v>9165</v>
      </c>
      <c r="D63" t="s">
        <v>9265</v>
      </c>
      <c r="E63" t="s">
        <v>9266</v>
      </c>
      <c r="F63" s="1">
        <v>44341</v>
      </c>
      <c r="G63" t="str">
        <f t="shared" si="3"/>
        <v>300115</v>
      </c>
      <c r="H63" t="s">
        <v>2938</v>
      </c>
      <c r="I63">
        <v>32778.196000000004</v>
      </c>
    </row>
    <row r="64" spans="1:9" x14ac:dyDescent="0.25">
      <c r="A64" t="s">
        <v>9164</v>
      </c>
      <c r="C64" t="s">
        <v>9165</v>
      </c>
      <c r="D64" t="s">
        <v>9267</v>
      </c>
      <c r="E64" t="s">
        <v>9266</v>
      </c>
      <c r="F64" s="1">
        <v>44341</v>
      </c>
      <c r="G64" t="str">
        <f t="shared" si="3"/>
        <v>300115</v>
      </c>
      <c r="H64" t="s">
        <v>2938</v>
      </c>
      <c r="I64">
        <v>45456.857600000003</v>
      </c>
    </row>
    <row r="65" spans="1:9" x14ac:dyDescent="0.25">
      <c r="A65" t="s">
        <v>9164</v>
      </c>
      <c r="C65" t="s">
        <v>9165</v>
      </c>
      <c r="D65" t="s">
        <v>9268</v>
      </c>
      <c r="E65" t="s">
        <v>9269</v>
      </c>
      <c r="F65" s="1">
        <v>44344</v>
      </c>
      <c r="G65" t="str">
        <f t="shared" si="3"/>
        <v>300115</v>
      </c>
      <c r="H65" t="s">
        <v>2938</v>
      </c>
      <c r="I65">
        <v>619520</v>
      </c>
    </row>
    <row r="66" spans="1:9" x14ac:dyDescent="0.25">
      <c r="A66" t="s">
        <v>9164</v>
      </c>
      <c r="C66" t="s">
        <v>9165</v>
      </c>
      <c r="D66" t="s">
        <v>9270</v>
      </c>
      <c r="E66" t="s">
        <v>9269</v>
      </c>
      <c r="F66" s="1">
        <v>44344</v>
      </c>
      <c r="G66" t="str">
        <f t="shared" si="3"/>
        <v>300115</v>
      </c>
      <c r="H66" t="s">
        <v>2938</v>
      </c>
      <c r="I66">
        <v>601677.82400000002</v>
      </c>
    </row>
    <row r="67" spans="1:9" x14ac:dyDescent="0.25">
      <c r="A67" t="s">
        <v>9164</v>
      </c>
      <c r="C67" t="s">
        <v>9165</v>
      </c>
      <c r="D67" t="s">
        <v>9271</v>
      </c>
      <c r="E67" t="s">
        <v>2172</v>
      </c>
      <c r="F67" s="1">
        <v>44345</v>
      </c>
      <c r="G67" t="str">
        <f t="shared" si="3"/>
        <v>300115</v>
      </c>
      <c r="H67" t="s">
        <v>2938</v>
      </c>
      <c r="I67">
        <v>1759558.5083999999</v>
      </c>
    </row>
    <row r="68" spans="1:9" x14ac:dyDescent="0.25">
      <c r="A68" t="s">
        <v>9164</v>
      </c>
      <c r="C68" t="s">
        <v>9165</v>
      </c>
      <c r="D68" t="s">
        <v>9272</v>
      </c>
      <c r="E68" t="s">
        <v>2172</v>
      </c>
      <c r="F68" s="1">
        <v>44355</v>
      </c>
      <c r="G68" t="str">
        <f t="shared" si="3"/>
        <v>300115</v>
      </c>
      <c r="H68" t="s">
        <v>2938</v>
      </c>
      <c r="I68">
        <v>9081.7628000000004</v>
      </c>
    </row>
    <row r="69" spans="1:9" x14ac:dyDescent="0.25">
      <c r="A69" t="s">
        <v>9164</v>
      </c>
      <c r="C69" t="s">
        <v>9165</v>
      </c>
      <c r="D69" t="s">
        <v>9273</v>
      </c>
      <c r="E69" t="s">
        <v>9243</v>
      </c>
      <c r="F69" s="1">
        <v>44359</v>
      </c>
      <c r="G69" t="str">
        <f t="shared" si="3"/>
        <v>300115</v>
      </c>
      <c r="H69" t="s">
        <v>2938</v>
      </c>
      <c r="I69">
        <v>802204.84299999999</v>
      </c>
    </row>
    <row r="70" spans="1:9" x14ac:dyDescent="0.25">
      <c r="A70" t="s">
        <v>9164</v>
      </c>
      <c r="C70" t="s">
        <v>9165</v>
      </c>
      <c r="D70" t="s">
        <v>9274</v>
      </c>
      <c r="E70" t="s">
        <v>2172</v>
      </c>
      <c r="F70" s="1">
        <v>44362</v>
      </c>
      <c r="G70" t="str">
        <f t="shared" si="3"/>
        <v>300115</v>
      </c>
      <c r="H70" t="s">
        <v>2938</v>
      </c>
      <c r="I70">
        <v>2052600</v>
      </c>
    </row>
    <row r="71" spans="1:9" x14ac:dyDescent="0.25">
      <c r="A71" t="s">
        <v>9164</v>
      </c>
      <c r="C71" t="s">
        <v>9165</v>
      </c>
      <c r="D71" t="s">
        <v>9275</v>
      </c>
      <c r="E71" t="s">
        <v>9189</v>
      </c>
      <c r="F71" s="1">
        <v>44369</v>
      </c>
      <c r="G71" t="str">
        <f t="shared" si="3"/>
        <v>300115</v>
      </c>
      <c r="H71" t="s">
        <v>2938</v>
      </c>
      <c r="I71">
        <v>111936.84480000001</v>
      </c>
    </row>
    <row r="72" spans="1:9" x14ac:dyDescent="0.25">
      <c r="A72" t="s">
        <v>9164</v>
      </c>
      <c r="C72" t="s">
        <v>9165</v>
      </c>
      <c r="D72" t="s">
        <v>9276</v>
      </c>
      <c r="E72" t="s">
        <v>9277</v>
      </c>
      <c r="F72" s="1">
        <v>44380</v>
      </c>
      <c r="G72" t="str">
        <f t="shared" si="3"/>
        <v>300115</v>
      </c>
      <c r="H72" t="s">
        <v>2938</v>
      </c>
      <c r="I72">
        <v>152277.84</v>
      </c>
    </row>
    <row r="73" spans="1:9" x14ac:dyDescent="0.25">
      <c r="A73" t="s">
        <v>9164</v>
      </c>
      <c r="C73" t="s">
        <v>9165</v>
      </c>
      <c r="D73" t="s">
        <v>9278</v>
      </c>
      <c r="E73" t="s">
        <v>9279</v>
      </c>
      <c r="F73" s="1">
        <v>44432</v>
      </c>
      <c r="G73" t="str">
        <f t="shared" si="3"/>
        <v>300115</v>
      </c>
      <c r="H73" t="s">
        <v>2938</v>
      </c>
      <c r="I73">
        <v>133903.42240000001</v>
      </c>
    </row>
    <row r="74" spans="1:9" x14ac:dyDescent="0.25">
      <c r="A74" t="s">
        <v>9164</v>
      </c>
      <c r="C74" t="s">
        <v>9165</v>
      </c>
      <c r="D74" t="s">
        <v>9280</v>
      </c>
      <c r="E74" t="s">
        <v>8852</v>
      </c>
      <c r="F74" s="1">
        <v>44446</v>
      </c>
      <c r="G74" t="str">
        <f t="shared" si="3"/>
        <v>300115</v>
      </c>
      <c r="H74" t="s">
        <v>2938</v>
      </c>
      <c r="I74">
        <v>203030.61900000001</v>
      </c>
    </row>
    <row r="75" spans="1:9" x14ac:dyDescent="0.25">
      <c r="A75" t="s">
        <v>9164</v>
      </c>
      <c r="C75" t="s">
        <v>9165</v>
      </c>
      <c r="D75" t="s">
        <v>9281</v>
      </c>
      <c r="E75" t="s">
        <v>1313</v>
      </c>
      <c r="F75" s="1">
        <v>44460</v>
      </c>
      <c r="G75" t="str">
        <f t="shared" si="3"/>
        <v>300115</v>
      </c>
      <c r="H75" t="s">
        <v>2938</v>
      </c>
      <c r="I75">
        <v>1458170.1816</v>
      </c>
    </row>
    <row r="76" spans="1:9" x14ac:dyDescent="0.25">
      <c r="A76" t="s">
        <v>9164</v>
      </c>
      <c r="C76" t="s">
        <v>9165</v>
      </c>
      <c r="D76" t="s">
        <v>9282</v>
      </c>
      <c r="E76" t="s">
        <v>8907</v>
      </c>
      <c r="F76" s="1">
        <v>44460</v>
      </c>
      <c r="G76" t="str">
        <f t="shared" si="3"/>
        <v>300115</v>
      </c>
      <c r="H76" t="s">
        <v>2938</v>
      </c>
      <c r="I76">
        <v>7117000</v>
      </c>
    </row>
    <row r="77" spans="1:9" x14ac:dyDescent="0.25">
      <c r="A77" t="s">
        <v>9164</v>
      </c>
      <c r="C77" t="s">
        <v>9165</v>
      </c>
      <c r="D77" t="s">
        <v>9283</v>
      </c>
      <c r="E77" t="s">
        <v>9284</v>
      </c>
      <c r="F77" s="1">
        <v>44469</v>
      </c>
      <c r="G77" t="str">
        <f>"300076"</f>
        <v>300076</v>
      </c>
      <c r="H77" t="s">
        <v>2905</v>
      </c>
      <c r="I77">
        <v>4200</v>
      </c>
    </row>
    <row r="78" spans="1:9" x14ac:dyDescent="0.25">
      <c r="A78" t="s">
        <v>9164</v>
      </c>
      <c r="C78" t="s">
        <v>9165</v>
      </c>
      <c r="D78" t="s">
        <v>9285</v>
      </c>
      <c r="E78" t="s">
        <v>9286</v>
      </c>
      <c r="F78" s="1">
        <v>44484</v>
      </c>
      <c r="G78" t="str">
        <f>"300115"</f>
        <v>300115</v>
      </c>
      <c r="H78" t="s">
        <v>2938</v>
      </c>
      <c r="I78">
        <v>188456.22289999999</v>
      </c>
    </row>
    <row r="79" spans="1:9" x14ac:dyDescent="0.25">
      <c r="A79" t="s">
        <v>9164</v>
      </c>
      <c r="C79" t="s">
        <v>9165</v>
      </c>
      <c r="D79" t="s">
        <v>9287</v>
      </c>
      <c r="E79" t="s">
        <v>9264</v>
      </c>
      <c r="F79" s="1">
        <v>44497</v>
      </c>
      <c r="G79" t="str">
        <f>"300115"</f>
        <v>300115</v>
      </c>
      <c r="H79" t="s">
        <v>2938</v>
      </c>
      <c r="I79">
        <v>202840</v>
      </c>
    </row>
    <row r="80" spans="1:9" x14ac:dyDescent="0.25">
      <c r="A80" t="s">
        <v>9164</v>
      </c>
      <c r="C80" t="s">
        <v>9165</v>
      </c>
      <c r="D80" t="s">
        <v>9288</v>
      </c>
      <c r="E80" t="s">
        <v>9189</v>
      </c>
      <c r="F80" s="1">
        <v>44509</v>
      </c>
      <c r="G80" t="str">
        <f>"300115"</f>
        <v>300115</v>
      </c>
      <c r="H80" t="s">
        <v>2938</v>
      </c>
      <c r="I80">
        <v>7623.6952000000001</v>
      </c>
    </row>
    <row r="81" spans="1:9" x14ac:dyDescent="0.25">
      <c r="A81" t="s">
        <v>9164</v>
      </c>
      <c r="C81" t="s">
        <v>9165</v>
      </c>
      <c r="D81" t="s">
        <v>9289</v>
      </c>
      <c r="E81" t="s">
        <v>2172</v>
      </c>
      <c r="F81" s="1">
        <v>44510</v>
      </c>
      <c r="G81" t="str">
        <f>"300115"</f>
        <v>300115</v>
      </c>
      <c r="H81" t="s">
        <v>2938</v>
      </c>
      <c r="I81">
        <v>368902.92560000002</v>
      </c>
    </row>
    <row r="82" spans="1:9" x14ac:dyDescent="0.25">
      <c r="A82" t="s">
        <v>9164</v>
      </c>
      <c r="C82" t="s">
        <v>9165</v>
      </c>
      <c r="D82" t="s">
        <v>9290</v>
      </c>
      <c r="E82" t="s">
        <v>9291</v>
      </c>
      <c r="F82" s="1">
        <v>44515</v>
      </c>
      <c r="G82" t="str">
        <f>"300115"</f>
        <v>300115</v>
      </c>
      <c r="H82" t="s">
        <v>2938</v>
      </c>
      <c r="I82">
        <v>317884.908</v>
      </c>
    </row>
    <row r="83" spans="1:9" x14ac:dyDescent="0.25">
      <c r="A83" t="s">
        <v>9164</v>
      </c>
      <c r="C83" t="s">
        <v>9165</v>
      </c>
      <c r="D83" t="s">
        <v>9292</v>
      </c>
      <c r="E83" t="s">
        <v>9293</v>
      </c>
      <c r="F83" s="1">
        <v>44560</v>
      </c>
      <c r="G83" t="str">
        <f>"300312"</f>
        <v>300312</v>
      </c>
      <c r="H83" t="s">
        <v>3053</v>
      </c>
      <c r="I83">
        <v>15586.56</v>
      </c>
    </row>
    <row r="84" spans="1:9" x14ac:dyDescent="0.25">
      <c r="A84" t="s">
        <v>9164</v>
      </c>
      <c r="C84" t="s">
        <v>9165</v>
      </c>
      <c r="D84" t="s">
        <v>9294</v>
      </c>
      <c r="E84" t="s">
        <v>9295</v>
      </c>
      <c r="F84" s="1">
        <v>44571</v>
      </c>
      <c r="G84" t="str">
        <f>"300081"</f>
        <v>300081</v>
      </c>
      <c r="H84" t="s">
        <v>2045</v>
      </c>
      <c r="I84">
        <v>121150.08</v>
      </c>
    </row>
    <row r="85" spans="1:9" x14ac:dyDescent="0.25">
      <c r="A85" t="s">
        <v>9164</v>
      </c>
      <c r="C85" t="s">
        <v>9165</v>
      </c>
      <c r="D85" t="s">
        <v>9296</v>
      </c>
      <c r="E85" t="s">
        <v>9297</v>
      </c>
      <c r="F85" s="1">
        <v>44580</v>
      </c>
      <c r="G85" t="str">
        <f t="shared" ref="G85:G104" si="4">"300115"</f>
        <v>300115</v>
      </c>
      <c r="H85" t="s">
        <v>2938</v>
      </c>
      <c r="I85">
        <v>816512.46600000001</v>
      </c>
    </row>
    <row r="86" spans="1:9" x14ac:dyDescent="0.25">
      <c r="A86" t="s">
        <v>9164</v>
      </c>
      <c r="C86" t="s">
        <v>9165</v>
      </c>
      <c r="D86" t="s">
        <v>9298</v>
      </c>
      <c r="E86" t="s">
        <v>9239</v>
      </c>
      <c r="F86" s="1">
        <v>44585</v>
      </c>
      <c r="G86" t="str">
        <f t="shared" si="4"/>
        <v>300115</v>
      </c>
      <c r="H86" t="s">
        <v>2938</v>
      </c>
      <c r="I86">
        <v>3335108.6252000001</v>
      </c>
    </row>
    <row r="87" spans="1:9" x14ac:dyDescent="0.25">
      <c r="A87" t="s">
        <v>9164</v>
      </c>
      <c r="C87" t="s">
        <v>9165</v>
      </c>
      <c r="D87" t="s">
        <v>9299</v>
      </c>
      <c r="E87" t="s">
        <v>9300</v>
      </c>
      <c r="F87" s="1">
        <v>44646</v>
      </c>
      <c r="G87" t="str">
        <f t="shared" si="4"/>
        <v>300115</v>
      </c>
      <c r="H87" t="s">
        <v>2938</v>
      </c>
      <c r="I87">
        <v>0</v>
      </c>
    </row>
    <row r="88" spans="1:9" x14ac:dyDescent="0.25">
      <c r="A88" t="s">
        <v>9164</v>
      </c>
      <c r="C88" t="s">
        <v>9165</v>
      </c>
      <c r="D88" t="s">
        <v>9301</v>
      </c>
      <c r="E88" t="s">
        <v>9300</v>
      </c>
      <c r="F88" s="1">
        <v>44651</v>
      </c>
      <c r="G88" t="str">
        <f t="shared" si="4"/>
        <v>300115</v>
      </c>
      <c r="H88" t="s">
        <v>2938</v>
      </c>
      <c r="I88">
        <v>105917.0442</v>
      </c>
    </row>
    <row r="89" spans="1:9" x14ac:dyDescent="0.25">
      <c r="A89" t="s">
        <v>9164</v>
      </c>
      <c r="C89" t="s">
        <v>9165</v>
      </c>
      <c r="D89" t="s">
        <v>9302</v>
      </c>
      <c r="E89" t="s">
        <v>9303</v>
      </c>
      <c r="F89" s="1">
        <v>44670</v>
      </c>
      <c r="G89" t="str">
        <f t="shared" si="4"/>
        <v>300115</v>
      </c>
      <c r="H89" t="s">
        <v>2938</v>
      </c>
      <c r="I89">
        <v>1588087.5053999999</v>
      </c>
    </row>
    <row r="90" spans="1:9" x14ac:dyDescent="0.25">
      <c r="A90" t="s">
        <v>9164</v>
      </c>
      <c r="C90" t="s">
        <v>9165</v>
      </c>
      <c r="D90" t="s">
        <v>9304</v>
      </c>
      <c r="E90" t="s">
        <v>9189</v>
      </c>
      <c r="F90" s="1">
        <v>44677</v>
      </c>
      <c r="G90" t="str">
        <f t="shared" si="4"/>
        <v>300115</v>
      </c>
      <c r="H90" t="s">
        <v>2938</v>
      </c>
      <c r="I90">
        <v>46779.612000000001</v>
      </c>
    </row>
    <row r="91" spans="1:9" x14ac:dyDescent="0.25">
      <c r="A91" t="s">
        <v>9164</v>
      </c>
      <c r="C91" t="s">
        <v>9165</v>
      </c>
      <c r="D91" t="s">
        <v>9305</v>
      </c>
      <c r="E91" s="2">
        <v>46027</v>
      </c>
      <c r="F91" s="1">
        <v>44694</v>
      </c>
      <c r="G91" t="str">
        <f t="shared" si="4"/>
        <v>300115</v>
      </c>
      <c r="H91" t="s">
        <v>2938</v>
      </c>
      <c r="I91">
        <v>104018.80499999999</v>
      </c>
    </row>
    <row r="92" spans="1:9" x14ac:dyDescent="0.25">
      <c r="A92" t="s">
        <v>9164</v>
      </c>
      <c r="C92" t="s">
        <v>9165</v>
      </c>
      <c r="D92" t="s">
        <v>9306</v>
      </c>
      <c r="E92" t="s">
        <v>9307</v>
      </c>
      <c r="F92" s="1">
        <v>44721</v>
      </c>
      <c r="G92" t="str">
        <f t="shared" si="4"/>
        <v>300115</v>
      </c>
      <c r="H92" t="s">
        <v>2938</v>
      </c>
      <c r="I92">
        <v>17769.5144</v>
      </c>
    </row>
    <row r="93" spans="1:9" x14ac:dyDescent="0.25">
      <c r="A93" t="s">
        <v>9164</v>
      </c>
      <c r="C93" t="s">
        <v>9165</v>
      </c>
      <c r="D93" t="s">
        <v>9308</v>
      </c>
      <c r="E93" t="s">
        <v>9309</v>
      </c>
      <c r="F93" s="1">
        <v>44725</v>
      </c>
      <c r="G93" t="str">
        <f t="shared" si="4"/>
        <v>300115</v>
      </c>
      <c r="H93" t="s">
        <v>2938</v>
      </c>
      <c r="I93">
        <v>0</v>
      </c>
    </row>
    <row r="94" spans="1:9" x14ac:dyDescent="0.25">
      <c r="A94" t="s">
        <v>9164</v>
      </c>
      <c r="C94" t="s">
        <v>9165</v>
      </c>
      <c r="D94" t="s">
        <v>9310</v>
      </c>
      <c r="E94" t="s">
        <v>9311</v>
      </c>
      <c r="F94" s="1">
        <v>44725</v>
      </c>
      <c r="G94" t="str">
        <f t="shared" si="4"/>
        <v>300115</v>
      </c>
      <c r="H94" t="s">
        <v>2938</v>
      </c>
      <c r="I94">
        <v>4079397.8412000001</v>
      </c>
    </row>
    <row r="95" spans="1:9" x14ac:dyDescent="0.25">
      <c r="A95" t="s">
        <v>9164</v>
      </c>
      <c r="C95" t="s">
        <v>9165</v>
      </c>
      <c r="D95" t="s">
        <v>9312</v>
      </c>
      <c r="E95" t="s">
        <v>9313</v>
      </c>
      <c r="F95" s="1">
        <v>44767</v>
      </c>
      <c r="G95" t="str">
        <f t="shared" si="4"/>
        <v>300115</v>
      </c>
      <c r="H95" t="s">
        <v>2938</v>
      </c>
      <c r="I95">
        <v>660194.21710000001</v>
      </c>
    </row>
    <row r="96" spans="1:9" x14ac:dyDescent="0.25">
      <c r="A96" t="s">
        <v>9164</v>
      </c>
      <c r="C96" t="s">
        <v>9165</v>
      </c>
      <c r="D96" t="s">
        <v>9314</v>
      </c>
      <c r="E96" s="2">
        <v>46027</v>
      </c>
      <c r="F96" s="1">
        <v>44784</v>
      </c>
      <c r="G96" t="str">
        <f t="shared" si="4"/>
        <v>300115</v>
      </c>
      <c r="H96" t="s">
        <v>2938</v>
      </c>
      <c r="I96">
        <v>129094.02</v>
      </c>
    </row>
    <row r="97" spans="1:9" x14ac:dyDescent="0.25">
      <c r="A97" t="s">
        <v>9164</v>
      </c>
      <c r="C97" t="s">
        <v>9165</v>
      </c>
      <c r="D97" t="s">
        <v>9315</v>
      </c>
      <c r="E97" t="s">
        <v>1313</v>
      </c>
      <c r="F97" s="1">
        <v>44796</v>
      </c>
      <c r="G97" t="str">
        <f t="shared" si="4"/>
        <v>300115</v>
      </c>
      <c r="H97" t="s">
        <v>2938</v>
      </c>
      <c r="I97">
        <v>173934.54759999999</v>
      </c>
    </row>
    <row r="98" spans="1:9" x14ac:dyDescent="0.25">
      <c r="A98" t="s">
        <v>9164</v>
      </c>
      <c r="C98" t="s">
        <v>9165</v>
      </c>
      <c r="D98" t="s">
        <v>9316</v>
      </c>
      <c r="E98" t="s">
        <v>9269</v>
      </c>
      <c r="F98" s="1">
        <v>44796</v>
      </c>
      <c r="G98" t="str">
        <f t="shared" si="4"/>
        <v>300115</v>
      </c>
      <c r="H98" t="s">
        <v>2938</v>
      </c>
      <c r="I98">
        <v>652520</v>
      </c>
    </row>
    <row r="99" spans="1:9" x14ac:dyDescent="0.25">
      <c r="A99" t="s">
        <v>9164</v>
      </c>
      <c r="C99" t="s">
        <v>9165</v>
      </c>
      <c r="D99" t="s">
        <v>9317</v>
      </c>
      <c r="E99" t="s">
        <v>9297</v>
      </c>
      <c r="F99" s="1">
        <v>44799</v>
      </c>
      <c r="G99" t="str">
        <f t="shared" si="4"/>
        <v>300115</v>
      </c>
      <c r="H99" t="s">
        <v>2938</v>
      </c>
      <c r="I99">
        <v>762543.93599999999</v>
      </c>
    </row>
    <row r="100" spans="1:9" x14ac:dyDescent="0.25">
      <c r="A100" t="s">
        <v>9164</v>
      </c>
      <c r="C100" t="s">
        <v>9165</v>
      </c>
      <c r="D100" t="s">
        <v>9318</v>
      </c>
      <c r="E100" t="s">
        <v>9319</v>
      </c>
      <c r="F100" s="1">
        <v>44806</v>
      </c>
      <c r="G100" t="str">
        <f t="shared" si="4"/>
        <v>300115</v>
      </c>
      <c r="H100" t="s">
        <v>2938</v>
      </c>
      <c r="I100">
        <v>154598.39999999999</v>
      </c>
    </row>
    <row r="101" spans="1:9" x14ac:dyDescent="0.25">
      <c r="A101" t="s">
        <v>9164</v>
      </c>
      <c r="C101" t="s">
        <v>9165</v>
      </c>
      <c r="D101" t="s">
        <v>9320</v>
      </c>
      <c r="E101" t="s">
        <v>8852</v>
      </c>
      <c r="F101" s="1">
        <v>44813</v>
      </c>
      <c r="G101" t="str">
        <f t="shared" si="4"/>
        <v>300115</v>
      </c>
      <c r="H101" t="s">
        <v>2938</v>
      </c>
      <c r="I101">
        <v>108419.564</v>
      </c>
    </row>
    <row r="102" spans="1:9" x14ac:dyDescent="0.25">
      <c r="A102" t="s">
        <v>9164</v>
      </c>
      <c r="C102" t="s">
        <v>9165</v>
      </c>
      <c r="D102" t="s">
        <v>9321</v>
      </c>
      <c r="E102" t="s">
        <v>8852</v>
      </c>
      <c r="F102" s="1">
        <v>44841</v>
      </c>
      <c r="G102" t="str">
        <f t="shared" si="4"/>
        <v>300115</v>
      </c>
      <c r="H102" t="s">
        <v>2938</v>
      </c>
      <c r="I102">
        <v>152056.88080000001</v>
      </c>
    </row>
    <row r="103" spans="1:9" x14ac:dyDescent="0.25">
      <c r="A103" t="s">
        <v>9164</v>
      </c>
      <c r="C103" t="s">
        <v>9165</v>
      </c>
      <c r="D103" t="s">
        <v>9322</v>
      </c>
      <c r="E103" t="s">
        <v>9323</v>
      </c>
      <c r="F103" s="1">
        <v>44841</v>
      </c>
      <c r="G103" t="str">
        <f t="shared" si="4"/>
        <v>300115</v>
      </c>
      <c r="H103" t="s">
        <v>2938</v>
      </c>
      <c r="I103">
        <v>21210.6587</v>
      </c>
    </row>
    <row r="104" spans="1:9" x14ac:dyDescent="0.25">
      <c r="A104" t="s">
        <v>9164</v>
      </c>
      <c r="C104" t="s">
        <v>9165</v>
      </c>
      <c r="D104" t="s">
        <v>9324</v>
      </c>
      <c r="E104" t="s">
        <v>9239</v>
      </c>
      <c r="F104" s="1">
        <v>44841</v>
      </c>
      <c r="G104" t="str">
        <f t="shared" si="4"/>
        <v>300115</v>
      </c>
      <c r="H104" t="s">
        <v>2938</v>
      </c>
      <c r="I104">
        <v>5582.94</v>
      </c>
    </row>
    <row r="105" spans="1:9" x14ac:dyDescent="0.25">
      <c r="A105" t="s">
        <v>9164</v>
      </c>
      <c r="C105" t="s">
        <v>9165</v>
      </c>
      <c r="D105" t="s">
        <v>9325</v>
      </c>
      <c r="E105" t="s">
        <v>9326</v>
      </c>
      <c r="F105" s="1">
        <v>44851</v>
      </c>
      <c r="G105" t="str">
        <f>"300226"</f>
        <v>300226</v>
      </c>
      <c r="H105" t="s">
        <v>3025</v>
      </c>
      <c r="I105">
        <v>2557.8000000000002</v>
      </c>
    </row>
    <row r="106" spans="1:9" x14ac:dyDescent="0.25">
      <c r="A106" t="s">
        <v>9164</v>
      </c>
      <c r="C106" t="s">
        <v>9165</v>
      </c>
      <c r="D106" t="s">
        <v>9327</v>
      </c>
      <c r="E106" t="s">
        <v>9112</v>
      </c>
      <c r="F106" s="1">
        <v>44861</v>
      </c>
      <c r="G106" t="str">
        <f t="shared" ref="G106:G116" si="5">"300115"</f>
        <v>300115</v>
      </c>
      <c r="H106" t="s">
        <v>2938</v>
      </c>
      <c r="I106">
        <v>2266220</v>
      </c>
    </row>
    <row r="107" spans="1:9" x14ac:dyDescent="0.25">
      <c r="A107" t="s">
        <v>9164</v>
      </c>
      <c r="C107" t="s">
        <v>9165</v>
      </c>
      <c r="D107" t="s">
        <v>9328</v>
      </c>
      <c r="E107" t="s">
        <v>9329</v>
      </c>
      <c r="F107" s="1">
        <v>44867</v>
      </c>
      <c r="G107" t="str">
        <f t="shared" si="5"/>
        <v>300115</v>
      </c>
      <c r="H107" t="s">
        <v>2938</v>
      </c>
      <c r="I107">
        <v>266443.07799999998</v>
      </c>
    </row>
    <row r="108" spans="1:9" x14ac:dyDescent="0.25">
      <c r="A108" t="s">
        <v>9164</v>
      </c>
      <c r="C108" t="s">
        <v>9165</v>
      </c>
      <c r="D108" t="s">
        <v>9330</v>
      </c>
      <c r="E108" t="s">
        <v>9239</v>
      </c>
      <c r="F108" s="1">
        <v>44881</v>
      </c>
      <c r="G108" t="str">
        <f t="shared" si="5"/>
        <v>300115</v>
      </c>
      <c r="H108" t="s">
        <v>2938</v>
      </c>
      <c r="I108">
        <v>1289169.8160000001</v>
      </c>
    </row>
    <row r="109" spans="1:9" x14ac:dyDescent="0.25">
      <c r="A109" t="s">
        <v>9164</v>
      </c>
      <c r="C109" t="s">
        <v>9165</v>
      </c>
      <c r="D109" t="s">
        <v>9331</v>
      </c>
      <c r="E109" t="s">
        <v>9266</v>
      </c>
      <c r="F109" s="1">
        <v>44895</v>
      </c>
      <c r="G109" t="str">
        <f t="shared" si="5"/>
        <v>300115</v>
      </c>
      <c r="H109" t="s">
        <v>2938</v>
      </c>
      <c r="I109">
        <v>144410.11199999999</v>
      </c>
    </row>
    <row r="110" spans="1:9" x14ac:dyDescent="0.25">
      <c r="A110" t="s">
        <v>9164</v>
      </c>
      <c r="C110" t="s">
        <v>9165</v>
      </c>
      <c r="D110" t="s">
        <v>9332</v>
      </c>
      <c r="E110" t="s">
        <v>2566</v>
      </c>
      <c r="F110" s="1">
        <v>44900</v>
      </c>
      <c r="G110" t="str">
        <f t="shared" si="5"/>
        <v>300115</v>
      </c>
      <c r="H110" t="s">
        <v>2938</v>
      </c>
      <c r="I110">
        <v>250034.4</v>
      </c>
    </row>
    <row r="111" spans="1:9" x14ac:dyDescent="0.25">
      <c r="A111" t="s">
        <v>9164</v>
      </c>
      <c r="C111" t="s">
        <v>9165</v>
      </c>
      <c r="D111" t="s">
        <v>9333</v>
      </c>
      <c r="E111" t="s">
        <v>1313</v>
      </c>
      <c r="F111" s="1">
        <v>44921</v>
      </c>
      <c r="G111" t="str">
        <f t="shared" si="5"/>
        <v>300115</v>
      </c>
      <c r="H111" t="s">
        <v>2938</v>
      </c>
      <c r="I111">
        <v>1343576.135</v>
      </c>
    </row>
    <row r="112" spans="1:9" x14ac:dyDescent="0.25">
      <c r="A112" t="s">
        <v>9164</v>
      </c>
      <c r="C112" t="s">
        <v>9165</v>
      </c>
      <c r="D112" t="s">
        <v>9334</v>
      </c>
      <c r="E112" t="s">
        <v>9335</v>
      </c>
      <c r="F112" s="1">
        <v>44923</v>
      </c>
      <c r="G112" t="str">
        <f t="shared" si="5"/>
        <v>300115</v>
      </c>
      <c r="H112" t="s">
        <v>2938</v>
      </c>
      <c r="I112">
        <v>2364303.0070000002</v>
      </c>
    </row>
    <row r="113" spans="1:9" x14ac:dyDescent="0.25">
      <c r="A113" t="s">
        <v>9164</v>
      </c>
      <c r="C113" t="s">
        <v>9165</v>
      </c>
      <c r="D113" t="s">
        <v>9336</v>
      </c>
      <c r="E113" t="s">
        <v>9337</v>
      </c>
      <c r="F113" s="1">
        <v>44923</v>
      </c>
      <c r="G113" t="str">
        <f t="shared" si="5"/>
        <v>300115</v>
      </c>
      <c r="H113" t="s">
        <v>2938</v>
      </c>
      <c r="I113">
        <v>6655000</v>
      </c>
    </row>
    <row r="114" spans="1:9" x14ac:dyDescent="0.25">
      <c r="A114" t="s">
        <v>9164</v>
      </c>
      <c r="C114" t="s">
        <v>9165</v>
      </c>
      <c r="D114" t="s">
        <v>9338</v>
      </c>
      <c r="E114" t="s">
        <v>9264</v>
      </c>
      <c r="F114" s="1">
        <v>44923</v>
      </c>
      <c r="G114" t="str">
        <f t="shared" si="5"/>
        <v>300115</v>
      </c>
      <c r="H114" t="s">
        <v>2938</v>
      </c>
      <c r="I114">
        <v>298210</v>
      </c>
    </row>
    <row r="115" spans="1:9" x14ac:dyDescent="0.25">
      <c r="A115" t="s">
        <v>9164</v>
      </c>
      <c r="C115" t="s">
        <v>9165</v>
      </c>
      <c r="D115" t="s">
        <v>9339</v>
      </c>
      <c r="E115" t="s">
        <v>1313</v>
      </c>
      <c r="F115" s="1">
        <v>44943</v>
      </c>
      <c r="G115" t="str">
        <f t="shared" si="5"/>
        <v>300115</v>
      </c>
      <c r="H115" t="s">
        <v>2938</v>
      </c>
      <c r="I115">
        <v>6874823.4720000001</v>
      </c>
    </row>
    <row r="116" spans="1:9" x14ac:dyDescent="0.25">
      <c r="A116" t="s">
        <v>9164</v>
      </c>
      <c r="C116" t="s">
        <v>9165</v>
      </c>
      <c r="D116" t="s">
        <v>9340</v>
      </c>
      <c r="E116" t="s">
        <v>9341</v>
      </c>
      <c r="F116" s="1">
        <v>44943</v>
      </c>
      <c r="G116" t="str">
        <f t="shared" si="5"/>
        <v>300115</v>
      </c>
      <c r="H116" t="s">
        <v>2938</v>
      </c>
      <c r="I116">
        <v>2574179.1570000001</v>
      </c>
    </row>
    <row r="117" spans="1:9" x14ac:dyDescent="0.25">
      <c r="A117" t="s">
        <v>9164</v>
      </c>
      <c r="C117" t="s">
        <v>9165</v>
      </c>
      <c r="D117" t="s">
        <v>9342</v>
      </c>
      <c r="E117" t="s">
        <v>9343</v>
      </c>
      <c r="F117" s="1">
        <v>44965</v>
      </c>
      <c r="G117" t="str">
        <f>"300220"</f>
        <v>300220</v>
      </c>
      <c r="H117" t="s">
        <v>2170</v>
      </c>
      <c r="I117">
        <v>175717.212</v>
      </c>
    </row>
    <row r="118" spans="1:9" x14ac:dyDescent="0.25">
      <c r="A118" t="s">
        <v>9164</v>
      </c>
      <c r="C118" t="s">
        <v>9165</v>
      </c>
      <c r="D118" t="s">
        <v>9344</v>
      </c>
      <c r="E118" t="s">
        <v>9345</v>
      </c>
      <c r="F118" s="1">
        <v>44973</v>
      </c>
      <c r="G118" t="str">
        <f>"300115"</f>
        <v>300115</v>
      </c>
      <c r="H118" t="s">
        <v>2938</v>
      </c>
      <c r="I118">
        <v>0</v>
      </c>
    </row>
    <row r="119" spans="1:9" x14ac:dyDescent="0.25">
      <c r="A119" t="s">
        <v>9164</v>
      </c>
      <c r="C119" t="s">
        <v>9165</v>
      </c>
      <c r="D119" t="s">
        <v>9346</v>
      </c>
      <c r="E119" t="s">
        <v>9204</v>
      </c>
      <c r="F119" s="1">
        <v>44984</v>
      </c>
      <c r="G119" t="str">
        <f>"300115"</f>
        <v>300115</v>
      </c>
      <c r="H119" t="s">
        <v>2938</v>
      </c>
      <c r="I119">
        <v>10331.9931</v>
      </c>
    </row>
    <row r="120" spans="1:9" x14ac:dyDescent="0.25">
      <c r="A120" t="s">
        <v>9164</v>
      </c>
      <c r="C120" t="s">
        <v>9165</v>
      </c>
      <c r="D120" t="s">
        <v>9347</v>
      </c>
      <c r="E120" t="s">
        <v>9348</v>
      </c>
      <c r="F120" s="1">
        <v>44988</v>
      </c>
      <c r="G120" t="str">
        <f>"300115"</f>
        <v>300115</v>
      </c>
      <c r="H120" t="s">
        <v>2938</v>
      </c>
      <c r="I120">
        <v>2324.6761999999999</v>
      </c>
    </row>
    <row r="121" spans="1:9" x14ac:dyDescent="0.25">
      <c r="A121" t="s">
        <v>9164</v>
      </c>
      <c r="C121" t="s">
        <v>9165</v>
      </c>
      <c r="D121" t="s">
        <v>9349</v>
      </c>
      <c r="E121" t="s">
        <v>9350</v>
      </c>
      <c r="F121" s="1">
        <v>44994</v>
      </c>
      <c r="G121" t="str">
        <f>"300115"</f>
        <v>300115</v>
      </c>
      <c r="H121" t="s">
        <v>2938</v>
      </c>
      <c r="I121">
        <v>319000</v>
      </c>
    </row>
    <row r="122" spans="1:9" x14ac:dyDescent="0.25">
      <c r="A122" t="s">
        <v>9164</v>
      </c>
      <c r="C122" t="s">
        <v>9165</v>
      </c>
      <c r="D122" t="s">
        <v>9351</v>
      </c>
      <c r="E122" t="s">
        <v>9352</v>
      </c>
      <c r="F122" s="1">
        <v>45023</v>
      </c>
      <c r="G122" t="str">
        <f>"300312"</f>
        <v>300312</v>
      </c>
      <c r="H122" t="s">
        <v>3053</v>
      </c>
      <c r="I122">
        <v>0</v>
      </c>
    </row>
    <row r="123" spans="1:9" x14ac:dyDescent="0.25">
      <c r="A123" t="s">
        <v>9164</v>
      </c>
      <c r="C123" t="s">
        <v>9165</v>
      </c>
      <c r="D123" t="s">
        <v>9353</v>
      </c>
      <c r="E123" t="s">
        <v>9343</v>
      </c>
      <c r="F123" s="1">
        <v>45048</v>
      </c>
      <c r="G123" t="str">
        <f>"300220"</f>
        <v>300220</v>
      </c>
      <c r="H123" t="s">
        <v>2170</v>
      </c>
      <c r="I123">
        <v>172923.2</v>
      </c>
    </row>
    <row r="124" spans="1:9" x14ac:dyDescent="0.25">
      <c r="A124" t="s">
        <v>9164</v>
      </c>
      <c r="C124" t="s">
        <v>9165</v>
      </c>
      <c r="D124" t="s">
        <v>9354</v>
      </c>
      <c r="E124" t="s">
        <v>9355</v>
      </c>
      <c r="F124" s="1">
        <v>45064</v>
      </c>
      <c r="G124" t="str">
        <f>"300115"</f>
        <v>300115</v>
      </c>
      <c r="H124" t="s">
        <v>2938</v>
      </c>
      <c r="I124">
        <v>616000</v>
      </c>
    </row>
    <row r="125" spans="1:9" x14ac:dyDescent="0.25">
      <c r="A125" t="s">
        <v>9164</v>
      </c>
      <c r="C125" t="s">
        <v>9165</v>
      </c>
      <c r="D125" t="s">
        <v>9356</v>
      </c>
      <c r="E125" t="s">
        <v>1928</v>
      </c>
      <c r="F125" s="1">
        <v>45085</v>
      </c>
      <c r="G125" t="str">
        <f>"300115"</f>
        <v>300115</v>
      </c>
      <c r="H125" t="s">
        <v>2938</v>
      </c>
      <c r="I125">
        <v>804482.11800000002</v>
      </c>
    </row>
    <row r="126" spans="1:9" x14ac:dyDescent="0.25">
      <c r="A126" t="s">
        <v>9164</v>
      </c>
      <c r="C126" t="s">
        <v>9165</v>
      </c>
      <c r="D126" t="s">
        <v>9357</v>
      </c>
      <c r="E126" t="s">
        <v>1313</v>
      </c>
      <c r="F126" s="1">
        <v>45089</v>
      </c>
      <c r="G126" t="str">
        <f>"300115"</f>
        <v>300115</v>
      </c>
      <c r="H126" t="s">
        <v>2938</v>
      </c>
      <c r="I126">
        <v>19581</v>
      </c>
    </row>
    <row r="127" spans="1:9" x14ac:dyDescent="0.25">
      <c r="A127" t="s">
        <v>9164</v>
      </c>
      <c r="C127" t="s">
        <v>9165</v>
      </c>
      <c r="D127" t="s">
        <v>9358</v>
      </c>
      <c r="E127" t="s">
        <v>9343</v>
      </c>
      <c r="F127" s="1">
        <v>45119</v>
      </c>
      <c r="G127" t="str">
        <f>"300220"</f>
        <v>300220</v>
      </c>
      <c r="H127" t="s">
        <v>2170</v>
      </c>
      <c r="I127">
        <v>2858570.9240000001</v>
      </c>
    </row>
    <row r="128" spans="1:9" x14ac:dyDescent="0.25">
      <c r="A128" t="s">
        <v>9164</v>
      </c>
      <c r="C128" t="s">
        <v>9165</v>
      </c>
      <c r="D128" t="s">
        <v>9359</v>
      </c>
      <c r="E128" t="s">
        <v>9360</v>
      </c>
      <c r="F128" s="1">
        <v>45119</v>
      </c>
      <c r="G128" t="str">
        <f>"300220"</f>
        <v>300220</v>
      </c>
      <c r="H128" t="s">
        <v>2170</v>
      </c>
      <c r="I128">
        <v>9588563.2479999997</v>
      </c>
    </row>
    <row r="129" spans="1:9" x14ac:dyDescent="0.25">
      <c r="A129" t="s">
        <v>9164</v>
      </c>
      <c r="C129" t="s">
        <v>9165</v>
      </c>
      <c r="D129" t="s">
        <v>9361</v>
      </c>
      <c r="E129" t="s">
        <v>9112</v>
      </c>
      <c r="F129" s="1">
        <v>45127</v>
      </c>
      <c r="G129" t="str">
        <f>"300115"</f>
        <v>300115</v>
      </c>
      <c r="H129" t="s">
        <v>2938</v>
      </c>
      <c r="I129">
        <v>1938407.504</v>
      </c>
    </row>
    <row r="130" spans="1:9" x14ac:dyDescent="0.25">
      <c r="A130" t="s">
        <v>9164</v>
      </c>
      <c r="C130" t="s">
        <v>9165</v>
      </c>
      <c r="D130" t="s">
        <v>9362</v>
      </c>
      <c r="E130" t="s">
        <v>1313</v>
      </c>
      <c r="F130" s="1">
        <v>45135</v>
      </c>
      <c r="G130" t="str">
        <f>"300115"</f>
        <v>300115</v>
      </c>
      <c r="H130" t="s">
        <v>2938</v>
      </c>
      <c r="I130">
        <v>5872.9946</v>
      </c>
    </row>
    <row r="131" spans="1:9" x14ac:dyDescent="0.25">
      <c r="A131" t="s">
        <v>9164</v>
      </c>
      <c r="C131" t="s">
        <v>9165</v>
      </c>
      <c r="D131" t="s">
        <v>9363</v>
      </c>
      <c r="E131" t="s">
        <v>9335</v>
      </c>
      <c r="F131" s="1">
        <v>45176</v>
      </c>
      <c r="G131" t="str">
        <f>"300115"</f>
        <v>300115</v>
      </c>
      <c r="H131" t="s">
        <v>2938</v>
      </c>
      <c r="I131">
        <v>275.26400000000001</v>
      </c>
    </row>
    <row r="132" spans="1:9" x14ac:dyDescent="0.25">
      <c r="A132" t="s">
        <v>9164</v>
      </c>
      <c r="C132" t="s">
        <v>9165</v>
      </c>
      <c r="D132" t="s">
        <v>9364</v>
      </c>
      <c r="E132" t="s">
        <v>9365</v>
      </c>
      <c r="F132" s="1">
        <v>45190</v>
      </c>
      <c r="G132" t="str">
        <f>"300115"</f>
        <v>300115</v>
      </c>
      <c r="H132" t="s">
        <v>2938</v>
      </c>
      <c r="I132">
        <v>37854.460599999999</v>
      </c>
    </row>
    <row r="133" spans="1:9" x14ac:dyDescent="0.25">
      <c r="A133" t="s">
        <v>9164</v>
      </c>
      <c r="C133" t="s">
        <v>9165</v>
      </c>
      <c r="D133" t="s">
        <v>9366</v>
      </c>
      <c r="E133" t="s">
        <v>9337</v>
      </c>
      <c r="F133" s="1">
        <v>45215</v>
      </c>
      <c r="G133" t="str">
        <f>"300115"</f>
        <v>300115</v>
      </c>
      <c r="H133" t="s">
        <v>2938</v>
      </c>
      <c r="I133">
        <v>3943500</v>
      </c>
    </row>
    <row r="134" spans="1:9" x14ac:dyDescent="0.25">
      <c r="A134" t="s">
        <v>9164</v>
      </c>
      <c r="C134" t="s">
        <v>9165</v>
      </c>
      <c r="D134" t="s">
        <v>9367</v>
      </c>
      <c r="E134" t="s">
        <v>9189</v>
      </c>
      <c r="F134" s="1">
        <v>45225</v>
      </c>
      <c r="G134" t="str">
        <f>"300220"</f>
        <v>300220</v>
      </c>
      <c r="H134" t="s">
        <v>2170</v>
      </c>
      <c r="I134">
        <v>242000</v>
      </c>
    </row>
    <row r="135" spans="1:9" x14ac:dyDescent="0.25">
      <c r="A135" t="s">
        <v>9164</v>
      </c>
      <c r="C135" t="s">
        <v>9165</v>
      </c>
      <c r="D135" t="s">
        <v>9368</v>
      </c>
      <c r="E135" t="s">
        <v>9365</v>
      </c>
      <c r="F135" s="1">
        <v>45241</v>
      </c>
      <c r="G135" t="str">
        <f>"300115"</f>
        <v>300115</v>
      </c>
      <c r="H135" t="s">
        <v>2938</v>
      </c>
      <c r="I135">
        <v>179968.03</v>
      </c>
    </row>
    <row r="136" spans="1:9" x14ac:dyDescent="0.25">
      <c r="A136" t="s">
        <v>9164</v>
      </c>
      <c r="C136" t="s">
        <v>9165</v>
      </c>
      <c r="D136" t="s">
        <v>9369</v>
      </c>
      <c r="E136" t="s">
        <v>9204</v>
      </c>
      <c r="F136" s="1">
        <v>45260</v>
      </c>
      <c r="G136" t="str">
        <f>"300115"</f>
        <v>300115</v>
      </c>
      <c r="H136" t="s">
        <v>2938</v>
      </c>
      <c r="I136">
        <v>3475.1651000000002</v>
      </c>
    </row>
    <row r="137" spans="1:9" x14ac:dyDescent="0.25">
      <c r="A137" t="s">
        <v>9164</v>
      </c>
      <c r="C137" t="s">
        <v>9165</v>
      </c>
      <c r="D137" t="s">
        <v>9370</v>
      </c>
      <c r="E137" t="s">
        <v>9371</v>
      </c>
      <c r="F137" s="1">
        <v>45285</v>
      </c>
      <c r="G137" t="str">
        <f>"300220"</f>
        <v>300220</v>
      </c>
      <c r="H137" t="s">
        <v>2170</v>
      </c>
      <c r="I137">
        <v>1084600</v>
      </c>
    </row>
    <row r="138" spans="1:9" x14ac:dyDescent="0.25">
      <c r="A138" t="s">
        <v>9164</v>
      </c>
      <c r="C138" t="s">
        <v>9165</v>
      </c>
      <c r="D138" t="s">
        <v>9372</v>
      </c>
      <c r="E138" t="s">
        <v>9335</v>
      </c>
      <c r="F138" s="1">
        <v>45296</v>
      </c>
      <c r="G138" t="str">
        <f>"300115"</f>
        <v>300115</v>
      </c>
      <c r="H138" t="s">
        <v>2938</v>
      </c>
      <c r="I138">
        <v>170805.69</v>
      </c>
    </row>
    <row r="139" spans="1:9" x14ac:dyDescent="0.25">
      <c r="A139" t="s">
        <v>9164</v>
      </c>
      <c r="C139" t="s">
        <v>9165</v>
      </c>
      <c r="D139" t="s">
        <v>9373</v>
      </c>
      <c r="E139" t="s">
        <v>9374</v>
      </c>
      <c r="F139" s="1">
        <v>45308</v>
      </c>
      <c r="G139" t="str">
        <f>"300220"</f>
        <v>300220</v>
      </c>
      <c r="H139" t="s">
        <v>2170</v>
      </c>
      <c r="I139">
        <v>311785.58399999997</v>
      </c>
    </row>
    <row r="140" spans="1:9" x14ac:dyDescent="0.25">
      <c r="A140" t="s">
        <v>9164</v>
      </c>
      <c r="C140" t="s">
        <v>9165</v>
      </c>
      <c r="D140" t="s">
        <v>9375</v>
      </c>
      <c r="E140" t="s">
        <v>9376</v>
      </c>
      <c r="F140" s="1">
        <v>45330</v>
      </c>
      <c r="G140" t="str">
        <f>"300220"</f>
        <v>300220</v>
      </c>
      <c r="H140" t="s">
        <v>2170</v>
      </c>
      <c r="I140">
        <v>1045000</v>
      </c>
    </row>
    <row r="141" spans="1:9" x14ac:dyDescent="0.25">
      <c r="A141" t="s">
        <v>9164</v>
      </c>
      <c r="C141" t="s">
        <v>9165</v>
      </c>
      <c r="D141" t="s">
        <v>9377</v>
      </c>
      <c r="E141" t="s">
        <v>9189</v>
      </c>
      <c r="F141" s="1">
        <v>45337</v>
      </c>
      <c r="G141" t="str">
        <f>"300115"</f>
        <v>300115</v>
      </c>
      <c r="H141" t="s">
        <v>2938</v>
      </c>
      <c r="I141">
        <v>52472.211000000003</v>
      </c>
    </row>
    <row r="142" spans="1:9" x14ac:dyDescent="0.25">
      <c r="A142" t="s">
        <v>9164</v>
      </c>
      <c r="C142" t="s">
        <v>9165</v>
      </c>
      <c r="D142" t="s">
        <v>9378</v>
      </c>
      <c r="E142" t="s">
        <v>9335</v>
      </c>
      <c r="F142" s="1">
        <v>45341</v>
      </c>
      <c r="G142" t="str">
        <f>"300381"</f>
        <v>300381</v>
      </c>
      <c r="H142" t="s">
        <v>3118</v>
      </c>
      <c r="I142">
        <v>726665.43729999999</v>
      </c>
    </row>
    <row r="143" spans="1:9" x14ac:dyDescent="0.25">
      <c r="A143" t="s">
        <v>9164</v>
      </c>
      <c r="C143" t="s">
        <v>9165</v>
      </c>
      <c r="D143" t="s">
        <v>9379</v>
      </c>
      <c r="E143" t="s">
        <v>9345</v>
      </c>
      <c r="F143" s="1">
        <v>45345</v>
      </c>
      <c r="G143" t="str">
        <f>"300115"</f>
        <v>300115</v>
      </c>
      <c r="H143" t="s">
        <v>2938</v>
      </c>
      <c r="I143">
        <v>9230.4519999999993</v>
      </c>
    </row>
    <row r="144" spans="1:9" x14ac:dyDescent="0.25">
      <c r="A144" t="s">
        <v>9164</v>
      </c>
      <c r="C144" t="s">
        <v>9165</v>
      </c>
      <c r="D144" t="s">
        <v>9380</v>
      </c>
      <c r="E144" t="s">
        <v>8967</v>
      </c>
      <c r="F144" s="1">
        <v>45364</v>
      </c>
      <c r="G144" t="str">
        <f>"300356"</f>
        <v>300356</v>
      </c>
      <c r="H144" t="s">
        <v>3094</v>
      </c>
      <c r="I144">
        <v>3291.2</v>
      </c>
    </row>
    <row r="145" spans="1:9" x14ac:dyDescent="0.25">
      <c r="A145" t="s">
        <v>9164</v>
      </c>
      <c r="C145" t="s">
        <v>9165</v>
      </c>
      <c r="D145" t="s">
        <v>9381</v>
      </c>
      <c r="E145" t="s">
        <v>9382</v>
      </c>
      <c r="F145" s="1">
        <v>45377</v>
      </c>
      <c r="G145" t="str">
        <f>"300382"</f>
        <v>300382</v>
      </c>
      <c r="H145" t="s">
        <v>3119</v>
      </c>
      <c r="I145">
        <v>625739.4</v>
      </c>
    </row>
    <row r="146" spans="1:9" x14ac:dyDescent="0.25">
      <c r="A146" t="s">
        <v>9164</v>
      </c>
      <c r="C146" t="s">
        <v>9165</v>
      </c>
      <c r="D146" t="s">
        <v>9383</v>
      </c>
      <c r="E146" t="s">
        <v>9384</v>
      </c>
      <c r="F146" s="1">
        <v>45412</v>
      </c>
      <c r="G146" t="str">
        <f>"300220"</f>
        <v>300220</v>
      </c>
      <c r="H146" t="s">
        <v>2170</v>
      </c>
      <c r="I146">
        <v>1094500</v>
      </c>
    </row>
    <row r="147" spans="1:9" x14ac:dyDescent="0.25">
      <c r="A147" t="s">
        <v>9164</v>
      </c>
      <c r="C147" t="s">
        <v>9165</v>
      </c>
      <c r="D147" t="s">
        <v>9385</v>
      </c>
      <c r="E147" t="s">
        <v>9386</v>
      </c>
      <c r="F147" s="1">
        <v>45412</v>
      </c>
      <c r="G147" t="str">
        <f>"300220"</f>
        <v>300220</v>
      </c>
      <c r="H147" t="s">
        <v>2170</v>
      </c>
      <c r="I147">
        <v>1144000</v>
      </c>
    </row>
    <row r="148" spans="1:9" x14ac:dyDescent="0.25">
      <c r="A148" t="s">
        <v>9164</v>
      </c>
      <c r="C148" t="s">
        <v>9165</v>
      </c>
      <c r="D148" t="s">
        <v>9387</v>
      </c>
      <c r="F148" s="1">
        <v>45412</v>
      </c>
      <c r="G148" t="str">
        <f>"300356"</f>
        <v>300356</v>
      </c>
      <c r="H148" t="s">
        <v>3094</v>
      </c>
      <c r="I148">
        <v>206844</v>
      </c>
    </row>
    <row r="149" spans="1:9" x14ac:dyDescent="0.25">
      <c r="A149" t="s">
        <v>9164</v>
      </c>
      <c r="C149" t="s">
        <v>9165</v>
      </c>
      <c r="D149" t="s">
        <v>9388</v>
      </c>
      <c r="E149" t="s">
        <v>9389</v>
      </c>
      <c r="F149" s="1">
        <v>45412</v>
      </c>
      <c r="G149" t="str">
        <f>"300356"</f>
        <v>300356</v>
      </c>
      <c r="H149" t="s">
        <v>3094</v>
      </c>
      <c r="I149">
        <v>197034.2</v>
      </c>
    </row>
    <row r="150" spans="1:9" x14ac:dyDescent="0.25">
      <c r="A150" t="s">
        <v>9164</v>
      </c>
      <c r="C150" t="s">
        <v>9165</v>
      </c>
      <c r="D150" t="s">
        <v>9390</v>
      </c>
      <c r="E150" t="s">
        <v>9343</v>
      </c>
      <c r="F150" s="1">
        <v>45415</v>
      </c>
      <c r="G150" t="str">
        <f>"300220"</f>
        <v>300220</v>
      </c>
      <c r="H150" t="s">
        <v>2170</v>
      </c>
      <c r="I150">
        <v>3834048.702</v>
      </c>
    </row>
    <row r="151" spans="1:9" x14ac:dyDescent="0.25">
      <c r="A151" t="s">
        <v>9164</v>
      </c>
      <c r="C151" t="s">
        <v>9165</v>
      </c>
      <c r="D151" t="s">
        <v>9391</v>
      </c>
      <c r="E151" t="s">
        <v>9155</v>
      </c>
      <c r="F151" s="1">
        <v>45419</v>
      </c>
      <c r="G151" t="str">
        <f>"300115"</f>
        <v>300115</v>
      </c>
      <c r="H151" t="s">
        <v>2938</v>
      </c>
      <c r="I151">
        <v>1089000</v>
      </c>
    </row>
    <row r="152" spans="1:9" x14ac:dyDescent="0.25">
      <c r="A152" t="s">
        <v>9164</v>
      </c>
      <c r="C152" t="s">
        <v>9165</v>
      </c>
      <c r="D152" t="s">
        <v>9392</v>
      </c>
      <c r="E152" t="s">
        <v>9393</v>
      </c>
      <c r="F152" s="1">
        <v>45425</v>
      </c>
      <c r="G152" t="str">
        <f>"300220"</f>
        <v>300220</v>
      </c>
      <c r="H152" t="s">
        <v>2170</v>
      </c>
      <c r="I152">
        <v>1187929.6000000001</v>
      </c>
    </row>
    <row r="153" spans="1:9" x14ac:dyDescent="0.25">
      <c r="A153" t="s">
        <v>9164</v>
      </c>
      <c r="C153" t="s">
        <v>9165</v>
      </c>
      <c r="D153" t="s">
        <v>9394</v>
      </c>
      <c r="E153" t="s">
        <v>9395</v>
      </c>
      <c r="F153" s="1">
        <v>45432</v>
      </c>
      <c r="G153" t="str">
        <f>"300381"</f>
        <v>300381</v>
      </c>
      <c r="H153" t="s">
        <v>3118</v>
      </c>
      <c r="I153">
        <v>1111000</v>
      </c>
    </row>
    <row r="154" spans="1:9" x14ac:dyDescent="0.25">
      <c r="A154" t="s">
        <v>9164</v>
      </c>
      <c r="C154" t="s">
        <v>9165</v>
      </c>
      <c r="D154" t="s">
        <v>9396</v>
      </c>
      <c r="E154" t="s">
        <v>1313</v>
      </c>
      <c r="F154" s="1">
        <v>45439</v>
      </c>
      <c r="G154" t="str">
        <f>"300115"</f>
        <v>300115</v>
      </c>
      <c r="H154" t="s">
        <v>2938</v>
      </c>
      <c r="I154">
        <v>2223332.1</v>
      </c>
    </row>
    <row r="155" spans="1:9" x14ac:dyDescent="0.25">
      <c r="A155" t="s">
        <v>9164</v>
      </c>
      <c r="C155" t="s">
        <v>9165</v>
      </c>
      <c r="D155" t="s">
        <v>9397</v>
      </c>
      <c r="E155" t="s">
        <v>9398</v>
      </c>
      <c r="F155" s="1">
        <v>45439</v>
      </c>
      <c r="G155" t="str">
        <f>"300220"</f>
        <v>300220</v>
      </c>
      <c r="H155" t="s">
        <v>2170</v>
      </c>
      <c r="I155">
        <v>502952.82400000002</v>
      </c>
    </row>
    <row r="156" spans="1:9" x14ac:dyDescent="0.25">
      <c r="A156" t="s">
        <v>9164</v>
      </c>
      <c r="C156" t="s">
        <v>9165</v>
      </c>
      <c r="D156" t="s">
        <v>9399</v>
      </c>
      <c r="E156" t="s">
        <v>9400</v>
      </c>
      <c r="F156" s="1">
        <v>45440</v>
      </c>
      <c r="G156" t="str">
        <f>"300382"</f>
        <v>300382</v>
      </c>
      <c r="H156" t="s">
        <v>3119</v>
      </c>
      <c r="I156">
        <v>171751.58</v>
      </c>
    </row>
    <row r="157" spans="1:9" x14ac:dyDescent="0.25">
      <c r="A157" t="s">
        <v>9164</v>
      </c>
      <c r="C157" t="s">
        <v>9165</v>
      </c>
      <c r="D157" t="s">
        <v>9401</v>
      </c>
      <c r="E157" t="s">
        <v>9402</v>
      </c>
      <c r="F157" s="1">
        <v>45440</v>
      </c>
      <c r="G157" t="str">
        <f>"300382"</f>
        <v>300382</v>
      </c>
      <c r="H157" t="s">
        <v>3119</v>
      </c>
      <c r="I157">
        <v>171751.58</v>
      </c>
    </row>
    <row r="158" spans="1:9" x14ac:dyDescent="0.25">
      <c r="A158" t="s">
        <v>9164</v>
      </c>
      <c r="C158" t="s">
        <v>9165</v>
      </c>
      <c r="D158" t="s">
        <v>9403</v>
      </c>
      <c r="E158" t="s">
        <v>9404</v>
      </c>
      <c r="F158" s="1">
        <v>45440</v>
      </c>
      <c r="G158" t="str">
        <f>"300382"</f>
        <v>300382</v>
      </c>
      <c r="H158" t="s">
        <v>3119</v>
      </c>
      <c r="I158">
        <v>171751.58</v>
      </c>
    </row>
    <row r="159" spans="1:9" x14ac:dyDescent="0.25">
      <c r="A159" t="s">
        <v>9164</v>
      </c>
      <c r="C159" t="s">
        <v>9165</v>
      </c>
      <c r="D159" t="s">
        <v>9405</v>
      </c>
      <c r="E159" t="s">
        <v>9406</v>
      </c>
      <c r="F159" s="1">
        <v>45440</v>
      </c>
      <c r="G159" t="str">
        <f>"300382"</f>
        <v>300382</v>
      </c>
      <c r="H159" t="s">
        <v>3119</v>
      </c>
      <c r="I159">
        <v>171751.58</v>
      </c>
    </row>
    <row r="160" spans="1:9" x14ac:dyDescent="0.25">
      <c r="A160" t="s">
        <v>9164</v>
      </c>
      <c r="C160" t="s">
        <v>9165</v>
      </c>
      <c r="D160" t="s">
        <v>9407</v>
      </c>
      <c r="E160" t="s">
        <v>9112</v>
      </c>
      <c r="F160" s="1">
        <v>45442</v>
      </c>
      <c r="G160" t="str">
        <f>"300115"</f>
        <v>300115</v>
      </c>
      <c r="H160" t="s">
        <v>2938</v>
      </c>
      <c r="I160">
        <v>1867800</v>
      </c>
    </row>
    <row r="161" spans="1:9" x14ac:dyDescent="0.25">
      <c r="A161" t="s">
        <v>9164</v>
      </c>
      <c r="C161" t="s">
        <v>9165</v>
      </c>
      <c r="D161" t="s">
        <v>9408</v>
      </c>
      <c r="E161" t="s">
        <v>9409</v>
      </c>
      <c r="F161" s="1">
        <v>45447</v>
      </c>
      <c r="G161" t="str">
        <f>"300115"</f>
        <v>300115</v>
      </c>
      <c r="H161" t="s">
        <v>2938</v>
      </c>
      <c r="I161">
        <v>4384.2150000000001</v>
      </c>
    </row>
    <row r="162" spans="1:9" x14ac:dyDescent="0.25">
      <c r="A162" t="s">
        <v>9164</v>
      </c>
      <c r="C162" t="s">
        <v>9165</v>
      </c>
      <c r="D162" t="s">
        <v>9410</v>
      </c>
      <c r="E162" t="s">
        <v>2762</v>
      </c>
      <c r="F162" s="1">
        <v>45447</v>
      </c>
      <c r="G162" t="str">
        <f>"300115"</f>
        <v>300115</v>
      </c>
      <c r="H162" t="s">
        <v>2938</v>
      </c>
      <c r="I162">
        <v>571160.93099999998</v>
      </c>
    </row>
    <row r="163" spans="1:9" x14ac:dyDescent="0.25">
      <c r="A163" t="s">
        <v>9164</v>
      </c>
      <c r="C163" t="s">
        <v>9165</v>
      </c>
      <c r="D163" t="s">
        <v>9411</v>
      </c>
      <c r="E163" t="s">
        <v>9189</v>
      </c>
      <c r="F163" s="1">
        <v>45477</v>
      </c>
      <c r="G163" t="str">
        <f>"300115"</f>
        <v>300115</v>
      </c>
      <c r="H163" t="s">
        <v>2938</v>
      </c>
      <c r="I163">
        <v>561937.95900000003</v>
      </c>
    </row>
    <row r="164" spans="1:9" x14ac:dyDescent="0.25">
      <c r="A164" t="s">
        <v>9164</v>
      </c>
      <c r="C164" t="s">
        <v>9165</v>
      </c>
      <c r="D164" t="s">
        <v>9412</v>
      </c>
      <c r="E164" t="s">
        <v>9413</v>
      </c>
      <c r="F164" s="1">
        <v>45477</v>
      </c>
      <c r="G164" t="str">
        <f>"300220"</f>
        <v>300220</v>
      </c>
      <c r="H164" t="s">
        <v>2170</v>
      </c>
      <c r="I164">
        <v>4488506.88</v>
      </c>
    </row>
    <row r="165" spans="1:9" x14ac:dyDescent="0.25">
      <c r="A165" t="s">
        <v>9164</v>
      </c>
      <c r="C165" t="s">
        <v>9165</v>
      </c>
      <c r="D165" t="s">
        <v>9414</v>
      </c>
      <c r="E165" t="s">
        <v>8903</v>
      </c>
      <c r="F165" s="1">
        <v>45478</v>
      </c>
      <c r="G165" t="str">
        <f>"300115"</f>
        <v>300115</v>
      </c>
      <c r="H165" t="s">
        <v>2938</v>
      </c>
      <c r="I165">
        <v>203686.56</v>
      </c>
    </row>
    <row r="166" spans="1:9" x14ac:dyDescent="0.25">
      <c r="A166" t="s">
        <v>9164</v>
      </c>
      <c r="C166" t="s">
        <v>9165</v>
      </c>
      <c r="D166" t="s">
        <v>9415</v>
      </c>
      <c r="E166" t="s">
        <v>2172</v>
      </c>
      <c r="F166" s="1">
        <v>45488</v>
      </c>
      <c r="G166" t="str">
        <f>"300381"</f>
        <v>300381</v>
      </c>
      <c r="H166" t="s">
        <v>3118</v>
      </c>
      <c r="I166">
        <v>1845950.2324999999</v>
      </c>
    </row>
    <row r="167" spans="1:9" x14ac:dyDescent="0.25">
      <c r="A167" t="s">
        <v>9164</v>
      </c>
      <c r="C167" t="s">
        <v>9165</v>
      </c>
      <c r="D167" t="s">
        <v>9416</v>
      </c>
      <c r="E167" t="s">
        <v>8852</v>
      </c>
      <c r="F167" s="1">
        <v>45492</v>
      </c>
      <c r="G167" t="str">
        <f>"300381"</f>
        <v>300381</v>
      </c>
      <c r="H167" t="s">
        <v>3118</v>
      </c>
      <c r="I167">
        <v>4708000</v>
      </c>
    </row>
    <row r="168" spans="1:9" x14ac:dyDescent="0.25">
      <c r="A168" t="s">
        <v>9164</v>
      </c>
      <c r="C168" t="s">
        <v>9165</v>
      </c>
      <c r="D168" t="s">
        <v>9417</v>
      </c>
      <c r="E168" t="s">
        <v>9418</v>
      </c>
      <c r="F168" s="1">
        <v>45497</v>
      </c>
      <c r="G168" t="str">
        <f>"300381"</f>
        <v>300381</v>
      </c>
      <c r="H168" t="s">
        <v>3118</v>
      </c>
      <c r="I168">
        <v>1047678.72</v>
      </c>
    </row>
    <row r="169" spans="1:9" x14ac:dyDescent="0.25">
      <c r="A169" t="s">
        <v>9164</v>
      </c>
      <c r="C169" t="s">
        <v>9165</v>
      </c>
      <c r="D169" t="s">
        <v>9419</v>
      </c>
      <c r="E169" t="s">
        <v>9420</v>
      </c>
      <c r="F169" s="1">
        <v>45505</v>
      </c>
      <c r="G169" t="str">
        <f>"300381"</f>
        <v>300381</v>
      </c>
      <c r="H169" t="s">
        <v>3118</v>
      </c>
      <c r="I169">
        <v>1580897.692</v>
      </c>
    </row>
    <row r="170" spans="1:9" x14ac:dyDescent="0.25">
      <c r="A170" t="s">
        <v>9164</v>
      </c>
      <c r="C170" t="s">
        <v>9165</v>
      </c>
      <c r="D170" t="s">
        <v>9421</v>
      </c>
      <c r="F170" s="1">
        <v>45506</v>
      </c>
      <c r="G170" t="str">
        <f>"300115"</f>
        <v>300115</v>
      </c>
      <c r="H170" t="s">
        <v>2938</v>
      </c>
      <c r="I170">
        <v>640179.54</v>
      </c>
    </row>
    <row r="171" spans="1:9" x14ac:dyDescent="0.25">
      <c r="A171" t="s">
        <v>9164</v>
      </c>
      <c r="C171" t="s">
        <v>9165</v>
      </c>
      <c r="D171" t="s">
        <v>9422</v>
      </c>
      <c r="E171" t="s">
        <v>9423</v>
      </c>
      <c r="F171" s="1">
        <v>45546</v>
      </c>
      <c r="G171" t="str">
        <f>"300220"</f>
        <v>300220</v>
      </c>
      <c r="H171" t="s">
        <v>2170</v>
      </c>
      <c r="I171">
        <v>5500000</v>
      </c>
    </row>
    <row r="172" spans="1:9" x14ac:dyDescent="0.25">
      <c r="A172" t="s">
        <v>9164</v>
      </c>
      <c r="C172" t="s">
        <v>9165</v>
      </c>
      <c r="D172" t="s">
        <v>9424</v>
      </c>
      <c r="E172" t="s">
        <v>9425</v>
      </c>
      <c r="F172" s="1">
        <v>45546</v>
      </c>
      <c r="G172" t="str">
        <f>"300356"</f>
        <v>300356</v>
      </c>
      <c r="H172" t="s">
        <v>3094</v>
      </c>
      <c r="I172">
        <v>15465.89</v>
      </c>
    </row>
    <row r="173" spans="1:9" x14ac:dyDescent="0.25">
      <c r="A173" t="s">
        <v>9164</v>
      </c>
      <c r="C173" t="s">
        <v>9165</v>
      </c>
      <c r="D173" t="s">
        <v>9426</v>
      </c>
      <c r="E173" t="s">
        <v>9343</v>
      </c>
      <c r="F173" s="1">
        <v>45567</v>
      </c>
      <c r="G173" t="str">
        <f>"300115"</f>
        <v>300115</v>
      </c>
      <c r="H173" t="s">
        <v>2938</v>
      </c>
      <c r="I173">
        <v>748440</v>
      </c>
    </row>
    <row r="174" spans="1:9" x14ac:dyDescent="0.25">
      <c r="A174" t="s">
        <v>9164</v>
      </c>
      <c r="C174" t="s">
        <v>9165</v>
      </c>
      <c r="D174" t="s">
        <v>9427</v>
      </c>
      <c r="E174" t="s">
        <v>9428</v>
      </c>
      <c r="F174" s="1">
        <v>45567</v>
      </c>
      <c r="G174" t="str">
        <f>"300381"</f>
        <v>300381</v>
      </c>
      <c r="H174" t="s">
        <v>3118</v>
      </c>
      <c r="I174">
        <v>320973.4363</v>
      </c>
    </row>
    <row r="175" spans="1:9" x14ac:dyDescent="0.25">
      <c r="A175" t="s">
        <v>9164</v>
      </c>
      <c r="C175" t="s">
        <v>9165</v>
      </c>
      <c r="D175" t="s">
        <v>9429</v>
      </c>
      <c r="E175" t="s">
        <v>9189</v>
      </c>
      <c r="F175" s="1">
        <v>45576</v>
      </c>
      <c r="G175" t="str">
        <f t="shared" ref="G175:G182" si="6">"300115"</f>
        <v>300115</v>
      </c>
      <c r="H175" t="s">
        <v>2938</v>
      </c>
      <c r="I175">
        <v>915204.07</v>
      </c>
    </row>
    <row r="176" spans="1:9" x14ac:dyDescent="0.25">
      <c r="A176" t="s">
        <v>9164</v>
      </c>
      <c r="C176" t="s">
        <v>9165</v>
      </c>
      <c r="D176" t="s">
        <v>9430</v>
      </c>
      <c r="E176" t="s">
        <v>9431</v>
      </c>
      <c r="F176" s="1">
        <v>45582</v>
      </c>
      <c r="G176" t="str">
        <f t="shared" si="6"/>
        <v>300115</v>
      </c>
      <c r="H176" t="s">
        <v>2938</v>
      </c>
      <c r="I176">
        <v>163713.44</v>
      </c>
    </row>
    <row r="177" spans="1:9" x14ac:dyDescent="0.25">
      <c r="A177" t="s">
        <v>9164</v>
      </c>
      <c r="C177" t="s">
        <v>9165</v>
      </c>
      <c r="D177" t="s">
        <v>9432</v>
      </c>
      <c r="E177" t="s">
        <v>9409</v>
      </c>
      <c r="F177" s="1">
        <v>45608</v>
      </c>
      <c r="G177" t="str">
        <f t="shared" si="6"/>
        <v>300115</v>
      </c>
      <c r="H177" t="s">
        <v>2938</v>
      </c>
      <c r="I177">
        <v>9508.9500000000007</v>
      </c>
    </row>
    <row r="178" spans="1:9" x14ac:dyDescent="0.25">
      <c r="A178" t="s">
        <v>9164</v>
      </c>
      <c r="C178" t="s">
        <v>9165</v>
      </c>
      <c r="D178" t="s">
        <v>9433</v>
      </c>
      <c r="E178" t="s">
        <v>9189</v>
      </c>
      <c r="F178" s="1">
        <v>45615</v>
      </c>
      <c r="G178" t="str">
        <f t="shared" si="6"/>
        <v>300115</v>
      </c>
      <c r="H178" t="s">
        <v>2938</v>
      </c>
      <c r="I178">
        <v>485304.6924</v>
      </c>
    </row>
    <row r="179" spans="1:9" x14ac:dyDescent="0.25">
      <c r="A179" t="s">
        <v>9164</v>
      </c>
      <c r="C179" t="s">
        <v>9165</v>
      </c>
      <c r="D179" t="s">
        <v>9434</v>
      </c>
      <c r="E179" t="s">
        <v>9435</v>
      </c>
      <c r="F179" s="1">
        <v>45623</v>
      </c>
      <c r="G179" t="str">
        <f t="shared" si="6"/>
        <v>300115</v>
      </c>
      <c r="H179" t="s">
        <v>2938</v>
      </c>
      <c r="I179">
        <v>8800</v>
      </c>
    </row>
    <row r="180" spans="1:9" x14ac:dyDescent="0.25">
      <c r="A180" t="s">
        <v>9164</v>
      </c>
      <c r="C180" t="s">
        <v>9165</v>
      </c>
      <c r="D180" t="s">
        <v>9436</v>
      </c>
      <c r="E180" t="s">
        <v>272</v>
      </c>
      <c r="F180" s="1">
        <v>45623</v>
      </c>
      <c r="G180" t="str">
        <f t="shared" si="6"/>
        <v>300115</v>
      </c>
      <c r="H180" t="s">
        <v>2938</v>
      </c>
      <c r="I180">
        <v>118311.6</v>
      </c>
    </row>
    <row r="181" spans="1:9" x14ac:dyDescent="0.25">
      <c r="A181" t="s">
        <v>9164</v>
      </c>
      <c r="C181" t="s">
        <v>9165</v>
      </c>
      <c r="D181" t="s">
        <v>9437</v>
      </c>
      <c r="E181" t="s">
        <v>9438</v>
      </c>
      <c r="F181" s="1">
        <v>45628</v>
      </c>
      <c r="G181" t="str">
        <f t="shared" si="6"/>
        <v>300115</v>
      </c>
      <c r="H181" t="s">
        <v>2938</v>
      </c>
      <c r="I181">
        <v>4627951.449</v>
      </c>
    </row>
    <row r="182" spans="1:9" x14ac:dyDescent="0.25">
      <c r="A182" t="s">
        <v>9164</v>
      </c>
      <c r="C182" t="s">
        <v>9165</v>
      </c>
      <c r="D182" t="s">
        <v>9439</v>
      </c>
      <c r="E182" t="s">
        <v>9435</v>
      </c>
      <c r="F182" s="1">
        <v>45636</v>
      </c>
      <c r="G182" t="str">
        <f t="shared" si="6"/>
        <v>300115</v>
      </c>
      <c r="H182" t="s">
        <v>2938</v>
      </c>
      <c r="I182">
        <v>0</v>
      </c>
    </row>
    <row r="183" spans="1:9" x14ac:dyDescent="0.25">
      <c r="A183" t="s">
        <v>9164</v>
      </c>
      <c r="C183" t="s">
        <v>9165</v>
      </c>
      <c r="D183" t="s">
        <v>9440</v>
      </c>
      <c r="E183" t="s">
        <v>9189</v>
      </c>
      <c r="F183" s="1">
        <v>45644</v>
      </c>
      <c r="G183" t="str">
        <f>"300381"</f>
        <v>300381</v>
      </c>
      <c r="H183" t="s">
        <v>3118</v>
      </c>
      <c r="I183">
        <v>68028.104099999997</v>
      </c>
    </row>
    <row r="184" spans="1:9" x14ac:dyDescent="0.25">
      <c r="A184" t="s">
        <v>9164</v>
      </c>
      <c r="C184" t="s">
        <v>9165</v>
      </c>
      <c r="D184" t="s">
        <v>9441</v>
      </c>
      <c r="E184" t="s">
        <v>8852</v>
      </c>
      <c r="F184" s="1">
        <v>45666</v>
      </c>
      <c r="G184" t="str">
        <f>"300381"</f>
        <v>300381</v>
      </c>
      <c r="H184" t="s">
        <v>3118</v>
      </c>
      <c r="I184">
        <v>2119291.4270000001</v>
      </c>
    </row>
    <row r="185" spans="1:9" x14ac:dyDescent="0.25">
      <c r="A185" t="s">
        <v>9164</v>
      </c>
      <c r="C185" t="s">
        <v>9165</v>
      </c>
      <c r="D185" t="s">
        <v>9442</v>
      </c>
      <c r="E185" t="s">
        <v>9443</v>
      </c>
      <c r="F185" s="1">
        <v>45672</v>
      </c>
      <c r="G185" t="str">
        <f>"300356"</f>
        <v>300356</v>
      </c>
      <c r="H185" t="s">
        <v>3094</v>
      </c>
      <c r="I185">
        <v>7584.28</v>
      </c>
    </row>
    <row r="186" spans="1:9" x14ac:dyDescent="0.25">
      <c r="A186" t="s">
        <v>9164</v>
      </c>
      <c r="C186" t="s">
        <v>9165</v>
      </c>
      <c r="D186" t="s">
        <v>9444</v>
      </c>
      <c r="E186" t="s">
        <v>1313</v>
      </c>
      <c r="F186" s="1">
        <v>45706</v>
      </c>
      <c r="G186" t="str">
        <f>"300115"</f>
        <v>300115</v>
      </c>
      <c r="H186" t="s">
        <v>2938</v>
      </c>
      <c r="I186">
        <v>64643.040000000001</v>
      </c>
    </row>
    <row r="187" spans="1:9" x14ac:dyDescent="0.25">
      <c r="A187" t="s">
        <v>9164</v>
      </c>
      <c r="C187" t="s">
        <v>9165</v>
      </c>
      <c r="D187" t="s">
        <v>9445</v>
      </c>
      <c r="E187" t="s">
        <v>9428</v>
      </c>
      <c r="F187" s="1">
        <v>45712</v>
      </c>
      <c r="G187" t="str">
        <f>"300381"</f>
        <v>300381</v>
      </c>
      <c r="H187" t="s">
        <v>3118</v>
      </c>
      <c r="I187">
        <v>472557.3688</v>
      </c>
    </row>
    <row r="188" spans="1:9" x14ac:dyDescent="0.25">
      <c r="A188" t="s">
        <v>9164</v>
      </c>
      <c r="C188" t="s">
        <v>9165</v>
      </c>
      <c r="D188" t="s">
        <v>9446</v>
      </c>
      <c r="E188" t="s">
        <v>9447</v>
      </c>
      <c r="F188" s="1">
        <v>45720</v>
      </c>
      <c r="G188" t="str">
        <f>"300220"</f>
        <v>300220</v>
      </c>
      <c r="H188" t="s">
        <v>2170</v>
      </c>
      <c r="I188">
        <v>786254.96400000004</v>
      </c>
    </row>
    <row r="189" spans="1:9" x14ac:dyDescent="0.25">
      <c r="A189" t="s">
        <v>9164</v>
      </c>
      <c r="C189" t="s">
        <v>9165</v>
      </c>
      <c r="D189" t="s">
        <v>9448</v>
      </c>
      <c r="E189" t="s">
        <v>9449</v>
      </c>
      <c r="F189" s="1">
        <v>45737</v>
      </c>
      <c r="G189" t="str">
        <f>"300220"</f>
        <v>300220</v>
      </c>
      <c r="H189" t="s">
        <v>2170</v>
      </c>
      <c r="I189">
        <v>1745.1279999999999</v>
      </c>
    </row>
    <row r="190" spans="1:9" x14ac:dyDescent="0.25">
      <c r="A190" t="s">
        <v>9164</v>
      </c>
      <c r="C190" t="s">
        <v>9165</v>
      </c>
      <c r="D190" t="s">
        <v>9450</v>
      </c>
      <c r="E190" t="s">
        <v>9451</v>
      </c>
      <c r="F190" s="1">
        <v>45743</v>
      </c>
      <c r="G190" t="str">
        <f>"300356"</f>
        <v>300356</v>
      </c>
      <c r="H190" t="s">
        <v>3094</v>
      </c>
      <c r="I190">
        <v>191219.6</v>
      </c>
    </row>
    <row r="191" spans="1:9" x14ac:dyDescent="0.25">
      <c r="A191" t="s">
        <v>9164</v>
      </c>
      <c r="C191" t="s">
        <v>9165</v>
      </c>
      <c r="D191" t="s">
        <v>9452</v>
      </c>
      <c r="E191" t="s">
        <v>8852</v>
      </c>
      <c r="F191" s="1">
        <v>45756</v>
      </c>
      <c r="G191" t="str">
        <f>"300381"</f>
        <v>300381</v>
      </c>
      <c r="H191" t="s">
        <v>3118</v>
      </c>
      <c r="I191">
        <v>49406.038</v>
      </c>
    </row>
    <row r="192" spans="1:9" x14ac:dyDescent="0.25">
      <c r="A192" t="s">
        <v>9164</v>
      </c>
      <c r="C192" t="s">
        <v>9165</v>
      </c>
      <c r="D192" t="s">
        <v>9453</v>
      </c>
      <c r="E192" t="s">
        <v>9454</v>
      </c>
      <c r="F192" s="1">
        <v>45762</v>
      </c>
      <c r="G192" t="str">
        <f>"300220"</f>
        <v>300220</v>
      </c>
      <c r="H192" t="s">
        <v>2170</v>
      </c>
      <c r="I192">
        <v>224572.65599999999</v>
      </c>
    </row>
    <row r="193" spans="1:9" x14ac:dyDescent="0.25">
      <c r="A193" t="s">
        <v>9164</v>
      </c>
      <c r="C193" t="s">
        <v>9165</v>
      </c>
      <c r="D193" t="s">
        <v>9455</v>
      </c>
      <c r="E193" t="s">
        <v>2172</v>
      </c>
      <c r="F193" s="1">
        <v>45764</v>
      </c>
      <c r="G193" t="str">
        <f>"300381"</f>
        <v>300381</v>
      </c>
      <c r="H193" t="s">
        <v>3118</v>
      </c>
      <c r="I193">
        <v>2799363.6660000002</v>
      </c>
    </row>
    <row r="194" spans="1:9" x14ac:dyDescent="0.25">
      <c r="A194" t="s">
        <v>9164</v>
      </c>
      <c r="C194" t="s">
        <v>9165</v>
      </c>
      <c r="D194" t="s">
        <v>9456</v>
      </c>
      <c r="F194" s="1">
        <v>45771</v>
      </c>
      <c r="G194" t="str">
        <f>"300154"</f>
        <v>300154</v>
      </c>
      <c r="H194" t="s">
        <v>1313</v>
      </c>
      <c r="I194">
        <v>223566.72</v>
      </c>
    </row>
    <row r="195" spans="1:9" x14ac:dyDescent="0.25">
      <c r="A195" t="s">
        <v>9164</v>
      </c>
      <c r="C195" t="s">
        <v>9165</v>
      </c>
      <c r="D195" t="s">
        <v>9457</v>
      </c>
      <c r="E195" t="s">
        <v>9458</v>
      </c>
      <c r="F195" s="1">
        <v>45775</v>
      </c>
      <c r="G195" t="str">
        <f>"300220"</f>
        <v>300220</v>
      </c>
      <c r="H195" t="s">
        <v>2170</v>
      </c>
      <c r="I195">
        <v>805.42</v>
      </c>
    </row>
    <row r="196" spans="1:9" x14ac:dyDescent="0.25">
      <c r="A196" t="s">
        <v>9164</v>
      </c>
      <c r="C196" t="s">
        <v>9165</v>
      </c>
      <c r="D196" t="s">
        <v>9459</v>
      </c>
      <c r="E196" t="s">
        <v>9460</v>
      </c>
      <c r="F196" s="1">
        <v>45785</v>
      </c>
      <c r="G196" t="str">
        <f>"300220"</f>
        <v>300220</v>
      </c>
      <c r="H196" t="s">
        <v>2170</v>
      </c>
      <c r="I196">
        <v>568569.40800000005</v>
      </c>
    </row>
    <row r="197" spans="1:9" x14ac:dyDescent="0.25">
      <c r="A197" t="s">
        <v>9164</v>
      </c>
      <c r="C197" t="s">
        <v>9165</v>
      </c>
      <c r="D197" t="s">
        <v>9461</v>
      </c>
      <c r="E197" t="s">
        <v>9462</v>
      </c>
      <c r="F197" s="1">
        <v>45791</v>
      </c>
      <c r="G197" t="str">
        <f>"300220"</f>
        <v>300220</v>
      </c>
      <c r="H197" t="s">
        <v>2170</v>
      </c>
      <c r="I197">
        <v>1329900</v>
      </c>
    </row>
    <row r="198" spans="1:9" x14ac:dyDescent="0.25">
      <c r="A198" t="s">
        <v>9164</v>
      </c>
      <c r="C198" t="s">
        <v>9165</v>
      </c>
      <c r="D198" t="s">
        <v>9463</v>
      </c>
      <c r="E198" t="s">
        <v>9464</v>
      </c>
      <c r="F198" s="1">
        <v>45791</v>
      </c>
      <c r="G198" t="str">
        <f>"300220"</f>
        <v>300220</v>
      </c>
      <c r="H198" t="s">
        <v>2170</v>
      </c>
      <c r="I198">
        <v>4672225.3600000003</v>
      </c>
    </row>
    <row r="199" spans="1:9" x14ac:dyDescent="0.25">
      <c r="A199" t="s">
        <v>9164</v>
      </c>
      <c r="C199" t="s">
        <v>9165</v>
      </c>
      <c r="D199" t="s">
        <v>9465</v>
      </c>
      <c r="E199" t="s">
        <v>9466</v>
      </c>
      <c r="F199" s="1">
        <v>45791</v>
      </c>
      <c r="G199" t="str">
        <f>"300381"</f>
        <v>300381</v>
      </c>
      <c r="H199" t="s">
        <v>3118</v>
      </c>
      <c r="I199">
        <v>1815000</v>
      </c>
    </row>
    <row r="200" spans="1:9" x14ac:dyDescent="0.25">
      <c r="A200" t="s">
        <v>9164</v>
      </c>
      <c r="C200" t="s">
        <v>9165</v>
      </c>
      <c r="D200" t="s">
        <v>9467</v>
      </c>
      <c r="F200" s="1">
        <v>45796</v>
      </c>
      <c r="G200" t="str">
        <f>"300154"</f>
        <v>300154</v>
      </c>
      <c r="H200" t="s">
        <v>1313</v>
      </c>
      <c r="I200">
        <v>335350.08</v>
      </c>
    </row>
    <row r="201" spans="1:9" x14ac:dyDescent="0.25">
      <c r="A201" t="s">
        <v>9164</v>
      </c>
      <c r="C201" t="s">
        <v>9165</v>
      </c>
      <c r="D201" t="s">
        <v>9468</v>
      </c>
      <c r="E201" t="s">
        <v>9382</v>
      </c>
      <c r="F201" s="1">
        <v>45810</v>
      </c>
      <c r="G201" t="str">
        <f>"300382"</f>
        <v>300382</v>
      </c>
      <c r="H201" t="s">
        <v>3119</v>
      </c>
      <c r="I201">
        <v>153847.74239999999</v>
      </c>
    </row>
    <row r="202" spans="1:9" x14ac:dyDescent="0.25">
      <c r="A202" t="s">
        <v>9164</v>
      </c>
      <c r="C202" t="s">
        <v>9165</v>
      </c>
      <c r="D202" t="s">
        <v>9469</v>
      </c>
      <c r="E202" t="s">
        <v>9470</v>
      </c>
      <c r="F202" s="1">
        <v>45812</v>
      </c>
      <c r="G202" t="str">
        <f>"300115"</f>
        <v>300115</v>
      </c>
      <c r="H202" t="s">
        <v>2938</v>
      </c>
      <c r="I202">
        <v>11654.775</v>
      </c>
    </row>
    <row r="203" spans="1:9" x14ac:dyDescent="0.25">
      <c r="A203" t="s">
        <v>9164</v>
      </c>
      <c r="C203" t="s">
        <v>9165</v>
      </c>
      <c r="D203" t="s">
        <v>9471</v>
      </c>
      <c r="E203" t="s">
        <v>8852</v>
      </c>
      <c r="F203" s="1">
        <v>45819</v>
      </c>
      <c r="G203" t="str">
        <f>"300381"</f>
        <v>300381</v>
      </c>
      <c r="H203" t="s">
        <v>3118</v>
      </c>
      <c r="I203">
        <v>29627.576000000001</v>
      </c>
    </row>
    <row r="204" spans="1:9" x14ac:dyDescent="0.25">
      <c r="A204" t="s">
        <v>9164</v>
      </c>
      <c r="C204" t="s">
        <v>9165</v>
      </c>
      <c r="D204" t="s">
        <v>9472</v>
      </c>
      <c r="E204" t="s">
        <v>9473</v>
      </c>
      <c r="F204" s="1">
        <v>45826</v>
      </c>
      <c r="G204" t="str">
        <f>"300115"</f>
        <v>300115</v>
      </c>
      <c r="H204" t="s">
        <v>2938</v>
      </c>
      <c r="I204">
        <v>2103309.1683999998</v>
      </c>
    </row>
    <row r="205" spans="1:9" x14ac:dyDescent="0.25">
      <c r="A205" t="s">
        <v>9164</v>
      </c>
      <c r="C205" t="s">
        <v>9165</v>
      </c>
      <c r="D205" t="s">
        <v>9474</v>
      </c>
      <c r="E205" t="s">
        <v>9475</v>
      </c>
      <c r="F205" s="1">
        <v>45828</v>
      </c>
      <c r="G205" t="str">
        <f>"300381"</f>
        <v>300381</v>
      </c>
      <c r="H205" t="s">
        <v>3118</v>
      </c>
      <c r="I205">
        <v>1783202.52</v>
      </c>
    </row>
    <row r="206" spans="1:9" x14ac:dyDescent="0.25">
      <c r="A206" t="s">
        <v>9164</v>
      </c>
      <c r="C206" t="s">
        <v>9165</v>
      </c>
      <c r="D206" t="s">
        <v>9476</v>
      </c>
      <c r="E206" t="s">
        <v>9112</v>
      </c>
      <c r="F206" s="1">
        <v>45831</v>
      </c>
      <c r="G206" t="str">
        <f>"300115"</f>
        <v>300115</v>
      </c>
      <c r="H206" t="s">
        <v>2938</v>
      </c>
      <c r="I206">
        <v>3665028.4065999999</v>
      </c>
    </row>
    <row r="207" spans="1:9" x14ac:dyDescent="0.25">
      <c r="A207" t="s">
        <v>9164</v>
      </c>
      <c r="C207" t="s">
        <v>9165</v>
      </c>
      <c r="D207" t="s">
        <v>9477</v>
      </c>
      <c r="E207" t="s">
        <v>9478</v>
      </c>
      <c r="F207" s="1">
        <v>45847</v>
      </c>
      <c r="G207" t="str">
        <f>"300115"</f>
        <v>300115</v>
      </c>
      <c r="H207" t="s">
        <v>2938</v>
      </c>
      <c r="I207">
        <v>756784.49</v>
      </c>
    </row>
    <row r="208" spans="1:9" x14ac:dyDescent="0.25">
      <c r="A208" t="s">
        <v>9164</v>
      </c>
      <c r="C208" t="s">
        <v>9165</v>
      </c>
      <c r="D208" t="s">
        <v>9479</v>
      </c>
      <c r="E208" t="s">
        <v>9480</v>
      </c>
      <c r="F208" s="1">
        <v>45848</v>
      </c>
      <c r="G208" t="str">
        <f>"300220"</f>
        <v>300220</v>
      </c>
      <c r="H208" t="s">
        <v>2170</v>
      </c>
      <c r="I208">
        <v>536800</v>
      </c>
    </row>
    <row r="209" spans="1:9" x14ac:dyDescent="0.25">
      <c r="A209" t="s">
        <v>9164</v>
      </c>
      <c r="C209" t="s">
        <v>9165</v>
      </c>
      <c r="D209" t="s">
        <v>9481</v>
      </c>
      <c r="E209" t="s">
        <v>9482</v>
      </c>
      <c r="F209" s="1">
        <v>45857</v>
      </c>
      <c r="G209" t="str">
        <f>"300220"</f>
        <v>300220</v>
      </c>
      <c r="H209" t="s">
        <v>2170</v>
      </c>
      <c r="I209">
        <v>3152131.7729000002</v>
      </c>
    </row>
    <row r="210" spans="1:9" x14ac:dyDescent="0.25">
      <c r="A210" t="s">
        <v>9164</v>
      </c>
      <c r="C210" t="s">
        <v>9165</v>
      </c>
      <c r="D210" t="s">
        <v>9483</v>
      </c>
      <c r="E210" t="s">
        <v>9484</v>
      </c>
      <c r="F210" s="1">
        <v>45866</v>
      </c>
      <c r="G210" t="str">
        <f>"300220"</f>
        <v>300220</v>
      </c>
      <c r="H210" t="s">
        <v>2170</v>
      </c>
      <c r="I210">
        <v>431457.4</v>
      </c>
    </row>
    <row r="211" spans="1:9" x14ac:dyDescent="0.25">
      <c r="A211" t="s">
        <v>9164</v>
      </c>
      <c r="C211" t="s">
        <v>9165</v>
      </c>
      <c r="D211" t="s">
        <v>9485</v>
      </c>
      <c r="E211" t="s">
        <v>9266</v>
      </c>
      <c r="F211" s="1">
        <v>45877</v>
      </c>
      <c r="G211" t="str">
        <f>"300115"</f>
        <v>300115</v>
      </c>
      <c r="H211" t="s">
        <v>2938</v>
      </c>
      <c r="I211">
        <v>120114.32399999999</v>
      </c>
    </row>
    <row r="212" spans="1:9" x14ac:dyDescent="0.25">
      <c r="A212" t="s">
        <v>9164</v>
      </c>
      <c r="C212" t="s">
        <v>9165</v>
      </c>
      <c r="D212" t="s">
        <v>9486</v>
      </c>
      <c r="E212" t="s">
        <v>9475</v>
      </c>
      <c r="F212" s="1">
        <v>45877</v>
      </c>
      <c r="G212" t="str">
        <f>"300381"</f>
        <v>300381</v>
      </c>
      <c r="H212" t="s">
        <v>3118</v>
      </c>
      <c r="I212">
        <v>941600</v>
      </c>
    </row>
    <row r="213" spans="1:9" x14ac:dyDescent="0.25">
      <c r="A213" t="s">
        <v>9164</v>
      </c>
      <c r="C213" t="s">
        <v>9165</v>
      </c>
      <c r="D213" t="s">
        <v>9487</v>
      </c>
      <c r="E213" t="s">
        <v>2793</v>
      </c>
      <c r="F213" s="1">
        <v>45884</v>
      </c>
      <c r="G213" t="str">
        <f>"300381"</f>
        <v>300381</v>
      </c>
      <c r="H213" t="s">
        <v>3118</v>
      </c>
      <c r="I213">
        <v>1930014.1006</v>
      </c>
    </row>
    <row r="214" spans="1:9" x14ac:dyDescent="0.25">
      <c r="A214" t="s">
        <v>9164</v>
      </c>
      <c r="C214" t="s">
        <v>9165</v>
      </c>
      <c r="D214" t="s">
        <v>9488</v>
      </c>
      <c r="E214" t="s">
        <v>9438</v>
      </c>
      <c r="F214" s="1">
        <v>45887</v>
      </c>
      <c r="G214" t="str">
        <f>"300220"</f>
        <v>300220</v>
      </c>
      <c r="H214" t="s">
        <v>2170</v>
      </c>
      <c r="I214">
        <v>1045000</v>
      </c>
    </row>
    <row r="215" spans="1:9" x14ac:dyDescent="0.25">
      <c r="A215" t="s">
        <v>9164</v>
      </c>
      <c r="C215" t="s">
        <v>9165</v>
      </c>
      <c r="D215" t="s">
        <v>9489</v>
      </c>
      <c r="E215" t="s">
        <v>9475</v>
      </c>
      <c r="F215" s="1">
        <v>45888</v>
      </c>
      <c r="G215" t="str">
        <f>"300381"</f>
        <v>300381</v>
      </c>
      <c r="H215" t="s">
        <v>3118</v>
      </c>
      <c r="I215">
        <v>72341.275599999994</v>
      </c>
    </row>
    <row r="216" spans="1:9" x14ac:dyDescent="0.25">
      <c r="A216" t="s">
        <v>9164</v>
      </c>
      <c r="C216" t="s">
        <v>9165</v>
      </c>
      <c r="D216" t="s">
        <v>9490</v>
      </c>
      <c r="E216" t="s">
        <v>9386</v>
      </c>
      <c r="F216" s="1">
        <v>45909</v>
      </c>
      <c r="G216" t="str">
        <f>"300220"</f>
        <v>300220</v>
      </c>
      <c r="H216" t="s">
        <v>2170</v>
      </c>
      <c r="I216">
        <v>1048068.12</v>
      </c>
    </row>
    <row r="217" spans="1:9" x14ac:dyDescent="0.25">
      <c r="A217" t="s">
        <v>9164</v>
      </c>
      <c r="C217" t="s">
        <v>9165</v>
      </c>
      <c r="D217" t="s">
        <v>9491</v>
      </c>
      <c r="E217" t="s">
        <v>9492</v>
      </c>
      <c r="F217" s="1">
        <v>45916</v>
      </c>
      <c r="G217" t="str">
        <f>"300381"</f>
        <v>300381</v>
      </c>
      <c r="H217" t="s">
        <v>3118</v>
      </c>
      <c r="I217">
        <v>333907.20000000001</v>
      </c>
    </row>
    <row r="218" spans="1:9" x14ac:dyDescent="0.25">
      <c r="A218" t="s">
        <v>9164</v>
      </c>
      <c r="C218" t="s">
        <v>9165</v>
      </c>
      <c r="D218" t="s">
        <v>9493</v>
      </c>
      <c r="E218" t="s">
        <v>8903</v>
      </c>
      <c r="F218" s="1">
        <v>45919</v>
      </c>
      <c r="G218" t="str">
        <f>"300115"</f>
        <v>300115</v>
      </c>
      <c r="H218" t="s">
        <v>2938</v>
      </c>
      <c r="I218">
        <v>130517.01300000001</v>
      </c>
    </row>
    <row r="219" spans="1:9" x14ac:dyDescent="0.25">
      <c r="A219" t="s">
        <v>9164</v>
      </c>
      <c r="C219" t="s">
        <v>9165</v>
      </c>
      <c r="D219" t="s">
        <v>9494</v>
      </c>
      <c r="E219" t="s">
        <v>9495</v>
      </c>
      <c r="F219" s="1">
        <v>45922</v>
      </c>
      <c r="G219" t="str">
        <f>"300115"</f>
        <v>300115</v>
      </c>
      <c r="H219" t="s">
        <v>2938</v>
      </c>
      <c r="I219">
        <v>1067220</v>
      </c>
    </row>
    <row r="220" spans="1:9" x14ac:dyDescent="0.25">
      <c r="A220" t="s">
        <v>9164</v>
      </c>
      <c r="C220" t="s">
        <v>9165</v>
      </c>
      <c r="D220" t="s">
        <v>9496</v>
      </c>
      <c r="E220" t="s">
        <v>9497</v>
      </c>
      <c r="F220" s="1">
        <v>45936</v>
      </c>
      <c r="G220" t="str">
        <f>"300381"</f>
        <v>300381</v>
      </c>
      <c r="H220" t="s">
        <v>3118</v>
      </c>
      <c r="I220">
        <v>899800</v>
      </c>
    </row>
    <row r="221" spans="1:9" x14ac:dyDescent="0.25">
      <c r="A221" t="s">
        <v>9164</v>
      </c>
      <c r="C221" t="s">
        <v>9165</v>
      </c>
      <c r="D221" t="s">
        <v>9498</v>
      </c>
      <c r="E221" t="s">
        <v>8852</v>
      </c>
      <c r="F221" s="1">
        <v>45943</v>
      </c>
      <c r="G221" t="str">
        <f>"300381"</f>
        <v>300381</v>
      </c>
      <c r="H221" t="s">
        <v>3118</v>
      </c>
      <c r="I221">
        <v>183300.579</v>
      </c>
    </row>
    <row r="222" spans="1:9" x14ac:dyDescent="0.25">
      <c r="A222" t="s">
        <v>9164</v>
      </c>
      <c r="C222" t="s">
        <v>9165</v>
      </c>
      <c r="D222" t="s">
        <v>9499</v>
      </c>
      <c r="E222" t="s">
        <v>9438</v>
      </c>
      <c r="F222" s="1">
        <v>45965</v>
      </c>
      <c r="G222" t="str">
        <f>"300220"</f>
        <v>300220</v>
      </c>
      <c r="H222" t="s">
        <v>2170</v>
      </c>
      <c r="I222">
        <v>158721.37710000001</v>
      </c>
    </row>
    <row r="223" spans="1:9" x14ac:dyDescent="0.25">
      <c r="A223" t="s">
        <v>9164</v>
      </c>
      <c r="C223" t="s">
        <v>9165</v>
      </c>
      <c r="D223" t="s">
        <v>9504</v>
      </c>
      <c r="E223" t="s">
        <v>8852</v>
      </c>
      <c r="F223" s="1">
        <v>45974</v>
      </c>
      <c r="G223" t="str">
        <f>"300381"</f>
        <v>300381</v>
      </c>
      <c r="H223" t="s">
        <v>3118</v>
      </c>
      <c r="I223">
        <v>297330</v>
      </c>
    </row>
    <row r="224" spans="1:9" x14ac:dyDescent="0.25">
      <c r="A224" t="s">
        <v>9164</v>
      </c>
      <c r="C224" t="s">
        <v>9165</v>
      </c>
      <c r="D224" t="s">
        <v>9505</v>
      </c>
      <c r="E224" t="s">
        <v>9506</v>
      </c>
      <c r="F224" s="1">
        <v>45987</v>
      </c>
      <c r="G224" t="str">
        <f>"300064"</f>
        <v>300064</v>
      </c>
      <c r="H224" t="s">
        <v>2896</v>
      </c>
      <c r="I224">
        <v>10128</v>
      </c>
    </row>
    <row r="225" spans="1:9" x14ac:dyDescent="0.25">
      <c r="A225" t="s">
        <v>9164</v>
      </c>
      <c r="C225" t="s">
        <v>9165</v>
      </c>
      <c r="D225" t="s">
        <v>9507</v>
      </c>
      <c r="E225" t="s">
        <v>2793</v>
      </c>
      <c r="F225" s="1">
        <v>45987</v>
      </c>
      <c r="G225" t="str">
        <f>"300381"</f>
        <v>300381</v>
      </c>
      <c r="H225" t="s">
        <v>3118</v>
      </c>
      <c r="I225">
        <v>887558.1</v>
      </c>
    </row>
    <row r="226" spans="1:9" x14ac:dyDescent="0.25">
      <c r="A226" t="s">
        <v>9164</v>
      </c>
      <c r="C226" t="s">
        <v>9165</v>
      </c>
      <c r="D226" t="s">
        <v>9509</v>
      </c>
      <c r="E226" t="s">
        <v>8852</v>
      </c>
      <c r="F226" s="1">
        <v>46028</v>
      </c>
      <c r="G226" t="str">
        <f>"300381"</f>
        <v>300381</v>
      </c>
      <c r="H226" t="s">
        <v>3118</v>
      </c>
      <c r="I226">
        <v>1777809.4861999999</v>
      </c>
    </row>
    <row r="227" spans="1:9" x14ac:dyDescent="0.25">
      <c r="A227" t="s">
        <v>9164</v>
      </c>
      <c r="C227" t="s">
        <v>9165</v>
      </c>
      <c r="D227" t="s">
        <v>9510</v>
      </c>
      <c r="E227" t="s">
        <v>8852</v>
      </c>
      <c r="F227" s="1">
        <v>46051</v>
      </c>
      <c r="G227" t="str">
        <f>"300381"</f>
        <v>300381</v>
      </c>
      <c r="H227" t="s">
        <v>3118</v>
      </c>
      <c r="I227">
        <v>173491.7635</v>
      </c>
    </row>
    <row r="228" spans="1:9" x14ac:dyDescent="0.25">
      <c r="A228" t="s">
        <v>9164</v>
      </c>
      <c r="C228" t="s">
        <v>9165</v>
      </c>
      <c r="D228" t="s">
        <v>9513</v>
      </c>
      <c r="E228" t="s">
        <v>9438</v>
      </c>
      <c r="F228" s="1">
        <v>46078</v>
      </c>
      <c r="G228" t="str">
        <f>"300115"</f>
        <v>300115</v>
      </c>
      <c r="H228" t="s">
        <v>2938</v>
      </c>
      <c r="I228">
        <v>536310.027</v>
      </c>
    </row>
    <row r="229" spans="1:9" x14ac:dyDescent="0.25">
      <c r="A229" t="s">
        <v>9164</v>
      </c>
      <c r="C229" t="s">
        <v>9165</v>
      </c>
      <c r="D229" t="s">
        <v>9516</v>
      </c>
      <c r="E229" t="s">
        <v>9517</v>
      </c>
      <c r="F229" s="1">
        <v>46085</v>
      </c>
      <c r="G229" t="str">
        <f>"300381"</f>
        <v>300381</v>
      </c>
      <c r="H229" t="s">
        <v>3118</v>
      </c>
      <c r="I229">
        <v>3457484.7999999998</v>
      </c>
    </row>
    <row r="230" spans="1:9" x14ac:dyDescent="0.25">
      <c r="A230" t="s">
        <v>9164</v>
      </c>
      <c r="C230" t="s">
        <v>9165</v>
      </c>
      <c r="D230" t="s">
        <v>9518</v>
      </c>
      <c r="E230" t="s">
        <v>9519</v>
      </c>
      <c r="F230" s="1">
        <v>46090</v>
      </c>
      <c r="G230" t="str">
        <f>"300133"</f>
        <v>300133</v>
      </c>
      <c r="H230" t="s">
        <v>2955</v>
      </c>
      <c r="I230">
        <v>26395.599999999999</v>
      </c>
    </row>
    <row r="231" spans="1:9" x14ac:dyDescent="0.25">
      <c r="A231" t="s">
        <v>9164</v>
      </c>
      <c r="C231" t="s">
        <v>9165</v>
      </c>
      <c r="D231" t="s">
        <v>9521</v>
      </c>
      <c r="E231" t="s">
        <v>9297</v>
      </c>
      <c r="F231" s="1">
        <v>46104</v>
      </c>
      <c r="G231" t="str">
        <f>"300115"</f>
        <v>300115</v>
      </c>
      <c r="H231" t="s">
        <v>2938</v>
      </c>
      <c r="I231">
        <v>367400</v>
      </c>
    </row>
    <row r="232" spans="1:9" x14ac:dyDescent="0.25">
      <c r="A232" t="s">
        <v>9164</v>
      </c>
      <c r="C232" t="s">
        <v>9165</v>
      </c>
      <c r="D232" t="s">
        <v>9523</v>
      </c>
      <c r="E232" t="s">
        <v>9524</v>
      </c>
      <c r="F232" s="1">
        <v>46111</v>
      </c>
      <c r="G232" t="str">
        <f>"300133"</f>
        <v>300133</v>
      </c>
      <c r="H232" t="s">
        <v>2955</v>
      </c>
      <c r="I232">
        <v>202045.6</v>
      </c>
    </row>
    <row r="233" spans="1:9" x14ac:dyDescent="0.25">
      <c r="A233" t="s">
        <v>9164</v>
      </c>
      <c r="C233" t="s">
        <v>9165</v>
      </c>
      <c r="D233" t="s">
        <v>9525</v>
      </c>
      <c r="E233" t="s">
        <v>9526</v>
      </c>
      <c r="F233" s="1">
        <v>46111</v>
      </c>
      <c r="G233" t="str">
        <f>"300220"</f>
        <v>300220</v>
      </c>
      <c r="H233" t="s">
        <v>2170</v>
      </c>
      <c r="I233">
        <v>3366000</v>
      </c>
    </row>
    <row r="234" spans="1:9" x14ac:dyDescent="0.25">
      <c r="A234" t="s">
        <v>9164</v>
      </c>
      <c r="C234" t="s">
        <v>9165</v>
      </c>
      <c r="D234" t="s">
        <v>9527</v>
      </c>
      <c r="E234" t="s">
        <v>9528</v>
      </c>
      <c r="F234" s="1">
        <v>46111</v>
      </c>
      <c r="G234" t="str">
        <f>"300220"</f>
        <v>300220</v>
      </c>
      <c r="H234" t="s">
        <v>2170</v>
      </c>
      <c r="I234">
        <v>1679700</v>
      </c>
    </row>
    <row r="235" spans="1:9" x14ac:dyDescent="0.25">
      <c r="A235" t="s">
        <v>9164</v>
      </c>
      <c r="C235" t="s">
        <v>9165</v>
      </c>
      <c r="D235" t="s">
        <v>9529</v>
      </c>
      <c r="E235" t="s">
        <v>9530</v>
      </c>
      <c r="F235" s="1">
        <v>46111</v>
      </c>
      <c r="G235" t="str">
        <f>"300381"</f>
        <v>300381</v>
      </c>
      <c r="H235" t="s">
        <v>3118</v>
      </c>
      <c r="I235">
        <v>1567500</v>
      </c>
    </row>
    <row r="236" spans="1:9" x14ac:dyDescent="0.25">
      <c r="A236" t="s">
        <v>9164</v>
      </c>
      <c r="C236" t="s">
        <v>9165</v>
      </c>
      <c r="D236" t="s">
        <v>9542</v>
      </c>
      <c r="E236" t="s">
        <v>9543</v>
      </c>
      <c r="F236" s="1">
        <v>46119</v>
      </c>
      <c r="G236" t="str">
        <f>"300064"</f>
        <v>300064</v>
      </c>
      <c r="H236" t="s">
        <v>2896</v>
      </c>
      <c r="I236">
        <v>5</v>
      </c>
    </row>
    <row r="237" spans="1:9" x14ac:dyDescent="0.25">
      <c r="A237" t="s">
        <v>9164</v>
      </c>
      <c r="C237" t="s">
        <v>9165</v>
      </c>
      <c r="D237" t="s">
        <v>9544</v>
      </c>
      <c r="E237" t="s">
        <v>9545</v>
      </c>
      <c r="F237" s="1">
        <v>46119</v>
      </c>
      <c r="G237" t="str">
        <f>"300220"</f>
        <v>300220</v>
      </c>
      <c r="H237" t="s">
        <v>2170</v>
      </c>
      <c r="I237">
        <v>95000</v>
      </c>
    </row>
    <row r="238" spans="1:9" x14ac:dyDescent="0.25">
      <c r="A238" t="s">
        <v>9164</v>
      </c>
      <c r="C238" t="s">
        <v>9165</v>
      </c>
      <c r="D238" t="s">
        <v>9558</v>
      </c>
      <c r="E238" t="s">
        <v>9559</v>
      </c>
      <c r="F238" s="1">
        <v>46125</v>
      </c>
      <c r="G238" t="str">
        <f>"300064"</f>
        <v>300064</v>
      </c>
      <c r="H238" t="s">
        <v>2896</v>
      </c>
      <c r="I238">
        <v>170235.51999999999</v>
      </c>
    </row>
    <row r="239" spans="1:9" x14ac:dyDescent="0.25">
      <c r="A239" t="s">
        <v>9164</v>
      </c>
      <c r="C239" t="s">
        <v>9165</v>
      </c>
      <c r="D239" t="s">
        <v>9581</v>
      </c>
      <c r="E239" s="2">
        <v>46116</v>
      </c>
      <c r="F239" s="1">
        <v>46135</v>
      </c>
      <c r="G239" t="str">
        <f>"300064"</f>
        <v>300064</v>
      </c>
      <c r="H239" t="s">
        <v>2896</v>
      </c>
      <c r="I239">
        <v>196145.04</v>
      </c>
    </row>
    <row r="240" spans="1:9" x14ac:dyDescent="0.25">
      <c r="A240" t="s">
        <v>9164</v>
      </c>
      <c r="C240" t="s">
        <v>9165</v>
      </c>
      <c r="D240" t="s">
        <v>9584</v>
      </c>
      <c r="E240" t="s">
        <v>9159</v>
      </c>
      <c r="F240" s="1">
        <v>46136</v>
      </c>
      <c r="G240" t="str">
        <f>"300381"</f>
        <v>300381</v>
      </c>
      <c r="H240" t="s">
        <v>3118</v>
      </c>
      <c r="I240">
        <v>1221990.088</v>
      </c>
    </row>
    <row r="241" spans="1:9" x14ac:dyDescent="0.25">
      <c r="A241" t="s">
        <v>9164</v>
      </c>
      <c r="C241" t="s">
        <v>9165</v>
      </c>
      <c r="D241" t="s">
        <v>9585</v>
      </c>
      <c r="E241" t="s">
        <v>9586</v>
      </c>
      <c r="F241" s="1">
        <v>46139</v>
      </c>
      <c r="G241" t="str">
        <f>"300133"</f>
        <v>300133</v>
      </c>
      <c r="H241" t="s">
        <v>2955</v>
      </c>
      <c r="I241">
        <v>38500</v>
      </c>
    </row>
    <row r="242" spans="1:9" x14ac:dyDescent="0.25">
      <c r="A242" t="s">
        <v>9164</v>
      </c>
      <c r="C242" t="s">
        <v>9165</v>
      </c>
      <c r="D242" t="s">
        <v>9588</v>
      </c>
      <c r="E242" t="s">
        <v>9386</v>
      </c>
      <c r="F242" s="1">
        <v>46139</v>
      </c>
      <c r="G242" t="str">
        <f>"300220"</f>
        <v>300220</v>
      </c>
      <c r="H242" t="s">
        <v>2170</v>
      </c>
      <c r="I242">
        <v>6050000</v>
      </c>
    </row>
    <row r="243" spans="1:9" x14ac:dyDescent="0.25">
      <c r="A243" t="s">
        <v>9164</v>
      </c>
      <c r="C243" t="s">
        <v>9165</v>
      </c>
      <c r="D243" t="s">
        <v>9589</v>
      </c>
      <c r="E243" t="s">
        <v>9590</v>
      </c>
      <c r="F243" s="1">
        <v>46140</v>
      </c>
      <c r="G243" t="str">
        <f>"300115"</f>
        <v>300115</v>
      </c>
      <c r="H243" t="s">
        <v>2938</v>
      </c>
      <c r="I243">
        <v>5830000</v>
      </c>
    </row>
    <row r="244" spans="1:9" x14ac:dyDescent="0.25">
      <c r="A244" t="s">
        <v>9164</v>
      </c>
      <c r="C244" t="s">
        <v>9165</v>
      </c>
      <c r="D244" t="s">
        <v>9599</v>
      </c>
      <c r="E244" t="s">
        <v>9337</v>
      </c>
      <c r="F244" s="1">
        <v>46148</v>
      </c>
      <c r="G244" t="str">
        <f>"300080"</f>
        <v>300080</v>
      </c>
      <c r="H244" t="s">
        <v>2907</v>
      </c>
      <c r="I244">
        <v>1200000</v>
      </c>
    </row>
    <row r="245" spans="1:9" x14ac:dyDescent="0.25">
      <c r="A245" t="s">
        <v>9164</v>
      </c>
      <c r="C245" t="s">
        <v>9165</v>
      </c>
      <c r="D245" t="s">
        <v>9600</v>
      </c>
      <c r="E245" t="s">
        <v>9562</v>
      </c>
      <c r="F245" s="1">
        <v>46148</v>
      </c>
      <c r="G245" t="str">
        <f>"300133"</f>
        <v>300133</v>
      </c>
      <c r="H245" t="s">
        <v>2955</v>
      </c>
      <c r="I245">
        <v>58521.599999999999</v>
      </c>
    </row>
    <row r="246" spans="1:9" x14ac:dyDescent="0.25">
      <c r="A246" t="s">
        <v>9164</v>
      </c>
      <c r="C246" t="s">
        <v>9165</v>
      </c>
      <c r="D246" t="s">
        <v>9603</v>
      </c>
      <c r="E246" t="s">
        <v>9604</v>
      </c>
      <c r="F246" s="1">
        <v>46153</v>
      </c>
      <c r="G246" t="str">
        <f>"300115"</f>
        <v>300115</v>
      </c>
      <c r="H246" t="s">
        <v>2938</v>
      </c>
      <c r="I246">
        <v>214984</v>
      </c>
    </row>
    <row r="247" spans="1:9" x14ac:dyDescent="0.25">
      <c r="A247" t="s">
        <v>9164</v>
      </c>
      <c r="C247" t="s">
        <v>9165</v>
      </c>
      <c r="D247" t="s">
        <v>9606</v>
      </c>
      <c r="E247" t="s">
        <v>9607</v>
      </c>
      <c r="F247" s="1">
        <v>46153</v>
      </c>
      <c r="G247" t="str">
        <f>"300588"</f>
        <v>300588</v>
      </c>
      <c r="H247" t="s">
        <v>529</v>
      </c>
      <c r="I247">
        <v>1.0072000000000001</v>
      </c>
    </row>
    <row r="248" spans="1:9" x14ac:dyDescent="0.25">
      <c r="A248" t="s">
        <v>9164</v>
      </c>
      <c r="C248" t="s">
        <v>9165</v>
      </c>
      <c r="D248" t="s">
        <v>9609</v>
      </c>
      <c r="E248" t="s">
        <v>9562</v>
      </c>
      <c r="F248" s="1">
        <v>46155</v>
      </c>
      <c r="G248" t="str">
        <f>"300133"</f>
        <v>300133</v>
      </c>
      <c r="H248" t="s">
        <v>2955</v>
      </c>
      <c r="I248">
        <v>73382.399999999994</v>
      </c>
    </row>
    <row r="249" spans="1:9" x14ac:dyDescent="0.25">
      <c r="A249" t="s">
        <v>9164</v>
      </c>
      <c r="C249" t="s">
        <v>9165</v>
      </c>
      <c r="D249" t="s">
        <v>9612</v>
      </c>
      <c r="E249" t="s">
        <v>9613</v>
      </c>
      <c r="F249" s="1">
        <v>46177</v>
      </c>
      <c r="G249" t="str">
        <f>"300115"</f>
        <v>300115</v>
      </c>
      <c r="H249" t="s">
        <v>2938</v>
      </c>
      <c r="I249">
        <v>4652.2475999999997</v>
      </c>
    </row>
    <row r="250" spans="1:9" x14ac:dyDescent="0.25">
      <c r="A250" t="s">
        <v>9164</v>
      </c>
      <c r="C250" t="s">
        <v>9165</v>
      </c>
      <c r="D250" t="s">
        <v>9614</v>
      </c>
      <c r="E250" t="s">
        <v>9615</v>
      </c>
      <c r="F250" s="1">
        <v>46177</v>
      </c>
      <c r="G250" t="str">
        <f>"300133"</f>
        <v>300133</v>
      </c>
      <c r="H250" t="s">
        <v>2955</v>
      </c>
      <c r="I250">
        <v>83584.5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1218D-1454-4F98-ADD4-BCF7E82BD7A0}">
  <dimension ref="A3:A5995"/>
  <sheetViews>
    <sheetView workbookViewId="0">
      <selection activeCell="A3" sqref="A3"/>
    </sheetView>
  </sheetViews>
  <sheetFormatPr baseColWidth="10" defaultRowHeight="15" x14ac:dyDescent="0.25"/>
  <cols>
    <col min="1" max="1" width="21" bestFit="1" customWidth="1"/>
  </cols>
  <sheetData>
    <row r="3" spans="1:1" x14ac:dyDescent="0.25">
      <c r="A3" s="14" t="s">
        <v>13094</v>
      </c>
    </row>
    <row r="4" spans="1:1" x14ac:dyDescent="0.25">
      <c r="A4" s="15" t="s">
        <v>9617</v>
      </c>
    </row>
    <row r="5" spans="1:1" x14ac:dyDescent="0.25">
      <c r="A5" s="16" t="s">
        <v>13107</v>
      </c>
    </row>
    <row r="6" spans="1:1" x14ac:dyDescent="0.25">
      <c r="A6" s="16" t="s">
        <v>13108</v>
      </c>
    </row>
    <row r="7" spans="1:1" x14ac:dyDescent="0.25">
      <c r="A7" s="16" t="s">
        <v>13109</v>
      </c>
    </row>
    <row r="8" spans="1:1" x14ac:dyDescent="0.25">
      <c r="A8" s="16" t="s">
        <v>13110</v>
      </c>
    </row>
    <row r="9" spans="1:1" x14ac:dyDescent="0.25">
      <c r="A9" s="16" t="s">
        <v>13111</v>
      </c>
    </row>
    <row r="10" spans="1:1" x14ac:dyDescent="0.25">
      <c r="A10" s="16" t="s">
        <v>13112</v>
      </c>
    </row>
    <row r="11" spans="1:1" x14ac:dyDescent="0.25">
      <c r="A11" s="16" t="s">
        <v>13113</v>
      </c>
    </row>
    <row r="12" spans="1:1" x14ac:dyDescent="0.25">
      <c r="A12" s="16" t="s">
        <v>13114</v>
      </c>
    </row>
    <row r="13" spans="1:1" x14ac:dyDescent="0.25">
      <c r="A13" s="16" t="s">
        <v>13115</v>
      </c>
    </row>
    <row r="14" spans="1:1" x14ac:dyDescent="0.25">
      <c r="A14" s="16" t="s">
        <v>13116</v>
      </c>
    </row>
    <row r="15" spans="1:1" x14ac:dyDescent="0.25">
      <c r="A15" s="16" t="s">
        <v>13117</v>
      </c>
    </row>
    <row r="16" spans="1:1" x14ac:dyDescent="0.25">
      <c r="A16" s="16" t="s">
        <v>13118</v>
      </c>
    </row>
    <row r="17" spans="1:1" x14ac:dyDescent="0.25">
      <c r="A17" s="16" t="s">
        <v>13119</v>
      </c>
    </row>
    <row r="18" spans="1:1" x14ac:dyDescent="0.25">
      <c r="A18" s="16" t="s">
        <v>13120</v>
      </c>
    </row>
    <row r="19" spans="1:1" x14ac:dyDescent="0.25">
      <c r="A19" s="16" t="s">
        <v>13121</v>
      </c>
    </row>
    <row r="20" spans="1:1" x14ac:dyDescent="0.25">
      <c r="A20" s="16" t="s">
        <v>13122</v>
      </c>
    </row>
    <row r="21" spans="1:1" x14ac:dyDescent="0.25">
      <c r="A21" s="16" t="s">
        <v>13123</v>
      </c>
    </row>
    <row r="22" spans="1:1" x14ac:dyDescent="0.25">
      <c r="A22" s="16" t="s">
        <v>13124</v>
      </c>
    </row>
    <row r="23" spans="1:1" x14ac:dyDescent="0.25">
      <c r="A23" s="16" t="s">
        <v>13125</v>
      </c>
    </row>
    <row r="24" spans="1:1" x14ac:dyDescent="0.25">
      <c r="A24" s="16" t="s">
        <v>13126</v>
      </c>
    </row>
    <row r="25" spans="1:1" x14ac:dyDescent="0.25">
      <c r="A25" s="16" t="s">
        <v>13127</v>
      </c>
    </row>
    <row r="26" spans="1:1" x14ac:dyDescent="0.25">
      <c r="A26" s="16" t="s">
        <v>13128</v>
      </c>
    </row>
    <row r="27" spans="1:1" x14ac:dyDescent="0.25">
      <c r="A27" s="16" t="s">
        <v>13129</v>
      </c>
    </row>
    <row r="28" spans="1:1" x14ac:dyDescent="0.25">
      <c r="A28" s="16" t="s">
        <v>13130</v>
      </c>
    </row>
    <row r="29" spans="1:1" x14ac:dyDescent="0.25">
      <c r="A29" s="16" t="s">
        <v>13131</v>
      </c>
    </row>
    <row r="30" spans="1:1" x14ac:dyDescent="0.25">
      <c r="A30" s="16" t="s">
        <v>13132</v>
      </c>
    </row>
    <row r="31" spans="1:1" x14ac:dyDescent="0.25">
      <c r="A31" s="16" t="s">
        <v>13133</v>
      </c>
    </row>
    <row r="32" spans="1:1" x14ac:dyDescent="0.25">
      <c r="A32" s="16" t="s">
        <v>13134</v>
      </c>
    </row>
    <row r="33" spans="1:1" x14ac:dyDescent="0.25">
      <c r="A33" s="16" t="s">
        <v>13135</v>
      </c>
    </row>
    <row r="34" spans="1:1" x14ac:dyDescent="0.25">
      <c r="A34" s="16" t="s">
        <v>13136</v>
      </c>
    </row>
    <row r="35" spans="1:1" x14ac:dyDescent="0.25">
      <c r="A35" s="16" t="s">
        <v>13137</v>
      </c>
    </row>
    <row r="36" spans="1:1" x14ac:dyDescent="0.25">
      <c r="A36" s="16" t="s">
        <v>13138</v>
      </c>
    </row>
    <row r="37" spans="1:1" x14ac:dyDescent="0.25">
      <c r="A37" s="16" t="s">
        <v>13139</v>
      </c>
    </row>
    <row r="38" spans="1:1" x14ac:dyDescent="0.25">
      <c r="A38" s="16" t="s">
        <v>13140</v>
      </c>
    </row>
    <row r="39" spans="1:1" x14ac:dyDescent="0.25">
      <c r="A39" s="16" t="s">
        <v>13141</v>
      </c>
    </row>
    <row r="40" spans="1:1" x14ac:dyDescent="0.25">
      <c r="A40" s="16" t="s">
        <v>13142</v>
      </c>
    </row>
    <row r="41" spans="1:1" x14ac:dyDescent="0.25">
      <c r="A41" s="16" t="s">
        <v>13143</v>
      </c>
    </row>
    <row r="42" spans="1:1" x14ac:dyDescent="0.25">
      <c r="A42" s="16" t="s">
        <v>13144</v>
      </c>
    </row>
    <row r="43" spans="1:1" x14ac:dyDescent="0.25">
      <c r="A43" s="16" t="s">
        <v>13145</v>
      </c>
    </row>
    <row r="44" spans="1:1" x14ac:dyDescent="0.25">
      <c r="A44" s="16" t="s">
        <v>13146</v>
      </c>
    </row>
    <row r="45" spans="1:1" x14ac:dyDescent="0.25">
      <c r="A45" s="16" t="s">
        <v>13147</v>
      </c>
    </row>
    <row r="46" spans="1:1" x14ac:dyDescent="0.25">
      <c r="A46" s="16" t="s">
        <v>13148</v>
      </c>
    </row>
    <row r="47" spans="1:1" x14ac:dyDescent="0.25">
      <c r="A47" s="16" t="s">
        <v>13149</v>
      </c>
    </row>
    <row r="48" spans="1:1" x14ac:dyDescent="0.25">
      <c r="A48" s="16" t="s">
        <v>13150</v>
      </c>
    </row>
    <row r="49" spans="1:1" x14ac:dyDescent="0.25">
      <c r="A49" s="16" t="s">
        <v>13151</v>
      </c>
    </row>
    <row r="50" spans="1:1" x14ac:dyDescent="0.25">
      <c r="A50" s="16" t="s">
        <v>13152</v>
      </c>
    </row>
    <row r="51" spans="1:1" x14ac:dyDescent="0.25">
      <c r="A51" s="16" t="s">
        <v>13153</v>
      </c>
    </row>
    <row r="52" spans="1:1" x14ac:dyDescent="0.25">
      <c r="A52" s="16" t="s">
        <v>13154</v>
      </c>
    </row>
    <row r="53" spans="1:1" x14ac:dyDescent="0.25">
      <c r="A53" s="16" t="s">
        <v>13155</v>
      </c>
    </row>
    <row r="54" spans="1:1" x14ac:dyDescent="0.25">
      <c r="A54" s="16" t="s">
        <v>13156</v>
      </c>
    </row>
    <row r="55" spans="1:1" x14ac:dyDescent="0.25">
      <c r="A55" s="16" t="s">
        <v>13157</v>
      </c>
    </row>
    <row r="56" spans="1:1" x14ac:dyDescent="0.25">
      <c r="A56" s="16" t="s">
        <v>13158</v>
      </c>
    </row>
    <row r="57" spans="1:1" x14ac:dyDescent="0.25">
      <c r="A57" s="16" t="s">
        <v>13159</v>
      </c>
    </row>
    <row r="58" spans="1:1" x14ac:dyDescent="0.25">
      <c r="A58" s="16" t="s">
        <v>13160</v>
      </c>
    </row>
    <row r="59" spans="1:1" x14ac:dyDescent="0.25">
      <c r="A59" s="16" t="s">
        <v>13161</v>
      </c>
    </row>
    <row r="60" spans="1:1" x14ac:dyDescent="0.25">
      <c r="A60" s="16" t="s">
        <v>13162</v>
      </c>
    </row>
    <row r="61" spans="1:1" x14ac:dyDescent="0.25">
      <c r="A61" s="16" t="s">
        <v>13163</v>
      </c>
    </row>
    <row r="62" spans="1:1" x14ac:dyDescent="0.25">
      <c r="A62" s="16" t="s">
        <v>13164</v>
      </c>
    </row>
    <row r="63" spans="1:1" x14ac:dyDescent="0.25">
      <c r="A63" s="16" t="s">
        <v>13165</v>
      </c>
    </row>
    <row r="64" spans="1:1" x14ac:dyDescent="0.25">
      <c r="A64" s="16" t="s">
        <v>13166</v>
      </c>
    </row>
    <row r="65" spans="1:1" x14ac:dyDescent="0.25">
      <c r="A65" s="16" t="s">
        <v>13167</v>
      </c>
    </row>
    <row r="66" spans="1:1" x14ac:dyDescent="0.25">
      <c r="A66" s="16" t="s">
        <v>13168</v>
      </c>
    </row>
    <row r="67" spans="1:1" x14ac:dyDescent="0.25">
      <c r="A67" s="16" t="s">
        <v>13169</v>
      </c>
    </row>
    <row r="68" spans="1:1" x14ac:dyDescent="0.25">
      <c r="A68" s="16" t="s">
        <v>13170</v>
      </c>
    </row>
    <row r="69" spans="1:1" x14ac:dyDescent="0.25">
      <c r="A69" s="16" t="s">
        <v>13171</v>
      </c>
    </row>
    <row r="70" spans="1:1" x14ac:dyDescent="0.25">
      <c r="A70" s="16" t="s">
        <v>13172</v>
      </c>
    </row>
    <row r="71" spans="1:1" x14ac:dyDescent="0.25">
      <c r="A71" s="16" t="s">
        <v>13173</v>
      </c>
    </row>
    <row r="72" spans="1:1" x14ac:dyDescent="0.25">
      <c r="A72" s="16" t="s">
        <v>13174</v>
      </c>
    </row>
    <row r="73" spans="1:1" x14ac:dyDescent="0.25">
      <c r="A73" s="16" t="s">
        <v>13175</v>
      </c>
    </row>
    <row r="74" spans="1:1" x14ac:dyDescent="0.25">
      <c r="A74" s="16" t="s">
        <v>13176</v>
      </c>
    </row>
    <row r="75" spans="1:1" x14ac:dyDescent="0.25">
      <c r="A75" s="16" t="s">
        <v>13177</v>
      </c>
    </row>
    <row r="76" spans="1:1" x14ac:dyDescent="0.25">
      <c r="A76" s="16" t="s">
        <v>13178</v>
      </c>
    </row>
    <row r="77" spans="1:1" x14ac:dyDescent="0.25">
      <c r="A77" s="16" t="s">
        <v>13179</v>
      </c>
    </row>
    <row r="78" spans="1:1" x14ac:dyDescent="0.25">
      <c r="A78" s="16" t="s">
        <v>13180</v>
      </c>
    </row>
    <row r="79" spans="1:1" x14ac:dyDescent="0.25">
      <c r="A79" s="16" t="s">
        <v>13181</v>
      </c>
    </row>
    <row r="80" spans="1:1" x14ac:dyDescent="0.25">
      <c r="A80" s="16" t="s">
        <v>13182</v>
      </c>
    </row>
    <row r="81" spans="1:1" x14ac:dyDescent="0.25">
      <c r="A81" s="16" t="s">
        <v>13183</v>
      </c>
    </row>
    <row r="82" spans="1:1" x14ac:dyDescent="0.25">
      <c r="A82" s="16" t="s">
        <v>13184</v>
      </c>
    </row>
    <row r="83" spans="1:1" x14ac:dyDescent="0.25">
      <c r="A83" s="16" t="s">
        <v>13185</v>
      </c>
    </row>
    <row r="84" spans="1:1" x14ac:dyDescent="0.25">
      <c r="A84" s="16" t="s">
        <v>13186</v>
      </c>
    </row>
    <row r="85" spans="1:1" x14ac:dyDescent="0.25">
      <c r="A85" s="16" t="s">
        <v>13187</v>
      </c>
    </row>
    <row r="86" spans="1:1" x14ac:dyDescent="0.25">
      <c r="A86" s="16" t="s">
        <v>13188</v>
      </c>
    </row>
    <row r="87" spans="1:1" x14ac:dyDescent="0.25">
      <c r="A87" s="16" t="s">
        <v>13189</v>
      </c>
    </row>
    <row r="88" spans="1:1" x14ac:dyDescent="0.25">
      <c r="A88" s="16" t="s">
        <v>13190</v>
      </c>
    </row>
    <row r="89" spans="1:1" x14ac:dyDescent="0.25">
      <c r="A89" s="16" t="s">
        <v>13191</v>
      </c>
    </row>
    <row r="90" spans="1:1" x14ac:dyDescent="0.25">
      <c r="A90" s="16" t="s">
        <v>13192</v>
      </c>
    </row>
    <row r="91" spans="1:1" x14ac:dyDescent="0.25">
      <c r="A91" s="16" t="s">
        <v>13193</v>
      </c>
    </row>
    <row r="92" spans="1:1" x14ac:dyDescent="0.25">
      <c r="A92" s="16" t="s">
        <v>13194</v>
      </c>
    </row>
    <row r="93" spans="1:1" x14ac:dyDescent="0.25">
      <c r="A93" s="16" t="s">
        <v>13195</v>
      </c>
    </row>
    <row r="94" spans="1:1" x14ac:dyDescent="0.25">
      <c r="A94" s="16" t="s">
        <v>13196</v>
      </c>
    </row>
    <row r="95" spans="1:1" x14ac:dyDescent="0.25">
      <c r="A95" s="16" t="s">
        <v>13197</v>
      </c>
    </row>
    <row r="96" spans="1:1" x14ac:dyDescent="0.25">
      <c r="A96" s="16" t="s">
        <v>13198</v>
      </c>
    </row>
    <row r="97" spans="1:1" x14ac:dyDescent="0.25">
      <c r="A97" s="16" t="s">
        <v>13199</v>
      </c>
    </row>
    <row r="98" spans="1:1" x14ac:dyDescent="0.25">
      <c r="A98" s="16" t="s">
        <v>13200</v>
      </c>
    </row>
    <row r="99" spans="1:1" x14ac:dyDescent="0.25">
      <c r="A99" s="16" t="s">
        <v>13201</v>
      </c>
    </row>
    <row r="100" spans="1:1" x14ac:dyDescent="0.25">
      <c r="A100" s="16" t="s">
        <v>13202</v>
      </c>
    </row>
    <row r="101" spans="1:1" x14ac:dyDescent="0.25">
      <c r="A101" s="16" t="s">
        <v>13203</v>
      </c>
    </row>
    <row r="102" spans="1:1" x14ac:dyDescent="0.25">
      <c r="A102" s="16" t="s">
        <v>13204</v>
      </c>
    </row>
    <row r="103" spans="1:1" x14ac:dyDescent="0.25">
      <c r="A103" s="16" t="s">
        <v>13205</v>
      </c>
    </row>
    <row r="104" spans="1:1" x14ac:dyDescent="0.25">
      <c r="A104" s="16" t="s">
        <v>13206</v>
      </c>
    </row>
    <row r="105" spans="1:1" x14ac:dyDescent="0.25">
      <c r="A105" s="16" t="s">
        <v>13207</v>
      </c>
    </row>
    <row r="106" spans="1:1" x14ac:dyDescent="0.25">
      <c r="A106" s="16" t="s">
        <v>13208</v>
      </c>
    </row>
    <row r="107" spans="1:1" x14ac:dyDescent="0.25">
      <c r="A107" s="16" t="s">
        <v>13209</v>
      </c>
    </row>
    <row r="108" spans="1:1" x14ac:dyDescent="0.25">
      <c r="A108" s="16" t="s">
        <v>13210</v>
      </c>
    </row>
    <row r="109" spans="1:1" x14ac:dyDescent="0.25">
      <c r="A109" s="16" t="s">
        <v>13211</v>
      </c>
    </row>
    <row r="110" spans="1:1" x14ac:dyDescent="0.25">
      <c r="A110" s="16" t="s">
        <v>13212</v>
      </c>
    </row>
    <row r="111" spans="1:1" x14ac:dyDescent="0.25">
      <c r="A111" s="16" t="s">
        <v>13213</v>
      </c>
    </row>
    <row r="112" spans="1:1" x14ac:dyDescent="0.25">
      <c r="A112" s="16" t="s">
        <v>13214</v>
      </c>
    </row>
    <row r="113" spans="1:1" x14ac:dyDescent="0.25">
      <c r="A113" s="16" t="s">
        <v>13215</v>
      </c>
    </row>
    <row r="114" spans="1:1" x14ac:dyDescent="0.25">
      <c r="A114" s="16" t="s">
        <v>13216</v>
      </c>
    </row>
    <row r="115" spans="1:1" x14ac:dyDescent="0.25">
      <c r="A115" s="16" t="s">
        <v>13217</v>
      </c>
    </row>
    <row r="116" spans="1:1" x14ac:dyDescent="0.25">
      <c r="A116" s="16" t="s">
        <v>13218</v>
      </c>
    </row>
    <row r="117" spans="1:1" x14ac:dyDescent="0.25">
      <c r="A117" s="16" t="s">
        <v>13219</v>
      </c>
    </row>
    <row r="118" spans="1:1" x14ac:dyDescent="0.25">
      <c r="A118" s="16" t="s">
        <v>13220</v>
      </c>
    </row>
    <row r="119" spans="1:1" x14ac:dyDescent="0.25">
      <c r="A119" s="16" t="s">
        <v>13221</v>
      </c>
    </row>
    <row r="120" spans="1:1" x14ac:dyDescent="0.25">
      <c r="A120" s="16" t="s">
        <v>13222</v>
      </c>
    </row>
    <row r="121" spans="1:1" x14ac:dyDescent="0.25">
      <c r="A121" s="16" t="s">
        <v>13223</v>
      </c>
    </row>
    <row r="122" spans="1:1" x14ac:dyDescent="0.25">
      <c r="A122" s="16" t="s">
        <v>13224</v>
      </c>
    </row>
    <row r="123" spans="1:1" x14ac:dyDescent="0.25">
      <c r="A123" s="16" t="s">
        <v>13225</v>
      </c>
    </row>
    <row r="124" spans="1:1" x14ac:dyDescent="0.25">
      <c r="A124" s="16" t="s">
        <v>13226</v>
      </c>
    </row>
    <row r="125" spans="1:1" x14ac:dyDescent="0.25">
      <c r="A125" s="16" t="s">
        <v>13227</v>
      </c>
    </row>
    <row r="126" spans="1:1" x14ac:dyDescent="0.25">
      <c r="A126" s="16" t="s">
        <v>13228</v>
      </c>
    </row>
    <row r="127" spans="1:1" x14ac:dyDescent="0.25">
      <c r="A127" s="16" t="s">
        <v>13229</v>
      </c>
    </row>
    <row r="128" spans="1:1" x14ac:dyDescent="0.25">
      <c r="A128" s="16" t="s">
        <v>13230</v>
      </c>
    </row>
    <row r="129" spans="1:1" x14ac:dyDescent="0.25">
      <c r="A129" s="16" t="s">
        <v>13231</v>
      </c>
    </row>
    <row r="130" spans="1:1" x14ac:dyDescent="0.25">
      <c r="A130" s="16" t="s">
        <v>13232</v>
      </c>
    </row>
    <row r="131" spans="1:1" x14ac:dyDescent="0.25">
      <c r="A131" s="16" t="s">
        <v>13233</v>
      </c>
    </row>
    <row r="132" spans="1:1" x14ac:dyDescent="0.25">
      <c r="A132" s="16" t="s">
        <v>13234</v>
      </c>
    </row>
    <row r="133" spans="1:1" x14ac:dyDescent="0.25">
      <c r="A133" s="16" t="s">
        <v>13235</v>
      </c>
    </row>
    <row r="134" spans="1:1" x14ac:dyDescent="0.25">
      <c r="A134" s="16" t="s">
        <v>13236</v>
      </c>
    </row>
    <row r="135" spans="1:1" x14ac:dyDescent="0.25">
      <c r="A135" s="16" t="s">
        <v>13237</v>
      </c>
    </row>
    <row r="136" spans="1:1" x14ac:dyDescent="0.25">
      <c r="A136" s="16" t="s">
        <v>13238</v>
      </c>
    </row>
    <row r="137" spans="1:1" x14ac:dyDescent="0.25">
      <c r="A137" s="16" t="s">
        <v>13239</v>
      </c>
    </row>
    <row r="138" spans="1:1" x14ac:dyDescent="0.25">
      <c r="A138" s="16" t="s">
        <v>13240</v>
      </c>
    </row>
    <row r="139" spans="1:1" x14ac:dyDescent="0.25">
      <c r="A139" s="16" t="s">
        <v>13241</v>
      </c>
    </row>
    <row r="140" spans="1:1" x14ac:dyDescent="0.25">
      <c r="A140" s="16" t="s">
        <v>13242</v>
      </c>
    </row>
    <row r="141" spans="1:1" x14ac:dyDescent="0.25">
      <c r="A141" s="16" t="s">
        <v>13243</v>
      </c>
    </row>
    <row r="142" spans="1:1" x14ac:dyDescent="0.25">
      <c r="A142" s="16" t="s">
        <v>13244</v>
      </c>
    </row>
    <row r="143" spans="1:1" x14ac:dyDescent="0.25">
      <c r="A143" s="16" t="s">
        <v>13245</v>
      </c>
    </row>
    <row r="144" spans="1:1" x14ac:dyDescent="0.25">
      <c r="A144" s="16" t="s">
        <v>13246</v>
      </c>
    </row>
    <row r="145" spans="1:1" x14ac:dyDescent="0.25">
      <c r="A145" s="16" t="s">
        <v>13247</v>
      </c>
    </row>
    <row r="146" spans="1:1" x14ac:dyDescent="0.25">
      <c r="A146" s="16" t="s">
        <v>13248</v>
      </c>
    </row>
    <row r="147" spans="1:1" x14ac:dyDescent="0.25">
      <c r="A147" s="16" t="s">
        <v>13249</v>
      </c>
    </row>
    <row r="148" spans="1:1" x14ac:dyDescent="0.25">
      <c r="A148" s="16" t="s">
        <v>13250</v>
      </c>
    </row>
    <row r="149" spans="1:1" x14ac:dyDescent="0.25">
      <c r="A149" s="16" t="s">
        <v>13251</v>
      </c>
    </row>
    <row r="150" spans="1:1" x14ac:dyDescent="0.25">
      <c r="A150" s="16" t="s">
        <v>13252</v>
      </c>
    </row>
    <row r="151" spans="1:1" x14ac:dyDescent="0.25">
      <c r="A151" s="16" t="s">
        <v>13253</v>
      </c>
    </row>
    <row r="152" spans="1:1" x14ac:dyDescent="0.25">
      <c r="A152" s="16" t="s">
        <v>13254</v>
      </c>
    </row>
    <row r="153" spans="1:1" x14ac:dyDescent="0.25">
      <c r="A153" s="16" t="s">
        <v>13255</v>
      </c>
    </row>
    <row r="154" spans="1:1" x14ac:dyDescent="0.25">
      <c r="A154" s="16" t="s">
        <v>13256</v>
      </c>
    </row>
    <row r="155" spans="1:1" x14ac:dyDescent="0.25">
      <c r="A155" s="16" t="s">
        <v>13257</v>
      </c>
    </row>
    <row r="156" spans="1:1" x14ac:dyDescent="0.25">
      <c r="A156" s="16" t="s">
        <v>13258</v>
      </c>
    </row>
    <row r="157" spans="1:1" x14ac:dyDescent="0.25">
      <c r="A157" s="16" t="s">
        <v>13259</v>
      </c>
    </row>
    <row r="158" spans="1:1" x14ac:dyDescent="0.25">
      <c r="A158" s="16" t="s">
        <v>13260</v>
      </c>
    </row>
    <row r="159" spans="1:1" x14ac:dyDescent="0.25">
      <c r="A159" s="16" t="s">
        <v>13261</v>
      </c>
    </row>
    <row r="160" spans="1:1" x14ac:dyDescent="0.25">
      <c r="A160" s="16" t="s">
        <v>13262</v>
      </c>
    </row>
    <row r="161" spans="1:1" x14ac:dyDescent="0.25">
      <c r="A161" s="16" t="s">
        <v>13263</v>
      </c>
    </row>
    <row r="162" spans="1:1" x14ac:dyDescent="0.25">
      <c r="A162" s="16" t="s">
        <v>13264</v>
      </c>
    </row>
    <row r="163" spans="1:1" x14ac:dyDescent="0.25">
      <c r="A163" s="16" t="s">
        <v>13265</v>
      </c>
    </row>
    <row r="164" spans="1:1" x14ac:dyDescent="0.25">
      <c r="A164" s="16" t="s">
        <v>13266</v>
      </c>
    </row>
    <row r="165" spans="1:1" x14ac:dyDescent="0.25">
      <c r="A165" s="16" t="s">
        <v>13267</v>
      </c>
    </row>
    <row r="166" spans="1:1" x14ac:dyDescent="0.25">
      <c r="A166" s="16" t="s">
        <v>13268</v>
      </c>
    </row>
    <row r="167" spans="1:1" x14ac:dyDescent="0.25">
      <c r="A167" s="16" t="s">
        <v>13269</v>
      </c>
    </row>
    <row r="168" spans="1:1" x14ac:dyDescent="0.25">
      <c r="A168" s="16" t="s">
        <v>13270</v>
      </c>
    </row>
    <row r="169" spans="1:1" x14ac:dyDescent="0.25">
      <c r="A169" s="16" t="s">
        <v>13271</v>
      </c>
    </row>
    <row r="170" spans="1:1" x14ac:dyDescent="0.25">
      <c r="A170" s="16" t="s">
        <v>13272</v>
      </c>
    </row>
    <row r="171" spans="1:1" x14ac:dyDescent="0.25">
      <c r="A171" s="16" t="s">
        <v>13273</v>
      </c>
    </row>
    <row r="172" spans="1:1" x14ac:dyDescent="0.25">
      <c r="A172" s="16" t="s">
        <v>13274</v>
      </c>
    </row>
    <row r="173" spans="1:1" x14ac:dyDescent="0.25">
      <c r="A173" s="16" t="s">
        <v>13275</v>
      </c>
    </row>
    <row r="174" spans="1:1" x14ac:dyDescent="0.25">
      <c r="A174" s="16" t="s">
        <v>13276</v>
      </c>
    </row>
    <row r="175" spans="1:1" x14ac:dyDescent="0.25">
      <c r="A175" s="16" t="s">
        <v>13277</v>
      </c>
    </row>
    <row r="176" spans="1:1" x14ac:dyDescent="0.25">
      <c r="A176" s="16" t="s">
        <v>13278</v>
      </c>
    </row>
    <row r="177" spans="1:1" x14ac:dyDescent="0.25">
      <c r="A177" s="16" t="s">
        <v>13279</v>
      </c>
    </row>
    <row r="178" spans="1:1" x14ac:dyDescent="0.25">
      <c r="A178" s="16" t="s">
        <v>13280</v>
      </c>
    </row>
    <row r="179" spans="1:1" x14ac:dyDescent="0.25">
      <c r="A179" s="16" t="s">
        <v>13281</v>
      </c>
    </row>
    <row r="180" spans="1:1" x14ac:dyDescent="0.25">
      <c r="A180" s="16" t="s">
        <v>13282</v>
      </c>
    </row>
    <row r="181" spans="1:1" x14ac:dyDescent="0.25">
      <c r="A181" s="16" t="s">
        <v>13283</v>
      </c>
    </row>
    <row r="182" spans="1:1" x14ac:dyDescent="0.25">
      <c r="A182" s="16" t="s">
        <v>13284</v>
      </c>
    </row>
    <row r="183" spans="1:1" x14ac:dyDescent="0.25">
      <c r="A183" s="16" t="s">
        <v>13285</v>
      </c>
    </row>
    <row r="184" spans="1:1" x14ac:dyDescent="0.25">
      <c r="A184" s="16" t="s">
        <v>13286</v>
      </c>
    </row>
    <row r="185" spans="1:1" x14ac:dyDescent="0.25">
      <c r="A185" s="16" t="s">
        <v>13287</v>
      </c>
    </row>
    <row r="186" spans="1:1" x14ac:dyDescent="0.25">
      <c r="A186" s="16" t="s">
        <v>13288</v>
      </c>
    </row>
    <row r="187" spans="1:1" x14ac:dyDescent="0.25">
      <c r="A187" s="16" t="s">
        <v>13289</v>
      </c>
    </row>
    <row r="188" spans="1:1" x14ac:dyDescent="0.25">
      <c r="A188" s="16" t="s">
        <v>13290</v>
      </c>
    </row>
    <row r="189" spans="1:1" x14ac:dyDescent="0.25">
      <c r="A189" s="16" t="s">
        <v>13291</v>
      </c>
    </row>
    <row r="190" spans="1:1" x14ac:dyDescent="0.25">
      <c r="A190" s="16" t="s">
        <v>13292</v>
      </c>
    </row>
    <row r="191" spans="1:1" x14ac:dyDescent="0.25">
      <c r="A191" s="16" t="s">
        <v>13293</v>
      </c>
    </row>
    <row r="192" spans="1:1" x14ac:dyDescent="0.25">
      <c r="A192" s="16" t="s">
        <v>13294</v>
      </c>
    </row>
    <row r="193" spans="1:1" x14ac:dyDescent="0.25">
      <c r="A193" s="16" t="s">
        <v>13295</v>
      </c>
    </row>
    <row r="194" spans="1:1" x14ac:dyDescent="0.25">
      <c r="A194" s="16" t="s">
        <v>13296</v>
      </c>
    </row>
    <row r="195" spans="1:1" x14ac:dyDescent="0.25">
      <c r="A195" s="16" t="s">
        <v>13297</v>
      </c>
    </row>
    <row r="196" spans="1:1" x14ac:dyDescent="0.25">
      <c r="A196" s="16" t="s">
        <v>13298</v>
      </c>
    </row>
    <row r="197" spans="1:1" x14ac:dyDescent="0.25">
      <c r="A197" s="16" t="s">
        <v>13299</v>
      </c>
    </row>
    <row r="198" spans="1:1" x14ac:dyDescent="0.25">
      <c r="A198" s="16" t="s">
        <v>13300</v>
      </c>
    </row>
    <row r="199" spans="1:1" x14ac:dyDescent="0.25">
      <c r="A199" s="16" t="s">
        <v>13301</v>
      </c>
    </row>
    <row r="200" spans="1:1" x14ac:dyDescent="0.25">
      <c r="A200" s="16" t="s">
        <v>13302</v>
      </c>
    </row>
    <row r="201" spans="1:1" x14ac:dyDescent="0.25">
      <c r="A201" s="16" t="s">
        <v>13303</v>
      </c>
    </row>
    <row r="202" spans="1:1" x14ac:dyDescent="0.25">
      <c r="A202" s="16" t="s">
        <v>13304</v>
      </c>
    </row>
    <row r="203" spans="1:1" x14ac:dyDescent="0.25">
      <c r="A203" s="16" t="s">
        <v>13305</v>
      </c>
    </row>
    <row r="204" spans="1:1" x14ac:dyDescent="0.25">
      <c r="A204" s="16" t="s">
        <v>13306</v>
      </c>
    </row>
    <row r="205" spans="1:1" x14ac:dyDescent="0.25">
      <c r="A205" s="16" t="s">
        <v>13307</v>
      </c>
    </row>
    <row r="206" spans="1:1" x14ac:dyDescent="0.25">
      <c r="A206" s="16" t="s">
        <v>13308</v>
      </c>
    </row>
    <row r="207" spans="1:1" x14ac:dyDescent="0.25">
      <c r="A207" s="16" t="s">
        <v>13309</v>
      </c>
    </row>
    <row r="208" spans="1:1" x14ac:dyDescent="0.25">
      <c r="A208" s="16" t="s">
        <v>13310</v>
      </c>
    </row>
    <row r="209" spans="1:1" x14ac:dyDescent="0.25">
      <c r="A209" s="16" t="s">
        <v>13311</v>
      </c>
    </row>
    <row r="210" spans="1:1" x14ac:dyDescent="0.25">
      <c r="A210" s="16" t="s">
        <v>13312</v>
      </c>
    </row>
    <row r="211" spans="1:1" x14ac:dyDescent="0.25">
      <c r="A211" s="16" t="s">
        <v>13313</v>
      </c>
    </row>
    <row r="212" spans="1:1" x14ac:dyDescent="0.25">
      <c r="A212" s="16" t="s">
        <v>13314</v>
      </c>
    </row>
    <row r="213" spans="1:1" x14ac:dyDescent="0.25">
      <c r="A213" s="16" t="s">
        <v>13315</v>
      </c>
    </row>
    <row r="214" spans="1:1" x14ac:dyDescent="0.25">
      <c r="A214" s="16" t="s">
        <v>13316</v>
      </c>
    </row>
    <row r="215" spans="1:1" x14ac:dyDescent="0.25">
      <c r="A215" s="16" t="s">
        <v>13317</v>
      </c>
    </row>
    <row r="216" spans="1:1" x14ac:dyDescent="0.25">
      <c r="A216" s="16" t="s">
        <v>13318</v>
      </c>
    </row>
    <row r="217" spans="1:1" x14ac:dyDescent="0.25">
      <c r="A217" s="16" t="s">
        <v>13319</v>
      </c>
    </row>
    <row r="218" spans="1:1" x14ac:dyDescent="0.25">
      <c r="A218" s="16" t="s">
        <v>13320</v>
      </c>
    </row>
    <row r="219" spans="1:1" x14ac:dyDescent="0.25">
      <c r="A219" s="16" t="s">
        <v>13321</v>
      </c>
    </row>
    <row r="220" spans="1:1" x14ac:dyDescent="0.25">
      <c r="A220" s="16" t="s">
        <v>13322</v>
      </c>
    </row>
    <row r="221" spans="1:1" x14ac:dyDescent="0.25">
      <c r="A221" s="16" t="s">
        <v>13323</v>
      </c>
    </row>
    <row r="222" spans="1:1" x14ac:dyDescent="0.25">
      <c r="A222" s="16" t="s">
        <v>13324</v>
      </c>
    </row>
    <row r="223" spans="1:1" x14ac:dyDescent="0.25">
      <c r="A223" s="16" t="s">
        <v>13325</v>
      </c>
    </row>
    <row r="224" spans="1:1" x14ac:dyDescent="0.25">
      <c r="A224" s="16" t="s">
        <v>13326</v>
      </c>
    </row>
    <row r="225" spans="1:1" x14ac:dyDescent="0.25">
      <c r="A225" s="16" t="s">
        <v>13327</v>
      </c>
    </row>
    <row r="226" spans="1:1" x14ac:dyDescent="0.25">
      <c r="A226" s="16" t="s">
        <v>13328</v>
      </c>
    </row>
    <row r="227" spans="1:1" x14ac:dyDescent="0.25">
      <c r="A227" s="16" t="s">
        <v>13329</v>
      </c>
    </row>
    <row r="228" spans="1:1" x14ac:dyDescent="0.25">
      <c r="A228" s="16" t="s">
        <v>13330</v>
      </c>
    </row>
    <row r="229" spans="1:1" x14ac:dyDescent="0.25">
      <c r="A229" s="16" t="s">
        <v>13331</v>
      </c>
    </row>
    <row r="230" spans="1:1" x14ac:dyDescent="0.25">
      <c r="A230" s="16" t="s">
        <v>13332</v>
      </c>
    </row>
    <row r="231" spans="1:1" x14ac:dyDescent="0.25">
      <c r="A231" s="16" t="s">
        <v>13333</v>
      </c>
    </row>
    <row r="232" spans="1:1" x14ac:dyDescent="0.25">
      <c r="A232" s="16" t="s">
        <v>13334</v>
      </c>
    </row>
    <row r="233" spans="1:1" x14ac:dyDescent="0.25">
      <c r="A233" s="16" t="s">
        <v>13335</v>
      </c>
    </row>
    <row r="234" spans="1:1" x14ac:dyDescent="0.25">
      <c r="A234" s="16" t="s">
        <v>13336</v>
      </c>
    </row>
    <row r="235" spans="1:1" x14ac:dyDescent="0.25">
      <c r="A235" s="16" t="s">
        <v>13337</v>
      </c>
    </row>
    <row r="236" spans="1:1" x14ac:dyDescent="0.25">
      <c r="A236" s="16" t="s">
        <v>13338</v>
      </c>
    </row>
    <row r="237" spans="1:1" x14ac:dyDescent="0.25">
      <c r="A237" s="16" t="s">
        <v>13339</v>
      </c>
    </row>
    <row r="238" spans="1:1" x14ac:dyDescent="0.25">
      <c r="A238" s="16" t="s">
        <v>13340</v>
      </c>
    </row>
    <row r="239" spans="1:1" x14ac:dyDescent="0.25">
      <c r="A239" s="16" t="s">
        <v>13341</v>
      </c>
    </row>
    <row r="240" spans="1:1" x14ac:dyDescent="0.25">
      <c r="A240" s="16" t="s">
        <v>13342</v>
      </c>
    </row>
    <row r="241" spans="1:1" x14ac:dyDescent="0.25">
      <c r="A241" s="16" t="s">
        <v>13343</v>
      </c>
    </row>
    <row r="242" spans="1:1" x14ac:dyDescent="0.25">
      <c r="A242" s="16" t="s">
        <v>13344</v>
      </c>
    </row>
    <row r="243" spans="1:1" x14ac:dyDescent="0.25">
      <c r="A243" s="16" t="s">
        <v>13345</v>
      </c>
    </row>
    <row r="244" spans="1:1" x14ac:dyDescent="0.25">
      <c r="A244" s="16" t="s">
        <v>13346</v>
      </c>
    </row>
    <row r="245" spans="1:1" x14ac:dyDescent="0.25">
      <c r="A245" s="16" t="s">
        <v>13347</v>
      </c>
    </row>
    <row r="246" spans="1:1" x14ac:dyDescent="0.25">
      <c r="A246" s="16" t="s">
        <v>13348</v>
      </c>
    </row>
    <row r="247" spans="1:1" x14ac:dyDescent="0.25">
      <c r="A247" s="16" t="s">
        <v>13349</v>
      </c>
    </row>
    <row r="248" spans="1:1" x14ac:dyDescent="0.25">
      <c r="A248" s="16" t="s">
        <v>13350</v>
      </c>
    </row>
    <row r="249" spans="1:1" x14ac:dyDescent="0.25">
      <c r="A249" s="16" t="s">
        <v>13351</v>
      </c>
    </row>
    <row r="250" spans="1:1" x14ac:dyDescent="0.25">
      <c r="A250" s="16" t="s">
        <v>13352</v>
      </c>
    </row>
    <row r="251" spans="1:1" x14ac:dyDescent="0.25">
      <c r="A251" s="16" t="s">
        <v>13353</v>
      </c>
    </row>
    <row r="252" spans="1:1" x14ac:dyDescent="0.25">
      <c r="A252" s="16" t="s">
        <v>13354</v>
      </c>
    </row>
    <row r="253" spans="1:1" x14ac:dyDescent="0.25">
      <c r="A253" s="16" t="s">
        <v>13355</v>
      </c>
    </row>
    <row r="254" spans="1:1" x14ac:dyDescent="0.25">
      <c r="A254" s="16" t="s">
        <v>13356</v>
      </c>
    </row>
    <row r="255" spans="1:1" x14ac:dyDescent="0.25">
      <c r="A255" s="16" t="s">
        <v>13357</v>
      </c>
    </row>
    <row r="256" spans="1:1" x14ac:dyDescent="0.25">
      <c r="A256" s="16" t="s">
        <v>13358</v>
      </c>
    </row>
    <row r="257" spans="1:1" x14ac:dyDescent="0.25">
      <c r="A257" s="16" t="s">
        <v>13359</v>
      </c>
    </row>
    <row r="258" spans="1:1" x14ac:dyDescent="0.25">
      <c r="A258" s="16" t="s">
        <v>13360</v>
      </c>
    </row>
    <row r="259" spans="1:1" x14ac:dyDescent="0.25">
      <c r="A259" s="16" t="s">
        <v>13361</v>
      </c>
    </row>
    <row r="260" spans="1:1" x14ac:dyDescent="0.25">
      <c r="A260" s="16" t="s">
        <v>13362</v>
      </c>
    </row>
    <row r="261" spans="1:1" x14ac:dyDescent="0.25">
      <c r="A261" s="16" t="s">
        <v>13363</v>
      </c>
    </row>
    <row r="262" spans="1:1" x14ac:dyDescent="0.25">
      <c r="A262" s="16" t="s">
        <v>13364</v>
      </c>
    </row>
    <row r="263" spans="1:1" x14ac:dyDescent="0.25">
      <c r="A263" s="16" t="s">
        <v>13365</v>
      </c>
    </row>
    <row r="264" spans="1:1" x14ac:dyDescent="0.25">
      <c r="A264" s="16" t="s">
        <v>13366</v>
      </c>
    </row>
    <row r="265" spans="1:1" x14ac:dyDescent="0.25">
      <c r="A265" s="16" t="s">
        <v>13367</v>
      </c>
    </row>
    <row r="266" spans="1:1" x14ac:dyDescent="0.25">
      <c r="A266" s="16" t="s">
        <v>13368</v>
      </c>
    </row>
    <row r="267" spans="1:1" x14ac:dyDescent="0.25">
      <c r="A267" s="16" t="s">
        <v>13369</v>
      </c>
    </row>
    <row r="268" spans="1:1" x14ac:dyDescent="0.25">
      <c r="A268" s="16" t="s">
        <v>13370</v>
      </c>
    </row>
    <row r="269" spans="1:1" x14ac:dyDescent="0.25">
      <c r="A269" s="16" t="s">
        <v>13371</v>
      </c>
    </row>
    <row r="270" spans="1:1" x14ac:dyDescent="0.25">
      <c r="A270" s="16" t="s">
        <v>13372</v>
      </c>
    </row>
    <row r="271" spans="1:1" x14ac:dyDescent="0.25">
      <c r="A271" s="16" t="s">
        <v>13373</v>
      </c>
    </row>
    <row r="272" spans="1:1" x14ac:dyDescent="0.25">
      <c r="A272" s="16" t="s">
        <v>13374</v>
      </c>
    </row>
    <row r="273" spans="1:1" x14ac:dyDescent="0.25">
      <c r="A273" s="16" t="s">
        <v>13375</v>
      </c>
    </row>
    <row r="274" spans="1:1" x14ac:dyDescent="0.25">
      <c r="A274" s="16" t="s">
        <v>13376</v>
      </c>
    </row>
    <row r="275" spans="1:1" x14ac:dyDescent="0.25">
      <c r="A275" s="16" t="s">
        <v>13377</v>
      </c>
    </row>
    <row r="276" spans="1:1" x14ac:dyDescent="0.25">
      <c r="A276" s="16" t="s">
        <v>13378</v>
      </c>
    </row>
    <row r="277" spans="1:1" x14ac:dyDescent="0.25">
      <c r="A277" s="16" t="s">
        <v>13379</v>
      </c>
    </row>
    <row r="278" spans="1:1" x14ac:dyDescent="0.25">
      <c r="A278" s="16" t="s">
        <v>13380</v>
      </c>
    </row>
    <row r="279" spans="1:1" x14ac:dyDescent="0.25">
      <c r="A279" s="16" t="s">
        <v>13381</v>
      </c>
    </row>
    <row r="280" spans="1:1" x14ac:dyDescent="0.25">
      <c r="A280" s="16" t="s">
        <v>13382</v>
      </c>
    </row>
    <row r="281" spans="1:1" x14ac:dyDescent="0.25">
      <c r="A281" s="16" t="s">
        <v>13383</v>
      </c>
    </row>
    <row r="282" spans="1:1" x14ac:dyDescent="0.25">
      <c r="A282" s="16" t="s">
        <v>13384</v>
      </c>
    </row>
    <row r="283" spans="1:1" x14ac:dyDescent="0.25">
      <c r="A283" s="16" t="s">
        <v>13385</v>
      </c>
    </row>
    <row r="284" spans="1:1" x14ac:dyDescent="0.25">
      <c r="A284" s="16" t="s">
        <v>13386</v>
      </c>
    </row>
    <row r="285" spans="1:1" x14ac:dyDescent="0.25">
      <c r="A285" s="16" t="s">
        <v>13387</v>
      </c>
    </row>
    <row r="286" spans="1:1" x14ac:dyDescent="0.25">
      <c r="A286" s="16" t="s">
        <v>13388</v>
      </c>
    </row>
    <row r="287" spans="1:1" x14ac:dyDescent="0.25">
      <c r="A287" s="16" t="s">
        <v>13389</v>
      </c>
    </row>
    <row r="288" spans="1:1" x14ac:dyDescent="0.25">
      <c r="A288" s="16" t="s">
        <v>13390</v>
      </c>
    </row>
    <row r="289" spans="1:1" x14ac:dyDescent="0.25">
      <c r="A289" s="16" t="s">
        <v>13391</v>
      </c>
    </row>
    <row r="290" spans="1:1" x14ac:dyDescent="0.25">
      <c r="A290" s="16" t="s">
        <v>13392</v>
      </c>
    </row>
    <row r="291" spans="1:1" x14ac:dyDescent="0.25">
      <c r="A291" s="16" t="s">
        <v>13393</v>
      </c>
    </row>
    <row r="292" spans="1:1" x14ac:dyDescent="0.25">
      <c r="A292" s="16" t="s">
        <v>13394</v>
      </c>
    </row>
    <row r="293" spans="1:1" x14ac:dyDescent="0.25">
      <c r="A293" s="16" t="s">
        <v>13395</v>
      </c>
    </row>
    <row r="294" spans="1:1" x14ac:dyDescent="0.25">
      <c r="A294" s="16" t="s">
        <v>13396</v>
      </c>
    </row>
    <row r="295" spans="1:1" x14ac:dyDescent="0.25">
      <c r="A295" s="16" t="s">
        <v>13397</v>
      </c>
    </row>
    <row r="296" spans="1:1" x14ac:dyDescent="0.25">
      <c r="A296" s="16" t="s">
        <v>13398</v>
      </c>
    </row>
    <row r="297" spans="1:1" x14ac:dyDescent="0.25">
      <c r="A297" s="16" t="s">
        <v>13399</v>
      </c>
    </row>
    <row r="298" spans="1:1" x14ac:dyDescent="0.25">
      <c r="A298" s="16" t="s">
        <v>13400</v>
      </c>
    </row>
    <row r="299" spans="1:1" x14ac:dyDescent="0.25">
      <c r="A299" s="16" t="s">
        <v>13401</v>
      </c>
    </row>
    <row r="300" spans="1:1" x14ac:dyDescent="0.25">
      <c r="A300" s="16" t="s">
        <v>13402</v>
      </c>
    </row>
    <row r="301" spans="1:1" x14ac:dyDescent="0.25">
      <c r="A301" s="16" t="s">
        <v>13403</v>
      </c>
    </row>
    <row r="302" spans="1:1" x14ac:dyDescent="0.25">
      <c r="A302" s="16" t="s">
        <v>13404</v>
      </c>
    </row>
    <row r="303" spans="1:1" x14ac:dyDescent="0.25">
      <c r="A303" s="16" t="s">
        <v>13405</v>
      </c>
    </row>
    <row r="304" spans="1:1" x14ac:dyDescent="0.25">
      <c r="A304" s="16" t="s">
        <v>13406</v>
      </c>
    </row>
    <row r="305" spans="1:1" x14ac:dyDescent="0.25">
      <c r="A305" s="16" t="s">
        <v>13407</v>
      </c>
    </row>
    <row r="306" spans="1:1" x14ac:dyDescent="0.25">
      <c r="A306" s="16" t="s">
        <v>13408</v>
      </c>
    </row>
    <row r="307" spans="1:1" x14ac:dyDescent="0.25">
      <c r="A307" s="16" t="s">
        <v>13409</v>
      </c>
    </row>
    <row r="308" spans="1:1" x14ac:dyDescent="0.25">
      <c r="A308" s="16" t="s">
        <v>13410</v>
      </c>
    </row>
    <row r="309" spans="1:1" x14ac:dyDescent="0.25">
      <c r="A309" s="16" t="s">
        <v>13411</v>
      </c>
    </row>
    <row r="310" spans="1:1" x14ac:dyDescent="0.25">
      <c r="A310" s="16" t="s">
        <v>13412</v>
      </c>
    </row>
    <row r="311" spans="1:1" x14ac:dyDescent="0.25">
      <c r="A311" s="16" t="s">
        <v>13413</v>
      </c>
    </row>
    <row r="312" spans="1:1" x14ac:dyDescent="0.25">
      <c r="A312" s="16" t="s">
        <v>13414</v>
      </c>
    </row>
    <row r="313" spans="1:1" x14ac:dyDescent="0.25">
      <c r="A313" s="16" t="s">
        <v>13415</v>
      </c>
    </row>
    <row r="314" spans="1:1" x14ac:dyDescent="0.25">
      <c r="A314" s="16" t="s">
        <v>13416</v>
      </c>
    </row>
    <row r="315" spans="1:1" x14ac:dyDescent="0.25">
      <c r="A315" s="16" t="s">
        <v>13417</v>
      </c>
    </row>
    <row r="316" spans="1:1" x14ac:dyDescent="0.25">
      <c r="A316" s="16" t="s">
        <v>13418</v>
      </c>
    </row>
    <row r="317" spans="1:1" x14ac:dyDescent="0.25">
      <c r="A317" s="16" t="s">
        <v>13419</v>
      </c>
    </row>
    <row r="318" spans="1:1" x14ac:dyDescent="0.25">
      <c r="A318" s="16" t="s">
        <v>13420</v>
      </c>
    </row>
    <row r="319" spans="1:1" x14ac:dyDescent="0.25">
      <c r="A319" s="16" t="s">
        <v>13421</v>
      </c>
    </row>
    <row r="320" spans="1:1" x14ac:dyDescent="0.25">
      <c r="A320" s="16" t="s">
        <v>13422</v>
      </c>
    </row>
    <row r="321" spans="1:1" x14ac:dyDescent="0.25">
      <c r="A321" s="16" t="s">
        <v>13423</v>
      </c>
    </row>
    <row r="322" spans="1:1" x14ac:dyDescent="0.25">
      <c r="A322" s="16" t="s">
        <v>13424</v>
      </c>
    </row>
    <row r="323" spans="1:1" x14ac:dyDescent="0.25">
      <c r="A323" s="16" t="s">
        <v>13425</v>
      </c>
    </row>
    <row r="324" spans="1:1" x14ac:dyDescent="0.25">
      <c r="A324" s="16" t="s">
        <v>13426</v>
      </c>
    </row>
    <row r="325" spans="1:1" x14ac:dyDescent="0.25">
      <c r="A325" s="16" t="s">
        <v>13427</v>
      </c>
    </row>
    <row r="326" spans="1:1" x14ac:dyDescent="0.25">
      <c r="A326" s="16" t="s">
        <v>13428</v>
      </c>
    </row>
    <row r="327" spans="1:1" x14ac:dyDescent="0.25">
      <c r="A327" s="16" t="s">
        <v>13429</v>
      </c>
    </row>
    <row r="328" spans="1:1" x14ac:dyDescent="0.25">
      <c r="A328" s="16" t="s">
        <v>13430</v>
      </c>
    </row>
    <row r="329" spans="1:1" x14ac:dyDescent="0.25">
      <c r="A329" s="16" t="s">
        <v>13431</v>
      </c>
    </row>
    <row r="330" spans="1:1" x14ac:dyDescent="0.25">
      <c r="A330" s="16" t="s">
        <v>13432</v>
      </c>
    </row>
    <row r="331" spans="1:1" x14ac:dyDescent="0.25">
      <c r="A331" s="16" t="s">
        <v>13433</v>
      </c>
    </row>
    <row r="332" spans="1:1" x14ac:dyDescent="0.25">
      <c r="A332" s="16" t="s">
        <v>13434</v>
      </c>
    </row>
    <row r="333" spans="1:1" x14ac:dyDescent="0.25">
      <c r="A333" s="16" t="s">
        <v>13435</v>
      </c>
    </row>
    <row r="334" spans="1:1" x14ac:dyDescent="0.25">
      <c r="A334" s="16" t="s">
        <v>13436</v>
      </c>
    </row>
    <row r="335" spans="1:1" x14ac:dyDescent="0.25">
      <c r="A335" s="16" t="s">
        <v>13437</v>
      </c>
    </row>
    <row r="336" spans="1:1" x14ac:dyDescent="0.25">
      <c r="A336" s="16" t="s">
        <v>13438</v>
      </c>
    </row>
    <row r="337" spans="1:1" x14ac:dyDescent="0.25">
      <c r="A337" s="16" t="s">
        <v>13439</v>
      </c>
    </row>
    <row r="338" spans="1:1" x14ac:dyDescent="0.25">
      <c r="A338" s="16" t="s">
        <v>13440</v>
      </c>
    </row>
    <row r="339" spans="1:1" x14ac:dyDescent="0.25">
      <c r="A339" s="16" t="s">
        <v>13441</v>
      </c>
    </row>
    <row r="340" spans="1:1" x14ac:dyDescent="0.25">
      <c r="A340" s="16" t="s">
        <v>13442</v>
      </c>
    </row>
    <row r="341" spans="1:1" x14ac:dyDescent="0.25">
      <c r="A341" s="16" t="s">
        <v>13443</v>
      </c>
    </row>
    <row r="342" spans="1:1" x14ac:dyDescent="0.25">
      <c r="A342" s="16" t="s">
        <v>13444</v>
      </c>
    </row>
    <row r="343" spans="1:1" x14ac:dyDescent="0.25">
      <c r="A343" s="16" t="s">
        <v>13445</v>
      </c>
    </row>
    <row r="344" spans="1:1" x14ac:dyDescent="0.25">
      <c r="A344" s="16" t="s">
        <v>13446</v>
      </c>
    </row>
    <row r="345" spans="1:1" x14ac:dyDescent="0.25">
      <c r="A345" s="16" t="s">
        <v>13447</v>
      </c>
    </row>
    <row r="346" spans="1:1" x14ac:dyDescent="0.25">
      <c r="A346" s="16" t="s">
        <v>13448</v>
      </c>
    </row>
    <row r="347" spans="1:1" x14ac:dyDescent="0.25">
      <c r="A347" s="16" t="s">
        <v>13449</v>
      </c>
    </row>
    <row r="348" spans="1:1" x14ac:dyDescent="0.25">
      <c r="A348" s="16" t="s">
        <v>13450</v>
      </c>
    </row>
    <row r="349" spans="1:1" x14ac:dyDescent="0.25">
      <c r="A349" s="16" t="s">
        <v>13451</v>
      </c>
    </row>
    <row r="350" spans="1:1" x14ac:dyDescent="0.25">
      <c r="A350" s="16" t="s">
        <v>13452</v>
      </c>
    </row>
    <row r="351" spans="1:1" x14ac:dyDescent="0.25">
      <c r="A351" s="16" t="s">
        <v>13453</v>
      </c>
    </row>
    <row r="352" spans="1:1" x14ac:dyDescent="0.25">
      <c r="A352" s="16" t="s">
        <v>13454</v>
      </c>
    </row>
    <row r="353" spans="1:1" x14ac:dyDescent="0.25">
      <c r="A353" s="16" t="s">
        <v>13455</v>
      </c>
    </row>
    <row r="354" spans="1:1" x14ac:dyDescent="0.25">
      <c r="A354" s="16" t="s">
        <v>13456</v>
      </c>
    </row>
    <row r="355" spans="1:1" x14ac:dyDescent="0.25">
      <c r="A355" s="16" t="s">
        <v>13457</v>
      </c>
    </row>
    <row r="356" spans="1:1" x14ac:dyDescent="0.25">
      <c r="A356" s="16" t="s">
        <v>13458</v>
      </c>
    </row>
    <row r="357" spans="1:1" x14ac:dyDescent="0.25">
      <c r="A357" s="16" t="s">
        <v>13459</v>
      </c>
    </row>
    <row r="358" spans="1:1" x14ac:dyDescent="0.25">
      <c r="A358" s="16" t="s">
        <v>13460</v>
      </c>
    </row>
    <row r="359" spans="1:1" x14ac:dyDescent="0.25">
      <c r="A359" s="16" t="s">
        <v>13461</v>
      </c>
    </row>
    <row r="360" spans="1:1" x14ac:dyDescent="0.25">
      <c r="A360" s="16" t="s">
        <v>13462</v>
      </c>
    </row>
    <row r="361" spans="1:1" x14ac:dyDescent="0.25">
      <c r="A361" s="16" t="s">
        <v>13463</v>
      </c>
    </row>
    <row r="362" spans="1:1" x14ac:dyDescent="0.25">
      <c r="A362" s="16" t="s">
        <v>13464</v>
      </c>
    </row>
    <row r="363" spans="1:1" x14ac:dyDescent="0.25">
      <c r="A363" s="16" t="s">
        <v>13465</v>
      </c>
    </row>
    <row r="364" spans="1:1" x14ac:dyDescent="0.25">
      <c r="A364" s="16" t="s">
        <v>13466</v>
      </c>
    </row>
    <row r="365" spans="1:1" x14ac:dyDescent="0.25">
      <c r="A365" s="16" t="s">
        <v>13467</v>
      </c>
    </row>
    <row r="366" spans="1:1" x14ac:dyDescent="0.25">
      <c r="A366" s="16" t="s">
        <v>13468</v>
      </c>
    </row>
    <row r="367" spans="1:1" x14ac:dyDescent="0.25">
      <c r="A367" s="16" t="s">
        <v>13469</v>
      </c>
    </row>
    <row r="368" spans="1:1" x14ac:dyDescent="0.25">
      <c r="A368" s="16" t="s">
        <v>13470</v>
      </c>
    </row>
    <row r="369" spans="1:1" x14ac:dyDescent="0.25">
      <c r="A369" s="16" t="s">
        <v>13471</v>
      </c>
    </row>
    <row r="370" spans="1:1" x14ac:dyDescent="0.25">
      <c r="A370" s="16" t="s">
        <v>13472</v>
      </c>
    </row>
    <row r="371" spans="1:1" x14ac:dyDescent="0.25">
      <c r="A371" s="16" t="s">
        <v>13473</v>
      </c>
    </row>
    <row r="372" spans="1:1" x14ac:dyDescent="0.25">
      <c r="A372" s="16" t="s">
        <v>13474</v>
      </c>
    </row>
    <row r="373" spans="1:1" x14ac:dyDescent="0.25">
      <c r="A373" s="16" t="s">
        <v>13475</v>
      </c>
    </row>
    <row r="374" spans="1:1" x14ac:dyDescent="0.25">
      <c r="A374" s="16" t="s">
        <v>13476</v>
      </c>
    </row>
    <row r="375" spans="1:1" x14ac:dyDescent="0.25">
      <c r="A375" s="16" t="s">
        <v>13477</v>
      </c>
    </row>
    <row r="376" spans="1:1" x14ac:dyDescent="0.25">
      <c r="A376" s="16" t="s">
        <v>13478</v>
      </c>
    </row>
    <row r="377" spans="1:1" x14ac:dyDescent="0.25">
      <c r="A377" s="16" t="s">
        <v>13479</v>
      </c>
    </row>
    <row r="378" spans="1:1" x14ac:dyDescent="0.25">
      <c r="A378" s="16" t="s">
        <v>13480</v>
      </c>
    </row>
    <row r="379" spans="1:1" x14ac:dyDescent="0.25">
      <c r="A379" s="16" t="s">
        <v>13481</v>
      </c>
    </row>
    <row r="380" spans="1:1" x14ac:dyDescent="0.25">
      <c r="A380" s="16" t="s">
        <v>13482</v>
      </c>
    </row>
    <row r="381" spans="1:1" x14ac:dyDescent="0.25">
      <c r="A381" s="16" t="s">
        <v>13483</v>
      </c>
    </row>
    <row r="382" spans="1:1" x14ac:dyDescent="0.25">
      <c r="A382" s="16" t="s">
        <v>13484</v>
      </c>
    </row>
    <row r="383" spans="1:1" x14ac:dyDescent="0.25">
      <c r="A383" s="16" t="s">
        <v>13485</v>
      </c>
    </row>
    <row r="384" spans="1:1" x14ac:dyDescent="0.25">
      <c r="A384" s="16" t="s">
        <v>13486</v>
      </c>
    </row>
    <row r="385" spans="1:1" x14ac:dyDescent="0.25">
      <c r="A385" s="16" t="s">
        <v>13487</v>
      </c>
    </row>
    <row r="386" spans="1:1" x14ac:dyDescent="0.25">
      <c r="A386" s="16" t="s">
        <v>13488</v>
      </c>
    </row>
    <row r="387" spans="1:1" x14ac:dyDescent="0.25">
      <c r="A387" s="16" t="s">
        <v>13489</v>
      </c>
    </row>
    <row r="388" spans="1:1" x14ac:dyDescent="0.25">
      <c r="A388" s="16" t="s">
        <v>13490</v>
      </c>
    </row>
    <row r="389" spans="1:1" x14ac:dyDescent="0.25">
      <c r="A389" s="16" t="s">
        <v>13491</v>
      </c>
    </row>
    <row r="390" spans="1:1" x14ac:dyDescent="0.25">
      <c r="A390" s="16" t="s">
        <v>13492</v>
      </c>
    </row>
    <row r="391" spans="1:1" x14ac:dyDescent="0.25">
      <c r="A391" s="16" t="s">
        <v>13493</v>
      </c>
    </row>
    <row r="392" spans="1:1" x14ac:dyDescent="0.25">
      <c r="A392" s="16" t="s">
        <v>13494</v>
      </c>
    </row>
    <row r="393" spans="1:1" x14ac:dyDescent="0.25">
      <c r="A393" s="16" t="s">
        <v>13495</v>
      </c>
    </row>
    <row r="394" spans="1:1" x14ac:dyDescent="0.25">
      <c r="A394" s="16" t="s">
        <v>13496</v>
      </c>
    </row>
    <row r="395" spans="1:1" x14ac:dyDescent="0.25">
      <c r="A395" s="16" t="s">
        <v>13497</v>
      </c>
    </row>
    <row r="396" spans="1:1" x14ac:dyDescent="0.25">
      <c r="A396" s="16" t="s">
        <v>13498</v>
      </c>
    </row>
    <row r="397" spans="1:1" x14ac:dyDescent="0.25">
      <c r="A397" s="16" t="s">
        <v>13499</v>
      </c>
    </row>
    <row r="398" spans="1:1" x14ac:dyDescent="0.25">
      <c r="A398" s="16" t="s">
        <v>13500</v>
      </c>
    </row>
    <row r="399" spans="1:1" x14ac:dyDescent="0.25">
      <c r="A399" s="16" t="s">
        <v>13501</v>
      </c>
    </row>
    <row r="400" spans="1:1" x14ac:dyDescent="0.25">
      <c r="A400" s="16" t="s">
        <v>13502</v>
      </c>
    </row>
    <row r="401" spans="1:1" x14ac:dyDescent="0.25">
      <c r="A401" s="16" t="s">
        <v>13503</v>
      </c>
    </row>
    <row r="402" spans="1:1" x14ac:dyDescent="0.25">
      <c r="A402" s="16" t="s">
        <v>13504</v>
      </c>
    </row>
    <row r="403" spans="1:1" x14ac:dyDescent="0.25">
      <c r="A403" s="16" t="s">
        <v>13505</v>
      </c>
    </row>
    <row r="404" spans="1:1" x14ac:dyDescent="0.25">
      <c r="A404" s="16" t="s">
        <v>13506</v>
      </c>
    </row>
    <row r="405" spans="1:1" x14ac:dyDescent="0.25">
      <c r="A405" s="16" t="s">
        <v>13507</v>
      </c>
    </row>
    <row r="406" spans="1:1" x14ac:dyDescent="0.25">
      <c r="A406" s="16" t="s">
        <v>13508</v>
      </c>
    </row>
    <row r="407" spans="1:1" x14ac:dyDescent="0.25">
      <c r="A407" s="16" t="s">
        <v>13509</v>
      </c>
    </row>
    <row r="408" spans="1:1" x14ac:dyDescent="0.25">
      <c r="A408" s="16" t="s">
        <v>13510</v>
      </c>
    </row>
    <row r="409" spans="1:1" x14ac:dyDescent="0.25">
      <c r="A409" s="16" t="s">
        <v>13511</v>
      </c>
    </row>
    <row r="410" spans="1:1" x14ac:dyDescent="0.25">
      <c r="A410" s="16" t="s">
        <v>13512</v>
      </c>
    </row>
    <row r="411" spans="1:1" x14ac:dyDescent="0.25">
      <c r="A411" s="16" t="s">
        <v>13513</v>
      </c>
    </row>
    <row r="412" spans="1:1" x14ac:dyDescent="0.25">
      <c r="A412" s="16" t="s">
        <v>13514</v>
      </c>
    </row>
    <row r="413" spans="1:1" x14ac:dyDescent="0.25">
      <c r="A413" s="16" t="s">
        <v>13515</v>
      </c>
    </row>
    <row r="414" spans="1:1" x14ac:dyDescent="0.25">
      <c r="A414" s="16" t="s">
        <v>13516</v>
      </c>
    </row>
    <row r="415" spans="1:1" x14ac:dyDescent="0.25">
      <c r="A415" s="16" t="s">
        <v>13517</v>
      </c>
    </row>
    <row r="416" spans="1:1" x14ac:dyDescent="0.25">
      <c r="A416" s="16" t="s">
        <v>13518</v>
      </c>
    </row>
    <row r="417" spans="1:1" x14ac:dyDescent="0.25">
      <c r="A417" s="16" t="s">
        <v>13519</v>
      </c>
    </row>
    <row r="418" spans="1:1" x14ac:dyDescent="0.25">
      <c r="A418" s="16" t="s">
        <v>13520</v>
      </c>
    </row>
    <row r="419" spans="1:1" x14ac:dyDescent="0.25">
      <c r="A419" s="16" t="s">
        <v>13521</v>
      </c>
    </row>
    <row r="420" spans="1:1" x14ac:dyDescent="0.25">
      <c r="A420" s="16" t="s">
        <v>13522</v>
      </c>
    </row>
    <row r="421" spans="1:1" x14ac:dyDescent="0.25">
      <c r="A421" s="16" t="s">
        <v>13523</v>
      </c>
    </row>
    <row r="422" spans="1:1" x14ac:dyDescent="0.25">
      <c r="A422" s="16" t="s">
        <v>13524</v>
      </c>
    </row>
    <row r="423" spans="1:1" x14ac:dyDescent="0.25">
      <c r="A423" s="16" t="s">
        <v>13525</v>
      </c>
    </row>
    <row r="424" spans="1:1" x14ac:dyDescent="0.25">
      <c r="A424" s="16" t="s">
        <v>13526</v>
      </c>
    </row>
    <row r="425" spans="1:1" x14ac:dyDescent="0.25">
      <c r="A425" s="16" t="s">
        <v>13527</v>
      </c>
    </row>
    <row r="426" spans="1:1" x14ac:dyDescent="0.25">
      <c r="A426" s="16" t="s">
        <v>13528</v>
      </c>
    </row>
    <row r="427" spans="1:1" x14ac:dyDescent="0.25">
      <c r="A427" s="16" t="s">
        <v>13529</v>
      </c>
    </row>
    <row r="428" spans="1:1" x14ac:dyDescent="0.25">
      <c r="A428" s="16" t="s">
        <v>13530</v>
      </c>
    </row>
    <row r="429" spans="1:1" x14ac:dyDescent="0.25">
      <c r="A429" s="16" t="s">
        <v>13531</v>
      </c>
    </row>
    <row r="430" spans="1:1" x14ac:dyDescent="0.25">
      <c r="A430" s="16" t="s">
        <v>13532</v>
      </c>
    </row>
    <row r="431" spans="1:1" x14ac:dyDescent="0.25">
      <c r="A431" s="16" t="s">
        <v>13533</v>
      </c>
    </row>
    <row r="432" spans="1:1" x14ac:dyDescent="0.25">
      <c r="A432" s="16" t="s">
        <v>13534</v>
      </c>
    </row>
    <row r="433" spans="1:1" x14ac:dyDescent="0.25">
      <c r="A433" s="16" t="s">
        <v>13535</v>
      </c>
    </row>
    <row r="434" spans="1:1" x14ac:dyDescent="0.25">
      <c r="A434" s="16" t="s">
        <v>13536</v>
      </c>
    </row>
    <row r="435" spans="1:1" x14ac:dyDescent="0.25">
      <c r="A435" s="16" t="s">
        <v>13537</v>
      </c>
    </row>
    <row r="436" spans="1:1" x14ac:dyDescent="0.25">
      <c r="A436" s="16" t="s">
        <v>13538</v>
      </c>
    </row>
    <row r="437" spans="1:1" x14ac:dyDescent="0.25">
      <c r="A437" s="16" t="s">
        <v>13539</v>
      </c>
    </row>
    <row r="438" spans="1:1" x14ac:dyDescent="0.25">
      <c r="A438" s="16" t="s">
        <v>13540</v>
      </c>
    </row>
    <row r="439" spans="1:1" x14ac:dyDescent="0.25">
      <c r="A439" s="16" t="s">
        <v>13541</v>
      </c>
    </row>
    <row r="440" spans="1:1" x14ac:dyDescent="0.25">
      <c r="A440" s="16" t="s">
        <v>13542</v>
      </c>
    </row>
    <row r="441" spans="1:1" x14ac:dyDescent="0.25">
      <c r="A441" s="16" t="s">
        <v>13543</v>
      </c>
    </row>
    <row r="442" spans="1:1" x14ac:dyDescent="0.25">
      <c r="A442" s="16" t="s">
        <v>13544</v>
      </c>
    </row>
    <row r="443" spans="1:1" x14ac:dyDescent="0.25">
      <c r="A443" s="16" t="s">
        <v>13545</v>
      </c>
    </row>
    <row r="444" spans="1:1" x14ac:dyDescent="0.25">
      <c r="A444" s="16" t="s">
        <v>13546</v>
      </c>
    </row>
    <row r="445" spans="1:1" x14ac:dyDescent="0.25">
      <c r="A445" s="16" t="s">
        <v>13547</v>
      </c>
    </row>
    <row r="446" spans="1:1" x14ac:dyDescent="0.25">
      <c r="A446" s="16" t="s">
        <v>13548</v>
      </c>
    </row>
    <row r="447" spans="1:1" x14ac:dyDescent="0.25">
      <c r="A447" s="16" t="s">
        <v>13549</v>
      </c>
    </row>
    <row r="448" spans="1:1" x14ac:dyDescent="0.25">
      <c r="A448" s="16" t="s">
        <v>13550</v>
      </c>
    </row>
    <row r="449" spans="1:1" x14ac:dyDescent="0.25">
      <c r="A449" s="16" t="s">
        <v>13551</v>
      </c>
    </row>
    <row r="450" spans="1:1" x14ac:dyDescent="0.25">
      <c r="A450" s="16" t="s">
        <v>13552</v>
      </c>
    </row>
    <row r="451" spans="1:1" x14ac:dyDescent="0.25">
      <c r="A451" s="16" t="s">
        <v>13553</v>
      </c>
    </row>
    <row r="452" spans="1:1" x14ac:dyDescent="0.25">
      <c r="A452" s="16" t="s">
        <v>13554</v>
      </c>
    </row>
    <row r="453" spans="1:1" x14ac:dyDescent="0.25">
      <c r="A453" s="16" t="s">
        <v>13555</v>
      </c>
    </row>
    <row r="454" spans="1:1" x14ac:dyDescent="0.25">
      <c r="A454" s="16" t="s">
        <v>13556</v>
      </c>
    </row>
    <row r="455" spans="1:1" x14ac:dyDescent="0.25">
      <c r="A455" s="16" t="s">
        <v>13557</v>
      </c>
    </row>
    <row r="456" spans="1:1" x14ac:dyDescent="0.25">
      <c r="A456" s="16" t="s">
        <v>13558</v>
      </c>
    </row>
    <row r="457" spans="1:1" x14ac:dyDescent="0.25">
      <c r="A457" s="16" t="s">
        <v>13559</v>
      </c>
    </row>
    <row r="458" spans="1:1" x14ac:dyDescent="0.25">
      <c r="A458" s="16" t="s">
        <v>13560</v>
      </c>
    </row>
    <row r="459" spans="1:1" x14ac:dyDescent="0.25">
      <c r="A459" s="16" t="s">
        <v>13561</v>
      </c>
    </row>
    <row r="460" spans="1:1" x14ac:dyDescent="0.25">
      <c r="A460" s="16" t="s">
        <v>13562</v>
      </c>
    </row>
    <row r="461" spans="1:1" x14ac:dyDescent="0.25">
      <c r="A461" s="16" t="s">
        <v>13563</v>
      </c>
    </row>
    <row r="462" spans="1:1" x14ac:dyDescent="0.25">
      <c r="A462" s="16" t="s">
        <v>13564</v>
      </c>
    </row>
    <row r="463" spans="1:1" x14ac:dyDescent="0.25">
      <c r="A463" s="16" t="s">
        <v>13565</v>
      </c>
    </row>
    <row r="464" spans="1:1" x14ac:dyDescent="0.25">
      <c r="A464" s="16" t="s">
        <v>13566</v>
      </c>
    </row>
    <row r="465" spans="1:1" x14ac:dyDescent="0.25">
      <c r="A465" s="16" t="s">
        <v>13567</v>
      </c>
    </row>
    <row r="466" spans="1:1" x14ac:dyDescent="0.25">
      <c r="A466" s="16" t="s">
        <v>13568</v>
      </c>
    </row>
    <row r="467" spans="1:1" x14ac:dyDescent="0.25">
      <c r="A467" s="16" t="s">
        <v>13569</v>
      </c>
    </row>
    <row r="468" spans="1:1" x14ac:dyDescent="0.25">
      <c r="A468" s="16" t="s">
        <v>13570</v>
      </c>
    </row>
    <row r="469" spans="1:1" x14ac:dyDescent="0.25">
      <c r="A469" s="16" t="s">
        <v>13571</v>
      </c>
    </row>
    <row r="470" spans="1:1" x14ac:dyDescent="0.25">
      <c r="A470" s="16" t="s">
        <v>13572</v>
      </c>
    </row>
    <row r="471" spans="1:1" x14ac:dyDescent="0.25">
      <c r="A471" s="16" t="s">
        <v>13573</v>
      </c>
    </row>
    <row r="472" spans="1:1" x14ac:dyDescent="0.25">
      <c r="A472" s="16" t="s">
        <v>13574</v>
      </c>
    </row>
    <row r="473" spans="1:1" x14ac:dyDescent="0.25">
      <c r="A473" s="16" t="s">
        <v>13575</v>
      </c>
    </row>
    <row r="474" spans="1:1" x14ac:dyDescent="0.25">
      <c r="A474" s="16" t="s">
        <v>13576</v>
      </c>
    </row>
    <row r="475" spans="1:1" x14ac:dyDescent="0.25">
      <c r="A475" s="16" t="s">
        <v>13577</v>
      </c>
    </row>
    <row r="476" spans="1:1" x14ac:dyDescent="0.25">
      <c r="A476" s="16" t="s">
        <v>13578</v>
      </c>
    </row>
    <row r="477" spans="1:1" x14ac:dyDescent="0.25">
      <c r="A477" s="16" t="s">
        <v>13579</v>
      </c>
    </row>
    <row r="478" spans="1:1" x14ac:dyDescent="0.25">
      <c r="A478" s="16" t="s">
        <v>13580</v>
      </c>
    </row>
    <row r="479" spans="1:1" x14ac:dyDescent="0.25">
      <c r="A479" s="16" t="s">
        <v>13581</v>
      </c>
    </row>
    <row r="480" spans="1:1" x14ac:dyDescent="0.25">
      <c r="A480" s="16" t="s">
        <v>13582</v>
      </c>
    </row>
    <row r="481" spans="1:1" x14ac:dyDescent="0.25">
      <c r="A481" s="16" t="s">
        <v>13583</v>
      </c>
    </row>
    <row r="482" spans="1:1" x14ac:dyDescent="0.25">
      <c r="A482" s="16" t="s">
        <v>13584</v>
      </c>
    </row>
    <row r="483" spans="1:1" x14ac:dyDescent="0.25">
      <c r="A483" s="16" t="s">
        <v>13585</v>
      </c>
    </row>
    <row r="484" spans="1:1" x14ac:dyDescent="0.25">
      <c r="A484" s="16" t="s">
        <v>13586</v>
      </c>
    </row>
    <row r="485" spans="1:1" x14ac:dyDescent="0.25">
      <c r="A485" s="16" t="s">
        <v>13587</v>
      </c>
    </row>
    <row r="486" spans="1:1" x14ac:dyDescent="0.25">
      <c r="A486" s="16" t="s">
        <v>13588</v>
      </c>
    </row>
    <row r="487" spans="1:1" x14ac:dyDescent="0.25">
      <c r="A487" s="16" t="s">
        <v>13589</v>
      </c>
    </row>
    <row r="488" spans="1:1" x14ac:dyDescent="0.25">
      <c r="A488" s="16" t="s">
        <v>13590</v>
      </c>
    </row>
    <row r="489" spans="1:1" x14ac:dyDescent="0.25">
      <c r="A489" s="16" t="s">
        <v>13591</v>
      </c>
    </row>
    <row r="490" spans="1:1" x14ac:dyDescent="0.25">
      <c r="A490" s="16" t="s">
        <v>13592</v>
      </c>
    </row>
    <row r="491" spans="1:1" x14ac:dyDescent="0.25">
      <c r="A491" s="16" t="s">
        <v>13593</v>
      </c>
    </row>
    <row r="492" spans="1:1" x14ac:dyDescent="0.25">
      <c r="A492" s="16" t="s">
        <v>13594</v>
      </c>
    </row>
    <row r="493" spans="1:1" x14ac:dyDescent="0.25">
      <c r="A493" s="16" t="s">
        <v>13595</v>
      </c>
    </row>
    <row r="494" spans="1:1" x14ac:dyDescent="0.25">
      <c r="A494" s="16" t="s">
        <v>13596</v>
      </c>
    </row>
    <row r="495" spans="1:1" x14ac:dyDescent="0.25">
      <c r="A495" s="16" t="s">
        <v>13597</v>
      </c>
    </row>
    <row r="496" spans="1:1" x14ac:dyDescent="0.25">
      <c r="A496" s="16" t="s">
        <v>13598</v>
      </c>
    </row>
    <row r="497" spans="1:1" x14ac:dyDescent="0.25">
      <c r="A497" s="16" t="s">
        <v>13599</v>
      </c>
    </row>
    <row r="498" spans="1:1" x14ac:dyDescent="0.25">
      <c r="A498" s="16" t="s">
        <v>13600</v>
      </c>
    </row>
    <row r="499" spans="1:1" x14ac:dyDescent="0.25">
      <c r="A499" s="16" t="s">
        <v>13601</v>
      </c>
    </row>
    <row r="500" spans="1:1" x14ac:dyDescent="0.25">
      <c r="A500" s="16" t="s">
        <v>13602</v>
      </c>
    </row>
    <row r="501" spans="1:1" x14ac:dyDescent="0.25">
      <c r="A501" s="16" t="s">
        <v>13603</v>
      </c>
    </row>
    <row r="502" spans="1:1" x14ac:dyDescent="0.25">
      <c r="A502" s="16" t="s">
        <v>13604</v>
      </c>
    </row>
    <row r="503" spans="1:1" x14ac:dyDescent="0.25">
      <c r="A503" s="16" t="s">
        <v>13605</v>
      </c>
    </row>
    <row r="504" spans="1:1" x14ac:dyDescent="0.25">
      <c r="A504" s="16" t="s">
        <v>13606</v>
      </c>
    </row>
    <row r="505" spans="1:1" x14ac:dyDescent="0.25">
      <c r="A505" s="16" t="s">
        <v>13607</v>
      </c>
    </row>
    <row r="506" spans="1:1" x14ac:dyDescent="0.25">
      <c r="A506" s="16" t="s">
        <v>13608</v>
      </c>
    </row>
    <row r="507" spans="1:1" x14ac:dyDescent="0.25">
      <c r="A507" s="16" t="s">
        <v>13609</v>
      </c>
    </row>
    <row r="508" spans="1:1" x14ac:dyDescent="0.25">
      <c r="A508" s="16" t="s">
        <v>13610</v>
      </c>
    </row>
    <row r="509" spans="1:1" x14ac:dyDescent="0.25">
      <c r="A509" s="16" t="s">
        <v>13611</v>
      </c>
    </row>
    <row r="510" spans="1:1" x14ac:dyDescent="0.25">
      <c r="A510" s="16" t="s">
        <v>13612</v>
      </c>
    </row>
    <row r="511" spans="1:1" x14ac:dyDescent="0.25">
      <c r="A511" s="16" t="s">
        <v>13613</v>
      </c>
    </row>
    <row r="512" spans="1:1" x14ac:dyDescent="0.25">
      <c r="A512" s="16" t="s">
        <v>13614</v>
      </c>
    </row>
    <row r="513" spans="1:1" x14ac:dyDescent="0.25">
      <c r="A513" s="16" t="s">
        <v>13615</v>
      </c>
    </row>
    <row r="514" spans="1:1" x14ac:dyDescent="0.25">
      <c r="A514" s="16" t="s">
        <v>13616</v>
      </c>
    </row>
    <row r="515" spans="1:1" x14ac:dyDescent="0.25">
      <c r="A515" s="16" t="s">
        <v>13617</v>
      </c>
    </row>
    <row r="516" spans="1:1" x14ac:dyDescent="0.25">
      <c r="A516" s="16" t="s">
        <v>13618</v>
      </c>
    </row>
    <row r="517" spans="1:1" x14ac:dyDescent="0.25">
      <c r="A517" s="16" t="s">
        <v>13619</v>
      </c>
    </row>
    <row r="518" spans="1:1" x14ac:dyDescent="0.25">
      <c r="A518" s="16" t="s">
        <v>13620</v>
      </c>
    </row>
    <row r="519" spans="1:1" x14ac:dyDescent="0.25">
      <c r="A519" s="16" t="s">
        <v>13621</v>
      </c>
    </row>
    <row r="520" spans="1:1" x14ac:dyDescent="0.25">
      <c r="A520" s="16" t="s">
        <v>13622</v>
      </c>
    </row>
    <row r="521" spans="1:1" x14ac:dyDescent="0.25">
      <c r="A521" s="16" t="s">
        <v>13623</v>
      </c>
    </row>
    <row r="522" spans="1:1" x14ac:dyDescent="0.25">
      <c r="A522" s="16" t="s">
        <v>13624</v>
      </c>
    </row>
    <row r="523" spans="1:1" x14ac:dyDescent="0.25">
      <c r="A523" s="16" t="s">
        <v>13625</v>
      </c>
    </row>
    <row r="524" spans="1:1" x14ac:dyDescent="0.25">
      <c r="A524" s="16" t="s">
        <v>13626</v>
      </c>
    </row>
    <row r="525" spans="1:1" x14ac:dyDescent="0.25">
      <c r="A525" s="16" t="s">
        <v>13627</v>
      </c>
    </row>
    <row r="526" spans="1:1" x14ac:dyDescent="0.25">
      <c r="A526" s="16" t="s">
        <v>13628</v>
      </c>
    </row>
    <row r="527" spans="1:1" x14ac:dyDescent="0.25">
      <c r="A527" s="16" t="s">
        <v>13629</v>
      </c>
    </row>
    <row r="528" spans="1:1" x14ac:dyDescent="0.25">
      <c r="A528" s="16" t="s">
        <v>13630</v>
      </c>
    </row>
    <row r="529" spans="1:1" x14ac:dyDescent="0.25">
      <c r="A529" s="16" t="s">
        <v>13631</v>
      </c>
    </row>
    <row r="530" spans="1:1" x14ac:dyDescent="0.25">
      <c r="A530" s="16" t="s">
        <v>13632</v>
      </c>
    </row>
    <row r="531" spans="1:1" x14ac:dyDescent="0.25">
      <c r="A531" s="16" t="s">
        <v>13633</v>
      </c>
    </row>
    <row r="532" spans="1:1" x14ac:dyDescent="0.25">
      <c r="A532" s="16" t="s">
        <v>13634</v>
      </c>
    </row>
    <row r="533" spans="1:1" x14ac:dyDescent="0.25">
      <c r="A533" s="16" t="s">
        <v>13635</v>
      </c>
    </row>
    <row r="534" spans="1:1" x14ac:dyDescent="0.25">
      <c r="A534" s="16" t="s">
        <v>13636</v>
      </c>
    </row>
    <row r="535" spans="1:1" x14ac:dyDescent="0.25">
      <c r="A535" s="16" t="s">
        <v>13637</v>
      </c>
    </row>
    <row r="536" spans="1:1" x14ac:dyDescent="0.25">
      <c r="A536" s="16" t="s">
        <v>13638</v>
      </c>
    </row>
    <row r="537" spans="1:1" x14ac:dyDescent="0.25">
      <c r="A537" s="16" t="s">
        <v>13639</v>
      </c>
    </row>
    <row r="538" spans="1:1" x14ac:dyDescent="0.25">
      <c r="A538" s="16" t="s">
        <v>13640</v>
      </c>
    </row>
    <row r="539" spans="1:1" x14ac:dyDescent="0.25">
      <c r="A539" s="16" t="s">
        <v>13641</v>
      </c>
    </row>
    <row r="540" spans="1:1" x14ac:dyDescent="0.25">
      <c r="A540" s="16" t="s">
        <v>13642</v>
      </c>
    </row>
    <row r="541" spans="1:1" x14ac:dyDescent="0.25">
      <c r="A541" s="16" t="s">
        <v>13643</v>
      </c>
    </row>
    <row r="542" spans="1:1" x14ac:dyDescent="0.25">
      <c r="A542" s="16" t="s">
        <v>13644</v>
      </c>
    </row>
    <row r="543" spans="1:1" x14ac:dyDescent="0.25">
      <c r="A543" s="16" t="s">
        <v>13645</v>
      </c>
    </row>
    <row r="544" spans="1:1" x14ac:dyDescent="0.25">
      <c r="A544" s="16" t="s">
        <v>13646</v>
      </c>
    </row>
    <row r="545" spans="1:1" x14ac:dyDescent="0.25">
      <c r="A545" s="16" t="s">
        <v>13647</v>
      </c>
    </row>
    <row r="546" spans="1:1" x14ac:dyDescent="0.25">
      <c r="A546" s="16" t="s">
        <v>13648</v>
      </c>
    </row>
    <row r="547" spans="1:1" x14ac:dyDescent="0.25">
      <c r="A547" s="16" t="s">
        <v>13649</v>
      </c>
    </row>
    <row r="548" spans="1:1" x14ac:dyDescent="0.25">
      <c r="A548" s="16" t="s">
        <v>13650</v>
      </c>
    </row>
    <row r="549" spans="1:1" x14ac:dyDescent="0.25">
      <c r="A549" s="16" t="s">
        <v>13651</v>
      </c>
    </row>
    <row r="550" spans="1:1" x14ac:dyDescent="0.25">
      <c r="A550" s="16" t="s">
        <v>13652</v>
      </c>
    </row>
    <row r="551" spans="1:1" x14ac:dyDescent="0.25">
      <c r="A551" s="16" t="s">
        <v>13653</v>
      </c>
    </row>
    <row r="552" spans="1:1" x14ac:dyDescent="0.25">
      <c r="A552" s="16" t="s">
        <v>13654</v>
      </c>
    </row>
    <row r="553" spans="1:1" x14ac:dyDescent="0.25">
      <c r="A553" s="16" t="s">
        <v>13655</v>
      </c>
    </row>
    <row r="554" spans="1:1" x14ac:dyDescent="0.25">
      <c r="A554" s="16" t="s">
        <v>13656</v>
      </c>
    </row>
    <row r="555" spans="1:1" x14ac:dyDescent="0.25">
      <c r="A555" s="16" t="s">
        <v>13657</v>
      </c>
    </row>
    <row r="556" spans="1:1" x14ac:dyDescent="0.25">
      <c r="A556" s="16" t="s">
        <v>13658</v>
      </c>
    </row>
    <row r="557" spans="1:1" x14ac:dyDescent="0.25">
      <c r="A557" s="16" t="s">
        <v>13659</v>
      </c>
    </row>
    <row r="558" spans="1:1" x14ac:dyDescent="0.25">
      <c r="A558" s="16" t="s">
        <v>13660</v>
      </c>
    </row>
    <row r="559" spans="1:1" x14ac:dyDescent="0.25">
      <c r="A559" s="16" t="s">
        <v>13661</v>
      </c>
    </row>
    <row r="560" spans="1:1" x14ac:dyDescent="0.25">
      <c r="A560" s="16" t="s">
        <v>13662</v>
      </c>
    </row>
    <row r="561" spans="1:1" x14ac:dyDescent="0.25">
      <c r="A561" s="16" t="s">
        <v>13663</v>
      </c>
    </row>
    <row r="562" spans="1:1" x14ac:dyDescent="0.25">
      <c r="A562" s="16" t="s">
        <v>13664</v>
      </c>
    </row>
    <row r="563" spans="1:1" x14ac:dyDescent="0.25">
      <c r="A563" s="16" t="s">
        <v>13665</v>
      </c>
    </row>
    <row r="564" spans="1:1" x14ac:dyDescent="0.25">
      <c r="A564" s="16" t="s">
        <v>13666</v>
      </c>
    </row>
    <row r="565" spans="1:1" x14ac:dyDescent="0.25">
      <c r="A565" s="16" t="s">
        <v>13667</v>
      </c>
    </row>
    <row r="566" spans="1:1" x14ac:dyDescent="0.25">
      <c r="A566" s="16" t="s">
        <v>13668</v>
      </c>
    </row>
    <row r="567" spans="1:1" x14ac:dyDescent="0.25">
      <c r="A567" s="16" t="s">
        <v>13669</v>
      </c>
    </row>
    <row r="568" spans="1:1" x14ac:dyDescent="0.25">
      <c r="A568" s="16" t="s">
        <v>13670</v>
      </c>
    </row>
    <row r="569" spans="1:1" x14ac:dyDescent="0.25">
      <c r="A569" s="16" t="s">
        <v>13671</v>
      </c>
    </row>
    <row r="570" spans="1:1" x14ac:dyDescent="0.25">
      <c r="A570" s="16" t="s">
        <v>13672</v>
      </c>
    </row>
    <row r="571" spans="1:1" x14ac:dyDescent="0.25">
      <c r="A571" s="16" t="s">
        <v>13673</v>
      </c>
    </row>
    <row r="572" spans="1:1" x14ac:dyDescent="0.25">
      <c r="A572" s="16" t="s">
        <v>13674</v>
      </c>
    </row>
    <row r="573" spans="1:1" x14ac:dyDescent="0.25">
      <c r="A573" s="16" t="s">
        <v>13675</v>
      </c>
    </row>
    <row r="574" spans="1:1" x14ac:dyDescent="0.25">
      <c r="A574" s="16" t="s">
        <v>13676</v>
      </c>
    </row>
    <row r="575" spans="1:1" x14ac:dyDescent="0.25">
      <c r="A575" s="16" t="s">
        <v>13677</v>
      </c>
    </row>
    <row r="576" spans="1:1" x14ac:dyDescent="0.25">
      <c r="A576" s="16" t="s">
        <v>13678</v>
      </c>
    </row>
    <row r="577" spans="1:1" x14ac:dyDescent="0.25">
      <c r="A577" s="16" t="s">
        <v>13679</v>
      </c>
    </row>
    <row r="578" spans="1:1" x14ac:dyDescent="0.25">
      <c r="A578" s="16" t="s">
        <v>13680</v>
      </c>
    </row>
    <row r="579" spans="1:1" x14ac:dyDescent="0.25">
      <c r="A579" s="16" t="s">
        <v>13681</v>
      </c>
    </row>
    <row r="580" spans="1:1" x14ac:dyDescent="0.25">
      <c r="A580" s="16" t="s">
        <v>13682</v>
      </c>
    </row>
    <row r="581" spans="1:1" x14ac:dyDescent="0.25">
      <c r="A581" s="16" t="s">
        <v>13683</v>
      </c>
    </row>
    <row r="582" spans="1:1" x14ac:dyDescent="0.25">
      <c r="A582" s="16" t="s">
        <v>13684</v>
      </c>
    </row>
    <row r="583" spans="1:1" x14ac:dyDescent="0.25">
      <c r="A583" s="16" t="s">
        <v>13685</v>
      </c>
    </row>
    <row r="584" spans="1:1" x14ac:dyDescent="0.25">
      <c r="A584" s="16" t="s">
        <v>13686</v>
      </c>
    </row>
    <row r="585" spans="1:1" x14ac:dyDescent="0.25">
      <c r="A585" s="16" t="s">
        <v>13687</v>
      </c>
    </row>
    <row r="586" spans="1:1" x14ac:dyDescent="0.25">
      <c r="A586" s="16" t="s">
        <v>13688</v>
      </c>
    </row>
    <row r="587" spans="1:1" x14ac:dyDescent="0.25">
      <c r="A587" s="16" t="s">
        <v>13689</v>
      </c>
    </row>
    <row r="588" spans="1:1" x14ac:dyDescent="0.25">
      <c r="A588" s="16" t="s">
        <v>13690</v>
      </c>
    </row>
    <row r="589" spans="1:1" x14ac:dyDescent="0.25">
      <c r="A589" s="16" t="s">
        <v>13691</v>
      </c>
    </row>
    <row r="590" spans="1:1" x14ac:dyDescent="0.25">
      <c r="A590" s="16" t="s">
        <v>13692</v>
      </c>
    </row>
    <row r="591" spans="1:1" x14ac:dyDescent="0.25">
      <c r="A591" s="16" t="s">
        <v>13693</v>
      </c>
    </row>
    <row r="592" spans="1:1" x14ac:dyDescent="0.25">
      <c r="A592" s="16" t="s">
        <v>13694</v>
      </c>
    </row>
    <row r="593" spans="1:1" x14ac:dyDescent="0.25">
      <c r="A593" s="16" t="s">
        <v>13695</v>
      </c>
    </row>
    <row r="594" spans="1:1" x14ac:dyDescent="0.25">
      <c r="A594" s="16" t="s">
        <v>13696</v>
      </c>
    </row>
    <row r="595" spans="1:1" x14ac:dyDescent="0.25">
      <c r="A595" s="16" t="s">
        <v>13697</v>
      </c>
    </row>
    <row r="596" spans="1:1" x14ac:dyDescent="0.25">
      <c r="A596" s="16" t="s">
        <v>13698</v>
      </c>
    </row>
    <row r="597" spans="1:1" x14ac:dyDescent="0.25">
      <c r="A597" s="16" t="s">
        <v>13699</v>
      </c>
    </row>
    <row r="598" spans="1:1" x14ac:dyDescent="0.25">
      <c r="A598" s="16" t="s">
        <v>13700</v>
      </c>
    </row>
    <row r="599" spans="1:1" x14ac:dyDescent="0.25">
      <c r="A599" s="16" t="s">
        <v>13701</v>
      </c>
    </row>
    <row r="600" spans="1:1" x14ac:dyDescent="0.25">
      <c r="A600" s="16" t="s">
        <v>13702</v>
      </c>
    </row>
    <row r="601" spans="1:1" x14ac:dyDescent="0.25">
      <c r="A601" s="16" t="s">
        <v>13703</v>
      </c>
    </row>
    <row r="602" spans="1:1" x14ac:dyDescent="0.25">
      <c r="A602" s="16" t="s">
        <v>13704</v>
      </c>
    </row>
    <row r="603" spans="1:1" x14ac:dyDescent="0.25">
      <c r="A603" s="16" t="s">
        <v>13705</v>
      </c>
    </row>
    <row r="604" spans="1:1" x14ac:dyDescent="0.25">
      <c r="A604" s="16" t="s">
        <v>13706</v>
      </c>
    </row>
    <row r="605" spans="1:1" x14ac:dyDescent="0.25">
      <c r="A605" s="16" t="s">
        <v>13707</v>
      </c>
    </row>
    <row r="606" spans="1:1" x14ac:dyDescent="0.25">
      <c r="A606" s="16" t="s">
        <v>13708</v>
      </c>
    </row>
    <row r="607" spans="1:1" x14ac:dyDescent="0.25">
      <c r="A607" s="16" t="s">
        <v>13709</v>
      </c>
    </row>
    <row r="608" spans="1:1" x14ac:dyDescent="0.25">
      <c r="A608" s="16" t="s">
        <v>13710</v>
      </c>
    </row>
    <row r="609" spans="1:1" x14ac:dyDescent="0.25">
      <c r="A609" s="16" t="s">
        <v>13711</v>
      </c>
    </row>
    <row r="610" spans="1:1" x14ac:dyDescent="0.25">
      <c r="A610" s="16" t="s">
        <v>13712</v>
      </c>
    </row>
    <row r="611" spans="1:1" x14ac:dyDescent="0.25">
      <c r="A611" s="16" t="s">
        <v>13713</v>
      </c>
    </row>
    <row r="612" spans="1:1" x14ac:dyDescent="0.25">
      <c r="A612" s="16" t="s">
        <v>13714</v>
      </c>
    </row>
    <row r="613" spans="1:1" x14ac:dyDescent="0.25">
      <c r="A613" s="16" t="s">
        <v>13715</v>
      </c>
    </row>
    <row r="614" spans="1:1" x14ac:dyDescent="0.25">
      <c r="A614" s="16" t="s">
        <v>13716</v>
      </c>
    </row>
    <row r="615" spans="1:1" x14ac:dyDescent="0.25">
      <c r="A615" s="16" t="s">
        <v>13717</v>
      </c>
    </row>
    <row r="616" spans="1:1" x14ac:dyDescent="0.25">
      <c r="A616" s="16" t="s">
        <v>13718</v>
      </c>
    </row>
    <row r="617" spans="1:1" x14ac:dyDescent="0.25">
      <c r="A617" s="16" t="s">
        <v>13719</v>
      </c>
    </row>
    <row r="618" spans="1:1" x14ac:dyDescent="0.25">
      <c r="A618" s="16" t="s">
        <v>13720</v>
      </c>
    </row>
    <row r="619" spans="1:1" x14ac:dyDescent="0.25">
      <c r="A619" s="16" t="s">
        <v>13721</v>
      </c>
    </row>
    <row r="620" spans="1:1" x14ac:dyDescent="0.25">
      <c r="A620" s="16" t="s">
        <v>13722</v>
      </c>
    </row>
    <row r="621" spans="1:1" x14ac:dyDescent="0.25">
      <c r="A621" s="16" t="s">
        <v>13723</v>
      </c>
    </row>
    <row r="622" spans="1:1" x14ac:dyDescent="0.25">
      <c r="A622" s="16" t="s">
        <v>13724</v>
      </c>
    </row>
    <row r="623" spans="1:1" x14ac:dyDescent="0.25">
      <c r="A623" s="16" t="s">
        <v>13725</v>
      </c>
    </row>
    <row r="624" spans="1:1" x14ac:dyDescent="0.25">
      <c r="A624" s="16" t="s">
        <v>13726</v>
      </c>
    </row>
    <row r="625" spans="1:1" x14ac:dyDescent="0.25">
      <c r="A625" s="16" t="s">
        <v>13727</v>
      </c>
    </row>
    <row r="626" spans="1:1" x14ac:dyDescent="0.25">
      <c r="A626" s="16" t="s">
        <v>13728</v>
      </c>
    </row>
    <row r="627" spans="1:1" x14ac:dyDescent="0.25">
      <c r="A627" s="16" t="s">
        <v>13729</v>
      </c>
    </row>
    <row r="628" spans="1:1" x14ac:dyDescent="0.25">
      <c r="A628" s="16" t="s">
        <v>13730</v>
      </c>
    </row>
    <row r="629" spans="1:1" x14ac:dyDescent="0.25">
      <c r="A629" s="16" t="s">
        <v>13731</v>
      </c>
    </row>
    <row r="630" spans="1:1" x14ac:dyDescent="0.25">
      <c r="A630" s="16" t="s">
        <v>13732</v>
      </c>
    </row>
    <row r="631" spans="1:1" x14ac:dyDescent="0.25">
      <c r="A631" s="16" t="s">
        <v>13733</v>
      </c>
    </row>
    <row r="632" spans="1:1" x14ac:dyDescent="0.25">
      <c r="A632" s="16" t="s">
        <v>13734</v>
      </c>
    </row>
    <row r="633" spans="1:1" x14ac:dyDescent="0.25">
      <c r="A633" s="16" t="s">
        <v>13735</v>
      </c>
    </row>
    <row r="634" spans="1:1" x14ac:dyDescent="0.25">
      <c r="A634" s="16" t="s">
        <v>13736</v>
      </c>
    </row>
    <row r="635" spans="1:1" x14ac:dyDescent="0.25">
      <c r="A635" s="16" t="s">
        <v>13737</v>
      </c>
    </row>
    <row r="636" spans="1:1" x14ac:dyDescent="0.25">
      <c r="A636" s="16" t="s">
        <v>13738</v>
      </c>
    </row>
    <row r="637" spans="1:1" x14ac:dyDescent="0.25">
      <c r="A637" s="16" t="s">
        <v>13739</v>
      </c>
    </row>
    <row r="638" spans="1:1" x14ac:dyDescent="0.25">
      <c r="A638" s="16" t="s">
        <v>13740</v>
      </c>
    </row>
    <row r="639" spans="1:1" x14ac:dyDescent="0.25">
      <c r="A639" s="16" t="s">
        <v>13741</v>
      </c>
    </row>
    <row r="640" spans="1:1" x14ac:dyDescent="0.25">
      <c r="A640" s="16" t="s">
        <v>13742</v>
      </c>
    </row>
    <row r="641" spans="1:1" x14ac:dyDescent="0.25">
      <c r="A641" s="16" t="s">
        <v>13743</v>
      </c>
    </row>
    <row r="642" spans="1:1" x14ac:dyDescent="0.25">
      <c r="A642" s="16" t="s">
        <v>13744</v>
      </c>
    </row>
    <row r="643" spans="1:1" x14ac:dyDescent="0.25">
      <c r="A643" s="16" t="s">
        <v>13745</v>
      </c>
    </row>
    <row r="644" spans="1:1" x14ac:dyDescent="0.25">
      <c r="A644" s="16" t="s">
        <v>13746</v>
      </c>
    </row>
    <row r="645" spans="1:1" x14ac:dyDescent="0.25">
      <c r="A645" s="16" t="s">
        <v>13747</v>
      </c>
    </row>
    <row r="646" spans="1:1" x14ac:dyDescent="0.25">
      <c r="A646" s="16" t="s">
        <v>13748</v>
      </c>
    </row>
    <row r="647" spans="1:1" x14ac:dyDescent="0.25">
      <c r="A647" s="16" t="s">
        <v>13749</v>
      </c>
    </row>
    <row r="648" spans="1:1" x14ac:dyDescent="0.25">
      <c r="A648" s="16" t="s">
        <v>13750</v>
      </c>
    </row>
    <row r="649" spans="1:1" x14ac:dyDescent="0.25">
      <c r="A649" s="16" t="s">
        <v>13751</v>
      </c>
    </row>
    <row r="650" spans="1:1" x14ac:dyDescent="0.25">
      <c r="A650" s="16" t="s">
        <v>13752</v>
      </c>
    </row>
    <row r="651" spans="1:1" x14ac:dyDescent="0.25">
      <c r="A651" s="16" t="s">
        <v>13753</v>
      </c>
    </row>
    <row r="652" spans="1:1" x14ac:dyDescent="0.25">
      <c r="A652" s="16" t="s">
        <v>13754</v>
      </c>
    </row>
    <row r="653" spans="1:1" x14ac:dyDescent="0.25">
      <c r="A653" s="16" t="s">
        <v>13755</v>
      </c>
    </row>
    <row r="654" spans="1:1" x14ac:dyDescent="0.25">
      <c r="A654" s="16" t="s">
        <v>13756</v>
      </c>
    </row>
    <row r="655" spans="1:1" x14ac:dyDescent="0.25">
      <c r="A655" s="16" t="s">
        <v>13757</v>
      </c>
    </row>
    <row r="656" spans="1:1" x14ac:dyDescent="0.25">
      <c r="A656" s="16" t="s">
        <v>13758</v>
      </c>
    </row>
    <row r="657" spans="1:1" x14ac:dyDescent="0.25">
      <c r="A657" s="16" t="s">
        <v>13759</v>
      </c>
    </row>
    <row r="658" spans="1:1" x14ac:dyDescent="0.25">
      <c r="A658" s="16" t="s">
        <v>13760</v>
      </c>
    </row>
    <row r="659" spans="1:1" x14ac:dyDescent="0.25">
      <c r="A659" s="16" t="s">
        <v>13761</v>
      </c>
    </row>
    <row r="660" spans="1:1" x14ac:dyDescent="0.25">
      <c r="A660" s="16" t="s">
        <v>13762</v>
      </c>
    </row>
    <row r="661" spans="1:1" x14ac:dyDescent="0.25">
      <c r="A661" s="16" t="s">
        <v>13763</v>
      </c>
    </row>
    <row r="662" spans="1:1" x14ac:dyDescent="0.25">
      <c r="A662" s="16" t="s">
        <v>13764</v>
      </c>
    </row>
    <row r="663" spans="1:1" x14ac:dyDescent="0.25">
      <c r="A663" s="16" t="s">
        <v>13765</v>
      </c>
    </row>
    <row r="664" spans="1:1" x14ac:dyDescent="0.25">
      <c r="A664" s="16" t="s">
        <v>13766</v>
      </c>
    </row>
    <row r="665" spans="1:1" x14ac:dyDescent="0.25">
      <c r="A665" s="16" t="s">
        <v>13767</v>
      </c>
    </row>
    <row r="666" spans="1:1" x14ac:dyDescent="0.25">
      <c r="A666" s="16" t="s">
        <v>13768</v>
      </c>
    </row>
    <row r="667" spans="1:1" x14ac:dyDescent="0.25">
      <c r="A667" s="16" t="s">
        <v>13769</v>
      </c>
    </row>
    <row r="668" spans="1:1" x14ac:dyDescent="0.25">
      <c r="A668" s="16" t="s">
        <v>13770</v>
      </c>
    </row>
    <row r="669" spans="1:1" x14ac:dyDescent="0.25">
      <c r="A669" s="16" t="s">
        <v>13771</v>
      </c>
    </row>
    <row r="670" spans="1:1" x14ac:dyDescent="0.25">
      <c r="A670" s="16" t="s">
        <v>13772</v>
      </c>
    </row>
    <row r="671" spans="1:1" x14ac:dyDescent="0.25">
      <c r="A671" s="16" t="s">
        <v>13773</v>
      </c>
    </row>
    <row r="672" spans="1:1" x14ac:dyDescent="0.25">
      <c r="A672" s="16" t="s">
        <v>13774</v>
      </c>
    </row>
    <row r="673" spans="1:1" x14ac:dyDescent="0.25">
      <c r="A673" s="16" t="s">
        <v>13775</v>
      </c>
    </row>
    <row r="674" spans="1:1" x14ac:dyDescent="0.25">
      <c r="A674" s="16" t="s">
        <v>13776</v>
      </c>
    </row>
    <row r="675" spans="1:1" x14ac:dyDescent="0.25">
      <c r="A675" s="16" t="s">
        <v>13777</v>
      </c>
    </row>
    <row r="676" spans="1:1" x14ac:dyDescent="0.25">
      <c r="A676" s="16" t="s">
        <v>13778</v>
      </c>
    </row>
    <row r="677" spans="1:1" x14ac:dyDescent="0.25">
      <c r="A677" s="16" t="s">
        <v>13779</v>
      </c>
    </row>
    <row r="678" spans="1:1" x14ac:dyDescent="0.25">
      <c r="A678" s="16" t="s">
        <v>13780</v>
      </c>
    </row>
    <row r="679" spans="1:1" x14ac:dyDescent="0.25">
      <c r="A679" s="16" t="s">
        <v>13781</v>
      </c>
    </row>
    <row r="680" spans="1:1" x14ac:dyDescent="0.25">
      <c r="A680" s="16" t="s">
        <v>13782</v>
      </c>
    </row>
    <row r="681" spans="1:1" x14ac:dyDescent="0.25">
      <c r="A681" s="16" t="s">
        <v>13783</v>
      </c>
    </row>
    <row r="682" spans="1:1" x14ac:dyDescent="0.25">
      <c r="A682" s="16" t="s">
        <v>13784</v>
      </c>
    </row>
    <row r="683" spans="1:1" x14ac:dyDescent="0.25">
      <c r="A683" s="16" t="s">
        <v>13785</v>
      </c>
    </row>
    <row r="684" spans="1:1" x14ac:dyDescent="0.25">
      <c r="A684" s="16" t="s">
        <v>13786</v>
      </c>
    </row>
    <row r="685" spans="1:1" x14ac:dyDescent="0.25">
      <c r="A685" s="16" t="s">
        <v>13787</v>
      </c>
    </row>
    <row r="686" spans="1:1" x14ac:dyDescent="0.25">
      <c r="A686" s="16" t="s">
        <v>13788</v>
      </c>
    </row>
    <row r="687" spans="1:1" x14ac:dyDescent="0.25">
      <c r="A687" s="16" t="s">
        <v>13789</v>
      </c>
    </row>
    <row r="688" spans="1:1" x14ac:dyDescent="0.25">
      <c r="A688" s="16" t="s">
        <v>13790</v>
      </c>
    </row>
    <row r="689" spans="1:1" x14ac:dyDescent="0.25">
      <c r="A689" s="16" t="s">
        <v>13791</v>
      </c>
    </row>
    <row r="690" spans="1:1" x14ac:dyDescent="0.25">
      <c r="A690" s="16" t="s">
        <v>13792</v>
      </c>
    </row>
    <row r="691" spans="1:1" x14ac:dyDescent="0.25">
      <c r="A691" s="16" t="s">
        <v>13793</v>
      </c>
    </row>
    <row r="692" spans="1:1" x14ac:dyDescent="0.25">
      <c r="A692" s="16" t="s">
        <v>13794</v>
      </c>
    </row>
    <row r="693" spans="1:1" x14ac:dyDescent="0.25">
      <c r="A693" s="16" t="s">
        <v>13795</v>
      </c>
    </row>
    <row r="694" spans="1:1" x14ac:dyDescent="0.25">
      <c r="A694" s="16" t="s">
        <v>13796</v>
      </c>
    </row>
    <row r="695" spans="1:1" x14ac:dyDescent="0.25">
      <c r="A695" s="16" t="s">
        <v>13797</v>
      </c>
    </row>
    <row r="696" spans="1:1" x14ac:dyDescent="0.25">
      <c r="A696" s="16" t="s">
        <v>13798</v>
      </c>
    </row>
    <row r="697" spans="1:1" x14ac:dyDescent="0.25">
      <c r="A697" s="16" t="s">
        <v>13799</v>
      </c>
    </row>
    <row r="698" spans="1:1" x14ac:dyDescent="0.25">
      <c r="A698" s="16" t="s">
        <v>13800</v>
      </c>
    </row>
    <row r="699" spans="1:1" x14ac:dyDescent="0.25">
      <c r="A699" s="16" t="s">
        <v>13801</v>
      </c>
    </row>
    <row r="700" spans="1:1" x14ac:dyDescent="0.25">
      <c r="A700" s="16" t="s">
        <v>13802</v>
      </c>
    </row>
    <row r="701" spans="1:1" x14ac:dyDescent="0.25">
      <c r="A701" s="16" t="s">
        <v>13803</v>
      </c>
    </row>
    <row r="702" spans="1:1" x14ac:dyDescent="0.25">
      <c r="A702" s="16" t="s">
        <v>13804</v>
      </c>
    </row>
    <row r="703" spans="1:1" x14ac:dyDescent="0.25">
      <c r="A703" s="16" t="s">
        <v>13805</v>
      </c>
    </row>
    <row r="704" spans="1:1" x14ac:dyDescent="0.25">
      <c r="A704" s="16" t="s">
        <v>13806</v>
      </c>
    </row>
    <row r="705" spans="1:1" x14ac:dyDescent="0.25">
      <c r="A705" s="16" t="s">
        <v>13807</v>
      </c>
    </row>
    <row r="706" spans="1:1" x14ac:dyDescent="0.25">
      <c r="A706" s="16" t="s">
        <v>13808</v>
      </c>
    </row>
    <row r="707" spans="1:1" x14ac:dyDescent="0.25">
      <c r="A707" s="16" t="s">
        <v>13809</v>
      </c>
    </row>
    <row r="708" spans="1:1" x14ac:dyDescent="0.25">
      <c r="A708" s="16" t="s">
        <v>13810</v>
      </c>
    </row>
    <row r="709" spans="1:1" x14ac:dyDescent="0.25">
      <c r="A709" s="16" t="s">
        <v>13811</v>
      </c>
    </row>
    <row r="710" spans="1:1" x14ac:dyDescent="0.25">
      <c r="A710" s="16" t="s">
        <v>13812</v>
      </c>
    </row>
    <row r="711" spans="1:1" x14ac:dyDescent="0.25">
      <c r="A711" s="16" t="s">
        <v>13813</v>
      </c>
    </row>
    <row r="712" spans="1:1" x14ac:dyDescent="0.25">
      <c r="A712" s="16" t="s">
        <v>13814</v>
      </c>
    </row>
    <row r="713" spans="1:1" x14ac:dyDescent="0.25">
      <c r="A713" s="16" t="s">
        <v>13815</v>
      </c>
    </row>
    <row r="714" spans="1:1" x14ac:dyDescent="0.25">
      <c r="A714" s="16" t="s">
        <v>13816</v>
      </c>
    </row>
    <row r="715" spans="1:1" x14ac:dyDescent="0.25">
      <c r="A715" s="16" t="s">
        <v>13817</v>
      </c>
    </row>
    <row r="716" spans="1:1" x14ac:dyDescent="0.25">
      <c r="A716" s="16" t="s">
        <v>13818</v>
      </c>
    </row>
    <row r="717" spans="1:1" x14ac:dyDescent="0.25">
      <c r="A717" s="16" t="s">
        <v>13819</v>
      </c>
    </row>
    <row r="718" spans="1:1" x14ac:dyDescent="0.25">
      <c r="A718" s="16" t="s">
        <v>13820</v>
      </c>
    </row>
    <row r="719" spans="1:1" x14ac:dyDescent="0.25">
      <c r="A719" s="16" t="s">
        <v>13821</v>
      </c>
    </row>
    <row r="720" spans="1:1" x14ac:dyDescent="0.25">
      <c r="A720" s="16" t="s">
        <v>13822</v>
      </c>
    </row>
    <row r="721" spans="1:1" x14ac:dyDescent="0.25">
      <c r="A721" s="16" t="s">
        <v>13823</v>
      </c>
    </row>
    <row r="722" spans="1:1" x14ac:dyDescent="0.25">
      <c r="A722" s="16" t="s">
        <v>13824</v>
      </c>
    </row>
    <row r="723" spans="1:1" x14ac:dyDescent="0.25">
      <c r="A723" s="16" t="s">
        <v>13825</v>
      </c>
    </row>
    <row r="724" spans="1:1" x14ac:dyDescent="0.25">
      <c r="A724" s="16" t="s">
        <v>13826</v>
      </c>
    </row>
    <row r="725" spans="1:1" x14ac:dyDescent="0.25">
      <c r="A725" s="16" t="s">
        <v>13827</v>
      </c>
    </row>
    <row r="726" spans="1:1" x14ac:dyDescent="0.25">
      <c r="A726" s="16" t="s">
        <v>13828</v>
      </c>
    </row>
    <row r="727" spans="1:1" x14ac:dyDescent="0.25">
      <c r="A727" s="16" t="s">
        <v>13829</v>
      </c>
    </row>
    <row r="728" spans="1:1" x14ac:dyDescent="0.25">
      <c r="A728" s="16" t="s">
        <v>13830</v>
      </c>
    </row>
    <row r="729" spans="1:1" x14ac:dyDescent="0.25">
      <c r="A729" s="16" t="s">
        <v>13831</v>
      </c>
    </row>
    <row r="730" spans="1:1" x14ac:dyDescent="0.25">
      <c r="A730" s="16" t="s">
        <v>13832</v>
      </c>
    </row>
    <row r="731" spans="1:1" x14ac:dyDescent="0.25">
      <c r="A731" s="16" t="s">
        <v>13833</v>
      </c>
    </row>
    <row r="732" spans="1:1" x14ac:dyDescent="0.25">
      <c r="A732" s="16" t="s">
        <v>13834</v>
      </c>
    </row>
    <row r="733" spans="1:1" x14ac:dyDescent="0.25">
      <c r="A733" s="16" t="s">
        <v>13835</v>
      </c>
    </row>
    <row r="734" spans="1:1" x14ac:dyDescent="0.25">
      <c r="A734" s="16" t="s">
        <v>13836</v>
      </c>
    </row>
    <row r="735" spans="1:1" x14ac:dyDescent="0.25">
      <c r="A735" s="16" t="s">
        <v>13837</v>
      </c>
    </row>
    <row r="736" spans="1:1" x14ac:dyDescent="0.25">
      <c r="A736" s="16" t="s">
        <v>13838</v>
      </c>
    </row>
    <row r="737" spans="1:1" x14ac:dyDescent="0.25">
      <c r="A737" s="16" t="s">
        <v>13839</v>
      </c>
    </row>
    <row r="738" spans="1:1" x14ac:dyDescent="0.25">
      <c r="A738" s="16" t="s">
        <v>13840</v>
      </c>
    </row>
    <row r="739" spans="1:1" x14ac:dyDescent="0.25">
      <c r="A739" s="16" t="s">
        <v>13841</v>
      </c>
    </row>
    <row r="740" spans="1:1" x14ac:dyDescent="0.25">
      <c r="A740" s="16" t="s">
        <v>13842</v>
      </c>
    </row>
    <row r="741" spans="1:1" x14ac:dyDescent="0.25">
      <c r="A741" s="16" t="s">
        <v>13843</v>
      </c>
    </row>
    <row r="742" spans="1:1" x14ac:dyDescent="0.25">
      <c r="A742" s="16" t="s">
        <v>13844</v>
      </c>
    </row>
    <row r="743" spans="1:1" x14ac:dyDescent="0.25">
      <c r="A743" s="16" t="s">
        <v>13845</v>
      </c>
    </row>
    <row r="744" spans="1:1" x14ac:dyDescent="0.25">
      <c r="A744" s="16" t="s">
        <v>13846</v>
      </c>
    </row>
    <row r="745" spans="1:1" x14ac:dyDescent="0.25">
      <c r="A745" s="16" t="s">
        <v>13847</v>
      </c>
    </row>
    <row r="746" spans="1:1" x14ac:dyDescent="0.25">
      <c r="A746" s="16" t="s">
        <v>13848</v>
      </c>
    </row>
    <row r="747" spans="1:1" x14ac:dyDescent="0.25">
      <c r="A747" s="16" t="s">
        <v>13849</v>
      </c>
    </row>
    <row r="748" spans="1:1" x14ac:dyDescent="0.25">
      <c r="A748" s="16" t="s">
        <v>13850</v>
      </c>
    </row>
    <row r="749" spans="1:1" x14ac:dyDescent="0.25">
      <c r="A749" s="16" t="s">
        <v>13851</v>
      </c>
    </row>
    <row r="750" spans="1:1" x14ac:dyDescent="0.25">
      <c r="A750" s="16" t="s">
        <v>13852</v>
      </c>
    </row>
    <row r="751" spans="1:1" x14ac:dyDescent="0.25">
      <c r="A751" s="16" t="s">
        <v>13853</v>
      </c>
    </row>
    <row r="752" spans="1:1" x14ac:dyDescent="0.25">
      <c r="A752" s="16" t="s">
        <v>13854</v>
      </c>
    </row>
    <row r="753" spans="1:1" x14ac:dyDescent="0.25">
      <c r="A753" s="16" t="s">
        <v>13855</v>
      </c>
    </row>
    <row r="754" spans="1:1" x14ac:dyDescent="0.25">
      <c r="A754" s="16" t="s">
        <v>13856</v>
      </c>
    </row>
    <row r="755" spans="1:1" x14ac:dyDescent="0.25">
      <c r="A755" s="16" t="s">
        <v>13857</v>
      </c>
    </row>
    <row r="756" spans="1:1" x14ac:dyDescent="0.25">
      <c r="A756" s="16" t="s">
        <v>13858</v>
      </c>
    </row>
    <row r="757" spans="1:1" x14ac:dyDescent="0.25">
      <c r="A757" s="16" t="s">
        <v>13859</v>
      </c>
    </row>
    <row r="758" spans="1:1" x14ac:dyDescent="0.25">
      <c r="A758" s="16" t="s">
        <v>13860</v>
      </c>
    </row>
    <row r="759" spans="1:1" x14ac:dyDescent="0.25">
      <c r="A759" s="16" t="s">
        <v>13861</v>
      </c>
    </row>
    <row r="760" spans="1:1" x14ac:dyDescent="0.25">
      <c r="A760" s="16" t="s">
        <v>13862</v>
      </c>
    </row>
    <row r="761" spans="1:1" x14ac:dyDescent="0.25">
      <c r="A761" s="16" t="s">
        <v>13863</v>
      </c>
    </row>
    <row r="762" spans="1:1" x14ac:dyDescent="0.25">
      <c r="A762" s="16" t="s">
        <v>13864</v>
      </c>
    </row>
    <row r="763" spans="1:1" x14ac:dyDescent="0.25">
      <c r="A763" s="16" t="s">
        <v>13865</v>
      </c>
    </row>
    <row r="764" spans="1:1" x14ac:dyDescent="0.25">
      <c r="A764" s="16" t="s">
        <v>13866</v>
      </c>
    </row>
    <row r="765" spans="1:1" x14ac:dyDescent="0.25">
      <c r="A765" s="16" t="s">
        <v>13867</v>
      </c>
    </row>
    <row r="766" spans="1:1" x14ac:dyDescent="0.25">
      <c r="A766" s="16" t="s">
        <v>13868</v>
      </c>
    </row>
    <row r="767" spans="1:1" x14ac:dyDescent="0.25">
      <c r="A767" s="16" t="s">
        <v>13869</v>
      </c>
    </row>
    <row r="768" spans="1:1" x14ac:dyDescent="0.25">
      <c r="A768" s="16" t="s">
        <v>13870</v>
      </c>
    </row>
    <row r="769" spans="1:1" x14ac:dyDescent="0.25">
      <c r="A769" s="16" t="s">
        <v>13871</v>
      </c>
    </row>
    <row r="770" spans="1:1" x14ac:dyDescent="0.25">
      <c r="A770" s="16" t="s">
        <v>13872</v>
      </c>
    </row>
    <row r="771" spans="1:1" x14ac:dyDescent="0.25">
      <c r="A771" s="16" t="s">
        <v>13873</v>
      </c>
    </row>
    <row r="772" spans="1:1" x14ac:dyDescent="0.25">
      <c r="A772" s="16" t="s">
        <v>13874</v>
      </c>
    </row>
    <row r="773" spans="1:1" x14ac:dyDescent="0.25">
      <c r="A773" s="16" t="s">
        <v>13875</v>
      </c>
    </row>
    <row r="774" spans="1:1" x14ac:dyDescent="0.25">
      <c r="A774" s="16" t="s">
        <v>13876</v>
      </c>
    </row>
    <row r="775" spans="1:1" x14ac:dyDescent="0.25">
      <c r="A775" s="16" t="s">
        <v>13877</v>
      </c>
    </row>
    <row r="776" spans="1:1" x14ac:dyDescent="0.25">
      <c r="A776" s="16" t="s">
        <v>13878</v>
      </c>
    </row>
    <row r="777" spans="1:1" x14ac:dyDescent="0.25">
      <c r="A777" s="16" t="s">
        <v>13879</v>
      </c>
    </row>
    <row r="778" spans="1:1" x14ac:dyDescent="0.25">
      <c r="A778" s="16" t="s">
        <v>13880</v>
      </c>
    </row>
    <row r="779" spans="1:1" x14ac:dyDescent="0.25">
      <c r="A779" s="16" t="s">
        <v>13881</v>
      </c>
    </row>
    <row r="780" spans="1:1" x14ac:dyDescent="0.25">
      <c r="A780" s="16" t="s">
        <v>13882</v>
      </c>
    </row>
    <row r="781" spans="1:1" x14ac:dyDescent="0.25">
      <c r="A781" s="16" t="s">
        <v>13883</v>
      </c>
    </row>
    <row r="782" spans="1:1" x14ac:dyDescent="0.25">
      <c r="A782" s="16" t="s">
        <v>13884</v>
      </c>
    </row>
    <row r="783" spans="1:1" x14ac:dyDescent="0.25">
      <c r="A783" s="16" t="s">
        <v>13885</v>
      </c>
    </row>
    <row r="784" spans="1:1" x14ac:dyDescent="0.25">
      <c r="A784" s="16" t="s">
        <v>13886</v>
      </c>
    </row>
    <row r="785" spans="1:1" x14ac:dyDescent="0.25">
      <c r="A785" s="16" t="s">
        <v>13887</v>
      </c>
    </row>
    <row r="786" spans="1:1" x14ac:dyDescent="0.25">
      <c r="A786" s="16" t="s">
        <v>13888</v>
      </c>
    </row>
    <row r="787" spans="1:1" x14ac:dyDescent="0.25">
      <c r="A787" s="16" t="s">
        <v>13889</v>
      </c>
    </row>
    <row r="788" spans="1:1" x14ac:dyDescent="0.25">
      <c r="A788" s="16" t="s">
        <v>13890</v>
      </c>
    </row>
    <row r="789" spans="1:1" x14ac:dyDescent="0.25">
      <c r="A789" s="16" t="s">
        <v>13891</v>
      </c>
    </row>
    <row r="790" spans="1:1" x14ac:dyDescent="0.25">
      <c r="A790" s="16" t="s">
        <v>13892</v>
      </c>
    </row>
    <row r="791" spans="1:1" x14ac:dyDescent="0.25">
      <c r="A791" s="16" t="s">
        <v>13893</v>
      </c>
    </row>
    <row r="792" spans="1:1" x14ac:dyDescent="0.25">
      <c r="A792" s="16" t="s">
        <v>13894</v>
      </c>
    </row>
    <row r="793" spans="1:1" x14ac:dyDescent="0.25">
      <c r="A793" s="16" t="s">
        <v>13895</v>
      </c>
    </row>
    <row r="794" spans="1:1" x14ac:dyDescent="0.25">
      <c r="A794" s="16" t="s">
        <v>13896</v>
      </c>
    </row>
    <row r="795" spans="1:1" x14ac:dyDescent="0.25">
      <c r="A795" s="16" t="s">
        <v>13897</v>
      </c>
    </row>
    <row r="796" spans="1:1" x14ac:dyDescent="0.25">
      <c r="A796" s="16" t="s">
        <v>13898</v>
      </c>
    </row>
    <row r="797" spans="1:1" x14ac:dyDescent="0.25">
      <c r="A797" s="16" t="s">
        <v>13899</v>
      </c>
    </row>
    <row r="798" spans="1:1" x14ac:dyDescent="0.25">
      <c r="A798" s="16" t="s">
        <v>13900</v>
      </c>
    </row>
    <row r="799" spans="1:1" x14ac:dyDescent="0.25">
      <c r="A799" s="16" t="s">
        <v>13901</v>
      </c>
    </row>
    <row r="800" spans="1:1" x14ac:dyDescent="0.25">
      <c r="A800" s="16" t="s">
        <v>13902</v>
      </c>
    </row>
    <row r="801" spans="1:1" x14ac:dyDescent="0.25">
      <c r="A801" s="16" t="s">
        <v>13903</v>
      </c>
    </row>
    <row r="802" spans="1:1" x14ac:dyDescent="0.25">
      <c r="A802" s="16" t="s">
        <v>13904</v>
      </c>
    </row>
    <row r="803" spans="1:1" x14ac:dyDescent="0.25">
      <c r="A803" s="16" t="s">
        <v>13905</v>
      </c>
    </row>
    <row r="804" spans="1:1" x14ac:dyDescent="0.25">
      <c r="A804" s="16" t="s">
        <v>13906</v>
      </c>
    </row>
    <row r="805" spans="1:1" x14ac:dyDescent="0.25">
      <c r="A805" s="16" t="s">
        <v>13907</v>
      </c>
    </row>
    <row r="806" spans="1:1" x14ac:dyDescent="0.25">
      <c r="A806" s="16" t="s">
        <v>13908</v>
      </c>
    </row>
    <row r="807" spans="1:1" x14ac:dyDescent="0.25">
      <c r="A807" s="16" t="s">
        <v>13909</v>
      </c>
    </row>
    <row r="808" spans="1:1" x14ac:dyDescent="0.25">
      <c r="A808" s="16" t="s">
        <v>13910</v>
      </c>
    </row>
    <row r="809" spans="1:1" x14ac:dyDescent="0.25">
      <c r="A809" s="16" t="s">
        <v>13911</v>
      </c>
    </row>
    <row r="810" spans="1:1" x14ac:dyDescent="0.25">
      <c r="A810" s="16" t="s">
        <v>13912</v>
      </c>
    </row>
    <row r="811" spans="1:1" x14ac:dyDescent="0.25">
      <c r="A811" s="16" t="s">
        <v>13913</v>
      </c>
    </row>
    <row r="812" spans="1:1" x14ac:dyDescent="0.25">
      <c r="A812" s="16" t="s">
        <v>13914</v>
      </c>
    </row>
    <row r="813" spans="1:1" x14ac:dyDescent="0.25">
      <c r="A813" s="16" t="s">
        <v>13915</v>
      </c>
    </row>
    <row r="814" spans="1:1" x14ac:dyDescent="0.25">
      <c r="A814" s="16" t="s">
        <v>13916</v>
      </c>
    </row>
    <row r="815" spans="1:1" x14ac:dyDescent="0.25">
      <c r="A815" s="16" t="s">
        <v>13917</v>
      </c>
    </row>
    <row r="816" spans="1:1" x14ac:dyDescent="0.25">
      <c r="A816" s="16" t="s">
        <v>13918</v>
      </c>
    </row>
    <row r="817" spans="1:1" x14ac:dyDescent="0.25">
      <c r="A817" s="16" t="s">
        <v>13919</v>
      </c>
    </row>
    <row r="818" spans="1:1" x14ac:dyDescent="0.25">
      <c r="A818" s="16" t="s">
        <v>13920</v>
      </c>
    </row>
    <row r="819" spans="1:1" x14ac:dyDescent="0.25">
      <c r="A819" s="16" t="s">
        <v>13921</v>
      </c>
    </row>
    <row r="820" spans="1:1" x14ac:dyDescent="0.25">
      <c r="A820" s="16" t="s">
        <v>13922</v>
      </c>
    </row>
    <row r="821" spans="1:1" x14ac:dyDescent="0.25">
      <c r="A821" s="16" t="s">
        <v>13923</v>
      </c>
    </row>
    <row r="822" spans="1:1" x14ac:dyDescent="0.25">
      <c r="A822" s="16" t="s">
        <v>13924</v>
      </c>
    </row>
    <row r="823" spans="1:1" x14ac:dyDescent="0.25">
      <c r="A823" s="16" t="s">
        <v>13925</v>
      </c>
    </row>
    <row r="824" spans="1:1" x14ac:dyDescent="0.25">
      <c r="A824" s="16" t="s">
        <v>13926</v>
      </c>
    </row>
    <row r="825" spans="1:1" x14ac:dyDescent="0.25">
      <c r="A825" s="16" t="s">
        <v>13927</v>
      </c>
    </row>
    <row r="826" spans="1:1" x14ac:dyDescent="0.25">
      <c r="A826" s="16" t="s">
        <v>13928</v>
      </c>
    </row>
    <row r="827" spans="1:1" x14ac:dyDescent="0.25">
      <c r="A827" s="16" t="s">
        <v>13929</v>
      </c>
    </row>
    <row r="828" spans="1:1" x14ac:dyDescent="0.25">
      <c r="A828" s="16" t="s">
        <v>13930</v>
      </c>
    </row>
    <row r="829" spans="1:1" x14ac:dyDescent="0.25">
      <c r="A829" s="16" t="s">
        <v>13931</v>
      </c>
    </row>
    <row r="830" spans="1:1" x14ac:dyDescent="0.25">
      <c r="A830" s="16" t="s">
        <v>13932</v>
      </c>
    </row>
    <row r="831" spans="1:1" x14ac:dyDescent="0.25">
      <c r="A831" s="16" t="s">
        <v>13933</v>
      </c>
    </row>
    <row r="832" spans="1:1" x14ac:dyDescent="0.25">
      <c r="A832" s="16" t="s">
        <v>13934</v>
      </c>
    </row>
    <row r="833" spans="1:1" x14ac:dyDescent="0.25">
      <c r="A833" s="16" t="s">
        <v>13935</v>
      </c>
    </row>
    <row r="834" spans="1:1" x14ac:dyDescent="0.25">
      <c r="A834" s="16" t="s">
        <v>13936</v>
      </c>
    </row>
    <row r="835" spans="1:1" x14ac:dyDescent="0.25">
      <c r="A835" s="16" t="s">
        <v>13937</v>
      </c>
    </row>
    <row r="836" spans="1:1" x14ac:dyDescent="0.25">
      <c r="A836" s="16" t="s">
        <v>13938</v>
      </c>
    </row>
    <row r="837" spans="1:1" x14ac:dyDescent="0.25">
      <c r="A837" s="16" t="s">
        <v>13939</v>
      </c>
    </row>
    <row r="838" spans="1:1" x14ac:dyDescent="0.25">
      <c r="A838" s="16" t="s">
        <v>13940</v>
      </c>
    </row>
    <row r="839" spans="1:1" x14ac:dyDescent="0.25">
      <c r="A839" s="16" t="s">
        <v>13941</v>
      </c>
    </row>
    <row r="840" spans="1:1" x14ac:dyDescent="0.25">
      <c r="A840" s="16" t="s">
        <v>13942</v>
      </c>
    </row>
    <row r="841" spans="1:1" x14ac:dyDescent="0.25">
      <c r="A841" s="16" t="s">
        <v>13943</v>
      </c>
    </row>
    <row r="842" spans="1:1" x14ac:dyDescent="0.25">
      <c r="A842" s="16" t="s">
        <v>13944</v>
      </c>
    </row>
    <row r="843" spans="1:1" x14ac:dyDescent="0.25">
      <c r="A843" s="16" t="s">
        <v>13945</v>
      </c>
    </row>
    <row r="844" spans="1:1" x14ac:dyDescent="0.25">
      <c r="A844" s="16" t="s">
        <v>13946</v>
      </c>
    </row>
    <row r="845" spans="1:1" x14ac:dyDescent="0.25">
      <c r="A845" s="16" t="s">
        <v>13947</v>
      </c>
    </row>
    <row r="846" spans="1:1" x14ac:dyDescent="0.25">
      <c r="A846" s="16" t="s">
        <v>13948</v>
      </c>
    </row>
    <row r="847" spans="1:1" x14ac:dyDescent="0.25">
      <c r="A847" s="16" t="s">
        <v>13949</v>
      </c>
    </row>
    <row r="848" spans="1:1" x14ac:dyDescent="0.25">
      <c r="A848" s="16" t="s">
        <v>13950</v>
      </c>
    </row>
    <row r="849" spans="1:1" x14ac:dyDescent="0.25">
      <c r="A849" s="16" t="s">
        <v>13951</v>
      </c>
    </row>
    <row r="850" spans="1:1" x14ac:dyDescent="0.25">
      <c r="A850" s="16" t="s">
        <v>13952</v>
      </c>
    </row>
    <row r="851" spans="1:1" x14ac:dyDescent="0.25">
      <c r="A851" s="16" t="s">
        <v>13953</v>
      </c>
    </row>
    <row r="852" spans="1:1" x14ac:dyDescent="0.25">
      <c r="A852" s="16" t="s">
        <v>13954</v>
      </c>
    </row>
    <row r="853" spans="1:1" x14ac:dyDescent="0.25">
      <c r="A853" s="16" t="s">
        <v>13955</v>
      </c>
    </row>
    <row r="854" spans="1:1" x14ac:dyDescent="0.25">
      <c r="A854" s="16" t="s">
        <v>13956</v>
      </c>
    </row>
    <row r="855" spans="1:1" x14ac:dyDescent="0.25">
      <c r="A855" s="16" t="s">
        <v>13957</v>
      </c>
    </row>
    <row r="856" spans="1:1" x14ac:dyDescent="0.25">
      <c r="A856" s="16" t="s">
        <v>13958</v>
      </c>
    </row>
    <row r="857" spans="1:1" x14ac:dyDescent="0.25">
      <c r="A857" s="16" t="s">
        <v>13959</v>
      </c>
    </row>
    <row r="858" spans="1:1" x14ac:dyDescent="0.25">
      <c r="A858" s="16" t="s">
        <v>13960</v>
      </c>
    </row>
    <row r="859" spans="1:1" x14ac:dyDescent="0.25">
      <c r="A859" s="16" t="s">
        <v>13961</v>
      </c>
    </row>
    <row r="860" spans="1:1" x14ac:dyDescent="0.25">
      <c r="A860" s="16" t="s">
        <v>13962</v>
      </c>
    </row>
    <row r="861" spans="1:1" x14ac:dyDescent="0.25">
      <c r="A861" s="16" t="s">
        <v>13963</v>
      </c>
    </row>
    <row r="862" spans="1:1" x14ac:dyDescent="0.25">
      <c r="A862" s="16" t="s">
        <v>13964</v>
      </c>
    </row>
    <row r="863" spans="1:1" x14ac:dyDescent="0.25">
      <c r="A863" s="16" t="s">
        <v>13965</v>
      </c>
    </row>
    <row r="864" spans="1:1" x14ac:dyDescent="0.25">
      <c r="A864" s="16" t="s">
        <v>13966</v>
      </c>
    </row>
    <row r="865" spans="1:1" x14ac:dyDescent="0.25">
      <c r="A865" s="16" t="s">
        <v>13967</v>
      </c>
    </row>
    <row r="866" spans="1:1" x14ac:dyDescent="0.25">
      <c r="A866" s="16" t="s">
        <v>13968</v>
      </c>
    </row>
    <row r="867" spans="1:1" x14ac:dyDescent="0.25">
      <c r="A867" s="16" t="s">
        <v>13969</v>
      </c>
    </row>
    <row r="868" spans="1:1" x14ac:dyDescent="0.25">
      <c r="A868" s="16" t="s">
        <v>13970</v>
      </c>
    </row>
    <row r="869" spans="1:1" x14ac:dyDescent="0.25">
      <c r="A869" s="16" t="s">
        <v>13971</v>
      </c>
    </row>
    <row r="870" spans="1:1" x14ac:dyDescent="0.25">
      <c r="A870" s="16" t="s">
        <v>13972</v>
      </c>
    </row>
    <row r="871" spans="1:1" x14ac:dyDescent="0.25">
      <c r="A871" s="16" t="s">
        <v>13973</v>
      </c>
    </row>
    <row r="872" spans="1:1" x14ac:dyDescent="0.25">
      <c r="A872" s="16" t="s">
        <v>13974</v>
      </c>
    </row>
    <row r="873" spans="1:1" x14ac:dyDescent="0.25">
      <c r="A873" s="16" t="s">
        <v>13975</v>
      </c>
    </row>
    <row r="874" spans="1:1" x14ac:dyDescent="0.25">
      <c r="A874" s="16" t="s">
        <v>13976</v>
      </c>
    </row>
    <row r="875" spans="1:1" x14ac:dyDescent="0.25">
      <c r="A875" s="16" t="s">
        <v>13977</v>
      </c>
    </row>
    <row r="876" spans="1:1" x14ac:dyDescent="0.25">
      <c r="A876" s="16" t="s">
        <v>13978</v>
      </c>
    </row>
    <row r="877" spans="1:1" x14ac:dyDescent="0.25">
      <c r="A877" s="16" t="s">
        <v>13979</v>
      </c>
    </row>
    <row r="878" spans="1:1" x14ac:dyDescent="0.25">
      <c r="A878" s="16" t="s">
        <v>13980</v>
      </c>
    </row>
    <row r="879" spans="1:1" x14ac:dyDescent="0.25">
      <c r="A879" s="16" t="s">
        <v>13981</v>
      </c>
    </row>
    <row r="880" spans="1:1" x14ac:dyDescent="0.25">
      <c r="A880" s="16" t="s">
        <v>13982</v>
      </c>
    </row>
    <row r="881" spans="1:1" x14ac:dyDescent="0.25">
      <c r="A881" s="16" t="s">
        <v>13983</v>
      </c>
    </row>
    <row r="882" spans="1:1" x14ac:dyDescent="0.25">
      <c r="A882" s="16" t="s">
        <v>13984</v>
      </c>
    </row>
    <row r="883" spans="1:1" x14ac:dyDescent="0.25">
      <c r="A883" s="16" t="s">
        <v>13985</v>
      </c>
    </row>
    <row r="884" spans="1:1" x14ac:dyDescent="0.25">
      <c r="A884" s="16" t="s">
        <v>13986</v>
      </c>
    </row>
    <row r="885" spans="1:1" x14ac:dyDescent="0.25">
      <c r="A885" s="16" t="s">
        <v>13987</v>
      </c>
    </row>
    <row r="886" spans="1:1" x14ac:dyDescent="0.25">
      <c r="A886" s="16" t="s">
        <v>13988</v>
      </c>
    </row>
    <row r="887" spans="1:1" x14ac:dyDescent="0.25">
      <c r="A887" s="16" t="s">
        <v>13989</v>
      </c>
    </row>
    <row r="888" spans="1:1" x14ac:dyDescent="0.25">
      <c r="A888" s="16" t="s">
        <v>13990</v>
      </c>
    </row>
    <row r="889" spans="1:1" x14ac:dyDescent="0.25">
      <c r="A889" s="16" t="s">
        <v>13991</v>
      </c>
    </row>
    <row r="890" spans="1:1" x14ac:dyDescent="0.25">
      <c r="A890" s="16" t="s">
        <v>13992</v>
      </c>
    </row>
    <row r="891" spans="1:1" x14ac:dyDescent="0.25">
      <c r="A891" s="16" t="s">
        <v>13993</v>
      </c>
    </row>
    <row r="892" spans="1:1" x14ac:dyDescent="0.25">
      <c r="A892" s="16" t="s">
        <v>13994</v>
      </c>
    </row>
    <row r="893" spans="1:1" x14ac:dyDescent="0.25">
      <c r="A893" s="16" t="s">
        <v>13995</v>
      </c>
    </row>
    <row r="894" spans="1:1" x14ac:dyDescent="0.25">
      <c r="A894" s="16" t="s">
        <v>13996</v>
      </c>
    </row>
    <row r="895" spans="1:1" x14ac:dyDescent="0.25">
      <c r="A895" s="16" t="s">
        <v>13997</v>
      </c>
    </row>
    <row r="896" spans="1:1" x14ac:dyDescent="0.25">
      <c r="A896" s="16" t="s">
        <v>13998</v>
      </c>
    </row>
    <row r="897" spans="1:1" x14ac:dyDescent="0.25">
      <c r="A897" s="16" t="s">
        <v>13999</v>
      </c>
    </row>
    <row r="898" spans="1:1" x14ac:dyDescent="0.25">
      <c r="A898" s="16" t="s">
        <v>14000</v>
      </c>
    </row>
    <row r="899" spans="1:1" x14ac:dyDescent="0.25">
      <c r="A899" s="16" t="s">
        <v>14001</v>
      </c>
    </row>
    <row r="900" spans="1:1" x14ac:dyDescent="0.25">
      <c r="A900" s="16" t="s">
        <v>14002</v>
      </c>
    </row>
    <row r="901" spans="1:1" x14ac:dyDescent="0.25">
      <c r="A901" s="16" t="s">
        <v>14003</v>
      </c>
    </row>
    <row r="902" spans="1:1" x14ac:dyDescent="0.25">
      <c r="A902" s="16" t="s">
        <v>14004</v>
      </c>
    </row>
    <row r="903" spans="1:1" x14ac:dyDescent="0.25">
      <c r="A903" s="16" t="s">
        <v>14005</v>
      </c>
    </row>
    <row r="904" spans="1:1" x14ac:dyDescent="0.25">
      <c r="A904" s="16" t="s">
        <v>14006</v>
      </c>
    </row>
    <row r="905" spans="1:1" x14ac:dyDescent="0.25">
      <c r="A905" s="16" t="s">
        <v>14007</v>
      </c>
    </row>
    <row r="906" spans="1:1" x14ac:dyDescent="0.25">
      <c r="A906" s="16" t="s">
        <v>14008</v>
      </c>
    </row>
    <row r="907" spans="1:1" x14ac:dyDescent="0.25">
      <c r="A907" s="16" t="s">
        <v>14009</v>
      </c>
    </row>
    <row r="908" spans="1:1" x14ac:dyDescent="0.25">
      <c r="A908" s="16" t="s">
        <v>14010</v>
      </c>
    </row>
    <row r="909" spans="1:1" x14ac:dyDescent="0.25">
      <c r="A909" s="16" t="s">
        <v>14011</v>
      </c>
    </row>
    <row r="910" spans="1:1" x14ac:dyDescent="0.25">
      <c r="A910" s="16" t="s">
        <v>14012</v>
      </c>
    </row>
    <row r="911" spans="1:1" x14ac:dyDescent="0.25">
      <c r="A911" s="16" t="s">
        <v>14013</v>
      </c>
    </row>
    <row r="912" spans="1:1" x14ac:dyDescent="0.25">
      <c r="A912" s="16" t="s">
        <v>14014</v>
      </c>
    </row>
    <row r="913" spans="1:1" x14ac:dyDescent="0.25">
      <c r="A913" s="16" t="s">
        <v>14015</v>
      </c>
    </row>
    <row r="914" spans="1:1" x14ac:dyDescent="0.25">
      <c r="A914" s="16" t="s">
        <v>14016</v>
      </c>
    </row>
    <row r="915" spans="1:1" x14ac:dyDescent="0.25">
      <c r="A915" s="16" t="s">
        <v>14017</v>
      </c>
    </row>
    <row r="916" spans="1:1" x14ac:dyDescent="0.25">
      <c r="A916" s="16" t="s">
        <v>14018</v>
      </c>
    </row>
    <row r="917" spans="1:1" x14ac:dyDescent="0.25">
      <c r="A917" s="16" t="s">
        <v>14019</v>
      </c>
    </row>
    <row r="918" spans="1:1" x14ac:dyDescent="0.25">
      <c r="A918" s="16" t="s">
        <v>14020</v>
      </c>
    </row>
    <row r="919" spans="1:1" x14ac:dyDescent="0.25">
      <c r="A919" s="16" t="s">
        <v>14021</v>
      </c>
    </row>
    <row r="920" spans="1:1" x14ac:dyDescent="0.25">
      <c r="A920" s="16" t="s">
        <v>14022</v>
      </c>
    </row>
    <row r="921" spans="1:1" x14ac:dyDescent="0.25">
      <c r="A921" s="16" t="s">
        <v>14023</v>
      </c>
    </row>
    <row r="922" spans="1:1" x14ac:dyDescent="0.25">
      <c r="A922" s="16" t="s">
        <v>14024</v>
      </c>
    </row>
    <row r="923" spans="1:1" x14ac:dyDescent="0.25">
      <c r="A923" s="16" t="s">
        <v>14025</v>
      </c>
    </row>
    <row r="924" spans="1:1" x14ac:dyDescent="0.25">
      <c r="A924" s="16" t="s">
        <v>14026</v>
      </c>
    </row>
    <row r="925" spans="1:1" x14ac:dyDescent="0.25">
      <c r="A925" s="16" t="s">
        <v>14027</v>
      </c>
    </row>
    <row r="926" spans="1:1" x14ac:dyDescent="0.25">
      <c r="A926" s="16" t="s">
        <v>14028</v>
      </c>
    </row>
    <row r="927" spans="1:1" x14ac:dyDescent="0.25">
      <c r="A927" s="16" t="s">
        <v>14029</v>
      </c>
    </row>
    <row r="928" spans="1:1" x14ac:dyDescent="0.25">
      <c r="A928" s="16" t="s">
        <v>14030</v>
      </c>
    </row>
    <row r="929" spans="1:1" x14ac:dyDescent="0.25">
      <c r="A929" s="16" t="s">
        <v>14031</v>
      </c>
    </row>
    <row r="930" spans="1:1" x14ac:dyDescent="0.25">
      <c r="A930" s="16" t="s">
        <v>14032</v>
      </c>
    </row>
    <row r="931" spans="1:1" x14ac:dyDescent="0.25">
      <c r="A931" s="16" t="s">
        <v>14033</v>
      </c>
    </row>
    <row r="932" spans="1:1" x14ac:dyDescent="0.25">
      <c r="A932" s="16" t="s">
        <v>14034</v>
      </c>
    </row>
    <row r="933" spans="1:1" x14ac:dyDescent="0.25">
      <c r="A933" s="16" t="s">
        <v>14035</v>
      </c>
    </row>
    <row r="934" spans="1:1" x14ac:dyDescent="0.25">
      <c r="A934" s="16" t="s">
        <v>14036</v>
      </c>
    </row>
    <row r="935" spans="1:1" x14ac:dyDescent="0.25">
      <c r="A935" s="16" t="s">
        <v>14037</v>
      </c>
    </row>
    <row r="936" spans="1:1" x14ac:dyDescent="0.25">
      <c r="A936" s="16" t="s">
        <v>14038</v>
      </c>
    </row>
    <row r="937" spans="1:1" x14ac:dyDescent="0.25">
      <c r="A937" s="16" t="s">
        <v>14039</v>
      </c>
    </row>
    <row r="938" spans="1:1" x14ac:dyDescent="0.25">
      <c r="A938" s="16" t="s">
        <v>14040</v>
      </c>
    </row>
    <row r="939" spans="1:1" x14ac:dyDescent="0.25">
      <c r="A939" s="16" t="s">
        <v>14041</v>
      </c>
    </row>
    <row r="940" spans="1:1" x14ac:dyDescent="0.25">
      <c r="A940" s="16" t="s">
        <v>14042</v>
      </c>
    </row>
    <row r="941" spans="1:1" x14ac:dyDescent="0.25">
      <c r="A941" s="16" t="s">
        <v>14043</v>
      </c>
    </row>
    <row r="942" spans="1:1" x14ac:dyDescent="0.25">
      <c r="A942" s="16" t="s">
        <v>14044</v>
      </c>
    </row>
    <row r="943" spans="1:1" x14ac:dyDescent="0.25">
      <c r="A943" s="16" t="s">
        <v>14045</v>
      </c>
    </row>
    <row r="944" spans="1:1" x14ac:dyDescent="0.25">
      <c r="A944" s="16" t="s">
        <v>14046</v>
      </c>
    </row>
    <row r="945" spans="1:1" x14ac:dyDescent="0.25">
      <c r="A945" s="16" t="s">
        <v>14047</v>
      </c>
    </row>
    <row r="946" spans="1:1" x14ac:dyDescent="0.25">
      <c r="A946" s="16" t="s">
        <v>14048</v>
      </c>
    </row>
    <row r="947" spans="1:1" x14ac:dyDescent="0.25">
      <c r="A947" s="16" t="s">
        <v>14049</v>
      </c>
    </row>
    <row r="948" spans="1:1" x14ac:dyDescent="0.25">
      <c r="A948" s="16" t="s">
        <v>14050</v>
      </c>
    </row>
    <row r="949" spans="1:1" x14ac:dyDescent="0.25">
      <c r="A949" s="16" t="s">
        <v>14051</v>
      </c>
    </row>
    <row r="950" spans="1:1" x14ac:dyDescent="0.25">
      <c r="A950" s="16" t="s">
        <v>14052</v>
      </c>
    </row>
    <row r="951" spans="1:1" x14ac:dyDescent="0.25">
      <c r="A951" s="16" t="s">
        <v>14053</v>
      </c>
    </row>
    <row r="952" spans="1:1" x14ac:dyDescent="0.25">
      <c r="A952" s="16" t="s">
        <v>14054</v>
      </c>
    </row>
    <row r="953" spans="1:1" x14ac:dyDescent="0.25">
      <c r="A953" s="16" t="s">
        <v>14055</v>
      </c>
    </row>
    <row r="954" spans="1:1" x14ac:dyDescent="0.25">
      <c r="A954" s="16" t="s">
        <v>14056</v>
      </c>
    </row>
    <row r="955" spans="1:1" x14ac:dyDescent="0.25">
      <c r="A955" s="16" t="s">
        <v>14057</v>
      </c>
    </row>
    <row r="956" spans="1:1" x14ac:dyDescent="0.25">
      <c r="A956" s="16" t="s">
        <v>14058</v>
      </c>
    </row>
    <row r="957" spans="1:1" x14ac:dyDescent="0.25">
      <c r="A957" s="16" t="s">
        <v>14059</v>
      </c>
    </row>
    <row r="958" spans="1:1" x14ac:dyDescent="0.25">
      <c r="A958" s="16" t="s">
        <v>14060</v>
      </c>
    </row>
    <row r="959" spans="1:1" x14ac:dyDescent="0.25">
      <c r="A959" s="16" t="s">
        <v>14061</v>
      </c>
    </row>
    <row r="960" spans="1:1" x14ac:dyDescent="0.25">
      <c r="A960" s="16" t="s">
        <v>14062</v>
      </c>
    </row>
    <row r="961" spans="1:1" x14ac:dyDescent="0.25">
      <c r="A961" s="16" t="s">
        <v>14063</v>
      </c>
    </row>
    <row r="962" spans="1:1" x14ac:dyDescent="0.25">
      <c r="A962" s="16" t="s">
        <v>14064</v>
      </c>
    </row>
    <row r="963" spans="1:1" x14ac:dyDescent="0.25">
      <c r="A963" s="16" t="s">
        <v>14065</v>
      </c>
    </row>
    <row r="964" spans="1:1" x14ac:dyDescent="0.25">
      <c r="A964" s="16" t="s">
        <v>14066</v>
      </c>
    </row>
    <row r="965" spans="1:1" x14ac:dyDescent="0.25">
      <c r="A965" s="16" t="s">
        <v>14067</v>
      </c>
    </row>
    <row r="966" spans="1:1" x14ac:dyDescent="0.25">
      <c r="A966" s="16" t="s">
        <v>14068</v>
      </c>
    </row>
    <row r="967" spans="1:1" x14ac:dyDescent="0.25">
      <c r="A967" s="16" t="s">
        <v>14069</v>
      </c>
    </row>
    <row r="968" spans="1:1" x14ac:dyDescent="0.25">
      <c r="A968" s="16" t="s">
        <v>14070</v>
      </c>
    </row>
    <row r="969" spans="1:1" x14ac:dyDescent="0.25">
      <c r="A969" s="16" t="s">
        <v>14071</v>
      </c>
    </row>
    <row r="970" spans="1:1" x14ac:dyDescent="0.25">
      <c r="A970" s="16" t="s">
        <v>14072</v>
      </c>
    </row>
    <row r="971" spans="1:1" x14ac:dyDescent="0.25">
      <c r="A971" s="16" t="s">
        <v>14073</v>
      </c>
    </row>
    <row r="972" spans="1:1" x14ac:dyDescent="0.25">
      <c r="A972" s="16" t="s">
        <v>14074</v>
      </c>
    </row>
    <row r="973" spans="1:1" x14ac:dyDescent="0.25">
      <c r="A973" s="16" t="s">
        <v>14075</v>
      </c>
    </row>
    <row r="974" spans="1:1" x14ac:dyDescent="0.25">
      <c r="A974" s="16" t="s">
        <v>14076</v>
      </c>
    </row>
    <row r="975" spans="1:1" x14ac:dyDescent="0.25">
      <c r="A975" s="16" t="s">
        <v>14077</v>
      </c>
    </row>
    <row r="976" spans="1:1" x14ac:dyDescent="0.25">
      <c r="A976" s="16" t="s">
        <v>14078</v>
      </c>
    </row>
    <row r="977" spans="1:1" x14ac:dyDescent="0.25">
      <c r="A977" s="16" t="s">
        <v>14079</v>
      </c>
    </row>
    <row r="978" spans="1:1" x14ac:dyDescent="0.25">
      <c r="A978" s="16" t="s">
        <v>14080</v>
      </c>
    </row>
    <row r="979" spans="1:1" x14ac:dyDescent="0.25">
      <c r="A979" s="16" t="s">
        <v>14081</v>
      </c>
    </row>
    <row r="980" spans="1:1" x14ac:dyDescent="0.25">
      <c r="A980" s="16" t="s">
        <v>14082</v>
      </c>
    </row>
    <row r="981" spans="1:1" x14ac:dyDescent="0.25">
      <c r="A981" s="16" t="s">
        <v>14083</v>
      </c>
    </row>
    <row r="982" spans="1:1" x14ac:dyDescent="0.25">
      <c r="A982" s="16" t="s">
        <v>14084</v>
      </c>
    </row>
    <row r="983" spans="1:1" x14ac:dyDescent="0.25">
      <c r="A983" s="16" t="s">
        <v>14085</v>
      </c>
    </row>
    <row r="984" spans="1:1" x14ac:dyDescent="0.25">
      <c r="A984" s="16" t="s">
        <v>14086</v>
      </c>
    </row>
    <row r="985" spans="1:1" x14ac:dyDescent="0.25">
      <c r="A985" s="16" t="s">
        <v>14087</v>
      </c>
    </row>
    <row r="986" spans="1:1" x14ac:dyDescent="0.25">
      <c r="A986" s="16" t="s">
        <v>14088</v>
      </c>
    </row>
    <row r="987" spans="1:1" x14ac:dyDescent="0.25">
      <c r="A987" s="16" t="s">
        <v>14089</v>
      </c>
    </row>
    <row r="988" spans="1:1" x14ac:dyDescent="0.25">
      <c r="A988" s="16" t="s">
        <v>14090</v>
      </c>
    </row>
    <row r="989" spans="1:1" x14ac:dyDescent="0.25">
      <c r="A989" s="16" t="s">
        <v>14091</v>
      </c>
    </row>
    <row r="990" spans="1:1" x14ac:dyDescent="0.25">
      <c r="A990" s="16" t="s">
        <v>14092</v>
      </c>
    </row>
    <row r="991" spans="1:1" x14ac:dyDescent="0.25">
      <c r="A991" s="16" t="s">
        <v>14093</v>
      </c>
    </row>
    <row r="992" spans="1:1" x14ac:dyDescent="0.25">
      <c r="A992" s="16" t="s">
        <v>14094</v>
      </c>
    </row>
    <row r="993" spans="1:1" x14ac:dyDescent="0.25">
      <c r="A993" s="16" t="s">
        <v>14095</v>
      </c>
    </row>
    <row r="994" spans="1:1" x14ac:dyDescent="0.25">
      <c r="A994" s="16" t="s">
        <v>14096</v>
      </c>
    </row>
    <row r="995" spans="1:1" x14ac:dyDescent="0.25">
      <c r="A995" s="16" t="s">
        <v>14097</v>
      </c>
    </row>
    <row r="996" spans="1:1" x14ac:dyDescent="0.25">
      <c r="A996" s="16" t="s">
        <v>14098</v>
      </c>
    </row>
    <row r="997" spans="1:1" x14ac:dyDescent="0.25">
      <c r="A997" s="16" t="s">
        <v>14099</v>
      </c>
    </row>
    <row r="998" spans="1:1" x14ac:dyDescent="0.25">
      <c r="A998" s="16" t="s">
        <v>14100</v>
      </c>
    </row>
    <row r="999" spans="1:1" x14ac:dyDescent="0.25">
      <c r="A999" s="16" t="s">
        <v>14101</v>
      </c>
    </row>
    <row r="1000" spans="1:1" x14ac:dyDescent="0.25">
      <c r="A1000" s="16" t="s">
        <v>14102</v>
      </c>
    </row>
    <row r="1001" spans="1:1" x14ac:dyDescent="0.25">
      <c r="A1001" s="16" t="s">
        <v>14103</v>
      </c>
    </row>
    <row r="1002" spans="1:1" x14ac:dyDescent="0.25">
      <c r="A1002" s="16" t="s">
        <v>14104</v>
      </c>
    </row>
    <row r="1003" spans="1:1" x14ac:dyDescent="0.25">
      <c r="A1003" s="16" t="s">
        <v>14105</v>
      </c>
    </row>
    <row r="1004" spans="1:1" x14ac:dyDescent="0.25">
      <c r="A1004" s="16" t="s">
        <v>14106</v>
      </c>
    </row>
    <row r="1005" spans="1:1" x14ac:dyDescent="0.25">
      <c r="A1005" s="16" t="s">
        <v>14107</v>
      </c>
    </row>
    <row r="1006" spans="1:1" x14ac:dyDescent="0.25">
      <c r="A1006" s="16" t="s">
        <v>14108</v>
      </c>
    </row>
    <row r="1007" spans="1:1" x14ac:dyDescent="0.25">
      <c r="A1007" s="16" t="s">
        <v>14109</v>
      </c>
    </row>
    <row r="1008" spans="1:1" x14ac:dyDescent="0.25">
      <c r="A1008" s="16" t="s">
        <v>14110</v>
      </c>
    </row>
    <row r="1009" spans="1:1" x14ac:dyDescent="0.25">
      <c r="A1009" s="16" t="s">
        <v>14111</v>
      </c>
    </row>
    <row r="1010" spans="1:1" x14ac:dyDescent="0.25">
      <c r="A1010" s="16" t="s">
        <v>14112</v>
      </c>
    </row>
    <row r="1011" spans="1:1" x14ac:dyDescent="0.25">
      <c r="A1011" s="16" t="s">
        <v>14113</v>
      </c>
    </row>
    <row r="1012" spans="1:1" x14ac:dyDescent="0.25">
      <c r="A1012" s="16" t="s">
        <v>14114</v>
      </c>
    </row>
    <row r="1013" spans="1:1" x14ac:dyDescent="0.25">
      <c r="A1013" s="16" t="s">
        <v>14115</v>
      </c>
    </row>
    <row r="1014" spans="1:1" x14ac:dyDescent="0.25">
      <c r="A1014" s="16" t="s">
        <v>14116</v>
      </c>
    </row>
    <row r="1015" spans="1:1" x14ac:dyDescent="0.25">
      <c r="A1015" s="16" t="s">
        <v>14117</v>
      </c>
    </row>
    <row r="1016" spans="1:1" x14ac:dyDescent="0.25">
      <c r="A1016" s="16" t="s">
        <v>14118</v>
      </c>
    </row>
    <row r="1017" spans="1:1" x14ac:dyDescent="0.25">
      <c r="A1017" s="16" t="s">
        <v>14119</v>
      </c>
    </row>
    <row r="1018" spans="1:1" x14ac:dyDescent="0.25">
      <c r="A1018" s="16" t="s">
        <v>14120</v>
      </c>
    </row>
    <row r="1019" spans="1:1" x14ac:dyDescent="0.25">
      <c r="A1019" s="16" t="s">
        <v>14121</v>
      </c>
    </row>
    <row r="1020" spans="1:1" x14ac:dyDescent="0.25">
      <c r="A1020" s="16" t="s">
        <v>14122</v>
      </c>
    </row>
    <row r="1021" spans="1:1" x14ac:dyDescent="0.25">
      <c r="A1021" s="16" t="s">
        <v>14123</v>
      </c>
    </row>
    <row r="1022" spans="1:1" x14ac:dyDescent="0.25">
      <c r="A1022" s="16" t="s">
        <v>14124</v>
      </c>
    </row>
    <row r="1023" spans="1:1" x14ac:dyDescent="0.25">
      <c r="A1023" s="16" t="s">
        <v>14125</v>
      </c>
    </row>
    <row r="1024" spans="1:1" x14ac:dyDescent="0.25">
      <c r="A1024" s="16" t="s">
        <v>14126</v>
      </c>
    </row>
    <row r="1025" spans="1:1" x14ac:dyDescent="0.25">
      <c r="A1025" s="16" t="s">
        <v>14127</v>
      </c>
    </row>
    <row r="1026" spans="1:1" x14ac:dyDescent="0.25">
      <c r="A1026" s="16" t="s">
        <v>14128</v>
      </c>
    </row>
    <row r="1027" spans="1:1" x14ac:dyDescent="0.25">
      <c r="A1027" s="16" t="s">
        <v>14129</v>
      </c>
    </row>
    <row r="1028" spans="1:1" x14ac:dyDescent="0.25">
      <c r="A1028" s="16" t="s">
        <v>14130</v>
      </c>
    </row>
    <row r="1029" spans="1:1" x14ac:dyDescent="0.25">
      <c r="A1029" s="16" t="s">
        <v>14131</v>
      </c>
    </row>
    <row r="1030" spans="1:1" x14ac:dyDescent="0.25">
      <c r="A1030" s="16" t="s">
        <v>14132</v>
      </c>
    </row>
    <row r="1031" spans="1:1" x14ac:dyDescent="0.25">
      <c r="A1031" s="16" t="s">
        <v>14133</v>
      </c>
    </row>
    <row r="1032" spans="1:1" x14ac:dyDescent="0.25">
      <c r="A1032" s="16" t="s">
        <v>14134</v>
      </c>
    </row>
    <row r="1033" spans="1:1" x14ac:dyDescent="0.25">
      <c r="A1033" s="16" t="s">
        <v>14135</v>
      </c>
    </row>
    <row r="1034" spans="1:1" x14ac:dyDescent="0.25">
      <c r="A1034" s="16" t="s">
        <v>14136</v>
      </c>
    </row>
    <row r="1035" spans="1:1" x14ac:dyDescent="0.25">
      <c r="A1035" s="16" t="s">
        <v>14137</v>
      </c>
    </row>
    <row r="1036" spans="1:1" x14ac:dyDescent="0.25">
      <c r="A1036" s="16" t="s">
        <v>14138</v>
      </c>
    </row>
    <row r="1037" spans="1:1" x14ac:dyDescent="0.25">
      <c r="A1037" s="16" t="s">
        <v>14139</v>
      </c>
    </row>
    <row r="1038" spans="1:1" x14ac:dyDescent="0.25">
      <c r="A1038" s="16" t="s">
        <v>14140</v>
      </c>
    </row>
    <row r="1039" spans="1:1" x14ac:dyDescent="0.25">
      <c r="A1039" s="16" t="s">
        <v>14141</v>
      </c>
    </row>
    <row r="1040" spans="1:1" x14ac:dyDescent="0.25">
      <c r="A1040" s="16" t="s">
        <v>14142</v>
      </c>
    </row>
    <row r="1041" spans="1:1" x14ac:dyDescent="0.25">
      <c r="A1041" s="16" t="s">
        <v>14143</v>
      </c>
    </row>
    <row r="1042" spans="1:1" x14ac:dyDescent="0.25">
      <c r="A1042" s="16" t="s">
        <v>14144</v>
      </c>
    </row>
    <row r="1043" spans="1:1" x14ac:dyDescent="0.25">
      <c r="A1043" s="16" t="s">
        <v>14145</v>
      </c>
    </row>
    <row r="1044" spans="1:1" x14ac:dyDescent="0.25">
      <c r="A1044" s="16" t="s">
        <v>14146</v>
      </c>
    </row>
    <row r="1045" spans="1:1" x14ac:dyDescent="0.25">
      <c r="A1045" s="16" t="s">
        <v>14147</v>
      </c>
    </row>
    <row r="1046" spans="1:1" x14ac:dyDescent="0.25">
      <c r="A1046" s="16" t="s">
        <v>14148</v>
      </c>
    </row>
    <row r="1047" spans="1:1" x14ac:dyDescent="0.25">
      <c r="A1047" s="16" t="s">
        <v>14149</v>
      </c>
    </row>
    <row r="1048" spans="1:1" x14ac:dyDescent="0.25">
      <c r="A1048" s="16" t="s">
        <v>14150</v>
      </c>
    </row>
    <row r="1049" spans="1:1" x14ac:dyDescent="0.25">
      <c r="A1049" s="16" t="s">
        <v>14151</v>
      </c>
    </row>
    <row r="1050" spans="1:1" x14ac:dyDescent="0.25">
      <c r="A1050" s="16" t="s">
        <v>14152</v>
      </c>
    </row>
    <row r="1051" spans="1:1" x14ac:dyDescent="0.25">
      <c r="A1051" s="16" t="s">
        <v>14153</v>
      </c>
    </row>
    <row r="1052" spans="1:1" x14ac:dyDescent="0.25">
      <c r="A1052" s="16" t="s">
        <v>14154</v>
      </c>
    </row>
    <row r="1053" spans="1:1" x14ac:dyDescent="0.25">
      <c r="A1053" s="16" t="s">
        <v>14155</v>
      </c>
    </row>
    <row r="1054" spans="1:1" x14ac:dyDescent="0.25">
      <c r="A1054" s="16" t="s">
        <v>14156</v>
      </c>
    </row>
    <row r="1055" spans="1:1" x14ac:dyDescent="0.25">
      <c r="A1055" s="16" t="s">
        <v>14157</v>
      </c>
    </row>
    <row r="1056" spans="1:1" x14ac:dyDescent="0.25">
      <c r="A1056" s="16" t="s">
        <v>14158</v>
      </c>
    </row>
    <row r="1057" spans="1:1" x14ac:dyDescent="0.25">
      <c r="A1057" s="16" t="s">
        <v>14159</v>
      </c>
    </row>
    <row r="1058" spans="1:1" x14ac:dyDescent="0.25">
      <c r="A1058" s="16" t="s">
        <v>14160</v>
      </c>
    </row>
    <row r="1059" spans="1:1" x14ac:dyDescent="0.25">
      <c r="A1059" s="16" t="s">
        <v>14161</v>
      </c>
    </row>
    <row r="1060" spans="1:1" x14ac:dyDescent="0.25">
      <c r="A1060" s="16" t="s">
        <v>14162</v>
      </c>
    </row>
    <row r="1061" spans="1:1" x14ac:dyDescent="0.25">
      <c r="A1061" s="16" t="s">
        <v>14163</v>
      </c>
    </row>
    <row r="1062" spans="1:1" x14ac:dyDescent="0.25">
      <c r="A1062" s="16" t="s">
        <v>14164</v>
      </c>
    </row>
    <row r="1063" spans="1:1" x14ac:dyDescent="0.25">
      <c r="A1063" s="16" t="s">
        <v>14165</v>
      </c>
    </row>
    <row r="1064" spans="1:1" x14ac:dyDescent="0.25">
      <c r="A1064" s="16" t="s">
        <v>14166</v>
      </c>
    </row>
    <row r="1065" spans="1:1" x14ac:dyDescent="0.25">
      <c r="A1065" s="16" t="s">
        <v>14167</v>
      </c>
    </row>
    <row r="1066" spans="1:1" x14ac:dyDescent="0.25">
      <c r="A1066" s="16" t="s">
        <v>14168</v>
      </c>
    </row>
    <row r="1067" spans="1:1" x14ac:dyDescent="0.25">
      <c r="A1067" s="16" t="s">
        <v>14169</v>
      </c>
    </row>
    <row r="1068" spans="1:1" x14ac:dyDescent="0.25">
      <c r="A1068" s="16" t="s">
        <v>14170</v>
      </c>
    </row>
    <row r="1069" spans="1:1" x14ac:dyDescent="0.25">
      <c r="A1069" s="16" t="s">
        <v>14171</v>
      </c>
    </row>
    <row r="1070" spans="1:1" x14ac:dyDescent="0.25">
      <c r="A1070" s="16" t="s">
        <v>14172</v>
      </c>
    </row>
    <row r="1071" spans="1:1" x14ac:dyDescent="0.25">
      <c r="A1071" s="16" t="s">
        <v>14173</v>
      </c>
    </row>
    <row r="1072" spans="1:1" x14ac:dyDescent="0.25">
      <c r="A1072" s="16" t="s">
        <v>14174</v>
      </c>
    </row>
    <row r="1073" spans="1:1" x14ac:dyDescent="0.25">
      <c r="A1073" s="16" t="s">
        <v>14175</v>
      </c>
    </row>
    <row r="1074" spans="1:1" x14ac:dyDescent="0.25">
      <c r="A1074" s="16" t="s">
        <v>14176</v>
      </c>
    </row>
    <row r="1075" spans="1:1" x14ac:dyDescent="0.25">
      <c r="A1075" s="16" t="s">
        <v>14177</v>
      </c>
    </row>
    <row r="1076" spans="1:1" x14ac:dyDescent="0.25">
      <c r="A1076" s="16" t="s">
        <v>14178</v>
      </c>
    </row>
    <row r="1077" spans="1:1" x14ac:dyDescent="0.25">
      <c r="A1077" s="16" t="s">
        <v>14179</v>
      </c>
    </row>
    <row r="1078" spans="1:1" x14ac:dyDescent="0.25">
      <c r="A1078" s="16" t="s">
        <v>14180</v>
      </c>
    </row>
    <row r="1079" spans="1:1" x14ac:dyDescent="0.25">
      <c r="A1079" s="16" t="s">
        <v>14181</v>
      </c>
    </row>
    <row r="1080" spans="1:1" x14ac:dyDescent="0.25">
      <c r="A1080" s="16" t="s">
        <v>14182</v>
      </c>
    </row>
    <row r="1081" spans="1:1" x14ac:dyDescent="0.25">
      <c r="A1081" s="16" t="s">
        <v>14183</v>
      </c>
    </row>
    <row r="1082" spans="1:1" x14ac:dyDescent="0.25">
      <c r="A1082" s="16" t="s">
        <v>14184</v>
      </c>
    </row>
    <row r="1083" spans="1:1" x14ac:dyDescent="0.25">
      <c r="A1083" s="16" t="s">
        <v>14185</v>
      </c>
    </row>
    <row r="1084" spans="1:1" x14ac:dyDescent="0.25">
      <c r="A1084" s="16" t="s">
        <v>14186</v>
      </c>
    </row>
    <row r="1085" spans="1:1" x14ac:dyDescent="0.25">
      <c r="A1085" s="16" t="s">
        <v>14187</v>
      </c>
    </row>
    <row r="1086" spans="1:1" x14ac:dyDescent="0.25">
      <c r="A1086" s="16" t="s">
        <v>14188</v>
      </c>
    </row>
    <row r="1087" spans="1:1" x14ac:dyDescent="0.25">
      <c r="A1087" s="16" t="s">
        <v>14189</v>
      </c>
    </row>
    <row r="1088" spans="1:1" x14ac:dyDescent="0.25">
      <c r="A1088" s="16" t="s">
        <v>14190</v>
      </c>
    </row>
    <row r="1089" spans="1:1" x14ac:dyDescent="0.25">
      <c r="A1089" s="16" t="s">
        <v>14191</v>
      </c>
    </row>
    <row r="1090" spans="1:1" x14ac:dyDescent="0.25">
      <c r="A1090" s="16" t="s">
        <v>14192</v>
      </c>
    </row>
    <row r="1091" spans="1:1" x14ac:dyDescent="0.25">
      <c r="A1091" s="16" t="s">
        <v>14193</v>
      </c>
    </row>
    <row r="1092" spans="1:1" x14ac:dyDescent="0.25">
      <c r="A1092" s="16" t="s">
        <v>14194</v>
      </c>
    </row>
    <row r="1093" spans="1:1" x14ac:dyDescent="0.25">
      <c r="A1093" s="16" t="s">
        <v>14195</v>
      </c>
    </row>
    <row r="1094" spans="1:1" x14ac:dyDescent="0.25">
      <c r="A1094" s="16" t="s">
        <v>14196</v>
      </c>
    </row>
    <row r="1095" spans="1:1" x14ac:dyDescent="0.25">
      <c r="A1095" s="16" t="s">
        <v>14197</v>
      </c>
    </row>
    <row r="1096" spans="1:1" x14ac:dyDescent="0.25">
      <c r="A1096" s="16" t="s">
        <v>14198</v>
      </c>
    </row>
    <row r="1097" spans="1:1" x14ac:dyDescent="0.25">
      <c r="A1097" s="16" t="s">
        <v>14199</v>
      </c>
    </row>
    <row r="1098" spans="1:1" x14ac:dyDescent="0.25">
      <c r="A1098" s="16" t="s">
        <v>14200</v>
      </c>
    </row>
    <row r="1099" spans="1:1" x14ac:dyDescent="0.25">
      <c r="A1099" s="16" t="s">
        <v>14201</v>
      </c>
    </row>
    <row r="1100" spans="1:1" x14ac:dyDescent="0.25">
      <c r="A1100" s="16" t="s">
        <v>14202</v>
      </c>
    </row>
    <row r="1101" spans="1:1" x14ac:dyDescent="0.25">
      <c r="A1101" s="16" t="s">
        <v>14203</v>
      </c>
    </row>
    <row r="1102" spans="1:1" x14ac:dyDescent="0.25">
      <c r="A1102" s="16" t="s">
        <v>14204</v>
      </c>
    </row>
    <row r="1103" spans="1:1" x14ac:dyDescent="0.25">
      <c r="A1103" s="16" t="s">
        <v>14205</v>
      </c>
    </row>
    <row r="1104" spans="1:1" x14ac:dyDescent="0.25">
      <c r="A1104" s="16" t="s">
        <v>14206</v>
      </c>
    </row>
    <row r="1105" spans="1:1" x14ac:dyDescent="0.25">
      <c r="A1105" s="16" t="s">
        <v>14207</v>
      </c>
    </row>
    <row r="1106" spans="1:1" x14ac:dyDescent="0.25">
      <c r="A1106" s="16" t="s">
        <v>14208</v>
      </c>
    </row>
    <row r="1107" spans="1:1" x14ac:dyDescent="0.25">
      <c r="A1107" s="16" t="s">
        <v>14209</v>
      </c>
    </row>
    <row r="1108" spans="1:1" x14ac:dyDescent="0.25">
      <c r="A1108" s="16" t="s">
        <v>14210</v>
      </c>
    </row>
    <row r="1109" spans="1:1" x14ac:dyDescent="0.25">
      <c r="A1109" s="16" t="s">
        <v>14211</v>
      </c>
    </row>
    <row r="1110" spans="1:1" x14ac:dyDescent="0.25">
      <c r="A1110" s="16" t="s">
        <v>14212</v>
      </c>
    </row>
    <row r="1111" spans="1:1" x14ac:dyDescent="0.25">
      <c r="A1111" s="16" t="s">
        <v>14213</v>
      </c>
    </row>
    <row r="1112" spans="1:1" x14ac:dyDescent="0.25">
      <c r="A1112" s="16" t="s">
        <v>14214</v>
      </c>
    </row>
    <row r="1113" spans="1:1" x14ac:dyDescent="0.25">
      <c r="A1113" s="16" t="s">
        <v>14215</v>
      </c>
    </row>
    <row r="1114" spans="1:1" x14ac:dyDescent="0.25">
      <c r="A1114" s="16" t="s">
        <v>14216</v>
      </c>
    </row>
    <row r="1115" spans="1:1" x14ac:dyDescent="0.25">
      <c r="A1115" s="16" t="s">
        <v>14217</v>
      </c>
    </row>
    <row r="1116" spans="1:1" x14ac:dyDescent="0.25">
      <c r="A1116" s="16" t="s">
        <v>14218</v>
      </c>
    </row>
    <row r="1117" spans="1:1" x14ac:dyDescent="0.25">
      <c r="A1117" s="16" t="s">
        <v>14219</v>
      </c>
    </row>
    <row r="1118" spans="1:1" x14ac:dyDescent="0.25">
      <c r="A1118" s="16" t="s">
        <v>14220</v>
      </c>
    </row>
    <row r="1119" spans="1:1" x14ac:dyDescent="0.25">
      <c r="A1119" s="16" t="s">
        <v>14221</v>
      </c>
    </row>
    <row r="1120" spans="1:1" x14ac:dyDescent="0.25">
      <c r="A1120" s="16" t="s">
        <v>14222</v>
      </c>
    </row>
    <row r="1121" spans="1:1" x14ac:dyDescent="0.25">
      <c r="A1121" s="16" t="s">
        <v>14223</v>
      </c>
    </row>
    <row r="1122" spans="1:1" x14ac:dyDescent="0.25">
      <c r="A1122" s="16" t="s">
        <v>14224</v>
      </c>
    </row>
    <row r="1123" spans="1:1" x14ac:dyDescent="0.25">
      <c r="A1123" s="16" t="s">
        <v>14225</v>
      </c>
    </row>
    <row r="1124" spans="1:1" x14ac:dyDescent="0.25">
      <c r="A1124" s="16" t="s">
        <v>14226</v>
      </c>
    </row>
    <row r="1125" spans="1:1" x14ac:dyDescent="0.25">
      <c r="A1125" s="16" t="s">
        <v>14227</v>
      </c>
    </row>
    <row r="1126" spans="1:1" x14ac:dyDescent="0.25">
      <c r="A1126" s="16" t="s">
        <v>14228</v>
      </c>
    </row>
    <row r="1127" spans="1:1" x14ac:dyDescent="0.25">
      <c r="A1127" s="16" t="s">
        <v>14229</v>
      </c>
    </row>
    <row r="1128" spans="1:1" x14ac:dyDescent="0.25">
      <c r="A1128" s="16" t="s">
        <v>14230</v>
      </c>
    </row>
    <row r="1129" spans="1:1" x14ac:dyDescent="0.25">
      <c r="A1129" s="16" t="s">
        <v>14231</v>
      </c>
    </row>
    <row r="1130" spans="1:1" x14ac:dyDescent="0.25">
      <c r="A1130" s="16" t="s">
        <v>14232</v>
      </c>
    </row>
    <row r="1131" spans="1:1" x14ac:dyDescent="0.25">
      <c r="A1131" s="16" t="s">
        <v>14233</v>
      </c>
    </row>
    <row r="1132" spans="1:1" x14ac:dyDescent="0.25">
      <c r="A1132" s="16" t="s">
        <v>14234</v>
      </c>
    </row>
    <row r="1133" spans="1:1" x14ac:dyDescent="0.25">
      <c r="A1133" s="16" t="s">
        <v>14235</v>
      </c>
    </row>
    <row r="1134" spans="1:1" x14ac:dyDescent="0.25">
      <c r="A1134" s="16" t="s">
        <v>14236</v>
      </c>
    </row>
    <row r="1135" spans="1:1" x14ac:dyDescent="0.25">
      <c r="A1135" s="16" t="s">
        <v>14237</v>
      </c>
    </row>
    <row r="1136" spans="1:1" x14ac:dyDescent="0.25">
      <c r="A1136" s="16" t="s">
        <v>14238</v>
      </c>
    </row>
    <row r="1137" spans="1:1" x14ac:dyDescent="0.25">
      <c r="A1137" s="16" t="s">
        <v>14239</v>
      </c>
    </row>
    <row r="1138" spans="1:1" x14ac:dyDescent="0.25">
      <c r="A1138" s="16" t="s">
        <v>14240</v>
      </c>
    </row>
    <row r="1139" spans="1:1" x14ac:dyDescent="0.25">
      <c r="A1139" s="16" t="s">
        <v>14241</v>
      </c>
    </row>
    <row r="1140" spans="1:1" x14ac:dyDescent="0.25">
      <c r="A1140" s="16" t="s">
        <v>14242</v>
      </c>
    </row>
    <row r="1141" spans="1:1" x14ac:dyDescent="0.25">
      <c r="A1141" s="16" t="s">
        <v>14243</v>
      </c>
    </row>
    <row r="1142" spans="1:1" x14ac:dyDescent="0.25">
      <c r="A1142" s="16" t="s">
        <v>14244</v>
      </c>
    </row>
    <row r="1143" spans="1:1" x14ac:dyDescent="0.25">
      <c r="A1143" s="16" t="s">
        <v>14245</v>
      </c>
    </row>
    <row r="1144" spans="1:1" x14ac:dyDescent="0.25">
      <c r="A1144" s="16" t="s">
        <v>14246</v>
      </c>
    </row>
    <row r="1145" spans="1:1" x14ac:dyDescent="0.25">
      <c r="A1145" s="16" t="s">
        <v>14247</v>
      </c>
    </row>
    <row r="1146" spans="1:1" x14ac:dyDescent="0.25">
      <c r="A1146" s="16" t="s">
        <v>14248</v>
      </c>
    </row>
    <row r="1147" spans="1:1" x14ac:dyDescent="0.25">
      <c r="A1147" s="16" t="s">
        <v>14249</v>
      </c>
    </row>
    <row r="1148" spans="1:1" x14ac:dyDescent="0.25">
      <c r="A1148" s="16" t="s">
        <v>14250</v>
      </c>
    </row>
    <row r="1149" spans="1:1" x14ac:dyDescent="0.25">
      <c r="A1149" s="16" t="s">
        <v>14251</v>
      </c>
    </row>
    <row r="1150" spans="1:1" x14ac:dyDescent="0.25">
      <c r="A1150" s="16" t="s">
        <v>14252</v>
      </c>
    </row>
    <row r="1151" spans="1:1" x14ac:dyDescent="0.25">
      <c r="A1151" s="16" t="s">
        <v>14253</v>
      </c>
    </row>
    <row r="1152" spans="1:1" x14ac:dyDescent="0.25">
      <c r="A1152" s="16" t="s">
        <v>14254</v>
      </c>
    </row>
    <row r="1153" spans="1:1" x14ac:dyDescent="0.25">
      <c r="A1153" s="16" t="s">
        <v>14255</v>
      </c>
    </row>
    <row r="1154" spans="1:1" x14ac:dyDescent="0.25">
      <c r="A1154" s="16" t="s">
        <v>14256</v>
      </c>
    </row>
    <row r="1155" spans="1:1" x14ac:dyDescent="0.25">
      <c r="A1155" s="16" t="s">
        <v>14257</v>
      </c>
    </row>
    <row r="1156" spans="1:1" x14ac:dyDescent="0.25">
      <c r="A1156" s="16" t="s">
        <v>14258</v>
      </c>
    </row>
    <row r="1157" spans="1:1" x14ac:dyDescent="0.25">
      <c r="A1157" s="16" t="s">
        <v>14259</v>
      </c>
    </row>
    <row r="1158" spans="1:1" x14ac:dyDescent="0.25">
      <c r="A1158" s="16" t="s">
        <v>14260</v>
      </c>
    </row>
    <row r="1159" spans="1:1" x14ac:dyDescent="0.25">
      <c r="A1159" s="16" t="s">
        <v>14261</v>
      </c>
    </row>
    <row r="1160" spans="1:1" x14ac:dyDescent="0.25">
      <c r="A1160" s="16" t="s">
        <v>14262</v>
      </c>
    </row>
    <row r="1161" spans="1:1" x14ac:dyDescent="0.25">
      <c r="A1161" s="16" t="s">
        <v>14263</v>
      </c>
    </row>
    <row r="1162" spans="1:1" x14ac:dyDescent="0.25">
      <c r="A1162" s="16" t="s">
        <v>14264</v>
      </c>
    </row>
    <row r="1163" spans="1:1" x14ac:dyDescent="0.25">
      <c r="A1163" s="16" t="s">
        <v>14265</v>
      </c>
    </row>
    <row r="1164" spans="1:1" x14ac:dyDescent="0.25">
      <c r="A1164" s="16" t="s">
        <v>14266</v>
      </c>
    </row>
    <row r="1165" spans="1:1" x14ac:dyDescent="0.25">
      <c r="A1165" s="16" t="s">
        <v>14267</v>
      </c>
    </row>
    <row r="1166" spans="1:1" x14ac:dyDescent="0.25">
      <c r="A1166" s="16" t="s">
        <v>14268</v>
      </c>
    </row>
    <row r="1167" spans="1:1" x14ac:dyDescent="0.25">
      <c r="A1167" s="16" t="s">
        <v>14269</v>
      </c>
    </row>
    <row r="1168" spans="1:1" x14ac:dyDescent="0.25">
      <c r="A1168" s="16" t="s">
        <v>14270</v>
      </c>
    </row>
    <row r="1169" spans="1:1" x14ac:dyDescent="0.25">
      <c r="A1169" s="16" t="s">
        <v>14271</v>
      </c>
    </row>
    <row r="1170" spans="1:1" x14ac:dyDescent="0.25">
      <c r="A1170" s="16" t="s">
        <v>14272</v>
      </c>
    </row>
    <row r="1171" spans="1:1" x14ac:dyDescent="0.25">
      <c r="A1171" s="16" t="s">
        <v>14273</v>
      </c>
    </row>
    <row r="1172" spans="1:1" x14ac:dyDescent="0.25">
      <c r="A1172" s="16" t="s">
        <v>14274</v>
      </c>
    </row>
    <row r="1173" spans="1:1" x14ac:dyDescent="0.25">
      <c r="A1173" s="16" t="s">
        <v>14275</v>
      </c>
    </row>
    <row r="1174" spans="1:1" x14ac:dyDescent="0.25">
      <c r="A1174" s="16" t="s">
        <v>14276</v>
      </c>
    </row>
    <row r="1175" spans="1:1" x14ac:dyDescent="0.25">
      <c r="A1175" s="16" t="s">
        <v>14277</v>
      </c>
    </row>
    <row r="1176" spans="1:1" x14ac:dyDescent="0.25">
      <c r="A1176" s="16" t="s">
        <v>14278</v>
      </c>
    </row>
    <row r="1177" spans="1:1" x14ac:dyDescent="0.25">
      <c r="A1177" s="16" t="s">
        <v>14279</v>
      </c>
    </row>
    <row r="1178" spans="1:1" x14ac:dyDescent="0.25">
      <c r="A1178" s="16" t="s">
        <v>14280</v>
      </c>
    </row>
    <row r="1179" spans="1:1" x14ac:dyDescent="0.25">
      <c r="A1179" s="16" t="s">
        <v>14281</v>
      </c>
    </row>
    <row r="1180" spans="1:1" x14ac:dyDescent="0.25">
      <c r="A1180" s="16" t="s">
        <v>14282</v>
      </c>
    </row>
    <row r="1181" spans="1:1" x14ac:dyDescent="0.25">
      <c r="A1181" s="16" t="s">
        <v>14283</v>
      </c>
    </row>
    <row r="1182" spans="1:1" x14ac:dyDescent="0.25">
      <c r="A1182" s="16" t="s">
        <v>14284</v>
      </c>
    </row>
    <row r="1183" spans="1:1" x14ac:dyDescent="0.25">
      <c r="A1183" s="16" t="s">
        <v>14285</v>
      </c>
    </row>
    <row r="1184" spans="1:1" x14ac:dyDescent="0.25">
      <c r="A1184" s="16" t="s">
        <v>14286</v>
      </c>
    </row>
    <row r="1185" spans="1:1" x14ac:dyDescent="0.25">
      <c r="A1185" s="16" t="s">
        <v>14287</v>
      </c>
    </row>
    <row r="1186" spans="1:1" x14ac:dyDescent="0.25">
      <c r="A1186" s="16" t="s">
        <v>14288</v>
      </c>
    </row>
    <row r="1187" spans="1:1" x14ac:dyDescent="0.25">
      <c r="A1187" s="16" t="s">
        <v>14289</v>
      </c>
    </row>
    <row r="1188" spans="1:1" x14ac:dyDescent="0.25">
      <c r="A1188" s="16" t="s">
        <v>14290</v>
      </c>
    </row>
    <row r="1189" spans="1:1" x14ac:dyDescent="0.25">
      <c r="A1189" s="16" t="s">
        <v>14291</v>
      </c>
    </row>
    <row r="1190" spans="1:1" x14ac:dyDescent="0.25">
      <c r="A1190" s="16" t="s">
        <v>14292</v>
      </c>
    </row>
    <row r="1191" spans="1:1" x14ac:dyDescent="0.25">
      <c r="A1191" s="16" t="s">
        <v>14293</v>
      </c>
    </row>
    <row r="1192" spans="1:1" x14ac:dyDescent="0.25">
      <c r="A1192" s="16" t="s">
        <v>14294</v>
      </c>
    </row>
    <row r="1193" spans="1:1" x14ac:dyDescent="0.25">
      <c r="A1193" s="16" t="s">
        <v>14295</v>
      </c>
    </row>
    <row r="1194" spans="1:1" x14ac:dyDescent="0.25">
      <c r="A1194" s="16" t="s">
        <v>14296</v>
      </c>
    </row>
    <row r="1195" spans="1:1" x14ac:dyDescent="0.25">
      <c r="A1195" s="16" t="s">
        <v>14297</v>
      </c>
    </row>
    <row r="1196" spans="1:1" x14ac:dyDescent="0.25">
      <c r="A1196" s="16" t="s">
        <v>14298</v>
      </c>
    </row>
    <row r="1197" spans="1:1" x14ac:dyDescent="0.25">
      <c r="A1197" s="16" t="s">
        <v>14299</v>
      </c>
    </row>
    <row r="1198" spans="1:1" x14ac:dyDescent="0.25">
      <c r="A1198" s="16" t="s">
        <v>14300</v>
      </c>
    </row>
    <row r="1199" spans="1:1" x14ac:dyDescent="0.25">
      <c r="A1199" s="16" t="s">
        <v>14301</v>
      </c>
    </row>
    <row r="1200" spans="1:1" x14ac:dyDescent="0.25">
      <c r="A1200" s="16" t="s">
        <v>14302</v>
      </c>
    </row>
    <row r="1201" spans="1:1" x14ac:dyDescent="0.25">
      <c r="A1201" s="16" t="s">
        <v>14303</v>
      </c>
    </row>
    <row r="1202" spans="1:1" x14ac:dyDescent="0.25">
      <c r="A1202" s="16" t="s">
        <v>14304</v>
      </c>
    </row>
    <row r="1203" spans="1:1" x14ac:dyDescent="0.25">
      <c r="A1203" s="16" t="s">
        <v>14305</v>
      </c>
    </row>
    <row r="1204" spans="1:1" x14ac:dyDescent="0.25">
      <c r="A1204" s="16" t="s">
        <v>14306</v>
      </c>
    </row>
    <row r="1205" spans="1:1" x14ac:dyDescent="0.25">
      <c r="A1205" s="16" t="s">
        <v>14307</v>
      </c>
    </row>
    <row r="1206" spans="1:1" x14ac:dyDescent="0.25">
      <c r="A1206" s="16" t="s">
        <v>14308</v>
      </c>
    </row>
    <row r="1207" spans="1:1" x14ac:dyDescent="0.25">
      <c r="A1207" s="16" t="s">
        <v>14309</v>
      </c>
    </row>
    <row r="1208" spans="1:1" x14ac:dyDescent="0.25">
      <c r="A1208" s="16" t="s">
        <v>14310</v>
      </c>
    </row>
    <row r="1209" spans="1:1" x14ac:dyDescent="0.25">
      <c r="A1209" s="16" t="s">
        <v>14311</v>
      </c>
    </row>
    <row r="1210" spans="1:1" x14ac:dyDescent="0.25">
      <c r="A1210" s="16" t="s">
        <v>14312</v>
      </c>
    </row>
    <row r="1211" spans="1:1" x14ac:dyDescent="0.25">
      <c r="A1211" s="16" t="s">
        <v>14313</v>
      </c>
    </row>
    <row r="1212" spans="1:1" x14ac:dyDescent="0.25">
      <c r="A1212" s="16" t="s">
        <v>14314</v>
      </c>
    </row>
    <row r="1213" spans="1:1" x14ac:dyDescent="0.25">
      <c r="A1213" s="16" t="s">
        <v>14315</v>
      </c>
    </row>
    <row r="1214" spans="1:1" x14ac:dyDescent="0.25">
      <c r="A1214" s="16" t="s">
        <v>14316</v>
      </c>
    </row>
    <row r="1215" spans="1:1" x14ac:dyDescent="0.25">
      <c r="A1215" s="16" t="s">
        <v>14317</v>
      </c>
    </row>
    <row r="1216" spans="1:1" x14ac:dyDescent="0.25">
      <c r="A1216" s="16" t="s">
        <v>14318</v>
      </c>
    </row>
    <row r="1217" spans="1:1" x14ac:dyDescent="0.25">
      <c r="A1217" s="16" t="s">
        <v>14319</v>
      </c>
    </row>
    <row r="1218" spans="1:1" x14ac:dyDescent="0.25">
      <c r="A1218" s="16" t="s">
        <v>14320</v>
      </c>
    </row>
    <row r="1219" spans="1:1" x14ac:dyDescent="0.25">
      <c r="A1219" s="16" t="s">
        <v>14321</v>
      </c>
    </row>
    <row r="1220" spans="1:1" x14ac:dyDescent="0.25">
      <c r="A1220" s="16" t="s">
        <v>14322</v>
      </c>
    </row>
    <row r="1221" spans="1:1" x14ac:dyDescent="0.25">
      <c r="A1221" s="16" t="s">
        <v>14323</v>
      </c>
    </row>
    <row r="1222" spans="1:1" x14ac:dyDescent="0.25">
      <c r="A1222" s="16" t="s">
        <v>14324</v>
      </c>
    </row>
    <row r="1223" spans="1:1" x14ac:dyDescent="0.25">
      <c r="A1223" s="16" t="s">
        <v>14325</v>
      </c>
    </row>
    <row r="1224" spans="1:1" x14ac:dyDescent="0.25">
      <c r="A1224" s="16" t="s">
        <v>14326</v>
      </c>
    </row>
    <row r="1225" spans="1:1" x14ac:dyDescent="0.25">
      <c r="A1225" s="16" t="s">
        <v>14327</v>
      </c>
    </row>
    <row r="1226" spans="1:1" x14ac:dyDescent="0.25">
      <c r="A1226" s="16" t="s">
        <v>14328</v>
      </c>
    </row>
    <row r="1227" spans="1:1" x14ac:dyDescent="0.25">
      <c r="A1227" s="16" t="s">
        <v>14329</v>
      </c>
    </row>
    <row r="1228" spans="1:1" x14ac:dyDescent="0.25">
      <c r="A1228" s="16" t="s">
        <v>14330</v>
      </c>
    </row>
    <row r="1229" spans="1:1" x14ac:dyDescent="0.25">
      <c r="A1229" s="16" t="s">
        <v>14331</v>
      </c>
    </row>
    <row r="1230" spans="1:1" x14ac:dyDescent="0.25">
      <c r="A1230" s="16" t="s">
        <v>14332</v>
      </c>
    </row>
    <row r="1231" spans="1:1" x14ac:dyDescent="0.25">
      <c r="A1231" s="16" t="s">
        <v>14333</v>
      </c>
    </row>
    <row r="1232" spans="1:1" x14ac:dyDescent="0.25">
      <c r="A1232" s="16" t="s">
        <v>14334</v>
      </c>
    </row>
    <row r="1233" spans="1:1" x14ac:dyDescent="0.25">
      <c r="A1233" s="16" t="s">
        <v>14335</v>
      </c>
    </row>
    <row r="1234" spans="1:1" x14ac:dyDescent="0.25">
      <c r="A1234" s="16" t="s">
        <v>14336</v>
      </c>
    </row>
    <row r="1235" spans="1:1" x14ac:dyDescent="0.25">
      <c r="A1235" s="16" t="s">
        <v>14337</v>
      </c>
    </row>
    <row r="1236" spans="1:1" x14ac:dyDescent="0.25">
      <c r="A1236" s="16" t="s">
        <v>14338</v>
      </c>
    </row>
    <row r="1237" spans="1:1" x14ac:dyDescent="0.25">
      <c r="A1237" s="16" t="s">
        <v>14339</v>
      </c>
    </row>
    <row r="1238" spans="1:1" x14ac:dyDescent="0.25">
      <c r="A1238" s="16" t="s">
        <v>14340</v>
      </c>
    </row>
    <row r="1239" spans="1:1" x14ac:dyDescent="0.25">
      <c r="A1239" s="16" t="s">
        <v>14341</v>
      </c>
    </row>
    <row r="1240" spans="1:1" x14ac:dyDescent="0.25">
      <c r="A1240" s="16" t="s">
        <v>14342</v>
      </c>
    </row>
    <row r="1241" spans="1:1" x14ac:dyDescent="0.25">
      <c r="A1241" s="16" t="s">
        <v>14343</v>
      </c>
    </row>
    <row r="1242" spans="1:1" x14ac:dyDescent="0.25">
      <c r="A1242" s="16" t="s">
        <v>14344</v>
      </c>
    </row>
    <row r="1243" spans="1:1" x14ac:dyDescent="0.25">
      <c r="A1243" s="16" t="s">
        <v>14345</v>
      </c>
    </row>
    <row r="1244" spans="1:1" x14ac:dyDescent="0.25">
      <c r="A1244" s="16" t="s">
        <v>14346</v>
      </c>
    </row>
    <row r="1245" spans="1:1" x14ac:dyDescent="0.25">
      <c r="A1245" s="16" t="s">
        <v>14347</v>
      </c>
    </row>
    <row r="1246" spans="1:1" x14ac:dyDescent="0.25">
      <c r="A1246" s="16" t="s">
        <v>14348</v>
      </c>
    </row>
    <row r="1247" spans="1:1" x14ac:dyDescent="0.25">
      <c r="A1247" s="16" t="s">
        <v>14349</v>
      </c>
    </row>
    <row r="1248" spans="1:1" x14ac:dyDescent="0.25">
      <c r="A1248" s="16" t="s">
        <v>14350</v>
      </c>
    </row>
    <row r="1249" spans="1:1" x14ac:dyDescent="0.25">
      <c r="A1249" s="16" t="s">
        <v>14351</v>
      </c>
    </row>
    <row r="1250" spans="1:1" x14ac:dyDescent="0.25">
      <c r="A1250" s="16" t="s">
        <v>14352</v>
      </c>
    </row>
    <row r="1251" spans="1:1" x14ac:dyDescent="0.25">
      <c r="A1251" s="16" t="s">
        <v>14353</v>
      </c>
    </row>
    <row r="1252" spans="1:1" x14ac:dyDescent="0.25">
      <c r="A1252" s="16" t="s">
        <v>14354</v>
      </c>
    </row>
    <row r="1253" spans="1:1" x14ac:dyDescent="0.25">
      <c r="A1253" s="16" t="s">
        <v>14355</v>
      </c>
    </row>
    <row r="1254" spans="1:1" x14ac:dyDescent="0.25">
      <c r="A1254" s="16" t="s">
        <v>14356</v>
      </c>
    </row>
    <row r="1255" spans="1:1" x14ac:dyDescent="0.25">
      <c r="A1255" s="16" t="s">
        <v>14357</v>
      </c>
    </row>
    <row r="1256" spans="1:1" x14ac:dyDescent="0.25">
      <c r="A1256" s="16" t="s">
        <v>14358</v>
      </c>
    </row>
    <row r="1257" spans="1:1" x14ac:dyDescent="0.25">
      <c r="A1257" s="16" t="s">
        <v>14359</v>
      </c>
    </row>
    <row r="1258" spans="1:1" x14ac:dyDescent="0.25">
      <c r="A1258" s="16" t="s">
        <v>14360</v>
      </c>
    </row>
    <row r="1259" spans="1:1" x14ac:dyDescent="0.25">
      <c r="A1259" s="16" t="s">
        <v>14361</v>
      </c>
    </row>
    <row r="1260" spans="1:1" x14ac:dyDescent="0.25">
      <c r="A1260" s="16" t="s">
        <v>14362</v>
      </c>
    </row>
    <row r="1261" spans="1:1" x14ac:dyDescent="0.25">
      <c r="A1261" s="16" t="s">
        <v>14363</v>
      </c>
    </row>
    <row r="1262" spans="1:1" x14ac:dyDescent="0.25">
      <c r="A1262" s="16" t="s">
        <v>14364</v>
      </c>
    </row>
    <row r="1263" spans="1:1" x14ac:dyDescent="0.25">
      <c r="A1263" s="16" t="s">
        <v>14365</v>
      </c>
    </row>
    <row r="1264" spans="1:1" x14ac:dyDescent="0.25">
      <c r="A1264" s="16" t="s">
        <v>14366</v>
      </c>
    </row>
    <row r="1265" spans="1:1" x14ac:dyDescent="0.25">
      <c r="A1265" s="16" t="s">
        <v>14367</v>
      </c>
    </row>
    <row r="1266" spans="1:1" x14ac:dyDescent="0.25">
      <c r="A1266" s="16" t="s">
        <v>14368</v>
      </c>
    </row>
    <row r="1267" spans="1:1" x14ac:dyDescent="0.25">
      <c r="A1267" s="16" t="s">
        <v>14369</v>
      </c>
    </row>
    <row r="1268" spans="1:1" x14ac:dyDescent="0.25">
      <c r="A1268" s="16" t="s">
        <v>14370</v>
      </c>
    </row>
    <row r="1269" spans="1:1" x14ac:dyDescent="0.25">
      <c r="A1269" s="16" t="s">
        <v>14371</v>
      </c>
    </row>
    <row r="1270" spans="1:1" x14ac:dyDescent="0.25">
      <c r="A1270" s="16" t="s">
        <v>14372</v>
      </c>
    </row>
    <row r="1271" spans="1:1" x14ac:dyDescent="0.25">
      <c r="A1271" s="16" t="s">
        <v>14373</v>
      </c>
    </row>
    <row r="1272" spans="1:1" x14ac:dyDescent="0.25">
      <c r="A1272" s="16" t="s">
        <v>14374</v>
      </c>
    </row>
    <row r="1273" spans="1:1" x14ac:dyDescent="0.25">
      <c r="A1273" s="16" t="s">
        <v>14375</v>
      </c>
    </row>
    <row r="1274" spans="1:1" x14ac:dyDescent="0.25">
      <c r="A1274" s="16" t="s">
        <v>14376</v>
      </c>
    </row>
    <row r="1275" spans="1:1" x14ac:dyDescent="0.25">
      <c r="A1275" s="16" t="s">
        <v>14377</v>
      </c>
    </row>
    <row r="1276" spans="1:1" x14ac:dyDescent="0.25">
      <c r="A1276" s="16" t="s">
        <v>14378</v>
      </c>
    </row>
    <row r="1277" spans="1:1" x14ac:dyDescent="0.25">
      <c r="A1277" s="16" t="s">
        <v>14379</v>
      </c>
    </row>
    <row r="1278" spans="1:1" x14ac:dyDescent="0.25">
      <c r="A1278" s="16" t="s">
        <v>14380</v>
      </c>
    </row>
    <row r="1279" spans="1:1" x14ac:dyDescent="0.25">
      <c r="A1279" s="16" t="s">
        <v>14381</v>
      </c>
    </row>
    <row r="1280" spans="1:1" x14ac:dyDescent="0.25">
      <c r="A1280" s="16" t="s">
        <v>14382</v>
      </c>
    </row>
    <row r="1281" spans="1:1" x14ac:dyDescent="0.25">
      <c r="A1281" s="16" t="s">
        <v>14383</v>
      </c>
    </row>
    <row r="1282" spans="1:1" x14ac:dyDescent="0.25">
      <c r="A1282" s="16" t="s">
        <v>14384</v>
      </c>
    </row>
    <row r="1283" spans="1:1" x14ac:dyDescent="0.25">
      <c r="A1283" s="16" t="s">
        <v>14385</v>
      </c>
    </row>
    <row r="1284" spans="1:1" x14ac:dyDescent="0.25">
      <c r="A1284" s="16" t="s">
        <v>14386</v>
      </c>
    </row>
    <row r="1285" spans="1:1" x14ac:dyDescent="0.25">
      <c r="A1285" s="16" t="s">
        <v>14387</v>
      </c>
    </row>
    <row r="1286" spans="1:1" x14ac:dyDescent="0.25">
      <c r="A1286" s="16" t="s">
        <v>14388</v>
      </c>
    </row>
    <row r="1287" spans="1:1" x14ac:dyDescent="0.25">
      <c r="A1287" s="16" t="s">
        <v>14389</v>
      </c>
    </row>
    <row r="1288" spans="1:1" x14ac:dyDescent="0.25">
      <c r="A1288" s="16" t="s">
        <v>14390</v>
      </c>
    </row>
    <row r="1289" spans="1:1" x14ac:dyDescent="0.25">
      <c r="A1289" s="16" t="s">
        <v>14391</v>
      </c>
    </row>
    <row r="1290" spans="1:1" x14ac:dyDescent="0.25">
      <c r="A1290" s="16" t="s">
        <v>14392</v>
      </c>
    </row>
    <row r="1291" spans="1:1" x14ac:dyDescent="0.25">
      <c r="A1291" s="16" t="s">
        <v>14393</v>
      </c>
    </row>
    <row r="1292" spans="1:1" x14ac:dyDescent="0.25">
      <c r="A1292" s="16" t="s">
        <v>14394</v>
      </c>
    </row>
    <row r="1293" spans="1:1" x14ac:dyDescent="0.25">
      <c r="A1293" s="16" t="s">
        <v>14395</v>
      </c>
    </row>
    <row r="1294" spans="1:1" x14ac:dyDescent="0.25">
      <c r="A1294" s="16" t="s">
        <v>14396</v>
      </c>
    </row>
    <row r="1295" spans="1:1" x14ac:dyDescent="0.25">
      <c r="A1295" s="16" t="s">
        <v>14397</v>
      </c>
    </row>
    <row r="1296" spans="1:1" x14ac:dyDescent="0.25">
      <c r="A1296" s="16" t="s">
        <v>14398</v>
      </c>
    </row>
    <row r="1297" spans="1:1" x14ac:dyDescent="0.25">
      <c r="A1297" s="16" t="s">
        <v>14399</v>
      </c>
    </row>
    <row r="1298" spans="1:1" x14ac:dyDescent="0.25">
      <c r="A1298" s="16" t="s">
        <v>14400</v>
      </c>
    </row>
    <row r="1299" spans="1:1" x14ac:dyDescent="0.25">
      <c r="A1299" s="16" t="s">
        <v>14401</v>
      </c>
    </row>
    <row r="1300" spans="1:1" x14ac:dyDescent="0.25">
      <c r="A1300" s="16" t="s">
        <v>14402</v>
      </c>
    </row>
    <row r="1301" spans="1:1" x14ac:dyDescent="0.25">
      <c r="A1301" s="16" t="s">
        <v>14403</v>
      </c>
    </row>
    <row r="1302" spans="1:1" x14ac:dyDescent="0.25">
      <c r="A1302" s="16" t="s">
        <v>14404</v>
      </c>
    </row>
    <row r="1303" spans="1:1" x14ac:dyDescent="0.25">
      <c r="A1303" s="16" t="s">
        <v>14405</v>
      </c>
    </row>
    <row r="1304" spans="1:1" x14ac:dyDescent="0.25">
      <c r="A1304" s="16" t="s">
        <v>14406</v>
      </c>
    </row>
    <row r="1305" spans="1:1" x14ac:dyDescent="0.25">
      <c r="A1305" s="16" t="s">
        <v>14407</v>
      </c>
    </row>
    <row r="1306" spans="1:1" x14ac:dyDescent="0.25">
      <c r="A1306" s="16" t="s">
        <v>14408</v>
      </c>
    </row>
    <row r="1307" spans="1:1" x14ac:dyDescent="0.25">
      <c r="A1307" s="16" t="s">
        <v>14409</v>
      </c>
    </row>
    <row r="1308" spans="1:1" x14ac:dyDescent="0.25">
      <c r="A1308" s="16" t="s">
        <v>14410</v>
      </c>
    </row>
    <row r="1309" spans="1:1" x14ac:dyDescent="0.25">
      <c r="A1309" s="16" t="s">
        <v>14411</v>
      </c>
    </row>
    <row r="1310" spans="1:1" x14ac:dyDescent="0.25">
      <c r="A1310" s="16" t="s">
        <v>14412</v>
      </c>
    </row>
    <row r="1311" spans="1:1" x14ac:dyDescent="0.25">
      <c r="A1311" s="16" t="s">
        <v>14413</v>
      </c>
    </row>
    <row r="1312" spans="1:1" x14ac:dyDescent="0.25">
      <c r="A1312" s="16" t="s">
        <v>14414</v>
      </c>
    </row>
    <row r="1313" spans="1:1" x14ac:dyDescent="0.25">
      <c r="A1313" s="16" t="s">
        <v>14415</v>
      </c>
    </row>
    <row r="1314" spans="1:1" x14ac:dyDescent="0.25">
      <c r="A1314" s="16" t="s">
        <v>14416</v>
      </c>
    </row>
    <row r="1315" spans="1:1" x14ac:dyDescent="0.25">
      <c r="A1315" s="16" t="s">
        <v>14417</v>
      </c>
    </row>
    <row r="1316" spans="1:1" x14ac:dyDescent="0.25">
      <c r="A1316" s="16" t="s">
        <v>14418</v>
      </c>
    </row>
    <row r="1317" spans="1:1" x14ac:dyDescent="0.25">
      <c r="A1317" s="16" t="s">
        <v>14419</v>
      </c>
    </row>
    <row r="1318" spans="1:1" x14ac:dyDescent="0.25">
      <c r="A1318" s="16" t="s">
        <v>14420</v>
      </c>
    </row>
    <row r="1319" spans="1:1" x14ac:dyDescent="0.25">
      <c r="A1319" s="16" t="s">
        <v>14421</v>
      </c>
    </row>
    <row r="1320" spans="1:1" x14ac:dyDescent="0.25">
      <c r="A1320" s="16" t="s">
        <v>14422</v>
      </c>
    </row>
    <row r="1321" spans="1:1" x14ac:dyDescent="0.25">
      <c r="A1321" s="16" t="s">
        <v>14423</v>
      </c>
    </row>
    <row r="1322" spans="1:1" x14ac:dyDescent="0.25">
      <c r="A1322" s="16" t="s">
        <v>14424</v>
      </c>
    </row>
    <row r="1323" spans="1:1" x14ac:dyDescent="0.25">
      <c r="A1323" s="16" t="s">
        <v>14425</v>
      </c>
    </row>
    <row r="1324" spans="1:1" x14ac:dyDescent="0.25">
      <c r="A1324" s="16" t="s">
        <v>14426</v>
      </c>
    </row>
    <row r="1325" spans="1:1" x14ac:dyDescent="0.25">
      <c r="A1325" s="16" t="s">
        <v>14427</v>
      </c>
    </row>
    <row r="1326" spans="1:1" x14ac:dyDescent="0.25">
      <c r="A1326" s="16" t="s">
        <v>14428</v>
      </c>
    </row>
    <row r="1327" spans="1:1" x14ac:dyDescent="0.25">
      <c r="A1327" s="16" t="s">
        <v>14429</v>
      </c>
    </row>
    <row r="1328" spans="1:1" x14ac:dyDescent="0.25">
      <c r="A1328" s="16" t="s">
        <v>14430</v>
      </c>
    </row>
    <row r="1329" spans="1:1" x14ac:dyDescent="0.25">
      <c r="A1329" s="16" t="s">
        <v>14431</v>
      </c>
    </row>
    <row r="1330" spans="1:1" x14ac:dyDescent="0.25">
      <c r="A1330" s="16" t="s">
        <v>14432</v>
      </c>
    </row>
    <row r="1331" spans="1:1" x14ac:dyDescent="0.25">
      <c r="A1331" s="16" t="s">
        <v>14433</v>
      </c>
    </row>
    <row r="1332" spans="1:1" x14ac:dyDescent="0.25">
      <c r="A1332" s="16" t="s">
        <v>14434</v>
      </c>
    </row>
    <row r="1333" spans="1:1" x14ac:dyDescent="0.25">
      <c r="A1333" s="16" t="s">
        <v>14435</v>
      </c>
    </row>
    <row r="1334" spans="1:1" x14ac:dyDescent="0.25">
      <c r="A1334" s="16" t="s">
        <v>14436</v>
      </c>
    </row>
    <row r="1335" spans="1:1" x14ac:dyDescent="0.25">
      <c r="A1335" s="16" t="s">
        <v>14437</v>
      </c>
    </row>
    <row r="1336" spans="1:1" x14ac:dyDescent="0.25">
      <c r="A1336" s="16" t="s">
        <v>14438</v>
      </c>
    </row>
    <row r="1337" spans="1:1" x14ac:dyDescent="0.25">
      <c r="A1337" s="16" t="s">
        <v>14439</v>
      </c>
    </row>
    <row r="1338" spans="1:1" x14ac:dyDescent="0.25">
      <c r="A1338" s="16" t="s">
        <v>14440</v>
      </c>
    </row>
    <row r="1339" spans="1:1" x14ac:dyDescent="0.25">
      <c r="A1339" s="16" t="s">
        <v>14441</v>
      </c>
    </row>
    <row r="1340" spans="1:1" x14ac:dyDescent="0.25">
      <c r="A1340" s="16" t="s">
        <v>14442</v>
      </c>
    </row>
    <row r="1341" spans="1:1" x14ac:dyDescent="0.25">
      <c r="A1341" s="16" t="s">
        <v>14443</v>
      </c>
    </row>
    <row r="1342" spans="1:1" x14ac:dyDescent="0.25">
      <c r="A1342" s="16" t="s">
        <v>14444</v>
      </c>
    </row>
    <row r="1343" spans="1:1" x14ac:dyDescent="0.25">
      <c r="A1343" s="16" t="s">
        <v>14445</v>
      </c>
    </row>
    <row r="1344" spans="1:1" x14ac:dyDescent="0.25">
      <c r="A1344" s="16" t="s">
        <v>14446</v>
      </c>
    </row>
    <row r="1345" spans="1:1" x14ac:dyDescent="0.25">
      <c r="A1345" s="16" t="s">
        <v>14447</v>
      </c>
    </row>
    <row r="1346" spans="1:1" x14ac:dyDescent="0.25">
      <c r="A1346" s="16" t="s">
        <v>14448</v>
      </c>
    </row>
    <row r="1347" spans="1:1" x14ac:dyDescent="0.25">
      <c r="A1347" s="16" t="s">
        <v>14449</v>
      </c>
    </row>
    <row r="1348" spans="1:1" x14ac:dyDescent="0.25">
      <c r="A1348" s="16" t="s">
        <v>14450</v>
      </c>
    </row>
    <row r="1349" spans="1:1" x14ac:dyDescent="0.25">
      <c r="A1349" s="16" t="s">
        <v>14451</v>
      </c>
    </row>
    <row r="1350" spans="1:1" x14ac:dyDescent="0.25">
      <c r="A1350" s="16" t="s">
        <v>14452</v>
      </c>
    </row>
    <row r="1351" spans="1:1" x14ac:dyDescent="0.25">
      <c r="A1351" s="16" t="s">
        <v>14453</v>
      </c>
    </row>
    <row r="1352" spans="1:1" x14ac:dyDescent="0.25">
      <c r="A1352" s="16" t="s">
        <v>14454</v>
      </c>
    </row>
    <row r="1353" spans="1:1" x14ac:dyDescent="0.25">
      <c r="A1353" s="16" t="s">
        <v>14455</v>
      </c>
    </row>
    <row r="1354" spans="1:1" x14ac:dyDescent="0.25">
      <c r="A1354" s="16" t="s">
        <v>14456</v>
      </c>
    </row>
    <row r="1355" spans="1:1" x14ac:dyDescent="0.25">
      <c r="A1355" s="16" t="s">
        <v>14457</v>
      </c>
    </row>
    <row r="1356" spans="1:1" x14ac:dyDescent="0.25">
      <c r="A1356" s="16" t="s">
        <v>14458</v>
      </c>
    </row>
    <row r="1357" spans="1:1" x14ac:dyDescent="0.25">
      <c r="A1357" s="16" t="s">
        <v>14459</v>
      </c>
    </row>
    <row r="1358" spans="1:1" x14ac:dyDescent="0.25">
      <c r="A1358" s="16" t="s">
        <v>14460</v>
      </c>
    </row>
    <row r="1359" spans="1:1" x14ac:dyDescent="0.25">
      <c r="A1359" s="16" t="s">
        <v>14461</v>
      </c>
    </row>
    <row r="1360" spans="1:1" x14ac:dyDescent="0.25">
      <c r="A1360" s="16" t="s">
        <v>14462</v>
      </c>
    </row>
    <row r="1361" spans="1:1" x14ac:dyDescent="0.25">
      <c r="A1361" s="16" t="s">
        <v>14463</v>
      </c>
    </row>
    <row r="1362" spans="1:1" x14ac:dyDescent="0.25">
      <c r="A1362" s="16" t="s">
        <v>14464</v>
      </c>
    </row>
    <row r="1363" spans="1:1" x14ac:dyDescent="0.25">
      <c r="A1363" s="16" t="s">
        <v>14465</v>
      </c>
    </row>
    <row r="1364" spans="1:1" x14ac:dyDescent="0.25">
      <c r="A1364" s="16" t="s">
        <v>14466</v>
      </c>
    </row>
    <row r="1365" spans="1:1" x14ac:dyDescent="0.25">
      <c r="A1365" s="16" t="s">
        <v>14467</v>
      </c>
    </row>
    <row r="1366" spans="1:1" x14ac:dyDescent="0.25">
      <c r="A1366" s="16" t="s">
        <v>14468</v>
      </c>
    </row>
    <row r="1367" spans="1:1" x14ac:dyDescent="0.25">
      <c r="A1367" s="16" t="s">
        <v>14469</v>
      </c>
    </row>
    <row r="1368" spans="1:1" x14ac:dyDescent="0.25">
      <c r="A1368" s="16" t="s">
        <v>14470</v>
      </c>
    </row>
    <row r="1369" spans="1:1" x14ac:dyDescent="0.25">
      <c r="A1369" s="16" t="s">
        <v>14471</v>
      </c>
    </row>
    <row r="1370" spans="1:1" x14ac:dyDescent="0.25">
      <c r="A1370" s="16" t="s">
        <v>14472</v>
      </c>
    </row>
    <row r="1371" spans="1:1" x14ac:dyDescent="0.25">
      <c r="A1371" s="16" t="s">
        <v>14473</v>
      </c>
    </row>
    <row r="1372" spans="1:1" x14ac:dyDescent="0.25">
      <c r="A1372" s="16" t="s">
        <v>14474</v>
      </c>
    </row>
    <row r="1373" spans="1:1" x14ac:dyDescent="0.25">
      <c r="A1373" s="16" t="s">
        <v>14475</v>
      </c>
    </row>
    <row r="1374" spans="1:1" x14ac:dyDescent="0.25">
      <c r="A1374" s="16" t="s">
        <v>14476</v>
      </c>
    </row>
    <row r="1375" spans="1:1" x14ac:dyDescent="0.25">
      <c r="A1375" s="16" t="s">
        <v>14477</v>
      </c>
    </row>
    <row r="1376" spans="1:1" x14ac:dyDescent="0.25">
      <c r="A1376" s="16" t="s">
        <v>14478</v>
      </c>
    </row>
    <row r="1377" spans="1:1" x14ac:dyDescent="0.25">
      <c r="A1377" s="16" t="s">
        <v>14479</v>
      </c>
    </row>
    <row r="1378" spans="1:1" x14ac:dyDescent="0.25">
      <c r="A1378" s="16" t="s">
        <v>14480</v>
      </c>
    </row>
    <row r="1379" spans="1:1" x14ac:dyDescent="0.25">
      <c r="A1379" s="16" t="s">
        <v>14481</v>
      </c>
    </row>
    <row r="1380" spans="1:1" x14ac:dyDescent="0.25">
      <c r="A1380" s="16" t="s">
        <v>14482</v>
      </c>
    </row>
    <row r="1381" spans="1:1" x14ac:dyDescent="0.25">
      <c r="A1381" s="16" t="s">
        <v>14483</v>
      </c>
    </row>
    <row r="1382" spans="1:1" x14ac:dyDescent="0.25">
      <c r="A1382" s="16" t="s">
        <v>14484</v>
      </c>
    </row>
    <row r="1383" spans="1:1" x14ac:dyDescent="0.25">
      <c r="A1383" s="16" t="s">
        <v>14485</v>
      </c>
    </row>
    <row r="1384" spans="1:1" x14ac:dyDescent="0.25">
      <c r="A1384" s="16" t="s">
        <v>14486</v>
      </c>
    </row>
    <row r="1385" spans="1:1" x14ac:dyDescent="0.25">
      <c r="A1385" s="16" t="s">
        <v>14487</v>
      </c>
    </row>
    <row r="1386" spans="1:1" x14ac:dyDescent="0.25">
      <c r="A1386" s="16" t="s">
        <v>14488</v>
      </c>
    </row>
    <row r="1387" spans="1:1" x14ac:dyDescent="0.25">
      <c r="A1387" s="16" t="s">
        <v>14489</v>
      </c>
    </row>
    <row r="1388" spans="1:1" x14ac:dyDescent="0.25">
      <c r="A1388" s="16" t="s">
        <v>14490</v>
      </c>
    </row>
    <row r="1389" spans="1:1" x14ac:dyDescent="0.25">
      <c r="A1389" s="16" t="s">
        <v>14491</v>
      </c>
    </row>
    <row r="1390" spans="1:1" x14ac:dyDescent="0.25">
      <c r="A1390" s="16" t="s">
        <v>14492</v>
      </c>
    </row>
    <row r="1391" spans="1:1" x14ac:dyDescent="0.25">
      <c r="A1391" s="16" t="s">
        <v>14493</v>
      </c>
    </row>
    <row r="1392" spans="1:1" x14ac:dyDescent="0.25">
      <c r="A1392" s="16" t="s">
        <v>14494</v>
      </c>
    </row>
    <row r="1393" spans="1:1" x14ac:dyDescent="0.25">
      <c r="A1393" s="16" t="s">
        <v>14495</v>
      </c>
    </row>
    <row r="1394" spans="1:1" x14ac:dyDescent="0.25">
      <c r="A1394" s="16" t="s">
        <v>14496</v>
      </c>
    </row>
    <row r="1395" spans="1:1" x14ac:dyDescent="0.25">
      <c r="A1395" s="16" t="s">
        <v>14497</v>
      </c>
    </row>
    <row r="1396" spans="1:1" x14ac:dyDescent="0.25">
      <c r="A1396" s="16" t="s">
        <v>14498</v>
      </c>
    </row>
    <row r="1397" spans="1:1" x14ac:dyDescent="0.25">
      <c r="A1397" s="16" t="s">
        <v>14499</v>
      </c>
    </row>
    <row r="1398" spans="1:1" x14ac:dyDescent="0.25">
      <c r="A1398" s="16" t="s">
        <v>14500</v>
      </c>
    </row>
    <row r="1399" spans="1:1" x14ac:dyDescent="0.25">
      <c r="A1399" s="16" t="s">
        <v>14501</v>
      </c>
    </row>
    <row r="1400" spans="1:1" x14ac:dyDescent="0.25">
      <c r="A1400" s="16" t="s">
        <v>14502</v>
      </c>
    </row>
    <row r="1401" spans="1:1" x14ac:dyDescent="0.25">
      <c r="A1401" s="16" t="s">
        <v>14503</v>
      </c>
    </row>
    <row r="1402" spans="1:1" x14ac:dyDescent="0.25">
      <c r="A1402" s="16" t="s">
        <v>14504</v>
      </c>
    </row>
    <row r="1403" spans="1:1" x14ac:dyDescent="0.25">
      <c r="A1403" s="16" t="s">
        <v>14505</v>
      </c>
    </row>
    <row r="1404" spans="1:1" x14ac:dyDescent="0.25">
      <c r="A1404" s="16" t="s">
        <v>14506</v>
      </c>
    </row>
    <row r="1405" spans="1:1" x14ac:dyDescent="0.25">
      <c r="A1405" s="16" t="s">
        <v>14507</v>
      </c>
    </row>
    <row r="1406" spans="1:1" x14ac:dyDescent="0.25">
      <c r="A1406" s="16" t="s">
        <v>14508</v>
      </c>
    </row>
    <row r="1407" spans="1:1" x14ac:dyDescent="0.25">
      <c r="A1407" s="16" t="s">
        <v>14509</v>
      </c>
    </row>
    <row r="1408" spans="1:1" x14ac:dyDescent="0.25">
      <c r="A1408" s="16" t="s">
        <v>14510</v>
      </c>
    </row>
    <row r="1409" spans="1:1" x14ac:dyDescent="0.25">
      <c r="A1409" s="16" t="s">
        <v>14511</v>
      </c>
    </row>
    <row r="1410" spans="1:1" x14ac:dyDescent="0.25">
      <c r="A1410" s="16" t="s">
        <v>14512</v>
      </c>
    </row>
    <row r="1411" spans="1:1" x14ac:dyDescent="0.25">
      <c r="A1411" s="16" t="s">
        <v>14513</v>
      </c>
    </row>
    <row r="1412" spans="1:1" x14ac:dyDescent="0.25">
      <c r="A1412" s="16" t="s">
        <v>14514</v>
      </c>
    </row>
    <row r="1413" spans="1:1" x14ac:dyDescent="0.25">
      <c r="A1413" s="16" t="s">
        <v>14515</v>
      </c>
    </row>
    <row r="1414" spans="1:1" x14ac:dyDescent="0.25">
      <c r="A1414" s="16" t="s">
        <v>14516</v>
      </c>
    </row>
    <row r="1415" spans="1:1" x14ac:dyDescent="0.25">
      <c r="A1415" s="16" t="s">
        <v>14517</v>
      </c>
    </row>
    <row r="1416" spans="1:1" x14ac:dyDescent="0.25">
      <c r="A1416" s="16" t="s">
        <v>14518</v>
      </c>
    </row>
    <row r="1417" spans="1:1" x14ac:dyDescent="0.25">
      <c r="A1417" s="16" t="s">
        <v>14519</v>
      </c>
    </row>
    <row r="1418" spans="1:1" x14ac:dyDescent="0.25">
      <c r="A1418" s="16" t="s">
        <v>14520</v>
      </c>
    </row>
    <row r="1419" spans="1:1" x14ac:dyDescent="0.25">
      <c r="A1419" s="16" t="s">
        <v>14521</v>
      </c>
    </row>
    <row r="1420" spans="1:1" x14ac:dyDescent="0.25">
      <c r="A1420" s="16" t="s">
        <v>14522</v>
      </c>
    </row>
    <row r="1421" spans="1:1" x14ac:dyDescent="0.25">
      <c r="A1421" s="16" t="s">
        <v>14523</v>
      </c>
    </row>
    <row r="1422" spans="1:1" x14ac:dyDescent="0.25">
      <c r="A1422" s="16" t="s">
        <v>14524</v>
      </c>
    </row>
    <row r="1423" spans="1:1" x14ac:dyDescent="0.25">
      <c r="A1423" s="16" t="s">
        <v>14525</v>
      </c>
    </row>
    <row r="1424" spans="1:1" x14ac:dyDescent="0.25">
      <c r="A1424" s="16" t="s">
        <v>14526</v>
      </c>
    </row>
    <row r="1425" spans="1:1" x14ac:dyDescent="0.25">
      <c r="A1425" s="16" t="s">
        <v>14527</v>
      </c>
    </row>
    <row r="1426" spans="1:1" x14ac:dyDescent="0.25">
      <c r="A1426" s="16" t="s">
        <v>14528</v>
      </c>
    </row>
    <row r="1427" spans="1:1" x14ac:dyDescent="0.25">
      <c r="A1427" s="16" t="s">
        <v>14529</v>
      </c>
    </row>
    <row r="1428" spans="1:1" x14ac:dyDescent="0.25">
      <c r="A1428" s="16" t="s">
        <v>14530</v>
      </c>
    </row>
    <row r="1429" spans="1:1" x14ac:dyDescent="0.25">
      <c r="A1429" s="16" t="s">
        <v>14531</v>
      </c>
    </row>
    <row r="1430" spans="1:1" x14ac:dyDescent="0.25">
      <c r="A1430" s="16" t="s">
        <v>14532</v>
      </c>
    </row>
    <row r="1431" spans="1:1" x14ac:dyDescent="0.25">
      <c r="A1431" s="16" t="s">
        <v>14533</v>
      </c>
    </row>
    <row r="1432" spans="1:1" x14ac:dyDescent="0.25">
      <c r="A1432" s="16" t="s">
        <v>14534</v>
      </c>
    </row>
    <row r="1433" spans="1:1" x14ac:dyDescent="0.25">
      <c r="A1433" s="16" t="s">
        <v>14535</v>
      </c>
    </row>
    <row r="1434" spans="1:1" x14ac:dyDescent="0.25">
      <c r="A1434" s="16" t="s">
        <v>14536</v>
      </c>
    </row>
    <row r="1435" spans="1:1" x14ac:dyDescent="0.25">
      <c r="A1435" s="16" t="s">
        <v>14537</v>
      </c>
    </row>
    <row r="1436" spans="1:1" x14ac:dyDescent="0.25">
      <c r="A1436" s="16" t="s">
        <v>14538</v>
      </c>
    </row>
    <row r="1437" spans="1:1" x14ac:dyDescent="0.25">
      <c r="A1437" s="16" t="s">
        <v>14539</v>
      </c>
    </row>
    <row r="1438" spans="1:1" x14ac:dyDescent="0.25">
      <c r="A1438" s="16" t="s">
        <v>14540</v>
      </c>
    </row>
    <row r="1439" spans="1:1" x14ac:dyDescent="0.25">
      <c r="A1439" s="16" t="s">
        <v>14541</v>
      </c>
    </row>
    <row r="1440" spans="1:1" x14ac:dyDescent="0.25">
      <c r="A1440" s="16" t="s">
        <v>14542</v>
      </c>
    </row>
    <row r="1441" spans="1:1" x14ac:dyDescent="0.25">
      <c r="A1441" s="16" t="s">
        <v>14543</v>
      </c>
    </row>
    <row r="1442" spans="1:1" x14ac:dyDescent="0.25">
      <c r="A1442" s="16" t="s">
        <v>14544</v>
      </c>
    </row>
    <row r="1443" spans="1:1" x14ac:dyDescent="0.25">
      <c r="A1443" s="16" t="s">
        <v>14545</v>
      </c>
    </row>
    <row r="1444" spans="1:1" x14ac:dyDescent="0.25">
      <c r="A1444" s="16" t="s">
        <v>14546</v>
      </c>
    </row>
    <row r="1445" spans="1:1" x14ac:dyDescent="0.25">
      <c r="A1445" s="16" t="s">
        <v>14547</v>
      </c>
    </row>
    <row r="1446" spans="1:1" x14ac:dyDescent="0.25">
      <c r="A1446" s="16" t="s">
        <v>14548</v>
      </c>
    </row>
    <row r="1447" spans="1:1" x14ac:dyDescent="0.25">
      <c r="A1447" s="16" t="s">
        <v>14549</v>
      </c>
    </row>
    <row r="1448" spans="1:1" x14ac:dyDescent="0.25">
      <c r="A1448" s="16" t="s">
        <v>14550</v>
      </c>
    </row>
    <row r="1449" spans="1:1" x14ac:dyDescent="0.25">
      <c r="A1449" s="16" t="s">
        <v>14551</v>
      </c>
    </row>
    <row r="1450" spans="1:1" x14ac:dyDescent="0.25">
      <c r="A1450" s="16" t="s">
        <v>14552</v>
      </c>
    </row>
    <row r="1451" spans="1:1" x14ac:dyDescent="0.25">
      <c r="A1451" s="16" t="s">
        <v>14553</v>
      </c>
    </row>
    <row r="1452" spans="1:1" x14ac:dyDescent="0.25">
      <c r="A1452" s="16" t="s">
        <v>14554</v>
      </c>
    </row>
    <row r="1453" spans="1:1" x14ac:dyDescent="0.25">
      <c r="A1453" s="16" t="s">
        <v>14555</v>
      </c>
    </row>
    <row r="1454" spans="1:1" x14ac:dyDescent="0.25">
      <c r="A1454" s="16" t="s">
        <v>14556</v>
      </c>
    </row>
    <row r="1455" spans="1:1" x14ac:dyDescent="0.25">
      <c r="A1455" s="16" t="s">
        <v>14557</v>
      </c>
    </row>
    <row r="1456" spans="1:1" x14ac:dyDescent="0.25">
      <c r="A1456" s="16" t="s">
        <v>14558</v>
      </c>
    </row>
    <row r="1457" spans="1:1" x14ac:dyDescent="0.25">
      <c r="A1457" s="16" t="s">
        <v>14559</v>
      </c>
    </row>
    <row r="1458" spans="1:1" x14ac:dyDescent="0.25">
      <c r="A1458" s="16" t="s">
        <v>14560</v>
      </c>
    </row>
    <row r="1459" spans="1:1" x14ac:dyDescent="0.25">
      <c r="A1459" s="16" t="s">
        <v>14561</v>
      </c>
    </row>
    <row r="1460" spans="1:1" x14ac:dyDescent="0.25">
      <c r="A1460" s="16" t="s">
        <v>14562</v>
      </c>
    </row>
    <row r="1461" spans="1:1" x14ac:dyDescent="0.25">
      <c r="A1461" s="16" t="s">
        <v>14563</v>
      </c>
    </row>
    <row r="1462" spans="1:1" x14ac:dyDescent="0.25">
      <c r="A1462" s="16" t="s">
        <v>14564</v>
      </c>
    </row>
    <row r="1463" spans="1:1" x14ac:dyDescent="0.25">
      <c r="A1463" s="16" t="s">
        <v>14565</v>
      </c>
    </row>
    <row r="1464" spans="1:1" x14ac:dyDescent="0.25">
      <c r="A1464" s="16" t="s">
        <v>14566</v>
      </c>
    </row>
    <row r="1465" spans="1:1" x14ac:dyDescent="0.25">
      <c r="A1465" s="16" t="s">
        <v>14567</v>
      </c>
    </row>
    <row r="1466" spans="1:1" x14ac:dyDescent="0.25">
      <c r="A1466" s="16" t="s">
        <v>14568</v>
      </c>
    </row>
    <row r="1467" spans="1:1" x14ac:dyDescent="0.25">
      <c r="A1467" s="16" t="s">
        <v>14569</v>
      </c>
    </row>
    <row r="1468" spans="1:1" x14ac:dyDescent="0.25">
      <c r="A1468" s="16" t="s">
        <v>14570</v>
      </c>
    </row>
    <row r="1469" spans="1:1" x14ac:dyDescent="0.25">
      <c r="A1469" s="16" t="s">
        <v>14571</v>
      </c>
    </row>
    <row r="1470" spans="1:1" x14ac:dyDescent="0.25">
      <c r="A1470" s="16" t="s">
        <v>14572</v>
      </c>
    </row>
    <row r="1471" spans="1:1" x14ac:dyDescent="0.25">
      <c r="A1471" s="16" t="s">
        <v>14573</v>
      </c>
    </row>
    <row r="1472" spans="1:1" x14ac:dyDescent="0.25">
      <c r="A1472" s="16" t="s">
        <v>14574</v>
      </c>
    </row>
    <row r="1473" spans="1:1" x14ac:dyDescent="0.25">
      <c r="A1473" s="16" t="s">
        <v>14575</v>
      </c>
    </row>
    <row r="1474" spans="1:1" x14ac:dyDescent="0.25">
      <c r="A1474" s="16" t="s">
        <v>14576</v>
      </c>
    </row>
    <row r="1475" spans="1:1" x14ac:dyDescent="0.25">
      <c r="A1475" s="16" t="s">
        <v>14577</v>
      </c>
    </row>
    <row r="1476" spans="1:1" x14ac:dyDescent="0.25">
      <c r="A1476" s="16" t="s">
        <v>14578</v>
      </c>
    </row>
    <row r="1477" spans="1:1" x14ac:dyDescent="0.25">
      <c r="A1477" s="16" t="s">
        <v>14579</v>
      </c>
    </row>
    <row r="1478" spans="1:1" x14ac:dyDescent="0.25">
      <c r="A1478" s="16" t="s">
        <v>14580</v>
      </c>
    </row>
    <row r="1479" spans="1:1" x14ac:dyDescent="0.25">
      <c r="A1479" s="16" t="s">
        <v>14581</v>
      </c>
    </row>
    <row r="1480" spans="1:1" x14ac:dyDescent="0.25">
      <c r="A1480" s="16" t="s">
        <v>14582</v>
      </c>
    </row>
    <row r="1481" spans="1:1" x14ac:dyDescent="0.25">
      <c r="A1481" s="16" t="s">
        <v>14583</v>
      </c>
    </row>
    <row r="1482" spans="1:1" x14ac:dyDescent="0.25">
      <c r="A1482" s="16" t="s">
        <v>14584</v>
      </c>
    </row>
    <row r="1483" spans="1:1" x14ac:dyDescent="0.25">
      <c r="A1483" s="16" t="s">
        <v>14585</v>
      </c>
    </row>
    <row r="1484" spans="1:1" x14ac:dyDescent="0.25">
      <c r="A1484" s="16" t="s">
        <v>14586</v>
      </c>
    </row>
    <row r="1485" spans="1:1" x14ac:dyDescent="0.25">
      <c r="A1485" s="16" t="s">
        <v>14587</v>
      </c>
    </row>
    <row r="1486" spans="1:1" x14ac:dyDescent="0.25">
      <c r="A1486" s="16" t="s">
        <v>14588</v>
      </c>
    </row>
    <row r="1487" spans="1:1" x14ac:dyDescent="0.25">
      <c r="A1487" s="16" t="s">
        <v>14589</v>
      </c>
    </row>
    <row r="1488" spans="1:1" x14ac:dyDescent="0.25">
      <c r="A1488" s="16" t="s">
        <v>14590</v>
      </c>
    </row>
    <row r="1489" spans="1:1" x14ac:dyDescent="0.25">
      <c r="A1489" s="16" t="s">
        <v>14591</v>
      </c>
    </row>
    <row r="1490" spans="1:1" x14ac:dyDescent="0.25">
      <c r="A1490" s="16" t="s">
        <v>14592</v>
      </c>
    </row>
    <row r="1491" spans="1:1" x14ac:dyDescent="0.25">
      <c r="A1491" s="16" t="s">
        <v>14593</v>
      </c>
    </row>
    <row r="1492" spans="1:1" x14ac:dyDescent="0.25">
      <c r="A1492" s="16" t="s">
        <v>14594</v>
      </c>
    </row>
    <row r="1493" spans="1:1" x14ac:dyDescent="0.25">
      <c r="A1493" s="16" t="s">
        <v>14595</v>
      </c>
    </row>
    <row r="1494" spans="1:1" x14ac:dyDescent="0.25">
      <c r="A1494" s="16" t="s">
        <v>14596</v>
      </c>
    </row>
    <row r="1495" spans="1:1" x14ac:dyDescent="0.25">
      <c r="A1495" s="16" t="s">
        <v>14597</v>
      </c>
    </row>
    <row r="1496" spans="1:1" x14ac:dyDescent="0.25">
      <c r="A1496" s="16" t="s">
        <v>14598</v>
      </c>
    </row>
    <row r="1497" spans="1:1" x14ac:dyDescent="0.25">
      <c r="A1497" s="16" t="s">
        <v>14599</v>
      </c>
    </row>
    <row r="1498" spans="1:1" x14ac:dyDescent="0.25">
      <c r="A1498" s="16" t="s">
        <v>14600</v>
      </c>
    </row>
    <row r="1499" spans="1:1" x14ac:dyDescent="0.25">
      <c r="A1499" s="16" t="s">
        <v>14601</v>
      </c>
    </row>
    <row r="1500" spans="1:1" x14ac:dyDescent="0.25">
      <c r="A1500" s="16" t="s">
        <v>14602</v>
      </c>
    </row>
    <row r="1501" spans="1:1" x14ac:dyDescent="0.25">
      <c r="A1501" s="16" t="s">
        <v>14603</v>
      </c>
    </row>
    <row r="1502" spans="1:1" x14ac:dyDescent="0.25">
      <c r="A1502" s="16" t="s">
        <v>14604</v>
      </c>
    </row>
    <row r="1503" spans="1:1" x14ac:dyDescent="0.25">
      <c r="A1503" s="16" t="s">
        <v>14605</v>
      </c>
    </row>
    <row r="1504" spans="1:1" x14ac:dyDescent="0.25">
      <c r="A1504" s="16" t="s">
        <v>14606</v>
      </c>
    </row>
    <row r="1505" spans="1:1" x14ac:dyDescent="0.25">
      <c r="A1505" s="16" t="s">
        <v>14607</v>
      </c>
    </row>
    <row r="1506" spans="1:1" x14ac:dyDescent="0.25">
      <c r="A1506" s="16" t="s">
        <v>14608</v>
      </c>
    </row>
    <row r="1507" spans="1:1" x14ac:dyDescent="0.25">
      <c r="A1507" s="16" t="s">
        <v>14609</v>
      </c>
    </row>
    <row r="1508" spans="1:1" x14ac:dyDescent="0.25">
      <c r="A1508" s="16" t="s">
        <v>14610</v>
      </c>
    </row>
    <row r="1509" spans="1:1" x14ac:dyDescent="0.25">
      <c r="A1509" s="16" t="s">
        <v>14611</v>
      </c>
    </row>
    <row r="1510" spans="1:1" x14ac:dyDescent="0.25">
      <c r="A1510" s="16" t="s">
        <v>14612</v>
      </c>
    </row>
    <row r="1511" spans="1:1" x14ac:dyDescent="0.25">
      <c r="A1511" s="16" t="s">
        <v>14613</v>
      </c>
    </row>
    <row r="1512" spans="1:1" x14ac:dyDescent="0.25">
      <c r="A1512" s="16" t="s">
        <v>14614</v>
      </c>
    </row>
    <row r="1513" spans="1:1" x14ac:dyDescent="0.25">
      <c r="A1513" s="16" t="s">
        <v>14615</v>
      </c>
    </row>
    <row r="1514" spans="1:1" x14ac:dyDescent="0.25">
      <c r="A1514" s="16" t="s">
        <v>14616</v>
      </c>
    </row>
    <row r="1515" spans="1:1" x14ac:dyDescent="0.25">
      <c r="A1515" s="16" t="s">
        <v>14617</v>
      </c>
    </row>
    <row r="1516" spans="1:1" x14ac:dyDescent="0.25">
      <c r="A1516" s="16" t="s">
        <v>14618</v>
      </c>
    </row>
    <row r="1517" spans="1:1" x14ac:dyDescent="0.25">
      <c r="A1517" s="16" t="s">
        <v>14619</v>
      </c>
    </row>
    <row r="1518" spans="1:1" x14ac:dyDescent="0.25">
      <c r="A1518" s="16" t="s">
        <v>14620</v>
      </c>
    </row>
    <row r="1519" spans="1:1" x14ac:dyDescent="0.25">
      <c r="A1519" s="16" t="s">
        <v>14621</v>
      </c>
    </row>
    <row r="1520" spans="1:1" x14ac:dyDescent="0.25">
      <c r="A1520" s="16" t="s">
        <v>14622</v>
      </c>
    </row>
    <row r="1521" spans="1:1" x14ac:dyDescent="0.25">
      <c r="A1521" s="16" t="s">
        <v>14623</v>
      </c>
    </row>
    <row r="1522" spans="1:1" x14ac:dyDescent="0.25">
      <c r="A1522" s="16" t="s">
        <v>14624</v>
      </c>
    </row>
    <row r="1523" spans="1:1" x14ac:dyDescent="0.25">
      <c r="A1523" s="16" t="s">
        <v>14625</v>
      </c>
    </row>
    <row r="1524" spans="1:1" x14ac:dyDescent="0.25">
      <c r="A1524" s="16" t="s">
        <v>14626</v>
      </c>
    </row>
    <row r="1525" spans="1:1" x14ac:dyDescent="0.25">
      <c r="A1525" s="16" t="s">
        <v>14627</v>
      </c>
    </row>
    <row r="1526" spans="1:1" x14ac:dyDescent="0.25">
      <c r="A1526" s="16" t="s">
        <v>14628</v>
      </c>
    </row>
    <row r="1527" spans="1:1" x14ac:dyDescent="0.25">
      <c r="A1527" s="16" t="s">
        <v>14629</v>
      </c>
    </row>
    <row r="1528" spans="1:1" x14ac:dyDescent="0.25">
      <c r="A1528" s="16" t="s">
        <v>14630</v>
      </c>
    </row>
    <row r="1529" spans="1:1" x14ac:dyDescent="0.25">
      <c r="A1529" s="16" t="s">
        <v>14631</v>
      </c>
    </row>
    <row r="1530" spans="1:1" x14ac:dyDescent="0.25">
      <c r="A1530" s="16" t="s">
        <v>14632</v>
      </c>
    </row>
    <row r="1531" spans="1:1" x14ac:dyDescent="0.25">
      <c r="A1531" s="16" t="s">
        <v>14633</v>
      </c>
    </row>
    <row r="1532" spans="1:1" x14ac:dyDescent="0.25">
      <c r="A1532" s="16" t="s">
        <v>14634</v>
      </c>
    </row>
    <row r="1533" spans="1:1" x14ac:dyDescent="0.25">
      <c r="A1533" s="16" t="s">
        <v>14635</v>
      </c>
    </row>
    <row r="1534" spans="1:1" x14ac:dyDescent="0.25">
      <c r="A1534" s="16" t="s">
        <v>14636</v>
      </c>
    </row>
    <row r="1535" spans="1:1" x14ac:dyDescent="0.25">
      <c r="A1535" s="16" t="s">
        <v>14637</v>
      </c>
    </row>
    <row r="1536" spans="1:1" x14ac:dyDescent="0.25">
      <c r="A1536" s="16" t="s">
        <v>14638</v>
      </c>
    </row>
    <row r="1537" spans="1:1" x14ac:dyDescent="0.25">
      <c r="A1537" s="16" t="s">
        <v>14639</v>
      </c>
    </row>
    <row r="1538" spans="1:1" x14ac:dyDescent="0.25">
      <c r="A1538" s="16" t="s">
        <v>14640</v>
      </c>
    </row>
    <row r="1539" spans="1:1" x14ac:dyDescent="0.25">
      <c r="A1539" s="16" t="s">
        <v>14641</v>
      </c>
    </row>
    <row r="1540" spans="1:1" x14ac:dyDescent="0.25">
      <c r="A1540" s="16" t="s">
        <v>14642</v>
      </c>
    </row>
    <row r="1541" spans="1:1" x14ac:dyDescent="0.25">
      <c r="A1541" s="16" t="s">
        <v>14643</v>
      </c>
    </row>
    <row r="1542" spans="1:1" x14ac:dyDescent="0.25">
      <c r="A1542" s="16" t="s">
        <v>14644</v>
      </c>
    </row>
    <row r="1543" spans="1:1" x14ac:dyDescent="0.25">
      <c r="A1543" s="16" t="s">
        <v>14645</v>
      </c>
    </row>
    <row r="1544" spans="1:1" x14ac:dyDescent="0.25">
      <c r="A1544" s="16" t="s">
        <v>14646</v>
      </c>
    </row>
    <row r="1545" spans="1:1" x14ac:dyDescent="0.25">
      <c r="A1545" s="16" t="s">
        <v>14647</v>
      </c>
    </row>
    <row r="1546" spans="1:1" x14ac:dyDescent="0.25">
      <c r="A1546" s="16" t="s">
        <v>14648</v>
      </c>
    </row>
    <row r="1547" spans="1:1" x14ac:dyDescent="0.25">
      <c r="A1547" s="16" t="s">
        <v>14649</v>
      </c>
    </row>
    <row r="1548" spans="1:1" x14ac:dyDescent="0.25">
      <c r="A1548" s="16" t="s">
        <v>14650</v>
      </c>
    </row>
    <row r="1549" spans="1:1" x14ac:dyDescent="0.25">
      <c r="A1549" s="16" t="s">
        <v>14651</v>
      </c>
    </row>
    <row r="1550" spans="1:1" x14ac:dyDescent="0.25">
      <c r="A1550" s="16" t="s">
        <v>14652</v>
      </c>
    </row>
    <row r="1551" spans="1:1" x14ac:dyDescent="0.25">
      <c r="A1551" s="16" t="s">
        <v>14653</v>
      </c>
    </row>
    <row r="1552" spans="1:1" x14ac:dyDescent="0.25">
      <c r="A1552" s="16" t="s">
        <v>14654</v>
      </c>
    </row>
    <row r="1553" spans="1:1" x14ac:dyDescent="0.25">
      <c r="A1553" s="16" t="s">
        <v>14655</v>
      </c>
    </row>
    <row r="1554" spans="1:1" x14ac:dyDescent="0.25">
      <c r="A1554" s="16" t="s">
        <v>14656</v>
      </c>
    </row>
    <row r="1555" spans="1:1" x14ac:dyDescent="0.25">
      <c r="A1555" s="16" t="s">
        <v>14657</v>
      </c>
    </row>
    <row r="1556" spans="1:1" x14ac:dyDescent="0.25">
      <c r="A1556" s="16" t="s">
        <v>14658</v>
      </c>
    </row>
    <row r="1557" spans="1:1" x14ac:dyDescent="0.25">
      <c r="A1557" s="16" t="s">
        <v>14659</v>
      </c>
    </row>
    <row r="1558" spans="1:1" x14ac:dyDescent="0.25">
      <c r="A1558" s="16" t="s">
        <v>14660</v>
      </c>
    </row>
    <row r="1559" spans="1:1" x14ac:dyDescent="0.25">
      <c r="A1559" s="16" t="s">
        <v>14661</v>
      </c>
    </row>
    <row r="1560" spans="1:1" x14ac:dyDescent="0.25">
      <c r="A1560" s="16" t="s">
        <v>14662</v>
      </c>
    </row>
    <row r="1561" spans="1:1" x14ac:dyDescent="0.25">
      <c r="A1561" s="16" t="s">
        <v>14663</v>
      </c>
    </row>
    <row r="1562" spans="1:1" x14ac:dyDescent="0.25">
      <c r="A1562" s="16" t="s">
        <v>14664</v>
      </c>
    </row>
    <row r="1563" spans="1:1" x14ac:dyDescent="0.25">
      <c r="A1563" s="16" t="s">
        <v>14665</v>
      </c>
    </row>
    <row r="1564" spans="1:1" x14ac:dyDescent="0.25">
      <c r="A1564" s="16" t="s">
        <v>14666</v>
      </c>
    </row>
    <row r="1565" spans="1:1" x14ac:dyDescent="0.25">
      <c r="A1565" s="16" t="s">
        <v>14667</v>
      </c>
    </row>
    <row r="1566" spans="1:1" x14ac:dyDescent="0.25">
      <c r="A1566" s="16" t="s">
        <v>14668</v>
      </c>
    </row>
    <row r="1567" spans="1:1" x14ac:dyDescent="0.25">
      <c r="A1567" s="16" t="s">
        <v>14669</v>
      </c>
    </row>
    <row r="1568" spans="1:1" x14ac:dyDescent="0.25">
      <c r="A1568" s="16" t="s">
        <v>14670</v>
      </c>
    </row>
    <row r="1569" spans="1:1" x14ac:dyDescent="0.25">
      <c r="A1569" s="16" t="s">
        <v>14671</v>
      </c>
    </row>
    <row r="1570" spans="1:1" x14ac:dyDescent="0.25">
      <c r="A1570" s="16" t="s">
        <v>14672</v>
      </c>
    </row>
    <row r="1571" spans="1:1" x14ac:dyDescent="0.25">
      <c r="A1571" s="16" t="s">
        <v>14673</v>
      </c>
    </row>
    <row r="1572" spans="1:1" x14ac:dyDescent="0.25">
      <c r="A1572" s="16" t="s">
        <v>14674</v>
      </c>
    </row>
    <row r="1573" spans="1:1" x14ac:dyDescent="0.25">
      <c r="A1573" s="16" t="s">
        <v>14675</v>
      </c>
    </row>
    <row r="1574" spans="1:1" x14ac:dyDescent="0.25">
      <c r="A1574" s="16" t="s">
        <v>14676</v>
      </c>
    </row>
    <row r="1575" spans="1:1" x14ac:dyDescent="0.25">
      <c r="A1575" s="16" t="s">
        <v>14677</v>
      </c>
    </row>
    <row r="1576" spans="1:1" x14ac:dyDescent="0.25">
      <c r="A1576" s="16" t="s">
        <v>14678</v>
      </c>
    </row>
    <row r="1577" spans="1:1" x14ac:dyDescent="0.25">
      <c r="A1577" s="16" t="s">
        <v>14679</v>
      </c>
    </row>
    <row r="1578" spans="1:1" x14ac:dyDescent="0.25">
      <c r="A1578" s="16" t="s">
        <v>14680</v>
      </c>
    </row>
    <row r="1579" spans="1:1" x14ac:dyDescent="0.25">
      <c r="A1579" s="16" t="s">
        <v>14681</v>
      </c>
    </row>
    <row r="1580" spans="1:1" x14ac:dyDescent="0.25">
      <c r="A1580" s="16" t="s">
        <v>14682</v>
      </c>
    </row>
    <row r="1581" spans="1:1" x14ac:dyDescent="0.25">
      <c r="A1581" s="16" t="s">
        <v>14683</v>
      </c>
    </row>
    <row r="1582" spans="1:1" x14ac:dyDescent="0.25">
      <c r="A1582" s="16" t="s">
        <v>14684</v>
      </c>
    </row>
    <row r="1583" spans="1:1" x14ac:dyDescent="0.25">
      <c r="A1583" s="16" t="s">
        <v>14685</v>
      </c>
    </row>
    <row r="1584" spans="1:1" x14ac:dyDescent="0.25">
      <c r="A1584" s="16" t="s">
        <v>14686</v>
      </c>
    </row>
    <row r="1585" spans="1:1" x14ac:dyDescent="0.25">
      <c r="A1585" s="16" t="s">
        <v>14687</v>
      </c>
    </row>
    <row r="1586" spans="1:1" x14ac:dyDescent="0.25">
      <c r="A1586" s="16" t="s">
        <v>14688</v>
      </c>
    </row>
    <row r="1587" spans="1:1" x14ac:dyDescent="0.25">
      <c r="A1587" s="16" t="s">
        <v>14689</v>
      </c>
    </row>
    <row r="1588" spans="1:1" x14ac:dyDescent="0.25">
      <c r="A1588" s="16" t="s">
        <v>14690</v>
      </c>
    </row>
    <row r="1589" spans="1:1" x14ac:dyDescent="0.25">
      <c r="A1589" s="16" t="s">
        <v>14691</v>
      </c>
    </row>
    <row r="1590" spans="1:1" x14ac:dyDescent="0.25">
      <c r="A1590" s="16" t="s">
        <v>14692</v>
      </c>
    </row>
    <row r="1591" spans="1:1" x14ac:dyDescent="0.25">
      <c r="A1591" s="16" t="s">
        <v>14693</v>
      </c>
    </row>
    <row r="1592" spans="1:1" x14ac:dyDescent="0.25">
      <c r="A1592" s="16" t="s">
        <v>14694</v>
      </c>
    </row>
    <row r="1593" spans="1:1" x14ac:dyDescent="0.25">
      <c r="A1593" s="16" t="s">
        <v>14695</v>
      </c>
    </row>
    <row r="1594" spans="1:1" x14ac:dyDescent="0.25">
      <c r="A1594" s="16" t="s">
        <v>14696</v>
      </c>
    </row>
    <row r="1595" spans="1:1" x14ac:dyDescent="0.25">
      <c r="A1595" s="16" t="s">
        <v>14697</v>
      </c>
    </row>
    <row r="1596" spans="1:1" x14ac:dyDescent="0.25">
      <c r="A1596" s="16" t="s">
        <v>14698</v>
      </c>
    </row>
    <row r="1597" spans="1:1" x14ac:dyDescent="0.25">
      <c r="A1597" s="16" t="s">
        <v>14699</v>
      </c>
    </row>
    <row r="1598" spans="1:1" x14ac:dyDescent="0.25">
      <c r="A1598" s="16" t="s">
        <v>14700</v>
      </c>
    </row>
    <row r="1599" spans="1:1" x14ac:dyDescent="0.25">
      <c r="A1599" s="16" t="s">
        <v>14701</v>
      </c>
    </row>
    <row r="1600" spans="1:1" x14ac:dyDescent="0.25">
      <c r="A1600" s="16" t="s">
        <v>14702</v>
      </c>
    </row>
    <row r="1601" spans="1:1" x14ac:dyDescent="0.25">
      <c r="A1601" s="16" t="s">
        <v>14703</v>
      </c>
    </row>
    <row r="1602" spans="1:1" x14ac:dyDescent="0.25">
      <c r="A1602" s="16" t="s">
        <v>14704</v>
      </c>
    </row>
    <row r="1603" spans="1:1" x14ac:dyDescent="0.25">
      <c r="A1603" s="16" t="s">
        <v>14705</v>
      </c>
    </row>
    <row r="1604" spans="1:1" x14ac:dyDescent="0.25">
      <c r="A1604" s="16" t="s">
        <v>14706</v>
      </c>
    </row>
    <row r="1605" spans="1:1" x14ac:dyDescent="0.25">
      <c r="A1605" s="16" t="s">
        <v>14707</v>
      </c>
    </row>
    <row r="1606" spans="1:1" x14ac:dyDescent="0.25">
      <c r="A1606" s="16" t="s">
        <v>14708</v>
      </c>
    </row>
    <row r="1607" spans="1:1" x14ac:dyDescent="0.25">
      <c r="A1607" s="16" t="s">
        <v>14709</v>
      </c>
    </row>
    <row r="1608" spans="1:1" x14ac:dyDescent="0.25">
      <c r="A1608" s="16" t="s">
        <v>14710</v>
      </c>
    </row>
    <row r="1609" spans="1:1" x14ac:dyDescent="0.25">
      <c r="A1609" s="16" t="s">
        <v>14711</v>
      </c>
    </row>
    <row r="1610" spans="1:1" x14ac:dyDescent="0.25">
      <c r="A1610" s="16" t="s">
        <v>14712</v>
      </c>
    </row>
    <row r="1611" spans="1:1" x14ac:dyDescent="0.25">
      <c r="A1611" s="16" t="s">
        <v>14713</v>
      </c>
    </row>
    <row r="1612" spans="1:1" x14ac:dyDescent="0.25">
      <c r="A1612" s="16" t="s">
        <v>14714</v>
      </c>
    </row>
    <row r="1613" spans="1:1" x14ac:dyDescent="0.25">
      <c r="A1613" s="16" t="s">
        <v>14715</v>
      </c>
    </row>
    <row r="1614" spans="1:1" x14ac:dyDescent="0.25">
      <c r="A1614" s="16" t="s">
        <v>14716</v>
      </c>
    </row>
    <row r="1615" spans="1:1" x14ac:dyDescent="0.25">
      <c r="A1615" s="16" t="s">
        <v>14717</v>
      </c>
    </row>
    <row r="1616" spans="1:1" x14ac:dyDescent="0.25">
      <c r="A1616" s="16" t="s">
        <v>14718</v>
      </c>
    </row>
    <row r="1617" spans="1:1" x14ac:dyDescent="0.25">
      <c r="A1617" s="16" t="s">
        <v>14719</v>
      </c>
    </row>
    <row r="1618" spans="1:1" x14ac:dyDescent="0.25">
      <c r="A1618" s="16" t="s">
        <v>14720</v>
      </c>
    </row>
    <row r="1619" spans="1:1" x14ac:dyDescent="0.25">
      <c r="A1619" s="16" t="s">
        <v>14721</v>
      </c>
    </row>
    <row r="1620" spans="1:1" x14ac:dyDescent="0.25">
      <c r="A1620" s="16" t="s">
        <v>14722</v>
      </c>
    </row>
    <row r="1621" spans="1:1" x14ac:dyDescent="0.25">
      <c r="A1621" s="16" t="s">
        <v>14723</v>
      </c>
    </row>
    <row r="1622" spans="1:1" x14ac:dyDescent="0.25">
      <c r="A1622" s="16" t="s">
        <v>14724</v>
      </c>
    </row>
    <row r="1623" spans="1:1" x14ac:dyDescent="0.25">
      <c r="A1623" s="16" t="s">
        <v>14725</v>
      </c>
    </row>
    <row r="1624" spans="1:1" x14ac:dyDescent="0.25">
      <c r="A1624" s="16" t="s">
        <v>14726</v>
      </c>
    </row>
    <row r="1625" spans="1:1" x14ac:dyDescent="0.25">
      <c r="A1625" s="16" t="s">
        <v>14727</v>
      </c>
    </row>
    <row r="1626" spans="1:1" x14ac:dyDescent="0.25">
      <c r="A1626" s="16" t="s">
        <v>14728</v>
      </c>
    </row>
    <row r="1627" spans="1:1" x14ac:dyDescent="0.25">
      <c r="A1627" s="16" t="s">
        <v>14729</v>
      </c>
    </row>
    <row r="1628" spans="1:1" x14ac:dyDescent="0.25">
      <c r="A1628" s="16" t="s">
        <v>14730</v>
      </c>
    </row>
    <row r="1629" spans="1:1" x14ac:dyDescent="0.25">
      <c r="A1629" s="16" t="s">
        <v>14731</v>
      </c>
    </row>
    <row r="1630" spans="1:1" x14ac:dyDescent="0.25">
      <c r="A1630" s="16" t="s">
        <v>14732</v>
      </c>
    </row>
    <row r="1631" spans="1:1" x14ac:dyDescent="0.25">
      <c r="A1631" s="16" t="s">
        <v>14733</v>
      </c>
    </row>
    <row r="1632" spans="1:1" x14ac:dyDescent="0.25">
      <c r="A1632" s="16" t="s">
        <v>14734</v>
      </c>
    </row>
    <row r="1633" spans="1:1" x14ac:dyDescent="0.25">
      <c r="A1633" s="16" t="s">
        <v>14735</v>
      </c>
    </row>
    <row r="1634" spans="1:1" x14ac:dyDescent="0.25">
      <c r="A1634" s="16" t="s">
        <v>14736</v>
      </c>
    </row>
    <row r="1635" spans="1:1" x14ac:dyDescent="0.25">
      <c r="A1635" s="16" t="s">
        <v>14737</v>
      </c>
    </row>
    <row r="1636" spans="1:1" x14ac:dyDescent="0.25">
      <c r="A1636" s="16" t="s">
        <v>14738</v>
      </c>
    </row>
    <row r="1637" spans="1:1" x14ac:dyDescent="0.25">
      <c r="A1637" s="16" t="s">
        <v>14739</v>
      </c>
    </row>
    <row r="1638" spans="1:1" x14ac:dyDescent="0.25">
      <c r="A1638" s="16" t="s">
        <v>14740</v>
      </c>
    </row>
    <row r="1639" spans="1:1" x14ac:dyDescent="0.25">
      <c r="A1639" s="16" t="s">
        <v>14741</v>
      </c>
    </row>
    <row r="1640" spans="1:1" x14ac:dyDescent="0.25">
      <c r="A1640" s="16" t="s">
        <v>14742</v>
      </c>
    </row>
    <row r="1641" spans="1:1" x14ac:dyDescent="0.25">
      <c r="A1641" s="16" t="s">
        <v>14743</v>
      </c>
    </row>
    <row r="1642" spans="1:1" x14ac:dyDescent="0.25">
      <c r="A1642" s="16" t="s">
        <v>14744</v>
      </c>
    </row>
    <row r="1643" spans="1:1" x14ac:dyDescent="0.25">
      <c r="A1643" s="16" t="s">
        <v>14745</v>
      </c>
    </row>
    <row r="1644" spans="1:1" x14ac:dyDescent="0.25">
      <c r="A1644" s="16" t="s">
        <v>14746</v>
      </c>
    </row>
    <row r="1645" spans="1:1" x14ac:dyDescent="0.25">
      <c r="A1645" s="16" t="s">
        <v>14747</v>
      </c>
    </row>
    <row r="1646" spans="1:1" x14ac:dyDescent="0.25">
      <c r="A1646" s="16" t="s">
        <v>14748</v>
      </c>
    </row>
    <row r="1647" spans="1:1" x14ac:dyDescent="0.25">
      <c r="A1647" s="16" t="s">
        <v>14749</v>
      </c>
    </row>
    <row r="1648" spans="1:1" x14ac:dyDescent="0.25">
      <c r="A1648" s="16" t="s">
        <v>14750</v>
      </c>
    </row>
    <row r="1649" spans="1:1" x14ac:dyDescent="0.25">
      <c r="A1649" s="16" t="s">
        <v>14751</v>
      </c>
    </row>
    <row r="1650" spans="1:1" x14ac:dyDescent="0.25">
      <c r="A1650" s="16" t="s">
        <v>14752</v>
      </c>
    </row>
    <row r="1651" spans="1:1" x14ac:dyDescent="0.25">
      <c r="A1651" s="16" t="s">
        <v>14753</v>
      </c>
    </row>
    <row r="1652" spans="1:1" x14ac:dyDescent="0.25">
      <c r="A1652" s="16" t="s">
        <v>14754</v>
      </c>
    </row>
    <row r="1653" spans="1:1" x14ac:dyDescent="0.25">
      <c r="A1653" s="16" t="s">
        <v>14755</v>
      </c>
    </row>
    <row r="1654" spans="1:1" x14ac:dyDescent="0.25">
      <c r="A1654" s="16" t="s">
        <v>14756</v>
      </c>
    </row>
    <row r="1655" spans="1:1" x14ac:dyDescent="0.25">
      <c r="A1655" s="16" t="s">
        <v>14757</v>
      </c>
    </row>
    <row r="1656" spans="1:1" x14ac:dyDescent="0.25">
      <c r="A1656" s="16" t="s">
        <v>14758</v>
      </c>
    </row>
    <row r="1657" spans="1:1" x14ac:dyDescent="0.25">
      <c r="A1657" s="16" t="s">
        <v>14759</v>
      </c>
    </row>
    <row r="1658" spans="1:1" x14ac:dyDescent="0.25">
      <c r="A1658" s="16" t="s">
        <v>14760</v>
      </c>
    </row>
    <row r="1659" spans="1:1" x14ac:dyDescent="0.25">
      <c r="A1659" s="16" t="s">
        <v>14761</v>
      </c>
    </row>
    <row r="1660" spans="1:1" x14ac:dyDescent="0.25">
      <c r="A1660" s="16" t="s">
        <v>14762</v>
      </c>
    </row>
    <row r="1661" spans="1:1" x14ac:dyDescent="0.25">
      <c r="A1661" s="16" t="s">
        <v>14763</v>
      </c>
    </row>
    <row r="1662" spans="1:1" x14ac:dyDescent="0.25">
      <c r="A1662" s="16" t="s">
        <v>14764</v>
      </c>
    </row>
    <row r="1663" spans="1:1" x14ac:dyDescent="0.25">
      <c r="A1663" s="16" t="s">
        <v>14765</v>
      </c>
    </row>
    <row r="1664" spans="1:1" x14ac:dyDescent="0.25">
      <c r="A1664" s="16" t="s">
        <v>14766</v>
      </c>
    </row>
    <row r="1665" spans="1:1" x14ac:dyDescent="0.25">
      <c r="A1665" s="16" t="s">
        <v>14767</v>
      </c>
    </row>
    <row r="1666" spans="1:1" x14ac:dyDescent="0.25">
      <c r="A1666" s="16" t="s">
        <v>14768</v>
      </c>
    </row>
    <row r="1667" spans="1:1" x14ac:dyDescent="0.25">
      <c r="A1667" s="16" t="s">
        <v>14769</v>
      </c>
    </row>
    <row r="1668" spans="1:1" x14ac:dyDescent="0.25">
      <c r="A1668" s="16" t="s">
        <v>14770</v>
      </c>
    </row>
    <row r="1669" spans="1:1" x14ac:dyDescent="0.25">
      <c r="A1669" s="16" t="s">
        <v>14771</v>
      </c>
    </row>
    <row r="1670" spans="1:1" x14ac:dyDescent="0.25">
      <c r="A1670" s="16" t="s">
        <v>14772</v>
      </c>
    </row>
    <row r="1671" spans="1:1" x14ac:dyDescent="0.25">
      <c r="A1671" s="16" t="s">
        <v>14773</v>
      </c>
    </row>
    <row r="1672" spans="1:1" x14ac:dyDescent="0.25">
      <c r="A1672" s="16" t="s">
        <v>14774</v>
      </c>
    </row>
    <row r="1673" spans="1:1" x14ac:dyDescent="0.25">
      <c r="A1673" s="16" t="s">
        <v>14775</v>
      </c>
    </row>
    <row r="1674" spans="1:1" x14ac:dyDescent="0.25">
      <c r="A1674" s="16" t="s">
        <v>14776</v>
      </c>
    </row>
    <row r="1675" spans="1:1" x14ac:dyDescent="0.25">
      <c r="A1675" s="16" t="s">
        <v>14777</v>
      </c>
    </row>
    <row r="1676" spans="1:1" x14ac:dyDescent="0.25">
      <c r="A1676" s="16" t="s">
        <v>14778</v>
      </c>
    </row>
    <row r="1677" spans="1:1" x14ac:dyDescent="0.25">
      <c r="A1677" s="16" t="s">
        <v>14779</v>
      </c>
    </row>
    <row r="1678" spans="1:1" x14ac:dyDescent="0.25">
      <c r="A1678" s="16" t="s">
        <v>14780</v>
      </c>
    </row>
    <row r="1679" spans="1:1" x14ac:dyDescent="0.25">
      <c r="A1679" s="16" t="s">
        <v>14781</v>
      </c>
    </row>
    <row r="1680" spans="1:1" x14ac:dyDescent="0.25">
      <c r="A1680" s="16" t="s">
        <v>14782</v>
      </c>
    </row>
    <row r="1681" spans="1:1" x14ac:dyDescent="0.25">
      <c r="A1681" s="16" t="s">
        <v>14783</v>
      </c>
    </row>
    <row r="1682" spans="1:1" x14ac:dyDescent="0.25">
      <c r="A1682" s="16" t="s">
        <v>14784</v>
      </c>
    </row>
    <row r="1683" spans="1:1" x14ac:dyDescent="0.25">
      <c r="A1683" s="16" t="s">
        <v>14785</v>
      </c>
    </row>
    <row r="1684" spans="1:1" x14ac:dyDescent="0.25">
      <c r="A1684" s="16" t="s">
        <v>14786</v>
      </c>
    </row>
    <row r="1685" spans="1:1" x14ac:dyDescent="0.25">
      <c r="A1685" s="16" t="s">
        <v>14787</v>
      </c>
    </row>
    <row r="1686" spans="1:1" x14ac:dyDescent="0.25">
      <c r="A1686" s="16" t="s">
        <v>14788</v>
      </c>
    </row>
    <row r="1687" spans="1:1" x14ac:dyDescent="0.25">
      <c r="A1687" s="16" t="s">
        <v>14789</v>
      </c>
    </row>
    <row r="1688" spans="1:1" x14ac:dyDescent="0.25">
      <c r="A1688" s="16" t="s">
        <v>14790</v>
      </c>
    </row>
    <row r="1689" spans="1:1" x14ac:dyDescent="0.25">
      <c r="A1689" s="16" t="s">
        <v>14791</v>
      </c>
    </row>
    <row r="1690" spans="1:1" x14ac:dyDescent="0.25">
      <c r="A1690" s="16" t="s">
        <v>14792</v>
      </c>
    </row>
    <row r="1691" spans="1:1" x14ac:dyDescent="0.25">
      <c r="A1691" s="16" t="s">
        <v>14793</v>
      </c>
    </row>
    <row r="1692" spans="1:1" x14ac:dyDescent="0.25">
      <c r="A1692" s="16" t="s">
        <v>14794</v>
      </c>
    </row>
    <row r="1693" spans="1:1" x14ac:dyDescent="0.25">
      <c r="A1693" s="16" t="s">
        <v>14795</v>
      </c>
    </row>
    <row r="1694" spans="1:1" x14ac:dyDescent="0.25">
      <c r="A1694" s="16" t="s">
        <v>14796</v>
      </c>
    </row>
    <row r="1695" spans="1:1" x14ac:dyDescent="0.25">
      <c r="A1695" s="16" t="s">
        <v>14797</v>
      </c>
    </row>
    <row r="1696" spans="1:1" x14ac:dyDescent="0.25">
      <c r="A1696" s="16" t="s">
        <v>14798</v>
      </c>
    </row>
    <row r="1697" spans="1:1" x14ac:dyDescent="0.25">
      <c r="A1697" s="16" t="s">
        <v>14799</v>
      </c>
    </row>
    <row r="1698" spans="1:1" x14ac:dyDescent="0.25">
      <c r="A1698" s="16" t="s">
        <v>14800</v>
      </c>
    </row>
    <row r="1699" spans="1:1" x14ac:dyDescent="0.25">
      <c r="A1699" s="16" t="s">
        <v>14801</v>
      </c>
    </row>
    <row r="1700" spans="1:1" x14ac:dyDescent="0.25">
      <c r="A1700" s="16" t="s">
        <v>14802</v>
      </c>
    </row>
    <row r="1701" spans="1:1" x14ac:dyDescent="0.25">
      <c r="A1701" s="16" t="s">
        <v>14803</v>
      </c>
    </row>
    <row r="1702" spans="1:1" x14ac:dyDescent="0.25">
      <c r="A1702" s="16" t="s">
        <v>14804</v>
      </c>
    </row>
    <row r="1703" spans="1:1" x14ac:dyDescent="0.25">
      <c r="A1703" s="16" t="s">
        <v>14805</v>
      </c>
    </row>
    <row r="1704" spans="1:1" x14ac:dyDescent="0.25">
      <c r="A1704" s="16" t="s">
        <v>14806</v>
      </c>
    </row>
    <row r="1705" spans="1:1" x14ac:dyDescent="0.25">
      <c r="A1705" s="16" t="s">
        <v>14807</v>
      </c>
    </row>
    <row r="1706" spans="1:1" x14ac:dyDescent="0.25">
      <c r="A1706" s="16" t="s">
        <v>14808</v>
      </c>
    </row>
    <row r="1707" spans="1:1" x14ac:dyDescent="0.25">
      <c r="A1707" s="16" t="s">
        <v>14809</v>
      </c>
    </row>
    <row r="1708" spans="1:1" x14ac:dyDescent="0.25">
      <c r="A1708" s="16" t="s">
        <v>14810</v>
      </c>
    </row>
    <row r="1709" spans="1:1" x14ac:dyDescent="0.25">
      <c r="A1709" s="16" t="s">
        <v>14811</v>
      </c>
    </row>
    <row r="1710" spans="1:1" x14ac:dyDescent="0.25">
      <c r="A1710" s="16" t="s">
        <v>14812</v>
      </c>
    </row>
    <row r="1711" spans="1:1" x14ac:dyDescent="0.25">
      <c r="A1711" s="16" t="s">
        <v>14813</v>
      </c>
    </row>
    <row r="1712" spans="1:1" x14ac:dyDescent="0.25">
      <c r="A1712" s="16" t="s">
        <v>14814</v>
      </c>
    </row>
    <row r="1713" spans="1:1" x14ac:dyDescent="0.25">
      <c r="A1713" s="16" t="s">
        <v>14815</v>
      </c>
    </row>
    <row r="1714" spans="1:1" x14ac:dyDescent="0.25">
      <c r="A1714" s="16" t="s">
        <v>14816</v>
      </c>
    </row>
    <row r="1715" spans="1:1" x14ac:dyDescent="0.25">
      <c r="A1715" s="16" t="s">
        <v>14817</v>
      </c>
    </row>
    <row r="1716" spans="1:1" x14ac:dyDescent="0.25">
      <c r="A1716" s="16" t="s">
        <v>14818</v>
      </c>
    </row>
    <row r="1717" spans="1:1" x14ac:dyDescent="0.25">
      <c r="A1717" s="16" t="s">
        <v>14819</v>
      </c>
    </row>
    <row r="1718" spans="1:1" x14ac:dyDescent="0.25">
      <c r="A1718" s="16" t="s">
        <v>14820</v>
      </c>
    </row>
    <row r="1719" spans="1:1" x14ac:dyDescent="0.25">
      <c r="A1719" s="16" t="s">
        <v>14821</v>
      </c>
    </row>
    <row r="1720" spans="1:1" x14ac:dyDescent="0.25">
      <c r="A1720" s="16" t="s">
        <v>14822</v>
      </c>
    </row>
    <row r="1721" spans="1:1" x14ac:dyDescent="0.25">
      <c r="A1721" s="16" t="s">
        <v>14823</v>
      </c>
    </row>
    <row r="1722" spans="1:1" x14ac:dyDescent="0.25">
      <c r="A1722" s="16" t="s">
        <v>14824</v>
      </c>
    </row>
    <row r="1723" spans="1:1" x14ac:dyDescent="0.25">
      <c r="A1723" s="16" t="s">
        <v>14825</v>
      </c>
    </row>
    <row r="1724" spans="1:1" x14ac:dyDescent="0.25">
      <c r="A1724" s="16" t="s">
        <v>14826</v>
      </c>
    </row>
    <row r="1725" spans="1:1" x14ac:dyDescent="0.25">
      <c r="A1725" s="16" t="s">
        <v>14827</v>
      </c>
    </row>
    <row r="1726" spans="1:1" x14ac:dyDescent="0.25">
      <c r="A1726" s="16" t="s">
        <v>14828</v>
      </c>
    </row>
    <row r="1727" spans="1:1" x14ac:dyDescent="0.25">
      <c r="A1727" s="16" t="s">
        <v>14829</v>
      </c>
    </row>
    <row r="1728" spans="1:1" x14ac:dyDescent="0.25">
      <c r="A1728" s="16" t="s">
        <v>14830</v>
      </c>
    </row>
    <row r="1729" spans="1:1" x14ac:dyDescent="0.25">
      <c r="A1729" s="16" t="s">
        <v>14831</v>
      </c>
    </row>
    <row r="1730" spans="1:1" x14ac:dyDescent="0.25">
      <c r="A1730" s="16" t="s">
        <v>14832</v>
      </c>
    </row>
    <row r="1731" spans="1:1" x14ac:dyDescent="0.25">
      <c r="A1731" s="16" t="s">
        <v>14833</v>
      </c>
    </row>
    <row r="1732" spans="1:1" x14ac:dyDescent="0.25">
      <c r="A1732" s="16" t="s">
        <v>14834</v>
      </c>
    </row>
    <row r="1733" spans="1:1" x14ac:dyDescent="0.25">
      <c r="A1733" s="16" t="s">
        <v>14835</v>
      </c>
    </row>
    <row r="1734" spans="1:1" x14ac:dyDescent="0.25">
      <c r="A1734" s="16" t="s">
        <v>14836</v>
      </c>
    </row>
    <row r="1735" spans="1:1" x14ac:dyDescent="0.25">
      <c r="A1735" s="16" t="s">
        <v>14837</v>
      </c>
    </row>
    <row r="1736" spans="1:1" x14ac:dyDescent="0.25">
      <c r="A1736" s="16" t="s">
        <v>14838</v>
      </c>
    </row>
    <row r="1737" spans="1:1" x14ac:dyDescent="0.25">
      <c r="A1737" s="16" t="s">
        <v>14839</v>
      </c>
    </row>
    <row r="1738" spans="1:1" x14ac:dyDescent="0.25">
      <c r="A1738" s="16" t="s">
        <v>14840</v>
      </c>
    </row>
    <row r="1739" spans="1:1" x14ac:dyDescent="0.25">
      <c r="A1739" s="16" t="s">
        <v>14841</v>
      </c>
    </row>
    <row r="1740" spans="1:1" x14ac:dyDescent="0.25">
      <c r="A1740" s="16" t="s">
        <v>14842</v>
      </c>
    </row>
    <row r="1741" spans="1:1" x14ac:dyDescent="0.25">
      <c r="A1741" s="16" t="s">
        <v>14843</v>
      </c>
    </row>
    <row r="1742" spans="1:1" x14ac:dyDescent="0.25">
      <c r="A1742" s="16" t="s">
        <v>14844</v>
      </c>
    </row>
    <row r="1743" spans="1:1" x14ac:dyDescent="0.25">
      <c r="A1743" s="16" t="s">
        <v>14845</v>
      </c>
    </row>
    <row r="1744" spans="1:1" x14ac:dyDescent="0.25">
      <c r="A1744" s="16" t="s">
        <v>14846</v>
      </c>
    </row>
    <row r="1745" spans="1:1" x14ac:dyDescent="0.25">
      <c r="A1745" s="16" t="s">
        <v>14847</v>
      </c>
    </row>
    <row r="1746" spans="1:1" x14ac:dyDescent="0.25">
      <c r="A1746" s="16" t="s">
        <v>14848</v>
      </c>
    </row>
    <row r="1747" spans="1:1" x14ac:dyDescent="0.25">
      <c r="A1747" s="16" t="s">
        <v>14849</v>
      </c>
    </row>
    <row r="1748" spans="1:1" x14ac:dyDescent="0.25">
      <c r="A1748" s="16" t="s">
        <v>14850</v>
      </c>
    </row>
    <row r="1749" spans="1:1" x14ac:dyDescent="0.25">
      <c r="A1749" s="16" t="s">
        <v>14851</v>
      </c>
    </row>
    <row r="1750" spans="1:1" x14ac:dyDescent="0.25">
      <c r="A1750" s="16" t="s">
        <v>14852</v>
      </c>
    </row>
    <row r="1751" spans="1:1" x14ac:dyDescent="0.25">
      <c r="A1751" s="16" t="s">
        <v>14853</v>
      </c>
    </row>
    <row r="1752" spans="1:1" x14ac:dyDescent="0.25">
      <c r="A1752" s="16" t="s">
        <v>14854</v>
      </c>
    </row>
    <row r="1753" spans="1:1" x14ac:dyDescent="0.25">
      <c r="A1753" s="16" t="s">
        <v>14855</v>
      </c>
    </row>
    <row r="1754" spans="1:1" x14ac:dyDescent="0.25">
      <c r="A1754" s="16" t="s">
        <v>14856</v>
      </c>
    </row>
    <row r="1755" spans="1:1" x14ac:dyDescent="0.25">
      <c r="A1755" s="16" t="s">
        <v>14857</v>
      </c>
    </row>
    <row r="1756" spans="1:1" x14ac:dyDescent="0.25">
      <c r="A1756" s="16" t="s">
        <v>14858</v>
      </c>
    </row>
    <row r="1757" spans="1:1" x14ac:dyDescent="0.25">
      <c r="A1757" s="16" t="s">
        <v>14859</v>
      </c>
    </row>
    <row r="1758" spans="1:1" x14ac:dyDescent="0.25">
      <c r="A1758" s="16" t="s">
        <v>14860</v>
      </c>
    </row>
    <row r="1759" spans="1:1" x14ac:dyDescent="0.25">
      <c r="A1759" s="16" t="s">
        <v>14861</v>
      </c>
    </row>
    <row r="1760" spans="1:1" x14ac:dyDescent="0.25">
      <c r="A1760" s="16" t="s">
        <v>14862</v>
      </c>
    </row>
    <row r="1761" spans="1:1" x14ac:dyDescent="0.25">
      <c r="A1761" s="16" t="s">
        <v>14863</v>
      </c>
    </row>
    <row r="1762" spans="1:1" x14ac:dyDescent="0.25">
      <c r="A1762" s="16" t="s">
        <v>14864</v>
      </c>
    </row>
    <row r="1763" spans="1:1" x14ac:dyDescent="0.25">
      <c r="A1763" s="16" t="s">
        <v>14865</v>
      </c>
    </row>
    <row r="1764" spans="1:1" x14ac:dyDescent="0.25">
      <c r="A1764" s="16" t="s">
        <v>14866</v>
      </c>
    </row>
    <row r="1765" spans="1:1" x14ac:dyDescent="0.25">
      <c r="A1765" s="16" t="s">
        <v>14867</v>
      </c>
    </row>
    <row r="1766" spans="1:1" x14ac:dyDescent="0.25">
      <c r="A1766" s="16" t="s">
        <v>14868</v>
      </c>
    </row>
    <row r="1767" spans="1:1" x14ac:dyDescent="0.25">
      <c r="A1767" s="16" t="s">
        <v>14869</v>
      </c>
    </row>
    <row r="1768" spans="1:1" x14ac:dyDescent="0.25">
      <c r="A1768" s="16" t="s">
        <v>14870</v>
      </c>
    </row>
    <row r="1769" spans="1:1" x14ac:dyDescent="0.25">
      <c r="A1769" s="16" t="s">
        <v>14871</v>
      </c>
    </row>
    <row r="1770" spans="1:1" x14ac:dyDescent="0.25">
      <c r="A1770" s="16" t="s">
        <v>14872</v>
      </c>
    </row>
    <row r="1771" spans="1:1" x14ac:dyDescent="0.25">
      <c r="A1771" s="16" t="s">
        <v>14873</v>
      </c>
    </row>
    <row r="1772" spans="1:1" x14ac:dyDescent="0.25">
      <c r="A1772" s="16" t="s">
        <v>14874</v>
      </c>
    </row>
    <row r="1773" spans="1:1" x14ac:dyDescent="0.25">
      <c r="A1773" s="16" t="s">
        <v>14875</v>
      </c>
    </row>
    <row r="1774" spans="1:1" x14ac:dyDescent="0.25">
      <c r="A1774" s="16" t="s">
        <v>14876</v>
      </c>
    </row>
    <row r="1775" spans="1:1" x14ac:dyDescent="0.25">
      <c r="A1775" s="16" t="s">
        <v>14877</v>
      </c>
    </row>
    <row r="1776" spans="1:1" x14ac:dyDescent="0.25">
      <c r="A1776" s="16" t="s">
        <v>14878</v>
      </c>
    </row>
    <row r="1777" spans="1:1" x14ac:dyDescent="0.25">
      <c r="A1777" s="16" t="s">
        <v>14879</v>
      </c>
    </row>
    <row r="1778" spans="1:1" x14ac:dyDescent="0.25">
      <c r="A1778" s="16" t="s">
        <v>14880</v>
      </c>
    </row>
    <row r="1779" spans="1:1" x14ac:dyDescent="0.25">
      <c r="A1779" s="16" t="s">
        <v>14881</v>
      </c>
    </row>
    <row r="1780" spans="1:1" x14ac:dyDescent="0.25">
      <c r="A1780" s="16" t="s">
        <v>14882</v>
      </c>
    </row>
    <row r="1781" spans="1:1" x14ac:dyDescent="0.25">
      <c r="A1781" s="16" t="s">
        <v>14883</v>
      </c>
    </row>
    <row r="1782" spans="1:1" x14ac:dyDescent="0.25">
      <c r="A1782" s="16" t="s">
        <v>14884</v>
      </c>
    </row>
    <row r="1783" spans="1:1" x14ac:dyDescent="0.25">
      <c r="A1783" s="16" t="s">
        <v>14885</v>
      </c>
    </row>
    <row r="1784" spans="1:1" x14ac:dyDescent="0.25">
      <c r="A1784" s="16" t="s">
        <v>14886</v>
      </c>
    </row>
    <row r="1785" spans="1:1" x14ac:dyDescent="0.25">
      <c r="A1785" s="16" t="s">
        <v>14887</v>
      </c>
    </row>
    <row r="1786" spans="1:1" x14ac:dyDescent="0.25">
      <c r="A1786" s="16" t="s">
        <v>14888</v>
      </c>
    </row>
    <row r="1787" spans="1:1" x14ac:dyDescent="0.25">
      <c r="A1787" s="16" t="s">
        <v>14889</v>
      </c>
    </row>
    <row r="1788" spans="1:1" x14ac:dyDescent="0.25">
      <c r="A1788" s="16" t="s">
        <v>14890</v>
      </c>
    </row>
    <row r="1789" spans="1:1" x14ac:dyDescent="0.25">
      <c r="A1789" s="16" t="s">
        <v>14891</v>
      </c>
    </row>
    <row r="1790" spans="1:1" x14ac:dyDescent="0.25">
      <c r="A1790" s="16" t="s">
        <v>14892</v>
      </c>
    </row>
    <row r="1791" spans="1:1" x14ac:dyDescent="0.25">
      <c r="A1791" s="16" t="s">
        <v>14893</v>
      </c>
    </row>
    <row r="1792" spans="1:1" x14ac:dyDescent="0.25">
      <c r="A1792" s="16" t="s">
        <v>14894</v>
      </c>
    </row>
    <row r="1793" spans="1:1" x14ac:dyDescent="0.25">
      <c r="A1793" s="16" t="s">
        <v>14895</v>
      </c>
    </row>
    <row r="1794" spans="1:1" x14ac:dyDescent="0.25">
      <c r="A1794" s="16" t="s">
        <v>14896</v>
      </c>
    </row>
    <row r="1795" spans="1:1" x14ac:dyDescent="0.25">
      <c r="A1795" s="16" t="s">
        <v>14897</v>
      </c>
    </row>
    <row r="1796" spans="1:1" x14ac:dyDescent="0.25">
      <c r="A1796" s="16" t="s">
        <v>14898</v>
      </c>
    </row>
    <row r="1797" spans="1:1" x14ac:dyDescent="0.25">
      <c r="A1797" s="16" t="s">
        <v>14899</v>
      </c>
    </row>
    <row r="1798" spans="1:1" x14ac:dyDescent="0.25">
      <c r="A1798" s="16" t="s">
        <v>14900</v>
      </c>
    </row>
    <row r="1799" spans="1:1" x14ac:dyDescent="0.25">
      <c r="A1799" s="16" t="s">
        <v>14901</v>
      </c>
    </row>
    <row r="1800" spans="1:1" x14ac:dyDescent="0.25">
      <c r="A1800" s="16" t="s">
        <v>14902</v>
      </c>
    </row>
    <row r="1801" spans="1:1" x14ac:dyDescent="0.25">
      <c r="A1801" s="16" t="s">
        <v>14903</v>
      </c>
    </row>
    <row r="1802" spans="1:1" x14ac:dyDescent="0.25">
      <c r="A1802" s="16" t="s">
        <v>14904</v>
      </c>
    </row>
    <row r="1803" spans="1:1" x14ac:dyDescent="0.25">
      <c r="A1803" s="16" t="s">
        <v>14905</v>
      </c>
    </row>
    <row r="1804" spans="1:1" x14ac:dyDescent="0.25">
      <c r="A1804" s="16" t="s">
        <v>14906</v>
      </c>
    </row>
    <row r="1805" spans="1:1" x14ac:dyDescent="0.25">
      <c r="A1805" s="16" t="s">
        <v>14907</v>
      </c>
    </row>
    <row r="1806" spans="1:1" x14ac:dyDescent="0.25">
      <c r="A1806" s="16" t="s">
        <v>14908</v>
      </c>
    </row>
    <row r="1807" spans="1:1" x14ac:dyDescent="0.25">
      <c r="A1807" s="16" t="s">
        <v>14909</v>
      </c>
    </row>
    <row r="1808" spans="1:1" x14ac:dyDescent="0.25">
      <c r="A1808" s="16" t="s">
        <v>14910</v>
      </c>
    </row>
    <row r="1809" spans="1:1" x14ac:dyDescent="0.25">
      <c r="A1809" s="16" t="s">
        <v>14911</v>
      </c>
    </row>
    <row r="1810" spans="1:1" x14ac:dyDescent="0.25">
      <c r="A1810" s="16" t="s">
        <v>14912</v>
      </c>
    </row>
    <row r="1811" spans="1:1" x14ac:dyDescent="0.25">
      <c r="A1811" s="16" t="s">
        <v>14913</v>
      </c>
    </row>
    <row r="1812" spans="1:1" x14ac:dyDescent="0.25">
      <c r="A1812" s="16" t="s">
        <v>14914</v>
      </c>
    </row>
    <row r="1813" spans="1:1" x14ac:dyDescent="0.25">
      <c r="A1813" s="16" t="s">
        <v>14915</v>
      </c>
    </row>
    <row r="1814" spans="1:1" x14ac:dyDescent="0.25">
      <c r="A1814" s="16" t="s">
        <v>14916</v>
      </c>
    </row>
    <row r="1815" spans="1:1" x14ac:dyDescent="0.25">
      <c r="A1815" s="16" t="s">
        <v>14917</v>
      </c>
    </row>
    <row r="1816" spans="1:1" x14ac:dyDescent="0.25">
      <c r="A1816" s="16" t="s">
        <v>14918</v>
      </c>
    </row>
    <row r="1817" spans="1:1" x14ac:dyDescent="0.25">
      <c r="A1817" s="16" t="s">
        <v>14919</v>
      </c>
    </row>
    <row r="1818" spans="1:1" x14ac:dyDescent="0.25">
      <c r="A1818" s="16" t="s">
        <v>14920</v>
      </c>
    </row>
    <row r="1819" spans="1:1" x14ac:dyDescent="0.25">
      <c r="A1819" s="16" t="s">
        <v>14921</v>
      </c>
    </row>
    <row r="1820" spans="1:1" x14ac:dyDescent="0.25">
      <c r="A1820" s="16" t="s">
        <v>14922</v>
      </c>
    </row>
    <row r="1821" spans="1:1" x14ac:dyDescent="0.25">
      <c r="A1821" s="16" t="s">
        <v>14923</v>
      </c>
    </row>
    <row r="1822" spans="1:1" x14ac:dyDescent="0.25">
      <c r="A1822" s="16" t="s">
        <v>14924</v>
      </c>
    </row>
    <row r="1823" spans="1:1" x14ac:dyDescent="0.25">
      <c r="A1823" s="16" t="s">
        <v>14925</v>
      </c>
    </row>
    <row r="1824" spans="1:1" x14ac:dyDescent="0.25">
      <c r="A1824" s="16" t="s">
        <v>14926</v>
      </c>
    </row>
    <row r="1825" spans="1:1" x14ac:dyDescent="0.25">
      <c r="A1825" s="16" t="s">
        <v>14927</v>
      </c>
    </row>
    <row r="1826" spans="1:1" x14ac:dyDescent="0.25">
      <c r="A1826" s="16" t="s">
        <v>14928</v>
      </c>
    </row>
    <row r="1827" spans="1:1" x14ac:dyDescent="0.25">
      <c r="A1827" s="16" t="s">
        <v>14929</v>
      </c>
    </row>
    <row r="1828" spans="1:1" x14ac:dyDescent="0.25">
      <c r="A1828" s="16" t="s">
        <v>14930</v>
      </c>
    </row>
    <row r="1829" spans="1:1" x14ac:dyDescent="0.25">
      <c r="A1829" s="16" t="s">
        <v>14931</v>
      </c>
    </row>
    <row r="1830" spans="1:1" x14ac:dyDescent="0.25">
      <c r="A1830" s="16" t="s">
        <v>14932</v>
      </c>
    </row>
    <row r="1831" spans="1:1" x14ac:dyDescent="0.25">
      <c r="A1831" s="16" t="s">
        <v>14933</v>
      </c>
    </row>
    <row r="1832" spans="1:1" x14ac:dyDescent="0.25">
      <c r="A1832" s="16" t="s">
        <v>14934</v>
      </c>
    </row>
    <row r="1833" spans="1:1" x14ac:dyDescent="0.25">
      <c r="A1833" s="16" t="s">
        <v>14935</v>
      </c>
    </row>
    <row r="1834" spans="1:1" x14ac:dyDescent="0.25">
      <c r="A1834" s="16" t="s">
        <v>14936</v>
      </c>
    </row>
    <row r="1835" spans="1:1" x14ac:dyDescent="0.25">
      <c r="A1835" s="16" t="s">
        <v>14937</v>
      </c>
    </row>
    <row r="1836" spans="1:1" x14ac:dyDescent="0.25">
      <c r="A1836" s="16" t="s">
        <v>14938</v>
      </c>
    </row>
    <row r="1837" spans="1:1" x14ac:dyDescent="0.25">
      <c r="A1837" s="16" t="s">
        <v>14939</v>
      </c>
    </row>
    <row r="1838" spans="1:1" x14ac:dyDescent="0.25">
      <c r="A1838" s="16" t="s">
        <v>14940</v>
      </c>
    </row>
    <row r="1839" spans="1:1" x14ac:dyDescent="0.25">
      <c r="A1839" s="16" t="s">
        <v>14941</v>
      </c>
    </row>
    <row r="1840" spans="1:1" x14ac:dyDescent="0.25">
      <c r="A1840" s="16" t="s">
        <v>14942</v>
      </c>
    </row>
    <row r="1841" spans="1:1" x14ac:dyDescent="0.25">
      <c r="A1841" s="16" t="s">
        <v>14943</v>
      </c>
    </row>
    <row r="1842" spans="1:1" x14ac:dyDescent="0.25">
      <c r="A1842" s="16" t="s">
        <v>14944</v>
      </c>
    </row>
    <row r="1843" spans="1:1" x14ac:dyDescent="0.25">
      <c r="A1843" s="16" t="s">
        <v>14945</v>
      </c>
    </row>
    <row r="1844" spans="1:1" x14ac:dyDescent="0.25">
      <c r="A1844" s="16" t="s">
        <v>14946</v>
      </c>
    </row>
    <row r="1845" spans="1:1" x14ac:dyDescent="0.25">
      <c r="A1845" s="16" t="s">
        <v>14947</v>
      </c>
    </row>
    <row r="1846" spans="1:1" x14ac:dyDescent="0.25">
      <c r="A1846" s="16" t="s">
        <v>14948</v>
      </c>
    </row>
    <row r="1847" spans="1:1" x14ac:dyDescent="0.25">
      <c r="A1847" s="16" t="s">
        <v>14949</v>
      </c>
    </row>
    <row r="1848" spans="1:1" x14ac:dyDescent="0.25">
      <c r="A1848" s="16" t="s">
        <v>14950</v>
      </c>
    </row>
    <row r="1849" spans="1:1" x14ac:dyDescent="0.25">
      <c r="A1849" s="16" t="s">
        <v>14951</v>
      </c>
    </row>
    <row r="1850" spans="1:1" x14ac:dyDescent="0.25">
      <c r="A1850" s="16" t="s">
        <v>14952</v>
      </c>
    </row>
    <row r="1851" spans="1:1" x14ac:dyDescent="0.25">
      <c r="A1851" s="16" t="s">
        <v>14953</v>
      </c>
    </row>
    <row r="1852" spans="1:1" x14ac:dyDescent="0.25">
      <c r="A1852" s="16" t="s">
        <v>14954</v>
      </c>
    </row>
    <row r="1853" spans="1:1" x14ac:dyDescent="0.25">
      <c r="A1853" s="16" t="s">
        <v>14955</v>
      </c>
    </row>
    <row r="1854" spans="1:1" x14ac:dyDescent="0.25">
      <c r="A1854" s="16" t="s">
        <v>14956</v>
      </c>
    </row>
    <row r="1855" spans="1:1" x14ac:dyDescent="0.25">
      <c r="A1855" s="16" t="s">
        <v>14957</v>
      </c>
    </row>
    <row r="1856" spans="1:1" x14ac:dyDescent="0.25">
      <c r="A1856" s="16" t="s">
        <v>14958</v>
      </c>
    </row>
    <row r="1857" spans="1:1" x14ac:dyDescent="0.25">
      <c r="A1857" s="16" t="s">
        <v>14959</v>
      </c>
    </row>
    <row r="1858" spans="1:1" x14ac:dyDescent="0.25">
      <c r="A1858" s="16" t="s">
        <v>14960</v>
      </c>
    </row>
    <row r="1859" spans="1:1" x14ac:dyDescent="0.25">
      <c r="A1859" s="16" t="s">
        <v>14961</v>
      </c>
    </row>
    <row r="1860" spans="1:1" x14ac:dyDescent="0.25">
      <c r="A1860" s="16" t="s">
        <v>14962</v>
      </c>
    </row>
    <row r="1861" spans="1:1" x14ac:dyDescent="0.25">
      <c r="A1861" s="16" t="s">
        <v>14963</v>
      </c>
    </row>
    <row r="1862" spans="1:1" x14ac:dyDescent="0.25">
      <c r="A1862" s="16" t="s">
        <v>14964</v>
      </c>
    </row>
    <row r="1863" spans="1:1" x14ac:dyDescent="0.25">
      <c r="A1863" s="16" t="s">
        <v>14965</v>
      </c>
    </row>
    <row r="1864" spans="1:1" x14ac:dyDescent="0.25">
      <c r="A1864" s="16" t="s">
        <v>14966</v>
      </c>
    </row>
    <row r="1865" spans="1:1" x14ac:dyDescent="0.25">
      <c r="A1865" s="16" t="s">
        <v>14967</v>
      </c>
    </row>
    <row r="1866" spans="1:1" x14ac:dyDescent="0.25">
      <c r="A1866" s="16" t="s">
        <v>14968</v>
      </c>
    </row>
    <row r="1867" spans="1:1" x14ac:dyDescent="0.25">
      <c r="A1867" s="16" t="s">
        <v>14969</v>
      </c>
    </row>
    <row r="1868" spans="1:1" x14ac:dyDescent="0.25">
      <c r="A1868" s="16" t="s">
        <v>14970</v>
      </c>
    </row>
    <row r="1869" spans="1:1" x14ac:dyDescent="0.25">
      <c r="A1869" s="16" t="s">
        <v>14971</v>
      </c>
    </row>
    <row r="1870" spans="1:1" x14ac:dyDescent="0.25">
      <c r="A1870" s="16" t="s">
        <v>14972</v>
      </c>
    </row>
    <row r="1871" spans="1:1" x14ac:dyDescent="0.25">
      <c r="A1871" s="16" t="s">
        <v>14973</v>
      </c>
    </row>
    <row r="1872" spans="1:1" x14ac:dyDescent="0.25">
      <c r="A1872" s="16" t="s">
        <v>14974</v>
      </c>
    </row>
    <row r="1873" spans="1:1" x14ac:dyDescent="0.25">
      <c r="A1873" s="16" t="s">
        <v>14975</v>
      </c>
    </row>
    <row r="1874" spans="1:1" x14ac:dyDescent="0.25">
      <c r="A1874" s="16" t="s">
        <v>14976</v>
      </c>
    </row>
    <row r="1875" spans="1:1" x14ac:dyDescent="0.25">
      <c r="A1875" s="16" t="s">
        <v>14977</v>
      </c>
    </row>
    <row r="1876" spans="1:1" x14ac:dyDescent="0.25">
      <c r="A1876" s="16" t="s">
        <v>14978</v>
      </c>
    </row>
    <row r="1877" spans="1:1" x14ac:dyDescent="0.25">
      <c r="A1877" s="16" t="s">
        <v>14979</v>
      </c>
    </row>
    <row r="1878" spans="1:1" x14ac:dyDescent="0.25">
      <c r="A1878" s="16" t="s">
        <v>14980</v>
      </c>
    </row>
    <row r="1879" spans="1:1" x14ac:dyDescent="0.25">
      <c r="A1879" s="16" t="s">
        <v>14981</v>
      </c>
    </row>
    <row r="1880" spans="1:1" x14ac:dyDescent="0.25">
      <c r="A1880" s="16" t="s">
        <v>14982</v>
      </c>
    </row>
    <row r="1881" spans="1:1" x14ac:dyDescent="0.25">
      <c r="A1881" s="16" t="s">
        <v>14983</v>
      </c>
    </row>
    <row r="1882" spans="1:1" x14ac:dyDescent="0.25">
      <c r="A1882" s="16" t="s">
        <v>14984</v>
      </c>
    </row>
    <row r="1883" spans="1:1" x14ac:dyDescent="0.25">
      <c r="A1883" s="16" t="s">
        <v>14985</v>
      </c>
    </row>
    <row r="1884" spans="1:1" x14ac:dyDescent="0.25">
      <c r="A1884" s="16" t="s">
        <v>14986</v>
      </c>
    </row>
    <row r="1885" spans="1:1" x14ac:dyDescent="0.25">
      <c r="A1885" s="16" t="s">
        <v>14987</v>
      </c>
    </row>
    <row r="1886" spans="1:1" x14ac:dyDescent="0.25">
      <c r="A1886" s="16" t="s">
        <v>14988</v>
      </c>
    </row>
    <row r="1887" spans="1:1" x14ac:dyDescent="0.25">
      <c r="A1887" s="16" t="s">
        <v>14989</v>
      </c>
    </row>
    <row r="1888" spans="1:1" x14ac:dyDescent="0.25">
      <c r="A1888" s="16" t="s">
        <v>14990</v>
      </c>
    </row>
    <row r="1889" spans="1:1" x14ac:dyDescent="0.25">
      <c r="A1889" s="16" t="s">
        <v>14991</v>
      </c>
    </row>
    <row r="1890" spans="1:1" x14ac:dyDescent="0.25">
      <c r="A1890" s="16" t="s">
        <v>14992</v>
      </c>
    </row>
    <row r="1891" spans="1:1" x14ac:dyDescent="0.25">
      <c r="A1891" s="16" t="s">
        <v>14993</v>
      </c>
    </row>
    <row r="1892" spans="1:1" x14ac:dyDescent="0.25">
      <c r="A1892" s="16" t="s">
        <v>14994</v>
      </c>
    </row>
    <row r="1893" spans="1:1" x14ac:dyDescent="0.25">
      <c r="A1893" s="16" t="s">
        <v>14995</v>
      </c>
    </row>
    <row r="1894" spans="1:1" x14ac:dyDescent="0.25">
      <c r="A1894" s="16" t="s">
        <v>14996</v>
      </c>
    </row>
    <row r="1895" spans="1:1" x14ac:dyDescent="0.25">
      <c r="A1895" s="16" t="s">
        <v>14997</v>
      </c>
    </row>
    <row r="1896" spans="1:1" x14ac:dyDescent="0.25">
      <c r="A1896" s="16" t="s">
        <v>14998</v>
      </c>
    </row>
    <row r="1897" spans="1:1" x14ac:dyDescent="0.25">
      <c r="A1897" s="16" t="s">
        <v>14999</v>
      </c>
    </row>
    <row r="1898" spans="1:1" x14ac:dyDescent="0.25">
      <c r="A1898" s="16" t="s">
        <v>15000</v>
      </c>
    </row>
    <row r="1899" spans="1:1" x14ac:dyDescent="0.25">
      <c r="A1899" s="16" t="s">
        <v>15001</v>
      </c>
    </row>
    <row r="1900" spans="1:1" x14ac:dyDescent="0.25">
      <c r="A1900" s="16" t="s">
        <v>15002</v>
      </c>
    </row>
    <row r="1901" spans="1:1" x14ac:dyDescent="0.25">
      <c r="A1901" s="16" t="s">
        <v>15003</v>
      </c>
    </row>
    <row r="1902" spans="1:1" x14ac:dyDescent="0.25">
      <c r="A1902" s="16" t="s">
        <v>15004</v>
      </c>
    </row>
    <row r="1903" spans="1:1" x14ac:dyDescent="0.25">
      <c r="A1903" s="16" t="s">
        <v>15005</v>
      </c>
    </row>
    <row r="1904" spans="1:1" x14ac:dyDescent="0.25">
      <c r="A1904" s="16" t="s">
        <v>15006</v>
      </c>
    </row>
    <row r="1905" spans="1:1" x14ac:dyDescent="0.25">
      <c r="A1905" s="16" t="s">
        <v>15007</v>
      </c>
    </row>
    <row r="1906" spans="1:1" x14ac:dyDescent="0.25">
      <c r="A1906" s="16" t="s">
        <v>15008</v>
      </c>
    </row>
    <row r="1907" spans="1:1" x14ac:dyDescent="0.25">
      <c r="A1907" s="16" t="s">
        <v>15009</v>
      </c>
    </row>
    <row r="1908" spans="1:1" x14ac:dyDescent="0.25">
      <c r="A1908" s="16" t="s">
        <v>15010</v>
      </c>
    </row>
    <row r="1909" spans="1:1" x14ac:dyDescent="0.25">
      <c r="A1909" s="16" t="s">
        <v>15011</v>
      </c>
    </row>
    <row r="1910" spans="1:1" x14ac:dyDescent="0.25">
      <c r="A1910" s="16" t="s">
        <v>15012</v>
      </c>
    </row>
    <row r="1911" spans="1:1" x14ac:dyDescent="0.25">
      <c r="A1911" s="16" t="s">
        <v>15013</v>
      </c>
    </row>
    <row r="1912" spans="1:1" x14ac:dyDescent="0.25">
      <c r="A1912" s="16" t="s">
        <v>15014</v>
      </c>
    </row>
    <row r="1913" spans="1:1" x14ac:dyDescent="0.25">
      <c r="A1913" s="16" t="s">
        <v>15015</v>
      </c>
    </row>
    <row r="1914" spans="1:1" x14ac:dyDescent="0.25">
      <c r="A1914" s="16" t="s">
        <v>15016</v>
      </c>
    </row>
    <row r="1915" spans="1:1" x14ac:dyDescent="0.25">
      <c r="A1915" s="16" t="s">
        <v>15017</v>
      </c>
    </row>
    <row r="1916" spans="1:1" x14ac:dyDescent="0.25">
      <c r="A1916" s="16" t="s">
        <v>15018</v>
      </c>
    </row>
    <row r="1917" spans="1:1" x14ac:dyDescent="0.25">
      <c r="A1917" s="16" t="s">
        <v>15019</v>
      </c>
    </row>
    <row r="1918" spans="1:1" x14ac:dyDescent="0.25">
      <c r="A1918" s="16" t="s">
        <v>15020</v>
      </c>
    </row>
    <row r="1919" spans="1:1" x14ac:dyDescent="0.25">
      <c r="A1919" s="16" t="s">
        <v>15021</v>
      </c>
    </row>
    <row r="1920" spans="1:1" x14ac:dyDescent="0.25">
      <c r="A1920" s="16" t="s">
        <v>15022</v>
      </c>
    </row>
    <row r="1921" spans="1:1" x14ac:dyDescent="0.25">
      <c r="A1921" s="16" t="s">
        <v>15023</v>
      </c>
    </row>
    <row r="1922" spans="1:1" x14ac:dyDescent="0.25">
      <c r="A1922" s="16" t="s">
        <v>15024</v>
      </c>
    </row>
    <row r="1923" spans="1:1" x14ac:dyDescent="0.25">
      <c r="A1923" s="16" t="s">
        <v>15025</v>
      </c>
    </row>
    <row r="1924" spans="1:1" x14ac:dyDescent="0.25">
      <c r="A1924" s="16" t="s">
        <v>15026</v>
      </c>
    </row>
    <row r="1925" spans="1:1" x14ac:dyDescent="0.25">
      <c r="A1925" s="16" t="s">
        <v>15027</v>
      </c>
    </row>
    <row r="1926" spans="1:1" x14ac:dyDescent="0.25">
      <c r="A1926" s="16" t="s">
        <v>15028</v>
      </c>
    </row>
    <row r="1927" spans="1:1" x14ac:dyDescent="0.25">
      <c r="A1927" s="16" t="s">
        <v>15029</v>
      </c>
    </row>
    <row r="1928" spans="1:1" x14ac:dyDescent="0.25">
      <c r="A1928" s="16" t="s">
        <v>15030</v>
      </c>
    </row>
    <row r="1929" spans="1:1" x14ac:dyDescent="0.25">
      <c r="A1929" s="16" t="s">
        <v>15031</v>
      </c>
    </row>
    <row r="1930" spans="1:1" x14ac:dyDescent="0.25">
      <c r="A1930" s="16" t="s">
        <v>15032</v>
      </c>
    </row>
    <row r="1931" spans="1:1" x14ac:dyDescent="0.25">
      <c r="A1931" s="16" t="s">
        <v>15033</v>
      </c>
    </row>
    <row r="1932" spans="1:1" x14ac:dyDescent="0.25">
      <c r="A1932" s="16" t="s">
        <v>15034</v>
      </c>
    </row>
    <row r="1933" spans="1:1" x14ac:dyDescent="0.25">
      <c r="A1933" s="16" t="s">
        <v>15035</v>
      </c>
    </row>
    <row r="1934" spans="1:1" x14ac:dyDescent="0.25">
      <c r="A1934" s="16" t="s">
        <v>15036</v>
      </c>
    </row>
    <row r="1935" spans="1:1" x14ac:dyDescent="0.25">
      <c r="A1935" s="16" t="s">
        <v>15037</v>
      </c>
    </row>
    <row r="1936" spans="1:1" x14ac:dyDescent="0.25">
      <c r="A1936" s="16" t="s">
        <v>15038</v>
      </c>
    </row>
    <row r="1937" spans="1:1" x14ac:dyDescent="0.25">
      <c r="A1937" s="16" t="s">
        <v>15039</v>
      </c>
    </row>
    <row r="1938" spans="1:1" x14ac:dyDescent="0.25">
      <c r="A1938" s="16" t="s">
        <v>15040</v>
      </c>
    </row>
    <row r="1939" spans="1:1" x14ac:dyDescent="0.25">
      <c r="A1939" s="16" t="s">
        <v>15041</v>
      </c>
    </row>
    <row r="1940" spans="1:1" x14ac:dyDescent="0.25">
      <c r="A1940" s="16" t="s">
        <v>15042</v>
      </c>
    </row>
    <row r="1941" spans="1:1" x14ac:dyDescent="0.25">
      <c r="A1941" s="16" t="s">
        <v>15043</v>
      </c>
    </row>
    <row r="1942" spans="1:1" x14ac:dyDescent="0.25">
      <c r="A1942" s="16" t="s">
        <v>15044</v>
      </c>
    </row>
    <row r="1943" spans="1:1" x14ac:dyDescent="0.25">
      <c r="A1943" s="16" t="s">
        <v>15045</v>
      </c>
    </row>
    <row r="1944" spans="1:1" x14ac:dyDescent="0.25">
      <c r="A1944" s="16" t="s">
        <v>15046</v>
      </c>
    </row>
    <row r="1945" spans="1:1" x14ac:dyDescent="0.25">
      <c r="A1945" s="16" t="s">
        <v>15047</v>
      </c>
    </row>
    <row r="1946" spans="1:1" x14ac:dyDescent="0.25">
      <c r="A1946" s="16" t="s">
        <v>15048</v>
      </c>
    </row>
    <row r="1947" spans="1:1" x14ac:dyDescent="0.25">
      <c r="A1947" s="16" t="s">
        <v>15049</v>
      </c>
    </row>
    <row r="1948" spans="1:1" x14ac:dyDescent="0.25">
      <c r="A1948" s="16" t="s">
        <v>15050</v>
      </c>
    </row>
    <row r="1949" spans="1:1" x14ac:dyDescent="0.25">
      <c r="A1949" s="16" t="s">
        <v>15051</v>
      </c>
    </row>
    <row r="1950" spans="1:1" x14ac:dyDescent="0.25">
      <c r="A1950" s="16" t="s">
        <v>15052</v>
      </c>
    </row>
    <row r="1951" spans="1:1" x14ac:dyDescent="0.25">
      <c r="A1951" s="16" t="s">
        <v>15053</v>
      </c>
    </row>
    <row r="1952" spans="1:1" x14ac:dyDescent="0.25">
      <c r="A1952" s="16" t="s">
        <v>15054</v>
      </c>
    </row>
    <row r="1953" spans="1:1" x14ac:dyDescent="0.25">
      <c r="A1953" s="16" t="s">
        <v>15055</v>
      </c>
    </row>
    <row r="1954" spans="1:1" x14ac:dyDescent="0.25">
      <c r="A1954" s="16" t="s">
        <v>15056</v>
      </c>
    </row>
    <row r="1955" spans="1:1" x14ac:dyDescent="0.25">
      <c r="A1955" s="16" t="s">
        <v>15057</v>
      </c>
    </row>
    <row r="1956" spans="1:1" x14ac:dyDescent="0.25">
      <c r="A1956" s="16" t="s">
        <v>15058</v>
      </c>
    </row>
    <row r="1957" spans="1:1" x14ac:dyDescent="0.25">
      <c r="A1957" s="16" t="s">
        <v>15059</v>
      </c>
    </row>
    <row r="1958" spans="1:1" x14ac:dyDescent="0.25">
      <c r="A1958" s="16" t="s">
        <v>15060</v>
      </c>
    </row>
    <row r="1959" spans="1:1" x14ac:dyDescent="0.25">
      <c r="A1959" s="16" t="s">
        <v>15061</v>
      </c>
    </row>
    <row r="1960" spans="1:1" x14ac:dyDescent="0.25">
      <c r="A1960" s="16" t="s">
        <v>15062</v>
      </c>
    </row>
    <row r="1961" spans="1:1" x14ac:dyDescent="0.25">
      <c r="A1961" s="16" t="s">
        <v>15063</v>
      </c>
    </row>
    <row r="1962" spans="1:1" x14ac:dyDescent="0.25">
      <c r="A1962" s="16" t="s">
        <v>15064</v>
      </c>
    </row>
    <row r="1963" spans="1:1" x14ac:dyDescent="0.25">
      <c r="A1963" s="16" t="s">
        <v>15065</v>
      </c>
    </row>
    <row r="1964" spans="1:1" x14ac:dyDescent="0.25">
      <c r="A1964" s="16" t="s">
        <v>15066</v>
      </c>
    </row>
    <row r="1965" spans="1:1" x14ac:dyDescent="0.25">
      <c r="A1965" s="16" t="s">
        <v>15067</v>
      </c>
    </row>
    <row r="1966" spans="1:1" x14ac:dyDescent="0.25">
      <c r="A1966" s="16" t="s">
        <v>15068</v>
      </c>
    </row>
    <row r="1967" spans="1:1" x14ac:dyDescent="0.25">
      <c r="A1967" s="16" t="s">
        <v>15069</v>
      </c>
    </row>
    <row r="1968" spans="1:1" x14ac:dyDescent="0.25">
      <c r="A1968" s="16" t="s">
        <v>15070</v>
      </c>
    </row>
    <row r="1969" spans="1:1" x14ac:dyDescent="0.25">
      <c r="A1969" s="16" t="s">
        <v>15071</v>
      </c>
    </row>
    <row r="1970" spans="1:1" x14ac:dyDescent="0.25">
      <c r="A1970" s="16" t="s">
        <v>15072</v>
      </c>
    </row>
    <row r="1971" spans="1:1" x14ac:dyDescent="0.25">
      <c r="A1971" s="16" t="s">
        <v>15073</v>
      </c>
    </row>
    <row r="1972" spans="1:1" x14ac:dyDescent="0.25">
      <c r="A1972" s="16" t="s">
        <v>15074</v>
      </c>
    </row>
    <row r="1973" spans="1:1" x14ac:dyDescent="0.25">
      <c r="A1973" s="16" t="s">
        <v>15075</v>
      </c>
    </row>
    <row r="1974" spans="1:1" x14ac:dyDescent="0.25">
      <c r="A1974" s="16" t="s">
        <v>15076</v>
      </c>
    </row>
    <row r="1975" spans="1:1" x14ac:dyDescent="0.25">
      <c r="A1975" s="16" t="s">
        <v>15077</v>
      </c>
    </row>
    <row r="1976" spans="1:1" x14ac:dyDescent="0.25">
      <c r="A1976" s="16" t="s">
        <v>15078</v>
      </c>
    </row>
    <row r="1977" spans="1:1" x14ac:dyDescent="0.25">
      <c r="A1977" s="16" t="s">
        <v>15079</v>
      </c>
    </row>
    <row r="1978" spans="1:1" x14ac:dyDescent="0.25">
      <c r="A1978" s="16" t="s">
        <v>15080</v>
      </c>
    </row>
    <row r="1979" spans="1:1" x14ac:dyDescent="0.25">
      <c r="A1979" s="16" t="s">
        <v>15081</v>
      </c>
    </row>
    <row r="1980" spans="1:1" x14ac:dyDescent="0.25">
      <c r="A1980" s="16" t="s">
        <v>15082</v>
      </c>
    </row>
    <row r="1981" spans="1:1" x14ac:dyDescent="0.25">
      <c r="A1981" s="16" t="s">
        <v>15083</v>
      </c>
    </row>
    <row r="1982" spans="1:1" x14ac:dyDescent="0.25">
      <c r="A1982" s="16" t="s">
        <v>15084</v>
      </c>
    </row>
    <row r="1983" spans="1:1" x14ac:dyDescent="0.25">
      <c r="A1983" s="16" t="s">
        <v>15085</v>
      </c>
    </row>
    <row r="1984" spans="1:1" x14ac:dyDescent="0.25">
      <c r="A1984" s="16" t="s">
        <v>15086</v>
      </c>
    </row>
    <row r="1985" spans="1:1" x14ac:dyDescent="0.25">
      <c r="A1985" s="16" t="s">
        <v>15087</v>
      </c>
    </row>
    <row r="1986" spans="1:1" x14ac:dyDescent="0.25">
      <c r="A1986" s="16" t="s">
        <v>15088</v>
      </c>
    </row>
    <row r="1987" spans="1:1" x14ac:dyDescent="0.25">
      <c r="A1987" s="16" t="s">
        <v>15089</v>
      </c>
    </row>
    <row r="1988" spans="1:1" x14ac:dyDescent="0.25">
      <c r="A1988" s="16" t="s">
        <v>15090</v>
      </c>
    </row>
    <row r="1989" spans="1:1" x14ac:dyDescent="0.25">
      <c r="A1989" s="16" t="s">
        <v>15091</v>
      </c>
    </row>
    <row r="1990" spans="1:1" x14ac:dyDescent="0.25">
      <c r="A1990" s="16" t="s">
        <v>15092</v>
      </c>
    </row>
    <row r="1991" spans="1:1" x14ac:dyDescent="0.25">
      <c r="A1991" s="16" t="s">
        <v>15093</v>
      </c>
    </row>
    <row r="1992" spans="1:1" x14ac:dyDescent="0.25">
      <c r="A1992" s="16" t="s">
        <v>15094</v>
      </c>
    </row>
    <row r="1993" spans="1:1" x14ac:dyDescent="0.25">
      <c r="A1993" s="16" t="s">
        <v>15095</v>
      </c>
    </row>
    <row r="1994" spans="1:1" x14ac:dyDescent="0.25">
      <c r="A1994" s="16" t="s">
        <v>15096</v>
      </c>
    </row>
    <row r="1995" spans="1:1" x14ac:dyDescent="0.25">
      <c r="A1995" s="16" t="s">
        <v>15097</v>
      </c>
    </row>
    <row r="1996" spans="1:1" x14ac:dyDescent="0.25">
      <c r="A1996" s="16" t="s">
        <v>15098</v>
      </c>
    </row>
    <row r="1997" spans="1:1" x14ac:dyDescent="0.25">
      <c r="A1997" s="16" t="s">
        <v>15099</v>
      </c>
    </row>
    <row r="1998" spans="1:1" x14ac:dyDescent="0.25">
      <c r="A1998" s="16" t="s">
        <v>15100</v>
      </c>
    </row>
    <row r="1999" spans="1:1" x14ac:dyDescent="0.25">
      <c r="A1999" s="16" t="s">
        <v>15101</v>
      </c>
    </row>
    <row r="2000" spans="1:1" x14ac:dyDescent="0.25">
      <c r="A2000" s="16" t="s">
        <v>15102</v>
      </c>
    </row>
    <row r="2001" spans="1:1" x14ac:dyDescent="0.25">
      <c r="A2001" s="16" t="s">
        <v>15103</v>
      </c>
    </row>
    <row r="2002" spans="1:1" x14ac:dyDescent="0.25">
      <c r="A2002" s="16" t="s">
        <v>15104</v>
      </c>
    </row>
    <row r="2003" spans="1:1" x14ac:dyDescent="0.25">
      <c r="A2003" s="16" t="s">
        <v>15105</v>
      </c>
    </row>
    <row r="2004" spans="1:1" x14ac:dyDescent="0.25">
      <c r="A2004" s="16" t="s">
        <v>15106</v>
      </c>
    </row>
    <row r="2005" spans="1:1" x14ac:dyDescent="0.25">
      <c r="A2005" s="16" t="s">
        <v>15107</v>
      </c>
    </row>
    <row r="2006" spans="1:1" x14ac:dyDescent="0.25">
      <c r="A2006" s="16" t="s">
        <v>15108</v>
      </c>
    </row>
    <row r="2007" spans="1:1" x14ac:dyDescent="0.25">
      <c r="A2007" s="16" t="s">
        <v>15109</v>
      </c>
    </row>
    <row r="2008" spans="1:1" x14ac:dyDescent="0.25">
      <c r="A2008" s="16" t="s">
        <v>15110</v>
      </c>
    </row>
    <row r="2009" spans="1:1" x14ac:dyDescent="0.25">
      <c r="A2009" s="16" t="s">
        <v>15111</v>
      </c>
    </row>
    <row r="2010" spans="1:1" x14ac:dyDescent="0.25">
      <c r="A2010" s="16" t="s">
        <v>15112</v>
      </c>
    </row>
    <row r="2011" spans="1:1" x14ac:dyDescent="0.25">
      <c r="A2011" s="16" t="s">
        <v>15113</v>
      </c>
    </row>
    <row r="2012" spans="1:1" x14ac:dyDescent="0.25">
      <c r="A2012" s="16" t="s">
        <v>15114</v>
      </c>
    </row>
    <row r="2013" spans="1:1" x14ac:dyDescent="0.25">
      <c r="A2013" s="16" t="s">
        <v>15115</v>
      </c>
    </row>
    <row r="2014" spans="1:1" x14ac:dyDescent="0.25">
      <c r="A2014" s="16" t="s">
        <v>15116</v>
      </c>
    </row>
    <row r="2015" spans="1:1" x14ac:dyDescent="0.25">
      <c r="A2015" s="16" t="s">
        <v>15117</v>
      </c>
    </row>
    <row r="2016" spans="1:1" x14ac:dyDescent="0.25">
      <c r="A2016" s="16" t="s">
        <v>15118</v>
      </c>
    </row>
    <row r="2017" spans="1:1" x14ac:dyDescent="0.25">
      <c r="A2017" s="16" t="s">
        <v>15119</v>
      </c>
    </row>
    <row r="2018" spans="1:1" x14ac:dyDescent="0.25">
      <c r="A2018" s="16" t="s">
        <v>15120</v>
      </c>
    </row>
    <row r="2019" spans="1:1" x14ac:dyDescent="0.25">
      <c r="A2019" s="16" t="s">
        <v>15121</v>
      </c>
    </row>
    <row r="2020" spans="1:1" x14ac:dyDescent="0.25">
      <c r="A2020" s="16" t="s">
        <v>15122</v>
      </c>
    </row>
    <row r="2021" spans="1:1" x14ac:dyDescent="0.25">
      <c r="A2021" s="16" t="s">
        <v>15123</v>
      </c>
    </row>
    <row r="2022" spans="1:1" x14ac:dyDescent="0.25">
      <c r="A2022" s="16" t="s">
        <v>15124</v>
      </c>
    </row>
    <row r="2023" spans="1:1" x14ac:dyDescent="0.25">
      <c r="A2023" s="16" t="s">
        <v>15125</v>
      </c>
    </row>
    <row r="2024" spans="1:1" x14ac:dyDescent="0.25">
      <c r="A2024" s="16" t="s">
        <v>15126</v>
      </c>
    </row>
    <row r="2025" spans="1:1" x14ac:dyDescent="0.25">
      <c r="A2025" s="16" t="s">
        <v>15127</v>
      </c>
    </row>
    <row r="2026" spans="1:1" x14ac:dyDescent="0.25">
      <c r="A2026" s="16" t="s">
        <v>15128</v>
      </c>
    </row>
    <row r="2027" spans="1:1" x14ac:dyDescent="0.25">
      <c r="A2027" s="16" t="s">
        <v>15129</v>
      </c>
    </row>
    <row r="2028" spans="1:1" x14ac:dyDescent="0.25">
      <c r="A2028" s="16" t="s">
        <v>15130</v>
      </c>
    </row>
    <row r="2029" spans="1:1" x14ac:dyDescent="0.25">
      <c r="A2029" s="16" t="s">
        <v>15131</v>
      </c>
    </row>
    <row r="2030" spans="1:1" x14ac:dyDescent="0.25">
      <c r="A2030" s="16" t="s">
        <v>15132</v>
      </c>
    </row>
    <row r="2031" spans="1:1" x14ac:dyDescent="0.25">
      <c r="A2031" s="16" t="s">
        <v>15133</v>
      </c>
    </row>
    <row r="2032" spans="1:1" x14ac:dyDescent="0.25">
      <c r="A2032" s="16" t="s">
        <v>15134</v>
      </c>
    </row>
    <row r="2033" spans="1:1" x14ac:dyDescent="0.25">
      <c r="A2033" s="16" t="s">
        <v>15135</v>
      </c>
    </row>
    <row r="2034" spans="1:1" x14ac:dyDescent="0.25">
      <c r="A2034" s="16" t="s">
        <v>15136</v>
      </c>
    </row>
    <row r="2035" spans="1:1" x14ac:dyDescent="0.25">
      <c r="A2035" s="16" t="s">
        <v>15137</v>
      </c>
    </row>
    <row r="2036" spans="1:1" x14ac:dyDescent="0.25">
      <c r="A2036" s="16" t="s">
        <v>15138</v>
      </c>
    </row>
    <row r="2037" spans="1:1" x14ac:dyDescent="0.25">
      <c r="A2037" s="16" t="s">
        <v>15139</v>
      </c>
    </row>
    <row r="2038" spans="1:1" x14ac:dyDescent="0.25">
      <c r="A2038" s="16" t="s">
        <v>15140</v>
      </c>
    </row>
    <row r="2039" spans="1:1" x14ac:dyDescent="0.25">
      <c r="A2039" s="16" t="s">
        <v>15141</v>
      </c>
    </row>
    <row r="2040" spans="1:1" x14ac:dyDescent="0.25">
      <c r="A2040" s="16" t="s">
        <v>15142</v>
      </c>
    </row>
    <row r="2041" spans="1:1" x14ac:dyDescent="0.25">
      <c r="A2041" s="16" t="s">
        <v>15143</v>
      </c>
    </row>
    <row r="2042" spans="1:1" x14ac:dyDescent="0.25">
      <c r="A2042" s="16" t="s">
        <v>15144</v>
      </c>
    </row>
    <row r="2043" spans="1:1" x14ac:dyDescent="0.25">
      <c r="A2043" s="16" t="s">
        <v>15145</v>
      </c>
    </row>
    <row r="2044" spans="1:1" x14ac:dyDescent="0.25">
      <c r="A2044" s="16" t="s">
        <v>15146</v>
      </c>
    </row>
    <row r="2045" spans="1:1" x14ac:dyDescent="0.25">
      <c r="A2045" s="16" t="s">
        <v>15147</v>
      </c>
    </row>
    <row r="2046" spans="1:1" x14ac:dyDescent="0.25">
      <c r="A2046" s="16" t="s">
        <v>15148</v>
      </c>
    </row>
    <row r="2047" spans="1:1" x14ac:dyDescent="0.25">
      <c r="A2047" s="16" t="s">
        <v>15149</v>
      </c>
    </row>
    <row r="2048" spans="1:1" x14ac:dyDescent="0.25">
      <c r="A2048" s="16" t="s">
        <v>15150</v>
      </c>
    </row>
    <row r="2049" spans="1:1" x14ac:dyDescent="0.25">
      <c r="A2049" s="16" t="s">
        <v>15151</v>
      </c>
    </row>
    <row r="2050" spans="1:1" x14ac:dyDescent="0.25">
      <c r="A2050" s="16" t="s">
        <v>15152</v>
      </c>
    </row>
    <row r="2051" spans="1:1" x14ac:dyDescent="0.25">
      <c r="A2051" s="16" t="s">
        <v>15153</v>
      </c>
    </row>
    <row r="2052" spans="1:1" x14ac:dyDescent="0.25">
      <c r="A2052" s="16" t="s">
        <v>15154</v>
      </c>
    </row>
    <row r="2053" spans="1:1" x14ac:dyDescent="0.25">
      <c r="A2053" s="16" t="s">
        <v>10776</v>
      </c>
    </row>
    <row r="2054" spans="1:1" x14ac:dyDescent="0.25">
      <c r="A2054" s="16" t="s">
        <v>15155</v>
      </c>
    </row>
    <row r="2055" spans="1:1" x14ac:dyDescent="0.25">
      <c r="A2055" s="16" t="s">
        <v>15156</v>
      </c>
    </row>
    <row r="2056" spans="1:1" x14ac:dyDescent="0.25">
      <c r="A2056" s="16" t="s">
        <v>15157</v>
      </c>
    </row>
    <row r="2057" spans="1:1" x14ac:dyDescent="0.25">
      <c r="A2057" s="16" t="s">
        <v>15158</v>
      </c>
    </row>
    <row r="2058" spans="1:1" x14ac:dyDescent="0.25">
      <c r="A2058" s="16" t="s">
        <v>15159</v>
      </c>
    </row>
    <row r="2059" spans="1:1" x14ac:dyDescent="0.25">
      <c r="A2059" s="16" t="s">
        <v>15160</v>
      </c>
    </row>
    <row r="2060" spans="1:1" x14ac:dyDescent="0.25">
      <c r="A2060" s="16" t="s">
        <v>15161</v>
      </c>
    </row>
    <row r="2061" spans="1:1" x14ac:dyDescent="0.25">
      <c r="A2061" s="16" t="s">
        <v>15162</v>
      </c>
    </row>
    <row r="2062" spans="1:1" x14ac:dyDescent="0.25">
      <c r="A2062" s="16" t="s">
        <v>15163</v>
      </c>
    </row>
    <row r="2063" spans="1:1" x14ac:dyDescent="0.25">
      <c r="A2063" s="16" t="s">
        <v>15164</v>
      </c>
    </row>
    <row r="2064" spans="1:1" x14ac:dyDescent="0.25">
      <c r="A2064" s="16" t="s">
        <v>15165</v>
      </c>
    </row>
    <row r="2065" spans="1:1" x14ac:dyDescent="0.25">
      <c r="A2065" s="16" t="s">
        <v>15166</v>
      </c>
    </row>
    <row r="2066" spans="1:1" x14ac:dyDescent="0.25">
      <c r="A2066" s="16" t="s">
        <v>15167</v>
      </c>
    </row>
    <row r="2067" spans="1:1" x14ac:dyDescent="0.25">
      <c r="A2067" s="16" t="s">
        <v>15168</v>
      </c>
    </row>
    <row r="2068" spans="1:1" x14ac:dyDescent="0.25">
      <c r="A2068" s="16" t="s">
        <v>15169</v>
      </c>
    </row>
    <row r="2069" spans="1:1" x14ac:dyDescent="0.25">
      <c r="A2069" s="16" t="s">
        <v>15170</v>
      </c>
    </row>
    <row r="2070" spans="1:1" x14ac:dyDescent="0.25">
      <c r="A2070" s="16" t="s">
        <v>15171</v>
      </c>
    </row>
    <row r="2071" spans="1:1" x14ac:dyDescent="0.25">
      <c r="A2071" s="16" t="s">
        <v>15172</v>
      </c>
    </row>
    <row r="2072" spans="1:1" x14ac:dyDescent="0.25">
      <c r="A2072" s="16" t="s">
        <v>15173</v>
      </c>
    </row>
    <row r="2073" spans="1:1" x14ac:dyDescent="0.25">
      <c r="A2073" s="16" t="s">
        <v>15174</v>
      </c>
    </row>
    <row r="2074" spans="1:1" x14ac:dyDescent="0.25">
      <c r="A2074" s="16" t="s">
        <v>15175</v>
      </c>
    </row>
    <row r="2075" spans="1:1" x14ac:dyDescent="0.25">
      <c r="A2075" s="16" t="s">
        <v>15176</v>
      </c>
    </row>
    <row r="2076" spans="1:1" x14ac:dyDescent="0.25">
      <c r="A2076" s="16" t="s">
        <v>15177</v>
      </c>
    </row>
    <row r="2077" spans="1:1" x14ac:dyDescent="0.25">
      <c r="A2077" s="16" t="s">
        <v>15178</v>
      </c>
    </row>
    <row r="2078" spans="1:1" x14ac:dyDescent="0.25">
      <c r="A2078" s="16" t="s">
        <v>15179</v>
      </c>
    </row>
    <row r="2079" spans="1:1" x14ac:dyDescent="0.25">
      <c r="A2079" s="16" t="s">
        <v>15180</v>
      </c>
    </row>
    <row r="2080" spans="1:1" x14ac:dyDescent="0.25">
      <c r="A2080" s="16" t="s">
        <v>15181</v>
      </c>
    </row>
    <row r="2081" spans="1:1" x14ac:dyDescent="0.25">
      <c r="A2081" s="16" t="s">
        <v>15182</v>
      </c>
    </row>
    <row r="2082" spans="1:1" x14ac:dyDescent="0.25">
      <c r="A2082" s="16" t="s">
        <v>15183</v>
      </c>
    </row>
    <row r="2083" spans="1:1" x14ac:dyDescent="0.25">
      <c r="A2083" s="16" t="s">
        <v>15184</v>
      </c>
    </row>
    <row r="2084" spans="1:1" x14ac:dyDescent="0.25">
      <c r="A2084" s="16" t="s">
        <v>15185</v>
      </c>
    </row>
    <row r="2085" spans="1:1" x14ac:dyDescent="0.25">
      <c r="A2085" s="16" t="s">
        <v>15186</v>
      </c>
    </row>
    <row r="2086" spans="1:1" x14ac:dyDescent="0.25">
      <c r="A2086" s="16" t="s">
        <v>15187</v>
      </c>
    </row>
    <row r="2087" spans="1:1" x14ac:dyDescent="0.25">
      <c r="A2087" s="16" t="s">
        <v>15188</v>
      </c>
    </row>
    <row r="2088" spans="1:1" x14ac:dyDescent="0.25">
      <c r="A2088" s="16" t="s">
        <v>15189</v>
      </c>
    </row>
    <row r="2089" spans="1:1" x14ac:dyDescent="0.25">
      <c r="A2089" s="16" t="s">
        <v>15190</v>
      </c>
    </row>
    <row r="2090" spans="1:1" x14ac:dyDescent="0.25">
      <c r="A2090" s="16" t="s">
        <v>15191</v>
      </c>
    </row>
    <row r="2091" spans="1:1" x14ac:dyDescent="0.25">
      <c r="A2091" s="16" t="s">
        <v>15192</v>
      </c>
    </row>
    <row r="2092" spans="1:1" x14ac:dyDescent="0.25">
      <c r="A2092" s="16" t="s">
        <v>15193</v>
      </c>
    </row>
    <row r="2093" spans="1:1" x14ac:dyDescent="0.25">
      <c r="A2093" s="16" t="s">
        <v>15194</v>
      </c>
    </row>
    <row r="2094" spans="1:1" x14ac:dyDescent="0.25">
      <c r="A2094" s="16" t="s">
        <v>15195</v>
      </c>
    </row>
    <row r="2095" spans="1:1" x14ac:dyDescent="0.25">
      <c r="A2095" s="16" t="s">
        <v>15196</v>
      </c>
    </row>
    <row r="2096" spans="1:1" x14ac:dyDescent="0.25">
      <c r="A2096" s="16" t="s">
        <v>15197</v>
      </c>
    </row>
    <row r="2097" spans="1:1" x14ac:dyDescent="0.25">
      <c r="A2097" s="16" t="s">
        <v>15198</v>
      </c>
    </row>
    <row r="2098" spans="1:1" x14ac:dyDescent="0.25">
      <c r="A2098" s="16" t="s">
        <v>15199</v>
      </c>
    </row>
    <row r="2099" spans="1:1" x14ac:dyDescent="0.25">
      <c r="A2099" s="16" t="s">
        <v>15200</v>
      </c>
    </row>
    <row r="2100" spans="1:1" x14ac:dyDescent="0.25">
      <c r="A2100" s="16" t="s">
        <v>15201</v>
      </c>
    </row>
    <row r="2101" spans="1:1" x14ac:dyDescent="0.25">
      <c r="A2101" s="16" t="s">
        <v>15202</v>
      </c>
    </row>
    <row r="2102" spans="1:1" x14ac:dyDescent="0.25">
      <c r="A2102" s="16" t="s">
        <v>15203</v>
      </c>
    </row>
    <row r="2103" spans="1:1" x14ac:dyDescent="0.25">
      <c r="A2103" s="16" t="s">
        <v>15204</v>
      </c>
    </row>
    <row r="2104" spans="1:1" x14ac:dyDescent="0.25">
      <c r="A2104" s="16" t="s">
        <v>15205</v>
      </c>
    </row>
    <row r="2105" spans="1:1" x14ac:dyDescent="0.25">
      <c r="A2105" s="16" t="s">
        <v>15206</v>
      </c>
    </row>
    <row r="2106" spans="1:1" x14ac:dyDescent="0.25">
      <c r="A2106" s="16" t="s">
        <v>15207</v>
      </c>
    </row>
    <row r="2107" spans="1:1" x14ac:dyDescent="0.25">
      <c r="A2107" s="16" t="s">
        <v>15208</v>
      </c>
    </row>
    <row r="2108" spans="1:1" x14ac:dyDescent="0.25">
      <c r="A2108" s="16" t="s">
        <v>15209</v>
      </c>
    </row>
    <row r="2109" spans="1:1" x14ac:dyDescent="0.25">
      <c r="A2109" s="16" t="s">
        <v>15210</v>
      </c>
    </row>
    <row r="2110" spans="1:1" x14ac:dyDescent="0.25">
      <c r="A2110" s="16" t="s">
        <v>15211</v>
      </c>
    </row>
    <row r="2111" spans="1:1" x14ac:dyDescent="0.25">
      <c r="A2111" s="16" t="s">
        <v>15212</v>
      </c>
    </row>
    <row r="2112" spans="1:1" x14ac:dyDescent="0.25">
      <c r="A2112" s="16" t="s">
        <v>15213</v>
      </c>
    </row>
    <row r="2113" spans="1:1" x14ac:dyDescent="0.25">
      <c r="A2113" s="16" t="s">
        <v>15214</v>
      </c>
    </row>
    <row r="2114" spans="1:1" x14ac:dyDescent="0.25">
      <c r="A2114" s="16" t="s">
        <v>15215</v>
      </c>
    </row>
    <row r="2115" spans="1:1" x14ac:dyDescent="0.25">
      <c r="A2115" s="16" t="s">
        <v>15216</v>
      </c>
    </row>
    <row r="2116" spans="1:1" x14ac:dyDescent="0.25">
      <c r="A2116" s="16" t="s">
        <v>15217</v>
      </c>
    </row>
    <row r="2117" spans="1:1" x14ac:dyDescent="0.25">
      <c r="A2117" s="16" t="s">
        <v>15218</v>
      </c>
    </row>
    <row r="2118" spans="1:1" x14ac:dyDescent="0.25">
      <c r="A2118" s="16" t="s">
        <v>15219</v>
      </c>
    </row>
    <row r="2119" spans="1:1" x14ac:dyDescent="0.25">
      <c r="A2119" s="16" t="s">
        <v>15220</v>
      </c>
    </row>
    <row r="2120" spans="1:1" x14ac:dyDescent="0.25">
      <c r="A2120" s="16" t="s">
        <v>15221</v>
      </c>
    </row>
    <row r="2121" spans="1:1" x14ac:dyDescent="0.25">
      <c r="A2121" s="16" t="s">
        <v>15222</v>
      </c>
    </row>
    <row r="2122" spans="1:1" x14ac:dyDescent="0.25">
      <c r="A2122" s="16" t="s">
        <v>15223</v>
      </c>
    </row>
    <row r="2123" spans="1:1" x14ac:dyDescent="0.25">
      <c r="A2123" s="16" t="s">
        <v>15224</v>
      </c>
    </row>
    <row r="2124" spans="1:1" x14ac:dyDescent="0.25">
      <c r="A2124" s="16" t="s">
        <v>15225</v>
      </c>
    </row>
    <row r="2125" spans="1:1" x14ac:dyDescent="0.25">
      <c r="A2125" s="16" t="s">
        <v>15226</v>
      </c>
    </row>
    <row r="2126" spans="1:1" x14ac:dyDescent="0.25">
      <c r="A2126" s="16" t="s">
        <v>15227</v>
      </c>
    </row>
    <row r="2127" spans="1:1" x14ac:dyDescent="0.25">
      <c r="A2127" s="16" t="s">
        <v>15228</v>
      </c>
    </row>
    <row r="2128" spans="1:1" x14ac:dyDescent="0.25">
      <c r="A2128" s="16" t="s">
        <v>15229</v>
      </c>
    </row>
    <row r="2129" spans="1:1" x14ac:dyDescent="0.25">
      <c r="A2129" s="16" t="s">
        <v>15230</v>
      </c>
    </row>
    <row r="2130" spans="1:1" x14ac:dyDescent="0.25">
      <c r="A2130" s="16" t="s">
        <v>15231</v>
      </c>
    </row>
    <row r="2131" spans="1:1" x14ac:dyDescent="0.25">
      <c r="A2131" s="16" t="s">
        <v>15232</v>
      </c>
    </row>
    <row r="2132" spans="1:1" x14ac:dyDescent="0.25">
      <c r="A2132" s="16" t="s">
        <v>15233</v>
      </c>
    </row>
    <row r="2133" spans="1:1" x14ac:dyDescent="0.25">
      <c r="A2133" s="16" t="s">
        <v>15234</v>
      </c>
    </row>
    <row r="2134" spans="1:1" x14ac:dyDescent="0.25">
      <c r="A2134" s="16" t="s">
        <v>15235</v>
      </c>
    </row>
    <row r="2135" spans="1:1" x14ac:dyDescent="0.25">
      <c r="A2135" s="16" t="s">
        <v>15236</v>
      </c>
    </row>
    <row r="2136" spans="1:1" x14ac:dyDescent="0.25">
      <c r="A2136" s="16" t="s">
        <v>15237</v>
      </c>
    </row>
    <row r="2137" spans="1:1" x14ac:dyDescent="0.25">
      <c r="A2137" s="16" t="s">
        <v>15238</v>
      </c>
    </row>
    <row r="2138" spans="1:1" x14ac:dyDescent="0.25">
      <c r="A2138" s="16" t="s">
        <v>15239</v>
      </c>
    </row>
    <row r="2139" spans="1:1" x14ac:dyDescent="0.25">
      <c r="A2139" s="16" t="s">
        <v>15240</v>
      </c>
    </row>
    <row r="2140" spans="1:1" x14ac:dyDescent="0.25">
      <c r="A2140" s="16" t="s">
        <v>15241</v>
      </c>
    </row>
    <row r="2141" spans="1:1" x14ac:dyDescent="0.25">
      <c r="A2141" s="16" t="s">
        <v>15242</v>
      </c>
    </row>
    <row r="2142" spans="1:1" x14ac:dyDescent="0.25">
      <c r="A2142" s="16" t="s">
        <v>15243</v>
      </c>
    </row>
    <row r="2143" spans="1:1" x14ac:dyDescent="0.25">
      <c r="A2143" s="16" t="s">
        <v>15244</v>
      </c>
    </row>
    <row r="2144" spans="1:1" x14ac:dyDescent="0.25">
      <c r="A2144" s="16" t="s">
        <v>15245</v>
      </c>
    </row>
    <row r="2145" spans="1:1" x14ac:dyDescent="0.25">
      <c r="A2145" s="16" t="s">
        <v>15246</v>
      </c>
    </row>
    <row r="2146" spans="1:1" x14ac:dyDescent="0.25">
      <c r="A2146" s="16" t="s">
        <v>15247</v>
      </c>
    </row>
    <row r="2147" spans="1:1" x14ac:dyDescent="0.25">
      <c r="A2147" s="16" t="s">
        <v>15248</v>
      </c>
    </row>
    <row r="2148" spans="1:1" x14ac:dyDescent="0.25">
      <c r="A2148" s="16" t="s">
        <v>15249</v>
      </c>
    </row>
    <row r="2149" spans="1:1" x14ac:dyDescent="0.25">
      <c r="A2149" s="16" t="s">
        <v>15250</v>
      </c>
    </row>
    <row r="2150" spans="1:1" x14ac:dyDescent="0.25">
      <c r="A2150" s="16" t="s">
        <v>15251</v>
      </c>
    </row>
    <row r="2151" spans="1:1" x14ac:dyDescent="0.25">
      <c r="A2151" s="16" t="s">
        <v>15252</v>
      </c>
    </row>
    <row r="2152" spans="1:1" x14ac:dyDescent="0.25">
      <c r="A2152" s="16" t="s">
        <v>15253</v>
      </c>
    </row>
    <row r="2153" spans="1:1" x14ac:dyDescent="0.25">
      <c r="A2153" s="16" t="s">
        <v>15254</v>
      </c>
    </row>
    <row r="2154" spans="1:1" x14ac:dyDescent="0.25">
      <c r="A2154" s="16" t="s">
        <v>15255</v>
      </c>
    </row>
    <row r="2155" spans="1:1" x14ac:dyDescent="0.25">
      <c r="A2155" s="16" t="s">
        <v>15256</v>
      </c>
    </row>
    <row r="2156" spans="1:1" x14ac:dyDescent="0.25">
      <c r="A2156" s="16" t="s">
        <v>15257</v>
      </c>
    </row>
    <row r="2157" spans="1:1" x14ac:dyDescent="0.25">
      <c r="A2157" s="16" t="s">
        <v>15258</v>
      </c>
    </row>
    <row r="2158" spans="1:1" x14ac:dyDescent="0.25">
      <c r="A2158" s="16" t="s">
        <v>15259</v>
      </c>
    </row>
    <row r="2159" spans="1:1" x14ac:dyDescent="0.25">
      <c r="A2159" s="16" t="s">
        <v>15260</v>
      </c>
    </row>
    <row r="2160" spans="1:1" x14ac:dyDescent="0.25">
      <c r="A2160" s="16" t="s">
        <v>15261</v>
      </c>
    </row>
    <row r="2161" spans="1:1" x14ac:dyDescent="0.25">
      <c r="A2161" s="16" t="s">
        <v>15262</v>
      </c>
    </row>
    <row r="2162" spans="1:1" x14ac:dyDescent="0.25">
      <c r="A2162" s="16" t="s">
        <v>15263</v>
      </c>
    </row>
    <row r="2163" spans="1:1" x14ac:dyDescent="0.25">
      <c r="A2163" s="16" t="s">
        <v>15264</v>
      </c>
    </row>
    <row r="2164" spans="1:1" x14ac:dyDescent="0.25">
      <c r="A2164" s="16" t="s">
        <v>15265</v>
      </c>
    </row>
    <row r="2165" spans="1:1" x14ac:dyDescent="0.25">
      <c r="A2165" s="16" t="s">
        <v>15266</v>
      </c>
    </row>
    <row r="2166" spans="1:1" x14ac:dyDescent="0.25">
      <c r="A2166" s="16" t="s">
        <v>15267</v>
      </c>
    </row>
    <row r="2167" spans="1:1" x14ac:dyDescent="0.25">
      <c r="A2167" s="16" t="s">
        <v>15268</v>
      </c>
    </row>
    <row r="2168" spans="1:1" x14ac:dyDescent="0.25">
      <c r="A2168" s="16" t="s">
        <v>15269</v>
      </c>
    </row>
    <row r="2169" spans="1:1" x14ac:dyDescent="0.25">
      <c r="A2169" s="16" t="s">
        <v>15270</v>
      </c>
    </row>
    <row r="2170" spans="1:1" x14ac:dyDescent="0.25">
      <c r="A2170" s="16" t="s">
        <v>15271</v>
      </c>
    </row>
    <row r="2171" spans="1:1" x14ac:dyDescent="0.25">
      <c r="A2171" s="16" t="s">
        <v>15272</v>
      </c>
    </row>
    <row r="2172" spans="1:1" x14ac:dyDescent="0.25">
      <c r="A2172" s="16" t="s">
        <v>15273</v>
      </c>
    </row>
    <row r="2173" spans="1:1" x14ac:dyDescent="0.25">
      <c r="A2173" s="16" t="s">
        <v>15274</v>
      </c>
    </row>
    <row r="2174" spans="1:1" x14ac:dyDescent="0.25">
      <c r="A2174" s="16" t="s">
        <v>15275</v>
      </c>
    </row>
    <row r="2175" spans="1:1" x14ac:dyDescent="0.25">
      <c r="A2175" s="16" t="s">
        <v>15276</v>
      </c>
    </row>
    <row r="2176" spans="1:1" x14ac:dyDescent="0.25">
      <c r="A2176" s="16" t="s">
        <v>15277</v>
      </c>
    </row>
    <row r="2177" spans="1:1" x14ac:dyDescent="0.25">
      <c r="A2177" s="16" t="s">
        <v>15278</v>
      </c>
    </row>
    <row r="2178" spans="1:1" x14ac:dyDescent="0.25">
      <c r="A2178" s="16" t="s">
        <v>15279</v>
      </c>
    </row>
    <row r="2179" spans="1:1" x14ac:dyDescent="0.25">
      <c r="A2179" s="16" t="s">
        <v>15280</v>
      </c>
    </row>
    <row r="2180" spans="1:1" x14ac:dyDescent="0.25">
      <c r="A2180" s="16" t="s">
        <v>15281</v>
      </c>
    </row>
    <row r="2181" spans="1:1" x14ac:dyDescent="0.25">
      <c r="A2181" s="16" t="s">
        <v>15282</v>
      </c>
    </row>
    <row r="2182" spans="1:1" x14ac:dyDescent="0.25">
      <c r="A2182" s="16" t="s">
        <v>15283</v>
      </c>
    </row>
    <row r="2183" spans="1:1" x14ac:dyDescent="0.25">
      <c r="A2183" s="16" t="s">
        <v>15284</v>
      </c>
    </row>
    <row r="2184" spans="1:1" x14ac:dyDescent="0.25">
      <c r="A2184" s="16" t="s">
        <v>15285</v>
      </c>
    </row>
    <row r="2185" spans="1:1" x14ac:dyDescent="0.25">
      <c r="A2185" s="16" t="s">
        <v>15286</v>
      </c>
    </row>
    <row r="2186" spans="1:1" x14ac:dyDescent="0.25">
      <c r="A2186" s="16" t="s">
        <v>15287</v>
      </c>
    </row>
    <row r="2187" spans="1:1" x14ac:dyDescent="0.25">
      <c r="A2187" s="16" t="s">
        <v>15288</v>
      </c>
    </row>
    <row r="2188" spans="1:1" x14ac:dyDescent="0.25">
      <c r="A2188" s="16" t="s">
        <v>15289</v>
      </c>
    </row>
    <row r="2189" spans="1:1" x14ac:dyDescent="0.25">
      <c r="A2189" s="16" t="s">
        <v>15290</v>
      </c>
    </row>
    <row r="2190" spans="1:1" x14ac:dyDescent="0.25">
      <c r="A2190" s="16" t="s">
        <v>15291</v>
      </c>
    </row>
    <row r="2191" spans="1:1" x14ac:dyDescent="0.25">
      <c r="A2191" s="16" t="s">
        <v>15292</v>
      </c>
    </row>
    <row r="2192" spans="1:1" x14ac:dyDescent="0.25">
      <c r="A2192" s="16" t="s">
        <v>15293</v>
      </c>
    </row>
    <row r="2193" spans="1:1" x14ac:dyDescent="0.25">
      <c r="A2193" s="16" t="s">
        <v>15294</v>
      </c>
    </row>
    <row r="2194" spans="1:1" x14ac:dyDescent="0.25">
      <c r="A2194" s="16" t="s">
        <v>15295</v>
      </c>
    </row>
    <row r="2195" spans="1:1" x14ac:dyDescent="0.25">
      <c r="A2195" s="16" t="s">
        <v>15296</v>
      </c>
    </row>
    <row r="2196" spans="1:1" x14ac:dyDescent="0.25">
      <c r="A2196" s="16" t="s">
        <v>15297</v>
      </c>
    </row>
    <row r="2197" spans="1:1" x14ac:dyDescent="0.25">
      <c r="A2197" s="16" t="s">
        <v>15298</v>
      </c>
    </row>
    <row r="2198" spans="1:1" x14ac:dyDescent="0.25">
      <c r="A2198" s="16" t="s">
        <v>15299</v>
      </c>
    </row>
    <row r="2199" spans="1:1" x14ac:dyDescent="0.25">
      <c r="A2199" s="16" t="s">
        <v>15300</v>
      </c>
    </row>
    <row r="2200" spans="1:1" x14ac:dyDescent="0.25">
      <c r="A2200" s="16" t="s">
        <v>15301</v>
      </c>
    </row>
    <row r="2201" spans="1:1" x14ac:dyDescent="0.25">
      <c r="A2201" s="16" t="s">
        <v>15302</v>
      </c>
    </row>
    <row r="2202" spans="1:1" x14ac:dyDescent="0.25">
      <c r="A2202" s="16" t="s">
        <v>15303</v>
      </c>
    </row>
    <row r="2203" spans="1:1" x14ac:dyDescent="0.25">
      <c r="A2203" s="16" t="s">
        <v>15304</v>
      </c>
    </row>
    <row r="2204" spans="1:1" x14ac:dyDescent="0.25">
      <c r="A2204" s="16" t="s">
        <v>15305</v>
      </c>
    </row>
    <row r="2205" spans="1:1" x14ac:dyDescent="0.25">
      <c r="A2205" s="16" t="s">
        <v>15306</v>
      </c>
    </row>
    <row r="2206" spans="1:1" x14ac:dyDescent="0.25">
      <c r="A2206" s="16" t="s">
        <v>15307</v>
      </c>
    </row>
    <row r="2207" spans="1:1" x14ac:dyDescent="0.25">
      <c r="A2207" s="16" t="s">
        <v>15308</v>
      </c>
    </row>
    <row r="2208" spans="1:1" x14ac:dyDescent="0.25">
      <c r="A2208" s="16" t="s">
        <v>15309</v>
      </c>
    </row>
    <row r="2209" spans="1:1" x14ac:dyDescent="0.25">
      <c r="A2209" s="16" t="s">
        <v>15310</v>
      </c>
    </row>
    <row r="2210" spans="1:1" x14ac:dyDescent="0.25">
      <c r="A2210" s="16" t="s">
        <v>15311</v>
      </c>
    </row>
    <row r="2211" spans="1:1" x14ac:dyDescent="0.25">
      <c r="A2211" s="16" t="s">
        <v>15312</v>
      </c>
    </row>
    <row r="2212" spans="1:1" x14ac:dyDescent="0.25">
      <c r="A2212" s="16" t="s">
        <v>15313</v>
      </c>
    </row>
    <row r="2213" spans="1:1" x14ac:dyDescent="0.25">
      <c r="A2213" s="16" t="s">
        <v>15314</v>
      </c>
    </row>
    <row r="2214" spans="1:1" x14ac:dyDescent="0.25">
      <c r="A2214" s="16" t="s">
        <v>15315</v>
      </c>
    </row>
    <row r="2215" spans="1:1" x14ac:dyDescent="0.25">
      <c r="A2215" s="16" t="s">
        <v>15316</v>
      </c>
    </row>
    <row r="2216" spans="1:1" x14ac:dyDescent="0.25">
      <c r="A2216" s="16" t="s">
        <v>15317</v>
      </c>
    </row>
    <row r="2217" spans="1:1" x14ac:dyDescent="0.25">
      <c r="A2217" s="16" t="s">
        <v>15318</v>
      </c>
    </row>
    <row r="2218" spans="1:1" x14ac:dyDescent="0.25">
      <c r="A2218" s="16" t="s">
        <v>15319</v>
      </c>
    </row>
    <row r="2219" spans="1:1" x14ac:dyDescent="0.25">
      <c r="A2219" s="16" t="s">
        <v>15320</v>
      </c>
    </row>
    <row r="2220" spans="1:1" x14ac:dyDescent="0.25">
      <c r="A2220" s="16" t="s">
        <v>15321</v>
      </c>
    </row>
    <row r="2221" spans="1:1" x14ac:dyDescent="0.25">
      <c r="A2221" s="16" t="s">
        <v>15322</v>
      </c>
    </row>
    <row r="2222" spans="1:1" x14ac:dyDescent="0.25">
      <c r="A2222" s="16" t="s">
        <v>15323</v>
      </c>
    </row>
    <row r="2223" spans="1:1" x14ac:dyDescent="0.25">
      <c r="A2223" s="16" t="s">
        <v>15324</v>
      </c>
    </row>
    <row r="2224" spans="1:1" x14ac:dyDescent="0.25">
      <c r="A2224" s="16" t="s">
        <v>15325</v>
      </c>
    </row>
    <row r="2225" spans="1:1" x14ac:dyDescent="0.25">
      <c r="A2225" s="16" t="s">
        <v>15326</v>
      </c>
    </row>
    <row r="2226" spans="1:1" x14ac:dyDescent="0.25">
      <c r="A2226" s="16" t="s">
        <v>15327</v>
      </c>
    </row>
    <row r="2227" spans="1:1" x14ac:dyDescent="0.25">
      <c r="A2227" s="16" t="s">
        <v>15328</v>
      </c>
    </row>
    <row r="2228" spans="1:1" x14ac:dyDescent="0.25">
      <c r="A2228" s="16" t="s">
        <v>15329</v>
      </c>
    </row>
    <row r="2229" spans="1:1" x14ac:dyDescent="0.25">
      <c r="A2229" s="16" t="s">
        <v>15330</v>
      </c>
    </row>
    <row r="2230" spans="1:1" x14ac:dyDescent="0.25">
      <c r="A2230" s="16" t="s">
        <v>15331</v>
      </c>
    </row>
    <row r="2231" spans="1:1" x14ac:dyDescent="0.25">
      <c r="A2231" s="16" t="s">
        <v>15332</v>
      </c>
    </row>
    <row r="2232" spans="1:1" x14ac:dyDescent="0.25">
      <c r="A2232" s="16" t="s">
        <v>15333</v>
      </c>
    </row>
    <row r="2233" spans="1:1" x14ac:dyDescent="0.25">
      <c r="A2233" s="16" t="s">
        <v>15334</v>
      </c>
    </row>
    <row r="2234" spans="1:1" x14ac:dyDescent="0.25">
      <c r="A2234" s="16" t="s">
        <v>15335</v>
      </c>
    </row>
    <row r="2235" spans="1:1" x14ac:dyDescent="0.25">
      <c r="A2235" s="16" t="s">
        <v>15336</v>
      </c>
    </row>
    <row r="2236" spans="1:1" x14ac:dyDescent="0.25">
      <c r="A2236" s="16" t="s">
        <v>15337</v>
      </c>
    </row>
    <row r="2237" spans="1:1" x14ac:dyDescent="0.25">
      <c r="A2237" s="16" t="s">
        <v>15338</v>
      </c>
    </row>
    <row r="2238" spans="1:1" x14ac:dyDescent="0.25">
      <c r="A2238" s="16" t="s">
        <v>15339</v>
      </c>
    </row>
    <row r="2239" spans="1:1" x14ac:dyDescent="0.25">
      <c r="A2239" s="16" t="s">
        <v>15340</v>
      </c>
    </row>
    <row r="2240" spans="1:1" x14ac:dyDescent="0.25">
      <c r="A2240" s="16" t="s">
        <v>15341</v>
      </c>
    </row>
    <row r="2241" spans="1:1" x14ac:dyDescent="0.25">
      <c r="A2241" s="16" t="s">
        <v>15342</v>
      </c>
    </row>
    <row r="2242" spans="1:1" x14ac:dyDescent="0.25">
      <c r="A2242" s="16" t="s">
        <v>15343</v>
      </c>
    </row>
    <row r="2243" spans="1:1" x14ac:dyDescent="0.25">
      <c r="A2243" s="16" t="s">
        <v>15344</v>
      </c>
    </row>
    <row r="2244" spans="1:1" x14ac:dyDescent="0.25">
      <c r="A2244" s="16" t="s">
        <v>15345</v>
      </c>
    </row>
    <row r="2245" spans="1:1" x14ac:dyDescent="0.25">
      <c r="A2245" s="16" t="s">
        <v>15346</v>
      </c>
    </row>
    <row r="2246" spans="1:1" x14ac:dyDescent="0.25">
      <c r="A2246" s="16" t="s">
        <v>15347</v>
      </c>
    </row>
    <row r="2247" spans="1:1" x14ac:dyDescent="0.25">
      <c r="A2247" s="16" t="s">
        <v>15348</v>
      </c>
    </row>
    <row r="2248" spans="1:1" x14ac:dyDescent="0.25">
      <c r="A2248" s="16" t="s">
        <v>15349</v>
      </c>
    </row>
    <row r="2249" spans="1:1" x14ac:dyDescent="0.25">
      <c r="A2249" s="16" t="s">
        <v>15350</v>
      </c>
    </row>
    <row r="2250" spans="1:1" x14ac:dyDescent="0.25">
      <c r="A2250" s="16" t="s">
        <v>15351</v>
      </c>
    </row>
    <row r="2251" spans="1:1" x14ac:dyDescent="0.25">
      <c r="A2251" s="16" t="s">
        <v>15352</v>
      </c>
    </row>
    <row r="2252" spans="1:1" x14ac:dyDescent="0.25">
      <c r="A2252" s="16" t="s">
        <v>15353</v>
      </c>
    </row>
    <row r="2253" spans="1:1" x14ac:dyDescent="0.25">
      <c r="A2253" s="16" t="s">
        <v>15354</v>
      </c>
    </row>
    <row r="2254" spans="1:1" x14ac:dyDescent="0.25">
      <c r="A2254" s="16" t="s">
        <v>15355</v>
      </c>
    </row>
    <row r="2255" spans="1:1" x14ac:dyDescent="0.25">
      <c r="A2255" s="16" t="s">
        <v>15356</v>
      </c>
    </row>
    <row r="2256" spans="1:1" x14ac:dyDescent="0.25">
      <c r="A2256" s="16" t="s">
        <v>15357</v>
      </c>
    </row>
    <row r="2257" spans="1:1" x14ac:dyDescent="0.25">
      <c r="A2257" s="16" t="s">
        <v>15358</v>
      </c>
    </row>
    <row r="2258" spans="1:1" x14ac:dyDescent="0.25">
      <c r="A2258" s="16" t="s">
        <v>15359</v>
      </c>
    </row>
    <row r="2259" spans="1:1" x14ac:dyDescent="0.25">
      <c r="A2259" s="16" t="s">
        <v>15360</v>
      </c>
    </row>
    <row r="2260" spans="1:1" x14ac:dyDescent="0.25">
      <c r="A2260" s="16" t="s">
        <v>15361</v>
      </c>
    </row>
    <row r="2261" spans="1:1" x14ac:dyDescent="0.25">
      <c r="A2261" s="16" t="s">
        <v>15362</v>
      </c>
    </row>
    <row r="2262" spans="1:1" x14ac:dyDescent="0.25">
      <c r="A2262" s="16" t="s">
        <v>15363</v>
      </c>
    </row>
    <row r="2263" spans="1:1" x14ac:dyDescent="0.25">
      <c r="A2263" s="16" t="s">
        <v>15364</v>
      </c>
    </row>
    <row r="2264" spans="1:1" x14ac:dyDescent="0.25">
      <c r="A2264" s="16" t="s">
        <v>15365</v>
      </c>
    </row>
    <row r="2265" spans="1:1" x14ac:dyDescent="0.25">
      <c r="A2265" s="16" t="s">
        <v>15366</v>
      </c>
    </row>
    <row r="2266" spans="1:1" x14ac:dyDescent="0.25">
      <c r="A2266" s="16" t="s">
        <v>15367</v>
      </c>
    </row>
    <row r="2267" spans="1:1" x14ac:dyDescent="0.25">
      <c r="A2267" s="16" t="s">
        <v>15368</v>
      </c>
    </row>
    <row r="2268" spans="1:1" x14ac:dyDescent="0.25">
      <c r="A2268" s="16" t="s">
        <v>15369</v>
      </c>
    </row>
    <row r="2269" spans="1:1" x14ac:dyDescent="0.25">
      <c r="A2269" s="16" t="s">
        <v>15370</v>
      </c>
    </row>
    <row r="2270" spans="1:1" x14ac:dyDescent="0.25">
      <c r="A2270" s="16" t="s">
        <v>15371</v>
      </c>
    </row>
    <row r="2271" spans="1:1" x14ac:dyDescent="0.25">
      <c r="A2271" s="16" t="s">
        <v>15372</v>
      </c>
    </row>
    <row r="2272" spans="1:1" x14ac:dyDescent="0.25">
      <c r="A2272" s="16" t="s">
        <v>15373</v>
      </c>
    </row>
    <row r="2273" spans="1:1" x14ac:dyDescent="0.25">
      <c r="A2273" s="16" t="s">
        <v>15374</v>
      </c>
    </row>
    <row r="2274" spans="1:1" x14ac:dyDescent="0.25">
      <c r="A2274" s="16" t="s">
        <v>15375</v>
      </c>
    </row>
    <row r="2275" spans="1:1" x14ac:dyDescent="0.25">
      <c r="A2275" s="16" t="s">
        <v>15376</v>
      </c>
    </row>
    <row r="2276" spans="1:1" x14ac:dyDescent="0.25">
      <c r="A2276" s="16" t="s">
        <v>15377</v>
      </c>
    </row>
    <row r="2277" spans="1:1" x14ac:dyDescent="0.25">
      <c r="A2277" s="16" t="s">
        <v>15378</v>
      </c>
    </row>
    <row r="2278" spans="1:1" x14ac:dyDescent="0.25">
      <c r="A2278" s="16" t="s">
        <v>15379</v>
      </c>
    </row>
    <row r="2279" spans="1:1" x14ac:dyDescent="0.25">
      <c r="A2279" s="16" t="s">
        <v>15380</v>
      </c>
    </row>
    <row r="2280" spans="1:1" x14ac:dyDescent="0.25">
      <c r="A2280" s="16" t="s">
        <v>15381</v>
      </c>
    </row>
    <row r="2281" spans="1:1" x14ac:dyDescent="0.25">
      <c r="A2281" s="16" t="s">
        <v>15382</v>
      </c>
    </row>
    <row r="2282" spans="1:1" x14ac:dyDescent="0.25">
      <c r="A2282" s="16" t="s">
        <v>15383</v>
      </c>
    </row>
    <row r="2283" spans="1:1" x14ac:dyDescent="0.25">
      <c r="A2283" s="16" t="s">
        <v>15384</v>
      </c>
    </row>
    <row r="2284" spans="1:1" x14ac:dyDescent="0.25">
      <c r="A2284" s="16" t="s">
        <v>15385</v>
      </c>
    </row>
    <row r="2285" spans="1:1" x14ac:dyDescent="0.25">
      <c r="A2285" s="16" t="s">
        <v>15386</v>
      </c>
    </row>
    <row r="2286" spans="1:1" x14ac:dyDescent="0.25">
      <c r="A2286" s="16" t="s">
        <v>15387</v>
      </c>
    </row>
    <row r="2287" spans="1:1" x14ac:dyDescent="0.25">
      <c r="A2287" s="16" t="s">
        <v>15388</v>
      </c>
    </row>
    <row r="2288" spans="1:1" x14ac:dyDescent="0.25">
      <c r="A2288" s="16" t="s">
        <v>15389</v>
      </c>
    </row>
    <row r="2289" spans="1:1" x14ac:dyDescent="0.25">
      <c r="A2289" s="16" t="s">
        <v>15390</v>
      </c>
    </row>
    <row r="2290" spans="1:1" x14ac:dyDescent="0.25">
      <c r="A2290" s="16" t="s">
        <v>15391</v>
      </c>
    </row>
    <row r="2291" spans="1:1" x14ac:dyDescent="0.25">
      <c r="A2291" s="16" t="s">
        <v>15392</v>
      </c>
    </row>
    <row r="2292" spans="1:1" x14ac:dyDescent="0.25">
      <c r="A2292" s="16" t="s">
        <v>15393</v>
      </c>
    </row>
    <row r="2293" spans="1:1" x14ac:dyDescent="0.25">
      <c r="A2293" s="16" t="s">
        <v>15394</v>
      </c>
    </row>
    <row r="2294" spans="1:1" x14ac:dyDescent="0.25">
      <c r="A2294" s="16" t="s">
        <v>15395</v>
      </c>
    </row>
    <row r="2295" spans="1:1" x14ac:dyDescent="0.25">
      <c r="A2295" s="16" t="s">
        <v>15396</v>
      </c>
    </row>
    <row r="2296" spans="1:1" x14ac:dyDescent="0.25">
      <c r="A2296" s="16" t="s">
        <v>15397</v>
      </c>
    </row>
    <row r="2297" spans="1:1" x14ac:dyDescent="0.25">
      <c r="A2297" s="16" t="s">
        <v>15398</v>
      </c>
    </row>
    <row r="2298" spans="1:1" x14ac:dyDescent="0.25">
      <c r="A2298" s="16" t="s">
        <v>15399</v>
      </c>
    </row>
    <row r="2299" spans="1:1" x14ac:dyDescent="0.25">
      <c r="A2299" s="16" t="s">
        <v>15400</v>
      </c>
    </row>
    <row r="2300" spans="1:1" x14ac:dyDescent="0.25">
      <c r="A2300" s="16" t="s">
        <v>15401</v>
      </c>
    </row>
    <row r="2301" spans="1:1" x14ac:dyDescent="0.25">
      <c r="A2301" s="16" t="s">
        <v>15402</v>
      </c>
    </row>
    <row r="2302" spans="1:1" x14ac:dyDescent="0.25">
      <c r="A2302" s="16" t="s">
        <v>15403</v>
      </c>
    </row>
    <row r="2303" spans="1:1" x14ac:dyDescent="0.25">
      <c r="A2303" s="16" t="s">
        <v>15404</v>
      </c>
    </row>
    <row r="2304" spans="1:1" x14ac:dyDescent="0.25">
      <c r="A2304" s="16" t="s">
        <v>15405</v>
      </c>
    </row>
    <row r="2305" spans="1:1" x14ac:dyDescent="0.25">
      <c r="A2305" s="16" t="s">
        <v>15406</v>
      </c>
    </row>
    <row r="2306" spans="1:1" x14ac:dyDescent="0.25">
      <c r="A2306" s="16" t="s">
        <v>15407</v>
      </c>
    </row>
    <row r="2307" spans="1:1" x14ac:dyDescent="0.25">
      <c r="A2307" s="16" t="s">
        <v>15408</v>
      </c>
    </row>
    <row r="2308" spans="1:1" x14ac:dyDescent="0.25">
      <c r="A2308" s="16" t="s">
        <v>15409</v>
      </c>
    </row>
    <row r="2309" spans="1:1" x14ac:dyDescent="0.25">
      <c r="A2309" s="16" t="s">
        <v>15410</v>
      </c>
    </row>
    <row r="2310" spans="1:1" x14ac:dyDescent="0.25">
      <c r="A2310" s="16" t="s">
        <v>15411</v>
      </c>
    </row>
    <row r="2311" spans="1:1" x14ac:dyDescent="0.25">
      <c r="A2311" s="16" t="s">
        <v>15412</v>
      </c>
    </row>
    <row r="2312" spans="1:1" x14ac:dyDescent="0.25">
      <c r="A2312" s="16" t="s">
        <v>15413</v>
      </c>
    </row>
    <row r="2313" spans="1:1" x14ac:dyDescent="0.25">
      <c r="A2313" s="16" t="s">
        <v>15414</v>
      </c>
    </row>
    <row r="2314" spans="1:1" x14ac:dyDescent="0.25">
      <c r="A2314" s="16" t="s">
        <v>15415</v>
      </c>
    </row>
    <row r="2315" spans="1:1" x14ac:dyDescent="0.25">
      <c r="A2315" s="16" t="s">
        <v>15416</v>
      </c>
    </row>
    <row r="2316" spans="1:1" x14ac:dyDescent="0.25">
      <c r="A2316" s="16" t="s">
        <v>15417</v>
      </c>
    </row>
    <row r="2317" spans="1:1" x14ac:dyDescent="0.25">
      <c r="A2317" s="16" t="s">
        <v>15418</v>
      </c>
    </row>
    <row r="2318" spans="1:1" x14ac:dyDescent="0.25">
      <c r="A2318" s="16" t="s">
        <v>15419</v>
      </c>
    </row>
    <row r="2319" spans="1:1" x14ac:dyDescent="0.25">
      <c r="A2319" s="16" t="s">
        <v>15420</v>
      </c>
    </row>
    <row r="2320" spans="1:1" x14ac:dyDescent="0.25">
      <c r="A2320" s="16" t="s">
        <v>15421</v>
      </c>
    </row>
    <row r="2321" spans="1:1" x14ac:dyDescent="0.25">
      <c r="A2321" s="16" t="s">
        <v>15422</v>
      </c>
    </row>
    <row r="2322" spans="1:1" x14ac:dyDescent="0.25">
      <c r="A2322" s="16" t="s">
        <v>15423</v>
      </c>
    </row>
    <row r="2323" spans="1:1" x14ac:dyDescent="0.25">
      <c r="A2323" s="16" t="s">
        <v>15424</v>
      </c>
    </row>
    <row r="2324" spans="1:1" x14ac:dyDescent="0.25">
      <c r="A2324" s="16" t="s">
        <v>15425</v>
      </c>
    </row>
    <row r="2325" spans="1:1" x14ac:dyDescent="0.25">
      <c r="A2325" s="16" t="s">
        <v>15426</v>
      </c>
    </row>
    <row r="2326" spans="1:1" x14ac:dyDescent="0.25">
      <c r="A2326" s="16" t="s">
        <v>15427</v>
      </c>
    </row>
    <row r="2327" spans="1:1" x14ac:dyDescent="0.25">
      <c r="A2327" s="16" t="s">
        <v>15428</v>
      </c>
    </row>
    <row r="2328" spans="1:1" x14ac:dyDescent="0.25">
      <c r="A2328" s="16" t="s">
        <v>15429</v>
      </c>
    </row>
    <row r="2329" spans="1:1" x14ac:dyDescent="0.25">
      <c r="A2329" s="16" t="s">
        <v>15430</v>
      </c>
    </row>
    <row r="2330" spans="1:1" x14ac:dyDescent="0.25">
      <c r="A2330" s="16" t="s">
        <v>15431</v>
      </c>
    </row>
    <row r="2331" spans="1:1" x14ac:dyDescent="0.25">
      <c r="A2331" s="16" t="s">
        <v>15432</v>
      </c>
    </row>
    <row r="2332" spans="1:1" x14ac:dyDescent="0.25">
      <c r="A2332" s="16" t="s">
        <v>15433</v>
      </c>
    </row>
    <row r="2333" spans="1:1" x14ac:dyDescent="0.25">
      <c r="A2333" s="16" t="s">
        <v>15434</v>
      </c>
    </row>
    <row r="2334" spans="1:1" x14ac:dyDescent="0.25">
      <c r="A2334" s="16" t="s">
        <v>15435</v>
      </c>
    </row>
    <row r="2335" spans="1:1" x14ac:dyDescent="0.25">
      <c r="A2335" s="16" t="s">
        <v>15436</v>
      </c>
    </row>
    <row r="2336" spans="1:1" x14ac:dyDescent="0.25">
      <c r="A2336" s="16" t="s">
        <v>15437</v>
      </c>
    </row>
    <row r="2337" spans="1:1" x14ac:dyDescent="0.25">
      <c r="A2337" s="16" t="s">
        <v>15438</v>
      </c>
    </row>
    <row r="2338" spans="1:1" x14ac:dyDescent="0.25">
      <c r="A2338" s="16" t="s">
        <v>15439</v>
      </c>
    </row>
    <row r="2339" spans="1:1" x14ac:dyDescent="0.25">
      <c r="A2339" s="16" t="s">
        <v>15440</v>
      </c>
    </row>
    <row r="2340" spans="1:1" x14ac:dyDescent="0.25">
      <c r="A2340" s="16" t="s">
        <v>15441</v>
      </c>
    </row>
    <row r="2341" spans="1:1" x14ac:dyDescent="0.25">
      <c r="A2341" s="16" t="s">
        <v>15442</v>
      </c>
    </row>
    <row r="2342" spans="1:1" x14ac:dyDescent="0.25">
      <c r="A2342" s="16" t="s">
        <v>15443</v>
      </c>
    </row>
    <row r="2343" spans="1:1" x14ac:dyDescent="0.25">
      <c r="A2343" s="16" t="s">
        <v>15444</v>
      </c>
    </row>
    <row r="2344" spans="1:1" x14ac:dyDescent="0.25">
      <c r="A2344" s="16" t="s">
        <v>15445</v>
      </c>
    </row>
    <row r="2345" spans="1:1" x14ac:dyDescent="0.25">
      <c r="A2345" s="16" t="s">
        <v>15446</v>
      </c>
    </row>
    <row r="2346" spans="1:1" x14ac:dyDescent="0.25">
      <c r="A2346" s="16" t="s">
        <v>15447</v>
      </c>
    </row>
    <row r="2347" spans="1:1" x14ac:dyDescent="0.25">
      <c r="A2347" s="16" t="s">
        <v>15448</v>
      </c>
    </row>
    <row r="2348" spans="1:1" x14ac:dyDescent="0.25">
      <c r="A2348" s="16" t="s">
        <v>15449</v>
      </c>
    </row>
    <row r="2349" spans="1:1" x14ac:dyDescent="0.25">
      <c r="A2349" s="16" t="s">
        <v>15450</v>
      </c>
    </row>
    <row r="2350" spans="1:1" x14ac:dyDescent="0.25">
      <c r="A2350" s="16" t="s">
        <v>15451</v>
      </c>
    </row>
    <row r="2351" spans="1:1" x14ac:dyDescent="0.25">
      <c r="A2351" s="16" t="s">
        <v>15452</v>
      </c>
    </row>
    <row r="2352" spans="1:1" x14ac:dyDescent="0.25">
      <c r="A2352" s="16" t="s">
        <v>15453</v>
      </c>
    </row>
    <row r="2353" spans="1:1" x14ac:dyDescent="0.25">
      <c r="A2353" s="16" t="s">
        <v>15454</v>
      </c>
    </row>
    <row r="2354" spans="1:1" x14ac:dyDescent="0.25">
      <c r="A2354" s="16" t="s">
        <v>15455</v>
      </c>
    </row>
    <row r="2355" spans="1:1" x14ac:dyDescent="0.25">
      <c r="A2355" s="16" t="s">
        <v>15456</v>
      </c>
    </row>
    <row r="2356" spans="1:1" x14ac:dyDescent="0.25">
      <c r="A2356" s="16" t="s">
        <v>15457</v>
      </c>
    </row>
    <row r="2357" spans="1:1" x14ac:dyDescent="0.25">
      <c r="A2357" s="16" t="s">
        <v>15458</v>
      </c>
    </row>
    <row r="2358" spans="1:1" x14ac:dyDescent="0.25">
      <c r="A2358" s="16" t="s">
        <v>15459</v>
      </c>
    </row>
    <row r="2359" spans="1:1" x14ac:dyDescent="0.25">
      <c r="A2359" s="16" t="s">
        <v>15460</v>
      </c>
    </row>
    <row r="2360" spans="1:1" x14ac:dyDescent="0.25">
      <c r="A2360" s="16" t="s">
        <v>15461</v>
      </c>
    </row>
    <row r="2361" spans="1:1" x14ac:dyDescent="0.25">
      <c r="A2361" s="16" t="s">
        <v>15462</v>
      </c>
    </row>
    <row r="2362" spans="1:1" x14ac:dyDescent="0.25">
      <c r="A2362" s="16" t="s">
        <v>15463</v>
      </c>
    </row>
    <row r="2363" spans="1:1" x14ac:dyDescent="0.25">
      <c r="A2363" s="16" t="s">
        <v>15464</v>
      </c>
    </row>
    <row r="2364" spans="1:1" x14ac:dyDescent="0.25">
      <c r="A2364" s="16" t="s">
        <v>15465</v>
      </c>
    </row>
    <row r="2365" spans="1:1" x14ac:dyDescent="0.25">
      <c r="A2365" s="16" t="s">
        <v>15466</v>
      </c>
    </row>
    <row r="2366" spans="1:1" x14ac:dyDescent="0.25">
      <c r="A2366" s="16" t="s">
        <v>15467</v>
      </c>
    </row>
    <row r="2367" spans="1:1" x14ac:dyDescent="0.25">
      <c r="A2367" s="16" t="s">
        <v>15468</v>
      </c>
    </row>
    <row r="2368" spans="1:1" x14ac:dyDescent="0.25">
      <c r="A2368" s="16" t="s">
        <v>15469</v>
      </c>
    </row>
    <row r="2369" spans="1:1" x14ac:dyDescent="0.25">
      <c r="A2369" s="16" t="s">
        <v>15470</v>
      </c>
    </row>
    <row r="2370" spans="1:1" x14ac:dyDescent="0.25">
      <c r="A2370" s="16" t="s">
        <v>15471</v>
      </c>
    </row>
    <row r="2371" spans="1:1" x14ac:dyDescent="0.25">
      <c r="A2371" s="16" t="s">
        <v>15472</v>
      </c>
    </row>
    <row r="2372" spans="1:1" x14ac:dyDescent="0.25">
      <c r="A2372" s="16" t="s">
        <v>15473</v>
      </c>
    </row>
    <row r="2373" spans="1:1" x14ac:dyDescent="0.25">
      <c r="A2373" s="16" t="s">
        <v>15474</v>
      </c>
    </row>
    <row r="2374" spans="1:1" x14ac:dyDescent="0.25">
      <c r="A2374" s="16" t="s">
        <v>15475</v>
      </c>
    </row>
    <row r="2375" spans="1:1" x14ac:dyDescent="0.25">
      <c r="A2375" s="16" t="s">
        <v>15476</v>
      </c>
    </row>
    <row r="2376" spans="1:1" x14ac:dyDescent="0.25">
      <c r="A2376" s="16" t="s">
        <v>15477</v>
      </c>
    </row>
    <row r="2377" spans="1:1" x14ac:dyDescent="0.25">
      <c r="A2377" s="16" t="s">
        <v>15478</v>
      </c>
    </row>
    <row r="2378" spans="1:1" x14ac:dyDescent="0.25">
      <c r="A2378" s="16" t="s">
        <v>15479</v>
      </c>
    </row>
    <row r="2379" spans="1:1" x14ac:dyDescent="0.25">
      <c r="A2379" s="16" t="s">
        <v>15480</v>
      </c>
    </row>
    <row r="2380" spans="1:1" x14ac:dyDescent="0.25">
      <c r="A2380" s="16" t="s">
        <v>15481</v>
      </c>
    </row>
    <row r="2381" spans="1:1" x14ac:dyDescent="0.25">
      <c r="A2381" s="16" t="s">
        <v>15482</v>
      </c>
    </row>
    <row r="2382" spans="1:1" x14ac:dyDescent="0.25">
      <c r="A2382" s="16" t="s">
        <v>15483</v>
      </c>
    </row>
    <row r="2383" spans="1:1" x14ac:dyDescent="0.25">
      <c r="A2383" s="16" t="s">
        <v>15484</v>
      </c>
    </row>
    <row r="2384" spans="1:1" x14ac:dyDescent="0.25">
      <c r="A2384" s="16" t="s">
        <v>15485</v>
      </c>
    </row>
    <row r="2385" spans="1:1" x14ac:dyDescent="0.25">
      <c r="A2385" s="16" t="s">
        <v>15486</v>
      </c>
    </row>
    <row r="2386" spans="1:1" x14ac:dyDescent="0.25">
      <c r="A2386" s="16" t="s">
        <v>15487</v>
      </c>
    </row>
    <row r="2387" spans="1:1" x14ac:dyDescent="0.25">
      <c r="A2387" s="16" t="s">
        <v>15488</v>
      </c>
    </row>
    <row r="2388" spans="1:1" x14ac:dyDescent="0.25">
      <c r="A2388" s="16" t="s">
        <v>15489</v>
      </c>
    </row>
    <row r="2389" spans="1:1" x14ac:dyDescent="0.25">
      <c r="A2389" s="16" t="s">
        <v>15490</v>
      </c>
    </row>
    <row r="2390" spans="1:1" x14ac:dyDescent="0.25">
      <c r="A2390" s="16" t="s">
        <v>15491</v>
      </c>
    </row>
    <row r="2391" spans="1:1" x14ac:dyDescent="0.25">
      <c r="A2391" s="16" t="s">
        <v>15492</v>
      </c>
    </row>
    <row r="2392" spans="1:1" x14ac:dyDescent="0.25">
      <c r="A2392" s="16" t="s">
        <v>15493</v>
      </c>
    </row>
    <row r="2393" spans="1:1" x14ac:dyDescent="0.25">
      <c r="A2393" s="16" t="s">
        <v>15494</v>
      </c>
    </row>
    <row r="2394" spans="1:1" x14ac:dyDescent="0.25">
      <c r="A2394" s="16" t="s">
        <v>15495</v>
      </c>
    </row>
    <row r="2395" spans="1:1" x14ac:dyDescent="0.25">
      <c r="A2395" s="16" t="s">
        <v>15496</v>
      </c>
    </row>
    <row r="2396" spans="1:1" x14ac:dyDescent="0.25">
      <c r="A2396" s="16" t="s">
        <v>15497</v>
      </c>
    </row>
    <row r="2397" spans="1:1" x14ac:dyDescent="0.25">
      <c r="A2397" s="16" t="s">
        <v>15498</v>
      </c>
    </row>
    <row r="2398" spans="1:1" x14ac:dyDescent="0.25">
      <c r="A2398" s="16" t="s">
        <v>15499</v>
      </c>
    </row>
    <row r="2399" spans="1:1" x14ac:dyDescent="0.25">
      <c r="A2399" s="16" t="s">
        <v>15500</v>
      </c>
    </row>
    <row r="2400" spans="1:1" x14ac:dyDescent="0.25">
      <c r="A2400" s="16" t="s">
        <v>15501</v>
      </c>
    </row>
    <row r="2401" spans="1:1" x14ac:dyDescent="0.25">
      <c r="A2401" s="16" t="s">
        <v>15502</v>
      </c>
    </row>
    <row r="2402" spans="1:1" x14ac:dyDescent="0.25">
      <c r="A2402" s="16" t="s">
        <v>15503</v>
      </c>
    </row>
    <row r="2403" spans="1:1" x14ac:dyDescent="0.25">
      <c r="A2403" s="16" t="s">
        <v>15504</v>
      </c>
    </row>
    <row r="2404" spans="1:1" x14ac:dyDescent="0.25">
      <c r="A2404" s="16" t="s">
        <v>15505</v>
      </c>
    </row>
    <row r="2405" spans="1:1" x14ac:dyDescent="0.25">
      <c r="A2405" s="16" t="s">
        <v>15506</v>
      </c>
    </row>
    <row r="2406" spans="1:1" x14ac:dyDescent="0.25">
      <c r="A2406" s="16" t="s">
        <v>15507</v>
      </c>
    </row>
    <row r="2407" spans="1:1" x14ac:dyDescent="0.25">
      <c r="A2407" s="16" t="s">
        <v>15508</v>
      </c>
    </row>
    <row r="2408" spans="1:1" x14ac:dyDescent="0.25">
      <c r="A2408" s="16" t="s">
        <v>15509</v>
      </c>
    </row>
    <row r="2409" spans="1:1" x14ac:dyDescent="0.25">
      <c r="A2409" s="16" t="s">
        <v>15510</v>
      </c>
    </row>
    <row r="2410" spans="1:1" x14ac:dyDescent="0.25">
      <c r="A2410" s="16" t="s">
        <v>15511</v>
      </c>
    </row>
    <row r="2411" spans="1:1" x14ac:dyDescent="0.25">
      <c r="A2411" s="16" t="s">
        <v>15512</v>
      </c>
    </row>
    <row r="2412" spans="1:1" x14ac:dyDescent="0.25">
      <c r="A2412" s="16" t="s">
        <v>15513</v>
      </c>
    </row>
    <row r="2413" spans="1:1" x14ac:dyDescent="0.25">
      <c r="A2413" s="16" t="s">
        <v>15514</v>
      </c>
    </row>
    <row r="2414" spans="1:1" x14ac:dyDescent="0.25">
      <c r="A2414" s="16" t="s">
        <v>15515</v>
      </c>
    </row>
    <row r="2415" spans="1:1" x14ac:dyDescent="0.25">
      <c r="A2415" s="16" t="s">
        <v>15516</v>
      </c>
    </row>
    <row r="2416" spans="1:1" x14ac:dyDescent="0.25">
      <c r="A2416" s="16" t="s">
        <v>15517</v>
      </c>
    </row>
    <row r="2417" spans="1:1" x14ac:dyDescent="0.25">
      <c r="A2417" s="16" t="s">
        <v>15518</v>
      </c>
    </row>
    <row r="2418" spans="1:1" x14ac:dyDescent="0.25">
      <c r="A2418" s="16" t="s">
        <v>15519</v>
      </c>
    </row>
    <row r="2419" spans="1:1" x14ac:dyDescent="0.25">
      <c r="A2419" s="16" t="s">
        <v>15520</v>
      </c>
    </row>
    <row r="2420" spans="1:1" x14ac:dyDescent="0.25">
      <c r="A2420" s="16" t="s">
        <v>15521</v>
      </c>
    </row>
    <row r="2421" spans="1:1" x14ac:dyDescent="0.25">
      <c r="A2421" s="16" t="s">
        <v>15522</v>
      </c>
    </row>
    <row r="2422" spans="1:1" x14ac:dyDescent="0.25">
      <c r="A2422" s="16" t="s">
        <v>15523</v>
      </c>
    </row>
    <row r="2423" spans="1:1" x14ac:dyDescent="0.25">
      <c r="A2423" s="16" t="s">
        <v>15524</v>
      </c>
    </row>
    <row r="2424" spans="1:1" x14ac:dyDescent="0.25">
      <c r="A2424" s="16" t="s">
        <v>15525</v>
      </c>
    </row>
    <row r="2425" spans="1:1" x14ac:dyDescent="0.25">
      <c r="A2425" s="16" t="s">
        <v>15526</v>
      </c>
    </row>
    <row r="2426" spans="1:1" x14ac:dyDescent="0.25">
      <c r="A2426" s="16" t="s">
        <v>15527</v>
      </c>
    </row>
    <row r="2427" spans="1:1" x14ac:dyDescent="0.25">
      <c r="A2427" s="16" t="s">
        <v>15528</v>
      </c>
    </row>
    <row r="2428" spans="1:1" x14ac:dyDescent="0.25">
      <c r="A2428" s="16" t="s">
        <v>15529</v>
      </c>
    </row>
    <row r="2429" spans="1:1" x14ac:dyDescent="0.25">
      <c r="A2429" s="16" t="s">
        <v>15530</v>
      </c>
    </row>
    <row r="2430" spans="1:1" x14ac:dyDescent="0.25">
      <c r="A2430" s="16" t="s">
        <v>15531</v>
      </c>
    </row>
    <row r="2431" spans="1:1" x14ac:dyDescent="0.25">
      <c r="A2431" s="16" t="s">
        <v>15532</v>
      </c>
    </row>
    <row r="2432" spans="1:1" x14ac:dyDescent="0.25">
      <c r="A2432" s="16" t="s">
        <v>15533</v>
      </c>
    </row>
    <row r="2433" spans="1:1" x14ac:dyDescent="0.25">
      <c r="A2433" s="16" t="s">
        <v>15534</v>
      </c>
    </row>
    <row r="2434" spans="1:1" x14ac:dyDescent="0.25">
      <c r="A2434" s="16" t="s">
        <v>15535</v>
      </c>
    </row>
    <row r="2435" spans="1:1" x14ac:dyDescent="0.25">
      <c r="A2435" s="16" t="s">
        <v>15536</v>
      </c>
    </row>
    <row r="2436" spans="1:1" x14ac:dyDescent="0.25">
      <c r="A2436" s="16" t="s">
        <v>15537</v>
      </c>
    </row>
    <row r="2437" spans="1:1" x14ac:dyDescent="0.25">
      <c r="A2437" s="16" t="s">
        <v>15538</v>
      </c>
    </row>
    <row r="2438" spans="1:1" x14ac:dyDescent="0.25">
      <c r="A2438" s="16" t="s">
        <v>15539</v>
      </c>
    </row>
    <row r="2439" spans="1:1" x14ac:dyDescent="0.25">
      <c r="A2439" s="16" t="s">
        <v>15540</v>
      </c>
    </row>
    <row r="2440" spans="1:1" x14ac:dyDescent="0.25">
      <c r="A2440" s="16" t="s">
        <v>15541</v>
      </c>
    </row>
    <row r="2441" spans="1:1" x14ac:dyDescent="0.25">
      <c r="A2441" s="16" t="s">
        <v>15542</v>
      </c>
    </row>
    <row r="2442" spans="1:1" x14ac:dyDescent="0.25">
      <c r="A2442" s="16" t="s">
        <v>15543</v>
      </c>
    </row>
    <row r="2443" spans="1:1" x14ac:dyDescent="0.25">
      <c r="A2443" s="16" t="s">
        <v>15544</v>
      </c>
    </row>
    <row r="2444" spans="1:1" x14ac:dyDescent="0.25">
      <c r="A2444" s="16" t="s">
        <v>15545</v>
      </c>
    </row>
    <row r="2445" spans="1:1" x14ac:dyDescent="0.25">
      <c r="A2445" s="16" t="s">
        <v>15546</v>
      </c>
    </row>
    <row r="2446" spans="1:1" x14ac:dyDescent="0.25">
      <c r="A2446" s="16" t="s">
        <v>15547</v>
      </c>
    </row>
    <row r="2447" spans="1:1" x14ac:dyDescent="0.25">
      <c r="A2447" s="16" t="s">
        <v>15548</v>
      </c>
    </row>
    <row r="2448" spans="1:1" x14ac:dyDescent="0.25">
      <c r="A2448" s="16" t="s">
        <v>15549</v>
      </c>
    </row>
    <row r="2449" spans="1:1" x14ac:dyDescent="0.25">
      <c r="A2449" s="16" t="s">
        <v>15550</v>
      </c>
    </row>
    <row r="2450" spans="1:1" x14ac:dyDescent="0.25">
      <c r="A2450" s="16" t="s">
        <v>15551</v>
      </c>
    </row>
    <row r="2451" spans="1:1" x14ac:dyDescent="0.25">
      <c r="A2451" s="16" t="s">
        <v>15552</v>
      </c>
    </row>
    <row r="2452" spans="1:1" x14ac:dyDescent="0.25">
      <c r="A2452" s="16" t="s">
        <v>15553</v>
      </c>
    </row>
    <row r="2453" spans="1:1" x14ac:dyDescent="0.25">
      <c r="A2453" s="16" t="s">
        <v>15554</v>
      </c>
    </row>
    <row r="2454" spans="1:1" x14ac:dyDescent="0.25">
      <c r="A2454" s="16" t="s">
        <v>15555</v>
      </c>
    </row>
    <row r="2455" spans="1:1" x14ac:dyDescent="0.25">
      <c r="A2455" s="16" t="s">
        <v>15556</v>
      </c>
    </row>
    <row r="2456" spans="1:1" x14ac:dyDescent="0.25">
      <c r="A2456" s="16" t="s">
        <v>15557</v>
      </c>
    </row>
    <row r="2457" spans="1:1" x14ac:dyDescent="0.25">
      <c r="A2457" s="16" t="s">
        <v>15558</v>
      </c>
    </row>
    <row r="2458" spans="1:1" x14ac:dyDescent="0.25">
      <c r="A2458" s="16" t="s">
        <v>15559</v>
      </c>
    </row>
    <row r="2459" spans="1:1" x14ac:dyDescent="0.25">
      <c r="A2459" s="16" t="s">
        <v>15560</v>
      </c>
    </row>
    <row r="2460" spans="1:1" x14ac:dyDescent="0.25">
      <c r="A2460" s="16" t="s">
        <v>15561</v>
      </c>
    </row>
    <row r="2461" spans="1:1" x14ac:dyDescent="0.25">
      <c r="A2461" s="16" t="s">
        <v>15562</v>
      </c>
    </row>
    <row r="2462" spans="1:1" x14ac:dyDescent="0.25">
      <c r="A2462" s="16" t="s">
        <v>15563</v>
      </c>
    </row>
    <row r="2463" spans="1:1" x14ac:dyDescent="0.25">
      <c r="A2463" s="16" t="s">
        <v>15564</v>
      </c>
    </row>
    <row r="2464" spans="1:1" x14ac:dyDescent="0.25">
      <c r="A2464" s="16" t="s">
        <v>15565</v>
      </c>
    </row>
    <row r="2465" spans="1:1" x14ac:dyDescent="0.25">
      <c r="A2465" s="16" t="s">
        <v>15566</v>
      </c>
    </row>
    <row r="2466" spans="1:1" x14ac:dyDescent="0.25">
      <c r="A2466" s="16" t="s">
        <v>15567</v>
      </c>
    </row>
    <row r="2467" spans="1:1" x14ac:dyDescent="0.25">
      <c r="A2467" s="16" t="s">
        <v>15568</v>
      </c>
    </row>
    <row r="2468" spans="1:1" x14ac:dyDescent="0.25">
      <c r="A2468" s="16" t="s">
        <v>15569</v>
      </c>
    </row>
    <row r="2469" spans="1:1" x14ac:dyDescent="0.25">
      <c r="A2469" s="16" t="s">
        <v>15570</v>
      </c>
    </row>
    <row r="2470" spans="1:1" x14ac:dyDescent="0.25">
      <c r="A2470" s="16" t="s">
        <v>15571</v>
      </c>
    </row>
    <row r="2471" spans="1:1" x14ac:dyDescent="0.25">
      <c r="A2471" s="16" t="s">
        <v>15572</v>
      </c>
    </row>
    <row r="2472" spans="1:1" x14ac:dyDescent="0.25">
      <c r="A2472" s="16" t="s">
        <v>15573</v>
      </c>
    </row>
    <row r="2473" spans="1:1" x14ac:dyDescent="0.25">
      <c r="A2473" s="16" t="s">
        <v>15574</v>
      </c>
    </row>
    <row r="2474" spans="1:1" x14ac:dyDescent="0.25">
      <c r="A2474" s="16" t="s">
        <v>15575</v>
      </c>
    </row>
    <row r="2475" spans="1:1" x14ac:dyDescent="0.25">
      <c r="A2475" s="16" t="s">
        <v>15576</v>
      </c>
    </row>
    <row r="2476" spans="1:1" x14ac:dyDescent="0.25">
      <c r="A2476" s="16" t="s">
        <v>15577</v>
      </c>
    </row>
    <row r="2477" spans="1:1" x14ac:dyDescent="0.25">
      <c r="A2477" s="16" t="s">
        <v>15578</v>
      </c>
    </row>
    <row r="2478" spans="1:1" x14ac:dyDescent="0.25">
      <c r="A2478" s="16" t="s">
        <v>15579</v>
      </c>
    </row>
    <row r="2479" spans="1:1" x14ac:dyDescent="0.25">
      <c r="A2479" s="16" t="s">
        <v>15580</v>
      </c>
    </row>
    <row r="2480" spans="1:1" x14ac:dyDescent="0.25">
      <c r="A2480" s="16" t="s">
        <v>15581</v>
      </c>
    </row>
    <row r="2481" spans="1:1" x14ac:dyDescent="0.25">
      <c r="A2481" s="16" t="s">
        <v>15582</v>
      </c>
    </row>
    <row r="2482" spans="1:1" x14ac:dyDescent="0.25">
      <c r="A2482" s="16" t="s">
        <v>15583</v>
      </c>
    </row>
    <row r="2483" spans="1:1" x14ac:dyDescent="0.25">
      <c r="A2483" s="16" t="s">
        <v>15584</v>
      </c>
    </row>
    <row r="2484" spans="1:1" x14ac:dyDescent="0.25">
      <c r="A2484" s="16" t="s">
        <v>15585</v>
      </c>
    </row>
    <row r="2485" spans="1:1" x14ac:dyDescent="0.25">
      <c r="A2485" s="16" t="s">
        <v>15586</v>
      </c>
    </row>
    <row r="2486" spans="1:1" x14ac:dyDescent="0.25">
      <c r="A2486" s="16" t="s">
        <v>15587</v>
      </c>
    </row>
    <row r="2487" spans="1:1" x14ac:dyDescent="0.25">
      <c r="A2487" s="16" t="s">
        <v>15588</v>
      </c>
    </row>
    <row r="2488" spans="1:1" x14ac:dyDescent="0.25">
      <c r="A2488" s="16" t="s">
        <v>15589</v>
      </c>
    </row>
    <row r="2489" spans="1:1" x14ac:dyDescent="0.25">
      <c r="A2489" s="16" t="s">
        <v>15590</v>
      </c>
    </row>
    <row r="2490" spans="1:1" x14ac:dyDescent="0.25">
      <c r="A2490" s="16" t="s">
        <v>15591</v>
      </c>
    </row>
    <row r="2491" spans="1:1" x14ac:dyDescent="0.25">
      <c r="A2491" s="16" t="s">
        <v>15592</v>
      </c>
    </row>
    <row r="2492" spans="1:1" x14ac:dyDescent="0.25">
      <c r="A2492" s="16" t="s">
        <v>15593</v>
      </c>
    </row>
    <row r="2493" spans="1:1" x14ac:dyDescent="0.25">
      <c r="A2493" s="16" t="s">
        <v>15594</v>
      </c>
    </row>
    <row r="2494" spans="1:1" x14ac:dyDescent="0.25">
      <c r="A2494" s="16" t="s">
        <v>15595</v>
      </c>
    </row>
    <row r="2495" spans="1:1" x14ac:dyDescent="0.25">
      <c r="A2495" s="16" t="s">
        <v>15596</v>
      </c>
    </row>
    <row r="2496" spans="1:1" x14ac:dyDescent="0.25">
      <c r="A2496" s="16" t="s">
        <v>15597</v>
      </c>
    </row>
    <row r="2497" spans="1:1" x14ac:dyDescent="0.25">
      <c r="A2497" s="16" t="s">
        <v>15598</v>
      </c>
    </row>
    <row r="2498" spans="1:1" x14ac:dyDescent="0.25">
      <c r="A2498" s="16" t="s">
        <v>15599</v>
      </c>
    </row>
    <row r="2499" spans="1:1" x14ac:dyDescent="0.25">
      <c r="A2499" s="16" t="s">
        <v>15600</v>
      </c>
    </row>
    <row r="2500" spans="1:1" x14ac:dyDescent="0.25">
      <c r="A2500" s="16" t="s">
        <v>15601</v>
      </c>
    </row>
    <row r="2501" spans="1:1" x14ac:dyDescent="0.25">
      <c r="A2501" s="16" t="s">
        <v>15602</v>
      </c>
    </row>
    <row r="2502" spans="1:1" x14ac:dyDescent="0.25">
      <c r="A2502" s="16" t="s">
        <v>15603</v>
      </c>
    </row>
    <row r="2503" spans="1:1" x14ac:dyDescent="0.25">
      <c r="A2503" s="16" t="s">
        <v>15604</v>
      </c>
    </row>
    <row r="2504" spans="1:1" x14ac:dyDescent="0.25">
      <c r="A2504" s="16" t="s">
        <v>15605</v>
      </c>
    </row>
    <row r="2505" spans="1:1" x14ac:dyDescent="0.25">
      <c r="A2505" s="16" t="s">
        <v>15606</v>
      </c>
    </row>
    <row r="2506" spans="1:1" x14ac:dyDescent="0.25">
      <c r="A2506" s="16" t="s">
        <v>15607</v>
      </c>
    </row>
    <row r="2507" spans="1:1" x14ac:dyDescent="0.25">
      <c r="A2507" s="16" t="s">
        <v>15608</v>
      </c>
    </row>
    <row r="2508" spans="1:1" x14ac:dyDescent="0.25">
      <c r="A2508" s="16" t="s">
        <v>15609</v>
      </c>
    </row>
    <row r="2509" spans="1:1" x14ac:dyDescent="0.25">
      <c r="A2509" s="16" t="s">
        <v>15610</v>
      </c>
    </row>
    <row r="2510" spans="1:1" x14ac:dyDescent="0.25">
      <c r="A2510" s="16" t="s">
        <v>15611</v>
      </c>
    </row>
    <row r="2511" spans="1:1" x14ac:dyDescent="0.25">
      <c r="A2511" s="16" t="s">
        <v>15612</v>
      </c>
    </row>
    <row r="2512" spans="1:1" x14ac:dyDescent="0.25">
      <c r="A2512" s="16" t="s">
        <v>15613</v>
      </c>
    </row>
    <row r="2513" spans="1:1" x14ac:dyDescent="0.25">
      <c r="A2513" s="16" t="s">
        <v>15614</v>
      </c>
    </row>
    <row r="2514" spans="1:1" x14ac:dyDescent="0.25">
      <c r="A2514" s="16" t="s">
        <v>15615</v>
      </c>
    </row>
    <row r="2515" spans="1:1" x14ac:dyDescent="0.25">
      <c r="A2515" s="16" t="s">
        <v>15616</v>
      </c>
    </row>
    <row r="2516" spans="1:1" x14ac:dyDescent="0.25">
      <c r="A2516" s="16" t="s">
        <v>15617</v>
      </c>
    </row>
    <row r="2517" spans="1:1" x14ac:dyDescent="0.25">
      <c r="A2517" s="16" t="s">
        <v>15618</v>
      </c>
    </row>
    <row r="2518" spans="1:1" x14ac:dyDescent="0.25">
      <c r="A2518" s="16" t="s">
        <v>15619</v>
      </c>
    </row>
    <row r="2519" spans="1:1" x14ac:dyDescent="0.25">
      <c r="A2519" s="16" t="s">
        <v>15620</v>
      </c>
    </row>
    <row r="2520" spans="1:1" x14ac:dyDescent="0.25">
      <c r="A2520" s="16" t="s">
        <v>15621</v>
      </c>
    </row>
    <row r="2521" spans="1:1" x14ac:dyDescent="0.25">
      <c r="A2521" s="16" t="s">
        <v>15622</v>
      </c>
    </row>
    <row r="2522" spans="1:1" x14ac:dyDescent="0.25">
      <c r="A2522" s="16" t="s">
        <v>15623</v>
      </c>
    </row>
    <row r="2523" spans="1:1" x14ac:dyDescent="0.25">
      <c r="A2523" s="16" t="s">
        <v>15624</v>
      </c>
    </row>
    <row r="2524" spans="1:1" x14ac:dyDescent="0.25">
      <c r="A2524" s="16" t="s">
        <v>15625</v>
      </c>
    </row>
    <row r="2525" spans="1:1" x14ac:dyDescent="0.25">
      <c r="A2525" s="16" t="s">
        <v>15626</v>
      </c>
    </row>
    <row r="2526" spans="1:1" x14ac:dyDescent="0.25">
      <c r="A2526" s="16" t="s">
        <v>15627</v>
      </c>
    </row>
    <row r="2527" spans="1:1" x14ac:dyDescent="0.25">
      <c r="A2527" s="16" t="s">
        <v>15628</v>
      </c>
    </row>
    <row r="2528" spans="1:1" x14ac:dyDescent="0.25">
      <c r="A2528" s="16" t="s">
        <v>15629</v>
      </c>
    </row>
    <row r="2529" spans="1:1" x14ac:dyDescent="0.25">
      <c r="A2529" s="16" t="s">
        <v>15630</v>
      </c>
    </row>
    <row r="2530" spans="1:1" x14ac:dyDescent="0.25">
      <c r="A2530" s="16" t="s">
        <v>15631</v>
      </c>
    </row>
    <row r="2531" spans="1:1" x14ac:dyDescent="0.25">
      <c r="A2531" s="16" t="s">
        <v>15632</v>
      </c>
    </row>
    <row r="2532" spans="1:1" x14ac:dyDescent="0.25">
      <c r="A2532" s="16" t="s">
        <v>15633</v>
      </c>
    </row>
    <row r="2533" spans="1:1" x14ac:dyDescent="0.25">
      <c r="A2533" s="16" t="s">
        <v>15634</v>
      </c>
    </row>
    <row r="2534" spans="1:1" x14ac:dyDescent="0.25">
      <c r="A2534" s="16" t="s">
        <v>15635</v>
      </c>
    </row>
    <row r="2535" spans="1:1" x14ac:dyDescent="0.25">
      <c r="A2535" s="16" t="s">
        <v>15636</v>
      </c>
    </row>
    <row r="2536" spans="1:1" x14ac:dyDescent="0.25">
      <c r="A2536" s="16" t="s">
        <v>15637</v>
      </c>
    </row>
    <row r="2537" spans="1:1" x14ac:dyDescent="0.25">
      <c r="A2537" s="16" t="s">
        <v>15638</v>
      </c>
    </row>
    <row r="2538" spans="1:1" x14ac:dyDescent="0.25">
      <c r="A2538" s="16" t="s">
        <v>15639</v>
      </c>
    </row>
    <row r="2539" spans="1:1" x14ac:dyDescent="0.25">
      <c r="A2539" s="16" t="s">
        <v>15640</v>
      </c>
    </row>
    <row r="2540" spans="1:1" x14ac:dyDescent="0.25">
      <c r="A2540" s="16" t="s">
        <v>15641</v>
      </c>
    </row>
    <row r="2541" spans="1:1" x14ac:dyDescent="0.25">
      <c r="A2541" s="16" t="s">
        <v>15642</v>
      </c>
    </row>
    <row r="2542" spans="1:1" x14ac:dyDescent="0.25">
      <c r="A2542" s="16" t="s">
        <v>15643</v>
      </c>
    </row>
    <row r="2543" spans="1:1" x14ac:dyDescent="0.25">
      <c r="A2543" s="16" t="s">
        <v>15644</v>
      </c>
    </row>
    <row r="2544" spans="1:1" x14ac:dyDescent="0.25">
      <c r="A2544" s="16" t="s">
        <v>15645</v>
      </c>
    </row>
    <row r="2545" spans="1:1" x14ac:dyDescent="0.25">
      <c r="A2545" s="16" t="s">
        <v>15646</v>
      </c>
    </row>
    <row r="2546" spans="1:1" x14ac:dyDescent="0.25">
      <c r="A2546" s="16" t="s">
        <v>15647</v>
      </c>
    </row>
    <row r="2547" spans="1:1" x14ac:dyDescent="0.25">
      <c r="A2547" s="16" t="s">
        <v>15648</v>
      </c>
    </row>
    <row r="2548" spans="1:1" x14ac:dyDescent="0.25">
      <c r="A2548" s="16" t="s">
        <v>15649</v>
      </c>
    </row>
    <row r="2549" spans="1:1" x14ac:dyDescent="0.25">
      <c r="A2549" s="16" t="s">
        <v>15650</v>
      </c>
    </row>
    <row r="2550" spans="1:1" x14ac:dyDescent="0.25">
      <c r="A2550" s="16" t="s">
        <v>15651</v>
      </c>
    </row>
    <row r="2551" spans="1:1" x14ac:dyDescent="0.25">
      <c r="A2551" s="16" t="s">
        <v>15652</v>
      </c>
    </row>
    <row r="2552" spans="1:1" x14ac:dyDescent="0.25">
      <c r="A2552" s="16" t="s">
        <v>15653</v>
      </c>
    </row>
    <row r="2553" spans="1:1" x14ac:dyDescent="0.25">
      <c r="A2553" s="16" t="s">
        <v>15654</v>
      </c>
    </row>
    <row r="2554" spans="1:1" x14ac:dyDescent="0.25">
      <c r="A2554" s="16" t="s">
        <v>15655</v>
      </c>
    </row>
    <row r="2555" spans="1:1" x14ac:dyDescent="0.25">
      <c r="A2555" s="16" t="s">
        <v>15656</v>
      </c>
    </row>
    <row r="2556" spans="1:1" x14ac:dyDescent="0.25">
      <c r="A2556" s="16" t="s">
        <v>15657</v>
      </c>
    </row>
    <row r="2557" spans="1:1" x14ac:dyDescent="0.25">
      <c r="A2557" s="16" t="s">
        <v>15658</v>
      </c>
    </row>
    <row r="2558" spans="1:1" x14ac:dyDescent="0.25">
      <c r="A2558" s="16" t="s">
        <v>15659</v>
      </c>
    </row>
    <row r="2559" spans="1:1" x14ac:dyDescent="0.25">
      <c r="A2559" s="16" t="s">
        <v>15660</v>
      </c>
    </row>
    <row r="2560" spans="1:1" x14ac:dyDescent="0.25">
      <c r="A2560" s="16" t="s">
        <v>15661</v>
      </c>
    </row>
    <row r="2561" spans="1:1" x14ac:dyDescent="0.25">
      <c r="A2561" s="16" t="s">
        <v>15662</v>
      </c>
    </row>
    <row r="2562" spans="1:1" x14ac:dyDescent="0.25">
      <c r="A2562" s="16" t="s">
        <v>15663</v>
      </c>
    </row>
    <row r="2563" spans="1:1" x14ac:dyDescent="0.25">
      <c r="A2563" s="16" t="s">
        <v>15664</v>
      </c>
    </row>
    <row r="2564" spans="1:1" x14ac:dyDescent="0.25">
      <c r="A2564" s="16" t="s">
        <v>15665</v>
      </c>
    </row>
    <row r="2565" spans="1:1" x14ac:dyDescent="0.25">
      <c r="A2565" s="16" t="s">
        <v>15666</v>
      </c>
    </row>
    <row r="2566" spans="1:1" x14ac:dyDescent="0.25">
      <c r="A2566" s="16" t="s">
        <v>15667</v>
      </c>
    </row>
    <row r="2567" spans="1:1" x14ac:dyDescent="0.25">
      <c r="A2567" s="16" t="s">
        <v>15668</v>
      </c>
    </row>
    <row r="2568" spans="1:1" x14ac:dyDescent="0.25">
      <c r="A2568" s="16" t="s">
        <v>15669</v>
      </c>
    </row>
    <row r="2569" spans="1:1" x14ac:dyDescent="0.25">
      <c r="A2569" s="16" t="s">
        <v>15670</v>
      </c>
    </row>
    <row r="2570" spans="1:1" x14ac:dyDescent="0.25">
      <c r="A2570" s="16" t="s">
        <v>15671</v>
      </c>
    </row>
    <row r="2571" spans="1:1" x14ac:dyDescent="0.25">
      <c r="A2571" s="16" t="s">
        <v>15672</v>
      </c>
    </row>
    <row r="2572" spans="1:1" x14ac:dyDescent="0.25">
      <c r="A2572" s="16" t="s">
        <v>15673</v>
      </c>
    </row>
    <row r="2573" spans="1:1" x14ac:dyDescent="0.25">
      <c r="A2573" s="16" t="s">
        <v>15674</v>
      </c>
    </row>
    <row r="2574" spans="1:1" x14ac:dyDescent="0.25">
      <c r="A2574" s="16" t="s">
        <v>15675</v>
      </c>
    </row>
    <row r="2575" spans="1:1" x14ac:dyDescent="0.25">
      <c r="A2575" s="16" t="s">
        <v>15676</v>
      </c>
    </row>
    <row r="2576" spans="1:1" x14ac:dyDescent="0.25">
      <c r="A2576" s="16" t="s">
        <v>15677</v>
      </c>
    </row>
    <row r="2577" spans="1:1" x14ac:dyDescent="0.25">
      <c r="A2577" s="16" t="s">
        <v>15678</v>
      </c>
    </row>
    <row r="2578" spans="1:1" x14ac:dyDescent="0.25">
      <c r="A2578" s="16" t="s">
        <v>15679</v>
      </c>
    </row>
    <row r="2579" spans="1:1" x14ac:dyDescent="0.25">
      <c r="A2579" s="16" t="s">
        <v>15680</v>
      </c>
    </row>
    <row r="2580" spans="1:1" x14ac:dyDescent="0.25">
      <c r="A2580" s="16" t="s">
        <v>15681</v>
      </c>
    </row>
    <row r="2581" spans="1:1" x14ac:dyDescent="0.25">
      <c r="A2581" s="16" t="s">
        <v>15682</v>
      </c>
    </row>
    <row r="2582" spans="1:1" x14ac:dyDescent="0.25">
      <c r="A2582" s="16" t="s">
        <v>15683</v>
      </c>
    </row>
    <row r="2583" spans="1:1" x14ac:dyDescent="0.25">
      <c r="A2583" s="16" t="s">
        <v>15684</v>
      </c>
    </row>
    <row r="2584" spans="1:1" x14ac:dyDescent="0.25">
      <c r="A2584" s="16" t="s">
        <v>15685</v>
      </c>
    </row>
    <row r="2585" spans="1:1" x14ac:dyDescent="0.25">
      <c r="A2585" s="16" t="s">
        <v>15686</v>
      </c>
    </row>
    <row r="2586" spans="1:1" x14ac:dyDescent="0.25">
      <c r="A2586" s="16" t="s">
        <v>15687</v>
      </c>
    </row>
    <row r="2587" spans="1:1" x14ac:dyDescent="0.25">
      <c r="A2587" s="16" t="s">
        <v>15688</v>
      </c>
    </row>
    <row r="2588" spans="1:1" x14ac:dyDescent="0.25">
      <c r="A2588" s="16" t="s">
        <v>15689</v>
      </c>
    </row>
    <row r="2589" spans="1:1" x14ac:dyDescent="0.25">
      <c r="A2589" s="16" t="s">
        <v>15690</v>
      </c>
    </row>
    <row r="2590" spans="1:1" x14ac:dyDescent="0.25">
      <c r="A2590" s="16" t="s">
        <v>15691</v>
      </c>
    </row>
    <row r="2591" spans="1:1" x14ac:dyDescent="0.25">
      <c r="A2591" s="16" t="s">
        <v>15692</v>
      </c>
    </row>
    <row r="2592" spans="1:1" x14ac:dyDescent="0.25">
      <c r="A2592" s="16" t="s">
        <v>15693</v>
      </c>
    </row>
    <row r="2593" spans="1:1" x14ac:dyDescent="0.25">
      <c r="A2593" s="16" t="s">
        <v>15694</v>
      </c>
    </row>
    <row r="2594" spans="1:1" x14ac:dyDescent="0.25">
      <c r="A2594" s="16" t="s">
        <v>15695</v>
      </c>
    </row>
    <row r="2595" spans="1:1" x14ac:dyDescent="0.25">
      <c r="A2595" s="16" t="s">
        <v>12176</v>
      </c>
    </row>
    <row r="2596" spans="1:1" x14ac:dyDescent="0.25">
      <c r="A2596" s="16" t="s">
        <v>15696</v>
      </c>
    </row>
    <row r="2597" spans="1:1" x14ac:dyDescent="0.25">
      <c r="A2597" s="16" t="s">
        <v>15697</v>
      </c>
    </row>
    <row r="2598" spans="1:1" x14ac:dyDescent="0.25">
      <c r="A2598" s="16" t="s">
        <v>15698</v>
      </c>
    </row>
    <row r="2599" spans="1:1" x14ac:dyDescent="0.25">
      <c r="A2599" s="16" t="s">
        <v>15699</v>
      </c>
    </row>
    <row r="2600" spans="1:1" x14ac:dyDescent="0.25">
      <c r="A2600" s="16" t="s">
        <v>15700</v>
      </c>
    </row>
    <row r="2601" spans="1:1" x14ac:dyDescent="0.25">
      <c r="A2601" s="16" t="s">
        <v>15701</v>
      </c>
    </row>
    <row r="2602" spans="1:1" x14ac:dyDescent="0.25">
      <c r="A2602" s="16" t="s">
        <v>15702</v>
      </c>
    </row>
    <row r="2603" spans="1:1" x14ac:dyDescent="0.25">
      <c r="A2603" s="16" t="s">
        <v>15703</v>
      </c>
    </row>
    <row r="2604" spans="1:1" x14ac:dyDescent="0.25">
      <c r="A2604" s="16" t="s">
        <v>15704</v>
      </c>
    </row>
    <row r="2605" spans="1:1" x14ac:dyDescent="0.25">
      <c r="A2605" s="16" t="s">
        <v>15705</v>
      </c>
    </row>
    <row r="2606" spans="1:1" x14ac:dyDescent="0.25">
      <c r="A2606" s="16" t="s">
        <v>15706</v>
      </c>
    </row>
    <row r="2607" spans="1:1" x14ac:dyDescent="0.25">
      <c r="A2607" s="16" t="s">
        <v>15707</v>
      </c>
    </row>
    <row r="2608" spans="1:1" x14ac:dyDescent="0.25">
      <c r="A2608" s="16" t="s">
        <v>15708</v>
      </c>
    </row>
    <row r="2609" spans="1:1" x14ac:dyDescent="0.25">
      <c r="A2609" s="16" t="s">
        <v>15709</v>
      </c>
    </row>
    <row r="2610" spans="1:1" x14ac:dyDescent="0.25">
      <c r="A2610" s="16" t="s">
        <v>15710</v>
      </c>
    </row>
    <row r="2611" spans="1:1" x14ac:dyDescent="0.25">
      <c r="A2611" s="16" t="s">
        <v>15711</v>
      </c>
    </row>
    <row r="2612" spans="1:1" x14ac:dyDescent="0.25">
      <c r="A2612" s="16" t="s">
        <v>9662</v>
      </c>
    </row>
    <row r="2613" spans="1:1" x14ac:dyDescent="0.25">
      <c r="A2613" s="16" t="s">
        <v>15712</v>
      </c>
    </row>
    <row r="2614" spans="1:1" x14ac:dyDescent="0.25">
      <c r="A2614" s="16" t="s">
        <v>15713</v>
      </c>
    </row>
    <row r="2615" spans="1:1" x14ac:dyDescent="0.25">
      <c r="A2615" s="16" t="s">
        <v>15714</v>
      </c>
    </row>
    <row r="2616" spans="1:1" x14ac:dyDescent="0.25">
      <c r="A2616" s="16" t="s">
        <v>15715</v>
      </c>
    </row>
    <row r="2617" spans="1:1" x14ac:dyDescent="0.25">
      <c r="A2617" s="16" t="s">
        <v>15716</v>
      </c>
    </row>
    <row r="2618" spans="1:1" x14ac:dyDescent="0.25">
      <c r="A2618" s="16" t="s">
        <v>15717</v>
      </c>
    </row>
    <row r="2619" spans="1:1" x14ac:dyDescent="0.25">
      <c r="A2619" s="16" t="s">
        <v>15718</v>
      </c>
    </row>
    <row r="2620" spans="1:1" x14ac:dyDescent="0.25">
      <c r="A2620" s="16" t="s">
        <v>15719</v>
      </c>
    </row>
    <row r="2621" spans="1:1" x14ac:dyDescent="0.25">
      <c r="A2621" s="16" t="s">
        <v>15720</v>
      </c>
    </row>
    <row r="2622" spans="1:1" x14ac:dyDescent="0.25">
      <c r="A2622" s="16" t="s">
        <v>15721</v>
      </c>
    </row>
    <row r="2623" spans="1:1" x14ac:dyDescent="0.25">
      <c r="A2623" s="16" t="s">
        <v>15722</v>
      </c>
    </row>
    <row r="2624" spans="1:1" x14ac:dyDescent="0.25">
      <c r="A2624" s="16" t="s">
        <v>15723</v>
      </c>
    </row>
    <row r="2625" spans="1:1" x14ac:dyDescent="0.25">
      <c r="A2625" s="16" t="s">
        <v>15724</v>
      </c>
    </row>
    <row r="2626" spans="1:1" x14ac:dyDescent="0.25">
      <c r="A2626" s="16" t="s">
        <v>15725</v>
      </c>
    </row>
    <row r="2627" spans="1:1" x14ac:dyDescent="0.25">
      <c r="A2627" s="16" t="s">
        <v>15726</v>
      </c>
    </row>
    <row r="2628" spans="1:1" x14ac:dyDescent="0.25">
      <c r="A2628" s="16" t="s">
        <v>15727</v>
      </c>
    </row>
    <row r="2629" spans="1:1" x14ac:dyDescent="0.25">
      <c r="A2629" s="16" t="s">
        <v>15728</v>
      </c>
    </row>
    <row r="2630" spans="1:1" x14ac:dyDescent="0.25">
      <c r="A2630" s="16" t="s">
        <v>15729</v>
      </c>
    </row>
    <row r="2631" spans="1:1" x14ac:dyDescent="0.25">
      <c r="A2631" s="16" t="s">
        <v>15730</v>
      </c>
    </row>
    <row r="2632" spans="1:1" x14ac:dyDescent="0.25">
      <c r="A2632" s="16" t="s">
        <v>15731</v>
      </c>
    </row>
    <row r="2633" spans="1:1" x14ac:dyDescent="0.25">
      <c r="A2633" s="16" t="s">
        <v>15732</v>
      </c>
    </row>
    <row r="2634" spans="1:1" x14ac:dyDescent="0.25">
      <c r="A2634" s="16" t="s">
        <v>15733</v>
      </c>
    </row>
    <row r="2635" spans="1:1" x14ac:dyDescent="0.25">
      <c r="A2635" s="16" t="s">
        <v>15734</v>
      </c>
    </row>
    <row r="2636" spans="1:1" x14ac:dyDescent="0.25">
      <c r="A2636" s="16" t="s">
        <v>15735</v>
      </c>
    </row>
    <row r="2637" spans="1:1" x14ac:dyDescent="0.25">
      <c r="A2637" s="16" t="s">
        <v>15736</v>
      </c>
    </row>
    <row r="2638" spans="1:1" x14ac:dyDescent="0.25">
      <c r="A2638" s="16" t="s">
        <v>15737</v>
      </c>
    </row>
    <row r="2639" spans="1:1" x14ac:dyDescent="0.25">
      <c r="A2639" s="16" t="s">
        <v>15738</v>
      </c>
    </row>
    <row r="2640" spans="1:1" x14ac:dyDescent="0.25">
      <c r="A2640" s="16" t="s">
        <v>15739</v>
      </c>
    </row>
    <row r="2641" spans="1:1" x14ac:dyDescent="0.25">
      <c r="A2641" s="16" t="s">
        <v>15740</v>
      </c>
    </row>
    <row r="2642" spans="1:1" x14ac:dyDescent="0.25">
      <c r="A2642" s="16" t="s">
        <v>15741</v>
      </c>
    </row>
    <row r="2643" spans="1:1" x14ac:dyDescent="0.25">
      <c r="A2643" s="16" t="s">
        <v>15742</v>
      </c>
    </row>
    <row r="2644" spans="1:1" x14ac:dyDescent="0.25">
      <c r="A2644" s="16" t="s">
        <v>15743</v>
      </c>
    </row>
    <row r="2645" spans="1:1" x14ac:dyDescent="0.25">
      <c r="A2645" s="16" t="s">
        <v>15744</v>
      </c>
    </row>
    <row r="2646" spans="1:1" x14ac:dyDescent="0.25">
      <c r="A2646" s="16" t="s">
        <v>15745</v>
      </c>
    </row>
    <row r="2647" spans="1:1" x14ac:dyDescent="0.25">
      <c r="A2647" s="16" t="s">
        <v>15746</v>
      </c>
    </row>
    <row r="2648" spans="1:1" x14ac:dyDescent="0.25">
      <c r="A2648" s="16" t="s">
        <v>15747</v>
      </c>
    </row>
    <row r="2649" spans="1:1" x14ac:dyDescent="0.25">
      <c r="A2649" s="16" t="s">
        <v>15748</v>
      </c>
    </row>
    <row r="2650" spans="1:1" x14ac:dyDescent="0.25">
      <c r="A2650" s="16" t="s">
        <v>15749</v>
      </c>
    </row>
    <row r="2651" spans="1:1" x14ac:dyDescent="0.25">
      <c r="A2651" s="16" t="s">
        <v>15750</v>
      </c>
    </row>
    <row r="2652" spans="1:1" x14ac:dyDescent="0.25">
      <c r="A2652" s="16" t="s">
        <v>15751</v>
      </c>
    </row>
    <row r="2653" spans="1:1" x14ac:dyDescent="0.25">
      <c r="A2653" s="16" t="s">
        <v>15752</v>
      </c>
    </row>
    <row r="2654" spans="1:1" x14ac:dyDescent="0.25">
      <c r="A2654" s="16" t="s">
        <v>15753</v>
      </c>
    </row>
    <row r="2655" spans="1:1" x14ac:dyDescent="0.25">
      <c r="A2655" s="16" t="s">
        <v>15754</v>
      </c>
    </row>
    <row r="2656" spans="1:1" x14ac:dyDescent="0.25">
      <c r="A2656" s="16" t="s">
        <v>15755</v>
      </c>
    </row>
    <row r="2657" spans="1:1" x14ac:dyDescent="0.25">
      <c r="A2657" s="16" t="s">
        <v>15756</v>
      </c>
    </row>
    <row r="2658" spans="1:1" x14ac:dyDescent="0.25">
      <c r="A2658" s="16" t="s">
        <v>15757</v>
      </c>
    </row>
    <row r="2659" spans="1:1" x14ac:dyDescent="0.25">
      <c r="A2659" s="16" t="s">
        <v>15758</v>
      </c>
    </row>
    <row r="2660" spans="1:1" x14ac:dyDescent="0.25">
      <c r="A2660" s="16" t="s">
        <v>15759</v>
      </c>
    </row>
    <row r="2661" spans="1:1" x14ac:dyDescent="0.25">
      <c r="A2661" s="16" t="s">
        <v>15760</v>
      </c>
    </row>
    <row r="2662" spans="1:1" x14ac:dyDescent="0.25">
      <c r="A2662" s="16" t="s">
        <v>15761</v>
      </c>
    </row>
    <row r="2663" spans="1:1" x14ac:dyDescent="0.25">
      <c r="A2663" s="16" t="s">
        <v>15762</v>
      </c>
    </row>
    <row r="2664" spans="1:1" x14ac:dyDescent="0.25">
      <c r="A2664" s="16" t="s">
        <v>15763</v>
      </c>
    </row>
    <row r="2665" spans="1:1" x14ac:dyDescent="0.25">
      <c r="A2665" s="16" t="s">
        <v>15764</v>
      </c>
    </row>
    <row r="2666" spans="1:1" x14ac:dyDescent="0.25">
      <c r="A2666" s="16" t="s">
        <v>15765</v>
      </c>
    </row>
    <row r="2667" spans="1:1" x14ac:dyDescent="0.25">
      <c r="A2667" s="16" t="s">
        <v>15766</v>
      </c>
    </row>
    <row r="2668" spans="1:1" x14ac:dyDescent="0.25">
      <c r="A2668" s="16" t="s">
        <v>15767</v>
      </c>
    </row>
    <row r="2669" spans="1:1" x14ac:dyDescent="0.25">
      <c r="A2669" s="16" t="s">
        <v>15768</v>
      </c>
    </row>
    <row r="2670" spans="1:1" x14ac:dyDescent="0.25">
      <c r="A2670" s="16" t="s">
        <v>15769</v>
      </c>
    </row>
    <row r="2671" spans="1:1" x14ac:dyDescent="0.25">
      <c r="A2671" s="16" t="s">
        <v>15770</v>
      </c>
    </row>
    <row r="2672" spans="1:1" x14ac:dyDescent="0.25">
      <c r="A2672" s="16" t="s">
        <v>15771</v>
      </c>
    </row>
    <row r="2673" spans="1:1" x14ac:dyDescent="0.25">
      <c r="A2673" s="16" t="s">
        <v>15772</v>
      </c>
    </row>
    <row r="2674" spans="1:1" x14ac:dyDescent="0.25">
      <c r="A2674" s="16" t="s">
        <v>15773</v>
      </c>
    </row>
    <row r="2675" spans="1:1" x14ac:dyDescent="0.25">
      <c r="A2675" s="16" t="s">
        <v>15774</v>
      </c>
    </row>
    <row r="2676" spans="1:1" x14ac:dyDescent="0.25">
      <c r="A2676" s="16" t="s">
        <v>15775</v>
      </c>
    </row>
    <row r="2677" spans="1:1" x14ac:dyDescent="0.25">
      <c r="A2677" s="16" t="s">
        <v>15776</v>
      </c>
    </row>
    <row r="2678" spans="1:1" x14ac:dyDescent="0.25">
      <c r="A2678" s="16" t="s">
        <v>15777</v>
      </c>
    </row>
    <row r="2679" spans="1:1" x14ac:dyDescent="0.25">
      <c r="A2679" s="16" t="s">
        <v>15778</v>
      </c>
    </row>
    <row r="2680" spans="1:1" x14ac:dyDescent="0.25">
      <c r="A2680" s="16" t="s">
        <v>15779</v>
      </c>
    </row>
    <row r="2681" spans="1:1" x14ac:dyDescent="0.25">
      <c r="A2681" s="16" t="s">
        <v>15780</v>
      </c>
    </row>
    <row r="2682" spans="1:1" x14ac:dyDescent="0.25">
      <c r="A2682" s="16" t="s">
        <v>15781</v>
      </c>
    </row>
    <row r="2683" spans="1:1" x14ac:dyDescent="0.25">
      <c r="A2683" s="16" t="s">
        <v>15782</v>
      </c>
    </row>
    <row r="2684" spans="1:1" x14ac:dyDescent="0.25">
      <c r="A2684" s="16" t="s">
        <v>15783</v>
      </c>
    </row>
    <row r="2685" spans="1:1" x14ac:dyDescent="0.25">
      <c r="A2685" s="16" t="s">
        <v>15784</v>
      </c>
    </row>
    <row r="2686" spans="1:1" x14ac:dyDescent="0.25">
      <c r="A2686" s="16" t="s">
        <v>15785</v>
      </c>
    </row>
    <row r="2687" spans="1:1" x14ac:dyDescent="0.25">
      <c r="A2687" s="16" t="s">
        <v>15786</v>
      </c>
    </row>
    <row r="2688" spans="1:1" x14ac:dyDescent="0.25">
      <c r="A2688" s="16" t="s">
        <v>15787</v>
      </c>
    </row>
    <row r="2689" spans="1:1" x14ac:dyDescent="0.25">
      <c r="A2689" s="16" t="s">
        <v>15788</v>
      </c>
    </row>
    <row r="2690" spans="1:1" x14ac:dyDescent="0.25">
      <c r="A2690" s="16" t="s">
        <v>15789</v>
      </c>
    </row>
    <row r="2691" spans="1:1" x14ac:dyDescent="0.25">
      <c r="A2691" s="16" t="s">
        <v>15790</v>
      </c>
    </row>
    <row r="2692" spans="1:1" x14ac:dyDescent="0.25">
      <c r="A2692" s="16" t="s">
        <v>15791</v>
      </c>
    </row>
    <row r="2693" spans="1:1" x14ac:dyDescent="0.25">
      <c r="A2693" s="16" t="s">
        <v>15792</v>
      </c>
    </row>
    <row r="2694" spans="1:1" x14ac:dyDescent="0.25">
      <c r="A2694" s="16" t="s">
        <v>15793</v>
      </c>
    </row>
    <row r="2695" spans="1:1" x14ac:dyDescent="0.25">
      <c r="A2695" s="16" t="s">
        <v>15794</v>
      </c>
    </row>
    <row r="2696" spans="1:1" x14ac:dyDescent="0.25">
      <c r="A2696" s="16" t="s">
        <v>15795</v>
      </c>
    </row>
    <row r="2697" spans="1:1" x14ac:dyDescent="0.25">
      <c r="A2697" s="16" t="s">
        <v>15796</v>
      </c>
    </row>
    <row r="2698" spans="1:1" x14ac:dyDescent="0.25">
      <c r="A2698" s="16" t="s">
        <v>15797</v>
      </c>
    </row>
    <row r="2699" spans="1:1" x14ac:dyDescent="0.25">
      <c r="A2699" s="16" t="s">
        <v>15798</v>
      </c>
    </row>
    <row r="2700" spans="1:1" x14ac:dyDescent="0.25">
      <c r="A2700" s="16" t="s">
        <v>15799</v>
      </c>
    </row>
    <row r="2701" spans="1:1" x14ac:dyDescent="0.25">
      <c r="A2701" s="16" t="s">
        <v>15800</v>
      </c>
    </row>
    <row r="2702" spans="1:1" x14ac:dyDescent="0.25">
      <c r="A2702" s="16" t="s">
        <v>15801</v>
      </c>
    </row>
    <row r="2703" spans="1:1" x14ac:dyDescent="0.25">
      <c r="A2703" s="16" t="s">
        <v>15802</v>
      </c>
    </row>
    <row r="2704" spans="1:1" x14ac:dyDescent="0.25">
      <c r="A2704" s="16" t="s">
        <v>15803</v>
      </c>
    </row>
    <row r="2705" spans="1:1" x14ac:dyDescent="0.25">
      <c r="A2705" s="16" t="s">
        <v>15804</v>
      </c>
    </row>
    <row r="2706" spans="1:1" x14ac:dyDescent="0.25">
      <c r="A2706" s="16" t="s">
        <v>15805</v>
      </c>
    </row>
    <row r="2707" spans="1:1" x14ac:dyDescent="0.25">
      <c r="A2707" s="16" t="s">
        <v>15806</v>
      </c>
    </row>
    <row r="2708" spans="1:1" x14ac:dyDescent="0.25">
      <c r="A2708" s="16" t="s">
        <v>15807</v>
      </c>
    </row>
    <row r="2709" spans="1:1" x14ac:dyDescent="0.25">
      <c r="A2709" s="16" t="s">
        <v>15808</v>
      </c>
    </row>
    <row r="2710" spans="1:1" x14ac:dyDescent="0.25">
      <c r="A2710" s="16" t="s">
        <v>15809</v>
      </c>
    </row>
    <row r="2711" spans="1:1" x14ac:dyDescent="0.25">
      <c r="A2711" s="16" t="s">
        <v>15810</v>
      </c>
    </row>
    <row r="2712" spans="1:1" x14ac:dyDescent="0.25">
      <c r="A2712" s="16" t="s">
        <v>15811</v>
      </c>
    </row>
    <row r="2713" spans="1:1" x14ac:dyDescent="0.25">
      <c r="A2713" s="16" t="s">
        <v>15812</v>
      </c>
    </row>
    <row r="2714" spans="1:1" x14ac:dyDescent="0.25">
      <c r="A2714" s="16" t="s">
        <v>15813</v>
      </c>
    </row>
    <row r="2715" spans="1:1" x14ac:dyDescent="0.25">
      <c r="A2715" s="16" t="s">
        <v>15814</v>
      </c>
    </row>
    <row r="2716" spans="1:1" x14ac:dyDescent="0.25">
      <c r="A2716" s="16" t="s">
        <v>15815</v>
      </c>
    </row>
    <row r="2717" spans="1:1" x14ac:dyDescent="0.25">
      <c r="A2717" s="16" t="s">
        <v>15816</v>
      </c>
    </row>
    <row r="2718" spans="1:1" x14ac:dyDescent="0.25">
      <c r="A2718" s="16" t="s">
        <v>15817</v>
      </c>
    </row>
    <row r="2719" spans="1:1" x14ac:dyDescent="0.25">
      <c r="A2719" s="16" t="s">
        <v>15818</v>
      </c>
    </row>
    <row r="2720" spans="1:1" x14ac:dyDescent="0.25">
      <c r="A2720" s="16" t="s">
        <v>15819</v>
      </c>
    </row>
    <row r="2721" spans="1:1" x14ac:dyDescent="0.25">
      <c r="A2721" s="16" t="s">
        <v>15820</v>
      </c>
    </row>
    <row r="2722" spans="1:1" x14ac:dyDescent="0.25">
      <c r="A2722" s="16" t="s">
        <v>15821</v>
      </c>
    </row>
    <row r="2723" spans="1:1" x14ac:dyDescent="0.25">
      <c r="A2723" s="16" t="s">
        <v>15822</v>
      </c>
    </row>
    <row r="2724" spans="1:1" x14ac:dyDescent="0.25">
      <c r="A2724" s="16" t="s">
        <v>15823</v>
      </c>
    </row>
    <row r="2725" spans="1:1" x14ac:dyDescent="0.25">
      <c r="A2725" s="16" t="s">
        <v>15824</v>
      </c>
    </row>
    <row r="2726" spans="1:1" x14ac:dyDescent="0.25">
      <c r="A2726" s="16" t="s">
        <v>15825</v>
      </c>
    </row>
    <row r="2727" spans="1:1" x14ac:dyDescent="0.25">
      <c r="A2727" s="16" t="s">
        <v>15826</v>
      </c>
    </row>
    <row r="2728" spans="1:1" x14ac:dyDescent="0.25">
      <c r="A2728" s="16" t="s">
        <v>15827</v>
      </c>
    </row>
    <row r="2729" spans="1:1" x14ac:dyDescent="0.25">
      <c r="A2729" s="16" t="s">
        <v>15828</v>
      </c>
    </row>
    <row r="2730" spans="1:1" x14ac:dyDescent="0.25">
      <c r="A2730" s="16" t="s">
        <v>15829</v>
      </c>
    </row>
    <row r="2731" spans="1:1" x14ac:dyDescent="0.25">
      <c r="A2731" s="16" t="s">
        <v>15830</v>
      </c>
    </row>
    <row r="2732" spans="1:1" x14ac:dyDescent="0.25">
      <c r="A2732" s="16" t="s">
        <v>15831</v>
      </c>
    </row>
    <row r="2733" spans="1:1" x14ac:dyDescent="0.25">
      <c r="A2733" s="16" t="s">
        <v>15832</v>
      </c>
    </row>
    <row r="2734" spans="1:1" x14ac:dyDescent="0.25">
      <c r="A2734" s="16" t="s">
        <v>15833</v>
      </c>
    </row>
    <row r="2735" spans="1:1" x14ac:dyDescent="0.25">
      <c r="A2735" s="16" t="s">
        <v>15834</v>
      </c>
    </row>
    <row r="2736" spans="1:1" x14ac:dyDescent="0.25">
      <c r="A2736" s="16" t="s">
        <v>15835</v>
      </c>
    </row>
    <row r="2737" spans="1:1" x14ac:dyDescent="0.25">
      <c r="A2737" s="16" t="s">
        <v>15836</v>
      </c>
    </row>
    <row r="2738" spans="1:1" x14ac:dyDescent="0.25">
      <c r="A2738" s="16" t="s">
        <v>15837</v>
      </c>
    </row>
    <row r="2739" spans="1:1" x14ac:dyDescent="0.25">
      <c r="A2739" s="16" t="s">
        <v>15838</v>
      </c>
    </row>
    <row r="2740" spans="1:1" x14ac:dyDescent="0.25">
      <c r="A2740" s="16" t="s">
        <v>15839</v>
      </c>
    </row>
    <row r="2741" spans="1:1" x14ac:dyDescent="0.25">
      <c r="A2741" s="16" t="s">
        <v>15840</v>
      </c>
    </row>
    <row r="2742" spans="1:1" x14ac:dyDescent="0.25">
      <c r="A2742" s="16" t="s">
        <v>15841</v>
      </c>
    </row>
    <row r="2743" spans="1:1" x14ac:dyDescent="0.25">
      <c r="A2743" s="16" t="s">
        <v>15842</v>
      </c>
    </row>
    <row r="2744" spans="1:1" x14ac:dyDescent="0.25">
      <c r="A2744" s="16" t="s">
        <v>15843</v>
      </c>
    </row>
    <row r="2745" spans="1:1" x14ac:dyDescent="0.25">
      <c r="A2745" s="16" t="s">
        <v>15844</v>
      </c>
    </row>
    <row r="2746" spans="1:1" x14ac:dyDescent="0.25">
      <c r="A2746" s="16" t="s">
        <v>15845</v>
      </c>
    </row>
    <row r="2747" spans="1:1" x14ac:dyDescent="0.25">
      <c r="A2747" s="16" t="s">
        <v>15846</v>
      </c>
    </row>
    <row r="2748" spans="1:1" x14ac:dyDescent="0.25">
      <c r="A2748" s="16" t="s">
        <v>15847</v>
      </c>
    </row>
    <row r="2749" spans="1:1" x14ac:dyDescent="0.25">
      <c r="A2749" s="16" t="s">
        <v>15848</v>
      </c>
    </row>
    <row r="2750" spans="1:1" x14ac:dyDescent="0.25">
      <c r="A2750" s="16" t="s">
        <v>15849</v>
      </c>
    </row>
    <row r="2751" spans="1:1" x14ac:dyDescent="0.25">
      <c r="A2751" s="16" t="s">
        <v>15850</v>
      </c>
    </row>
    <row r="2752" spans="1:1" x14ac:dyDescent="0.25">
      <c r="A2752" s="16" t="s">
        <v>15851</v>
      </c>
    </row>
    <row r="2753" spans="1:1" x14ac:dyDescent="0.25">
      <c r="A2753" s="16" t="s">
        <v>15852</v>
      </c>
    </row>
    <row r="2754" spans="1:1" x14ac:dyDescent="0.25">
      <c r="A2754" s="16" t="s">
        <v>15853</v>
      </c>
    </row>
    <row r="2755" spans="1:1" x14ac:dyDescent="0.25">
      <c r="A2755" s="16" t="s">
        <v>15854</v>
      </c>
    </row>
    <row r="2756" spans="1:1" x14ac:dyDescent="0.25">
      <c r="A2756" s="16" t="s">
        <v>15855</v>
      </c>
    </row>
    <row r="2757" spans="1:1" x14ac:dyDescent="0.25">
      <c r="A2757" s="16" t="s">
        <v>15856</v>
      </c>
    </row>
    <row r="2758" spans="1:1" x14ac:dyDescent="0.25">
      <c r="A2758" s="16" t="s">
        <v>15857</v>
      </c>
    </row>
    <row r="2759" spans="1:1" x14ac:dyDescent="0.25">
      <c r="A2759" s="16" t="s">
        <v>15858</v>
      </c>
    </row>
    <row r="2760" spans="1:1" x14ac:dyDescent="0.25">
      <c r="A2760" s="16" t="s">
        <v>15859</v>
      </c>
    </row>
    <row r="2761" spans="1:1" x14ac:dyDescent="0.25">
      <c r="A2761" s="16" t="s">
        <v>15860</v>
      </c>
    </row>
    <row r="2762" spans="1:1" x14ac:dyDescent="0.25">
      <c r="A2762" s="16" t="s">
        <v>15861</v>
      </c>
    </row>
    <row r="2763" spans="1:1" x14ac:dyDescent="0.25">
      <c r="A2763" s="16" t="s">
        <v>15862</v>
      </c>
    </row>
    <row r="2764" spans="1:1" x14ac:dyDescent="0.25">
      <c r="A2764" s="16" t="s">
        <v>15863</v>
      </c>
    </row>
    <row r="2765" spans="1:1" x14ac:dyDescent="0.25">
      <c r="A2765" s="16" t="s">
        <v>15864</v>
      </c>
    </row>
    <row r="2766" spans="1:1" x14ac:dyDescent="0.25">
      <c r="A2766" s="16" t="s">
        <v>15865</v>
      </c>
    </row>
    <row r="2767" spans="1:1" x14ac:dyDescent="0.25">
      <c r="A2767" s="16" t="s">
        <v>15866</v>
      </c>
    </row>
    <row r="2768" spans="1:1" x14ac:dyDescent="0.25">
      <c r="A2768" s="16" t="s">
        <v>15867</v>
      </c>
    </row>
    <row r="2769" spans="1:1" x14ac:dyDescent="0.25">
      <c r="A2769" s="16" t="s">
        <v>15868</v>
      </c>
    </row>
    <row r="2770" spans="1:1" x14ac:dyDescent="0.25">
      <c r="A2770" s="16" t="s">
        <v>15869</v>
      </c>
    </row>
    <row r="2771" spans="1:1" x14ac:dyDescent="0.25">
      <c r="A2771" s="16" t="s">
        <v>15870</v>
      </c>
    </row>
    <row r="2772" spans="1:1" x14ac:dyDescent="0.25">
      <c r="A2772" s="16" t="s">
        <v>15871</v>
      </c>
    </row>
    <row r="2773" spans="1:1" x14ac:dyDescent="0.25">
      <c r="A2773" s="16" t="s">
        <v>15872</v>
      </c>
    </row>
    <row r="2774" spans="1:1" x14ac:dyDescent="0.25">
      <c r="A2774" s="16" t="s">
        <v>15873</v>
      </c>
    </row>
    <row r="2775" spans="1:1" x14ac:dyDescent="0.25">
      <c r="A2775" s="16" t="s">
        <v>15874</v>
      </c>
    </row>
    <row r="2776" spans="1:1" x14ac:dyDescent="0.25">
      <c r="A2776" s="16" t="s">
        <v>15875</v>
      </c>
    </row>
    <row r="2777" spans="1:1" x14ac:dyDescent="0.25">
      <c r="A2777" s="16" t="s">
        <v>15876</v>
      </c>
    </row>
    <row r="2778" spans="1:1" x14ac:dyDescent="0.25">
      <c r="A2778" s="16" t="s">
        <v>15877</v>
      </c>
    </row>
    <row r="2779" spans="1:1" x14ac:dyDescent="0.25">
      <c r="A2779" s="16" t="s">
        <v>15878</v>
      </c>
    </row>
    <row r="2780" spans="1:1" x14ac:dyDescent="0.25">
      <c r="A2780" s="16" t="s">
        <v>15879</v>
      </c>
    </row>
    <row r="2781" spans="1:1" x14ac:dyDescent="0.25">
      <c r="A2781" s="16" t="s">
        <v>15880</v>
      </c>
    </row>
    <row r="2782" spans="1:1" x14ac:dyDescent="0.25">
      <c r="A2782" s="16" t="s">
        <v>15881</v>
      </c>
    </row>
    <row r="2783" spans="1:1" x14ac:dyDescent="0.25">
      <c r="A2783" s="16" t="s">
        <v>15882</v>
      </c>
    </row>
    <row r="2784" spans="1:1" x14ac:dyDescent="0.25">
      <c r="A2784" s="16" t="s">
        <v>15883</v>
      </c>
    </row>
    <row r="2785" spans="1:1" x14ac:dyDescent="0.25">
      <c r="A2785" s="16" t="s">
        <v>15884</v>
      </c>
    </row>
    <row r="2786" spans="1:1" x14ac:dyDescent="0.25">
      <c r="A2786" s="16" t="s">
        <v>15885</v>
      </c>
    </row>
    <row r="2787" spans="1:1" x14ac:dyDescent="0.25">
      <c r="A2787" s="16" t="s">
        <v>15886</v>
      </c>
    </row>
    <row r="2788" spans="1:1" x14ac:dyDescent="0.25">
      <c r="A2788" s="16" t="s">
        <v>15887</v>
      </c>
    </row>
    <row r="2789" spans="1:1" x14ac:dyDescent="0.25">
      <c r="A2789" s="16" t="s">
        <v>15888</v>
      </c>
    </row>
    <row r="2790" spans="1:1" x14ac:dyDescent="0.25">
      <c r="A2790" s="16" t="s">
        <v>15889</v>
      </c>
    </row>
    <row r="2791" spans="1:1" x14ac:dyDescent="0.25">
      <c r="A2791" s="16" t="s">
        <v>15890</v>
      </c>
    </row>
    <row r="2792" spans="1:1" x14ac:dyDescent="0.25">
      <c r="A2792" s="16" t="s">
        <v>15891</v>
      </c>
    </row>
    <row r="2793" spans="1:1" x14ac:dyDescent="0.25">
      <c r="A2793" s="16" t="s">
        <v>15892</v>
      </c>
    </row>
    <row r="2794" spans="1:1" x14ac:dyDescent="0.25">
      <c r="A2794" s="16" t="s">
        <v>15893</v>
      </c>
    </row>
    <row r="2795" spans="1:1" x14ac:dyDescent="0.25">
      <c r="A2795" s="16" t="s">
        <v>15894</v>
      </c>
    </row>
    <row r="2796" spans="1:1" x14ac:dyDescent="0.25">
      <c r="A2796" s="16" t="s">
        <v>15895</v>
      </c>
    </row>
    <row r="2797" spans="1:1" x14ac:dyDescent="0.25">
      <c r="A2797" s="16" t="s">
        <v>15896</v>
      </c>
    </row>
    <row r="2798" spans="1:1" x14ac:dyDescent="0.25">
      <c r="A2798" s="16" t="s">
        <v>15897</v>
      </c>
    </row>
    <row r="2799" spans="1:1" x14ac:dyDescent="0.25">
      <c r="A2799" s="16" t="s">
        <v>15898</v>
      </c>
    </row>
    <row r="2800" spans="1:1" x14ac:dyDescent="0.25">
      <c r="A2800" s="16" t="s">
        <v>15899</v>
      </c>
    </row>
    <row r="2801" spans="1:1" x14ac:dyDescent="0.25">
      <c r="A2801" s="16" t="s">
        <v>15900</v>
      </c>
    </row>
    <row r="2802" spans="1:1" x14ac:dyDescent="0.25">
      <c r="A2802" s="16" t="s">
        <v>15901</v>
      </c>
    </row>
    <row r="2803" spans="1:1" x14ac:dyDescent="0.25">
      <c r="A2803" s="16" t="s">
        <v>15902</v>
      </c>
    </row>
    <row r="2804" spans="1:1" x14ac:dyDescent="0.25">
      <c r="A2804" s="16" t="s">
        <v>15903</v>
      </c>
    </row>
    <row r="2805" spans="1:1" x14ac:dyDescent="0.25">
      <c r="A2805" s="16" t="s">
        <v>15904</v>
      </c>
    </row>
    <row r="2806" spans="1:1" x14ac:dyDescent="0.25">
      <c r="A2806" s="16" t="s">
        <v>15905</v>
      </c>
    </row>
    <row r="2807" spans="1:1" x14ac:dyDescent="0.25">
      <c r="A2807" s="16" t="s">
        <v>15906</v>
      </c>
    </row>
    <row r="2808" spans="1:1" x14ac:dyDescent="0.25">
      <c r="A2808" s="16" t="s">
        <v>15907</v>
      </c>
    </row>
    <row r="2809" spans="1:1" x14ac:dyDescent="0.25">
      <c r="A2809" s="16" t="s">
        <v>15908</v>
      </c>
    </row>
    <row r="2810" spans="1:1" x14ac:dyDescent="0.25">
      <c r="A2810" s="16" t="s">
        <v>15909</v>
      </c>
    </row>
    <row r="2811" spans="1:1" x14ac:dyDescent="0.25">
      <c r="A2811" s="16" t="s">
        <v>15910</v>
      </c>
    </row>
    <row r="2812" spans="1:1" x14ac:dyDescent="0.25">
      <c r="A2812" s="16" t="s">
        <v>15911</v>
      </c>
    </row>
    <row r="2813" spans="1:1" x14ac:dyDescent="0.25">
      <c r="A2813" s="16" t="s">
        <v>15912</v>
      </c>
    </row>
    <row r="2814" spans="1:1" x14ac:dyDescent="0.25">
      <c r="A2814" s="16" t="s">
        <v>15913</v>
      </c>
    </row>
    <row r="2815" spans="1:1" x14ac:dyDescent="0.25">
      <c r="A2815" s="16" t="s">
        <v>15914</v>
      </c>
    </row>
    <row r="2816" spans="1:1" x14ac:dyDescent="0.25">
      <c r="A2816" s="16" t="s">
        <v>15915</v>
      </c>
    </row>
    <row r="2817" spans="1:1" x14ac:dyDescent="0.25">
      <c r="A2817" s="16" t="s">
        <v>15916</v>
      </c>
    </row>
    <row r="2818" spans="1:1" x14ac:dyDescent="0.25">
      <c r="A2818" s="16" t="s">
        <v>15917</v>
      </c>
    </row>
    <row r="2819" spans="1:1" x14ac:dyDescent="0.25">
      <c r="A2819" s="16" t="s">
        <v>15918</v>
      </c>
    </row>
    <row r="2820" spans="1:1" x14ac:dyDescent="0.25">
      <c r="A2820" s="16" t="s">
        <v>15919</v>
      </c>
    </row>
    <row r="2821" spans="1:1" x14ac:dyDescent="0.25">
      <c r="A2821" s="16" t="s">
        <v>15920</v>
      </c>
    </row>
    <row r="2822" spans="1:1" x14ac:dyDescent="0.25">
      <c r="A2822" s="16" t="s">
        <v>15921</v>
      </c>
    </row>
    <row r="2823" spans="1:1" x14ac:dyDescent="0.25">
      <c r="A2823" s="16" t="s">
        <v>15922</v>
      </c>
    </row>
    <row r="2824" spans="1:1" x14ac:dyDescent="0.25">
      <c r="A2824" s="16" t="s">
        <v>15923</v>
      </c>
    </row>
    <row r="2825" spans="1:1" x14ac:dyDescent="0.25">
      <c r="A2825" s="16" t="s">
        <v>15924</v>
      </c>
    </row>
    <row r="2826" spans="1:1" x14ac:dyDescent="0.25">
      <c r="A2826" s="16" t="s">
        <v>15925</v>
      </c>
    </row>
    <row r="2827" spans="1:1" x14ac:dyDescent="0.25">
      <c r="A2827" s="16" t="s">
        <v>15926</v>
      </c>
    </row>
    <row r="2828" spans="1:1" x14ac:dyDescent="0.25">
      <c r="A2828" s="16" t="s">
        <v>15927</v>
      </c>
    </row>
    <row r="2829" spans="1:1" x14ac:dyDescent="0.25">
      <c r="A2829" s="16" t="s">
        <v>15928</v>
      </c>
    </row>
    <row r="2830" spans="1:1" x14ac:dyDescent="0.25">
      <c r="A2830" s="16" t="s">
        <v>15929</v>
      </c>
    </row>
    <row r="2831" spans="1:1" x14ac:dyDescent="0.25">
      <c r="A2831" s="16" t="s">
        <v>15930</v>
      </c>
    </row>
    <row r="2832" spans="1:1" x14ac:dyDescent="0.25">
      <c r="A2832" s="16" t="s">
        <v>15931</v>
      </c>
    </row>
    <row r="2833" spans="1:1" x14ac:dyDescent="0.25">
      <c r="A2833" s="16" t="s">
        <v>15932</v>
      </c>
    </row>
    <row r="2834" spans="1:1" x14ac:dyDescent="0.25">
      <c r="A2834" s="16" t="s">
        <v>15933</v>
      </c>
    </row>
    <row r="2835" spans="1:1" x14ac:dyDescent="0.25">
      <c r="A2835" s="16" t="s">
        <v>15934</v>
      </c>
    </row>
    <row r="2836" spans="1:1" x14ac:dyDescent="0.25">
      <c r="A2836" s="16" t="s">
        <v>15935</v>
      </c>
    </row>
    <row r="2837" spans="1:1" x14ac:dyDescent="0.25">
      <c r="A2837" s="16" t="s">
        <v>15936</v>
      </c>
    </row>
    <row r="2838" spans="1:1" x14ac:dyDescent="0.25">
      <c r="A2838" s="16" t="s">
        <v>15937</v>
      </c>
    </row>
    <row r="2839" spans="1:1" x14ac:dyDescent="0.25">
      <c r="A2839" s="16" t="s">
        <v>15938</v>
      </c>
    </row>
    <row r="2840" spans="1:1" x14ac:dyDescent="0.25">
      <c r="A2840" s="16" t="s">
        <v>15939</v>
      </c>
    </row>
    <row r="2841" spans="1:1" x14ac:dyDescent="0.25">
      <c r="A2841" s="16" t="s">
        <v>15940</v>
      </c>
    </row>
    <row r="2842" spans="1:1" x14ac:dyDescent="0.25">
      <c r="A2842" s="16" t="s">
        <v>15941</v>
      </c>
    </row>
    <row r="2843" spans="1:1" x14ac:dyDescent="0.25">
      <c r="A2843" s="16" t="s">
        <v>15942</v>
      </c>
    </row>
    <row r="2844" spans="1:1" x14ac:dyDescent="0.25">
      <c r="A2844" s="16" t="s">
        <v>15943</v>
      </c>
    </row>
    <row r="2845" spans="1:1" x14ac:dyDescent="0.25">
      <c r="A2845" s="16" t="s">
        <v>15944</v>
      </c>
    </row>
    <row r="2846" spans="1:1" x14ac:dyDescent="0.25">
      <c r="A2846" s="16" t="s">
        <v>15945</v>
      </c>
    </row>
    <row r="2847" spans="1:1" x14ac:dyDescent="0.25">
      <c r="A2847" s="16" t="s">
        <v>15946</v>
      </c>
    </row>
    <row r="2848" spans="1:1" x14ac:dyDescent="0.25">
      <c r="A2848" s="16" t="s">
        <v>15947</v>
      </c>
    </row>
    <row r="2849" spans="1:1" x14ac:dyDescent="0.25">
      <c r="A2849" s="16" t="s">
        <v>15948</v>
      </c>
    </row>
    <row r="2850" spans="1:1" x14ac:dyDescent="0.25">
      <c r="A2850" s="16" t="s">
        <v>15949</v>
      </c>
    </row>
    <row r="2851" spans="1:1" x14ac:dyDescent="0.25">
      <c r="A2851" s="16" t="s">
        <v>15950</v>
      </c>
    </row>
    <row r="2852" spans="1:1" x14ac:dyDescent="0.25">
      <c r="A2852" s="16" t="s">
        <v>15951</v>
      </c>
    </row>
    <row r="2853" spans="1:1" x14ac:dyDescent="0.25">
      <c r="A2853" s="16" t="s">
        <v>15952</v>
      </c>
    </row>
    <row r="2854" spans="1:1" x14ac:dyDescent="0.25">
      <c r="A2854" s="16" t="s">
        <v>15953</v>
      </c>
    </row>
    <row r="2855" spans="1:1" x14ac:dyDescent="0.25">
      <c r="A2855" s="16" t="s">
        <v>15954</v>
      </c>
    </row>
    <row r="2856" spans="1:1" x14ac:dyDescent="0.25">
      <c r="A2856" s="16" t="s">
        <v>15955</v>
      </c>
    </row>
    <row r="2857" spans="1:1" x14ac:dyDescent="0.25">
      <c r="A2857" s="16" t="s">
        <v>15956</v>
      </c>
    </row>
    <row r="2858" spans="1:1" x14ac:dyDescent="0.25">
      <c r="A2858" s="16" t="s">
        <v>15957</v>
      </c>
    </row>
    <row r="2859" spans="1:1" x14ac:dyDescent="0.25">
      <c r="A2859" s="16" t="s">
        <v>15958</v>
      </c>
    </row>
    <row r="2860" spans="1:1" x14ac:dyDescent="0.25">
      <c r="A2860" s="16" t="s">
        <v>15959</v>
      </c>
    </row>
    <row r="2861" spans="1:1" x14ac:dyDescent="0.25">
      <c r="A2861" s="16" t="s">
        <v>15960</v>
      </c>
    </row>
    <row r="2862" spans="1:1" x14ac:dyDescent="0.25">
      <c r="A2862" s="16" t="s">
        <v>15961</v>
      </c>
    </row>
    <row r="2863" spans="1:1" x14ac:dyDescent="0.25">
      <c r="A2863" s="16" t="s">
        <v>15962</v>
      </c>
    </row>
    <row r="2864" spans="1:1" x14ac:dyDescent="0.25">
      <c r="A2864" s="16" t="s">
        <v>15963</v>
      </c>
    </row>
    <row r="2865" spans="1:1" x14ac:dyDescent="0.25">
      <c r="A2865" s="16" t="s">
        <v>15964</v>
      </c>
    </row>
    <row r="2866" spans="1:1" x14ac:dyDescent="0.25">
      <c r="A2866" s="16" t="s">
        <v>15965</v>
      </c>
    </row>
    <row r="2867" spans="1:1" x14ac:dyDescent="0.25">
      <c r="A2867" s="16" t="s">
        <v>15966</v>
      </c>
    </row>
    <row r="2868" spans="1:1" x14ac:dyDescent="0.25">
      <c r="A2868" s="16" t="s">
        <v>15967</v>
      </c>
    </row>
    <row r="2869" spans="1:1" x14ac:dyDescent="0.25">
      <c r="A2869" s="16" t="s">
        <v>15968</v>
      </c>
    </row>
    <row r="2870" spans="1:1" x14ac:dyDescent="0.25">
      <c r="A2870" s="16" t="s">
        <v>15969</v>
      </c>
    </row>
    <row r="2871" spans="1:1" x14ac:dyDescent="0.25">
      <c r="A2871" s="16" t="s">
        <v>15970</v>
      </c>
    </row>
    <row r="2872" spans="1:1" x14ac:dyDescent="0.25">
      <c r="A2872" s="16" t="s">
        <v>15971</v>
      </c>
    </row>
    <row r="2873" spans="1:1" x14ac:dyDescent="0.25">
      <c r="A2873" s="16" t="s">
        <v>15972</v>
      </c>
    </row>
    <row r="2874" spans="1:1" x14ac:dyDescent="0.25">
      <c r="A2874" s="16" t="s">
        <v>15973</v>
      </c>
    </row>
    <row r="2875" spans="1:1" x14ac:dyDescent="0.25">
      <c r="A2875" s="16" t="s">
        <v>15974</v>
      </c>
    </row>
    <row r="2876" spans="1:1" x14ac:dyDescent="0.25">
      <c r="A2876" s="16" t="s">
        <v>15975</v>
      </c>
    </row>
    <row r="2877" spans="1:1" x14ac:dyDescent="0.25">
      <c r="A2877" s="16" t="s">
        <v>15976</v>
      </c>
    </row>
    <row r="2878" spans="1:1" x14ac:dyDescent="0.25">
      <c r="A2878" s="16" t="s">
        <v>15977</v>
      </c>
    </row>
    <row r="2879" spans="1:1" x14ac:dyDescent="0.25">
      <c r="A2879" s="16" t="s">
        <v>15978</v>
      </c>
    </row>
    <row r="2880" spans="1:1" x14ac:dyDescent="0.25">
      <c r="A2880" s="16" t="s">
        <v>15979</v>
      </c>
    </row>
    <row r="2881" spans="1:1" x14ac:dyDescent="0.25">
      <c r="A2881" s="16" t="s">
        <v>15980</v>
      </c>
    </row>
    <row r="2882" spans="1:1" x14ac:dyDescent="0.25">
      <c r="A2882" s="16" t="s">
        <v>15981</v>
      </c>
    </row>
    <row r="2883" spans="1:1" x14ac:dyDescent="0.25">
      <c r="A2883" s="16" t="s">
        <v>15982</v>
      </c>
    </row>
    <row r="2884" spans="1:1" x14ac:dyDescent="0.25">
      <c r="A2884" s="16" t="s">
        <v>15983</v>
      </c>
    </row>
    <row r="2885" spans="1:1" x14ac:dyDescent="0.25">
      <c r="A2885" s="16" t="s">
        <v>15984</v>
      </c>
    </row>
    <row r="2886" spans="1:1" x14ac:dyDescent="0.25">
      <c r="A2886" s="16" t="s">
        <v>15985</v>
      </c>
    </row>
    <row r="2887" spans="1:1" x14ac:dyDescent="0.25">
      <c r="A2887" s="16" t="s">
        <v>15986</v>
      </c>
    </row>
    <row r="2888" spans="1:1" x14ac:dyDescent="0.25">
      <c r="A2888" s="16" t="s">
        <v>15987</v>
      </c>
    </row>
    <row r="2889" spans="1:1" x14ac:dyDescent="0.25">
      <c r="A2889" s="16" t="s">
        <v>15988</v>
      </c>
    </row>
    <row r="2890" spans="1:1" x14ac:dyDescent="0.25">
      <c r="A2890" s="16" t="s">
        <v>15989</v>
      </c>
    </row>
    <row r="2891" spans="1:1" x14ac:dyDescent="0.25">
      <c r="A2891" s="16" t="s">
        <v>15990</v>
      </c>
    </row>
    <row r="2892" spans="1:1" x14ac:dyDescent="0.25">
      <c r="A2892" s="16" t="s">
        <v>15991</v>
      </c>
    </row>
    <row r="2893" spans="1:1" x14ac:dyDescent="0.25">
      <c r="A2893" s="16" t="s">
        <v>15992</v>
      </c>
    </row>
    <row r="2894" spans="1:1" x14ac:dyDescent="0.25">
      <c r="A2894" s="16" t="s">
        <v>15993</v>
      </c>
    </row>
    <row r="2895" spans="1:1" x14ac:dyDescent="0.25">
      <c r="A2895" s="16" t="s">
        <v>15994</v>
      </c>
    </row>
    <row r="2896" spans="1:1" x14ac:dyDescent="0.25">
      <c r="A2896" s="16" t="s">
        <v>15995</v>
      </c>
    </row>
    <row r="2897" spans="1:1" x14ac:dyDescent="0.25">
      <c r="A2897" s="16" t="s">
        <v>15996</v>
      </c>
    </row>
    <row r="2898" spans="1:1" x14ac:dyDescent="0.25">
      <c r="A2898" s="16" t="s">
        <v>15997</v>
      </c>
    </row>
    <row r="2899" spans="1:1" x14ac:dyDescent="0.25">
      <c r="A2899" s="16" t="s">
        <v>15998</v>
      </c>
    </row>
    <row r="2900" spans="1:1" x14ac:dyDescent="0.25">
      <c r="A2900" s="16" t="s">
        <v>15999</v>
      </c>
    </row>
    <row r="2901" spans="1:1" x14ac:dyDescent="0.25">
      <c r="A2901" s="16" t="s">
        <v>16000</v>
      </c>
    </row>
    <row r="2902" spans="1:1" x14ac:dyDescent="0.25">
      <c r="A2902" s="16" t="s">
        <v>16001</v>
      </c>
    </row>
    <row r="2903" spans="1:1" x14ac:dyDescent="0.25">
      <c r="A2903" s="16" t="s">
        <v>16002</v>
      </c>
    </row>
    <row r="2904" spans="1:1" x14ac:dyDescent="0.25">
      <c r="A2904" s="16" t="s">
        <v>16003</v>
      </c>
    </row>
    <row r="2905" spans="1:1" x14ac:dyDescent="0.25">
      <c r="A2905" s="16" t="s">
        <v>16004</v>
      </c>
    </row>
    <row r="2906" spans="1:1" x14ac:dyDescent="0.25">
      <c r="A2906" s="16" t="s">
        <v>16005</v>
      </c>
    </row>
    <row r="2907" spans="1:1" x14ac:dyDescent="0.25">
      <c r="A2907" s="16" t="s">
        <v>16006</v>
      </c>
    </row>
    <row r="2908" spans="1:1" x14ac:dyDescent="0.25">
      <c r="A2908" s="16" t="s">
        <v>16007</v>
      </c>
    </row>
    <row r="2909" spans="1:1" x14ac:dyDescent="0.25">
      <c r="A2909" s="16" t="s">
        <v>16008</v>
      </c>
    </row>
    <row r="2910" spans="1:1" x14ac:dyDescent="0.25">
      <c r="A2910" s="16" t="s">
        <v>16009</v>
      </c>
    </row>
    <row r="2911" spans="1:1" x14ac:dyDescent="0.25">
      <c r="A2911" s="16" t="s">
        <v>16010</v>
      </c>
    </row>
    <row r="2912" spans="1:1" x14ac:dyDescent="0.25">
      <c r="A2912" s="16" t="s">
        <v>16011</v>
      </c>
    </row>
    <row r="2913" spans="1:1" x14ac:dyDescent="0.25">
      <c r="A2913" s="16" t="s">
        <v>16012</v>
      </c>
    </row>
    <row r="2914" spans="1:1" x14ac:dyDescent="0.25">
      <c r="A2914" s="16" t="s">
        <v>16013</v>
      </c>
    </row>
    <row r="2915" spans="1:1" x14ac:dyDescent="0.25">
      <c r="A2915" s="16" t="s">
        <v>16014</v>
      </c>
    </row>
    <row r="2916" spans="1:1" x14ac:dyDescent="0.25">
      <c r="A2916" s="16" t="s">
        <v>16015</v>
      </c>
    </row>
    <row r="2917" spans="1:1" x14ac:dyDescent="0.25">
      <c r="A2917" s="16" t="s">
        <v>16016</v>
      </c>
    </row>
    <row r="2918" spans="1:1" x14ac:dyDescent="0.25">
      <c r="A2918" s="16" t="s">
        <v>16017</v>
      </c>
    </row>
    <row r="2919" spans="1:1" x14ac:dyDescent="0.25">
      <c r="A2919" s="16" t="s">
        <v>16018</v>
      </c>
    </row>
    <row r="2920" spans="1:1" x14ac:dyDescent="0.25">
      <c r="A2920" s="16" t="s">
        <v>16019</v>
      </c>
    </row>
    <row r="2921" spans="1:1" x14ac:dyDescent="0.25">
      <c r="A2921" s="16" t="s">
        <v>16020</v>
      </c>
    </row>
    <row r="2922" spans="1:1" x14ac:dyDescent="0.25">
      <c r="A2922" s="16" t="s">
        <v>16021</v>
      </c>
    </row>
    <row r="2923" spans="1:1" x14ac:dyDescent="0.25">
      <c r="A2923" s="16" t="s">
        <v>16022</v>
      </c>
    </row>
    <row r="2924" spans="1:1" x14ac:dyDescent="0.25">
      <c r="A2924" s="16" t="s">
        <v>16023</v>
      </c>
    </row>
    <row r="2925" spans="1:1" x14ac:dyDescent="0.25">
      <c r="A2925" s="16" t="s">
        <v>16024</v>
      </c>
    </row>
    <row r="2926" spans="1:1" x14ac:dyDescent="0.25">
      <c r="A2926" s="16" t="s">
        <v>16025</v>
      </c>
    </row>
    <row r="2927" spans="1:1" x14ac:dyDescent="0.25">
      <c r="A2927" s="16" t="s">
        <v>16026</v>
      </c>
    </row>
    <row r="2928" spans="1:1" x14ac:dyDescent="0.25">
      <c r="A2928" s="16" t="s">
        <v>16027</v>
      </c>
    </row>
    <row r="2929" spans="1:1" x14ac:dyDescent="0.25">
      <c r="A2929" s="16" t="s">
        <v>16028</v>
      </c>
    </row>
    <row r="2930" spans="1:1" x14ac:dyDescent="0.25">
      <c r="A2930" s="16" t="s">
        <v>16029</v>
      </c>
    </row>
    <row r="2931" spans="1:1" x14ac:dyDescent="0.25">
      <c r="A2931" s="16" t="s">
        <v>16030</v>
      </c>
    </row>
    <row r="2932" spans="1:1" x14ac:dyDescent="0.25">
      <c r="A2932" s="16" t="s">
        <v>16031</v>
      </c>
    </row>
    <row r="2933" spans="1:1" x14ac:dyDescent="0.25">
      <c r="A2933" s="16" t="s">
        <v>16032</v>
      </c>
    </row>
    <row r="2934" spans="1:1" x14ac:dyDescent="0.25">
      <c r="A2934" s="16" t="s">
        <v>16033</v>
      </c>
    </row>
    <row r="2935" spans="1:1" x14ac:dyDescent="0.25">
      <c r="A2935" s="16" t="s">
        <v>16034</v>
      </c>
    </row>
    <row r="2936" spans="1:1" x14ac:dyDescent="0.25">
      <c r="A2936" s="16" t="s">
        <v>16035</v>
      </c>
    </row>
    <row r="2937" spans="1:1" x14ac:dyDescent="0.25">
      <c r="A2937" s="16" t="s">
        <v>16036</v>
      </c>
    </row>
    <row r="2938" spans="1:1" x14ac:dyDescent="0.25">
      <c r="A2938" s="16" t="s">
        <v>16037</v>
      </c>
    </row>
    <row r="2939" spans="1:1" x14ac:dyDescent="0.25">
      <c r="A2939" s="16" t="s">
        <v>16038</v>
      </c>
    </row>
    <row r="2940" spans="1:1" x14ac:dyDescent="0.25">
      <c r="A2940" s="16" t="s">
        <v>16039</v>
      </c>
    </row>
    <row r="2941" spans="1:1" x14ac:dyDescent="0.25">
      <c r="A2941" s="16" t="s">
        <v>16040</v>
      </c>
    </row>
    <row r="2942" spans="1:1" x14ac:dyDescent="0.25">
      <c r="A2942" s="16" t="s">
        <v>16041</v>
      </c>
    </row>
    <row r="2943" spans="1:1" x14ac:dyDescent="0.25">
      <c r="A2943" s="16" t="s">
        <v>16042</v>
      </c>
    </row>
    <row r="2944" spans="1:1" x14ac:dyDescent="0.25">
      <c r="A2944" s="16" t="s">
        <v>16043</v>
      </c>
    </row>
    <row r="2945" spans="1:1" x14ac:dyDescent="0.25">
      <c r="A2945" s="16" t="s">
        <v>16044</v>
      </c>
    </row>
    <row r="2946" spans="1:1" x14ac:dyDescent="0.25">
      <c r="A2946" s="16" t="s">
        <v>16045</v>
      </c>
    </row>
    <row r="2947" spans="1:1" x14ac:dyDescent="0.25">
      <c r="A2947" s="16" t="s">
        <v>16046</v>
      </c>
    </row>
    <row r="2948" spans="1:1" x14ac:dyDescent="0.25">
      <c r="A2948" s="16" t="s">
        <v>16047</v>
      </c>
    </row>
    <row r="2949" spans="1:1" x14ac:dyDescent="0.25">
      <c r="A2949" s="16" t="s">
        <v>16048</v>
      </c>
    </row>
    <row r="2950" spans="1:1" x14ac:dyDescent="0.25">
      <c r="A2950" s="16" t="s">
        <v>16049</v>
      </c>
    </row>
    <row r="2951" spans="1:1" x14ac:dyDescent="0.25">
      <c r="A2951" s="16" t="s">
        <v>16050</v>
      </c>
    </row>
    <row r="2952" spans="1:1" x14ac:dyDescent="0.25">
      <c r="A2952" s="16" t="s">
        <v>16051</v>
      </c>
    </row>
    <row r="2953" spans="1:1" x14ac:dyDescent="0.25">
      <c r="A2953" s="16" t="s">
        <v>16052</v>
      </c>
    </row>
    <row r="2954" spans="1:1" x14ac:dyDescent="0.25">
      <c r="A2954" s="16" t="s">
        <v>16053</v>
      </c>
    </row>
    <row r="2955" spans="1:1" x14ac:dyDescent="0.25">
      <c r="A2955" s="16" t="s">
        <v>16054</v>
      </c>
    </row>
    <row r="2956" spans="1:1" x14ac:dyDescent="0.25">
      <c r="A2956" s="16" t="s">
        <v>16055</v>
      </c>
    </row>
    <row r="2957" spans="1:1" x14ac:dyDescent="0.25">
      <c r="A2957" s="16" t="s">
        <v>16056</v>
      </c>
    </row>
    <row r="2958" spans="1:1" x14ac:dyDescent="0.25">
      <c r="A2958" s="16" t="s">
        <v>16057</v>
      </c>
    </row>
    <row r="2959" spans="1:1" x14ac:dyDescent="0.25">
      <c r="A2959" s="16" t="s">
        <v>16058</v>
      </c>
    </row>
    <row r="2960" spans="1:1" x14ac:dyDescent="0.25">
      <c r="A2960" s="16" t="s">
        <v>16059</v>
      </c>
    </row>
    <row r="2961" spans="1:1" x14ac:dyDescent="0.25">
      <c r="A2961" s="16" t="s">
        <v>16060</v>
      </c>
    </row>
    <row r="2962" spans="1:1" x14ac:dyDescent="0.25">
      <c r="A2962" s="16" t="s">
        <v>16061</v>
      </c>
    </row>
    <row r="2963" spans="1:1" x14ac:dyDescent="0.25">
      <c r="A2963" s="16" t="s">
        <v>16062</v>
      </c>
    </row>
    <row r="2964" spans="1:1" x14ac:dyDescent="0.25">
      <c r="A2964" s="16" t="s">
        <v>16063</v>
      </c>
    </row>
    <row r="2965" spans="1:1" x14ac:dyDescent="0.25">
      <c r="A2965" s="16" t="s">
        <v>16064</v>
      </c>
    </row>
    <row r="2966" spans="1:1" x14ac:dyDescent="0.25">
      <c r="A2966" s="16" t="s">
        <v>16065</v>
      </c>
    </row>
    <row r="2967" spans="1:1" x14ac:dyDescent="0.25">
      <c r="A2967" s="16" t="s">
        <v>16066</v>
      </c>
    </row>
    <row r="2968" spans="1:1" x14ac:dyDescent="0.25">
      <c r="A2968" s="16" t="s">
        <v>16067</v>
      </c>
    </row>
    <row r="2969" spans="1:1" x14ac:dyDescent="0.25">
      <c r="A2969" s="16" t="s">
        <v>16068</v>
      </c>
    </row>
    <row r="2970" spans="1:1" x14ac:dyDescent="0.25">
      <c r="A2970" s="16" t="s">
        <v>16069</v>
      </c>
    </row>
    <row r="2971" spans="1:1" x14ac:dyDescent="0.25">
      <c r="A2971" s="16" t="s">
        <v>16070</v>
      </c>
    </row>
    <row r="2972" spans="1:1" x14ac:dyDescent="0.25">
      <c r="A2972" s="16" t="s">
        <v>16071</v>
      </c>
    </row>
    <row r="2973" spans="1:1" x14ac:dyDescent="0.25">
      <c r="A2973" s="16" t="s">
        <v>16072</v>
      </c>
    </row>
    <row r="2974" spans="1:1" x14ac:dyDescent="0.25">
      <c r="A2974" s="16" t="s">
        <v>16073</v>
      </c>
    </row>
    <row r="2975" spans="1:1" x14ac:dyDescent="0.25">
      <c r="A2975" s="16" t="s">
        <v>16074</v>
      </c>
    </row>
    <row r="2976" spans="1:1" x14ac:dyDescent="0.25">
      <c r="A2976" s="16" t="s">
        <v>16075</v>
      </c>
    </row>
    <row r="2977" spans="1:1" x14ac:dyDescent="0.25">
      <c r="A2977" s="16" t="s">
        <v>16076</v>
      </c>
    </row>
    <row r="2978" spans="1:1" x14ac:dyDescent="0.25">
      <c r="A2978" s="16" t="s">
        <v>16077</v>
      </c>
    </row>
    <row r="2979" spans="1:1" x14ac:dyDescent="0.25">
      <c r="A2979" s="16" t="s">
        <v>16078</v>
      </c>
    </row>
    <row r="2980" spans="1:1" x14ac:dyDescent="0.25">
      <c r="A2980" s="16" t="s">
        <v>16079</v>
      </c>
    </row>
    <row r="2981" spans="1:1" x14ac:dyDescent="0.25">
      <c r="A2981" s="16" t="s">
        <v>16080</v>
      </c>
    </row>
    <row r="2982" spans="1:1" x14ac:dyDescent="0.25">
      <c r="A2982" s="16" t="s">
        <v>16081</v>
      </c>
    </row>
    <row r="2983" spans="1:1" x14ac:dyDescent="0.25">
      <c r="A2983" s="16" t="s">
        <v>16082</v>
      </c>
    </row>
    <row r="2984" spans="1:1" x14ac:dyDescent="0.25">
      <c r="A2984" s="16" t="s">
        <v>16083</v>
      </c>
    </row>
    <row r="2985" spans="1:1" x14ac:dyDescent="0.25">
      <c r="A2985" s="16" t="s">
        <v>16084</v>
      </c>
    </row>
    <row r="2986" spans="1:1" x14ac:dyDescent="0.25">
      <c r="A2986" s="16" t="s">
        <v>16085</v>
      </c>
    </row>
    <row r="2987" spans="1:1" x14ac:dyDescent="0.25">
      <c r="A2987" s="16" t="s">
        <v>16086</v>
      </c>
    </row>
    <row r="2988" spans="1:1" x14ac:dyDescent="0.25">
      <c r="A2988" s="16" t="s">
        <v>16087</v>
      </c>
    </row>
    <row r="2989" spans="1:1" x14ac:dyDescent="0.25">
      <c r="A2989" s="16" t="s">
        <v>16088</v>
      </c>
    </row>
    <row r="2990" spans="1:1" x14ac:dyDescent="0.25">
      <c r="A2990" s="16" t="s">
        <v>16089</v>
      </c>
    </row>
    <row r="2991" spans="1:1" x14ac:dyDescent="0.25">
      <c r="A2991" s="16" t="s">
        <v>16090</v>
      </c>
    </row>
    <row r="2992" spans="1:1" x14ac:dyDescent="0.25">
      <c r="A2992" s="16" t="s">
        <v>16091</v>
      </c>
    </row>
    <row r="2993" spans="1:1" x14ac:dyDescent="0.25">
      <c r="A2993" s="16" t="s">
        <v>16092</v>
      </c>
    </row>
    <row r="2994" spans="1:1" x14ac:dyDescent="0.25">
      <c r="A2994" s="16" t="s">
        <v>16093</v>
      </c>
    </row>
    <row r="2995" spans="1:1" x14ac:dyDescent="0.25">
      <c r="A2995" s="16" t="s">
        <v>16094</v>
      </c>
    </row>
    <row r="2996" spans="1:1" x14ac:dyDescent="0.25">
      <c r="A2996" s="16" t="s">
        <v>16095</v>
      </c>
    </row>
    <row r="2997" spans="1:1" x14ac:dyDescent="0.25">
      <c r="A2997" s="16" t="s">
        <v>16096</v>
      </c>
    </row>
    <row r="2998" spans="1:1" x14ac:dyDescent="0.25">
      <c r="A2998" s="16" t="s">
        <v>16097</v>
      </c>
    </row>
    <row r="2999" spans="1:1" x14ac:dyDescent="0.25">
      <c r="A2999" s="16" t="s">
        <v>16098</v>
      </c>
    </row>
    <row r="3000" spans="1:1" x14ac:dyDescent="0.25">
      <c r="A3000" s="16" t="s">
        <v>16099</v>
      </c>
    </row>
    <row r="3001" spans="1:1" x14ac:dyDescent="0.25">
      <c r="A3001" s="16" t="s">
        <v>16100</v>
      </c>
    </row>
    <row r="3002" spans="1:1" x14ac:dyDescent="0.25">
      <c r="A3002" s="16" t="s">
        <v>16101</v>
      </c>
    </row>
    <row r="3003" spans="1:1" x14ac:dyDescent="0.25">
      <c r="A3003" s="16" t="s">
        <v>16102</v>
      </c>
    </row>
    <row r="3004" spans="1:1" x14ac:dyDescent="0.25">
      <c r="A3004" s="16" t="s">
        <v>16103</v>
      </c>
    </row>
    <row r="3005" spans="1:1" x14ac:dyDescent="0.25">
      <c r="A3005" s="16" t="s">
        <v>16104</v>
      </c>
    </row>
    <row r="3006" spans="1:1" x14ac:dyDescent="0.25">
      <c r="A3006" s="16" t="s">
        <v>16105</v>
      </c>
    </row>
    <row r="3007" spans="1:1" x14ac:dyDescent="0.25">
      <c r="A3007" s="16" t="s">
        <v>16106</v>
      </c>
    </row>
    <row r="3008" spans="1:1" x14ac:dyDescent="0.25">
      <c r="A3008" s="16" t="s">
        <v>16107</v>
      </c>
    </row>
    <row r="3009" spans="1:1" x14ac:dyDescent="0.25">
      <c r="A3009" s="16" t="s">
        <v>16108</v>
      </c>
    </row>
    <row r="3010" spans="1:1" x14ac:dyDescent="0.25">
      <c r="A3010" s="16" t="s">
        <v>16109</v>
      </c>
    </row>
    <row r="3011" spans="1:1" x14ac:dyDescent="0.25">
      <c r="A3011" s="16" t="s">
        <v>16110</v>
      </c>
    </row>
    <row r="3012" spans="1:1" x14ac:dyDescent="0.25">
      <c r="A3012" s="16" t="s">
        <v>16111</v>
      </c>
    </row>
    <row r="3013" spans="1:1" x14ac:dyDescent="0.25">
      <c r="A3013" s="16" t="s">
        <v>16112</v>
      </c>
    </row>
    <row r="3014" spans="1:1" x14ac:dyDescent="0.25">
      <c r="A3014" s="16" t="s">
        <v>16113</v>
      </c>
    </row>
    <row r="3015" spans="1:1" x14ac:dyDescent="0.25">
      <c r="A3015" s="16" t="s">
        <v>16114</v>
      </c>
    </row>
    <row r="3016" spans="1:1" x14ac:dyDescent="0.25">
      <c r="A3016" s="16" t="s">
        <v>16115</v>
      </c>
    </row>
    <row r="3017" spans="1:1" x14ac:dyDescent="0.25">
      <c r="A3017" s="16" t="s">
        <v>16116</v>
      </c>
    </row>
    <row r="3018" spans="1:1" x14ac:dyDescent="0.25">
      <c r="A3018" s="16" t="s">
        <v>16117</v>
      </c>
    </row>
    <row r="3019" spans="1:1" x14ac:dyDescent="0.25">
      <c r="A3019" s="16" t="s">
        <v>16118</v>
      </c>
    </row>
    <row r="3020" spans="1:1" x14ac:dyDescent="0.25">
      <c r="A3020" s="16" t="s">
        <v>16119</v>
      </c>
    </row>
    <row r="3021" spans="1:1" x14ac:dyDescent="0.25">
      <c r="A3021" s="16" t="s">
        <v>16120</v>
      </c>
    </row>
    <row r="3022" spans="1:1" x14ac:dyDescent="0.25">
      <c r="A3022" s="16" t="s">
        <v>16121</v>
      </c>
    </row>
    <row r="3023" spans="1:1" x14ac:dyDescent="0.25">
      <c r="A3023" s="16" t="s">
        <v>16122</v>
      </c>
    </row>
    <row r="3024" spans="1:1" x14ac:dyDescent="0.25">
      <c r="A3024" s="16" t="s">
        <v>16123</v>
      </c>
    </row>
    <row r="3025" spans="1:1" x14ac:dyDescent="0.25">
      <c r="A3025" s="16" t="s">
        <v>16124</v>
      </c>
    </row>
    <row r="3026" spans="1:1" x14ac:dyDescent="0.25">
      <c r="A3026" s="16" t="s">
        <v>16125</v>
      </c>
    </row>
    <row r="3027" spans="1:1" x14ac:dyDescent="0.25">
      <c r="A3027" s="16" t="s">
        <v>16126</v>
      </c>
    </row>
    <row r="3028" spans="1:1" x14ac:dyDescent="0.25">
      <c r="A3028" s="16" t="s">
        <v>16127</v>
      </c>
    </row>
    <row r="3029" spans="1:1" x14ac:dyDescent="0.25">
      <c r="A3029" s="16" t="s">
        <v>16128</v>
      </c>
    </row>
    <row r="3030" spans="1:1" x14ac:dyDescent="0.25">
      <c r="A3030" s="16" t="s">
        <v>16129</v>
      </c>
    </row>
    <row r="3031" spans="1:1" x14ac:dyDescent="0.25">
      <c r="A3031" s="16" t="s">
        <v>16130</v>
      </c>
    </row>
    <row r="3032" spans="1:1" x14ac:dyDescent="0.25">
      <c r="A3032" s="16" t="s">
        <v>16131</v>
      </c>
    </row>
    <row r="3033" spans="1:1" x14ac:dyDescent="0.25">
      <c r="A3033" s="16" t="s">
        <v>16132</v>
      </c>
    </row>
    <row r="3034" spans="1:1" x14ac:dyDescent="0.25">
      <c r="A3034" s="16" t="s">
        <v>16133</v>
      </c>
    </row>
    <row r="3035" spans="1:1" x14ac:dyDescent="0.25">
      <c r="A3035" s="16" t="s">
        <v>16134</v>
      </c>
    </row>
    <row r="3036" spans="1:1" x14ac:dyDescent="0.25">
      <c r="A3036" s="16" t="s">
        <v>16135</v>
      </c>
    </row>
    <row r="3037" spans="1:1" x14ac:dyDescent="0.25">
      <c r="A3037" s="16" t="s">
        <v>16136</v>
      </c>
    </row>
    <row r="3038" spans="1:1" x14ac:dyDescent="0.25">
      <c r="A3038" s="16" t="s">
        <v>16137</v>
      </c>
    </row>
    <row r="3039" spans="1:1" x14ac:dyDescent="0.25">
      <c r="A3039" s="16" t="s">
        <v>16138</v>
      </c>
    </row>
    <row r="3040" spans="1:1" x14ac:dyDescent="0.25">
      <c r="A3040" s="16" t="s">
        <v>16139</v>
      </c>
    </row>
    <row r="3041" spans="1:1" x14ac:dyDescent="0.25">
      <c r="A3041" s="16" t="s">
        <v>16140</v>
      </c>
    </row>
    <row r="3042" spans="1:1" x14ac:dyDescent="0.25">
      <c r="A3042" s="16" t="s">
        <v>16141</v>
      </c>
    </row>
    <row r="3043" spans="1:1" x14ac:dyDescent="0.25">
      <c r="A3043" s="16" t="s">
        <v>16142</v>
      </c>
    </row>
    <row r="3044" spans="1:1" x14ac:dyDescent="0.25">
      <c r="A3044" s="16" t="s">
        <v>16143</v>
      </c>
    </row>
    <row r="3045" spans="1:1" x14ac:dyDescent="0.25">
      <c r="A3045" s="16" t="s">
        <v>16144</v>
      </c>
    </row>
    <row r="3046" spans="1:1" x14ac:dyDescent="0.25">
      <c r="A3046" s="16" t="s">
        <v>16145</v>
      </c>
    </row>
    <row r="3047" spans="1:1" x14ac:dyDescent="0.25">
      <c r="A3047" s="16" t="s">
        <v>16146</v>
      </c>
    </row>
    <row r="3048" spans="1:1" x14ac:dyDescent="0.25">
      <c r="A3048" s="16" t="s">
        <v>16147</v>
      </c>
    </row>
    <row r="3049" spans="1:1" x14ac:dyDescent="0.25">
      <c r="A3049" s="16" t="s">
        <v>16148</v>
      </c>
    </row>
    <row r="3050" spans="1:1" x14ac:dyDescent="0.25">
      <c r="A3050" s="16" t="s">
        <v>16149</v>
      </c>
    </row>
    <row r="3051" spans="1:1" x14ac:dyDescent="0.25">
      <c r="A3051" s="16" t="s">
        <v>16150</v>
      </c>
    </row>
    <row r="3052" spans="1:1" x14ac:dyDescent="0.25">
      <c r="A3052" s="16" t="s">
        <v>16151</v>
      </c>
    </row>
    <row r="3053" spans="1:1" x14ac:dyDescent="0.25">
      <c r="A3053" s="16" t="s">
        <v>16152</v>
      </c>
    </row>
    <row r="3054" spans="1:1" x14ac:dyDescent="0.25">
      <c r="A3054" s="16" t="s">
        <v>16153</v>
      </c>
    </row>
    <row r="3055" spans="1:1" x14ac:dyDescent="0.25">
      <c r="A3055" s="16" t="s">
        <v>16154</v>
      </c>
    </row>
    <row r="3056" spans="1:1" x14ac:dyDescent="0.25">
      <c r="A3056" s="16" t="s">
        <v>16155</v>
      </c>
    </row>
    <row r="3057" spans="1:1" x14ac:dyDescent="0.25">
      <c r="A3057" s="16" t="s">
        <v>16156</v>
      </c>
    </row>
    <row r="3058" spans="1:1" x14ac:dyDescent="0.25">
      <c r="A3058" s="16" t="s">
        <v>16157</v>
      </c>
    </row>
    <row r="3059" spans="1:1" x14ac:dyDescent="0.25">
      <c r="A3059" s="16" t="s">
        <v>16158</v>
      </c>
    </row>
    <row r="3060" spans="1:1" x14ac:dyDescent="0.25">
      <c r="A3060" s="16" t="s">
        <v>16159</v>
      </c>
    </row>
    <row r="3061" spans="1:1" x14ac:dyDescent="0.25">
      <c r="A3061" s="16" t="s">
        <v>16160</v>
      </c>
    </row>
    <row r="3062" spans="1:1" x14ac:dyDescent="0.25">
      <c r="A3062" s="16" t="s">
        <v>16161</v>
      </c>
    </row>
    <row r="3063" spans="1:1" x14ac:dyDescent="0.25">
      <c r="A3063" s="16" t="s">
        <v>16162</v>
      </c>
    </row>
    <row r="3064" spans="1:1" x14ac:dyDescent="0.25">
      <c r="A3064" s="16" t="s">
        <v>16163</v>
      </c>
    </row>
    <row r="3065" spans="1:1" x14ac:dyDescent="0.25">
      <c r="A3065" s="16" t="s">
        <v>16164</v>
      </c>
    </row>
    <row r="3066" spans="1:1" x14ac:dyDescent="0.25">
      <c r="A3066" s="16" t="s">
        <v>16165</v>
      </c>
    </row>
    <row r="3067" spans="1:1" x14ac:dyDescent="0.25">
      <c r="A3067" s="16" t="s">
        <v>16166</v>
      </c>
    </row>
    <row r="3068" spans="1:1" x14ac:dyDescent="0.25">
      <c r="A3068" s="16" t="s">
        <v>16167</v>
      </c>
    </row>
    <row r="3069" spans="1:1" x14ac:dyDescent="0.25">
      <c r="A3069" s="16" t="s">
        <v>16168</v>
      </c>
    </row>
    <row r="3070" spans="1:1" x14ac:dyDescent="0.25">
      <c r="A3070" s="16" t="s">
        <v>16169</v>
      </c>
    </row>
    <row r="3071" spans="1:1" x14ac:dyDescent="0.25">
      <c r="A3071" s="16" t="s">
        <v>16170</v>
      </c>
    </row>
    <row r="3072" spans="1:1" x14ac:dyDescent="0.25">
      <c r="A3072" s="16" t="s">
        <v>16171</v>
      </c>
    </row>
    <row r="3073" spans="1:1" x14ac:dyDescent="0.25">
      <c r="A3073" s="16" t="s">
        <v>16172</v>
      </c>
    </row>
    <row r="3074" spans="1:1" x14ac:dyDescent="0.25">
      <c r="A3074" s="16" t="s">
        <v>16173</v>
      </c>
    </row>
    <row r="3075" spans="1:1" x14ac:dyDescent="0.25">
      <c r="A3075" s="16" t="s">
        <v>16174</v>
      </c>
    </row>
    <row r="3076" spans="1:1" x14ac:dyDescent="0.25">
      <c r="A3076" s="16" t="s">
        <v>16175</v>
      </c>
    </row>
    <row r="3077" spans="1:1" x14ac:dyDescent="0.25">
      <c r="A3077" s="16" t="s">
        <v>16176</v>
      </c>
    </row>
    <row r="3078" spans="1:1" x14ac:dyDescent="0.25">
      <c r="A3078" s="16" t="s">
        <v>16177</v>
      </c>
    </row>
    <row r="3079" spans="1:1" x14ac:dyDescent="0.25">
      <c r="A3079" s="16" t="s">
        <v>16178</v>
      </c>
    </row>
    <row r="3080" spans="1:1" x14ac:dyDescent="0.25">
      <c r="A3080" s="16" t="s">
        <v>16179</v>
      </c>
    </row>
    <row r="3081" spans="1:1" x14ac:dyDescent="0.25">
      <c r="A3081" s="16" t="s">
        <v>16180</v>
      </c>
    </row>
    <row r="3082" spans="1:1" x14ac:dyDescent="0.25">
      <c r="A3082" s="16" t="s">
        <v>16181</v>
      </c>
    </row>
    <row r="3083" spans="1:1" x14ac:dyDescent="0.25">
      <c r="A3083" s="16" t="s">
        <v>16182</v>
      </c>
    </row>
    <row r="3084" spans="1:1" x14ac:dyDescent="0.25">
      <c r="A3084" s="16" t="s">
        <v>16183</v>
      </c>
    </row>
    <row r="3085" spans="1:1" x14ac:dyDescent="0.25">
      <c r="A3085" s="16" t="s">
        <v>16184</v>
      </c>
    </row>
    <row r="3086" spans="1:1" x14ac:dyDescent="0.25">
      <c r="A3086" s="16" t="s">
        <v>16185</v>
      </c>
    </row>
    <row r="3087" spans="1:1" x14ac:dyDescent="0.25">
      <c r="A3087" s="16" t="s">
        <v>16186</v>
      </c>
    </row>
    <row r="3088" spans="1:1" x14ac:dyDescent="0.25">
      <c r="A3088" s="16" t="s">
        <v>16187</v>
      </c>
    </row>
    <row r="3089" spans="1:1" x14ac:dyDescent="0.25">
      <c r="A3089" s="16" t="s">
        <v>16188</v>
      </c>
    </row>
    <row r="3090" spans="1:1" x14ac:dyDescent="0.25">
      <c r="A3090" s="16" t="s">
        <v>16189</v>
      </c>
    </row>
    <row r="3091" spans="1:1" x14ac:dyDescent="0.25">
      <c r="A3091" s="16" t="s">
        <v>16190</v>
      </c>
    </row>
    <row r="3092" spans="1:1" x14ac:dyDescent="0.25">
      <c r="A3092" s="16" t="s">
        <v>16191</v>
      </c>
    </row>
    <row r="3093" spans="1:1" x14ac:dyDescent="0.25">
      <c r="A3093" s="16" t="s">
        <v>16192</v>
      </c>
    </row>
    <row r="3094" spans="1:1" x14ac:dyDescent="0.25">
      <c r="A3094" s="16" t="s">
        <v>16193</v>
      </c>
    </row>
    <row r="3095" spans="1:1" x14ac:dyDescent="0.25">
      <c r="A3095" s="16" t="s">
        <v>16194</v>
      </c>
    </row>
    <row r="3096" spans="1:1" x14ac:dyDescent="0.25">
      <c r="A3096" s="16" t="s">
        <v>16195</v>
      </c>
    </row>
    <row r="3097" spans="1:1" x14ac:dyDescent="0.25">
      <c r="A3097" s="16" t="s">
        <v>16196</v>
      </c>
    </row>
    <row r="3098" spans="1:1" x14ac:dyDescent="0.25">
      <c r="A3098" s="16" t="s">
        <v>16197</v>
      </c>
    </row>
    <row r="3099" spans="1:1" x14ac:dyDescent="0.25">
      <c r="A3099" s="16" t="s">
        <v>16198</v>
      </c>
    </row>
    <row r="3100" spans="1:1" x14ac:dyDescent="0.25">
      <c r="A3100" s="16" t="s">
        <v>16199</v>
      </c>
    </row>
    <row r="3101" spans="1:1" x14ac:dyDescent="0.25">
      <c r="A3101" s="16" t="s">
        <v>16200</v>
      </c>
    </row>
    <row r="3102" spans="1:1" x14ac:dyDescent="0.25">
      <c r="A3102" s="16" t="s">
        <v>16201</v>
      </c>
    </row>
    <row r="3103" spans="1:1" x14ac:dyDescent="0.25">
      <c r="A3103" s="16" t="s">
        <v>16202</v>
      </c>
    </row>
    <row r="3104" spans="1:1" x14ac:dyDescent="0.25">
      <c r="A3104" s="16" t="s">
        <v>16203</v>
      </c>
    </row>
    <row r="3105" spans="1:1" x14ac:dyDescent="0.25">
      <c r="A3105" s="16" t="s">
        <v>16204</v>
      </c>
    </row>
    <row r="3106" spans="1:1" x14ac:dyDescent="0.25">
      <c r="A3106" s="16" t="s">
        <v>16205</v>
      </c>
    </row>
    <row r="3107" spans="1:1" x14ac:dyDescent="0.25">
      <c r="A3107" s="16" t="s">
        <v>16206</v>
      </c>
    </row>
    <row r="3108" spans="1:1" x14ac:dyDescent="0.25">
      <c r="A3108" s="16" t="s">
        <v>16207</v>
      </c>
    </row>
    <row r="3109" spans="1:1" x14ac:dyDescent="0.25">
      <c r="A3109" s="16" t="s">
        <v>16208</v>
      </c>
    </row>
    <row r="3110" spans="1:1" x14ac:dyDescent="0.25">
      <c r="A3110" s="16" t="s">
        <v>16209</v>
      </c>
    </row>
    <row r="3111" spans="1:1" x14ac:dyDescent="0.25">
      <c r="A3111" s="16" t="s">
        <v>16210</v>
      </c>
    </row>
    <row r="3112" spans="1:1" x14ac:dyDescent="0.25">
      <c r="A3112" s="16" t="s">
        <v>16211</v>
      </c>
    </row>
    <row r="3113" spans="1:1" x14ac:dyDescent="0.25">
      <c r="A3113" s="16" t="s">
        <v>16212</v>
      </c>
    </row>
    <row r="3114" spans="1:1" x14ac:dyDescent="0.25">
      <c r="A3114" s="16" t="s">
        <v>16213</v>
      </c>
    </row>
    <row r="3115" spans="1:1" x14ac:dyDescent="0.25">
      <c r="A3115" s="16" t="s">
        <v>16214</v>
      </c>
    </row>
    <row r="3116" spans="1:1" x14ac:dyDescent="0.25">
      <c r="A3116" s="16" t="s">
        <v>16215</v>
      </c>
    </row>
    <row r="3117" spans="1:1" x14ac:dyDescent="0.25">
      <c r="A3117" s="16" t="s">
        <v>16216</v>
      </c>
    </row>
    <row r="3118" spans="1:1" x14ac:dyDescent="0.25">
      <c r="A3118" s="16" t="s">
        <v>16217</v>
      </c>
    </row>
    <row r="3119" spans="1:1" x14ac:dyDescent="0.25">
      <c r="A3119" s="16" t="s">
        <v>16218</v>
      </c>
    </row>
    <row r="3120" spans="1:1" x14ac:dyDescent="0.25">
      <c r="A3120" s="16" t="s">
        <v>16219</v>
      </c>
    </row>
    <row r="3121" spans="1:1" x14ac:dyDescent="0.25">
      <c r="A3121" s="16" t="s">
        <v>16220</v>
      </c>
    </row>
    <row r="3122" spans="1:1" x14ac:dyDescent="0.25">
      <c r="A3122" s="16" t="s">
        <v>16221</v>
      </c>
    </row>
    <row r="3123" spans="1:1" x14ac:dyDescent="0.25">
      <c r="A3123" s="16" t="s">
        <v>16222</v>
      </c>
    </row>
    <row r="3124" spans="1:1" x14ac:dyDescent="0.25">
      <c r="A3124" s="16" t="s">
        <v>16223</v>
      </c>
    </row>
    <row r="3125" spans="1:1" x14ac:dyDescent="0.25">
      <c r="A3125" s="16" t="s">
        <v>16224</v>
      </c>
    </row>
    <row r="3126" spans="1:1" x14ac:dyDescent="0.25">
      <c r="A3126" s="16" t="s">
        <v>16225</v>
      </c>
    </row>
    <row r="3127" spans="1:1" x14ac:dyDescent="0.25">
      <c r="A3127" s="16" t="s">
        <v>16226</v>
      </c>
    </row>
    <row r="3128" spans="1:1" x14ac:dyDescent="0.25">
      <c r="A3128" s="16" t="s">
        <v>16227</v>
      </c>
    </row>
    <row r="3129" spans="1:1" x14ac:dyDescent="0.25">
      <c r="A3129" s="16" t="s">
        <v>16228</v>
      </c>
    </row>
    <row r="3130" spans="1:1" x14ac:dyDescent="0.25">
      <c r="A3130" s="16" t="s">
        <v>16229</v>
      </c>
    </row>
    <row r="3131" spans="1:1" x14ac:dyDescent="0.25">
      <c r="A3131" s="16" t="s">
        <v>16230</v>
      </c>
    </row>
    <row r="3132" spans="1:1" x14ac:dyDescent="0.25">
      <c r="A3132" s="16" t="s">
        <v>16231</v>
      </c>
    </row>
    <row r="3133" spans="1:1" x14ac:dyDescent="0.25">
      <c r="A3133" s="16" t="s">
        <v>16232</v>
      </c>
    </row>
    <row r="3134" spans="1:1" x14ac:dyDescent="0.25">
      <c r="A3134" s="16" t="s">
        <v>16233</v>
      </c>
    </row>
    <row r="3135" spans="1:1" x14ac:dyDescent="0.25">
      <c r="A3135" s="16" t="s">
        <v>16234</v>
      </c>
    </row>
    <row r="3136" spans="1:1" x14ac:dyDescent="0.25">
      <c r="A3136" s="16" t="s">
        <v>16235</v>
      </c>
    </row>
    <row r="3137" spans="1:1" x14ac:dyDescent="0.25">
      <c r="A3137" s="16" t="s">
        <v>16236</v>
      </c>
    </row>
    <row r="3138" spans="1:1" x14ac:dyDescent="0.25">
      <c r="A3138" s="16" t="s">
        <v>16237</v>
      </c>
    </row>
    <row r="3139" spans="1:1" x14ac:dyDescent="0.25">
      <c r="A3139" s="16" t="s">
        <v>16238</v>
      </c>
    </row>
    <row r="3140" spans="1:1" x14ac:dyDescent="0.25">
      <c r="A3140" s="16" t="s">
        <v>16239</v>
      </c>
    </row>
    <row r="3141" spans="1:1" x14ac:dyDescent="0.25">
      <c r="A3141" s="16" t="s">
        <v>16240</v>
      </c>
    </row>
    <row r="3142" spans="1:1" x14ac:dyDescent="0.25">
      <c r="A3142" s="16" t="s">
        <v>16241</v>
      </c>
    </row>
    <row r="3143" spans="1:1" x14ac:dyDescent="0.25">
      <c r="A3143" s="16" t="s">
        <v>16242</v>
      </c>
    </row>
    <row r="3144" spans="1:1" x14ac:dyDescent="0.25">
      <c r="A3144" s="16" t="s">
        <v>16243</v>
      </c>
    </row>
    <row r="3145" spans="1:1" x14ac:dyDescent="0.25">
      <c r="A3145" s="16" t="s">
        <v>16244</v>
      </c>
    </row>
    <row r="3146" spans="1:1" x14ac:dyDescent="0.25">
      <c r="A3146" s="16" t="s">
        <v>16245</v>
      </c>
    </row>
    <row r="3147" spans="1:1" x14ac:dyDescent="0.25">
      <c r="A3147" s="16" t="s">
        <v>16246</v>
      </c>
    </row>
    <row r="3148" spans="1:1" x14ac:dyDescent="0.25">
      <c r="A3148" s="16" t="s">
        <v>16247</v>
      </c>
    </row>
    <row r="3149" spans="1:1" x14ac:dyDescent="0.25">
      <c r="A3149" s="16" t="s">
        <v>16248</v>
      </c>
    </row>
    <row r="3150" spans="1:1" x14ac:dyDescent="0.25">
      <c r="A3150" s="16" t="s">
        <v>16249</v>
      </c>
    </row>
    <row r="3151" spans="1:1" x14ac:dyDescent="0.25">
      <c r="A3151" s="16" t="s">
        <v>16250</v>
      </c>
    </row>
    <row r="3152" spans="1:1" x14ac:dyDescent="0.25">
      <c r="A3152" s="16" t="s">
        <v>16251</v>
      </c>
    </row>
    <row r="3153" spans="1:1" x14ac:dyDescent="0.25">
      <c r="A3153" s="16" t="s">
        <v>16252</v>
      </c>
    </row>
    <row r="3154" spans="1:1" x14ac:dyDescent="0.25">
      <c r="A3154" s="16" t="s">
        <v>16253</v>
      </c>
    </row>
    <row r="3155" spans="1:1" x14ac:dyDescent="0.25">
      <c r="A3155" s="16" t="s">
        <v>16254</v>
      </c>
    </row>
    <row r="3156" spans="1:1" x14ac:dyDescent="0.25">
      <c r="A3156" s="16" t="s">
        <v>16255</v>
      </c>
    </row>
    <row r="3157" spans="1:1" x14ac:dyDescent="0.25">
      <c r="A3157" s="16" t="s">
        <v>16256</v>
      </c>
    </row>
    <row r="3158" spans="1:1" x14ac:dyDescent="0.25">
      <c r="A3158" s="16" t="s">
        <v>16257</v>
      </c>
    </row>
    <row r="3159" spans="1:1" x14ac:dyDescent="0.25">
      <c r="A3159" s="16" t="s">
        <v>16258</v>
      </c>
    </row>
    <row r="3160" spans="1:1" x14ac:dyDescent="0.25">
      <c r="A3160" s="16" t="s">
        <v>16259</v>
      </c>
    </row>
    <row r="3161" spans="1:1" x14ac:dyDescent="0.25">
      <c r="A3161" s="16" t="s">
        <v>16260</v>
      </c>
    </row>
    <row r="3162" spans="1:1" x14ac:dyDescent="0.25">
      <c r="A3162" s="16" t="s">
        <v>16261</v>
      </c>
    </row>
    <row r="3163" spans="1:1" x14ac:dyDescent="0.25">
      <c r="A3163" s="16" t="s">
        <v>16262</v>
      </c>
    </row>
    <row r="3164" spans="1:1" x14ac:dyDescent="0.25">
      <c r="A3164" s="16" t="s">
        <v>16263</v>
      </c>
    </row>
    <row r="3165" spans="1:1" x14ac:dyDescent="0.25">
      <c r="A3165" s="16" t="s">
        <v>16264</v>
      </c>
    </row>
    <row r="3166" spans="1:1" x14ac:dyDescent="0.25">
      <c r="A3166" s="16" t="s">
        <v>16265</v>
      </c>
    </row>
    <row r="3167" spans="1:1" x14ac:dyDescent="0.25">
      <c r="A3167" s="16" t="s">
        <v>16266</v>
      </c>
    </row>
    <row r="3168" spans="1:1" x14ac:dyDescent="0.25">
      <c r="A3168" s="16" t="s">
        <v>16267</v>
      </c>
    </row>
    <row r="3169" spans="1:1" x14ac:dyDescent="0.25">
      <c r="A3169" s="16" t="s">
        <v>16268</v>
      </c>
    </row>
    <row r="3170" spans="1:1" x14ac:dyDescent="0.25">
      <c r="A3170" s="16" t="s">
        <v>16269</v>
      </c>
    </row>
    <row r="3171" spans="1:1" x14ac:dyDescent="0.25">
      <c r="A3171" s="16" t="s">
        <v>16270</v>
      </c>
    </row>
    <row r="3172" spans="1:1" x14ac:dyDescent="0.25">
      <c r="A3172" s="16" t="s">
        <v>16271</v>
      </c>
    </row>
    <row r="3173" spans="1:1" x14ac:dyDescent="0.25">
      <c r="A3173" s="16" t="s">
        <v>16272</v>
      </c>
    </row>
    <row r="3174" spans="1:1" x14ac:dyDescent="0.25">
      <c r="A3174" s="16" t="s">
        <v>16273</v>
      </c>
    </row>
    <row r="3175" spans="1:1" x14ac:dyDescent="0.25">
      <c r="A3175" s="16" t="s">
        <v>16274</v>
      </c>
    </row>
    <row r="3176" spans="1:1" x14ac:dyDescent="0.25">
      <c r="A3176" s="16" t="s">
        <v>16275</v>
      </c>
    </row>
    <row r="3177" spans="1:1" x14ac:dyDescent="0.25">
      <c r="A3177" s="16" t="s">
        <v>16276</v>
      </c>
    </row>
    <row r="3178" spans="1:1" x14ac:dyDescent="0.25">
      <c r="A3178" s="16" t="s">
        <v>16277</v>
      </c>
    </row>
    <row r="3179" spans="1:1" x14ac:dyDescent="0.25">
      <c r="A3179" s="16" t="s">
        <v>16278</v>
      </c>
    </row>
    <row r="3180" spans="1:1" x14ac:dyDescent="0.25">
      <c r="A3180" s="16" t="s">
        <v>16279</v>
      </c>
    </row>
    <row r="3181" spans="1:1" x14ac:dyDescent="0.25">
      <c r="A3181" s="16" t="s">
        <v>16280</v>
      </c>
    </row>
    <row r="3182" spans="1:1" x14ac:dyDescent="0.25">
      <c r="A3182" s="16" t="s">
        <v>16281</v>
      </c>
    </row>
    <row r="3183" spans="1:1" x14ac:dyDescent="0.25">
      <c r="A3183" s="16" t="s">
        <v>16282</v>
      </c>
    </row>
    <row r="3184" spans="1:1" x14ac:dyDescent="0.25">
      <c r="A3184" s="16" t="s">
        <v>16283</v>
      </c>
    </row>
    <row r="3185" spans="1:1" x14ac:dyDescent="0.25">
      <c r="A3185" s="16" t="s">
        <v>16284</v>
      </c>
    </row>
    <row r="3186" spans="1:1" x14ac:dyDescent="0.25">
      <c r="A3186" s="16" t="s">
        <v>16285</v>
      </c>
    </row>
    <row r="3187" spans="1:1" x14ac:dyDescent="0.25">
      <c r="A3187" s="16" t="s">
        <v>16286</v>
      </c>
    </row>
    <row r="3188" spans="1:1" x14ac:dyDescent="0.25">
      <c r="A3188" s="16" t="s">
        <v>16287</v>
      </c>
    </row>
    <row r="3189" spans="1:1" x14ac:dyDescent="0.25">
      <c r="A3189" s="16" t="s">
        <v>16288</v>
      </c>
    </row>
    <row r="3190" spans="1:1" x14ac:dyDescent="0.25">
      <c r="A3190" s="16" t="s">
        <v>16289</v>
      </c>
    </row>
    <row r="3191" spans="1:1" x14ac:dyDescent="0.25">
      <c r="A3191" s="16" t="s">
        <v>16290</v>
      </c>
    </row>
    <row r="3192" spans="1:1" x14ac:dyDescent="0.25">
      <c r="A3192" s="16" t="s">
        <v>16291</v>
      </c>
    </row>
    <row r="3193" spans="1:1" x14ac:dyDescent="0.25">
      <c r="A3193" s="16" t="s">
        <v>16292</v>
      </c>
    </row>
    <row r="3194" spans="1:1" x14ac:dyDescent="0.25">
      <c r="A3194" s="16" t="s">
        <v>16293</v>
      </c>
    </row>
    <row r="3195" spans="1:1" x14ac:dyDescent="0.25">
      <c r="A3195" s="16" t="s">
        <v>16294</v>
      </c>
    </row>
    <row r="3196" spans="1:1" x14ac:dyDescent="0.25">
      <c r="A3196" s="16" t="s">
        <v>16295</v>
      </c>
    </row>
    <row r="3197" spans="1:1" x14ac:dyDescent="0.25">
      <c r="A3197" s="16" t="s">
        <v>16296</v>
      </c>
    </row>
    <row r="3198" spans="1:1" x14ac:dyDescent="0.25">
      <c r="A3198" s="16" t="s">
        <v>16297</v>
      </c>
    </row>
    <row r="3199" spans="1:1" x14ac:dyDescent="0.25">
      <c r="A3199" s="16" t="s">
        <v>16298</v>
      </c>
    </row>
    <row r="3200" spans="1:1" x14ac:dyDescent="0.25">
      <c r="A3200" s="16" t="s">
        <v>16299</v>
      </c>
    </row>
    <row r="3201" spans="1:1" x14ac:dyDescent="0.25">
      <c r="A3201" s="16" t="s">
        <v>16300</v>
      </c>
    </row>
    <row r="3202" spans="1:1" x14ac:dyDescent="0.25">
      <c r="A3202" s="16" t="s">
        <v>16301</v>
      </c>
    </row>
    <row r="3203" spans="1:1" x14ac:dyDescent="0.25">
      <c r="A3203" s="16" t="s">
        <v>16302</v>
      </c>
    </row>
    <row r="3204" spans="1:1" x14ac:dyDescent="0.25">
      <c r="A3204" s="16" t="s">
        <v>16303</v>
      </c>
    </row>
    <row r="3205" spans="1:1" x14ac:dyDescent="0.25">
      <c r="A3205" s="16" t="s">
        <v>16304</v>
      </c>
    </row>
    <row r="3206" spans="1:1" x14ac:dyDescent="0.25">
      <c r="A3206" s="16" t="s">
        <v>16305</v>
      </c>
    </row>
    <row r="3207" spans="1:1" x14ac:dyDescent="0.25">
      <c r="A3207" s="16" t="s">
        <v>16306</v>
      </c>
    </row>
    <row r="3208" spans="1:1" x14ac:dyDescent="0.25">
      <c r="A3208" s="16" t="s">
        <v>16307</v>
      </c>
    </row>
    <row r="3209" spans="1:1" x14ac:dyDescent="0.25">
      <c r="A3209" s="16" t="s">
        <v>16308</v>
      </c>
    </row>
    <row r="3210" spans="1:1" x14ac:dyDescent="0.25">
      <c r="A3210" s="16" t="s">
        <v>16309</v>
      </c>
    </row>
    <row r="3211" spans="1:1" x14ac:dyDescent="0.25">
      <c r="A3211" s="16" t="s">
        <v>16310</v>
      </c>
    </row>
    <row r="3212" spans="1:1" x14ac:dyDescent="0.25">
      <c r="A3212" s="16" t="s">
        <v>16311</v>
      </c>
    </row>
    <row r="3213" spans="1:1" x14ac:dyDescent="0.25">
      <c r="A3213" s="16" t="s">
        <v>16312</v>
      </c>
    </row>
    <row r="3214" spans="1:1" x14ac:dyDescent="0.25">
      <c r="A3214" s="16" t="s">
        <v>16313</v>
      </c>
    </row>
    <row r="3215" spans="1:1" x14ac:dyDescent="0.25">
      <c r="A3215" s="16" t="s">
        <v>16314</v>
      </c>
    </row>
    <row r="3216" spans="1:1" x14ac:dyDescent="0.25">
      <c r="A3216" s="16" t="s">
        <v>16315</v>
      </c>
    </row>
    <row r="3217" spans="1:1" x14ac:dyDescent="0.25">
      <c r="A3217" s="16" t="s">
        <v>16316</v>
      </c>
    </row>
    <row r="3218" spans="1:1" x14ac:dyDescent="0.25">
      <c r="A3218" s="16" t="s">
        <v>16317</v>
      </c>
    </row>
    <row r="3219" spans="1:1" x14ac:dyDescent="0.25">
      <c r="A3219" s="16" t="s">
        <v>16318</v>
      </c>
    </row>
    <row r="3220" spans="1:1" x14ac:dyDescent="0.25">
      <c r="A3220" s="16" t="s">
        <v>16319</v>
      </c>
    </row>
    <row r="3221" spans="1:1" x14ac:dyDescent="0.25">
      <c r="A3221" s="16" t="s">
        <v>16320</v>
      </c>
    </row>
    <row r="3222" spans="1:1" x14ac:dyDescent="0.25">
      <c r="A3222" s="16" t="s">
        <v>16321</v>
      </c>
    </row>
    <row r="3223" spans="1:1" x14ac:dyDescent="0.25">
      <c r="A3223" s="16" t="s">
        <v>16322</v>
      </c>
    </row>
    <row r="3224" spans="1:1" x14ac:dyDescent="0.25">
      <c r="A3224" s="16" t="s">
        <v>16323</v>
      </c>
    </row>
    <row r="3225" spans="1:1" x14ac:dyDescent="0.25">
      <c r="A3225" s="16" t="s">
        <v>16324</v>
      </c>
    </row>
    <row r="3226" spans="1:1" x14ac:dyDescent="0.25">
      <c r="A3226" s="16" t="s">
        <v>16325</v>
      </c>
    </row>
    <row r="3227" spans="1:1" x14ac:dyDescent="0.25">
      <c r="A3227" s="16" t="s">
        <v>16326</v>
      </c>
    </row>
    <row r="3228" spans="1:1" x14ac:dyDescent="0.25">
      <c r="A3228" s="16" t="s">
        <v>16327</v>
      </c>
    </row>
    <row r="3229" spans="1:1" x14ac:dyDescent="0.25">
      <c r="A3229" s="16" t="s">
        <v>16328</v>
      </c>
    </row>
    <row r="3230" spans="1:1" x14ac:dyDescent="0.25">
      <c r="A3230" s="16" t="s">
        <v>16329</v>
      </c>
    </row>
    <row r="3231" spans="1:1" x14ac:dyDescent="0.25">
      <c r="A3231" s="16" t="s">
        <v>16330</v>
      </c>
    </row>
    <row r="3232" spans="1:1" x14ac:dyDescent="0.25">
      <c r="A3232" s="16" t="s">
        <v>16331</v>
      </c>
    </row>
    <row r="3233" spans="1:1" x14ac:dyDescent="0.25">
      <c r="A3233" s="16" t="s">
        <v>16332</v>
      </c>
    </row>
    <row r="3234" spans="1:1" x14ac:dyDescent="0.25">
      <c r="A3234" s="16" t="s">
        <v>16333</v>
      </c>
    </row>
    <row r="3235" spans="1:1" x14ac:dyDescent="0.25">
      <c r="A3235" s="16" t="s">
        <v>16334</v>
      </c>
    </row>
    <row r="3236" spans="1:1" x14ac:dyDescent="0.25">
      <c r="A3236" s="16" t="s">
        <v>16335</v>
      </c>
    </row>
    <row r="3237" spans="1:1" x14ac:dyDescent="0.25">
      <c r="A3237" s="16" t="s">
        <v>16336</v>
      </c>
    </row>
    <row r="3238" spans="1:1" x14ac:dyDescent="0.25">
      <c r="A3238" s="16" t="s">
        <v>16337</v>
      </c>
    </row>
    <row r="3239" spans="1:1" x14ac:dyDescent="0.25">
      <c r="A3239" s="16" t="s">
        <v>16338</v>
      </c>
    </row>
    <row r="3240" spans="1:1" x14ac:dyDescent="0.25">
      <c r="A3240" s="16" t="s">
        <v>16339</v>
      </c>
    </row>
    <row r="3241" spans="1:1" x14ac:dyDescent="0.25">
      <c r="A3241" s="16" t="s">
        <v>16340</v>
      </c>
    </row>
    <row r="3242" spans="1:1" x14ac:dyDescent="0.25">
      <c r="A3242" s="16" t="s">
        <v>16341</v>
      </c>
    </row>
    <row r="3243" spans="1:1" x14ac:dyDescent="0.25">
      <c r="A3243" s="16" t="s">
        <v>16342</v>
      </c>
    </row>
    <row r="3244" spans="1:1" x14ac:dyDescent="0.25">
      <c r="A3244" s="16" t="s">
        <v>16343</v>
      </c>
    </row>
    <row r="3245" spans="1:1" x14ac:dyDescent="0.25">
      <c r="A3245" s="16" t="s">
        <v>16344</v>
      </c>
    </row>
    <row r="3246" spans="1:1" x14ac:dyDescent="0.25">
      <c r="A3246" s="16" t="s">
        <v>16345</v>
      </c>
    </row>
    <row r="3247" spans="1:1" x14ac:dyDescent="0.25">
      <c r="A3247" s="16" t="s">
        <v>16346</v>
      </c>
    </row>
    <row r="3248" spans="1:1" x14ac:dyDescent="0.25">
      <c r="A3248" s="16" t="s">
        <v>16347</v>
      </c>
    </row>
    <row r="3249" spans="1:1" x14ac:dyDescent="0.25">
      <c r="A3249" s="16" t="s">
        <v>16348</v>
      </c>
    </row>
    <row r="3250" spans="1:1" x14ac:dyDescent="0.25">
      <c r="A3250" s="16" t="s">
        <v>16349</v>
      </c>
    </row>
    <row r="3251" spans="1:1" x14ac:dyDescent="0.25">
      <c r="A3251" s="16" t="s">
        <v>16350</v>
      </c>
    </row>
    <row r="3252" spans="1:1" x14ac:dyDescent="0.25">
      <c r="A3252" s="16" t="s">
        <v>16351</v>
      </c>
    </row>
    <row r="3253" spans="1:1" x14ac:dyDescent="0.25">
      <c r="A3253" s="16" t="s">
        <v>16352</v>
      </c>
    </row>
    <row r="3254" spans="1:1" x14ac:dyDescent="0.25">
      <c r="A3254" s="16" t="s">
        <v>16353</v>
      </c>
    </row>
    <row r="3255" spans="1:1" x14ac:dyDescent="0.25">
      <c r="A3255" s="16" t="s">
        <v>16354</v>
      </c>
    </row>
    <row r="3256" spans="1:1" x14ac:dyDescent="0.25">
      <c r="A3256" s="16" t="s">
        <v>16355</v>
      </c>
    </row>
    <row r="3257" spans="1:1" x14ac:dyDescent="0.25">
      <c r="A3257" s="16" t="s">
        <v>16356</v>
      </c>
    </row>
    <row r="3258" spans="1:1" x14ac:dyDescent="0.25">
      <c r="A3258" s="16" t="s">
        <v>16357</v>
      </c>
    </row>
    <row r="3259" spans="1:1" x14ac:dyDescent="0.25">
      <c r="A3259" s="16" t="s">
        <v>16358</v>
      </c>
    </row>
    <row r="3260" spans="1:1" x14ac:dyDescent="0.25">
      <c r="A3260" s="16" t="s">
        <v>16359</v>
      </c>
    </row>
    <row r="3261" spans="1:1" x14ac:dyDescent="0.25">
      <c r="A3261" s="16" t="s">
        <v>16360</v>
      </c>
    </row>
    <row r="3262" spans="1:1" x14ac:dyDescent="0.25">
      <c r="A3262" s="16" t="s">
        <v>16361</v>
      </c>
    </row>
    <row r="3263" spans="1:1" x14ac:dyDescent="0.25">
      <c r="A3263" s="16" t="s">
        <v>16362</v>
      </c>
    </row>
    <row r="3264" spans="1:1" x14ac:dyDescent="0.25">
      <c r="A3264" s="16" t="s">
        <v>16363</v>
      </c>
    </row>
    <row r="3265" spans="1:1" x14ac:dyDescent="0.25">
      <c r="A3265" s="16" t="s">
        <v>16364</v>
      </c>
    </row>
    <row r="3266" spans="1:1" x14ac:dyDescent="0.25">
      <c r="A3266" s="16" t="s">
        <v>16365</v>
      </c>
    </row>
    <row r="3267" spans="1:1" x14ac:dyDescent="0.25">
      <c r="A3267" s="16" t="s">
        <v>16366</v>
      </c>
    </row>
    <row r="3268" spans="1:1" x14ac:dyDescent="0.25">
      <c r="A3268" s="16" t="s">
        <v>16367</v>
      </c>
    </row>
    <row r="3269" spans="1:1" x14ac:dyDescent="0.25">
      <c r="A3269" s="16" t="s">
        <v>16368</v>
      </c>
    </row>
    <row r="3270" spans="1:1" x14ac:dyDescent="0.25">
      <c r="A3270" s="16" t="s">
        <v>16369</v>
      </c>
    </row>
    <row r="3271" spans="1:1" x14ac:dyDescent="0.25">
      <c r="A3271" s="16" t="s">
        <v>16370</v>
      </c>
    </row>
    <row r="3272" spans="1:1" x14ac:dyDescent="0.25">
      <c r="A3272" s="16" t="s">
        <v>16371</v>
      </c>
    </row>
    <row r="3273" spans="1:1" x14ac:dyDescent="0.25">
      <c r="A3273" s="16" t="s">
        <v>16372</v>
      </c>
    </row>
    <row r="3274" spans="1:1" x14ac:dyDescent="0.25">
      <c r="A3274" s="16" t="s">
        <v>16373</v>
      </c>
    </row>
    <row r="3275" spans="1:1" x14ac:dyDescent="0.25">
      <c r="A3275" s="16" t="s">
        <v>16374</v>
      </c>
    </row>
    <row r="3276" spans="1:1" x14ac:dyDescent="0.25">
      <c r="A3276" s="16" t="s">
        <v>16375</v>
      </c>
    </row>
    <row r="3277" spans="1:1" x14ac:dyDescent="0.25">
      <c r="A3277" s="16" t="s">
        <v>16376</v>
      </c>
    </row>
    <row r="3278" spans="1:1" x14ac:dyDescent="0.25">
      <c r="A3278" s="16" t="s">
        <v>16377</v>
      </c>
    </row>
    <row r="3279" spans="1:1" x14ac:dyDescent="0.25">
      <c r="A3279" s="16" t="s">
        <v>16378</v>
      </c>
    </row>
    <row r="3280" spans="1:1" x14ac:dyDescent="0.25">
      <c r="A3280" s="16" t="s">
        <v>16379</v>
      </c>
    </row>
    <row r="3281" spans="1:1" x14ac:dyDescent="0.25">
      <c r="A3281" s="16" t="s">
        <v>16380</v>
      </c>
    </row>
    <row r="3282" spans="1:1" x14ac:dyDescent="0.25">
      <c r="A3282" s="16" t="s">
        <v>16381</v>
      </c>
    </row>
    <row r="3283" spans="1:1" x14ac:dyDescent="0.25">
      <c r="A3283" s="16" t="s">
        <v>16382</v>
      </c>
    </row>
    <row r="3284" spans="1:1" x14ac:dyDescent="0.25">
      <c r="A3284" s="16" t="s">
        <v>16383</v>
      </c>
    </row>
    <row r="3285" spans="1:1" x14ac:dyDescent="0.25">
      <c r="A3285" s="16" t="s">
        <v>16384</v>
      </c>
    </row>
    <row r="3286" spans="1:1" x14ac:dyDescent="0.25">
      <c r="A3286" s="16" t="s">
        <v>16385</v>
      </c>
    </row>
    <row r="3287" spans="1:1" x14ac:dyDescent="0.25">
      <c r="A3287" s="16" t="s">
        <v>16386</v>
      </c>
    </row>
    <row r="3288" spans="1:1" x14ac:dyDescent="0.25">
      <c r="A3288" s="16" t="s">
        <v>16387</v>
      </c>
    </row>
    <row r="3289" spans="1:1" x14ac:dyDescent="0.25">
      <c r="A3289" s="16" t="s">
        <v>16388</v>
      </c>
    </row>
    <row r="3290" spans="1:1" x14ac:dyDescent="0.25">
      <c r="A3290" s="16" t="s">
        <v>16389</v>
      </c>
    </row>
    <row r="3291" spans="1:1" x14ac:dyDescent="0.25">
      <c r="A3291" s="16" t="s">
        <v>16390</v>
      </c>
    </row>
    <row r="3292" spans="1:1" x14ac:dyDescent="0.25">
      <c r="A3292" s="16" t="s">
        <v>16391</v>
      </c>
    </row>
    <row r="3293" spans="1:1" x14ac:dyDescent="0.25">
      <c r="A3293" s="16" t="s">
        <v>16392</v>
      </c>
    </row>
    <row r="3294" spans="1:1" x14ac:dyDescent="0.25">
      <c r="A3294" s="16" t="s">
        <v>16393</v>
      </c>
    </row>
    <row r="3295" spans="1:1" x14ac:dyDescent="0.25">
      <c r="A3295" s="16" t="s">
        <v>16394</v>
      </c>
    </row>
    <row r="3296" spans="1:1" x14ac:dyDescent="0.25">
      <c r="A3296" s="16" t="s">
        <v>16395</v>
      </c>
    </row>
    <row r="3297" spans="1:1" x14ac:dyDescent="0.25">
      <c r="A3297" s="16" t="s">
        <v>16396</v>
      </c>
    </row>
    <row r="3298" spans="1:1" x14ac:dyDescent="0.25">
      <c r="A3298" s="16" t="s">
        <v>16397</v>
      </c>
    </row>
    <row r="3299" spans="1:1" x14ac:dyDescent="0.25">
      <c r="A3299" s="16" t="s">
        <v>16398</v>
      </c>
    </row>
    <row r="3300" spans="1:1" x14ac:dyDescent="0.25">
      <c r="A3300" s="16" t="s">
        <v>16399</v>
      </c>
    </row>
    <row r="3301" spans="1:1" x14ac:dyDescent="0.25">
      <c r="A3301" s="16" t="s">
        <v>16400</v>
      </c>
    </row>
    <row r="3302" spans="1:1" x14ac:dyDescent="0.25">
      <c r="A3302" s="16" t="s">
        <v>16401</v>
      </c>
    </row>
    <row r="3303" spans="1:1" x14ac:dyDescent="0.25">
      <c r="A3303" s="16" t="s">
        <v>16402</v>
      </c>
    </row>
    <row r="3304" spans="1:1" x14ac:dyDescent="0.25">
      <c r="A3304" s="16" t="s">
        <v>16403</v>
      </c>
    </row>
    <row r="3305" spans="1:1" x14ac:dyDescent="0.25">
      <c r="A3305" s="16" t="s">
        <v>16404</v>
      </c>
    </row>
    <row r="3306" spans="1:1" x14ac:dyDescent="0.25">
      <c r="A3306" s="16" t="s">
        <v>16405</v>
      </c>
    </row>
    <row r="3307" spans="1:1" x14ac:dyDescent="0.25">
      <c r="A3307" s="16" t="s">
        <v>16406</v>
      </c>
    </row>
    <row r="3308" spans="1:1" x14ac:dyDescent="0.25">
      <c r="A3308" s="16" t="s">
        <v>16407</v>
      </c>
    </row>
    <row r="3309" spans="1:1" x14ac:dyDescent="0.25">
      <c r="A3309" s="16" t="s">
        <v>16408</v>
      </c>
    </row>
    <row r="3310" spans="1:1" x14ac:dyDescent="0.25">
      <c r="A3310" s="16" t="s">
        <v>16409</v>
      </c>
    </row>
    <row r="3311" spans="1:1" x14ac:dyDescent="0.25">
      <c r="A3311" s="16" t="s">
        <v>16410</v>
      </c>
    </row>
    <row r="3312" spans="1:1" x14ac:dyDescent="0.25">
      <c r="A3312" s="16" t="s">
        <v>16411</v>
      </c>
    </row>
    <row r="3313" spans="1:1" x14ac:dyDescent="0.25">
      <c r="A3313" s="16" t="s">
        <v>16412</v>
      </c>
    </row>
    <row r="3314" spans="1:1" x14ac:dyDescent="0.25">
      <c r="A3314" s="16" t="s">
        <v>16413</v>
      </c>
    </row>
    <row r="3315" spans="1:1" x14ac:dyDescent="0.25">
      <c r="A3315" s="16" t="s">
        <v>16414</v>
      </c>
    </row>
    <row r="3316" spans="1:1" x14ac:dyDescent="0.25">
      <c r="A3316" s="16" t="s">
        <v>16415</v>
      </c>
    </row>
    <row r="3317" spans="1:1" x14ac:dyDescent="0.25">
      <c r="A3317" s="16" t="s">
        <v>16416</v>
      </c>
    </row>
    <row r="3318" spans="1:1" x14ac:dyDescent="0.25">
      <c r="A3318" s="16" t="s">
        <v>16417</v>
      </c>
    </row>
    <row r="3319" spans="1:1" x14ac:dyDescent="0.25">
      <c r="A3319" s="16" t="s">
        <v>16418</v>
      </c>
    </row>
    <row r="3320" spans="1:1" x14ac:dyDescent="0.25">
      <c r="A3320" s="16" t="s">
        <v>16419</v>
      </c>
    </row>
    <row r="3321" spans="1:1" x14ac:dyDescent="0.25">
      <c r="A3321" s="16" t="s">
        <v>16420</v>
      </c>
    </row>
    <row r="3322" spans="1:1" x14ac:dyDescent="0.25">
      <c r="A3322" s="16" t="s">
        <v>16421</v>
      </c>
    </row>
    <row r="3323" spans="1:1" x14ac:dyDescent="0.25">
      <c r="A3323" s="16" t="s">
        <v>16422</v>
      </c>
    </row>
    <row r="3324" spans="1:1" x14ac:dyDescent="0.25">
      <c r="A3324" s="16" t="s">
        <v>16423</v>
      </c>
    </row>
    <row r="3325" spans="1:1" x14ac:dyDescent="0.25">
      <c r="A3325" s="16" t="s">
        <v>16424</v>
      </c>
    </row>
    <row r="3326" spans="1:1" x14ac:dyDescent="0.25">
      <c r="A3326" s="16" t="s">
        <v>16425</v>
      </c>
    </row>
    <row r="3327" spans="1:1" x14ac:dyDescent="0.25">
      <c r="A3327" s="16" t="s">
        <v>16426</v>
      </c>
    </row>
    <row r="3328" spans="1:1" x14ac:dyDescent="0.25">
      <c r="A3328" s="16" t="s">
        <v>16427</v>
      </c>
    </row>
    <row r="3329" spans="1:1" x14ac:dyDescent="0.25">
      <c r="A3329" s="16" t="s">
        <v>16428</v>
      </c>
    </row>
    <row r="3330" spans="1:1" x14ac:dyDescent="0.25">
      <c r="A3330" s="16" t="s">
        <v>16429</v>
      </c>
    </row>
    <row r="3331" spans="1:1" x14ac:dyDescent="0.25">
      <c r="A3331" s="16" t="s">
        <v>16430</v>
      </c>
    </row>
    <row r="3332" spans="1:1" x14ac:dyDescent="0.25">
      <c r="A3332" s="16" t="s">
        <v>16431</v>
      </c>
    </row>
    <row r="3333" spans="1:1" x14ac:dyDescent="0.25">
      <c r="A3333" s="16" t="s">
        <v>16432</v>
      </c>
    </row>
    <row r="3334" spans="1:1" x14ac:dyDescent="0.25">
      <c r="A3334" s="16" t="s">
        <v>16433</v>
      </c>
    </row>
    <row r="3335" spans="1:1" x14ac:dyDescent="0.25">
      <c r="A3335" s="16" t="s">
        <v>16434</v>
      </c>
    </row>
    <row r="3336" spans="1:1" x14ac:dyDescent="0.25">
      <c r="A3336" s="16" t="s">
        <v>16435</v>
      </c>
    </row>
    <row r="3337" spans="1:1" x14ac:dyDescent="0.25">
      <c r="A3337" s="16" t="s">
        <v>16436</v>
      </c>
    </row>
    <row r="3338" spans="1:1" x14ac:dyDescent="0.25">
      <c r="A3338" s="16" t="s">
        <v>16437</v>
      </c>
    </row>
    <row r="3339" spans="1:1" x14ac:dyDescent="0.25">
      <c r="A3339" s="16" t="s">
        <v>16438</v>
      </c>
    </row>
    <row r="3340" spans="1:1" x14ac:dyDescent="0.25">
      <c r="A3340" s="16" t="s">
        <v>16439</v>
      </c>
    </row>
    <row r="3341" spans="1:1" x14ac:dyDescent="0.25">
      <c r="A3341" s="16" t="s">
        <v>16440</v>
      </c>
    </row>
    <row r="3342" spans="1:1" x14ac:dyDescent="0.25">
      <c r="A3342" s="16" t="s">
        <v>16441</v>
      </c>
    </row>
    <row r="3343" spans="1:1" x14ac:dyDescent="0.25">
      <c r="A3343" s="16" t="s">
        <v>16442</v>
      </c>
    </row>
    <row r="3344" spans="1:1" x14ac:dyDescent="0.25">
      <c r="A3344" s="16" t="s">
        <v>16443</v>
      </c>
    </row>
    <row r="3345" spans="1:1" x14ac:dyDescent="0.25">
      <c r="A3345" s="16" t="s">
        <v>16444</v>
      </c>
    </row>
    <row r="3346" spans="1:1" x14ac:dyDescent="0.25">
      <c r="A3346" s="16" t="s">
        <v>16445</v>
      </c>
    </row>
    <row r="3347" spans="1:1" x14ac:dyDescent="0.25">
      <c r="A3347" s="16" t="s">
        <v>16446</v>
      </c>
    </row>
    <row r="3348" spans="1:1" x14ac:dyDescent="0.25">
      <c r="A3348" s="16" t="s">
        <v>16447</v>
      </c>
    </row>
    <row r="3349" spans="1:1" x14ac:dyDescent="0.25">
      <c r="A3349" s="16" t="s">
        <v>16448</v>
      </c>
    </row>
    <row r="3350" spans="1:1" x14ac:dyDescent="0.25">
      <c r="A3350" s="16" t="s">
        <v>16449</v>
      </c>
    </row>
    <row r="3351" spans="1:1" x14ac:dyDescent="0.25">
      <c r="A3351" s="16" t="s">
        <v>16450</v>
      </c>
    </row>
    <row r="3352" spans="1:1" x14ac:dyDescent="0.25">
      <c r="A3352" s="16" t="s">
        <v>16451</v>
      </c>
    </row>
    <row r="3353" spans="1:1" x14ac:dyDescent="0.25">
      <c r="A3353" s="16" t="s">
        <v>16452</v>
      </c>
    </row>
    <row r="3354" spans="1:1" x14ac:dyDescent="0.25">
      <c r="A3354" s="16" t="s">
        <v>16453</v>
      </c>
    </row>
    <row r="3355" spans="1:1" x14ac:dyDescent="0.25">
      <c r="A3355" s="16" t="s">
        <v>16454</v>
      </c>
    </row>
    <row r="3356" spans="1:1" x14ac:dyDescent="0.25">
      <c r="A3356" s="16" t="s">
        <v>16455</v>
      </c>
    </row>
    <row r="3357" spans="1:1" x14ac:dyDescent="0.25">
      <c r="A3357" s="16" t="s">
        <v>16456</v>
      </c>
    </row>
    <row r="3358" spans="1:1" x14ac:dyDescent="0.25">
      <c r="A3358" s="16" t="s">
        <v>16457</v>
      </c>
    </row>
    <row r="3359" spans="1:1" x14ac:dyDescent="0.25">
      <c r="A3359" s="16" t="s">
        <v>16458</v>
      </c>
    </row>
    <row r="3360" spans="1:1" x14ac:dyDescent="0.25">
      <c r="A3360" s="16" t="s">
        <v>16459</v>
      </c>
    </row>
    <row r="3361" spans="1:1" x14ac:dyDescent="0.25">
      <c r="A3361" s="16" t="s">
        <v>16460</v>
      </c>
    </row>
    <row r="3362" spans="1:1" x14ac:dyDescent="0.25">
      <c r="A3362" s="16" t="s">
        <v>16461</v>
      </c>
    </row>
    <row r="3363" spans="1:1" x14ac:dyDescent="0.25">
      <c r="A3363" s="16" t="s">
        <v>16462</v>
      </c>
    </row>
    <row r="3364" spans="1:1" x14ac:dyDescent="0.25">
      <c r="A3364" s="16" t="s">
        <v>16463</v>
      </c>
    </row>
    <row r="3365" spans="1:1" x14ac:dyDescent="0.25">
      <c r="A3365" s="16" t="s">
        <v>16464</v>
      </c>
    </row>
    <row r="3366" spans="1:1" x14ac:dyDescent="0.25">
      <c r="A3366" s="16" t="s">
        <v>16465</v>
      </c>
    </row>
    <row r="3367" spans="1:1" x14ac:dyDescent="0.25">
      <c r="A3367" s="16" t="s">
        <v>16466</v>
      </c>
    </row>
    <row r="3368" spans="1:1" x14ac:dyDescent="0.25">
      <c r="A3368" s="16" t="s">
        <v>16467</v>
      </c>
    </row>
    <row r="3369" spans="1:1" x14ac:dyDescent="0.25">
      <c r="A3369" s="16" t="s">
        <v>16468</v>
      </c>
    </row>
    <row r="3370" spans="1:1" x14ac:dyDescent="0.25">
      <c r="A3370" s="16" t="s">
        <v>16469</v>
      </c>
    </row>
    <row r="3371" spans="1:1" x14ac:dyDescent="0.25">
      <c r="A3371" s="16" t="s">
        <v>16470</v>
      </c>
    </row>
    <row r="3372" spans="1:1" x14ac:dyDescent="0.25">
      <c r="A3372" s="16" t="s">
        <v>16471</v>
      </c>
    </row>
    <row r="3373" spans="1:1" x14ac:dyDescent="0.25">
      <c r="A3373" s="16" t="s">
        <v>16472</v>
      </c>
    </row>
    <row r="3374" spans="1:1" x14ac:dyDescent="0.25">
      <c r="A3374" s="16" t="s">
        <v>16473</v>
      </c>
    </row>
    <row r="3375" spans="1:1" x14ac:dyDescent="0.25">
      <c r="A3375" s="16" t="s">
        <v>16474</v>
      </c>
    </row>
    <row r="3376" spans="1:1" x14ac:dyDescent="0.25">
      <c r="A3376" s="16" t="s">
        <v>16475</v>
      </c>
    </row>
    <row r="3377" spans="1:1" x14ac:dyDescent="0.25">
      <c r="A3377" s="16" t="s">
        <v>16476</v>
      </c>
    </row>
    <row r="3378" spans="1:1" x14ac:dyDescent="0.25">
      <c r="A3378" s="16" t="s">
        <v>16477</v>
      </c>
    </row>
    <row r="3379" spans="1:1" x14ac:dyDescent="0.25">
      <c r="A3379" s="16" t="s">
        <v>16478</v>
      </c>
    </row>
    <row r="3380" spans="1:1" x14ac:dyDescent="0.25">
      <c r="A3380" s="16" t="s">
        <v>16479</v>
      </c>
    </row>
    <row r="3381" spans="1:1" x14ac:dyDescent="0.25">
      <c r="A3381" s="16" t="s">
        <v>16480</v>
      </c>
    </row>
    <row r="3382" spans="1:1" x14ac:dyDescent="0.25">
      <c r="A3382" s="16" t="s">
        <v>16481</v>
      </c>
    </row>
    <row r="3383" spans="1:1" x14ac:dyDescent="0.25">
      <c r="A3383" s="16" t="s">
        <v>16482</v>
      </c>
    </row>
    <row r="3384" spans="1:1" x14ac:dyDescent="0.25">
      <c r="A3384" s="16" t="s">
        <v>16483</v>
      </c>
    </row>
    <row r="3385" spans="1:1" x14ac:dyDescent="0.25">
      <c r="A3385" s="16" t="s">
        <v>16484</v>
      </c>
    </row>
    <row r="3386" spans="1:1" x14ac:dyDescent="0.25">
      <c r="A3386" s="16" t="s">
        <v>16485</v>
      </c>
    </row>
    <row r="3387" spans="1:1" x14ac:dyDescent="0.25">
      <c r="A3387" s="16" t="s">
        <v>16486</v>
      </c>
    </row>
    <row r="3388" spans="1:1" x14ac:dyDescent="0.25">
      <c r="A3388" s="16" t="s">
        <v>16487</v>
      </c>
    </row>
    <row r="3389" spans="1:1" x14ac:dyDescent="0.25">
      <c r="A3389" s="16" t="s">
        <v>16488</v>
      </c>
    </row>
    <row r="3390" spans="1:1" x14ac:dyDescent="0.25">
      <c r="A3390" s="16" t="s">
        <v>16489</v>
      </c>
    </row>
    <row r="3391" spans="1:1" x14ac:dyDescent="0.25">
      <c r="A3391" s="16" t="s">
        <v>16490</v>
      </c>
    </row>
    <row r="3392" spans="1:1" x14ac:dyDescent="0.25">
      <c r="A3392" s="16" t="s">
        <v>16491</v>
      </c>
    </row>
    <row r="3393" spans="1:1" x14ac:dyDescent="0.25">
      <c r="A3393" s="16" t="s">
        <v>16492</v>
      </c>
    </row>
    <row r="3394" spans="1:1" x14ac:dyDescent="0.25">
      <c r="A3394" s="16" t="s">
        <v>16493</v>
      </c>
    </row>
    <row r="3395" spans="1:1" x14ac:dyDescent="0.25">
      <c r="A3395" s="16" t="s">
        <v>16494</v>
      </c>
    </row>
    <row r="3396" spans="1:1" x14ac:dyDescent="0.25">
      <c r="A3396" s="16" t="s">
        <v>16495</v>
      </c>
    </row>
    <row r="3397" spans="1:1" x14ac:dyDescent="0.25">
      <c r="A3397" s="16" t="s">
        <v>16496</v>
      </c>
    </row>
    <row r="3398" spans="1:1" x14ac:dyDescent="0.25">
      <c r="A3398" s="16" t="s">
        <v>16497</v>
      </c>
    </row>
    <row r="3399" spans="1:1" x14ac:dyDescent="0.25">
      <c r="A3399" s="16" t="s">
        <v>16498</v>
      </c>
    </row>
    <row r="3400" spans="1:1" x14ac:dyDescent="0.25">
      <c r="A3400" s="16" t="s">
        <v>16499</v>
      </c>
    </row>
    <row r="3401" spans="1:1" x14ac:dyDescent="0.25">
      <c r="A3401" s="16" t="s">
        <v>16500</v>
      </c>
    </row>
    <row r="3402" spans="1:1" x14ac:dyDescent="0.25">
      <c r="A3402" s="16" t="s">
        <v>16501</v>
      </c>
    </row>
    <row r="3403" spans="1:1" x14ac:dyDescent="0.25">
      <c r="A3403" s="16" t="s">
        <v>16502</v>
      </c>
    </row>
    <row r="3404" spans="1:1" x14ac:dyDescent="0.25">
      <c r="A3404" s="16" t="s">
        <v>16503</v>
      </c>
    </row>
    <row r="3405" spans="1:1" x14ac:dyDescent="0.25">
      <c r="A3405" s="16" t="s">
        <v>16504</v>
      </c>
    </row>
    <row r="3406" spans="1:1" x14ac:dyDescent="0.25">
      <c r="A3406" s="16" t="s">
        <v>16505</v>
      </c>
    </row>
    <row r="3407" spans="1:1" x14ac:dyDescent="0.25">
      <c r="A3407" s="16" t="s">
        <v>16506</v>
      </c>
    </row>
    <row r="3408" spans="1:1" x14ac:dyDescent="0.25">
      <c r="A3408" s="16" t="s">
        <v>16507</v>
      </c>
    </row>
    <row r="3409" spans="1:1" x14ac:dyDescent="0.25">
      <c r="A3409" s="16" t="s">
        <v>16508</v>
      </c>
    </row>
    <row r="3410" spans="1:1" x14ac:dyDescent="0.25">
      <c r="A3410" s="16" t="s">
        <v>16509</v>
      </c>
    </row>
    <row r="3411" spans="1:1" x14ac:dyDescent="0.25">
      <c r="A3411" s="16" t="s">
        <v>16510</v>
      </c>
    </row>
    <row r="3412" spans="1:1" x14ac:dyDescent="0.25">
      <c r="A3412" s="16" t="s">
        <v>16511</v>
      </c>
    </row>
    <row r="3413" spans="1:1" x14ac:dyDescent="0.25">
      <c r="A3413" s="16" t="s">
        <v>16512</v>
      </c>
    </row>
    <row r="3414" spans="1:1" x14ac:dyDescent="0.25">
      <c r="A3414" s="16" t="s">
        <v>16513</v>
      </c>
    </row>
    <row r="3415" spans="1:1" x14ac:dyDescent="0.25">
      <c r="A3415" s="16" t="s">
        <v>16514</v>
      </c>
    </row>
    <row r="3416" spans="1:1" x14ac:dyDescent="0.25">
      <c r="A3416" s="16" t="s">
        <v>16515</v>
      </c>
    </row>
    <row r="3417" spans="1:1" x14ac:dyDescent="0.25">
      <c r="A3417" s="16" t="s">
        <v>16516</v>
      </c>
    </row>
    <row r="3418" spans="1:1" x14ac:dyDescent="0.25">
      <c r="A3418" s="16" t="s">
        <v>16517</v>
      </c>
    </row>
    <row r="3419" spans="1:1" x14ac:dyDescent="0.25">
      <c r="A3419" s="16" t="s">
        <v>16518</v>
      </c>
    </row>
    <row r="3420" spans="1:1" x14ac:dyDescent="0.25">
      <c r="A3420" s="16" t="s">
        <v>16519</v>
      </c>
    </row>
    <row r="3421" spans="1:1" x14ac:dyDescent="0.25">
      <c r="A3421" s="16" t="s">
        <v>16520</v>
      </c>
    </row>
    <row r="3422" spans="1:1" x14ac:dyDescent="0.25">
      <c r="A3422" s="16" t="s">
        <v>16521</v>
      </c>
    </row>
    <row r="3423" spans="1:1" x14ac:dyDescent="0.25">
      <c r="A3423" s="16" t="s">
        <v>16522</v>
      </c>
    </row>
    <row r="3424" spans="1:1" x14ac:dyDescent="0.25">
      <c r="A3424" s="16" t="s">
        <v>16523</v>
      </c>
    </row>
    <row r="3425" spans="1:1" x14ac:dyDescent="0.25">
      <c r="A3425" s="16" t="s">
        <v>16524</v>
      </c>
    </row>
    <row r="3426" spans="1:1" x14ac:dyDescent="0.25">
      <c r="A3426" s="16" t="s">
        <v>16525</v>
      </c>
    </row>
    <row r="3427" spans="1:1" x14ac:dyDescent="0.25">
      <c r="A3427" s="16" t="s">
        <v>16526</v>
      </c>
    </row>
    <row r="3428" spans="1:1" x14ac:dyDescent="0.25">
      <c r="A3428" s="16" t="s">
        <v>16527</v>
      </c>
    </row>
    <row r="3429" spans="1:1" x14ac:dyDescent="0.25">
      <c r="A3429" s="16" t="s">
        <v>16528</v>
      </c>
    </row>
    <row r="3430" spans="1:1" x14ac:dyDescent="0.25">
      <c r="A3430" s="16" t="s">
        <v>16529</v>
      </c>
    </row>
    <row r="3431" spans="1:1" x14ac:dyDescent="0.25">
      <c r="A3431" s="16" t="s">
        <v>16530</v>
      </c>
    </row>
    <row r="3432" spans="1:1" x14ac:dyDescent="0.25">
      <c r="A3432" s="16" t="s">
        <v>16531</v>
      </c>
    </row>
    <row r="3433" spans="1:1" x14ac:dyDescent="0.25">
      <c r="A3433" s="16" t="s">
        <v>16532</v>
      </c>
    </row>
    <row r="3434" spans="1:1" x14ac:dyDescent="0.25">
      <c r="A3434" s="16" t="s">
        <v>16533</v>
      </c>
    </row>
    <row r="3435" spans="1:1" x14ac:dyDescent="0.25">
      <c r="A3435" s="16" t="s">
        <v>16534</v>
      </c>
    </row>
    <row r="3436" spans="1:1" x14ac:dyDescent="0.25">
      <c r="A3436" s="16" t="s">
        <v>16535</v>
      </c>
    </row>
    <row r="3437" spans="1:1" x14ac:dyDescent="0.25">
      <c r="A3437" s="16" t="s">
        <v>16536</v>
      </c>
    </row>
    <row r="3438" spans="1:1" x14ac:dyDescent="0.25">
      <c r="A3438" s="16" t="s">
        <v>16537</v>
      </c>
    </row>
    <row r="3439" spans="1:1" x14ac:dyDescent="0.25">
      <c r="A3439" s="16" t="s">
        <v>16538</v>
      </c>
    </row>
    <row r="3440" spans="1:1" x14ac:dyDescent="0.25">
      <c r="A3440" s="16" t="s">
        <v>16539</v>
      </c>
    </row>
    <row r="3441" spans="1:1" x14ac:dyDescent="0.25">
      <c r="A3441" s="16" t="s">
        <v>16540</v>
      </c>
    </row>
    <row r="3442" spans="1:1" x14ac:dyDescent="0.25">
      <c r="A3442" s="16" t="s">
        <v>16541</v>
      </c>
    </row>
    <row r="3443" spans="1:1" x14ac:dyDescent="0.25">
      <c r="A3443" s="16" t="s">
        <v>16542</v>
      </c>
    </row>
    <row r="3444" spans="1:1" x14ac:dyDescent="0.25">
      <c r="A3444" s="16" t="s">
        <v>16543</v>
      </c>
    </row>
    <row r="3445" spans="1:1" x14ac:dyDescent="0.25">
      <c r="A3445" s="16" t="s">
        <v>16544</v>
      </c>
    </row>
    <row r="3446" spans="1:1" x14ac:dyDescent="0.25">
      <c r="A3446" s="16" t="s">
        <v>16545</v>
      </c>
    </row>
    <row r="3447" spans="1:1" x14ac:dyDescent="0.25">
      <c r="A3447" s="16" t="s">
        <v>16546</v>
      </c>
    </row>
    <row r="3448" spans="1:1" x14ac:dyDescent="0.25">
      <c r="A3448" s="16" t="s">
        <v>16547</v>
      </c>
    </row>
    <row r="3449" spans="1:1" x14ac:dyDescent="0.25">
      <c r="A3449" s="16" t="s">
        <v>16548</v>
      </c>
    </row>
    <row r="3450" spans="1:1" x14ac:dyDescent="0.25">
      <c r="A3450" s="16" t="s">
        <v>16549</v>
      </c>
    </row>
    <row r="3451" spans="1:1" x14ac:dyDescent="0.25">
      <c r="A3451" s="16" t="s">
        <v>16550</v>
      </c>
    </row>
    <row r="3452" spans="1:1" x14ac:dyDescent="0.25">
      <c r="A3452" s="16" t="s">
        <v>16551</v>
      </c>
    </row>
    <row r="3453" spans="1:1" x14ac:dyDescent="0.25">
      <c r="A3453" s="16" t="s">
        <v>16552</v>
      </c>
    </row>
    <row r="3454" spans="1:1" x14ac:dyDescent="0.25">
      <c r="A3454" s="16" t="s">
        <v>16553</v>
      </c>
    </row>
    <row r="3455" spans="1:1" x14ac:dyDescent="0.25">
      <c r="A3455" s="16" t="s">
        <v>16554</v>
      </c>
    </row>
    <row r="3456" spans="1:1" x14ac:dyDescent="0.25">
      <c r="A3456" s="16" t="s">
        <v>16555</v>
      </c>
    </row>
    <row r="3457" spans="1:1" x14ac:dyDescent="0.25">
      <c r="A3457" s="16" t="s">
        <v>16556</v>
      </c>
    </row>
    <row r="3458" spans="1:1" x14ac:dyDescent="0.25">
      <c r="A3458" s="16" t="s">
        <v>16557</v>
      </c>
    </row>
    <row r="3459" spans="1:1" x14ac:dyDescent="0.25">
      <c r="A3459" s="16" t="s">
        <v>16558</v>
      </c>
    </row>
    <row r="3460" spans="1:1" x14ac:dyDescent="0.25">
      <c r="A3460" s="16" t="s">
        <v>16559</v>
      </c>
    </row>
    <row r="3461" spans="1:1" x14ac:dyDescent="0.25">
      <c r="A3461" s="16" t="s">
        <v>16560</v>
      </c>
    </row>
    <row r="3462" spans="1:1" x14ac:dyDescent="0.25">
      <c r="A3462" s="16" t="s">
        <v>16561</v>
      </c>
    </row>
    <row r="3463" spans="1:1" x14ac:dyDescent="0.25">
      <c r="A3463" s="16" t="s">
        <v>16562</v>
      </c>
    </row>
    <row r="3464" spans="1:1" x14ac:dyDescent="0.25">
      <c r="A3464" s="16" t="s">
        <v>16563</v>
      </c>
    </row>
    <row r="3465" spans="1:1" x14ac:dyDescent="0.25">
      <c r="A3465" s="16" t="s">
        <v>16564</v>
      </c>
    </row>
    <row r="3466" spans="1:1" x14ac:dyDescent="0.25">
      <c r="A3466" s="16" t="s">
        <v>16565</v>
      </c>
    </row>
    <row r="3467" spans="1:1" x14ac:dyDescent="0.25">
      <c r="A3467" s="16" t="s">
        <v>16566</v>
      </c>
    </row>
    <row r="3468" spans="1:1" x14ac:dyDescent="0.25">
      <c r="A3468" s="16" t="s">
        <v>16567</v>
      </c>
    </row>
    <row r="3469" spans="1:1" x14ac:dyDescent="0.25">
      <c r="A3469" s="16" t="s">
        <v>16568</v>
      </c>
    </row>
    <row r="3470" spans="1:1" x14ac:dyDescent="0.25">
      <c r="A3470" s="16" t="s">
        <v>16569</v>
      </c>
    </row>
    <row r="3471" spans="1:1" x14ac:dyDescent="0.25">
      <c r="A3471" s="16" t="s">
        <v>16570</v>
      </c>
    </row>
    <row r="3472" spans="1:1" x14ac:dyDescent="0.25">
      <c r="A3472" s="16" t="s">
        <v>16571</v>
      </c>
    </row>
    <row r="3473" spans="1:1" x14ac:dyDescent="0.25">
      <c r="A3473" s="16" t="s">
        <v>16572</v>
      </c>
    </row>
    <row r="3474" spans="1:1" x14ac:dyDescent="0.25">
      <c r="A3474" s="16" t="s">
        <v>16573</v>
      </c>
    </row>
    <row r="3475" spans="1:1" x14ac:dyDescent="0.25">
      <c r="A3475" s="16" t="s">
        <v>16574</v>
      </c>
    </row>
    <row r="3476" spans="1:1" x14ac:dyDescent="0.25">
      <c r="A3476" s="16" t="s">
        <v>16575</v>
      </c>
    </row>
    <row r="3477" spans="1:1" x14ac:dyDescent="0.25">
      <c r="A3477" s="16" t="s">
        <v>16576</v>
      </c>
    </row>
    <row r="3478" spans="1:1" x14ac:dyDescent="0.25">
      <c r="A3478" s="16" t="s">
        <v>16577</v>
      </c>
    </row>
    <row r="3479" spans="1:1" x14ac:dyDescent="0.25">
      <c r="A3479" s="16" t="s">
        <v>16578</v>
      </c>
    </row>
    <row r="3480" spans="1:1" x14ac:dyDescent="0.25">
      <c r="A3480" s="16" t="s">
        <v>16579</v>
      </c>
    </row>
    <row r="3481" spans="1:1" x14ac:dyDescent="0.25">
      <c r="A3481" s="16" t="s">
        <v>16580</v>
      </c>
    </row>
    <row r="3482" spans="1:1" x14ac:dyDescent="0.25">
      <c r="A3482" s="16" t="s">
        <v>16581</v>
      </c>
    </row>
    <row r="3483" spans="1:1" x14ac:dyDescent="0.25">
      <c r="A3483" s="16" t="s">
        <v>16582</v>
      </c>
    </row>
    <row r="3484" spans="1:1" x14ac:dyDescent="0.25">
      <c r="A3484" s="16" t="s">
        <v>16583</v>
      </c>
    </row>
    <row r="3485" spans="1:1" x14ac:dyDescent="0.25">
      <c r="A3485" s="16" t="s">
        <v>16584</v>
      </c>
    </row>
    <row r="3486" spans="1:1" x14ac:dyDescent="0.25">
      <c r="A3486" s="16" t="s">
        <v>16585</v>
      </c>
    </row>
    <row r="3487" spans="1:1" x14ac:dyDescent="0.25">
      <c r="A3487" s="16" t="s">
        <v>16586</v>
      </c>
    </row>
    <row r="3488" spans="1:1" x14ac:dyDescent="0.25">
      <c r="A3488" s="16" t="s">
        <v>16587</v>
      </c>
    </row>
    <row r="3489" spans="1:1" x14ac:dyDescent="0.25">
      <c r="A3489" s="16" t="s">
        <v>16588</v>
      </c>
    </row>
    <row r="3490" spans="1:1" x14ac:dyDescent="0.25">
      <c r="A3490" s="16" t="s">
        <v>16589</v>
      </c>
    </row>
    <row r="3491" spans="1:1" x14ac:dyDescent="0.25">
      <c r="A3491" s="16" t="s">
        <v>16590</v>
      </c>
    </row>
    <row r="3492" spans="1:1" x14ac:dyDescent="0.25">
      <c r="A3492" s="16" t="s">
        <v>16591</v>
      </c>
    </row>
    <row r="3493" spans="1:1" x14ac:dyDescent="0.25">
      <c r="A3493" s="16" t="s">
        <v>16592</v>
      </c>
    </row>
    <row r="3494" spans="1:1" x14ac:dyDescent="0.25">
      <c r="A3494" s="16" t="s">
        <v>16593</v>
      </c>
    </row>
    <row r="3495" spans="1:1" x14ac:dyDescent="0.25">
      <c r="A3495" s="16" t="s">
        <v>16594</v>
      </c>
    </row>
    <row r="3496" spans="1:1" x14ac:dyDescent="0.25">
      <c r="A3496" s="16" t="s">
        <v>16595</v>
      </c>
    </row>
    <row r="3497" spans="1:1" x14ac:dyDescent="0.25">
      <c r="A3497" s="16" t="s">
        <v>16596</v>
      </c>
    </row>
    <row r="3498" spans="1:1" x14ac:dyDescent="0.25">
      <c r="A3498" s="16" t="s">
        <v>16597</v>
      </c>
    </row>
    <row r="3499" spans="1:1" x14ac:dyDescent="0.25">
      <c r="A3499" s="16" t="s">
        <v>16598</v>
      </c>
    </row>
    <row r="3500" spans="1:1" x14ac:dyDescent="0.25">
      <c r="A3500" s="16" t="s">
        <v>16599</v>
      </c>
    </row>
    <row r="3501" spans="1:1" x14ac:dyDescent="0.25">
      <c r="A3501" s="16" t="s">
        <v>16600</v>
      </c>
    </row>
    <row r="3502" spans="1:1" x14ac:dyDescent="0.25">
      <c r="A3502" s="16" t="s">
        <v>16601</v>
      </c>
    </row>
    <row r="3503" spans="1:1" x14ac:dyDescent="0.25">
      <c r="A3503" s="16" t="s">
        <v>16602</v>
      </c>
    </row>
    <row r="3504" spans="1:1" x14ac:dyDescent="0.25">
      <c r="A3504" s="16" t="s">
        <v>16603</v>
      </c>
    </row>
    <row r="3505" spans="1:1" x14ac:dyDescent="0.25">
      <c r="A3505" s="16" t="s">
        <v>16604</v>
      </c>
    </row>
    <row r="3506" spans="1:1" x14ac:dyDescent="0.25">
      <c r="A3506" s="16" t="s">
        <v>16605</v>
      </c>
    </row>
    <row r="3507" spans="1:1" x14ac:dyDescent="0.25">
      <c r="A3507" s="16" t="s">
        <v>16606</v>
      </c>
    </row>
    <row r="3508" spans="1:1" x14ac:dyDescent="0.25">
      <c r="A3508" s="16" t="s">
        <v>16607</v>
      </c>
    </row>
    <row r="3509" spans="1:1" x14ac:dyDescent="0.25">
      <c r="A3509" s="16" t="s">
        <v>16608</v>
      </c>
    </row>
    <row r="3510" spans="1:1" x14ac:dyDescent="0.25">
      <c r="A3510" s="16" t="s">
        <v>16609</v>
      </c>
    </row>
    <row r="3511" spans="1:1" x14ac:dyDescent="0.25">
      <c r="A3511" s="16" t="s">
        <v>16610</v>
      </c>
    </row>
    <row r="3512" spans="1:1" x14ac:dyDescent="0.25">
      <c r="A3512" s="16" t="s">
        <v>16611</v>
      </c>
    </row>
    <row r="3513" spans="1:1" x14ac:dyDescent="0.25">
      <c r="A3513" s="16" t="s">
        <v>16612</v>
      </c>
    </row>
    <row r="3514" spans="1:1" x14ac:dyDescent="0.25">
      <c r="A3514" s="16" t="s">
        <v>16613</v>
      </c>
    </row>
    <row r="3515" spans="1:1" x14ac:dyDescent="0.25">
      <c r="A3515" s="16" t="s">
        <v>16614</v>
      </c>
    </row>
    <row r="3516" spans="1:1" x14ac:dyDescent="0.25">
      <c r="A3516" s="16" t="s">
        <v>16615</v>
      </c>
    </row>
    <row r="3517" spans="1:1" x14ac:dyDescent="0.25">
      <c r="A3517" s="16" t="s">
        <v>16616</v>
      </c>
    </row>
    <row r="3518" spans="1:1" x14ac:dyDescent="0.25">
      <c r="A3518" s="16" t="s">
        <v>16617</v>
      </c>
    </row>
    <row r="3519" spans="1:1" x14ac:dyDescent="0.25">
      <c r="A3519" s="16" t="s">
        <v>16618</v>
      </c>
    </row>
    <row r="3520" spans="1:1" x14ac:dyDescent="0.25">
      <c r="A3520" s="16" t="s">
        <v>16619</v>
      </c>
    </row>
    <row r="3521" spans="1:1" x14ac:dyDescent="0.25">
      <c r="A3521" s="16" t="s">
        <v>16620</v>
      </c>
    </row>
    <row r="3522" spans="1:1" x14ac:dyDescent="0.25">
      <c r="A3522" s="16" t="s">
        <v>16621</v>
      </c>
    </row>
    <row r="3523" spans="1:1" x14ac:dyDescent="0.25">
      <c r="A3523" s="16" t="s">
        <v>16622</v>
      </c>
    </row>
    <row r="3524" spans="1:1" x14ac:dyDescent="0.25">
      <c r="A3524" s="16" t="s">
        <v>16623</v>
      </c>
    </row>
    <row r="3525" spans="1:1" x14ac:dyDescent="0.25">
      <c r="A3525" s="16" t="s">
        <v>16624</v>
      </c>
    </row>
    <row r="3526" spans="1:1" x14ac:dyDescent="0.25">
      <c r="A3526" s="16" t="s">
        <v>16625</v>
      </c>
    </row>
    <row r="3527" spans="1:1" x14ac:dyDescent="0.25">
      <c r="A3527" s="16" t="s">
        <v>16626</v>
      </c>
    </row>
    <row r="3528" spans="1:1" x14ac:dyDescent="0.25">
      <c r="A3528" s="16" t="s">
        <v>16627</v>
      </c>
    </row>
    <row r="3529" spans="1:1" x14ac:dyDescent="0.25">
      <c r="A3529" s="16" t="s">
        <v>16628</v>
      </c>
    </row>
    <row r="3530" spans="1:1" x14ac:dyDescent="0.25">
      <c r="A3530" s="16" t="s">
        <v>16629</v>
      </c>
    </row>
    <row r="3531" spans="1:1" x14ac:dyDescent="0.25">
      <c r="A3531" s="16" t="s">
        <v>16630</v>
      </c>
    </row>
    <row r="3532" spans="1:1" x14ac:dyDescent="0.25">
      <c r="A3532" s="16" t="s">
        <v>16631</v>
      </c>
    </row>
    <row r="3533" spans="1:1" x14ac:dyDescent="0.25">
      <c r="A3533" s="16" t="s">
        <v>16632</v>
      </c>
    </row>
    <row r="3534" spans="1:1" x14ac:dyDescent="0.25">
      <c r="A3534" s="16" t="s">
        <v>16633</v>
      </c>
    </row>
    <row r="3535" spans="1:1" x14ac:dyDescent="0.25">
      <c r="A3535" s="16" t="s">
        <v>16634</v>
      </c>
    </row>
    <row r="3536" spans="1:1" x14ac:dyDescent="0.25">
      <c r="A3536" s="16" t="s">
        <v>16635</v>
      </c>
    </row>
    <row r="3537" spans="1:1" x14ac:dyDescent="0.25">
      <c r="A3537" s="16" t="s">
        <v>16636</v>
      </c>
    </row>
    <row r="3538" spans="1:1" x14ac:dyDescent="0.25">
      <c r="A3538" s="16" t="s">
        <v>16637</v>
      </c>
    </row>
    <row r="3539" spans="1:1" x14ac:dyDescent="0.25">
      <c r="A3539" s="16" t="s">
        <v>16638</v>
      </c>
    </row>
    <row r="3540" spans="1:1" x14ac:dyDescent="0.25">
      <c r="A3540" s="16" t="s">
        <v>16639</v>
      </c>
    </row>
    <row r="3541" spans="1:1" x14ac:dyDescent="0.25">
      <c r="A3541" s="16" t="s">
        <v>16640</v>
      </c>
    </row>
    <row r="3542" spans="1:1" x14ac:dyDescent="0.25">
      <c r="A3542" s="16" t="s">
        <v>16641</v>
      </c>
    </row>
    <row r="3543" spans="1:1" x14ac:dyDescent="0.25">
      <c r="A3543" s="16" t="s">
        <v>16642</v>
      </c>
    </row>
    <row r="3544" spans="1:1" x14ac:dyDescent="0.25">
      <c r="A3544" s="16" t="s">
        <v>16643</v>
      </c>
    </row>
    <row r="3545" spans="1:1" x14ac:dyDescent="0.25">
      <c r="A3545" s="16" t="s">
        <v>16644</v>
      </c>
    </row>
    <row r="3546" spans="1:1" x14ac:dyDescent="0.25">
      <c r="A3546" s="16" t="s">
        <v>16645</v>
      </c>
    </row>
    <row r="3547" spans="1:1" x14ac:dyDescent="0.25">
      <c r="A3547" s="16" t="s">
        <v>16646</v>
      </c>
    </row>
    <row r="3548" spans="1:1" x14ac:dyDescent="0.25">
      <c r="A3548" s="16" t="s">
        <v>16647</v>
      </c>
    </row>
    <row r="3549" spans="1:1" x14ac:dyDescent="0.25">
      <c r="A3549" s="16" t="s">
        <v>16648</v>
      </c>
    </row>
    <row r="3550" spans="1:1" x14ac:dyDescent="0.25">
      <c r="A3550" s="16" t="s">
        <v>16649</v>
      </c>
    </row>
    <row r="3551" spans="1:1" x14ac:dyDescent="0.25">
      <c r="A3551" s="16" t="s">
        <v>16650</v>
      </c>
    </row>
    <row r="3552" spans="1:1" x14ac:dyDescent="0.25">
      <c r="A3552" s="16" t="s">
        <v>16651</v>
      </c>
    </row>
    <row r="3553" spans="1:1" x14ac:dyDescent="0.25">
      <c r="A3553" s="16" t="s">
        <v>16652</v>
      </c>
    </row>
    <row r="3554" spans="1:1" x14ac:dyDescent="0.25">
      <c r="A3554" s="16" t="s">
        <v>16653</v>
      </c>
    </row>
    <row r="3555" spans="1:1" x14ac:dyDescent="0.25">
      <c r="A3555" s="16" t="s">
        <v>16654</v>
      </c>
    </row>
    <row r="3556" spans="1:1" x14ac:dyDescent="0.25">
      <c r="A3556" s="16" t="s">
        <v>16655</v>
      </c>
    </row>
    <row r="3557" spans="1:1" x14ac:dyDescent="0.25">
      <c r="A3557" s="16" t="s">
        <v>16656</v>
      </c>
    </row>
    <row r="3558" spans="1:1" x14ac:dyDescent="0.25">
      <c r="A3558" s="16" t="s">
        <v>16657</v>
      </c>
    </row>
    <row r="3559" spans="1:1" x14ac:dyDescent="0.25">
      <c r="A3559" s="16" t="s">
        <v>16658</v>
      </c>
    </row>
    <row r="3560" spans="1:1" x14ac:dyDescent="0.25">
      <c r="A3560" s="16" t="s">
        <v>16659</v>
      </c>
    </row>
    <row r="3561" spans="1:1" x14ac:dyDescent="0.25">
      <c r="A3561" s="16" t="s">
        <v>16660</v>
      </c>
    </row>
    <row r="3562" spans="1:1" x14ac:dyDescent="0.25">
      <c r="A3562" s="16" t="s">
        <v>16661</v>
      </c>
    </row>
    <row r="3563" spans="1:1" x14ac:dyDescent="0.25">
      <c r="A3563" s="16" t="s">
        <v>16662</v>
      </c>
    </row>
    <row r="3564" spans="1:1" x14ac:dyDescent="0.25">
      <c r="A3564" s="16" t="s">
        <v>16663</v>
      </c>
    </row>
    <row r="3565" spans="1:1" x14ac:dyDescent="0.25">
      <c r="A3565" s="16" t="s">
        <v>16664</v>
      </c>
    </row>
    <row r="3566" spans="1:1" x14ac:dyDescent="0.25">
      <c r="A3566" s="16" t="s">
        <v>16665</v>
      </c>
    </row>
    <row r="3567" spans="1:1" x14ac:dyDescent="0.25">
      <c r="A3567" s="16" t="s">
        <v>16666</v>
      </c>
    </row>
    <row r="3568" spans="1:1" x14ac:dyDescent="0.25">
      <c r="A3568" s="16" t="s">
        <v>16667</v>
      </c>
    </row>
    <row r="3569" spans="1:1" x14ac:dyDescent="0.25">
      <c r="A3569" s="16" t="s">
        <v>16668</v>
      </c>
    </row>
    <row r="3570" spans="1:1" x14ac:dyDescent="0.25">
      <c r="A3570" s="16" t="s">
        <v>16669</v>
      </c>
    </row>
    <row r="3571" spans="1:1" x14ac:dyDescent="0.25">
      <c r="A3571" s="16" t="s">
        <v>16670</v>
      </c>
    </row>
    <row r="3572" spans="1:1" x14ac:dyDescent="0.25">
      <c r="A3572" s="16" t="s">
        <v>16671</v>
      </c>
    </row>
    <row r="3573" spans="1:1" x14ac:dyDescent="0.25">
      <c r="A3573" s="16" t="s">
        <v>16672</v>
      </c>
    </row>
    <row r="3574" spans="1:1" x14ac:dyDescent="0.25">
      <c r="A3574" s="16" t="s">
        <v>16673</v>
      </c>
    </row>
    <row r="3575" spans="1:1" x14ac:dyDescent="0.25">
      <c r="A3575" s="16" t="s">
        <v>16674</v>
      </c>
    </row>
    <row r="3576" spans="1:1" x14ac:dyDescent="0.25">
      <c r="A3576" s="16" t="s">
        <v>16675</v>
      </c>
    </row>
    <row r="3577" spans="1:1" x14ac:dyDescent="0.25">
      <c r="A3577" s="16" t="s">
        <v>16676</v>
      </c>
    </row>
    <row r="3578" spans="1:1" x14ac:dyDescent="0.25">
      <c r="A3578" s="16" t="s">
        <v>16677</v>
      </c>
    </row>
    <row r="3579" spans="1:1" x14ac:dyDescent="0.25">
      <c r="A3579" s="16" t="s">
        <v>16678</v>
      </c>
    </row>
    <row r="3580" spans="1:1" x14ac:dyDescent="0.25">
      <c r="A3580" s="16" t="s">
        <v>16679</v>
      </c>
    </row>
    <row r="3581" spans="1:1" x14ac:dyDescent="0.25">
      <c r="A3581" s="16" t="s">
        <v>16680</v>
      </c>
    </row>
    <row r="3582" spans="1:1" x14ac:dyDescent="0.25">
      <c r="A3582" s="16" t="s">
        <v>16681</v>
      </c>
    </row>
    <row r="3583" spans="1:1" x14ac:dyDescent="0.25">
      <c r="A3583" s="16" t="s">
        <v>16682</v>
      </c>
    </row>
    <row r="3584" spans="1:1" x14ac:dyDescent="0.25">
      <c r="A3584" s="16" t="s">
        <v>16683</v>
      </c>
    </row>
    <row r="3585" spans="1:1" x14ac:dyDescent="0.25">
      <c r="A3585" s="16" t="s">
        <v>16684</v>
      </c>
    </row>
    <row r="3586" spans="1:1" x14ac:dyDescent="0.25">
      <c r="A3586" s="16" t="s">
        <v>16685</v>
      </c>
    </row>
    <row r="3587" spans="1:1" x14ac:dyDescent="0.25">
      <c r="A3587" s="16" t="s">
        <v>16686</v>
      </c>
    </row>
    <row r="3588" spans="1:1" x14ac:dyDescent="0.25">
      <c r="A3588" s="16" t="s">
        <v>16687</v>
      </c>
    </row>
    <row r="3589" spans="1:1" x14ac:dyDescent="0.25">
      <c r="A3589" s="16" t="s">
        <v>16688</v>
      </c>
    </row>
    <row r="3590" spans="1:1" x14ac:dyDescent="0.25">
      <c r="A3590" s="16" t="s">
        <v>16689</v>
      </c>
    </row>
    <row r="3591" spans="1:1" x14ac:dyDescent="0.25">
      <c r="A3591" s="16" t="s">
        <v>16690</v>
      </c>
    </row>
    <row r="3592" spans="1:1" x14ac:dyDescent="0.25">
      <c r="A3592" s="16" t="s">
        <v>16691</v>
      </c>
    </row>
    <row r="3593" spans="1:1" x14ac:dyDescent="0.25">
      <c r="A3593" s="16" t="s">
        <v>16692</v>
      </c>
    </row>
    <row r="3594" spans="1:1" x14ac:dyDescent="0.25">
      <c r="A3594" s="16" t="s">
        <v>16693</v>
      </c>
    </row>
    <row r="3595" spans="1:1" x14ac:dyDescent="0.25">
      <c r="A3595" s="16" t="s">
        <v>16694</v>
      </c>
    </row>
    <row r="3596" spans="1:1" x14ac:dyDescent="0.25">
      <c r="A3596" s="16" t="s">
        <v>16695</v>
      </c>
    </row>
    <row r="3597" spans="1:1" x14ac:dyDescent="0.25">
      <c r="A3597" s="16" t="s">
        <v>16696</v>
      </c>
    </row>
    <row r="3598" spans="1:1" x14ac:dyDescent="0.25">
      <c r="A3598" s="16" t="s">
        <v>16697</v>
      </c>
    </row>
    <row r="3599" spans="1:1" x14ac:dyDescent="0.25">
      <c r="A3599" s="16" t="s">
        <v>16698</v>
      </c>
    </row>
    <row r="3600" spans="1:1" x14ac:dyDescent="0.25">
      <c r="A3600" s="16" t="s">
        <v>16699</v>
      </c>
    </row>
    <row r="3601" spans="1:1" x14ac:dyDescent="0.25">
      <c r="A3601" s="16" t="s">
        <v>16700</v>
      </c>
    </row>
    <row r="3602" spans="1:1" x14ac:dyDescent="0.25">
      <c r="A3602" s="16" t="s">
        <v>16701</v>
      </c>
    </row>
    <row r="3603" spans="1:1" x14ac:dyDescent="0.25">
      <c r="A3603" s="16" t="s">
        <v>16702</v>
      </c>
    </row>
    <row r="3604" spans="1:1" x14ac:dyDescent="0.25">
      <c r="A3604" s="16" t="s">
        <v>16703</v>
      </c>
    </row>
    <row r="3605" spans="1:1" x14ac:dyDescent="0.25">
      <c r="A3605" s="16" t="s">
        <v>16704</v>
      </c>
    </row>
    <row r="3606" spans="1:1" x14ac:dyDescent="0.25">
      <c r="A3606" s="16" t="s">
        <v>16705</v>
      </c>
    </row>
    <row r="3607" spans="1:1" x14ac:dyDescent="0.25">
      <c r="A3607" s="16" t="s">
        <v>16706</v>
      </c>
    </row>
    <row r="3608" spans="1:1" x14ac:dyDescent="0.25">
      <c r="A3608" s="16" t="s">
        <v>16707</v>
      </c>
    </row>
    <row r="3609" spans="1:1" x14ac:dyDescent="0.25">
      <c r="A3609" s="16" t="s">
        <v>16708</v>
      </c>
    </row>
    <row r="3610" spans="1:1" x14ac:dyDescent="0.25">
      <c r="A3610" s="16" t="s">
        <v>16709</v>
      </c>
    </row>
    <row r="3611" spans="1:1" x14ac:dyDescent="0.25">
      <c r="A3611" s="16" t="s">
        <v>16710</v>
      </c>
    </row>
    <row r="3612" spans="1:1" x14ac:dyDescent="0.25">
      <c r="A3612" s="16" t="s">
        <v>16711</v>
      </c>
    </row>
    <row r="3613" spans="1:1" x14ac:dyDescent="0.25">
      <c r="A3613" s="16" t="s">
        <v>16712</v>
      </c>
    </row>
    <row r="3614" spans="1:1" x14ac:dyDescent="0.25">
      <c r="A3614" s="16" t="s">
        <v>16713</v>
      </c>
    </row>
    <row r="3615" spans="1:1" x14ac:dyDescent="0.25">
      <c r="A3615" s="16" t="s">
        <v>16714</v>
      </c>
    </row>
    <row r="3616" spans="1:1" x14ac:dyDescent="0.25">
      <c r="A3616" s="16" t="s">
        <v>16715</v>
      </c>
    </row>
    <row r="3617" spans="1:1" x14ac:dyDescent="0.25">
      <c r="A3617" s="16" t="s">
        <v>16716</v>
      </c>
    </row>
    <row r="3618" spans="1:1" x14ac:dyDescent="0.25">
      <c r="A3618" s="16" t="s">
        <v>16717</v>
      </c>
    </row>
    <row r="3619" spans="1:1" x14ac:dyDescent="0.25">
      <c r="A3619" s="16" t="s">
        <v>16718</v>
      </c>
    </row>
    <row r="3620" spans="1:1" x14ac:dyDescent="0.25">
      <c r="A3620" s="16" t="s">
        <v>16719</v>
      </c>
    </row>
    <row r="3621" spans="1:1" x14ac:dyDescent="0.25">
      <c r="A3621" s="16" t="s">
        <v>16720</v>
      </c>
    </row>
    <row r="3622" spans="1:1" x14ac:dyDescent="0.25">
      <c r="A3622" s="16" t="s">
        <v>16721</v>
      </c>
    </row>
    <row r="3623" spans="1:1" x14ac:dyDescent="0.25">
      <c r="A3623" s="16" t="s">
        <v>16722</v>
      </c>
    </row>
    <row r="3624" spans="1:1" x14ac:dyDescent="0.25">
      <c r="A3624" s="16" t="s">
        <v>16723</v>
      </c>
    </row>
    <row r="3625" spans="1:1" x14ac:dyDescent="0.25">
      <c r="A3625" s="16" t="s">
        <v>16724</v>
      </c>
    </row>
    <row r="3626" spans="1:1" x14ac:dyDescent="0.25">
      <c r="A3626" s="16" t="s">
        <v>16725</v>
      </c>
    </row>
    <row r="3627" spans="1:1" x14ac:dyDescent="0.25">
      <c r="A3627" s="16" t="s">
        <v>16726</v>
      </c>
    </row>
    <row r="3628" spans="1:1" x14ac:dyDescent="0.25">
      <c r="A3628" s="16" t="s">
        <v>16727</v>
      </c>
    </row>
    <row r="3629" spans="1:1" x14ac:dyDescent="0.25">
      <c r="A3629" s="16" t="s">
        <v>16728</v>
      </c>
    </row>
    <row r="3630" spans="1:1" x14ac:dyDescent="0.25">
      <c r="A3630" s="16" t="s">
        <v>16729</v>
      </c>
    </row>
    <row r="3631" spans="1:1" x14ac:dyDescent="0.25">
      <c r="A3631" s="16" t="s">
        <v>16730</v>
      </c>
    </row>
    <row r="3632" spans="1:1" x14ac:dyDescent="0.25">
      <c r="A3632" s="16" t="s">
        <v>16731</v>
      </c>
    </row>
    <row r="3633" spans="1:1" x14ac:dyDescent="0.25">
      <c r="A3633" s="16" t="s">
        <v>16732</v>
      </c>
    </row>
    <row r="3634" spans="1:1" x14ac:dyDescent="0.25">
      <c r="A3634" s="16" t="s">
        <v>16733</v>
      </c>
    </row>
    <row r="3635" spans="1:1" x14ac:dyDescent="0.25">
      <c r="A3635" s="16" t="s">
        <v>16734</v>
      </c>
    </row>
    <row r="3636" spans="1:1" x14ac:dyDescent="0.25">
      <c r="A3636" s="16" t="s">
        <v>16735</v>
      </c>
    </row>
    <row r="3637" spans="1:1" x14ac:dyDescent="0.25">
      <c r="A3637" s="16" t="s">
        <v>16736</v>
      </c>
    </row>
    <row r="3638" spans="1:1" x14ac:dyDescent="0.25">
      <c r="A3638" s="16" t="s">
        <v>16737</v>
      </c>
    </row>
    <row r="3639" spans="1:1" x14ac:dyDescent="0.25">
      <c r="A3639" s="16" t="s">
        <v>16738</v>
      </c>
    </row>
    <row r="3640" spans="1:1" x14ac:dyDescent="0.25">
      <c r="A3640" s="16" t="s">
        <v>16739</v>
      </c>
    </row>
    <row r="3641" spans="1:1" x14ac:dyDescent="0.25">
      <c r="A3641" s="16" t="s">
        <v>16740</v>
      </c>
    </row>
    <row r="3642" spans="1:1" x14ac:dyDescent="0.25">
      <c r="A3642" s="16" t="s">
        <v>16741</v>
      </c>
    </row>
    <row r="3643" spans="1:1" x14ac:dyDescent="0.25">
      <c r="A3643" s="16" t="s">
        <v>16742</v>
      </c>
    </row>
    <row r="3644" spans="1:1" x14ac:dyDescent="0.25">
      <c r="A3644" s="16" t="s">
        <v>16743</v>
      </c>
    </row>
    <row r="3645" spans="1:1" x14ac:dyDescent="0.25">
      <c r="A3645" s="16" t="s">
        <v>16744</v>
      </c>
    </row>
    <row r="3646" spans="1:1" x14ac:dyDescent="0.25">
      <c r="A3646" s="16" t="s">
        <v>16745</v>
      </c>
    </row>
    <row r="3647" spans="1:1" x14ac:dyDescent="0.25">
      <c r="A3647" s="16" t="s">
        <v>16746</v>
      </c>
    </row>
    <row r="3648" spans="1:1" x14ac:dyDescent="0.25">
      <c r="A3648" s="16" t="s">
        <v>16747</v>
      </c>
    </row>
    <row r="3649" spans="1:1" x14ac:dyDescent="0.25">
      <c r="A3649" s="16" t="s">
        <v>16748</v>
      </c>
    </row>
    <row r="3650" spans="1:1" x14ac:dyDescent="0.25">
      <c r="A3650" s="16" t="s">
        <v>16749</v>
      </c>
    </row>
    <row r="3651" spans="1:1" x14ac:dyDescent="0.25">
      <c r="A3651" s="16" t="s">
        <v>16750</v>
      </c>
    </row>
    <row r="3652" spans="1:1" x14ac:dyDescent="0.25">
      <c r="A3652" s="16" t="s">
        <v>16751</v>
      </c>
    </row>
    <row r="3653" spans="1:1" x14ac:dyDescent="0.25">
      <c r="A3653" s="16" t="s">
        <v>16752</v>
      </c>
    </row>
    <row r="3654" spans="1:1" x14ac:dyDescent="0.25">
      <c r="A3654" s="16" t="s">
        <v>16753</v>
      </c>
    </row>
    <row r="3655" spans="1:1" x14ac:dyDescent="0.25">
      <c r="A3655" s="16" t="s">
        <v>16754</v>
      </c>
    </row>
    <row r="3656" spans="1:1" x14ac:dyDescent="0.25">
      <c r="A3656" s="16" t="s">
        <v>16755</v>
      </c>
    </row>
    <row r="3657" spans="1:1" x14ac:dyDescent="0.25">
      <c r="A3657" s="16" t="s">
        <v>16756</v>
      </c>
    </row>
    <row r="3658" spans="1:1" x14ac:dyDescent="0.25">
      <c r="A3658" s="16" t="s">
        <v>16757</v>
      </c>
    </row>
    <row r="3659" spans="1:1" x14ac:dyDescent="0.25">
      <c r="A3659" s="16" t="s">
        <v>16758</v>
      </c>
    </row>
    <row r="3660" spans="1:1" x14ac:dyDescent="0.25">
      <c r="A3660" s="16" t="s">
        <v>16759</v>
      </c>
    </row>
    <row r="3661" spans="1:1" x14ac:dyDescent="0.25">
      <c r="A3661" s="16" t="s">
        <v>16760</v>
      </c>
    </row>
    <row r="3662" spans="1:1" x14ac:dyDescent="0.25">
      <c r="A3662" s="16" t="s">
        <v>16761</v>
      </c>
    </row>
    <row r="3663" spans="1:1" x14ac:dyDescent="0.25">
      <c r="A3663" s="16" t="s">
        <v>16762</v>
      </c>
    </row>
    <row r="3664" spans="1:1" x14ac:dyDescent="0.25">
      <c r="A3664" s="16" t="s">
        <v>16763</v>
      </c>
    </row>
    <row r="3665" spans="1:1" x14ac:dyDescent="0.25">
      <c r="A3665" s="16" t="s">
        <v>16764</v>
      </c>
    </row>
    <row r="3666" spans="1:1" x14ac:dyDescent="0.25">
      <c r="A3666" s="16" t="s">
        <v>16765</v>
      </c>
    </row>
    <row r="3667" spans="1:1" x14ac:dyDescent="0.25">
      <c r="A3667" s="16" t="s">
        <v>16766</v>
      </c>
    </row>
    <row r="3668" spans="1:1" x14ac:dyDescent="0.25">
      <c r="A3668" s="16" t="s">
        <v>16767</v>
      </c>
    </row>
    <row r="3669" spans="1:1" x14ac:dyDescent="0.25">
      <c r="A3669" s="16" t="s">
        <v>16768</v>
      </c>
    </row>
    <row r="3670" spans="1:1" x14ac:dyDescent="0.25">
      <c r="A3670" s="16" t="s">
        <v>16769</v>
      </c>
    </row>
    <row r="3671" spans="1:1" x14ac:dyDescent="0.25">
      <c r="A3671" s="16" t="s">
        <v>16770</v>
      </c>
    </row>
    <row r="3672" spans="1:1" x14ac:dyDescent="0.25">
      <c r="A3672" s="16" t="s">
        <v>16771</v>
      </c>
    </row>
    <row r="3673" spans="1:1" x14ac:dyDescent="0.25">
      <c r="A3673" s="16" t="s">
        <v>16772</v>
      </c>
    </row>
    <row r="3674" spans="1:1" x14ac:dyDescent="0.25">
      <c r="A3674" s="16" t="s">
        <v>16773</v>
      </c>
    </row>
    <row r="3675" spans="1:1" x14ac:dyDescent="0.25">
      <c r="A3675" s="16" t="s">
        <v>16774</v>
      </c>
    </row>
    <row r="3676" spans="1:1" x14ac:dyDescent="0.25">
      <c r="A3676" s="16" t="s">
        <v>16775</v>
      </c>
    </row>
    <row r="3677" spans="1:1" x14ac:dyDescent="0.25">
      <c r="A3677" s="16" t="s">
        <v>16776</v>
      </c>
    </row>
    <row r="3678" spans="1:1" x14ac:dyDescent="0.25">
      <c r="A3678" s="16" t="s">
        <v>16777</v>
      </c>
    </row>
    <row r="3679" spans="1:1" x14ac:dyDescent="0.25">
      <c r="A3679" s="16" t="s">
        <v>16778</v>
      </c>
    </row>
    <row r="3680" spans="1:1" x14ac:dyDescent="0.25">
      <c r="A3680" s="16" t="s">
        <v>16779</v>
      </c>
    </row>
    <row r="3681" spans="1:1" x14ac:dyDescent="0.25">
      <c r="A3681" s="16" t="s">
        <v>16780</v>
      </c>
    </row>
    <row r="3682" spans="1:1" x14ac:dyDescent="0.25">
      <c r="A3682" s="16" t="s">
        <v>16781</v>
      </c>
    </row>
    <row r="3683" spans="1:1" x14ac:dyDescent="0.25">
      <c r="A3683" s="16" t="s">
        <v>16782</v>
      </c>
    </row>
    <row r="3684" spans="1:1" x14ac:dyDescent="0.25">
      <c r="A3684" s="16" t="s">
        <v>16783</v>
      </c>
    </row>
    <row r="3685" spans="1:1" x14ac:dyDescent="0.25">
      <c r="A3685" s="16" t="s">
        <v>16784</v>
      </c>
    </row>
    <row r="3686" spans="1:1" x14ac:dyDescent="0.25">
      <c r="A3686" s="16" t="s">
        <v>16785</v>
      </c>
    </row>
    <row r="3687" spans="1:1" x14ac:dyDescent="0.25">
      <c r="A3687" s="16" t="s">
        <v>16786</v>
      </c>
    </row>
    <row r="3688" spans="1:1" x14ac:dyDescent="0.25">
      <c r="A3688" s="16" t="s">
        <v>16787</v>
      </c>
    </row>
    <row r="3689" spans="1:1" x14ac:dyDescent="0.25">
      <c r="A3689" s="16" t="s">
        <v>16788</v>
      </c>
    </row>
    <row r="3690" spans="1:1" x14ac:dyDescent="0.25">
      <c r="A3690" s="16" t="s">
        <v>16789</v>
      </c>
    </row>
    <row r="3691" spans="1:1" x14ac:dyDescent="0.25">
      <c r="A3691" s="16" t="s">
        <v>16790</v>
      </c>
    </row>
    <row r="3692" spans="1:1" x14ac:dyDescent="0.25">
      <c r="A3692" s="16" t="s">
        <v>16791</v>
      </c>
    </row>
    <row r="3693" spans="1:1" x14ac:dyDescent="0.25">
      <c r="A3693" s="16" t="s">
        <v>16792</v>
      </c>
    </row>
    <row r="3694" spans="1:1" x14ac:dyDescent="0.25">
      <c r="A3694" s="16" t="s">
        <v>16793</v>
      </c>
    </row>
    <row r="3695" spans="1:1" x14ac:dyDescent="0.25">
      <c r="A3695" s="16" t="s">
        <v>16794</v>
      </c>
    </row>
    <row r="3696" spans="1:1" x14ac:dyDescent="0.25">
      <c r="A3696" s="16" t="s">
        <v>16795</v>
      </c>
    </row>
    <row r="3697" spans="1:1" x14ac:dyDescent="0.25">
      <c r="A3697" s="16" t="s">
        <v>16796</v>
      </c>
    </row>
    <row r="3698" spans="1:1" x14ac:dyDescent="0.25">
      <c r="A3698" s="16" t="s">
        <v>16797</v>
      </c>
    </row>
    <row r="3699" spans="1:1" x14ac:dyDescent="0.25">
      <c r="A3699" s="16" t="s">
        <v>16798</v>
      </c>
    </row>
    <row r="3700" spans="1:1" x14ac:dyDescent="0.25">
      <c r="A3700" s="16" t="s">
        <v>16799</v>
      </c>
    </row>
    <row r="3701" spans="1:1" x14ac:dyDescent="0.25">
      <c r="A3701" s="16" t="s">
        <v>16800</v>
      </c>
    </row>
    <row r="3702" spans="1:1" x14ac:dyDescent="0.25">
      <c r="A3702" s="16" t="s">
        <v>16801</v>
      </c>
    </row>
    <row r="3703" spans="1:1" x14ac:dyDescent="0.25">
      <c r="A3703" s="16" t="s">
        <v>16802</v>
      </c>
    </row>
    <row r="3704" spans="1:1" x14ac:dyDescent="0.25">
      <c r="A3704" s="16" t="s">
        <v>16803</v>
      </c>
    </row>
    <row r="3705" spans="1:1" x14ac:dyDescent="0.25">
      <c r="A3705" s="16" t="s">
        <v>16804</v>
      </c>
    </row>
    <row r="3706" spans="1:1" x14ac:dyDescent="0.25">
      <c r="A3706" s="16" t="s">
        <v>16805</v>
      </c>
    </row>
    <row r="3707" spans="1:1" x14ac:dyDescent="0.25">
      <c r="A3707" s="16" t="s">
        <v>16806</v>
      </c>
    </row>
    <row r="3708" spans="1:1" x14ac:dyDescent="0.25">
      <c r="A3708" s="16" t="s">
        <v>16807</v>
      </c>
    </row>
    <row r="3709" spans="1:1" x14ac:dyDescent="0.25">
      <c r="A3709" s="16" t="s">
        <v>16808</v>
      </c>
    </row>
    <row r="3710" spans="1:1" x14ac:dyDescent="0.25">
      <c r="A3710" s="16" t="s">
        <v>16809</v>
      </c>
    </row>
    <row r="3711" spans="1:1" x14ac:dyDescent="0.25">
      <c r="A3711" s="16" t="s">
        <v>16810</v>
      </c>
    </row>
    <row r="3712" spans="1:1" x14ac:dyDescent="0.25">
      <c r="A3712" s="16" t="s">
        <v>16811</v>
      </c>
    </row>
    <row r="3713" spans="1:1" x14ac:dyDescent="0.25">
      <c r="A3713" s="16" t="s">
        <v>16812</v>
      </c>
    </row>
    <row r="3714" spans="1:1" x14ac:dyDescent="0.25">
      <c r="A3714" s="16" t="s">
        <v>16813</v>
      </c>
    </row>
    <row r="3715" spans="1:1" x14ac:dyDescent="0.25">
      <c r="A3715" s="16" t="s">
        <v>16814</v>
      </c>
    </row>
    <row r="3716" spans="1:1" x14ac:dyDescent="0.25">
      <c r="A3716" s="16" t="s">
        <v>16815</v>
      </c>
    </row>
    <row r="3717" spans="1:1" x14ac:dyDescent="0.25">
      <c r="A3717" s="16" t="s">
        <v>16816</v>
      </c>
    </row>
    <row r="3718" spans="1:1" x14ac:dyDescent="0.25">
      <c r="A3718" s="16" t="s">
        <v>16817</v>
      </c>
    </row>
    <row r="3719" spans="1:1" x14ac:dyDescent="0.25">
      <c r="A3719" s="16" t="s">
        <v>16818</v>
      </c>
    </row>
    <row r="3720" spans="1:1" x14ac:dyDescent="0.25">
      <c r="A3720" s="16" t="s">
        <v>16819</v>
      </c>
    </row>
    <row r="3721" spans="1:1" x14ac:dyDescent="0.25">
      <c r="A3721" s="16" t="s">
        <v>16820</v>
      </c>
    </row>
    <row r="3722" spans="1:1" x14ac:dyDescent="0.25">
      <c r="A3722" s="16" t="s">
        <v>16821</v>
      </c>
    </row>
    <row r="3723" spans="1:1" x14ac:dyDescent="0.25">
      <c r="A3723" s="16" t="s">
        <v>16822</v>
      </c>
    </row>
    <row r="3724" spans="1:1" x14ac:dyDescent="0.25">
      <c r="A3724" s="16" t="s">
        <v>16823</v>
      </c>
    </row>
    <row r="3725" spans="1:1" x14ac:dyDescent="0.25">
      <c r="A3725" s="16" t="s">
        <v>16824</v>
      </c>
    </row>
    <row r="3726" spans="1:1" x14ac:dyDescent="0.25">
      <c r="A3726" s="16" t="s">
        <v>16825</v>
      </c>
    </row>
    <row r="3727" spans="1:1" x14ac:dyDescent="0.25">
      <c r="A3727" s="16" t="s">
        <v>16826</v>
      </c>
    </row>
    <row r="3728" spans="1:1" x14ac:dyDescent="0.25">
      <c r="A3728" s="16" t="s">
        <v>16827</v>
      </c>
    </row>
    <row r="3729" spans="1:1" x14ac:dyDescent="0.25">
      <c r="A3729" s="16" t="s">
        <v>16828</v>
      </c>
    </row>
    <row r="3730" spans="1:1" x14ac:dyDescent="0.25">
      <c r="A3730" s="16" t="s">
        <v>16829</v>
      </c>
    </row>
    <row r="3731" spans="1:1" x14ac:dyDescent="0.25">
      <c r="A3731" s="16" t="s">
        <v>16830</v>
      </c>
    </row>
    <row r="3732" spans="1:1" x14ac:dyDescent="0.25">
      <c r="A3732" s="16" t="s">
        <v>16831</v>
      </c>
    </row>
    <row r="3733" spans="1:1" x14ac:dyDescent="0.25">
      <c r="A3733" s="16" t="s">
        <v>16832</v>
      </c>
    </row>
    <row r="3734" spans="1:1" x14ac:dyDescent="0.25">
      <c r="A3734" s="16" t="s">
        <v>16833</v>
      </c>
    </row>
    <row r="3735" spans="1:1" x14ac:dyDescent="0.25">
      <c r="A3735" s="16" t="s">
        <v>16834</v>
      </c>
    </row>
    <row r="3736" spans="1:1" x14ac:dyDescent="0.25">
      <c r="A3736" s="16" t="s">
        <v>16835</v>
      </c>
    </row>
    <row r="3737" spans="1:1" x14ac:dyDescent="0.25">
      <c r="A3737" s="16" t="s">
        <v>16836</v>
      </c>
    </row>
    <row r="3738" spans="1:1" x14ac:dyDescent="0.25">
      <c r="A3738" s="16" t="s">
        <v>16837</v>
      </c>
    </row>
    <row r="3739" spans="1:1" x14ac:dyDescent="0.25">
      <c r="A3739" s="16" t="s">
        <v>16838</v>
      </c>
    </row>
    <row r="3740" spans="1:1" x14ac:dyDescent="0.25">
      <c r="A3740" s="16" t="s">
        <v>16839</v>
      </c>
    </row>
    <row r="3741" spans="1:1" x14ac:dyDescent="0.25">
      <c r="A3741" s="16" t="s">
        <v>16840</v>
      </c>
    </row>
    <row r="3742" spans="1:1" x14ac:dyDescent="0.25">
      <c r="A3742" s="16" t="s">
        <v>16841</v>
      </c>
    </row>
    <row r="3743" spans="1:1" x14ac:dyDescent="0.25">
      <c r="A3743" s="16" t="s">
        <v>16842</v>
      </c>
    </row>
    <row r="3744" spans="1:1" x14ac:dyDescent="0.25">
      <c r="A3744" s="16" t="s">
        <v>16843</v>
      </c>
    </row>
    <row r="3745" spans="1:1" x14ac:dyDescent="0.25">
      <c r="A3745" s="16" t="s">
        <v>16844</v>
      </c>
    </row>
    <row r="3746" spans="1:1" x14ac:dyDescent="0.25">
      <c r="A3746" s="16" t="s">
        <v>16845</v>
      </c>
    </row>
    <row r="3747" spans="1:1" x14ac:dyDescent="0.25">
      <c r="A3747" s="16" t="s">
        <v>16846</v>
      </c>
    </row>
    <row r="3748" spans="1:1" x14ac:dyDescent="0.25">
      <c r="A3748" s="16" t="s">
        <v>16847</v>
      </c>
    </row>
    <row r="3749" spans="1:1" x14ac:dyDescent="0.25">
      <c r="A3749" s="16" t="s">
        <v>16848</v>
      </c>
    </row>
    <row r="3750" spans="1:1" x14ac:dyDescent="0.25">
      <c r="A3750" s="16" t="s">
        <v>16849</v>
      </c>
    </row>
    <row r="3751" spans="1:1" x14ac:dyDescent="0.25">
      <c r="A3751" s="16" t="s">
        <v>16850</v>
      </c>
    </row>
    <row r="3752" spans="1:1" x14ac:dyDescent="0.25">
      <c r="A3752" s="16" t="s">
        <v>16851</v>
      </c>
    </row>
    <row r="3753" spans="1:1" x14ac:dyDescent="0.25">
      <c r="A3753" s="16" t="s">
        <v>16852</v>
      </c>
    </row>
    <row r="3754" spans="1:1" x14ac:dyDescent="0.25">
      <c r="A3754" s="16" t="s">
        <v>16853</v>
      </c>
    </row>
    <row r="3755" spans="1:1" x14ac:dyDescent="0.25">
      <c r="A3755" s="16" t="s">
        <v>16854</v>
      </c>
    </row>
    <row r="3756" spans="1:1" x14ac:dyDescent="0.25">
      <c r="A3756" s="16" t="s">
        <v>16855</v>
      </c>
    </row>
    <row r="3757" spans="1:1" x14ac:dyDescent="0.25">
      <c r="A3757" s="16" t="s">
        <v>16856</v>
      </c>
    </row>
    <row r="3758" spans="1:1" x14ac:dyDescent="0.25">
      <c r="A3758" s="16" t="s">
        <v>16857</v>
      </c>
    </row>
    <row r="3759" spans="1:1" x14ac:dyDescent="0.25">
      <c r="A3759" s="16" t="s">
        <v>16858</v>
      </c>
    </row>
    <row r="3760" spans="1:1" x14ac:dyDescent="0.25">
      <c r="A3760" s="16" t="s">
        <v>16859</v>
      </c>
    </row>
    <row r="3761" spans="1:1" x14ac:dyDescent="0.25">
      <c r="A3761" s="16" t="s">
        <v>16860</v>
      </c>
    </row>
    <row r="3762" spans="1:1" x14ac:dyDescent="0.25">
      <c r="A3762" s="16" t="s">
        <v>16861</v>
      </c>
    </row>
    <row r="3763" spans="1:1" x14ac:dyDescent="0.25">
      <c r="A3763" s="16" t="s">
        <v>16862</v>
      </c>
    </row>
    <row r="3764" spans="1:1" x14ac:dyDescent="0.25">
      <c r="A3764" s="16" t="s">
        <v>16863</v>
      </c>
    </row>
    <row r="3765" spans="1:1" x14ac:dyDescent="0.25">
      <c r="A3765" s="16" t="s">
        <v>16864</v>
      </c>
    </row>
    <row r="3766" spans="1:1" x14ac:dyDescent="0.25">
      <c r="A3766" s="16" t="s">
        <v>16865</v>
      </c>
    </row>
    <row r="3767" spans="1:1" x14ac:dyDescent="0.25">
      <c r="A3767" s="16" t="s">
        <v>16866</v>
      </c>
    </row>
    <row r="3768" spans="1:1" x14ac:dyDescent="0.25">
      <c r="A3768" s="16" t="s">
        <v>16867</v>
      </c>
    </row>
    <row r="3769" spans="1:1" x14ac:dyDescent="0.25">
      <c r="A3769" s="16" t="s">
        <v>16868</v>
      </c>
    </row>
    <row r="3770" spans="1:1" x14ac:dyDescent="0.25">
      <c r="A3770" s="16" t="s">
        <v>16869</v>
      </c>
    </row>
    <row r="3771" spans="1:1" x14ac:dyDescent="0.25">
      <c r="A3771" s="16" t="s">
        <v>16870</v>
      </c>
    </row>
    <row r="3772" spans="1:1" x14ac:dyDescent="0.25">
      <c r="A3772" s="16" t="s">
        <v>16871</v>
      </c>
    </row>
    <row r="3773" spans="1:1" x14ac:dyDescent="0.25">
      <c r="A3773" s="16" t="s">
        <v>16872</v>
      </c>
    </row>
    <row r="3774" spans="1:1" x14ac:dyDescent="0.25">
      <c r="A3774" s="16" t="s">
        <v>16873</v>
      </c>
    </row>
    <row r="3775" spans="1:1" x14ac:dyDescent="0.25">
      <c r="A3775" s="16" t="s">
        <v>16874</v>
      </c>
    </row>
    <row r="3776" spans="1:1" x14ac:dyDescent="0.25">
      <c r="A3776" s="16" t="s">
        <v>16875</v>
      </c>
    </row>
    <row r="3777" spans="1:1" x14ac:dyDescent="0.25">
      <c r="A3777" s="16" t="s">
        <v>16876</v>
      </c>
    </row>
    <row r="3778" spans="1:1" x14ac:dyDescent="0.25">
      <c r="A3778" s="16" t="s">
        <v>16877</v>
      </c>
    </row>
    <row r="3779" spans="1:1" x14ac:dyDescent="0.25">
      <c r="A3779" s="16" t="s">
        <v>16878</v>
      </c>
    </row>
    <row r="3780" spans="1:1" x14ac:dyDescent="0.25">
      <c r="A3780" s="16" t="s">
        <v>16879</v>
      </c>
    </row>
    <row r="3781" spans="1:1" x14ac:dyDescent="0.25">
      <c r="A3781" s="16" t="s">
        <v>16880</v>
      </c>
    </row>
    <row r="3782" spans="1:1" x14ac:dyDescent="0.25">
      <c r="A3782" s="16" t="s">
        <v>16881</v>
      </c>
    </row>
    <row r="3783" spans="1:1" x14ac:dyDescent="0.25">
      <c r="A3783" s="16" t="s">
        <v>16882</v>
      </c>
    </row>
    <row r="3784" spans="1:1" x14ac:dyDescent="0.25">
      <c r="A3784" s="16" t="s">
        <v>16883</v>
      </c>
    </row>
    <row r="3785" spans="1:1" x14ac:dyDescent="0.25">
      <c r="A3785" s="16" t="s">
        <v>16884</v>
      </c>
    </row>
    <row r="3786" spans="1:1" x14ac:dyDescent="0.25">
      <c r="A3786" s="16" t="s">
        <v>16885</v>
      </c>
    </row>
    <row r="3787" spans="1:1" x14ac:dyDescent="0.25">
      <c r="A3787" s="16" t="s">
        <v>16886</v>
      </c>
    </row>
    <row r="3788" spans="1:1" x14ac:dyDescent="0.25">
      <c r="A3788" s="16" t="s">
        <v>16887</v>
      </c>
    </row>
    <row r="3789" spans="1:1" x14ac:dyDescent="0.25">
      <c r="A3789" s="16" t="s">
        <v>16888</v>
      </c>
    </row>
    <row r="3790" spans="1:1" x14ac:dyDescent="0.25">
      <c r="A3790" s="16" t="s">
        <v>16889</v>
      </c>
    </row>
    <row r="3791" spans="1:1" x14ac:dyDescent="0.25">
      <c r="A3791" s="16" t="s">
        <v>16890</v>
      </c>
    </row>
    <row r="3792" spans="1:1" x14ac:dyDescent="0.25">
      <c r="A3792" s="16" t="s">
        <v>16891</v>
      </c>
    </row>
    <row r="3793" spans="1:1" x14ac:dyDescent="0.25">
      <c r="A3793" s="16" t="s">
        <v>16892</v>
      </c>
    </row>
    <row r="3794" spans="1:1" x14ac:dyDescent="0.25">
      <c r="A3794" s="16" t="s">
        <v>16893</v>
      </c>
    </row>
    <row r="3795" spans="1:1" x14ac:dyDescent="0.25">
      <c r="A3795" s="16" t="s">
        <v>16894</v>
      </c>
    </row>
    <row r="3796" spans="1:1" x14ac:dyDescent="0.25">
      <c r="A3796" s="16" t="s">
        <v>16895</v>
      </c>
    </row>
    <row r="3797" spans="1:1" x14ac:dyDescent="0.25">
      <c r="A3797" s="16" t="s">
        <v>16896</v>
      </c>
    </row>
    <row r="3798" spans="1:1" x14ac:dyDescent="0.25">
      <c r="A3798" s="16" t="s">
        <v>16897</v>
      </c>
    </row>
    <row r="3799" spans="1:1" x14ac:dyDescent="0.25">
      <c r="A3799" s="16" t="s">
        <v>16898</v>
      </c>
    </row>
    <row r="3800" spans="1:1" x14ac:dyDescent="0.25">
      <c r="A3800" s="16" t="s">
        <v>16899</v>
      </c>
    </row>
    <row r="3801" spans="1:1" x14ac:dyDescent="0.25">
      <c r="A3801" s="16" t="s">
        <v>16900</v>
      </c>
    </row>
    <row r="3802" spans="1:1" x14ac:dyDescent="0.25">
      <c r="A3802" s="16" t="s">
        <v>16901</v>
      </c>
    </row>
    <row r="3803" spans="1:1" x14ac:dyDescent="0.25">
      <c r="A3803" s="16" t="s">
        <v>16902</v>
      </c>
    </row>
    <row r="3804" spans="1:1" x14ac:dyDescent="0.25">
      <c r="A3804" s="16" t="s">
        <v>16903</v>
      </c>
    </row>
    <row r="3805" spans="1:1" x14ac:dyDescent="0.25">
      <c r="A3805" s="16" t="s">
        <v>16904</v>
      </c>
    </row>
    <row r="3806" spans="1:1" x14ac:dyDescent="0.25">
      <c r="A3806" s="16" t="s">
        <v>16905</v>
      </c>
    </row>
    <row r="3807" spans="1:1" x14ac:dyDescent="0.25">
      <c r="A3807" s="16" t="s">
        <v>16906</v>
      </c>
    </row>
    <row r="3808" spans="1:1" x14ac:dyDescent="0.25">
      <c r="A3808" s="16" t="s">
        <v>16907</v>
      </c>
    </row>
    <row r="3809" spans="1:1" x14ac:dyDescent="0.25">
      <c r="A3809" s="16" t="s">
        <v>16908</v>
      </c>
    </row>
    <row r="3810" spans="1:1" x14ac:dyDescent="0.25">
      <c r="A3810" s="16" t="s">
        <v>16909</v>
      </c>
    </row>
    <row r="3811" spans="1:1" x14ac:dyDescent="0.25">
      <c r="A3811" s="16" t="s">
        <v>16910</v>
      </c>
    </row>
    <row r="3812" spans="1:1" x14ac:dyDescent="0.25">
      <c r="A3812" s="16" t="s">
        <v>16911</v>
      </c>
    </row>
    <row r="3813" spans="1:1" x14ac:dyDescent="0.25">
      <c r="A3813" s="16" t="s">
        <v>16912</v>
      </c>
    </row>
    <row r="3814" spans="1:1" x14ac:dyDescent="0.25">
      <c r="A3814" s="16" t="s">
        <v>16913</v>
      </c>
    </row>
    <row r="3815" spans="1:1" x14ac:dyDescent="0.25">
      <c r="A3815" s="16" t="s">
        <v>16914</v>
      </c>
    </row>
    <row r="3816" spans="1:1" x14ac:dyDescent="0.25">
      <c r="A3816" s="16" t="s">
        <v>16915</v>
      </c>
    </row>
    <row r="3817" spans="1:1" x14ac:dyDescent="0.25">
      <c r="A3817" s="16" t="s">
        <v>16916</v>
      </c>
    </row>
    <row r="3818" spans="1:1" x14ac:dyDescent="0.25">
      <c r="A3818" s="16" t="s">
        <v>16917</v>
      </c>
    </row>
    <row r="3819" spans="1:1" x14ac:dyDescent="0.25">
      <c r="A3819" s="16" t="s">
        <v>16918</v>
      </c>
    </row>
    <row r="3820" spans="1:1" x14ac:dyDescent="0.25">
      <c r="A3820" s="16" t="s">
        <v>16919</v>
      </c>
    </row>
    <row r="3821" spans="1:1" x14ac:dyDescent="0.25">
      <c r="A3821" s="16" t="s">
        <v>16920</v>
      </c>
    </row>
    <row r="3822" spans="1:1" x14ac:dyDescent="0.25">
      <c r="A3822" s="16" t="s">
        <v>16921</v>
      </c>
    </row>
    <row r="3823" spans="1:1" x14ac:dyDescent="0.25">
      <c r="A3823" s="16" t="s">
        <v>16922</v>
      </c>
    </row>
    <row r="3824" spans="1:1" x14ac:dyDescent="0.25">
      <c r="A3824" s="16" t="s">
        <v>16923</v>
      </c>
    </row>
    <row r="3825" spans="1:1" x14ac:dyDescent="0.25">
      <c r="A3825" s="16" t="s">
        <v>16924</v>
      </c>
    </row>
    <row r="3826" spans="1:1" x14ac:dyDescent="0.25">
      <c r="A3826" s="16" t="s">
        <v>16925</v>
      </c>
    </row>
    <row r="3827" spans="1:1" x14ac:dyDescent="0.25">
      <c r="A3827" s="16" t="s">
        <v>16926</v>
      </c>
    </row>
    <row r="3828" spans="1:1" x14ac:dyDescent="0.25">
      <c r="A3828" s="16" t="s">
        <v>16927</v>
      </c>
    </row>
    <row r="3829" spans="1:1" x14ac:dyDescent="0.25">
      <c r="A3829" s="16" t="s">
        <v>16928</v>
      </c>
    </row>
    <row r="3830" spans="1:1" x14ac:dyDescent="0.25">
      <c r="A3830" s="16" t="s">
        <v>16929</v>
      </c>
    </row>
    <row r="3831" spans="1:1" x14ac:dyDescent="0.25">
      <c r="A3831" s="16" t="s">
        <v>16930</v>
      </c>
    </row>
    <row r="3832" spans="1:1" x14ac:dyDescent="0.25">
      <c r="A3832" s="16" t="s">
        <v>16931</v>
      </c>
    </row>
    <row r="3833" spans="1:1" x14ac:dyDescent="0.25">
      <c r="A3833" s="16" t="s">
        <v>16932</v>
      </c>
    </row>
    <row r="3834" spans="1:1" x14ac:dyDescent="0.25">
      <c r="A3834" s="16" t="s">
        <v>16933</v>
      </c>
    </row>
    <row r="3835" spans="1:1" x14ac:dyDescent="0.25">
      <c r="A3835" s="16" t="s">
        <v>16934</v>
      </c>
    </row>
    <row r="3836" spans="1:1" x14ac:dyDescent="0.25">
      <c r="A3836" s="16" t="s">
        <v>16935</v>
      </c>
    </row>
    <row r="3837" spans="1:1" x14ac:dyDescent="0.25">
      <c r="A3837" s="16" t="s">
        <v>16936</v>
      </c>
    </row>
    <row r="3838" spans="1:1" x14ac:dyDescent="0.25">
      <c r="A3838" s="16" t="s">
        <v>16937</v>
      </c>
    </row>
    <row r="3839" spans="1:1" x14ac:dyDescent="0.25">
      <c r="A3839" s="16" t="s">
        <v>16938</v>
      </c>
    </row>
    <row r="3840" spans="1:1" x14ac:dyDescent="0.25">
      <c r="A3840" s="16" t="s">
        <v>16939</v>
      </c>
    </row>
    <row r="3841" spans="1:1" x14ac:dyDescent="0.25">
      <c r="A3841" s="16" t="s">
        <v>16940</v>
      </c>
    </row>
    <row r="3842" spans="1:1" x14ac:dyDescent="0.25">
      <c r="A3842" s="16" t="s">
        <v>16941</v>
      </c>
    </row>
    <row r="3843" spans="1:1" x14ac:dyDescent="0.25">
      <c r="A3843" s="16" t="s">
        <v>16942</v>
      </c>
    </row>
    <row r="3844" spans="1:1" x14ac:dyDescent="0.25">
      <c r="A3844" s="16" t="s">
        <v>16943</v>
      </c>
    </row>
    <row r="3845" spans="1:1" x14ac:dyDescent="0.25">
      <c r="A3845" s="16" t="s">
        <v>16944</v>
      </c>
    </row>
    <row r="3846" spans="1:1" x14ac:dyDescent="0.25">
      <c r="A3846" s="16" t="s">
        <v>16945</v>
      </c>
    </row>
    <row r="3847" spans="1:1" x14ac:dyDescent="0.25">
      <c r="A3847" s="16" t="s">
        <v>16946</v>
      </c>
    </row>
    <row r="3848" spans="1:1" x14ac:dyDescent="0.25">
      <c r="A3848" s="16" t="s">
        <v>16947</v>
      </c>
    </row>
    <row r="3849" spans="1:1" x14ac:dyDescent="0.25">
      <c r="A3849" s="16" t="s">
        <v>16948</v>
      </c>
    </row>
    <row r="3850" spans="1:1" x14ac:dyDescent="0.25">
      <c r="A3850" s="16" t="s">
        <v>16949</v>
      </c>
    </row>
    <row r="3851" spans="1:1" x14ac:dyDescent="0.25">
      <c r="A3851" s="16" t="s">
        <v>16950</v>
      </c>
    </row>
    <row r="3852" spans="1:1" x14ac:dyDescent="0.25">
      <c r="A3852" s="16" t="s">
        <v>16951</v>
      </c>
    </row>
    <row r="3853" spans="1:1" x14ac:dyDescent="0.25">
      <c r="A3853" s="16" t="s">
        <v>16952</v>
      </c>
    </row>
    <row r="3854" spans="1:1" x14ac:dyDescent="0.25">
      <c r="A3854" s="16" t="s">
        <v>16953</v>
      </c>
    </row>
    <row r="3855" spans="1:1" x14ac:dyDescent="0.25">
      <c r="A3855" s="16" t="s">
        <v>16954</v>
      </c>
    </row>
    <row r="3856" spans="1:1" x14ac:dyDescent="0.25">
      <c r="A3856" s="16" t="s">
        <v>16955</v>
      </c>
    </row>
    <row r="3857" spans="1:1" x14ac:dyDescent="0.25">
      <c r="A3857" s="16" t="s">
        <v>16956</v>
      </c>
    </row>
    <row r="3858" spans="1:1" x14ac:dyDescent="0.25">
      <c r="A3858" s="16" t="s">
        <v>16957</v>
      </c>
    </row>
    <row r="3859" spans="1:1" x14ac:dyDescent="0.25">
      <c r="A3859" s="16" t="s">
        <v>16958</v>
      </c>
    </row>
    <row r="3860" spans="1:1" x14ac:dyDescent="0.25">
      <c r="A3860" s="16" t="s">
        <v>16959</v>
      </c>
    </row>
    <row r="3861" spans="1:1" x14ac:dyDescent="0.25">
      <c r="A3861" s="16" t="s">
        <v>16960</v>
      </c>
    </row>
    <row r="3862" spans="1:1" x14ac:dyDescent="0.25">
      <c r="A3862" s="16" t="s">
        <v>16961</v>
      </c>
    </row>
    <row r="3863" spans="1:1" x14ac:dyDescent="0.25">
      <c r="A3863" s="16" t="s">
        <v>16962</v>
      </c>
    </row>
    <row r="3864" spans="1:1" x14ac:dyDescent="0.25">
      <c r="A3864" s="16" t="s">
        <v>16963</v>
      </c>
    </row>
    <row r="3865" spans="1:1" x14ac:dyDescent="0.25">
      <c r="A3865" s="16" t="s">
        <v>16964</v>
      </c>
    </row>
    <row r="3866" spans="1:1" x14ac:dyDescent="0.25">
      <c r="A3866" s="16" t="s">
        <v>16965</v>
      </c>
    </row>
    <row r="3867" spans="1:1" x14ac:dyDescent="0.25">
      <c r="A3867" s="16" t="s">
        <v>16966</v>
      </c>
    </row>
    <row r="3868" spans="1:1" x14ac:dyDescent="0.25">
      <c r="A3868" s="16" t="s">
        <v>16967</v>
      </c>
    </row>
    <row r="3869" spans="1:1" x14ac:dyDescent="0.25">
      <c r="A3869" s="16" t="s">
        <v>16968</v>
      </c>
    </row>
    <row r="3870" spans="1:1" x14ac:dyDescent="0.25">
      <c r="A3870" s="16" t="s">
        <v>16969</v>
      </c>
    </row>
    <row r="3871" spans="1:1" x14ac:dyDescent="0.25">
      <c r="A3871" s="16" t="s">
        <v>16970</v>
      </c>
    </row>
    <row r="3872" spans="1:1" x14ac:dyDescent="0.25">
      <c r="A3872" s="16" t="s">
        <v>16971</v>
      </c>
    </row>
    <row r="3873" spans="1:1" x14ac:dyDescent="0.25">
      <c r="A3873" s="16" t="s">
        <v>16972</v>
      </c>
    </row>
    <row r="3874" spans="1:1" x14ac:dyDescent="0.25">
      <c r="A3874" s="16" t="s">
        <v>16973</v>
      </c>
    </row>
    <row r="3875" spans="1:1" x14ac:dyDescent="0.25">
      <c r="A3875" s="16" t="s">
        <v>16974</v>
      </c>
    </row>
    <row r="3876" spans="1:1" x14ac:dyDescent="0.25">
      <c r="A3876" s="16" t="s">
        <v>16975</v>
      </c>
    </row>
    <row r="3877" spans="1:1" x14ac:dyDescent="0.25">
      <c r="A3877" s="16" t="s">
        <v>16976</v>
      </c>
    </row>
    <row r="3878" spans="1:1" x14ac:dyDescent="0.25">
      <c r="A3878" s="16" t="s">
        <v>16977</v>
      </c>
    </row>
    <row r="3879" spans="1:1" x14ac:dyDescent="0.25">
      <c r="A3879" s="16" t="s">
        <v>16978</v>
      </c>
    </row>
    <row r="3880" spans="1:1" x14ac:dyDescent="0.25">
      <c r="A3880" s="16" t="s">
        <v>16979</v>
      </c>
    </row>
    <row r="3881" spans="1:1" x14ac:dyDescent="0.25">
      <c r="A3881" s="16" t="s">
        <v>16980</v>
      </c>
    </row>
    <row r="3882" spans="1:1" x14ac:dyDescent="0.25">
      <c r="A3882" s="16" t="s">
        <v>16981</v>
      </c>
    </row>
    <row r="3883" spans="1:1" x14ac:dyDescent="0.25">
      <c r="A3883" s="16" t="s">
        <v>16982</v>
      </c>
    </row>
    <row r="3884" spans="1:1" x14ac:dyDescent="0.25">
      <c r="A3884" s="16" t="s">
        <v>16983</v>
      </c>
    </row>
    <row r="3885" spans="1:1" x14ac:dyDescent="0.25">
      <c r="A3885" s="16" t="s">
        <v>16984</v>
      </c>
    </row>
    <row r="3886" spans="1:1" x14ac:dyDescent="0.25">
      <c r="A3886" s="16" t="s">
        <v>16985</v>
      </c>
    </row>
    <row r="3887" spans="1:1" x14ac:dyDescent="0.25">
      <c r="A3887" s="16" t="s">
        <v>16986</v>
      </c>
    </row>
    <row r="3888" spans="1:1" x14ac:dyDescent="0.25">
      <c r="A3888" s="16" t="s">
        <v>16987</v>
      </c>
    </row>
    <row r="3889" spans="1:1" x14ac:dyDescent="0.25">
      <c r="A3889" s="16" t="s">
        <v>16988</v>
      </c>
    </row>
    <row r="3890" spans="1:1" x14ac:dyDescent="0.25">
      <c r="A3890" s="16" t="s">
        <v>16989</v>
      </c>
    </row>
    <row r="3891" spans="1:1" x14ac:dyDescent="0.25">
      <c r="A3891" s="16" t="s">
        <v>16990</v>
      </c>
    </row>
    <row r="3892" spans="1:1" x14ac:dyDescent="0.25">
      <c r="A3892" s="16" t="s">
        <v>16991</v>
      </c>
    </row>
    <row r="3893" spans="1:1" x14ac:dyDescent="0.25">
      <c r="A3893" s="16" t="s">
        <v>16992</v>
      </c>
    </row>
    <row r="3894" spans="1:1" x14ac:dyDescent="0.25">
      <c r="A3894" s="16" t="s">
        <v>16993</v>
      </c>
    </row>
    <row r="3895" spans="1:1" x14ac:dyDescent="0.25">
      <c r="A3895" s="16" t="s">
        <v>16994</v>
      </c>
    </row>
    <row r="3896" spans="1:1" x14ac:dyDescent="0.25">
      <c r="A3896" s="16" t="s">
        <v>16995</v>
      </c>
    </row>
    <row r="3897" spans="1:1" x14ac:dyDescent="0.25">
      <c r="A3897" s="16" t="s">
        <v>16996</v>
      </c>
    </row>
    <row r="3898" spans="1:1" x14ac:dyDescent="0.25">
      <c r="A3898" s="16" t="s">
        <v>16997</v>
      </c>
    </row>
    <row r="3899" spans="1:1" x14ac:dyDescent="0.25">
      <c r="A3899" s="16" t="s">
        <v>16998</v>
      </c>
    </row>
    <row r="3900" spans="1:1" x14ac:dyDescent="0.25">
      <c r="A3900" s="16" t="s">
        <v>16999</v>
      </c>
    </row>
    <row r="3901" spans="1:1" x14ac:dyDescent="0.25">
      <c r="A3901" s="16" t="s">
        <v>17000</v>
      </c>
    </row>
    <row r="3902" spans="1:1" x14ac:dyDescent="0.25">
      <c r="A3902" s="16" t="s">
        <v>17001</v>
      </c>
    </row>
    <row r="3903" spans="1:1" x14ac:dyDescent="0.25">
      <c r="A3903" s="16" t="s">
        <v>17002</v>
      </c>
    </row>
    <row r="3904" spans="1:1" x14ac:dyDescent="0.25">
      <c r="A3904" s="16" t="s">
        <v>17003</v>
      </c>
    </row>
    <row r="3905" spans="1:1" x14ac:dyDescent="0.25">
      <c r="A3905" s="16" t="s">
        <v>17004</v>
      </c>
    </row>
    <row r="3906" spans="1:1" x14ac:dyDescent="0.25">
      <c r="A3906" s="16" t="s">
        <v>17005</v>
      </c>
    </row>
    <row r="3907" spans="1:1" x14ac:dyDescent="0.25">
      <c r="A3907" s="16" t="s">
        <v>17006</v>
      </c>
    </row>
    <row r="3908" spans="1:1" x14ac:dyDescent="0.25">
      <c r="A3908" s="16" t="s">
        <v>17007</v>
      </c>
    </row>
    <row r="3909" spans="1:1" x14ac:dyDescent="0.25">
      <c r="A3909" s="16" t="s">
        <v>17008</v>
      </c>
    </row>
    <row r="3910" spans="1:1" x14ac:dyDescent="0.25">
      <c r="A3910" s="16" t="s">
        <v>17009</v>
      </c>
    </row>
    <row r="3911" spans="1:1" x14ac:dyDescent="0.25">
      <c r="A3911" s="16" t="s">
        <v>17010</v>
      </c>
    </row>
    <row r="3912" spans="1:1" x14ac:dyDescent="0.25">
      <c r="A3912" s="16" t="s">
        <v>17011</v>
      </c>
    </row>
    <row r="3913" spans="1:1" x14ac:dyDescent="0.25">
      <c r="A3913" s="16" t="s">
        <v>17012</v>
      </c>
    </row>
    <row r="3914" spans="1:1" x14ac:dyDescent="0.25">
      <c r="A3914" s="16" t="s">
        <v>17013</v>
      </c>
    </row>
    <row r="3915" spans="1:1" x14ac:dyDescent="0.25">
      <c r="A3915" s="16" t="s">
        <v>17014</v>
      </c>
    </row>
    <row r="3916" spans="1:1" x14ac:dyDescent="0.25">
      <c r="A3916" s="16" t="s">
        <v>17015</v>
      </c>
    </row>
    <row r="3917" spans="1:1" x14ac:dyDescent="0.25">
      <c r="A3917" s="16" t="s">
        <v>17016</v>
      </c>
    </row>
    <row r="3918" spans="1:1" x14ac:dyDescent="0.25">
      <c r="A3918" s="16" t="s">
        <v>17017</v>
      </c>
    </row>
    <row r="3919" spans="1:1" x14ac:dyDescent="0.25">
      <c r="A3919" s="16" t="s">
        <v>17018</v>
      </c>
    </row>
    <row r="3920" spans="1:1" x14ac:dyDescent="0.25">
      <c r="A3920" s="16" t="s">
        <v>17019</v>
      </c>
    </row>
    <row r="3921" spans="1:1" x14ac:dyDescent="0.25">
      <c r="A3921" s="16" t="s">
        <v>17020</v>
      </c>
    </row>
    <row r="3922" spans="1:1" x14ac:dyDescent="0.25">
      <c r="A3922" s="16" t="s">
        <v>17021</v>
      </c>
    </row>
    <row r="3923" spans="1:1" x14ac:dyDescent="0.25">
      <c r="A3923" s="16" t="s">
        <v>17022</v>
      </c>
    </row>
    <row r="3924" spans="1:1" x14ac:dyDescent="0.25">
      <c r="A3924" s="16" t="s">
        <v>17023</v>
      </c>
    </row>
    <row r="3925" spans="1:1" x14ac:dyDescent="0.25">
      <c r="A3925" s="16" t="s">
        <v>17024</v>
      </c>
    </row>
    <row r="3926" spans="1:1" x14ac:dyDescent="0.25">
      <c r="A3926" s="16" t="s">
        <v>17025</v>
      </c>
    </row>
    <row r="3927" spans="1:1" x14ac:dyDescent="0.25">
      <c r="A3927" s="16" t="s">
        <v>17026</v>
      </c>
    </row>
    <row r="3928" spans="1:1" x14ac:dyDescent="0.25">
      <c r="A3928" s="16" t="s">
        <v>17027</v>
      </c>
    </row>
    <row r="3929" spans="1:1" x14ac:dyDescent="0.25">
      <c r="A3929" s="16" t="s">
        <v>17028</v>
      </c>
    </row>
    <row r="3930" spans="1:1" x14ac:dyDescent="0.25">
      <c r="A3930" s="16" t="s">
        <v>17029</v>
      </c>
    </row>
    <row r="3931" spans="1:1" x14ac:dyDescent="0.25">
      <c r="A3931" s="16" t="s">
        <v>17030</v>
      </c>
    </row>
    <row r="3932" spans="1:1" x14ac:dyDescent="0.25">
      <c r="A3932" s="16" t="s">
        <v>17031</v>
      </c>
    </row>
    <row r="3933" spans="1:1" x14ac:dyDescent="0.25">
      <c r="A3933" s="16" t="s">
        <v>17032</v>
      </c>
    </row>
    <row r="3934" spans="1:1" x14ac:dyDescent="0.25">
      <c r="A3934" s="16" t="s">
        <v>17033</v>
      </c>
    </row>
    <row r="3935" spans="1:1" x14ac:dyDescent="0.25">
      <c r="A3935" s="16" t="s">
        <v>17034</v>
      </c>
    </row>
    <row r="3936" spans="1:1" x14ac:dyDescent="0.25">
      <c r="A3936" s="16" t="s">
        <v>17035</v>
      </c>
    </row>
    <row r="3937" spans="1:1" x14ac:dyDescent="0.25">
      <c r="A3937" s="16" t="s">
        <v>17036</v>
      </c>
    </row>
    <row r="3938" spans="1:1" x14ac:dyDescent="0.25">
      <c r="A3938" s="16" t="s">
        <v>17037</v>
      </c>
    </row>
    <row r="3939" spans="1:1" x14ac:dyDescent="0.25">
      <c r="A3939" s="16" t="s">
        <v>17038</v>
      </c>
    </row>
    <row r="3940" spans="1:1" x14ac:dyDescent="0.25">
      <c r="A3940" s="16" t="s">
        <v>17039</v>
      </c>
    </row>
    <row r="3941" spans="1:1" x14ac:dyDescent="0.25">
      <c r="A3941" s="16" t="s">
        <v>17040</v>
      </c>
    </row>
    <row r="3942" spans="1:1" x14ac:dyDescent="0.25">
      <c r="A3942" s="16" t="s">
        <v>17041</v>
      </c>
    </row>
    <row r="3943" spans="1:1" x14ac:dyDescent="0.25">
      <c r="A3943" s="16" t="s">
        <v>17042</v>
      </c>
    </row>
    <row r="3944" spans="1:1" x14ac:dyDescent="0.25">
      <c r="A3944" s="16" t="s">
        <v>17043</v>
      </c>
    </row>
    <row r="3945" spans="1:1" x14ac:dyDescent="0.25">
      <c r="A3945" s="16" t="s">
        <v>17044</v>
      </c>
    </row>
    <row r="3946" spans="1:1" x14ac:dyDescent="0.25">
      <c r="A3946" s="16" t="s">
        <v>17045</v>
      </c>
    </row>
    <row r="3947" spans="1:1" x14ac:dyDescent="0.25">
      <c r="A3947" s="16" t="s">
        <v>17046</v>
      </c>
    </row>
    <row r="3948" spans="1:1" x14ac:dyDescent="0.25">
      <c r="A3948" s="16" t="s">
        <v>17047</v>
      </c>
    </row>
    <row r="3949" spans="1:1" x14ac:dyDescent="0.25">
      <c r="A3949" s="16" t="s">
        <v>17048</v>
      </c>
    </row>
    <row r="3950" spans="1:1" x14ac:dyDescent="0.25">
      <c r="A3950" s="16" t="s">
        <v>17049</v>
      </c>
    </row>
    <row r="3951" spans="1:1" x14ac:dyDescent="0.25">
      <c r="A3951" s="16" t="s">
        <v>17050</v>
      </c>
    </row>
    <row r="3952" spans="1:1" x14ac:dyDescent="0.25">
      <c r="A3952" s="16" t="s">
        <v>17051</v>
      </c>
    </row>
    <row r="3953" spans="1:1" x14ac:dyDescent="0.25">
      <c r="A3953" s="16" t="s">
        <v>17052</v>
      </c>
    </row>
    <row r="3954" spans="1:1" x14ac:dyDescent="0.25">
      <c r="A3954" s="16" t="s">
        <v>17053</v>
      </c>
    </row>
    <row r="3955" spans="1:1" x14ac:dyDescent="0.25">
      <c r="A3955" s="16" t="s">
        <v>17054</v>
      </c>
    </row>
    <row r="3956" spans="1:1" x14ac:dyDescent="0.25">
      <c r="A3956" s="16" t="s">
        <v>17055</v>
      </c>
    </row>
    <row r="3957" spans="1:1" x14ac:dyDescent="0.25">
      <c r="A3957" s="16" t="s">
        <v>17056</v>
      </c>
    </row>
    <row r="3958" spans="1:1" x14ac:dyDescent="0.25">
      <c r="A3958" s="16" t="s">
        <v>17057</v>
      </c>
    </row>
    <row r="3959" spans="1:1" x14ac:dyDescent="0.25">
      <c r="A3959" s="16" t="s">
        <v>17058</v>
      </c>
    </row>
    <row r="3960" spans="1:1" x14ac:dyDescent="0.25">
      <c r="A3960" s="16" t="s">
        <v>17059</v>
      </c>
    </row>
    <row r="3961" spans="1:1" x14ac:dyDescent="0.25">
      <c r="A3961" s="16" t="s">
        <v>17060</v>
      </c>
    </row>
    <row r="3962" spans="1:1" x14ac:dyDescent="0.25">
      <c r="A3962" s="16" t="s">
        <v>17061</v>
      </c>
    </row>
    <row r="3963" spans="1:1" x14ac:dyDescent="0.25">
      <c r="A3963" s="16" t="s">
        <v>17062</v>
      </c>
    </row>
    <row r="3964" spans="1:1" x14ac:dyDescent="0.25">
      <c r="A3964" s="16" t="s">
        <v>17063</v>
      </c>
    </row>
    <row r="3965" spans="1:1" x14ac:dyDescent="0.25">
      <c r="A3965" s="16" t="s">
        <v>17064</v>
      </c>
    </row>
    <row r="3966" spans="1:1" x14ac:dyDescent="0.25">
      <c r="A3966" s="16" t="s">
        <v>17065</v>
      </c>
    </row>
    <row r="3967" spans="1:1" x14ac:dyDescent="0.25">
      <c r="A3967" s="16" t="s">
        <v>17066</v>
      </c>
    </row>
    <row r="3968" spans="1:1" x14ac:dyDescent="0.25">
      <c r="A3968" s="16" t="s">
        <v>17067</v>
      </c>
    </row>
    <row r="3969" spans="1:1" x14ac:dyDescent="0.25">
      <c r="A3969" s="16" t="s">
        <v>17068</v>
      </c>
    </row>
    <row r="3970" spans="1:1" x14ac:dyDescent="0.25">
      <c r="A3970" s="16" t="s">
        <v>17069</v>
      </c>
    </row>
    <row r="3971" spans="1:1" x14ac:dyDescent="0.25">
      <c r="A3971" s="16" t="s">
        <v>17070</v>
      </c>
    </row>
    <row r="3972" spans="1:1" x14ac:dyDescent="0.25">
      <c r="A3972" s="16" t="s">
        <v>17071</v>
      </c>
    </row>
    <row r="3973" spans="1:1" x14ac:dyDescent="0.25">
      <c r="A3973" s="16" t="s">
        <v>17072</v>
      </c>
    </row>
    <row r="3974" spans="1:1" x14ac:dyDescent="0.25">
      <c r="A3974" s="16" t="s">
        <v>17073</v>
      </c>
    </row>
    <row r="3975" spans="1:1" x14ac:dyDescent="0.25">
      <c r="A3975" s="16" t="s">
        <v>17074</v>
      </c>
    </row>
    <row r="3976" spans="1:1" x14ac:dyDescent="0.25">
      <c r="A3976" s="16" t="s">
        <v>17075</v>
      </c>
    </row>
    <row r="3977" spans="1:1" x14ac:dyDescent="0.25">
      <c r="A3977" s="16" t="s">
        <v>17076</v>
      </c>
    </row>
    <row r="3978" spans="1:1" x14ac:dyDescent="0.25">
      <c r="A3978" s="16" t="s">
        <v>17077</v>
      </c>
    </row>
    <row r="3979" spans="1:1" x14ac:dyDescent="0.25">
      <c r="A3979" s="16" t="s">
        <v>17078</v>
      </c>
    </row>
    <row r="3980" spans="1:1" x14ac:dyDescent="0.25">
      <c r="A3980" s="16" t="s">
        <v>17079</v>
      </c>
    </row>
    <row r="3981" spans="1:1" x14ac:dyDescent="0.25">
      <c r="A3981" s="16" t="s">
        <v>17080</v>
      </c>
    </row>
    <row r="3982" spans="1:1" x14ac:dyDescent="0.25">
      <c r="A3982" s="16" t="s">
        <v>17081</v>
      </c>
    </row>
    <row r="3983" spans="1:1" x14ac:dyDescent="0.25">
      <c r="A3983" s="16" t="s">
        <v>17082</v>
      </c>
    </row>
    <row r="3984" spans="1:1" x14ac:dyDescent="0.25">
      <c r="A3984" s="16" t="s">
        <v>17083</v>
      </c>
    </row>
    <row r="3985" spans="1:1" x14ac:dyDescent="0.25">
      <c r="A3985" s="16" t="s">
        <v>17084</v>
      </c>
    </row>
    <row r="3986" spans="1:1" x14ac:dyDescent="0.25">
      <c r="A3986" s="16" t="s">
        <v>17085</v>
      </c>
    </row>
    <row r="3987" spans="1:1" x14ac:dyDescent="0.25">
      <c r="A3987" s="16" t="s">
        <v>17086</v>
      </c>
    </row>
    <row r="3988" spans="1:1" x14ac:dyDescent="0.25">
      <c r="A3988" s="16" t="s">
        <v>17087</v>
      </c>
    </row>
    <row r="3989" spans="1:1" x14ac:dyDescent="0.25">
      <c r="A3989" s="16" t="s">
        <v>17088</v>
      </c>
    </row>
    <row r="3990" spans="1:1" x14ac:dyDescent="0.25">
      <c r="A3990" s="16" t="s">
        <v>17089</v>
      </c>
    </row>
    <row r="3991" spans="1:1" x14ac:dyDescent="0.25">
      <c r="A3991" s="16" t="s">
        <v>17090</v>
      </c>
    </row>
    <row r="3992" spans="1:1" x14ac:dyDescent="0.25">
      <c r="A3992" s="16" t="s">
        <v>17091</v>
      </c>
    </row>
    <row r="3993" spans="1:1" x14ac:dyDescent="0.25">
      <c r="A3993" s="16" t="s">
        <v>17092</v>
      </c>
    </row>
    <row r="3994" spans="1:1" x14ac:dyDescent="0.25">
      <c r="A3994" s="16" t="s">
        <v>17093</v>
      </c>
    </row>
    <row r="3995" spans="1:1" x14ac:dyDescent="0.25">
      <c r="A3995" s="16" t="s">
        <v>17094</v>
      </c>
    </row>
    <row r="3996" spans="1:1" x14ac:dyDescent="0.25">
      <c r="A3996" s="16" t="s">
        <v>17095</v>
      </c>
    </row>
    <row r="3997" spans="1:1" x14ac:dyDescent="0.25">
      <c r="A3997" s="16" t="s">
        <v>17096</v>
      </c>
    </row>
    <row r="3998" spans="1:1" x14ac:dyDescent="0.25">
      <c r="A3998" s="16" t="s">
        <v>17097</v>
      </c>
    </row>
    <row r="3999" spans="1:1" x14ac:dyDescent="0.25">
      <c r="A3999" s="16" t="s">
        <v>17098</v>
      </c>
    </row>
    <row r="4000" spans="1:1" x14ac:dyDescent="0.25">
      <c r="A4000" s="16" t="s">
        <v>17099</v>
      </c>
    </row>
    <row r="4001" spans="1:1" x14ac:dyDescent="0.25">
      <c r="A4001" s="16" t="s">
        <v>17100</v>
      </c>
    </row>
    <row r="4002" spans="1:1" x14ac:dyDescent="0.25">
      <c r="A4002" s="16" t="s">
        <v>17101</v>
      </c>
    </row>
    <row r="4003" spans="1:1" x14ac:dyDescent="0.25">
      <c r="A4003" s="16" t="s">
        <v>17102</v>
      </c>
    </row>
    <row r="4004" spans="1:1" x14ac:dyDescent="0.25">
      <c r="A4004" s="16" t="s">
        <v>17103</v>
      </c>
    </row>
    <row r="4005" spans="1:1" x14ac:dyDescent="0.25">
      <c r="A4005" s="16" t="s">
        <v>17104</v>
      </c>
    </row>
    <row r="4006" spans="1:1" x14ac:dyDescent="0.25">
      <c r="A4006" s="16" t="s">
        <v>17105</v>
      </c>
    </row>
    <row r="4007" spans="1:1" x14ac:dyDescent="0.25">
      <c r="A4007" s="16" t="s">
        <v>17106</v>
      </c>
    </row>
    <row r="4008" spans="1:1" x14ac:dyDescent="0.25">
      <c r="A4008" s="16" t="s">
        <v>17107</v>
      </c>
    </row>
    <row r="4009" spans="1:1" x14ac:dyDescent="0.25">
      <c r="A4009" s="16" t="s">
        <v>17108</v>
      </c>
    </row>
    <row r="4010" spans="1:1" x14ac:dyDescent="0.25">
      <c r="A4010" s="16" t="s">
        <v>17109</v>
      </c>
    </row>
    <row r="4011" spans="1:1" x14ac:dyDescent="0.25">
      <c r="A4011" s="16" t="s">
        <v>17110</v>
      </c>
    </row>
    <row r="4012" spans="1:1" x14ac:dyDescent="0.25">
      <c r="A4012" s="16" t="s">
        <v>17111</v>
      </c>
    </row>
    <row r="4013" spans="1:1" x14ac:dyDescent="0.25">
      <c r="A4013" s="16" t="s">
        <v>17112</v>
      </c>
    </row>
    <row r="4014" spans="1:1" x14ac:dyDescent="0.25">
      <c r="A4014" s="16" t="s">
        <v>17113</v>
      </c>
    </row>
    <row r="4015" spans="1:1" x14ac:dyDescent="0.25">
      <c r="A4015" s="16" t="s">
        <v>17114</v>
      </c>
    </row>
    <row r="4016" spans="1:1" x14ac:dyDescent="0.25">
      <c r="A4016" s="16" t="s">
        <v>17115</v>
      </c>
    </row>
    <row r="4017" spans="1:1" x14ac:dyDescent="0.25">
      <c r="A4017" s="16" t="s">
        <v>17116</v>
      </c>
    </row>
    <row r="4018" spans="1:1" x14ac:dyDescent="0.25">
      <c r="A4018" s="16" t="s">
        <v>17117</v>
      </c>
    </row>
    <row r="4019" spans="1:1" x14ac:dyDescent="0.25">
      <c r="A4019" s="16" t="s">
        <v>17118</v>
      </c>
    </row>
    <row r="4020" spans="1:1" x14ac:dyDescent="0.25">
      <c r="A4020" s="16" t="s">
        <v>17119</v>
      </c>
    </row>
    <row r="4021" spans="1:1" x14ac:dyDescent="0.25">
      <c r="A4021" s="16" t="s">
        <v>17120</v>
      </c>
    </row>
    <row r="4022" spans="1:1" x14ac:dyDescent="0.25">
      <c r="A4022" s="16" t="s">
        <v>17121</v>
      </c>
    </row>
    <row r="4023" spans="1:1" x14ac:dyDescent="0.25">
      <c r="A4023" s="16" t="s">
        <v>17122</v>
      </c>
    </row>
    <row r="4024" spans="1:1" x14ac:dyDescent="0.25">
      <c r="A4024" s="16" t="s">
        <v>17123</v>
      </c>
    </row>
    <row r="4025" spans="1:1" x14ac:dyDescent="0.25">
      <c r="A4025" s="16" t="s">
        <v>17124</v>
      </c>
    </row>
    <row r="4026" spans="1:1" x14ac:dyDescent="0.25">
      <c r="A4026" s="16" t="s">
        <v>17125</v>
      </c>
    </row>
    <row r="4027" spans="1:1" x14ac:dyDescent="0.25">
      <c r="A4027" s="16" t="s">
        <v>17126</v>
      </c>
    </row>
    <row r="4028" spans="1:1" x14ac:dyDescent="0.25">
      <c r="A4028" s="16" t="s">
        <v>17127</v>
      </c>
    </row>
    <row r="4029" spans="1:1" x14ac:dyDescent="0.25">
      <c r="A4029" s="16" t="s">
        <v>17128</v>
      </c>
    </row>
    <row r="4030" spans="1:1" x14ac:dyDescent="0.25">
      <c r="A4030" s="16" t="s">
        <v>17129</v>
      </c>
    </row>
    <row r="4031" spans="1:1" x14ac:dyDescent="0.25">
      <c r="A4031" s="16" t="s">
        <v>17130</v>
      </c>
    </row>
    <row r="4032" spans="1:1" x14ac:dyDescent="0.25">
      <c r="A4032" s="16" t="s">
        <v>17131</v>
      </c>
    </row>
    <row r="4033" spans="1:1" x14ac:dyDescent="0.25">
      <c r="A4033" s="16" t="s">
        <v>17132</v>
      </c>
    </row>
    <row r="4034" spans="1:1" x14ac:dyDescent="0.25">
      <c r="A4034" s="16" t="s">
        <v>17133</v>
      </c>
    </row>
    <row r="4035" spans="1:1" x14ac:dyDescent="0.25">
      <c r="A4035" s="16" t="s">
        <v>17134</v>
      </c>
    </row>
    <row r="4036" spans="1:1" x14ac:dyDescent="0.25">
      <c r="A4036" s="16" t="s">
        <v>17135</v>
      </c>
    </row>
    <row r="4037" spans="1:1" x14ac:dyDescent="0.25">
      <c r="A4037" s="16" t="s">
        <v>17136</v>
      </c>
    </row>
    <row r="4038" spans="1:1" x14ac:dyDescent="0.25">
      <c r="A4038" s="16" t="s">
        <v>17137</v>
      </c>
    </row>
    <row r="4039" spans="1:1" x14ac:dyDescent="0.25">
      <c r="A4039" s="16" t="s">
        <v>17138</v>
      </c>
    </row>
    <row r="4040" spans="1:1" x14ac:dyDescent="0.25">
      <c r="A4040" s="16" t="s">
        <v>17139</v>
      </c>
    </row>
    <row r="4041" spans="1:1" x14ac:dyDescent="0.25">
      <c r="A4041" s="16" t="s">
        <v>17140</v>
      </c>
    </row>
    <row r="4042" spans="1:1" x14ac:dyDescent="0.25">
      <c r="A4042" s="16" t="s">
        <v>17141</v>
      </c>
    </row>
    <row r="4043" spans="1:1" x14ac:dyDescent="0.25">
      <c r="A4043" s="16" t="s">
        <v>17142</v>
      </c>
    </row>
    <row r="4044" spans="1:1" x14ac:dyDescent="0.25">
      <c r="A4044" s="16" t="s">
        <v>17143</v>
      </c>
    </row>
    <row r="4045" spans="1:1" x14ac:dyDescent="0.25">
      <c r="A4045" s="16" t="s">
        <v>17144</v>
      </c>
    </row>
    <row r="4046" spans="1:1" x14ac:dyDescent="0.25">
      <c r="A4046" s="16" t="s">
        <v>17145</v>
      </c>
    </row>
    <row r="4047" spans="1:1" x14ac:dyDescent="0.25">
      <c r="A4047" s="16" t="s">
        <v>17146</v>
      </c>
    </row>
    <row r="4048" spans="1:1" x14ac:dyDescent="0.25">
      <c r="A4048" s="16" t="s">
        <v>17147</v>
      </c>
    </row>
    <row r="4049" spans="1:1" x14ac:dyDescent="0.25">
      <c r="A4049" s="16" t="s">
        <v>17148</v>
      </c>
    </row>
    <row r="4050" spans="1:1" x14ac:dyDescent="0.25">
      <c r="A4050" s="16" t="s">
        <v>17149</v>
      </c>
    </row>
    <row r="4051" spans="1:1" x14ac:dyDescent="0.25">
      <c r="A4051" s="16" t="s">
        <v>17150</v>
      </c>
    </row>
    <row r="4052" spans="1:1" x14ac:dyDescent="0.25">
      <c r="A4052" s="16" t="s">
        <v>17151</v>
      </c>
    </row>
    <row r="4053" spans="1:1" x14ac:dyDescent="0.25">
      <c r="A4053" s="16" t="s">
        <v>17152</v>
      </c>
    </row>
    <row r="4054" spans="1:1" x14ac:dyDescent="0.25">
      <c r="A4054" s="16" t="s">
        <v>17153</v>
      </c>
    </row>
    <row r="4055" spans="1:1" x14ac:dyDescent="0.25">
      <c r="A4055" s="16" t="s">
        <v>17154</v>
      </c>
    </row>
    <row r="4056" spans="1:1" x14ac:dyDescent="0.25">
      <c r="A4056" s="16" t="s">
        <v>17155</v>
      </c>
    </row>
    <row r="4057" spans="1:1" x14ac:dyDescent="0.25">
      <c r="A4057" s="16" t="s">
        <v>17156</v>
      </c>
    </row>
    <row r="4058" spans="1:1" x14ac:dyDescent="0.25">
      <c r="A4058" s="16" t="s">
        <v>17157</v>
      </c>
    </row>
    <row r="4059" spans="1:1" x14ac:dyDescent="0.25">
      <c r="A4059" s="16" t="s">
        <v>17158</v>
      </c>
    </row>
    <row r="4060" spans="1:1" x14ac:dyDescent="0.25">
      <c r="A4060" s="16" t="s">
        <v>17159</v>
      </c>
    </row>
    <row r="4061" spans="1:1" x14ac:dyDescent="0.25">
      <c r="A4061" s="16" t="s">
        <v>17160</v>
      </c>
    </row>
    <row r="4062" spans="1:1" x14ac:dyDescent="0.25">
      <c r="A4062" s="16" t="s">
        <v>17161</v>
      </c>
    </row>
    <row r="4063" spans="1:1" x14ac:dyDescent="0.25">
      <c r="A4063" s="16" t="s">
        <v>17162</v>
      </c>
    </row>
    <row r="4064" spans="1:1" x14ac:dyDescent="0.25">
      <c r="A4064" s="16" t="s">
        <v>17163</v>
      </c>
    </row>
    <row r="4065" spans="1:1" x14ac:dyDescent="0.25">
      <c r="A4065" s="16" t="s">
        <v>17164</v>
      </c>
    </row>
    <row r="4066" spans="1:1" x14ac:dyDescent="0.25">
      <c r="A4066" s="16" t="s">
        <v>17165</v>
      </c>
    </row>
    <row r="4067" spans="1:1" x14ac:dyDescent="0.25">
      <c r="A4067" s="16" t="s">
        <v>17166</v>
      </c>
    </row>
    <row r="4068" spans="1:1" x14ac:dyDescent="0.25">
      <c r="A4068" s="16" t="s">
        <v>17167</v>
      </c>
    </row>
    <row r="4069" spans="1:1" x14ac:dyDescent="0.25">
      <c r="A4069" s="16" t="s">
        <v>17168</v>
      </c>
    </row>
    <row r="4070" spans="1:1" x14ac:dyDescent="0.25">
      <c r="A4070" s="16" t="s">
        <v>17169</v>
      </c>
    </row>
    <row r="4071" spans="1:1" x14ac:dyDescent="0.25">
      <c r="A4071" s="16" t="s">
        <v>17170</v>
      </c>
    </row>
    <row r="4072" spans="1:1" x14ac:dyDescent="0.25">
      <c r="A4072" s="16" t="s">
        <v>17171</v>
      </c>
    </row>
    <row r="4073" spans="1:1" x14ac:dyDescent="0.25">
      <c r="A4073" s="16" t="s">
        <v>17172</v>
      </c>
    </row>
    <row r="4074" spans="1:1" x14ac:dyDescent="0.25">
      <c r="A4074" s="16" t="s">
        <v>17173</v>
      </c>
    </row>
    <row r="4075" spans="1:1" x14ac:dyDescent="0.25">
      <c r="A4075" s="16" t="s">
        <v>17174</v>
      </c>
    </row>
    <row r="4076" spans="1:1" x14ac:dyDescent="0.25">
      <c r="A4076" s="16" t="s">
        <v>17175</v>
      </c>
    </row>
    <row r="4077" spans="1:1" x14ac:dyDescent="0.25">
      <c r="A4077" s="16" t="s">
        <v>17176</v>
      </c>
    </row>
    <row r="4078" spans="1:1" x14ac:dyDescent="0.25">
      <c r="A4078" s="16" t="s">
        <v>17177</v>
      </c>
    </row>
    <row r="4079" spans="1:1" x14ac:dyDescent="0.25">
      <c r="A4079" s="16" t="s">
        <v>17178</v>
      </c>
    </row>
    <row r="4080" spans="1:1" x14ac:dyDescent="0.25">
      <c r="A4080" s="16" t="s">
        <v>17179</v>
      </c>
    </row>
    <row r="4081" spans="1:1" x14ac:dyDescent="0.25">
      <c r="A4081" s="16" t="s">
        <v>17180</v>
      </c>
    </row>
    <row r="4082" spans="1:1" x14ac:dyDescent="0.25">
      <c r="A4082" s="16" t="s">
        <v>17181</v>
      </c>
    </row>
    <row r="4083" spans="1:1" x14ac:dyDescent="0.25">
      <c r="A4083" s="16" t="s">
        <v>17182</v>
      </c>
    </row>
    <row r="4084" spans="1:1" x14ac:dyDescent="0.25">
      <c r="A4084" s="16" t="s">
        <v>17183</v>
      </c>
    </row>
    <row r="4085" spans="1:1" x14ac:dyDescent="0.25">
      <c r="A4085" s="16" t="s">
        <v>17184</v>
      </c>
    </row>
    <row r="4086" spans="1:1" x14ac:dyDescent="0.25">
      <c r="A4086" s="16" t="s">
        <v>17185</v>
      </c>
    </row>
    <row r="4087" spans="1:1" x14ac:dyDescent="0.25">
      <c r="A4087" s="16" t="s">
        <v>17186</v>
      </c>
    </row>
    <row r="4088" spans="1:1" x14ac:dyDescent="0.25">
      <c r="A4088" s="16" t="s">
        <v>17187</v>
      </c>
    </row>
    <row r="4089" spans="1:1" x14ac:dyDescent="0.25">
      <c r="A4089" s="16" t="s">
        <v>17188</v>
      </c>
    </row>
    <row r="4090" spans="1:1" x14ac:dyDescent="0.25">
      <c r="A4090" s="16" t="s">
        <v>17189</v>
      </c>
    </row>
    <row r="4091" spans="1:1" x14ac:dyDescent="0.25">
      <c r="A4091" s="16" t="s">
        <v>17190</v>
      </c>
    </row>
    <row r="4092" spans="1:1" x14ac:dyDescent="0.25">
      <c r="A4092" s="16" t="s">
        <v>17191</v>
      </c>
    </row>
    <row r="4093" spans="1:1" x14ac:dyDescent="0.25">
      <c r="A4093" s="16" t="s">
        <v>17192</v>
      </c>
    </row>
    <row r="4094" spans="1:1" x14ac:dyDescent="0.25">
      <c r="A4094" s="16" t="s">
        <v>17193</v>
      </c>
    </row>
    <row r="4095" spans="1:1" x14ac:dyDescent="0.25">
      <c r="A4095" s="16" t="s">
        <v>17194</v>
      </c>
    </row>
    <row r="4096" spans="1:1" x14ac:dyDescent="0.25">
      <c r="A4096" s="16" t="s">
        <v>17195</v>
      </c>
    </row>
    <row r="4097" spans="1:1" x14ac:dyDescent="0.25">
      <c r="A4097" s="16" t="s">
        <v>17196</v>
      </c>
    </row>
    <row r="4098" spans="1:1" x14ac:dyDescent="0.25">
      <c r="A4098" s="16" t="s">
        <v>17197</v>
      </c>
    </row>
    <row r="4099" spans="1:1" x14ac:dyDescent="0.25">
      <c r="A4099" s="16" t="s">
        <v>17198</v>
      </c>
    </row>
    <row r="4100" spans="1:1" x14ac:dyDescent="0.25">
      <c r="A4100" s="16" t="s">
        <v>17199</v>
      </c>
    </row>
    <row r="4101" spans="1:1" x14ac:dyDescent="0.25">
      <c r="A4101" s="16" t="s">
        <v>17200</v>
      </c>
    </row>
    <row r="4102" spans="1:1" x14ac:dyDescent="0.25">
      <c r="A4102" s="16" t="s">
        <v>17201</v>
      </c>
    </row>
    <row r="4103" spans="1:1" x14ac:dyDescent="0.25">
      <c r="A4103" s="16" t="s">
        <v>17202</v>
      </c>
    </row>
    <row r="4104" spans="1:1" x14ac:dyDescent="0.25">
      <c r="A4104" s="16" t="s">
        <v>17203</v>
      </c>
    </row>
    <row r="4105" spans="1:1" x14ac:dyDescent="0.25">
      <c r="A4105" s="16" t="s">
        <v>17204</v>
      </c>
    </row>
    <row r="4106" spans="1:1" x14ac:dyDescent="0.25">
      <c r="A4106" s="16" t="s">
        <v>17205</v>
      </c>
    </row>
    <row r="4107" spans="1:1" x14ac:dyDescent="0.25">
      <c r="A4107" s="16" t="s">
        <v>17206</v>
      </c>
    </row>
    <row r="4108" spans="1:1" x14ac:dyDescent="0.25">
      <c r="A4108" s="16" t="s">
        <v>17207</v>
      </c>
    </row>
    <row r="4109" spans="1:1" x14ac:dyDescent="0.25">
      <c r="A4109" s="16" t="s">
        <v>17208</v>
      </c>
    </row>
    <row r="4110" spans="1:1" x14ac:dyDescent="0.25">
      <c r="A4110" s="16" t="s">
        <v>17209</v>
      </c>
    </row>
    <row r="4111" spans="1:1" x14ac:dyDescent="0.25">
      <c r="A4111" s="16" t="s">
        <v>17210</v>
      </c>
    </row>
    <row r="4112" spans="1:1" x14ac:dyDescent="0.25">
      <c r="A4112" s="16" t="s">
        <v>17211</v>
      </c>
    </row>
    <row r="4113" spans="1:1" x14ac:dyDescent="0.25">
      <c r="A4113" s="16" t="s">
        <v>17212</v>
      </c>
    </row>
    <row r="4114" spans="1:1" x14ac:dyDescent="0.25">
      <c r="A4114" s="16" t="s">
        <v>17213</v>
      </c>
    </row>
    <row r="4115" spans="1:1" x14ac:dyDescent="0.25">
      <c r="A4115" s="16" t="s">
        <v>17214</v>
      </c>
    </row>
    <row r="4116" spans="1:1" x14ac:dyDescent="0.25">
      <c r="A4116" s="16" t="s">
        <v>17215</v>
      </c>
    </row>
    <row r="4117" spans="1:1" x14ac:dyDescent="0.25">
      <c r="A4117" s="16" t="s">
        <v>17216</v>
      </c>
    </row>
    <row r="4118" spans="1:1" x14ac:dyDescent="0.25">
      <c r="A4118" s="16" t="s">
        <v>17217</v>
      </c>
    </row>
    <row r="4119" spans="1:1" x14ac:dyDescent="0.25">
      <c r="A4119" s="16" t="s">
        <v>17218</v>
      </c>
    </row>
    <row r="4120" spans="1:1" x14ac:dyDescent="0.25">
      <c r="A4120" s="16" t="s">
        <v>17219</v>
      </c>
    </row>
    <row r="4121" spans="1:1" x14ac:dyDescent="0.25">
      <c r="A4121" s="16" t="s">
        <v>17220</v>
      </c>
    </row>
    <row r="4122" spans="1:1" x14ac:dyDescent="0.25">
      <c r="A4122" s="16" t="s">
        <v>17221</v>
      </c>
    </row>
    <row r="4123" spans="1:1" x14ac:dyDescent="0.25">
      <c r="A4123" s="16" t="s">
        <v>17222</v>
      </c>
    </row>
    <row r="4124" spans="1:1" x14ac:dyDescent="0.25">
      <c r="A4124" s="16" t="s">
        <v>17223</v>
      </c>
    </row>
    <row r="4125" spans="1:1" x14ac:dyDescent="0.25">
      <c r="A4125" s="16" t="s">
        <v>17224</v>
      </c>
    </row>
    <row r="4126" spans="1:1" x14ac:dyDescent="0.25">
      <c r="A4126" s="16" t="s">
        <v>17225</v>
      </c>
    </row>
    <row r="4127" spans="1:1" x14ac:dyDescent="0.25">
      <c r="A4127" s="16" t="s">
        <v>17226</v>
      </c>
    </row>
    <row r="4128" spans="1:1" x14ac:dyDescent="0.25">
      <c r="A4128" s="16" t="s">
        <v>17227</v>
      </c>
    </row>
    <row r="4129" spans="1:1" x14ac:dyDescent="0.25">
      <c r="A4129" s="16" t="s">
        <v>17228</v>
      </c>
    </row>
    <row r="4130" spans="1:1" x14ac:dyDescent="0.25">
      <c r="A4130" s="16" t="s">
        <v>17229</v>
      </c>
    </row>
    <row r="4131" spans="1:1" x14ac:dyDescent="0.25">
      <c r="A4131" s="16" t="s">
        <v>17230</v>
      </c>
    </row>
    <row r="4132" spans="1:1" x14ac:dyDescent="0.25">
      <c r="A4132" s="16" t="s">
        <v>17231</v>
      </c>
    </row>
    <row r="4133" spans="1:1" x14ac:dyDescent="0.25">
      <c r="A4133" s="16" t="s">
        <v>17232</v>
      </c>
    </row>
    <row r="4134" spans="1:1" x14ac:dyDescent="0.25">
      <c r="A4134" s="16" t="s">
        <v>17233</v>
      </c>
    </row>
    <row r="4135" spans="1:1" x14ac:dyDescent="0.25">
      <c r="A4135" s="16" t="s">
        <v>17234</v>
      </c>
    </row>
    <row r="4136" spans="1:1" x14ac:dyDescent="0.25">
      <c r="A4136" s="16" t="s">
        <v>17235</v>
      </c>
    </row>
    <row r="4137" spans="1:1" x14ac:dyDescent="0.25">
      <c r="A4137" s="16" t="s">
        <v>17236</v>
      </c>
    </row>
    <row r="4138" spans="1:1" x14ac:dyDescent="0.25">
      <c r="A4138" s="16" t="s">
        <v>17237</v>
      </c>
    </row>
    <row r="4139" spans="1:1" x14ac:dyDescent="0.25">
      <c r="A4139" s="16" t="s">
        <v>17238</v>
      </c>
    </row>
    <row r="4140" spans="1:1" x14ac:dyDescent="0.25">
      <c r="A4140" s="16" t="s">
        <v>17239</v>
      </c>
    </row>
    <row r="4141" spans="1:1" x14ac:dyDescent="0.25">
      <c r="A4141" s="16" t="s">
        <v>17240</v>
      </c>
    </row>
    <row r="4142" spans="1:1" x14ac:dyDescent="0.25">
      <c r="A4142" s="16" t="s">
        <v>17241</v>
      </c>
    </row>
    <row r="4143" spans="1:1" x14ac:dyDescent="0.25">
      <c r="A4143" s="16" t="s">
        <v>17242</v>
      </c>
    </row>
    <row r="4144" spans="1:1" x14ac:dyDescent="0.25">
      <c r="A4144" s="16" t="s">
        <v>17243</v>
      </c>
    </row>
    <row r="4145" spans="1:1" x14ac:dyDescent="0.25">
      <c r="A4145" s="16" t="s">
        <v>17244</v>
      </c>
    </row>
    <row r="4146" spans="1:1" x14ac:dyDescent="0.25">
      <c r="A4146" s="16" t="s">
        <v>17245</v>
      </c>
    </row>
    <row r="4147" spans="1:1" x14ac:dyDescent="0.25">
      <c r="A4147" s="16" t="s">
        <v>17246</v>
      </c>
    </row>
    <row r="4148" spans="1:1" x14ac:dyDescent="0.25">
      <c r="A4148" s="16" t="s">
        <v>17247</v>
      </c>
    </row>
    <row r="4149" spans="1:1" x14ac:dyDescent="0.25">
      <c r="A4149" s="16" t="s">
        <v>17248</v>
      </c>
    </row>
    <row r="4150" spans="1:1" x14ac:dyDescent="0.25">
      <c r="A4150" s="16" t="s">
        <v>17249</v>
      </c>
    </row>
    <row r="4151" spans="1:1" x14ac:dyDescent="0.25">
      <c r="A4151" s="16" t="s">
        <v>17250</v>
      </c>
    </row>
    <row r="4152" spans="1:1" x14ac:dyDescent="0.25">
      <c r="A4152" s="16" t="s">
        <v>17251</v>
      </c>
    </row>
    <row r="4153" spans="1:1" x14ac:dyDescent="0.25">
      <c r="A4153" s="16" t="s">
        <v>17252</v>
      </c>
    </row>
    <row r="4154" spans="1:1" x14ac:dyDescent="0.25">
      <c r="A4154" s="16" t="s">
        <v>17253</v>
      </c>
    </row>
    <row r="4155" spans="1:1" x14ac:dyDescent="0.25">
      <c r="A4155" s="16" t="s">
        <v>17254</v>
      </c>
    </row>
    <row r="4156" spans="1:1" x14ac:dyDescent="0.25">
      <c r="A4156" s="16" t="s">
        <v>17255</v>
      </c>
    </row>
    <row r="4157" spans="1:1" x14ac:dyDescent="0.25">
      <c r="A4157" s="16" t="s">
        <v>17256</v>
      </c>
    </row>
    <row r="4158" spans="1:1" x14ac:dyDescent="0.25">
      <c r="A4158" s="16" t="s">
        <v>17257</v>
      </c>
    </row>
    <row r="4159" spans="1:1" x14ac:dyDescent="0.25">
      <c r="A4159" s="16" t="s">
        <v>17258</v>
      </c>
    </row>
    <row r="4160" spans="1:1" x14ac:dyDescent="0.25">
      <c r="A4160" s="16" t="s">
        <v>17259</v>
      </c>
    </row>
    <row r="4161" spans="1:1" x14ac:dyDescent="0.25">
      <c r="A4161" s="16" t="s">
        <v>17260</v>
      </c>
    </row>
    <row r="4162" spans="1:1" x14ac:dyDescent="0.25">
      <c r="A4162" s="16" t="s">
        <v>17261</v>
      </c>
    </row>
    <row r="4163" spans="1:1" x14ac:dyDescent="0.25">
      <c r="A4163" s="16" t="s">
        <v>17262</v>
      </c>
    </row>
    <row r="4164" spans="1:1" x14ac:dyDescent="0.25">
      <c r="A4164" s="16" t="s">
        <v>17263</v>
      </c>
    </row>
    <row r="4165" spans="1:1" x14ac:dyDescent="0.25">
      <c r="A4165" s="16" t="s">
        <v>17264</v>
      </c>
    </row>
    <row r="4166" spans="1:1" x14ac:dyDescent="0.25">
      <c r="A4166" s="16" t="s">
        <v>17265</v>
      </c>
    </row>
    <row r="4167" spans="1:1" x14ac:dyDescent="0.25">
      <c r="A4167" s="16" t="s">
        <v>17266</v>
      </c>
    </row>
    <row r="4168" spans="1:1" x14ac:dyDescent="0.25">
      <c r="A4168" s="16" t="s">
        <v>17267</v>
      </c>
    </row>
    <row r="4169" spans="1:1" x14ac:dyDescent="0.25">
      <c r="A4169" s="16" t="s">
        <v>17268</v>
      </c>
    </row>
    <row r="4170" spans="1:1" x14ac:dyDescent="0.25">
      <c r="A4170" s="16" t="s">
        <v>17269</v>
      </c>
    </row>
    <row r="4171" spans="1:1" x14ac:dyDescent="0.25">
      <c r="A4171" s="16" t="s">
        <v>17270</v>
      </c>
    </row>
    <row r="4172" spans="1:1" x14ac:dyDescent="0.25">
      <c r="A4172" s="16" t="s">
        <v>17271</v>
      </c>
    </row>
    <row r="4173" spans="1:1" x14ac:dyDescent="0.25">
      <c r="A4173" s="16" t="s">
        <v>17272</v>
      </c>
    </row>
    <row r="4174" spans="1:1" x14ac:dyDescent="0.25">
      <c r="A4174" s="16" t="s">
        <v>17273</v>
      </c>
    </row>
    <row r="4175" spans="1:1" x14ac:dyDescent="0.25">
      <c r="A4175" s="16" t="s">
        <v>17274</v>
      </c>
    </row>
    <row r="4176" spans="1:1" x14ac:dyDescent="0.25">
      <c r="A4176" s="16" t="s">
        <v>17275</v>
      </c>
    </row>
    <row r="4177" spans="1:1" x14ac:dyDescent="0.25">
      <c r="A4177" s="16" t="s">
        <v>17276</v>
      </c>
    </row>
    <row r="4178" spans="1:1" x14ac:dyDescent="0.25">
      <c r="A4178" s="16" t="s">
        <v>17277</v>
      </c>
    </row>
    <row r="4179" spans="1:1" x14ac:dyDescent="0.25">
      <c r="A4179" s="16" t="s">
        <v>17278</v>
      </c>
    </row>
    <row r="4180" spans="1:1" x14ac:dyDescent="0.25">
      <c r="A4180" s="16" t="s">
        <v>17279</v>
      </c>
    </row>
    <row r="4181" spans="1:1" x14ac:dyDescent="0.25">
      <c r="A4181" s="16" t="s">
        <v>17280</v>
      </c>
    </row>
    <row r="4182" spans="1:1" x14ac:dyDescent="0.25">
      <c r="A4182" s="16" t="s">
        <v>17281</v>
      </c>
    </row>
    <row r="4183" spans="1:1" x14ac:dyDescent="0.25">
      <c r="A4183" s="16" t="s">
        <v>17282</v>
      </c>
    </row>
    <row r="4184" spans="1:1" x14ac:dyDescent="0.25">
      <c r="A4184" s="16" t="s">
        <v>17283</v>
      </c>
    </row>
    <row r="4185" spans="1:1" x14ac:dyDescent="0.25">
      <c r="A4185" s="16" t="s">
        <v>17284</v>
      </c>
    </row>
    <row r="4186" spans="1:1" x14ac:dyDescent="0.25">
      <c r="A4186" s="16" t="s">
        <v>17285</v>
      </c>
    </row>
    <row r="4187" spans="1:1" x14ac:dyDescent="0.25">
      <c r="A4187" s="16" t="s">
        <v>17286</v>
      </c>
    </row>
    <row r="4188" spans="1:1" x14ac:dyDescent="0.25">
      <c r="A4188" s="16" t="s">
        <v>17287</v>
      </c>
    </row>
    <row r="4189" spans="1:1" x14ac:dyDescent="0.25">
      <c r="A4189" s="16" t="s">
        <v>17288</v>
      </c>
    </row>
    <row r="4190" spans="1:1" x14ac:dyDescent="0.25">
      <c r="A4190" s="16" t="s">
        <v>17289</v>
      </c>
    </row>
    <row r="4191" spans="1:1" x14ac:dyDescent="0.25">
      <c r="A4191" s="16" t="s">
        <v>17290</v>
      </c>
    </row>
    <row r="4192" spans="1:1" x14ac:dyDescent="0.25">
      <c r="A4192" s="16" t="s">
        <v>17291</v>
      </c>
    </row>
    <row r="4193" spans="1:1" x14ac:dyDescent="0.25">
      <c r="A4193" s="16" t="s">
        <v>17292</v>
      </c>
    </row>
    <row r="4194" spans="1:1" x14ac:dyDescent="0.25">
      <c r="A4194" s="16" t="s">
        <v>17293</v>
      </c>
    </row>
    <row r="4195" spans="1:1" x14ac:dyDescent="0.25">
      <c r="A4195" s="16" t="s">
        <v>17294</v>
      </c>
    </row>
    <row r="4196" spans="1:1" x14ac:dyDescent="0.25">
      <c r="A4196" s="16" t="s">
        <v>17295</v>
      </c>
    </row>
    <row r="4197" spans="1:1" x14ac:dyDescent="0.25">
      <c r="A4197" s="16" t="s">
        <v>17296</v>
      </c>
    </row>
    <row r="4198" spans="1:1" x14ac:dyDescent="0.25">
      <c r="A4198" s="16" t="s">
        <v>17297</v>
      </c>
    </row>
    <row r="4199" spans="1:1" x14ac:dyDescent="0.25">
      <c r="A4199" s="16" t="s">
        <v>17298</v>
      </c>
    </row>
    <row r="4200" spans="1:1" x14ac:dyDescent="0.25">
      <c r="A4200" s="16" t="s">
        <v>17299</v>
      </c>
    </row>
    <row r="4201" spans="1:1" x14ac:dyDescent="0.25">
      <c r="A4201" s="16" t="s">
        <v>17300</v>
      </c>
    </row>
    <row r="4202" spans="1:1" x14ac:dyDescent="0.25">
      <c r="A4202" s="16" t="s">
        <v>17301</v>
      </c>
    </row>
    <row r="4203" spans="1:1" x14ac:dyDescent="0.25">
      <c r="A4203" s="16" t="s">
        <v>17302</v>
      </c>
    </row>
    <row r="4204" spans="1:1" x14ac:dyDescent="0.25">
      <c r="A4204" s="16" t="s">
        <v>17303</v>
      </c>
    </row>
    <row r="4205" spans="1:1" x14ac:dyDescent="0.25">
      <c r="A4205" s="16" t="s">
        <v>17304</v>
      </c>
    </row>
    <row r="4206" spans="1:1" x14ac:dyDescent="0.25">
      <c r="A4206" s="16" t="s">
        <v>17305</v>
      </c>
    </row>
    <row r="4207" spans="1:1" x14ac:dyDescent="0.25">
      <c r="A4207" s="16" t="s">
        <v>17306</v>
      </c>
    </row>
    <row r="4208" spans="1:1" x14ac:dyDescent="0.25">
      <c r="A4208" s="16" t="s">
        <v>17307</v>
      </c>
    </row>
    <row r="4209" spans="1:1" x14ac:dyDescent="0.25">
      <c r="A4209" s="16" t="s">
        <v>17308</v>
      </c>
    </row>
    <row r="4210" spans="1:1" x14ac:dyDescent="0.25">
      <c r="A4210" s="16" t="s">
        <v>17309</v>
      </c>
    </row>
    <row r="4211" spans="1:1" x14ac:dyDescent="0.25">
      <c r="A4211" s="16" t="s">
        <v>17310</v>
      </c>
    </row>
    <row r="4212" spans="1:1" x14ac:dyDescent="0.25">
      <c r="A4212" s="16" t="s">
        <v>17311</v>
      </c>
    </row>
    <row r="4213" spans="1:1" x14ac:dyDescent="0.25">
      <c r="A4213" s="16" t="s">
        <v>17312</v>
      </c>
    </row>
    <row r="4214" spans="1:1" x14ac:dyDescent="0.25">
      <c r="A4214" s="16" t="s">
        <v>17313</v>
      </c>
    </row>
    <row r="4215" spans="1:1" x14ac:dyDescent="0.25">
      <c r="A4215" s="16" t="s">
        <v>17314</v>
      </c>
    </row>
    <row r="4216" spans="1:1" x14ac:dyDescent="0.25">
      <c r="A4216" s="16" t="s">
        <v>17315</v>
      </c>
    </row>
    <row r="4217" spans="1:1" x14ac:dyDescent="0.25">
      <c r="A4217" s="16" t="s">
        <v>17316</v>
      </c>
    </row>
    <row r="4218" spans="1:1" x14ac:dyDescent="0.25">
      <c r="A4218" s="16" t="s">
        <v>17317</v>
      </c>
    </row>
    <row r="4219" spans="1:1" x14ac:dyDescent="0.25">
      <c r="A4219" s="16" t="s">
        <v>17318</v>
      </c>
    </row>
    <row r="4220" spans="1:1" x14ac:dyDescent="0.25">
      <c r="A4220" s="16" t="s">
        <v>17319</v>
      </c>
    </row>
    <row r="4221" spans="1:1" x14ac:dyDescent="0.25">
      <c r="A4221" s="16" t="s">
        <v>17320</v>
      </c>
    </row>
    <row r="4222" spans="1:1" x14ac:dyDescent="0.25">
      <c r="A4222" s="16" t="s">
        <v>17321</v>
      </c>
    </row>
    <row r="4223" spans="1:1" x14ac:dyDescent="0.25">
      <c r="A4223" s="16" t="s">
        <v>17322</v>
      </c>
    </row>
    <row r="4224" spans="1:1" x14ac:dyDescent="0.25">
      <c r="A4224" s="16" t="s">
        <v>17323</v>
      </c>
    </row>
    <row r="4225" spans="1:1" x14ac:dyDescent="0.25">
      <c r="A4225" s="16" t="s">
        <v>17324</v>
      </c>
    </row>
    <row r="4226" spans="1:1" x14ac:dyDescent="0.25">
      <c r="A4226" s="16" t="s">
        <v>17325</v>
      </c>
    </row>
    <row r="4227" spans="1:1" x14ac:dyDescent="0.25">
      <c r="A4227" s="16" t="s">
        <v>17326</v>
      </c>
    </row>
    <row r="4228" spans="1:1" x14ac:dyDescent="0.25">
      <c r="A4228" s="16" t="s">
        <v>17327</v>
      </c>
    </row>
    <row r="4229" spans="1:1" x14ac:dyDescent="0.25">
      <c r="A4229" s="16" t="s">
        <v>17328</v>
      </c>
    </row>
    <row r="4230" spans="1:1" x14ac:dyDescent="0.25">
      <c r="A4230" s="16" t="s">
        <v>17329</v>
      </c>
    </row>
    <row r="4231" spans="1:1" x14ac:dyDescent="0.25">
      <c r="A4231" s="16" t="s">
        <v>17330</v>
      </c>
    </row>
    <row r="4232" spans="1:1" x14ac:dyDescent="0.25">
      <c r="A4232" s="16" t="s">
        <v>17331</v>
      </c>
    </row>
    <row r="4233" spans="1:1" x14ac:dyDescent="0.25">
      <c r="A4233" s="16" t="s">
        <v>17332</v>
      </c>
    </row>
    <row r="4234" spans="1:1" x14ac:dyDescent="0.25">
      <c r="A4234" s="16" t="s">
        <v>17333</v>
      </c>
    </row>
    <row r="4235" spans="1:1" x14ac:dyDescent="0.25">
      <c r="A4235" s="16" t="s">
        <v>17334</v>
      </c>
    </row>
    <row r="4236" spans="1:1" x14ac:dyDescent="0.25">
      <c r="A4236" s="16" t="s">
        <v>17335</v>
      </c>
    </row>
    <row r="4237" spans="1:1" x14ac:dyDescent="0.25">
      <c r="A4237" s="16" t="s">
        <v>17336</v>
      </c>
    </row>
    <row r="4238" spans="1:1" x14ac:dyDescent="0.25">
      <c r="A4238" s="16" t="s">
        <v>17337</v>
      </c>
    </row>
    <row r="4239" spans="1:1" x14ac:dyDescent="0.25">
      <c r="A4239" s="16" t="s">
        <v>17338</v>
      </c>
    </row>
    <row r="4240" spans="1:1" x14ac:dyDescent="0.25">
      <c r="A4240" s="16" t="s">
        <v>17339</v>
      </c>
    </row>
    <row r="4241" spans="1:1" x14ac:dyDescent="0.25">
      <c r="A4241" s="16" t="s">
        <v>17340</v>
      </c>
    </row>
    <row r="4242" spans="1:1" x14ac:dyDescent="0.25">
      <c r="A4242" s="16" t="s">
        <v>17341</v>
      </c>
    </row>
    <row r="4243" spans="1:1" x14ac:dyDescent="0.25">
      <c r="A4243" s="16" t="s">
        <v>17342</v>
      </c>
    </row>
    <row r="4244" spans="1:1" x14ac:dyDescent="0.25">
      <c r="A4244" s="16" t="s">
        <v>17343</v>
      </c>
    </row>
    <row r="4245" spans="1:1" x14ac:dyDescent="0.25">
      <c r="A4245" s="16" t="s">
        <v>17344</v>
      </c>
    </row>
    <row r="4246" spans="1:1" x14ac:dyDescent="0.25">
      <c r="A4246" s="16" t="s">
        <v>17345</v>
      </c>
    </row>
    <row r="4247" spans="1:1" x14ac:dyDescent="0.25">
      <c r="A4247" s="16" t="s">
        <v>17346</v>
      </c>
    </row>
    <row r="4248" spans="1:1" x14ac:dyDescent="0.25">
      <c r="A4248" s="16" t="s">
        <v>17347</v>
      </c>
    </row>
    <row r="4249" spans="1:1" x14ac:dyDescent="0.25">
      <c r="A4249" s="16" t="s">
        <v>17348</v>
      </c>
    </row>
    <row r="4250" spans="1:1" x14ac:dyDescent="0.25">
      <c r="A4250" s="16" t="s">
        <v>17349</v>
      </c>
    </row>
    <row r="4251" spans="1:1" x14ac:dyDescent="0.25">
      <c r="A4251" s="16" t="s">
        <v>17350</v>
      </c>
    </row>
    <row r="4252" spans="1:1" x14ac:dyDescent="0.25">
      <c r="A4252" s="16" t="s">
        <v>17351</v>
      </c>
    </row>
    <row r="4253" spans="1:1" x14ac:dyDescent="0.25">
      <c r="A4253" s="16" t="s">
        <v>17352</v>
      </c>
    </row>
    <row r="4254" spans="1:1" x14ac:dyDescent="0.25">
      <c r="A4254" s="16" t="s">
        <v>17353</v>
      </c>
    </row>
    <row r="4255" spans="1:1" x14ac:dyDescent="0.25">
      <c r="A4255" s="16" t="s">
        <v>17354</v>
      </c>
    </row>
    <row r="4256" spans="1:1" x14ac:dyDescent="0.25">
      <c r="A4256" s="16" t="s">
        <v>17355</v>
      </c>
    </row>
    <row r="4257" spans="1:1" x14ac:dyDescent="0.25">
      <c r="A4257" s="16" t="s">
        <v>17356</v>
      </c>
    </row>
    <row r="4258" spans="1:1" x14ac:dyDescent="0.25">
      <c r="A4258" s="16" t="s">
        <v>17357</v>
      </c>
    </row>
    <row r="4259" spans="1:1" x14ac:dyDescent="0.25">
      <c r="A4259" s="16" t="s">
        <v>17358</v>
      </c>
    </row>
    <row r="4260" spans="1:1" x14ac:dyDescent="0.25">
      <c r="A4260" s="16" t="s">
        <v>17359</v>
      </c>
    </row>
    <row r="4261" spans="1:1" x14ac:dyDescent="0.25">
      <c r="A4261" s="16" t="s">
        <v>17360</v>
      </c>
    </row>
    <row r="4262" spans="1:1" x14ac:dyDescent="0.25">
      <c r="A4262" s="16" t="s">
        <v>17361</v>
      </c>
    </row>
    <row r="4263" spans="1:1" x14ac:dyDescent="0.25">
      <c r="A4263" s="16" t="s">
        <v>17362</v>
      </c>
    </row>
    <row r="4264" spans="1:1" x14ac:dyDescent="0.25">
      <c r="A4264" s="16" t="s">
        <v>17363</v>
      </c>
    </row>
    <row r="4265" spans="1:1" x14ac:dyDescent="0.25">
      <c r="A4265" s="16" t="s">
        <v>17364</v>
      </c>
    </row>
    <row r="4266" spans="1:1" x14ac:dyDescent="0.25">
      <c r="A4266" s="16" t="s">
        <v>17365</v>
      </c>
    </row>
    <row r="4267" spans="1:1" x14ac:dyDescent="0.25">
      <c r="A4267" s="16" t="s">
        <v>17366</v>
      </c>
    </row>
    <row r="4268" spans="1:1" x14ac:dyDescent="0.25">
      <c r="A4268" s="16" t="s">
        <v>17367</v>
      </c>
    </row>
    <row r="4269" spans="1:1" x14ac:dyDescent="0.25">
      <c r="A4269" s="16" t="s">
        <v>17368</v>
      </c>
    </row>
    <row r="4270" spans="1:1" x14ac:dyDescent="0.25">
      <c r="A4270" s="16" t="s">
        <v>17369</v>
      </c>
    </row>
    <row r="4271" spans="1:1" x14ac:dyDescent="0.25">
      <c r="A4271" s="16" t="s">
        <v>17370</v>
      </c>
    </row>
    <row r="4272" spans="1:1" x14ac:dyDescent="0.25">
      <c r="A4272" s="16" t="s">
        <v>17371</v>
      </c>
    </row>
    <row r="4273" spans="1:1" x14ac:dyDescent="0.25">
      <c r="A4273" s="16" t="s">
        <v>17372</v>
      </c>
    </row>
    <row r="4274" spans="1:1" x14ac:dyDescent="0.25">
      <c r="A4274" s="16" t="s">
        <v>17373</v>
      </c>
    </row>
    <row r="4275" spans="1:1" x14ac:dyDescent="0.25">
      <c r="A4275" s="16" t="s">
        <v>17374</v>
      </c>
    </row>
    <row r="4276" spans="1:1" x14ac:dyDescent="0.25">
      <c r="A4276" s="16" t="s">
        <v>17375</v>
      </c>
    </row>
    <row r="4277" spans="1:1" x14ac:dyDescent="0.25">
      <c r="A4277" s="16" t="s">
        <v>17376</v>
      </c>
    </row>
    <row r="4278" spans="1:1" x14ac:dyDescent="0.25">
      <c r="A4278" s="16" t="s">
        <v>17377</v>
      </c>
    </row>
    <row r="4279" spans="1:1" x14ac:dyDescent="0.25">
      <c r="A4279" s="16" t="s">
        <v>17378</v>
      </c>
    </row>
    <row r="4280" spans="1:1" x14ac:dyDescent="0.25">
      <c r="A4280" s="16" t="s">
        <v>17379</v>
      </c>
    </row>
    <row r="4281" spans="1:1" x14ac:dyDescent="0.25">
      <c r="A4281" s="16" t="s">
        <v>17380</v>
      </c>
    </row>
    <row r="4282" spans="1:1" x14ac:dyDescent="0.25">
      <c r="A4282" s="16" t="s">
        <v>17381</v>
      </c>
    </row>
    <row r="4283" spans="1:1" x14ac:dyDescent="0.25">
      <c r="A4283" s="16" t="s">
        <v>17382</v>
      </c>
    </row>
    <row r="4284" spans="1:1" x14ac:dyDescent="0.25">
      <c r="A4284" s="16" t="s">
        <v>17383</v>
      </c>
    </row>
    <row r="4285" spans="1:1" x14ac:dyDescent="0.25">
      <c r="A4285" s="16" t="s">
        <v>17384</v>
      </c>
    </row>
    <row r="4286" spans="1:1" x14ac:dyDescent="0.25">
      <c r="A4286" s="16" t="s">
        <v>17385</v>
      </c>
    </row>
    <row r="4287" spans="1:1" x14ac:dyDescent="0.25">
      <c r="A4287" s="16" t="s">
        <v>17386</v>
      </c>
    </row>
    <row r="4288" spans="1:1" x14ac:dyDescent="0.25">
      <c r="A4288" s="16" t="s">
        <v>17387</v>
      </c>
    </row>
    <row r="4289" spans="1:1" x14ac:dyDescent="0.25">
      <c r="A4289" s="16" t="s">
        <v>17388</v>
      </c>
    </row>
    <row r="4290" spans="1:1" x14ac:dyDescent="0.25">
      <c r="A4290" s="16" t="s">
        <v>17389</v>
      </c>
    </row>
    <row r="4291" spans="1:1" x14ac:dyDescent="0.25">
      <c r="A4291" s="16" t="s">
        <v>17390</v>
      </c>
    </row>
    <row r="4292" spans="1:1" x14ac:dyDescent="0.25">
      <c r="A4292" s="16" t="s">
        <v>17391</v>
      </c>
    </row>
    <row r="4293" spans="1:1" x14ac:dyDescent="0.25">
      <c r="A4293" s="16" t="s">
        <v>17392</v>
      </c>
    </row>
    <row r="4294" spans="1:1" x14ac:dyDescent="0.25">
      <c r="A4294" s="16" t="s">
        <v>17393</v>
      </c>
    </row>
    <row r="4295" spans="1:1" x14ac:dyDescent="0.25">
      <c r="A4295" s="16" t="s">
        <v>17394</v>
      </c>
    </row>
    <row r="4296" spans="1:1" x14ac:dyDescent="0.25">
      <c r="A4296" s="16" t="s">
        <v>17395</v>
      </c>
    </row>
    <row r="4297" spans="1:1" x14ac:dyDescent="0.25">
      <c r="A4297" s="16" t="s">
        <v>17396</v>
      </c>
    </row>
    <row r="4298" spans="1:1" x14ac:dyDescent="0.25">
      <c r="A4298" s="16" t="s">
        <v>17397</v>
      </c>
    </row>
    <row r="4299" spans="1:1" x14ac:dyDescent="0.25">
      <c r="A4299" s="16" t="s">
        <v>17398</v>
      </c>
    </row>
    <row r="4300" spans="1:1" x14ac:dyDescent="0.25">
      <c r="A4300" s="16" t="s">
        <v>17399</v>
      </c>
    </row>
    <row r="4301" spans="1:1" x14ac:dyDescent="0.25">
      <c r="A4301" s="16" t="s">
        <v>17400</v>
      </c>
    </row>
    <row r="4302" spans="1:1" x14ac:dyDescent="0.25">
      <c r="A4302" s="16" t="s">
        <v>17401</v>
      </c>
    </row>
    <row r="4303" spans="1:1" x14ac:dyDescent="0.25">
      <c r="A4303" s="16" t="s">
        <v>17402</v>
      </c>
    </row>
    <row r="4304" spans="1:1" x14ac:dyDescent="0.25">
      <c r="A4304" s="16" t="s">
        <v>17403</v>
      </c>
    </row>
    <row r="4305" spans="1:1" x14ac:dyDescent="0.25">
      <c r="A4305" s="16" t="s">
        <v>17404</v>
      </c>
    </row>
    <row r="4306" spans="1:1" x14ac:dyDescent="0.25">
      <c r="A4306" s="16" t="s">
        <v>17405</v>
      </c>
    </row>
    <row r="4307" spans="1:1" x14ac:dyDescent="0.25">
      <c r="A4307" s="16" t="s">
        <v>17406</v>
      </c>
    </row>
    <row r="4308" spans="1:1" x14ac:dyDescent="0.25">
      <c r="A4308" s="16" t="s">
        <v>17407</v>
      </c>
    </row>
    <row r="4309" spans="1:1" x14ac:dyDescent="0.25">
      <c r="A4309" s="16" t="s">
        <v>17408</v>
      </c>
    </row>
    <row r="4310" spans="1:1" x14ac:dyDescent="0.25">
      <c r="A4310" s="16" t="s">
        <v>17409</v>
      </c>
    </row>
    <row r="4311" spans="1:1" x14ac:dyDescent="0.25">
      <c r="A4311" s="16" t="s">
        <v>17410</v>
      </c>
    </row>
    <row r="4312" spans="1:1" x14ac:dyDescent="0.25">
      <c r="A4312" s="16" t="s">
        <v>17411</v>
      </c>
    </row>
    <row r="4313" spans="1:1" x14ac:dyDescent="0.25">
      <c r="A4313" s="16" t="s">
        <v>17412</v>
      </c>
    </row>
    <row r="4314" spans="1:1" x14ac:dyDescent="0.25">
      <c r="A4314" s="16" t="s">
        <v>17413</v>
      </c>
    </row>
    <row r="4315" spans="1:1" x14ac:dyDescent="0.25">
      <c r="A4315" s="16" t="s">
        <v>17414</v>
      </c>
    </row>
    <row r="4316" spans="1:1" x14ac:dyDescent="0.25">
      <c r="A4316" s="16" t="s">
        <v>17415</v>
      </c>
    </row>
    <row r="4317" spans="1:1" x14ac:dyDescent="0.25">
      <c r="A4317" s="16" t="s">
        <v>17416</v>
      </c>
    </row>
    <row r="4318" spans="1:1" x14ac:dyDescent="0.25">
      <c r="A4318" s="16" t="s">
        <v>17417</v>
      </c>
    </row>
    <row r="4319" spans="1:1" x14ac:dyDescent="0.25">
      <c r="A4319" s="16" t="s">
        <v>17418</v>
      </c>
    </row>
    <row r="4320" spans="1:1" x14ac:dyDescent="0.25">
      <c r="A4320" s="16" t="s">
        <v>17419</v>
      </c>
    </row>
    <row r="4321" spans="1:1" x14ac:dyDescent="0.25">
      <c r="A4321" s="16" t="s">
        <v>17420</v>
      </c>
    </row>
    <row r="4322" spans="1:1" x14ac:dyDescent="0.25">
      <c r="A4322" s="16" t="s">
        <v>17421</v>
      </c>
    </row>
    <row r="4323" spans="1:1" x14ac:dyDescent="0.25">
      <c r="A4323" s="16" t="s">
        <v>17422</v>
      </c>
    </row>
    <row r="4324" spans="1:1" x14ac:dyDescent="0.25">
      <c r="A4324" s="16" t="s">
        <v>17423</v>
      </c>
    </row>
    <row r="4325" spans="1:1" x14ac:dyDescent="0.25">
      <c r="A4325" s="16" t="s">
        <v>17424</v>
      </c>
    </row>
    <row r="4326" spans="1:1" x14ac:dyDescent="0.25">
      <c r="A4326" s="16" t="s">
        <v>17425</v>
      </c>
    </row>
    <row r="4327" spans="1:1" x14ac:dyDescent="0.25">
      <c r="A4327" s="16" t="s">
        <v>17426</v>
      </c>
    </row>
    <row r="4328" spans="1:1" x14ac:dyDescent="0.25">
      <c r="A4328" s="16" t="s">
        <v>17427</v>
      </c>
    </row>
    <row r="4329" spans="1:1" x14ac:dyDescent="0.25">
      <c r="A4329" s="16" t="s">
        <v>17428</v>
      </c>
    </row>
    <row r="4330" spans="1:1" x14ac:dyDescent="0.25">
      <c r="A4330" s="16" t="s">
        <v>17429</v>
      </c>
    </row>
    <row r="4331" spans="1:1" x14ac:dyDescent="0.25">
      <c r="A4331" s="16" t="s">
        <v>17430</v>
      </c>
    </row>
    <row r="4332" spans="1:1" x14ac:dyDescent="0.25">
      <c r="A4332" s="16" t="s">
        <v>17431</v>
      </c>
    </row>
    <row r="4333" spans="1:1" x14ac:dyDescent="0.25">
      <c r="A4333" s="16" t="s">
        <v>17432</v>
      </c>
    </row>
    <row r="4334" spans="1:1" x14ac:dyDescent="0.25">
      <c r="A4334" s="16" t="s">
        <v>17433</v>
      </c>
    </row>
    <row r="4335" spans="1:1" x14ac:dyDescent="0.25">
      <c r="A4335" s="16" t="s">
        <v>17434</v>
      </c>
    </row>
    <row r="4336" spans="1:1" x14ac:dyDescent="0.25">
      <c r="A4336" s="16" t="s">
        <v>17435</v>
      </c>
    </row>
    <row r="4337" spans="1:1" x14ac:dyDescent="0.25">
      <c r="A4337" s="16" t="s">
        <v>17436</v>
      </c>
    </row>
    <row r="4338" spans="1:1" x14ac:dyDescent="0.25">
      <c r="A4338" s="16" t="s">
        <v>17437</v>
      </c>
    </row>
    <row r="4339" spans="1:1" x14ac:dyDescent="0.25">
      <c r="A4339" s="16" t="s">
        <v>17438</v>
      </c>
    </row>
    <row r="4340" spans="1:1" x14ac:dyDescent="0.25">
      <c r="A4340" s="16" t="s">
        <v>17439</v>
      </c>
    </row>
    <row r="4341" spans="1:1" x14ac:dyDescent="0.25">
      <c r="A4341" s="16" t="s">
        <v>17440</v>
      </c>
    </row>
    <row r="4342" spans="1:1" x14ac:dyDescent="0.25">
      <c r="A4342" s="16" t="s">
        <v>17441</v>
      </c>
    </row>
    <row r="4343" spans="1:1" x14ac:dyDescent="0.25">
      <c r="A4343" s="16" t="s">
        <v>17442</v>
      </c>
    </row>
    <row r="4344" spans="1:1" x14ac:dyDescent="0.25">
      <c r="A4344" s="16" t="s">
        <v>17443</v>
      </c>
    </row>
    <row r="4345" spans="1:1" x14ac:dyDescent="0.25">
      <c r="A4345" s="16" t="s">
        <v>17444</v>
      </c>
    </row>
    <row r="4346" spans="1:1" x14ac:dyDescent="0.25">
      <c r="A4346" s="16" t="s">
        <v>17445</v>
      </c>
    </row>
    <row r="4347" spans="1:1" x14ac:dyDescent="0.25">
      <c r="A4347" s="16" t="s">
        <v>17446</v>
      </c>
    </row>
    <row r="4348" spans="1:1" x14ac:dyDescent="0.25">
      <c r="A4348" s="16" t="s">
        <v>17447</v>
      </c>
    </row>
    <row r="4349" spans="1:1" x14ac:dyDescent="0.25">
      <c r="A4349" s="16" t="s">
        <v>17448</v>
      </c>
    </row>
    <row r="4350" spans="1:1" x14ac:dyDescent="0.25">
      <c r="A4350" s="16" t="s">
        <v>17449</v>
      </c>
    </row>
    <row r="4351" spans="1:1" x14ac:dyDescent="0.25">
      <c r="A4351" s="16" t="s">
        <v>17450</v>
      </c>
    </row>
    <row r="4352" spans="1:1" x14ac:dyDescent="0.25">
      <c r="A4352" s="16" t="s">
        <v>17451</v>
      </c>
    </row>
    <row r="4353" spans="1:1" x14ac:dyDescent="0.25">
      <c r="A4353" s="16" t="s">
        <v>17452</v>
      </c>
    </row>
    <row r="4354" spans="1:1" x14ac:dyDescent="0.25">
      <c r="A4354" s="16" t="s">
        <v>17453</v>
      </c>
    </row>
    <row r="4355" spans="1:1" x14ac:dyDescent="0.25">
      <c r="A4355" s="16" t="s">
        <v>17454</v>
      </c>
    </row>
    <row r="4356" spans="1:1" x14ac:dyDescent="0.25">
      <c r="A4356" s="16" t="s">
        <v>17455</v>
      </c>
    </row>
    <row r="4357" spans="1:1" x14ac:dyDescent="0.25">
      <c r="A4357" s="16" t="s">
        <v>17456</v>
      </c>
    </row>
    <row r="4358" spans="1:1" x14ac:dyDescent="0.25">
      <c r="A4358" s="16" t="s">
        <v>17457</v>
      </c>
    </row>
    <row r="4359" spans="1:1" x14ac:dyDescent="0.25">
      <c r="A4359" s="16" t="s">
        <v>17458</v>
      </c>
    </row>
    <row r="4360" spans="1:1" x14ac:dyDescent="0.25">
      <c r="A4360" s="16" t="s">
        <v>17459</v>
      </c>
    </row>
    <row r="4361" spans="1:1" x14ac:dyDescent="0.25">
      <c r="A4361" s="16" t="s">
        <v>17460</v>
      </c>
    </row>
    <row r="4362" spans="1:1" x14ac:dyDescent="0.25">
      <c r="A4362" s="16" t="s">
        <v>17461</v>
      </c>
    </row>
    <row r="4363" spans="1:1" x14ac:dyDescent="0.25">
      <c r="A4363" s="16" t="s">
        <v>17462</v>
      </c>
    </row>
    <row r="4364" spans="1:1" x14ac:dyDescent="0.25">
      <c r="A4364" s="16" t="s">
        <v>17463</v>
      </c>
    </row>
    <row r="4365" spans="1:1" x14ac:dyDescent="0.25">
      <c r="A4365" s="16" t="s">
        <v>17464</v>
      </c>
    </row>
    <row r="4366" spans="1:1" x14ac:dyDescent="0.25">
      <c r="A4366" s="16" t="s">
        <v>17465</v>
      </c>
    </row>
    <row r="4367" spans="1:1" x14ac:dyDescent="0.25">
      <c r="A4367" s="16" t="s">
        <v>17466</v>
      </c>
    </row>
    <row r="4368" spans="1:1" x14ac:dyDescent="0.25">
      <c r="A4368" s="16" t="s">
        <v>17467</v>
      </c>
    </row>
    <row r="4369" spans="1:1" x14ac:dyDescent="0.25">
      <c r="A4369" s="16" t="s">
        <v>17468</v>
      </c>
    </row>
    <row r="4370" spans="1:1" x14ac:dyDescent="0.25">
      <c r="A4370" s="16" t="s">
        <v>17469</v>
      </c>
    </row>
    <row r="4371" spans="1:1" x14ac:dyDescent="0.25">
      <c r="A4371" s="16" t="s">
        <v>17470</v>
      </c>
    </row>
    <row r="4372" spans="1:1" x14ac:dyDescent="0.25">
      <c r="A4372" s="16" t="s">
        <v>17471</v>
      </c>
    </row>
    <row r="4373" spans="1:1" x14ac:dyDescent="0.25">
      <c r="A4373" s="16" t="s">
        <v>17472</v>
      </c>
    </row>
    <row r="4374" spans="1:1" x14ac:dyDescent="0.25">
      <c r="A4374" s="16" t="s">
        <v>17473</v>
      </c>
    </row>
    <row r="4375" spans="1:1" x14ac:dyDescent="0.25">
      <c r="A4375" s="16" t="s">
        <v>17474</v>
      </c>
    </row>
    <row r="4376" spans="1:1" x14ac:dyDescent="0.25">
      <c r="A4376" s="16" t="s">
        <v>17475</v>
      </c>
    </row>
    <row r="4377" spans="1:1" x14ac:dyDescent="0.25">
      <c r="A4377" s="16" t="s">
        <v>17476</v>
      </c>
    </row>
    <row r="4378" spans="1:1" x14ac:dyDescent="0.25">
      <c r="A4378" s="16" t="s">
        <v>17477</v>
      </c>
    </row>
    <row r="4379" spans="1:1" x14ac:dyDescent="0.25">
      <c r="A4379" s="16" t="s">
        <v>17478</v>
      </c>
    </row>
    <row r="4380" spans="1:1" x14ac:dyDescent="0.25">
      <c r="A4380" s="16" t="s">
        <v>17479</v>
      </c>
    </row>
    <row r="4381" spans="1:1" x14ac:dyDescent="0.25">
      <c r="A4381" s="16" t="s">
        <v>17480</v>
      </c>
    </row>
    <row r="4382" spans="1:1" x14ac:dyDescent="0.25">
      <c r="A4382" s="16" t="s">
        <v>17481</v>
      </c>
    </row>
    <row r="4383" spans="1:1" x14ac:dyDescent="0.25">
      <c r="A4383" s="16" t="s">
        <v>17482</v>
      </c>
    </row>
    <row r="4384" spans="1:1" x14ac:dyDescent="0.25">
      <c r="A4384" s="16" t="s">
        <v>17483</v>
      </c>
    </row>
    <row r="4385" spans="1:1" x14ac:dyDescent="0.25">
      <c r="A4385" s="16" t="s">
        <v>17484</v>
      </c>
    </row>
    <row r="4386" spans="1:1" x14ac:dyDescent="0.25">
      <c r="A4386" s="16" t="s">
        <v>17485</v>
      </c>
    </row>
    <row r="4387" spans="1:1" x14ac:dyDescent="0.25">
      <c r="A4387" s="16" t="s">
        <v>17486</v>
      </c>
    </row>
    <row r="4388" spans="1:1" x14ac:dyDescent="0.25">
      <c r="A4388" s="16" t="s">
        <v>17487</v>
      </c>
    </row>
    <row r="4389" spans="1:1" x14ac:dyDescent="0.25">
      <c r="A4389" s="16" t="s">
        <v>17488</v>
      </c>
    </row>
    <row r="4390" spans="1:1" x14ac:dyDescent="0.25">
      <c r="A4390" s="16" t="s">
        <v>17489</v>
      </c>
    </row>
    <row r="4391" spans="1:1" x14ac:dyDescent="0.25">
      <c r="A4391" s="16" t="s">
        <v>17490</v>
      </c>
    </row>
    <row r="4392" spans="1:1" x14ac:dyDescent="0.25">
      <c r="A4392" s="16" t="s">
        <v>17491</v>
      </c>
    </row>
    <row r="4393" spans="1:1" x14ac:dyDescent="0.25">
      <c r="A4393" s="16" t="s">
        <v>17492</v>
      </c>
    </row>
    <row r="4394" spans="1:1" x14ac:dyDescent="0.25">
      <c r="A4394" s="16" t="s">
        <v>17493</v>
      </c>
    </row>
    <row r="4395" spans="1:1" x14ac:dyDescent="0.25">
      <c r="A4395" s="16" t="s">
        <v>17494</v>
      </c>
    </row>
    <row r="4396" spans="1:1" x14ac:dyDescent="0.25">
      <c r="A4396" s="16" t="s">
        <v>17495</v>
      </c>
    </row>
    <row r="4397" spans="1:1" x14ac:dyDescent="0.25">
      <c r="A4397" s="16" t="s">
        <v>17496</v>
      </c>
    </row>
    <row r="4398" spans="1:1" x14ac:dyDescent="0.25">
      <c r="A4398" s="16" t="s">
        <v>17497</v>
      </c>
    </row>
    <row r="4399" spans="1:1" x14ac:dyDescent="0.25">
      <c r="A4399" s="16" t="s">
        <v>17498</v>
      </c>
    </row>
    <row r="4400" spans="1:1" x14ac:dyDescent="0.25">
      <c r="A4400" s="16" t="s">
        <v>17499</v>
      </c>
    </row>
    <row r="4401" spans="1:1" x14ac:dyDescent="0.25">
      <c r="A4401" s="16" t="s">
        <v>17500</v>
      </c>
    </row>
    <row r="4402" spans="1:1" x14ac:dyDescent="0.25">
      <c r="A4402" s="16" t="s">
        <v>17501</v>
      </c>
    </row>
    <row r="4403" spans="1:1" x14ac:dyDescent="0.25">
      <c r="A4403" s="16" t="s">
        <v>17502</v>
      </c>
    </row>
    <row r="4404" spans="1:1" x14ac:dyDescent="0.25">
      <c r="A4404" s="16" t="s">
        <v>17503</v>
      </c>
    </row>
    <row r="4405" spans="1:1" x14ac:dyDescent="0.25">
      <c r="A4405" s="16" t="s">
        <v>17504</v>
      </c>
    </row>
    <row r="4406" spans="1:1" x14ac:dyDescent="0.25">
      <c r="A4406" s="16" t="s">
        <v>17505</v>
      </c>
    </row>
    <row r="4407" spans="1:1" x14ac:dyDescent="0.25">
      <c r="A4407" s="16" t="s">
        <v>17506</v>
      </c>
    </row>
    <row r="4408" spans="1:1" x14ac:dyDescent="0.25">
      <c r="A4408" s="16" t="s">
        <v>17507</v>
      </c>
    </row>
    <row r="4409" spans="1:1" x14ac:dyDescent="0.25">
      <c r="A4409" s="16" t="s">
        <v>17508</v>
      </c>
    </row>
    <row r="4410" spans="1:1" x14ac:dyDescent="0.25">
      <c r="A4410" s="16" t="s">
        <v>17509</v>
      </c>
    </row>
    <row r="4411" spans="1:1" x14ac:dyDescent="0.25">
      <c r="A4411" s="16" t="s">
        <v>17510</v>
      </c>
    </row>
    <row r="4412" spans="1:1" x14ac:dyDescent="0.25">
      <c r="A4412" s="16" t="s">
        <v>17511</v>
      </c>
    </row>
    <row r="4413" spans="1:1" x14ac:dyDescent="0.25">
      <c r="A4413" s="16" t="s">
        <v>17512</v>
      </c>
    </row>
    <row r="4414" spans="1:1" x14ac:dyDescent="0.25">
      <c r="A4414" s="16" t="s">
        <v>17513</v>
      </c>
    </row>
    <row r="4415" spans="1:1" x14ac:dyDescent="0.25">
      <c r="A4415" s="16" t="s">
        <v>17514</v>
      </c>
    </row>
    <row r="4416" spans="1:1" x14ac:dyDescent="0.25">
      <c r="A4416" s="16" t="s">
        <v>17515</v>
      </c>
    </row>
    <row r="4417" spans="1:1" x14ac:dyDescent="0.25">
      <c r="A4417" s="16" t="s">
        <v>17516</v>
      </c>
    </row>
    <row r="4418" spans="1:1" x14ac:dyDescent="0.25">
      <c r="A4418" s="16" t="s">
        <v>17517</v>
      </c>
    </row>
    <row r="4419" spans="1:1" x14ac:dyDescent="0.25">
      <c r="A4419" s="16" t="s">
        <v>17518</v>
      </c>
    </row>
    <row r="4420" spans="1:1" x14ac:dyDescent="0.25">
      <c r="A4420" s="16" t="s">
        <v>17519</v>
      </c>
    </row>
    <row r="4421" spans="1:1" x14ac:dyDescent="0.25">
      <c r="A4421" s="16" t="s">
        <v>17520</v>
      </c>
    </row>
    <row r="4422" spans="1:1" x14ac:dyDescent="0.25">
      <c r="A4422" s="16" t="s">
        <v>17521</v>
      </c>
    </row>
    <row r="4423" spans="1:1" x14ac:dyDescent="0.25">
      <c r="A4423" s="16" t="s">
        <v>17522</v>
      </c>
    </row>
    <row r="4424" spans="1:1" x14ac:dyDescent="0.25">
      <c r="A4424" s="16" t="s">
        <v>17523</v>
      </c>
    </row>
    <row r="4425" spans="1:1" x14ac:dyDescent="0.25">
      <c r="A4425" s="16" t="s">
        <v>17524</v>
      </c>
    </row>
    <row r="4426" spans="1:1" x14ac:dyDescent="0.25">
      <c r="A4426" s="16" t="s">
        <v>17525</v>
      </c>
    </row>
    <row r="4427" spans="1:1" x14ac:dyDescent="0.25">
      <c r="A4427" s="16" t="s">
        <v>17526</v>
      </c>
    </row>
    <row r="4428" spans="1:1" x14ac:dyDescent="0.25">
      <c r="A4428" s="16" t="s">
        <v>17527</v>
      </c>
    </row>
    <row r="4429" spans="1:1" x14ac:dyDescent="0.25">
      <c r="A4429" s="16" t="s">
        <v>17528</v>
      </c>
    </row>
    <row r="4430" spans="1:1" x14ac:dyDescent="0.25">
      <c r="A4430" s="16" t="s">
        <v>17529</v>
      </c>
    </row>
    <row r="4431" spans="1:1" x14ac:dyDescent="0.25">
      <c r="A4431" s="16" t="s">
        <v>17530</v>
      </c>
    </row>
    <row r="4432" spans="1:1" x14ac:dyDescent="0.25">
      <c r="A4432" s="16" t="s">
        <v>17531</v>
      </c>
    </row>
    <row r="4433" spans="1:1" x14ac:dyDescent="0.25">
      <c r="A4433" s="16" t="s">
        <v>17532</v>
      </c>
    </row>
    <row r="4434" spans="1:1" x14ac:dyDescent="0.25">
      <c r="A4434" s="16" t="s">
        <v>17533</v>
      </c>
    </row>
    <row r="4435" spans="1:1" x14ac:dyDescent="0.25">
      <c r="A4435" s="16" t="s">
        <v>17534</v>
      </c>
    </row>
    <row r="4436" spans="1:1" x14ac:dyDescent="0.25">
      <c r="A4436" s="16" t="s">
        <v>17535</v>
      </c>
    </row>
    <row r="4437" spans="1:1" x14ac:dyDescent="0.25">
      <c r="A4437" s="16" t="s">
        <v>17536</v>
      </c>
    </row>
    <row r="4438" spans="1:1" x14ac:dyDescent="0.25">
      <c r="A4438" s="16" t="s">
        <v>17537</v>
      </c>
    </row>
    <row r="4439" spans="1:1" x14ac:dyDescent="0.25">
      <c r="A4439" s="16" t="s">
        <v>17538</v>
      </c>
    </row>
    <row r="4440" spans="1:1" x14ac:dyDescent="0.25">
      <c r="A4440" s="16" t="s">
        <v>17539</v>
      </c>
    </row>
    <row r="4441" spans="1:1" x14ac:dyDescent="0.25">
      <c r="A4441" s="16" t="s">
        <v>17540</v>
      </c>
    </row>
    <row r="4442" spans="1:1" x14ac:dyDescent="0.25">
      <c r="A4442" s="16" t="s">
        <v>17541</v>
      </c>
    </row>
    <row r="4443" spans="1:1" x14ac:dyDescent="0.25">
      <c r="A4443" s="16" t="s">
        <v>17542</v>
      </c>
    </row>
    <row r="4444" spans="1:1" x14ac:dyDescent="0.25">
      <c r="A4444" s="16" t="s">
        <v>17543</v>
      </c>
    </row>
    <row r="4445" spans="1:1" x14ac:dyDescent="0.25">
      <c r="A4445" s="16" t="s">
        <v>17544</v>
      </c>
    </row>
    <row r="4446" spans="1:1" x14ac:dyDescent="0.25">
      <c r="A4446" s="16" t="s">
        <v>17545</v>
      </c>
    </row>
    <row r="4447" spans="1:1" x14ac:dyDescent="0.25">
      <c r="A4447" s="16" t="s">
        <v>17546</v>
      </c>
    </row>
    <row r="4448" spans="1:1" x14ac:dyDescent="0.25">
      <c r="A4448" s="16" t="s">
        <v>17547</v>
      </c>
    </row>
    <row r="4449" spans="1:1" x14ac:dyDescent="0.25">
      <c r="A4449" s="16" t="s">
        <v>17548</v>
      </c>
    </row>
    <row r="4450" spans="1:1" x14ac:dyDescent="0.25">
      <c r="A4450" s="16" t="s">
        <v>17549</v>
      </c>
    </row>
    <row r="4451" spans="1:1" x14ac:dyDescent="0.25">
      <c r="A4451" s="16" t="s">
        <v>17550</v>
      </c>
    </row>
    <row r="4452" spans="1:1" x14ac:dyDescent="0.25">
      <c r="A4452" s="16" t="s">
        <v>17551</v>
      </c>
    </row>
    <row r="4453" spans="1:1" x14ac:dyDescent="0.25">
      <c r="A4453" s="16" t="s">
        <v>12071</v>
      </c>
    </row>
    <row r="4454" spans="1:1" x14ac:dyDescent="0.25">
      <c r="A4454" s="16" t="s">
        <v>12072</v>
      </c>
    </row>
    <row r="4455" spans="1:1" x14ac:dyDescent="0.25">
      <c r="A4455" s="16" t="s">
        <v>12073</v>
      </c>
    </row>
    <row r="4456" spans="1:1" x14ac:dyDescent="0.25">
      <c r="A4456" s="16" t="s">
        <v>13050</v>
      </c>
    </row>
    <row r="4457" spans="1:1" x14ac:dyDescent="0.25">
      <c r="A4457" s="16" t="s">
        <v>13071</v>
      </c>
    </row>
    <row r="4458" spans="1:1" x14ac:dyDescent="0.25">
      <c r="A4458" s="16" t="s">
        <v>13072</v>
      </c>
    </row>
    <row r="4459" spans="1:1" x14ac:dyDescent="0.25">
      <c r="A4459" s="16" t="s">
        <v>13083</v>
      </c>
    </row>
    <row r="4460" spans="1:1" x14ac:dyDescent="0.25">
      <c r="A4460" s="16" t="s">
        <v>13084</v>
      </c>
    </row>
    <row r="4461" spans="1:1" x14ac:dyDescent="0.25">
      <c r="A4461" s="16" t="s">
        <v>12930</v>
      </c>
    </row>
    <row r="4462" spans="1:1" x14ac:dyDescent="0.25">
      <c r="A4462" s="16" t="s">
        <v>12931</v>
      </c>
    </row>
    <row r="4463" spans="1:1" x14ac:dyDescent="0.25">
      <c r="A4463" s="16" t="s">
        <v>12932</v>
      </c>
    </row>
    <row r="4464" spans="1:1" x14ac:dyDescent="0.25">
      <c r="A4464" s="16" t="s">
        <v>12936</v>
      </c>
    </row>
    <row r="4465" spans="1:1" x14ac:dyDescent="0.25">
      <c r="A4465" s="16" t="s">
        <v>12933</v>
      </c>
    </row>
    <row r="4466" spans="1:1" x14ac:dyDescent="0.25">
      <c r="A4466" s="16" t="s">
        <v>12934</v>
      </c>
    </row>
    <row r="4467" spans="1:1" x14ac:dyDescent="0.25">
      <c r="A4467" s="16" t="s">
        <v>12080</v>
      </c>
    </row>
    <row r="4468" spans="1:1" x14ac:dyDescent="0.25">
      <c r="A4468" s="16" t="s">
        <v>12092</v>
      </c>
    </row>
    <row r="4469" spans="1:1" x14ac:dyDescent="0.25">
      <c r="A4469" s="16" t="s">
        <v>12093</v>
      </c>
    </row>
    <row r="4470" spans="1:1" x14ac:dyDescent="0.25">
      <c r="A4470" s="16" t="s">
        <v>12094</v>
      </c>
    </row>
    <row r="4471" spans="1:1" x14ac:dyDescent="0.25">
      <c r="A4471" s="16" t="s">
        <v>12939</v>
      </c>
    </row>
    <row r="4472" spans="1:1" x14ac:dyDescent="0.25">
      <c r="A4472" s="16" t="s">
        <v>12940</v>
      </c>
    </row>
    <row r="4473" spans="1:1" x14ac:dyDescent="0.25">
      <c r="A4473" s="16" t="s">
        <v>12097</v>
      </c>
    </row>
    <row r="4474" spans="1:1" x14ac:dyDescent="0.25">
      <c r="A4474" s="16" t="s">
        <v>12098</v>
      </c>
    </row>
    <row r="4475" spans="1:1" x14ac:dyDescent="0.25">
      <c r="A4475" s="16" t="s">
        <v>12946</v>
      </c>
    </row>
    <row r="4476" spans="1:1" x14ac:dyDescent="0.25">
      <c r="A4476" s="16" t="s">
        <v>12111</v>
      </c>
    </row>
    <row r="4477" spans="1:1" x14ac:dyDescent="0.25">
      <c r="A4477" s="16" t="s">
        <v>12112</v>
      </c>
    </row>
    <row r="4478" spans="1:1" x14ac:dyDescent="0.25">
      <c r="A4478" s="16" t="s">
        <v>12118</v>
      </c>
    </row>
    <row r="4479" spans="1:1" x14ac:dyDescent="0.25">
      <c r="A4479" s="16" t="s">
        <v>12968</v>
      </c>
    </row>
    <row r="4480" spans="1:1" x14ac:dyDescent="0.25">
      <c r="A4480" s="16" t="s">
        <v>12969</v>
      </c>
    </row>
    <row r="4481" spans="1:1" x14ac:dyDescent="0.25">
      <c r="A4481" s="16" t="s">
        <v>12970</v>
      </c>
    </row>
    <row r="4482" spans="1:1" x14ac:dyDescent="0.25">
      <c r="A4482" s="16" t="s">
        <v>12971</v>
      </c>
    </row>
    <row r="4483" spans="1:1" x14ac:dyDescent="0.25">
      <c r="A4483" s="16" t="s">
        <v>12131</v>
      </c>
    </row>
    <row r="4484" spans="1:1" x14ac:dyDescent="0.25">
      <c r="A4484" s="16" t="s">
        <v>12132</v>
      </c>
    </row>
    <row r="4485" spans="1:1" x14ac:dyDescent="0.25">
      <c r="A4485" s="16" t="s">
        <v>12133</v>
      </c>
    </row>
    <row r="4486" spans="1:1" x14ac:dyDescent="0.25">
      <c r="A4486" s="16" t="s">
        <v>12135</v>
      </c>
    </row>
    <row r="4487" spans="1:1" x14ac:dyDescent="0.25">
      <c r="A4487" s="16" t="s">
        <v>12979</v>
      </c>
    </row>
    <row r="4488" spans="1:1" x14ac:dyDescent="0.25">
      <c r="A4488" s="16" t="s">
        <v>12980</v>
      </c>
    </row>
    <row r="4489" spans="1:1" x14ac:dyDescent="0.25">
      <c r="A4489" s="16" t="s">
        <v>12982</v>
      </c>
    </row>
    <row r="4490" spans="1:1" x14ac:dyDescent="0.25">
      <c r="A4490" s="16" t="s">
        <v>12983</v>
      </c>
    </row>
    <row r="4491" spans="1:1" x14ac:dyDescent="0.25">
      <c r="A4491" s="16" t="s">
        <v>12150</v>
      </c>
    </row>
    <row r="4492" spans="1:1" x14ac:dyDescent="0.25">
      <c r="A4492" s="16" t="s">
        <v>12151</v>
      </c>
    </row>
    <row r="4493" spans="1:1" x14ac:dyDescent="0.25">
      <c r="A4493" s="16" t="s">
        <v>12989</v>
      </c>
    </row>
    <row r="4494" spans="1:1" x14ac:dyDescent="0.25">
      <c r="A4494" s="16" t="s">
        <v>12159</v>
      </c>
    </row>
    <row r="4495" spans="1:1" x14ac:dyDescent="0.25">
      <c r="A4495" s="16" t="s">
        <v>12160</v>
      </c>
    </row>
    <row r="4496" spans="1:1" x14ac:dyDescent="0.25">
      <c r="A4496" s="16" t="s">
        <v>12161</v>
      </c>
    </row>
    <row r="4497" spans="1:1" x14ac:dyDescent="0.25">
      <c r="A4497" s="16" t="s">
        <v>12162</v>
      </c>
    </row>
    <row r="4498" spans="1:1" x14ac:dyDescent="0.25">
      <c r="A4498" s="16" t="s">
        <v>13004</v>
      </c>
    </row>
    <row r="4499" spans="1:1" x14ac:dyDescent="0.25">
      <c r="A4499" s="16" t="s">
        <v>13005</v>
      </c>
    </row>
    <row r="4500" spans="1:1" x14ac:dyDescent="0.25">
      <c r="A4500" s="16" t="s">
        <v>13007</v>
      </c>
    </row>
    <row r="4501" spans="1:1" x14ac:dyDescent="0.25">
      <c r="A4501" s="16" t="s">
        <v>13008</v>
      </c>
    </row>
    <row r="4502" spans="1:1" x14ac:dyDescent="0.25">
      <c r="A4502" s="16" t="s">
        <v>12170</v>
      </c>
    </row>
    <row r="4503" spans="1:1" x14ac:dyDescent="0.25">
      <c r="A4503" s="16" t="s">
        <v>12172</v>
      </c>
    </row>
    <row r="4504" spans="1:1" x14ac:dyDescent="0.25">
      <c r="A4504" s="16" t="s">
        <v>13010</v>
      </c>
    </row>
    <row r="4505" spans="1:1" x14ac:dyDescent="0.25">
      <c r="A4505" s="16" t="s">
        <v>13011</v>
      </c>
    </row>
    <row r="4506" spans="1:1" x14ac:dyDescent="0.25">
      <c r="A4506" s="16" t="s">
        <v>13012</v>
      </c>
    </row>
    <row r="4507" spans="1:1" x14ac:dyDescent="0.25">
      <c r="A4507" s="16" t="s">
        <v>12183</v>
      </c>
    </row>
    <row r="4508" spans="1:1" x14ac:dyDescent="0.25">
      <c r="A4508" s="16" t="s">
        <v>12184</v>
      </c>
    </row>
    <row r="4509" spans="1:1" x14ac:dyDescent="0.25">
      <c r="A4509" s="16" t="s">
        <v>13027</v>
      </c>
    </row>
    <row r="4510" spans="1:1" x14ac:dyDescent="0.25">
      <c r="A4510" s="16" t="s">
        <v>13028</v>
      </c>
    </row>
    <row r="4511" spans="1:1" x14ac:dyDescent="0.25">
      <c r="A4511" s="16" t="s">
        <v>13029</v>
      </c>
    </row>
    <row r="4512" spans="1:1" x14ac:dyDescent="0.25">
      <c r="A4512" s="16" t="s">
        <v>12192</v>
      </c>
    </row>
    <row r="4513" spans="1:1" x14ac:dyDescent="0.25">
      <c r="A4513" s="16" t="s">
        <v>12193</v>
      </c>
    </row>
    <row r="4514" spans="1:1" x14ac:dyDescent="0.25">
      <c r="A4514" s="16" t="s">
        <v>12201</v>
      </c>
    </row>
    <row r="4515" spans="1:1" x14ac:dyDescent="0.25">
      <c r="A4515" s="16" t="s">
        <v>12202</v>
      </c>
    </row>
    <row r="4516" spans="1:1" x14ac:dyDescent="0.25">
      <c r="A4516" s="16" t="s">
        <v>13043</v>
      </c>
    </row>
    <row r="4517" spans="1:1" x14ac:dyDescent="0.25">
      <c r="A4517" s="16" t="s">
        <v>13044</v>
      </c>
    </row>
    <row r="4518" spans="1:1" x14ac:dyDescent="0.25">
      <c r="A4518" s="16" t="s">
        <v>13045</v>
      </c>
    </row>
    <row r="4519" spans="1:1" x14ac:dyDescent="0.25">
      <c r="A4519" s="16" t="s">
        <v>13046</v>
      </c>
    </row>
    <row r="4520" spans="1:1" x14ac:dyDescent="0.25">
      <c r="A4520" s="16" t="s">
        <v>13048</v>
      </c>
    </row>
    <row r="4521" spans="1:1" x14ac:dyDescent="0.25">
      <c r="A4521" s="16" t="s">
        <v>13049</v>
      </c>
    </row>
    <row r="4522" spans="1:1" x14ac:dyDescent="0.25">
      <c r="A4522" s="16" t="s">
        <v>12215</v>
      </c>
    </row>
    <row r="4523" spans="1:1" x14ac:dyDescent="0.25">
      <c r="A4523" s="16" t="s">
        <v>12216</v>
      </c>
    </row>
    <row r="4524" spans="1:1" x14ac:dyDescent="0.25">
      <c r="A4524" s="16" t="s">
        <v>12217</v>
      </c>
    </row>
    <row r="4525" spans="1:1" x14ac:dyDescent="0.25">
      <c r="A4525" s="16" t="s">
        <v>12218</v>
      </c>
    </row>
    <row r="4526" spans="1:1" x14ac:dyDescent="0.25">
      <c r="A4526" s="16" t="s">
        <v>12219</v>
      </c>
    </row>
    <row r="4527" spans="1:1" x14ac:dyDescent="0.25">
      <c r="A4527" s="16" t="s">
        <v>12220</v>
      </c>
    </row>
    <row r="4528" spans="1:1" x14ac:dyDescent="0.25">
      <c r="A4528" s="16" t="s">
        <v>12221</v>
      </c>
    </row>
    <row r="4529" spans="1:1" x14ac:dyDescent="0.25">
      <c r="A4529" s="16" t="s">
        <v>13067</v>
      </c>
    </row>
    <row r="4530" spans="1:1" x14ac:dyDescent="0.25">
      <c r="A4530" s="16" t="s">
        <v>13068</v>
      </c>
    </row>
    <row r="4531" spans="1:1" x14ac:dyDescent="0.25">
      <c r="A4531" s="16" t="s">
        <v>13069</v>
      </c>
    </row>
    <row r="4532" spans="1:1" x14ac:dyDescent="0.25">
      <c r="A4532" s="16" t="s">
        <v>13070</v>
      </c>
    </row>
    <row r="4533" spans="1:1" x14ac:dyDescent="0.25">
      <c r="A4533" s="16" t="s">
        <v>12222</v>
      </c>
    </row>
    <row r="4534" spans="1:1" x14ac:dyDescent="0.25">
      <c r="A4534" s="16" t="s">
        <v>12234</v>
      </c>
    </row>
    <row r="4535" spans="1:1" x14ac:dyDescent="0.25">
      <c r="A4535" s="16" t="s">
        <v>13077</v>
      </c>
    </row>
    <row r="4536" spans="1:1" x14ac:dyDescent="0.25">
      <c r="A4536" s="16" t="s">
        <v>13078</v>
      </c>
    </row>
    <row r="4537" spans="1:1" x14ac:dyDescent="0.25">
      <c r="A4537" s="16" t="s">
        <v>12247</v>
      </c>
    </row>
    <row r="4538" spans="1:1" x14ac:dyDescent="0.25">
      <c r="A4538" s="16" t="s">
        <v>12248</v>
      </c>
    </row>
    <row r="4539" spans="1:1" x14ac:dyDescent="0.25">
      <c r="A4539" s="16" t="s">
        <v>12249</v>
      </c>
    </row>
    <row r="4540" spans="1:1" x14ac:dyDescent="0.25">
      <c r="A4540" s="16" t="s">
        <v>12250</v>
      </c>
    </row>
    <row r="4541" spans="1:1" x14ac:dyDescent="0.25">
      <c r="A4541" s="16" t="s">
        <v>12260</v>
      </c>
    </row>
    <row r="4542" spans="1:1" x14ac:dyDescent="0.25">
      <c r="A4542" s="16" t="s">
        <v>12261</v>
      </c>
    </row>
    <row r="4543" spans="1:1" x14ac:dyDescent="0.25">
      <c r="A4543" s="16" t="s">
        <v>12271</v>
      </c>
    </row>
    <row r="4544" spans="1:1" x14ac:dyDescent="0.25">
      <c r="A4544" s="16" t="s">
        <v>12272</v>
      </c>
    </row>
    <row r="4545" spans="1:1" x14ac:dyDescent="0.25">
      <c r="A4545" s="16" t="s">
        <v>12273</v>
      </c>
    </row>
    <row r="4546" spans="1:1" x14ac:dyDescent="0.25">
      <c r="A4546" s="16" t="s">
        <v>12287</v>
      </c>
    </row>
    <row r="4547" spans="1:1" x14ac:dyDescent="0.25">
      <c r="A4547" s="16" t="s">
        <v>12288</v>
      </c>
    </row>
    <row r="4548" spans="1:1" x14ac:dyDescent="0.25">
      <c r="A4548" s="16" t="s">
        <v>12289</v>
      </c>
    </row>
    <row r="4549" spans="1:1" x14ac:dyDescent="0.25">
      <c r="A4549" s="16" t="s">
        <v>12290</v>
      </c>
    </row>
    <row r="4550" spans="1:1" x14ac:dyDescent="0.25">
      <c r="A4550" s="16" t="s">
        <v>12308</v>
      </c>
    </row>
    <row r="4551" spans="1:1" x14ac:dyDescent="0.25">
      <c r="A4551" s="16" t="s">
        <v>12309</v>
      </c>
    </row>
    <row r="4552" spans="1:1" x14ac:dyDescent="0.25">
      <c r="A4552" s="16" t="s">
        <v>12310</v>
      </c>
    </row>
    <row r="4553" spans="1:1" x14ac:dyDescent="0.25">
      <c r="A4553" s="16" t="s">
        <v>12311</v>
      </c>
    </row>
    <row r="4554" spans="1:1" x14ac:dyDescent="0.25">
      <c r="A4554" s="16" t="s">
        <v>12326</v>
      </c>
    </row>
    <row r="4555" spans="1:1" x14ac:dyDescent="0.25">
      <c r="A4555" s="16" t="s">
        <v>12327</v>
      </c>
    </row>
    <row r="4556" spans="1:1" x14ac:dyDescent="0.25">
      <c r="A4556" s="16" t="s">
        <v>12328</v>
      </c>
    </row>
    <row r="4557" spans="1:1" x14ac:dyDescent="0.25">
      <c r="A4557" s="16" t="s">
        <v>12329</v>
      </c>
    </row>
    <row r="4558" spans="1:1" x14ac:dyDescent="0.25">
      <c r="A4558" s="16" t="s">
        <v>12339</v>
      </c>
    </row>
    <row r="4559" spans="1:1" x14ac:dyDescent="0.25">
      <c r="A4559" s="16" t="s">
        <v>12340</v>
      </c>
    </row>
    <row r="4560" spans="1:1" x14ac:dyDescent="0.25">
      <c r="A4560" s="16" t="s">
        <v>12355</v>
      </c>
    </row>
    <row r="4561" spans="1:1" x14ac:dyDescent="0.25">
      <c r="A4561" s="16" t="s">
        <v>12356</v>
      </c>
    </row>
    <row r="4562" spans="1:1" x14ac:dyDescent="0.25">
      <c r="A4562" s="16" t="s">
        <v>12357</v>
      </c>
    </row>
    <row r="4563" spans="1:1" x14ac:dyDescent="0.25">
      <c r="A4563" s="16" t="s">
        <v>12366</v>
      </c>
    </row>
    <row r="4564" spans="1:1" x14ac:dyDescent="0.25">
      <c r="A4564" s="16" t="s">
        <v>12378</v>
      </c>
    </row>
    <row r="4565" spans="1:1" x14ac:dyDescent="0.25">
      <c r="A4565" s="16" t="s">
        <v>12399</v>
      </c>
    </row>
    <row r="4566" spans="1:1" x14ac:dyDescent="0.25">
      <c r="A4566" s="16" t="s">
        <v>12400</v>
      </c>
    </row>
    <row r="4567" spans="1:1" x14ac:dyDescent="0.25">
      <c r="A4567" s="16" t="s">
        <v>12401</v>
      </c>
    </row>
    <row r="4568" spans="1:1" x14ac:dyDescent="0.25">
      <c r="A4568" s="16" t="s">
        <v>12412</v>
      </c>
    </row>
    <row r="4569" spans="1:1" x14ac:dyDescent="0.25">
      <c r="A4569" s="16" t="s">
        <v>12413</v>
      </c>
    </row>
    <row r="4570" spans="1:1" x14ac:dyDescent="0.25">
      <c r="A4570" s="16" t="s">
        <v>12414</v>
      </c>
    </row>
    <row r="4571" spans="1:1" x14ac:dyDescent="0.25">
      <c r="A4571" s="16" t="s">
        <v>12415</v>
      </c>
    </row>
    <row r="4572" spans="1:1" x14ac:dyDescent="0.25">
      <c r="A4572" s="16" t="s">
        <v>12435</v>
      </c>
    </row>
    <row r="4573" spans="1:1" x14ac:dyDescent="0.25">
      <c r="A4573" s="16" t="s">
        <v>12436</v>
      </c>
    </row>
    <row r="4574" spans="1:1" x14ac:dyDescent="0.25">
      <c r="A4574" s="16" t="s">
        <v>12445</v>
      </c>
    </row>
    <row r="4575" spans="1:1" x14ac:dyDescent="0.25">
      <c r="A4575" s="16" t="s">
        <v>12446</v>
      </c>
    </row>
    <row r="4576" spans="1:1" x14ac:dyDescent="0.25">
      <c r="A4576" s="16" t="s">
        <v>12447</v>
      </c>
    </row>
    <row r="4577" spans="1:1" x14ac:dyDescent="0.25">
      <c r="A4577" s="16" t="s">
        <v>12448</v>
      </c>
    </row>
    <row r="4578" spans="1:1" x14ac:dyDescent="0.25">
      <c r="A4578" s="16" t="s">
        <v>12449</v>
      </c>
    </row>
    <row r="4579" spans="1:1" x14ac:dyDescent="0.25">
      <c r="A4579" s="16" t="s">
        <v>12472</v>
      </c>
    </row>
    <row r="4580" spans="1:1" x14ac:dyDescent="0.25">
      <c r="A4580" s="16" t="s">
        <v>12473</v>
      </c>
    </row>
    <row r="4581" spans="1:1" x14ac:dyDescent="0.25">
      <c r="A4581" s="16" t="s">
        <v>12474</v>
      </c>
    </row>
    <row r="4582" spans="1:1" x14ac:dyDescent="0.25">
      <c r="A4582" s="16" t="s">
        <v>12485</v>
      </c>
    </row>
    <row r="4583" spans="1:1" x14ac:dyDescent="0.25">
      <c r="A4583" s="16" t="s">
        <v>12504</v>
      </c>
    </row>
    <row r="4584" spans="1:1" x14ac:dyDescent="0.25">
      <c r="A4584" s="16" t="s">
        <v>12505</v>
      </c>
    </row>
    <row r="4585" spans="1:1" x14ac:dyDescent="0.25">
      <c r="A4585" s="16" t="s">
        <v>12506</v>
      </c>
    </row>
    <row r="4586" spans="1:1" x14ac:dyDescent="0.25">
      <c r="A4586" s="16" t="s">
        <v>12511</v>
      </c>
    </row>
    <row r="4587" spans="1:1" x14ac:dyDescent="0.25">
      <c r="A4587" s="16" t="s">
        <v>12528</v>
      </c>
    </row>
    <row r="4588" spans="1:1" x14ac:dyDescent="0.25">
      <c r="A4588" s="16" t="s">
        <v>12529</v>
      </c>
    </row>
    <row r="4589" spans="1:1" x14ac:dyDescent="0.25">
      <c r="A4589" s="16" t="s">
        <v>12534</v>
      </c>
    </row>
    <row r="4590" spans="1:1" x14ac:dyDescent="0.25">
      <c r="A4590" s="16" t="s">
        <v>12535</v>
      </c>
    </row>
    <row r="4591" spans="1:1" x14ac:dyDescent="0.25">
      <c r="A4591" s="16" t="s">
        <v>12536</v>
      </c>
    </row>
    <row r="4592" spans="1:1" x14ac:dyDescent="0.25">
      <c r="A4592" s="16" t="s">
        <v>12537</v>
      </c>
    </row>
    <row r="4593" spans="1:1" x14ac:dyDescent="0.25">
      <c r="A4593" s="16" t="s">
        <v>12538</v>
      </c>
    </row>
    <row r="4594" spans="1:1" x14ac:dyDescent="0.25">
      <c r="A4594" s="16" t="s">
        <v>12539</v>
      </c>
    </row>
    <row r="4595" spans="1:1" x14ac:dyDescent="0.25">
      <c r="A4595" s="16" t="s">
        <v>12558</v>
      </c>
    </row>
    <row r="4596" spans="1:1" x14ac:dyDescent="0.25">
      <c r="A4596" s="16" t="s">
        <v>12559</v>
      </c>
    </row>
    <row r="4597" spans="1:1" x14ac:dyDescent="0.25">
      <c r="A4597" s="16" t="s">
        <v>12567</v>
      </c>
    </row>
    <row r="4598" spans="1:1" x14ac:dyDescent="0.25">
      <c r="A4598" s="16" t="s">
        <v>12568</v>
      </c>
    </row>
    <row r="4599" spans="1:1" x14ac:dyDescent="0.25">
      <c r="A4599" s="16" t="s">
        <v>12586</v>
      </c>
    </row>
    <row r="4600" spans="1:1" x14ac:dyDescent="0.25">
      <c r="A4600" s="16" t="s">
        <v>12587</v>
      </c>
    </row>
    <row r="4601" spans="1:1" x14ac:dyDescent="0.25">
      <c r="A4601" s="16" t="s">
        <v>12588</v>
      </c>
    </row>
    <row r="4602" spans="1:1" x14ac:dyDescent="0.25">
      <c r="A4602" s="16" t="s">
        <v>12595</v>
      </c>
    </row>
    <row r="4603" spans="1:1" x14ac:dyDescent="0.25">
      <c r="A4603" s="16" t="s">
        <v>12613</v>
      </c>
    </row>
    <row r="4604" spans="1:1" x14ac:dyDescent="0.25">
      <c r="A4604" s="16" t="s">
        <v>12614</v>
      </c>
    </row>
    <row r="4605" spans="1:1" x14ac:dyDescent="0.25">
      <c r="A4605" s="16" t="s">
        <v>12615</v>
      </c>
    </row>
    <row r="4606" spans="1:1" x14ac:dyDescent="0.25">
      <c r="A4606" s="16" t="s">
        <v>12616</v>
      </c>
    </row>
    <row r="4607" spans="1:1" x14ac:dyDescent="0.25">
      <c r="A4607" s="16" t="s">
        <v>12640</v>
      </c>
    </row>
    <row r="4608" spans="1:1" x14ac:dyDescent="0.25">
      <c r="A4608" s="16" t="s">
        <v>12641</v>
      </c>
    </row>
    <row r="4609" spans="1:1" x14ac:dyDescent="0.25">
      <c r="A4609" s="16" t="s">
        <v>12642</v>
      </c>
    </row>
    <row r="4610" spans="1:1" x14ac:dyDescent="0.25">
      <c r="A4610" s="16" t="s">
        <v>12643</v>
      </c>
    </row>
    <row r="4611" spans="1:1" x14ac:dyDescent="0.25">
      <c r="A4611" s="16" t="s">
        <v>12644</v>
      </c>
    </row>
    <row r="4612" spans="1:1" x14ac:dyDescent="0.25">
      <c r="A4612" s="16" t="s">
        <v>12645</v>
      </c>
    </row>
    <row r="4613" spans="1:1" x14ac:dyDescent="0.25">
      <c r="A4613" s="16" t="s">
        <v>12646</v>
      </c>
    </row>
    <row r="4614" spans="1:1" x14ac:dyDescent="0.25">
      <c r="A4614" s="16" t="s">
        <v>12647</v>
      </c>
    </row>
    <row r="4615" spans="1:1" x14ac:dyDescent="0.25">
      <c r="A4615" s="16" t="s">
        <v>12648</v>
      </c>
    </row>
    <row r="4616" spans="1:1" x14ac:dyDescent="0.25">
      <c r="A4616" s="16" t="s">
        <v>12649</v>
      </c>
    </row>
    <row r="4617" spans="1:1" x14ac:dyDescent="0.25">
      <c r="A4617" s="16" t="s">
        <v>12650</v>
      </c>
    </row>
    <row r="4618" spans="1:1" x14ac:dyDescent="0.25">
      <c r="A4618" s="16" t="s">
        <v>12678</v>
      </c>
    </row>
    <row r="4619" spans="1:1" x14ac:dyDescent="0.25">
      <c r="A4619" s="16" t="s">
        <v>12679</v>
      </c>
    </row>
    <row r="4620" spans="1:1" x14ac:dyDescent="0.25">
      <c r="A4620" s="16" t="s">
        <v>12686</v>
      </c>
    </row>
    <row r="4621" spans="1:1" x14ac:dyDescent="0.25">
      <c r="A4621" s="16" t="s">
        <v>12687</v>
      </c>
    </row>
    <row r="4622" spans="1:1" x14ac:dyDescent="0.25">
      <c r="A4622" s="16" t="s">
        <v>12689</v>
      </c>
    </row>
    <row r="4623" spans="1:1" x14ac:dyDescent="0.25">
      <c r="A4623" s="16" t="s">
        <v>12690</v>
      </c>
    </row>
    <row r="4624" spans="1:1" x14ac:dyDescent="0.25">
      <c r="A4624" s="16" t="s">
        <v>12691</v>
      </c>
    </row>
    <row r="4625" spans="1:1" x14ac:dyDescent="0.25">
      <c r="A4625" s="16" t="s">
        <v>12698</v>
      </c>
    </row>
    <row r="4626" spans="1:1" x14ac:dyDescent="0.25">
      <c r="A4626" s="16" t="s">
        <v>12699</v>
      </c>
    </row>
    <row r="4627" spans="1:1" x14ac:dyDescent="0.25">
      <c r="A4627" s="16" t="s">
        <v>12700</v>
      </c>
    </row>
    <row r="4628" spans="1:1" x14ac:dyDescent="0.25">
      <c r="A4628" s="16" t="s">
        <v>12708</v>
      </c>
    </row>
    <row r="4629" spans="1:1" x14ac:dyDescent="0.25">
      <c r="A4629" s="16" t="s">
        <v>12709</v>
      </c>
    </row>
    <row r="4630" spans="1:1" x14ac:dyDescent="0.25">
      <c r="A4630" s="16" t="s">
        <v>12719</v>
      </c>
    </row>
    <row r="4631" spans="1:1" x14ac:dyDescent="0.25">
      <c r="A4631" s="16" t="s">
        <v>12733</v>
      </c>
    </row>
    <row r="4632" spans="1:1" x14ac:dyDescent="0.25">
      <c r="A4632" s="16" t="s">
        <v>12741</v>
      </c>
    </row>
    <row r="4633" spans="1:1" x14ac:dyDescent="0.25">
      <c r="A4633" s="16" t="s">
        <v>12747</v>
      </c>
    </row>
    <row r="4634" spans="1:1" x14ac:dyDescent="0.25">
      <c r="A4634" s="16" t="s">
        <v>12748</v>
      </c>
    </row>
    <row r="4635" spans="1:1" x14ac:dyDescent="0.25">
      <c r="A4635" s="16" t="s">
        <v>12749</v>
      </c>
    </row>
    <row r="4636" spans="1:1" x14ac:dyDescent="0.25">
      <c r="A4636" s="16" t="s">
        <v>11937</v>
      </c>
    </row>
    <row r="4637" spans="1:1" x14ac:dyDescent="0.25">
      <c r="A4637" s="16" t="s">
        <v>11938</v>
      </c>
    </row>
    <row r="4638" spans="1:1" x14ac:dyDescent="0.25">
      <c r="A4638" s="16" t="s">
        <v>11939</v>
      </c>
    </row>
    <row r="4639" spans="1:1" x14ac:dyDescent="0.25">
      <c r="A4639" s="16" t="s">
        <v>11940</v>
      </c>
    </row>
    <row r="4640" spans="1:1" x14ac:dyDescent="0.25">
      <c r="A4640" s="16" t="s">
        <v>12762</v>
      </c>
    </row>
    <row r="4641" spans="1:1" x14ac:dyDescent="0.25">
      <c r="A4641" s="16" t="s">
        <v>11954</v>
      </c>
    </row>
    <row r="4642" spans="1:1" x14ac:dyDescent="0.25">
      <c r="A4642" s="16" t="s">
        <v>11955</v>
      </c>
    </row>
    <row r="4643" spans="1:1" x14ac:dyDescent="0.25">
      <c r="A4643" s="16" t="s">
        <v>12774</v>
      </c>
    </row>
    <row r="4644" spans="1:1" x14ac:dyDescent="0.25">
      <c r="A4644" s="16" t="s">
        <v>12782</v>
      </c>
    </row>
    <row r="4645" spans="1:1" x14ac:dyDescent="0.25">
      <c r="A4645" s="16" t="s">
        <v>12783</v>
      </c>
    </row>
    <row r="4646" spans="1:1" x14ac:dyDescent="0.25">
      <c r="A4646" s="16" t="s">
        <v>12784</v>
      </c>
    </row>
    <row r="4647" spans="1:1" x14ac:dyDescent="0.25">
      <c r="A4647" s="16" t="s">
        <v>12785</v>
      </c>
    </row>
    <row r="4648" spans="1:1" x14ac:dyDescent="0.25">
      <c r="A4648" s="16" t="s">
        <v>11965</v>
      </c>
    </row>
    <row r="4649" spans="1:1" x14ac:dyDescent="0.25">
      <c r="A4649" s="16" t="s">
        <v>11969</v>
      </c>
    </row>
    <row r="4650" spans="1:1" x14ac:dyDescent="0.25">
      <c r="A4650" s="16" t="s">
        <v>11970</v>
      </c>
    </row>
    <row r="4651" spans="1:1" x14ac:dyDescent="0.25">
      <c r="A4651" s="16" t="s">
        <v>12808</v>
      </c>
    </row>
    <row r="4652" spans="1:1" x14ac:dyDescent="0.25">
      <c r="A4652" s="16" t="s">
        <v>11978</v>
      </c>
    </row>
    <row r="4653" spans="1:1" x14ac:dyDescent="0.25">
      <c r="A4653" s="16" t="s">
        <v>12831</v>
      </c>
    </row>
    <row r="4654" spans="1:1" x14ac:dyDescent="0.25">
      <c r="A4654" s="16" t="s">
        <v>12832</v>
      </c>
    </row>
    <row r="4655" spans="1:1" x14ac:dyDescent="0.25">
      <c r="A4655" s="16" t="s">
        <v>11997</v>
      </c>
    </row>
    <row r="4656" spans="1:1" x14ac:dyDescent="0.25">
      <c r="A4656" s="16" t="s">
        <v>11998</v>
      </c>
    </row>
    <row r="4657" spans="1:1" x14ac:dyDescent="0.25">
      <c r="A4657" s="16" t="s">
        <v>12845</v>
      </c>
    </row>
    <row r="4658" spans="1:1" x14ac:dyDescent="0.25">
      <c r="A4658" s="16" t="s">
        <v>12025</v>
      </c>
    </row>
    <row r="4659" spans="1:1" x14ac:dyDescent="0.25">
      <c r="A4659" s="16" t="s">
        <v>12850</v>
      </c>
    </row>
    <row r="4660" spans="1:1" x14ac:dyDescent="0.25">
      <c r="A4660" s="16" t="s">
        <v>12026</v>
      </c>
    </row>
    <row r="4661" spans="1:1" x14ac:dyDescent="0.25">
      <c r="A4661" s="16" t="s">
        <v>12027</v>
      </c>
    </row>
    <row r="4662" spans="1:1" x14ac:dyDescent="0.25">
      <c r="A4662" s="16" t="s">
        <v>12028</v>
      </c>
    </row>
    <row r="4663" spans="1:1" x14ac:dyDescent="0.25">
      <c r="A4663" s="16" t="s">
        <v>12029</v>
      </c>
    </row>
    <row r="4664" spans="1:1" x14ac:dyDescent="0.25">
      <c r="A4664" s="16" t="s">
        <v>12854</v>
      </c>
    </row>
    <row r="4665" spans="1:1" x14ac:dyDescent="0.25">
      <c r="A4665" s="16" t="s">
        <v>12855</v>
      </c>
    </row>
    <row r="4666" spans="1:1" x14ac:dyDescent="0.25">
      <c r="A4666" s="16" t="s">
        <v>12856</v>
      </c>
    </row>
    <row r="4667" spans="1:1" x14ac:dyDescent="0.25">
      <c r="A4667" s="16" t="s">
        <v>12040</v>
      </c>
    </row>
    <row r="4668" spans="1:1" x14ac:dyDescent="0.25">
      <c r="A4668" s="16" t="s">
        <v>12041</v>
      </c>
    </row>
    <row r="4669" spans="1:1" x14ac:dyDescent="0.25">
      <c r="A4669" s="16" t="s">
        <v>12042</v>
      </c>
    </row>
    <row r="4670" spans="1:1" x14ac:dyDescent="0.25">
      <c r="A4670" s="16" t="s">
        <v>12043</v>
      </c>
    </row>
    <row r="4671" spans="1:1" x14ac:dyDescent="0.25">
      <c r="A4671" s="16" t="s">
        <v>12044</v>
      </c>
    </row>
    <row r="4672" spans="1:1" x14ac:dyDescent="0.25">
      <c r="A4672" s="16" t="s">
        <v>12045</v>
      </c>
    </row>
    <row r="4673" spans="1:1" x14ac:dyDescent="0.25">
      <c r="A4673" s="16" t="s">
        <v>12046</v>
      </c>
    </row>
    <row r="4674" spans="1:1" x14ac:dyDescent="0.25">
      <c r="A4674" s="16" t="s">
        <v>12047</v>
      </c>
    </row>
    <row r="4675" spans="1:1" x14ac:dyDescent="0.25">
      <c r="A4675" s="16" t="s">
        <v>12048</v>
      </c>
    </row>
    <row r="4676" spans="1:1" x14ac:dyDescent="0.25">
      <c r="A4676" s="16" t="s">
        <v>12049</v>
      </c>
    </row>
    <row r="4677" spans="1:1" x14ac:dyDescent="0.25">
      <c r="A4677" s="16" t="s">
        <v>12052</v>
      </c>
    </row>
    <row r="4678" spans="1:1" x14ac:dyDescent="0.25">
      <c r="A4678" s="16" t="s">
        <v>12053</v>
      </c>
    </row>
    <row r="4679" spans="1:1" x14ac:dyDescent="0.25">
      <c r="A4679" s="16" t="s">
        <v>12881</v>
      </c>
    </row>
    <row r="4680" spans="1:1" x14ac:dyDescent="0.25">
      <c r="A4680" s="16" t="s">
        <v>12882</v>
      </c>
    </row>
    <row r="4681" spans="1:1" x14ac:dyDescent="0.25">
      <c r="A4681" s="16" t="s">
        <v>12883</v>
      </c>
    </row>
    <row r="4682" spans="1:1" x14ac:dyDescent="0.25">
      <c r="A4682" s="16" t="s">
        <v>12887</v>
      </c>
    </row>
    <row r="4683" spans="1:1" x14ac:dyDescent="0.25">
      <c r="A4683" s="16" t="s">
        <v>12890</v>
      </c>
    </row>
    <row r="4684" spans="1:1" x14ac:dyDescent="0.25">
      <c r="A4684" s="16" t="s">
        <v>12896</v>
      </c>
    </row>
    <row r="4685" spans="1:1" x14ac:dyDescent="0.25">
      <c r="A4685" s="16" t="s">
        <v>12897</v>
      </c>
    </row>
    <row r="4686" spans="1:1" x14ac:dyDescent="0.25">
      <c r="A4686" s="16" t="s">
        <v>12898</v>
      </c>
    </row>
    <row r="4687" spans="1:1" x14ac:dyDescent="0.25">
      <c r="A4687" s="16" t="s">
        <v>11114</v>
      </c>
    </row>
    <row r="4688" spans="1:1" x14ac:dyDescent="0.25">
      <c r="A4688" s="16" t="s">
        <v>11128</v>
      </c>
    </row>
    <row r="4689" spans="1:1" x14ac:dyDescent="0.25">
      <c r="A4689" s="16" t="s">
        <v>11196</v>
      </c>
    </row>
    <row r="4690" spans="1:1" x14ac:dyDescent="0.25">
      <c r="A4690" s="16" t="s">
        <v>11198</v>
      </c>
    </row>
    <row r="4691" spans="1:1" x14ac:dyDescent="0.25">
      <c r="A4691" s="16" t="s">
        <v>11256</v>
      </c>
    </row>
    <row r="4692" spans="1:1" x14ac:dyDescent="0.25">
      <c r="A4692" s="16" t="s">
        <v>11313</v>
      </c>
    </row>
    <row r="4693" spans="1:1" x14ac:dyDescent="0.25">
      <c r="A4693" s="16" t="s">
        <v>11341</v>
      </c>
    </row>
    <row r="4694" spans="1:1" x14ac:dyDescent="0.25">
      <c r="A4694" s="16" t="s">
        <v>11399</v>
      </c>
    </row>
    <row r="4695" spans="1:1" x14ac:dyDescent="0.25">
      <c r="A4695" s="16" t="s">
        <v>11424</v>
      </c>
    </row>
    <row r="4696" spans="1:1" x14ac:dyDescent="0.25">
      <c r="A4696" s="16" t="s">
        <v>11515</v>
      </c>
    </row>
    <row r="4697" spans="1:1" x14ac:dyDescent="0.25">
      <c r="A4697" s="16" t="s">
        <v>11706</v>
      </c>
    </row>
    <row r="4698" spans="1:1" x14ac:dyDescent="0.25">
      <c r="A4698" s="16" t="s">
        <v>11748</v>
      </c>
    </row>
    <row r="4699" spans="1:1" x14ac:dyDescent="0.25">
      <c r="A4699" s="16" t="s">
        <v>11749</v>
      </c>
    </row>
    <row r="4700" spans="1:1" x14ac:dyDescent="0.25">
      <c r="A4700" s="16" t="s">
        <v>11379</v>
      </c>
    </row>
    <row r="4701" spans="1:1" x14ac:dyDescent="0.25">
      <c r="A4701" s="16" t="s">
        <v>11511</v>
      </c>
    </row>
    <row r="4702" spans="1:1" x14ac:dyDescent="0.25">
      <c r="A4702" s="16" t="s">
        <v>11513</v>
      </c>
    </row>
    <row r="4703" spans="1:1" x14ac:dyDescent="0.25">
      <c r="A4703" s="16" t="s">
        <v>11961</v>
      </c>
    </row>
    <row r="4704" spans="1:1" x14ac:dyDescent="0.25">
      <c r="A4704" s="16" t="s">
        <v>11984</v>
      </c>
    </row>
    <row r="4705" spans="1:1" x14ac:dyDescent="0.25">
      <c r="A4705" s="16" t="s">
        <v>10669</v>
      </c>
    </row>
    <row r="4706" spans="1:1" x14ac:dyDescent="0.25">
      <c r="A4706" s="16" t="s">
        <v>10676</v>
      </c>
    </row>
    <row r="4707" spans="1:1" x14ac:dyDescent="0.25">
      <c r="A4707" s="16" t="s">
        <v>10694</v>
      </c>
    </row>
    <row r="4708" spans="1:1" x14ac:dyDescent="0.25">
      <c r="A4708" s="16" t="s">
        <v>11240</v>
      </c>
    </row>
    <row r="4709" spans="1:1" x14ac:dyDescent="0.25">
      <c r="A4709" s="16" t="s">
        <v>11353</v>
      </c>
    </row>
    <row r="4710" spans="1:1" x14ac:dyDescent="0.25">
      <c r="A4710" s="16" t="s">
        <v>11356</v>
      </c>
    </row>
    <row r="4711" spans="1:1" x14ac:dyDescent="0.25">
      <c r="A4711" s="16" t="s">
        <v>11503</v>
      </c>
    </row>
    <row r="4712" spans="1:1" x14ac:dyDescent="0.25">
      <c r="A4712" s="16" t="s">
        <v>11505</v>
      </c>
    </row>
    <row r="4713" spans="1:1" x14ac:dyDescent="0.25">
      <c r="A4713" s="16" t="s">
        <v>11509</v>
      </c>
    </row>
    <row r="4714" spans="1:1" x14ac:dyDescent="0.25">
      <c r="A4714" s="16" t="s">
        <v>11522</v>
      </c>
    </row>
    <row r="4715" spans="1:1" x14ac:dyDescent="0.25">
      <c r="A4715" s="16" t="s">
        <v>11641</v>
      </c>
    </row>
    <row r="4716" spans="1:1" x14ac:dyDescent="0.25">
      <c r="A4716" s="16" t="s">
        <v>11766</v>
      </c>
    </row>
    <row r="4717" spans="1:1" x14ac:dyDescent="0.25">
      <c r="A4717" s="16" t="s">
        <v>11781</v>
      </c>
    </row>
    <row r="4718" spans="1:1" x14ac:dyDescent="0.25">
      <c r="A4718" s="16" t="s">
        <v>11835</v>
      </c>
    </row>
    <row r="4719" spans="1:1" x14ac:dyDescent="0.25">
      <c r="A4719" s="16" t="s">
        <v>11853</v>
      </c>
    </row>
    <row r="4720" spans="1:1" x14ac:dyDescent="0.25">
      <c r="A4720" s="16" t="s">
        <v>11896</v>
      </c>
    </row>
    <row r="4721" spans="1:1" x14ac:dyDescent="0.25">
      <c r="A4721" s="16" t="s">
        <v>11900</v>
      </c>
    </row>
    <row r="4722" spans="1:1" x14ac:dyDescent="0.25">
      <c r="A4722" s="16" t="s">
        <v>12037</v>
      </c>
    </row>
    <row r="4723" spans="1:1" x14ac:dyDescent="0.25">
      <c r="A4723" s="16" t="s">
        <v>12758</v>
      </c>
    </row>
    <row r="4724" spans="1:1" x14ac:dyDescent="0.25">
      <c r="A4724" s="16" t="s">
        <v>9948</v>
      </c>
    </row>
    <row r="4725" spans="1:1" x14ac:dyDescent="0.25">
      <c r="A4725" s="16" t="s">
        <v>9950</v>
      </c>
    </row>
    <row r="4726" spans="1:1" x14ac:dyDescent="0.25">
      <c r="A4726" s="16" t="s">
        <v>9951</v>
      </c>
    </row>
    <row r="4727" spans="1:1" x14ac:dyDescent="0.25">
      <c r="A4727" s="16" t="s">
        <v>10064</v>
      </c>
    </row>
    <row r="4728" spans="1:1" x14ac:dyDescent="0.25">
      <c r="A4728" s="16" t="s">
        <v>10165</v>
      </c>
    </row>
    <row r="4729" spans="1:1" x14ac:dyDescent="0.25">
      <c r="A4729" s="16" t="s">
        <v>10381</v>
      </c>
    </row>
    <row r="4730" spans="1:1" x14ac:dyDescent="0.25">
      <c r="A4730" s="16" t="s">
        <v>10436</v>
      </c>
    </row>
    <row r="4731" spans="1:1" x14ac:dyDescent="0.25">
      <c r="A4731" s="16" t="s">
        <v>12974</v>
      </c>
    </row>
    <row r="4732" spans="1:1" x14ac:dyDescent="0.25">
      <c r="A4732" s="16" t="s">
        <v>13038</v>
      </c>
    </row>
    <row r="4733" spans="1:1" x14ac:dyDescent="0.25">
      <c r="A4733" s="16" t="s">
        <v>11571</v>
      </c>
    </row>
    <row r="4734" spans="1:1" x14ac:dyDescent="0.25">
      <c r="A4734" s="16" t="s">
        <v>11580</v>
      </c>
    </row>
    <row r="4735" spans="1:1" x14ac:dyDescent="0.25">
      <c r="A4735" s="16" t="s">
        <v>11601</v>
      </c>
    </row>
    <row r="4736" spans="1:1" x14ac:dyDescent="0.25">
      <c r="A4736" s="16" t="s">
        <v>11679</v>
      </c>
    </row>
    <row r="4737" spans="1:1" x14ac:dyDescent="0.25">
      <c r="A4737" s="16" t="s">
        <v>11507</v>
      </c>
    </row>
    <row r="4738" spans="1:1" x14ac:dyDescent="0.25">
      <c r="A4738" s="16" t="s">
        <v>11524</v>
      </c>
    </row>
    <row r="4739" spans="1:1" x14ac:dyDescent="0.25">
      <c r="A4739" s="16" t="s">
        <v>11539</v>
      </c>
    </row>
    <row r="4740" spans="1:1" x14ac:dyDescent="0.25">
      <c r="A4740" s="16" t="s">
        <v>11550</v>
      </c>
    </row>
    <row r="4741" spans="1:1" x14ac:dyDescent="0.25">
      <c r="A4741" s="16" t="s">
        <v>12806</v>
      </c>
    </row>
    <row r="4742" spans="1:1" x14ac:dyDescent="0.25">
      <c r="A4742" s="16" t="s">
        <v>12807</v>
      </c>
    </row>
    <row r="4743" spans="1:1" x14ac:dyDescent="0.25">
      <c r="A4743" s="16" t="s">
        <v>12756</v>
      </c>
    </row>
    <row r="4744" spans="1:1" x14ac:dyDescent="0.25">
      <c r="A4744" s="16" t="s">
        <v>12196</v>
      </c>
    </row>
    <row r="4745" spans="1:1" x14ac:dyDescent="0.25">
      <c r="A4745" s="16" t="s">
        <v>10756</v>
      </c>
    </row>
    <row r="4746" spans="1:1" x14ac:dyDescent="0.25">
      <c r="A4746" s="16" t="s">
        <v>11457</v>
      </c>
    </row>
    <row r="4747" spans="1:1" x14ac:dyDescent="0.25">
      <c r="A4747" s="16" t="s">
        <v>11557</v>
      </c>
    </row>
    <row r="4748" spans="1:1" x14ac:dyDescent="0.25">
      <c r="A4748" s="16" t="s">
        <v>11582</v>
      </c>
    </row>
    <row r="4749" spans="1:1" x14ac:dyDescent="0.25">
      <c r="A4749" s="16" t="s">
        <v>11710</v>
      </c>
    </row>
    <row r="4750" spans="1:1" x14ac:dyDescent="0.25">
      <c r="A4750" s="16" t="s">
        <v>12302</v>
      </c>
    </row>
    <row r="4751" spans="1:1" x14ac:dyDescent="0.25">
      <c r="A4751" s="16" t="s">
        <v>12403</v>
      </c>
    </row>
    <row r="4752" spans="1:1" x14ac:dyDescent="0.25">
      <c r="A4752" s="16" t="s">
        <v>12404</v>
      </c>
    </row>
    <row r="4753" spans="1:1" x14ac:dyDescent="0.25">
      <c r="A4753" s="16" t="s">
        <v>12406</v>
      </c>
    </row>
    <row r="4754" spans="1:1" x14ac:dyDescent="0.25">
      <c r="A4754" s="16" t="s">
        <v>12441</v>
      </c>
    </row>
    <row r="4755" spans="1:1" x14ac:dyDescent="0.25">
      <c r="A4755" s="16" t="s">
        <v>12442</v>
      </c>
    </row>
    <row r="4756" spans="1:1" x14ac:dyDescent="0.25">
      <c r="A4756" s="16" t="s">
        <v>12458</v>
      </c>
    </row>
    <row r="4757" spans="1:1" x14ac:dyDescent="0.25">
      <c r="A4757" s="16" t="s">
        <v>12454</v>
      </c>
    </row>
    <row r="4758" spans="1:1" x14ac:dyDescent="0.25">
      <c r="A4758" s="16" t="s">
        <v>12470</v>
      </c>
    </row>
    <row r="4759" spans="1:1" x14ac:dyDescent="0.25">
      <c r="A4759" s="16" t="s">
        <v>12530</v>
      </c>
    </row>
    <row r="4760" spans="1:1" x14ac:dyDescent="0.25">
      <c r="A4760" s="16" t="s">
        <v>12531</v>
      </c>
    </row>
    <row r="4761" spans="1:1" x14ac:dyDescent="0.25">
      <c r="A4761" s="16" t="s">
        <v>12546</v>
      </c>
    </row>
    <row r="4762" spans="1:1" x14ac:dyDescent="0.25">
      <c r="A4762" s="16" t="s">
        <v>12551</v>
      </c>
    </row>
    <row r="4763" spans="1:1" x14ac:dyDescent="0.25">
      <c r="A4763" s="16" t="s">
        <v>12582</v>
      </c>
    </row>
    <row r="4764" spans="1:1" x14ac:dyDescent="0.25">
      <c r="A4764" s="16" t="s">
        <v>12584</v>
      </c>
    </row>
    <row r="4765" spans="1:1" x14ac:dyDescent="0.25">
      <c r="A4765" s="16" t="s">
        <v>12589</v>
      </c>
    </row>
    <row r="4766" spans="1:1" x14ac:dyDescent="0.25">
      <c r="A4766" s="16" t="s">
        <v>12598</v>
      </c>
    </row>
    <row r="4767" spans="1:1" x14ac:dyDescent="0.25">
      <c r="A4767" s="16" t="s">
        <v>12609</v>
      </c>
    </row>
    <row r="4768" spans="1:1" x14ac:dyDescent="0.25">
      <c r="A4768" s="16" t="s">
        <v>12732</v>
      </c>
    </row>
    <row r="4769" spans="1:1" x14ac:dyDescent="0.25">
      <c r="A4769" s="16" t="s">
        <v>12736</v>
      </c>
    </row>
    <row r="4770" spans="1:1" x14ac:dyDescent="0.25">
      <c r="A4770" s="16" t="s">
        <v>12745</v>
      </c>
    </row>
    <row r="4771" spans="1:1" x14ac:dyDescent="0.25">
      <c r="A4771" s="16" t="s">
        <v>12750</v>
      </c>
    </row>
    <row r="4772" spans="1:1" x14ac:dyDescent="0.25">
      <c r="A4772" s="16" t="s">
        <v>12775</v>
      </c>
    </row>
    <row r="4773" spans="1:1" x14ac:dyDescent="0.25">
      <c r="A4773" s="16" t="s">
        <v>12793</v>
      </c>
    </row>
    <row r="4774" spans="1:1" x14ac:dyDescent="0.25">
      <c r="A4774" s="16" t="s">
        <v>12830</v>
      </c>
    </row>
    <row r="4775" spans="1:1" x14ac:dyDescent="0.25">
      <c r="A4775" s="16" t="s">
        <v>12901</v>
      </c>
    </row>
    <row r="4776" spans="1:1" x14ac:dyDescent="0.25">
      <c r="A4776" s="16" t="s">
        <v>11562</v>
      </c>
    </row>
    <row r="4777" spans="1:1" x14ac:dyDescent="0.25">
      <c r="A4777" s="16" t="s">
        <v>11712</v>
      </c>
    </row>
    <row r="4778" spans="1:1" x14ac:dyDescent="0.25">
      <c r="A4778" s="16" t="s">
        <v>11446</v>
      </c>
    </row>
    <row r="4779" spans="1:1" x14ac:dyDescent="0.25">
      <c r="A4779" s="16" t="s">
        <v>11480</v>
      </c>
    </row>
    <row r="4780" spans="1:1" x14ac:dyDescent="0.25">
      <c r="A4780" s="16" t="s">
        <v>11510</v>
      </c>
    </row>
    <row r="4781" spans="1:1" x14ac:dyDescent="0.25">
      <c r="A4781" s="16" t="s">
        <v>11538</v>
      </c>
    </row>
    <row r="4782" spans="1:1" x14ac:dyDescent="0.25">
      <c r="A4782" s="16" t="s">
        <v>11843</v>
      </c>
    </row>
    <row r="4783" spans="1:1" x14ac:dyDescent="0.25">
      <c r="A4783" s="16" t="s">
        <v>11855</v>
      </c>
    </row>
    <row r="4784" spans="1:1" x14ac:dyDescent="0.25">
      <c r="A4784" s="16" t="s">
        <v>11901</v>
      </c>
    </row>
    <row r="4785" spans="1:1" x14ac:dyDescent="0.25">
      <c r="A4785" s="16" t="s">
        <v>11903</v>
      </c>
    </row>
    <row r="4786" spans="1:1" x14ac:dyDescent="0.25">
      <c r="A4786" s="16" t="s">
        <v>12035</v>
      </c>
    </row>
    <row r="4787" spans="1:1" x14ac:dyDescent="0.25">
      <c r="A4787" s="16" t="s">
        <v>12085</v>
      </c>
    </row>
    <row r="4788" spans="1:1" x14ac:dyDescent="0.25">
      <c r="A4788" s="16" t="s">
        <v>12865</v>
      </c>
    </row>
    <row r="4789" spans="1:1" x14ac:dyDescent="0.25">
      <c r="A4789" s="16" t="s">
        <v>12109</v>
      </c>
    </row>
    <row r="4790" spans="1:1" x14ac:dyDescent="0.25">
      <c r="A4790" s="16" t="s">
        <v>12895</v>
      </c>
    </row>
    <row r="4791" spans="1:1" x14ac:dyDescent="0.25">
      <c r="A4791" s="16" t="s">
        <v>12141</v>
      </c>
    </row>
    <row r="4792" spans="1:1" x14ac:dyDescent="0.25">
      <c r="A4792" s="16" t="s">
        <v>12166</v>
      </c>
    </row>
    <row r="4793" spans="1:1" x14ac:dyDescent="0.25">
      <c r="A4793" s="16" t="s">
        <v>12167</v>
      </c>
    </row>
    <row r="4794" spans="1:1" x14ac:dyDescent="0.25">
      <c r="A4794" s="16" t="s">
        <v>12185</v>
      </c>
    </row>
    <row r="4795" spans="1:1" x14ac:dyDescent="0.25">
      <c r="A4795" s="16" t="s">
        <v>12274</v>
      </c>
    </row>
    <row r="4796" spans="1:1" x14ac:dyDescent="0.25">
      <c r="A4796" s="16" t="s">
        <v>12306</v>
      </c>
    </row>
    <row r="4797" spans="1:1" x14ac:dyDescent="0.25">
      <c r="A4797" s="16" t="s">
        <v>12349</v>
      </c>
    </row>
    <row r="4798" spans="1:1" x14ac:dyDescent="0.25">
      <c r="A4798" s="16" t="s">
        <v>12350</v>
      </c>
    </row>
    <row r="4799" spans="1:1" x14ac:dyDescent="0.25">
      <c r="A4799" s="16" t="s">
        <v>12459</v>
      </c>
    </row>
    <row r="4800" spans="1:1" x14ac:dyDescent="0.25">
      <c r="A4800" s="16" t="s">
        <v>12476</v>
      </c>
    </row>
    <row r="4801" spans="1:1" x14ac:dyDescent="0.25">
      <c r="A4801" s="16" t="s">
        <v>12549</v>
      </c>
    </row>
    <row r="4802" spans="1:1" x14ac:dyDescent="0.25">
      <c r="A4802" s="16" t="s">
        <v>12599</v>
      </c>
    </row>
    <row r="4803" spans="1:1" x14ac:dyDescent="0.25">
      <c r="A4803" s="16" t="s">
        <v>12601</v>
      </c>
    </row>
    <row r="4804" spans="1:1" x14ac:dyDescent="0.25">
      <c r="A4804" s="16" t="s">
        <v>12603</v>
      </c>
    </row>
    <row r="4805" spans="1:1" x14ac:dyDescent="0.25">
      <c r="A4805" s="16" t="s">
        <v>12724</v>
      </c>
    </row>
    <row r="4806" spans="1:1" x14ac:dyDescent="0.25">
      <c r="A4806" s="16" t="s">
        <v>12752</v>
      </c>
    </row>
    <row r="4807" spans="1:1" x14ac:dyDescent="0.25">
      <c r="A4807" s="16" t="s">
        <v>12753</v>
      </c>
    </row>
    <row r="4808" spans="1:1" x14ac:dyDescent="0.25">
      <c r="A4808" s="16" t="s">
        <v>12768</v>
      </c>
    </row>
    <row r="4809" spans="1:1" x14ac:dyDescent="0.25">
      <c r="A4809" s="16" t="s">
        <v>12817</v>
      </c>
    </row>
    <row r="4810" spans="1:1" x14ac:dyDescent="0.25">
      <c r="A4810" s="16" t="s">
        <v>12819</v>
      </c>
    </row>
    <row r="4811" spans="1:1" x14ac:dyDescent="0.25">
      <c r="A4811" s="16" t="s">
        <v>12999</v>
      </c>
    </row>
    <row r="4812" spans="1:1" x14ac:dyDescent="0.25">
      <c r="A4812" s="16" t="s">
        <v>13000</v>
      </c>
    </row>
    <row r="4813" spans="1:1" x14ac:dyDescent="0.25">
      <c r="A4813" s="16" t="s">
        <v>13001</v>
      </c>
    </row>
    <row r="4814" spans="1:1" x14ac:dyDescent="0.25">
      <c r="A4814" s="16" t="s">
        <v>13062</v>
      </c>
    </row>
    <row r="4815" spans="1:1" x14ac:dyDescent="0.25">
      <c r="A4815" s="16" t="s">
        <v>11530</v>
      </c>
    </row>
    <row r="4816" spans="1:1" x14ac:dyDescent="0.25">
      <c r="A4816" s="16" t="s">
        <v>11532</v>
      </c>
    </row>
    <row r="4817" spans="1:1" x14ac:dyDescent="0.25">
      <c r="A4817" s="16" t="s">
        <v>11584</v>
      </c>
    </row>
    <row r="4818" spans="1:1" x14ac:dyDescent="0.25">
      <c r="A4818" s="16" t="s">
        <v>11411</v>
      </c>
    </row>
    <row r="4819" spans="1:1" x14ac:dyDescent="0.25">
      <c r="A4819" s="16" t="s">
        <v>9628</v>
      </c>
    </row>
    <row r="4820" spans="1:1" x14ac:dyDescent="0.25">
      <c r="A4820" s="16" t="s">
        <v>9645</v>
      </c>
    </row>
    <row r="4821" spans="1:1" x14ac:dyDescent="0.25">
      <c r="A4821" s="16" t="s">
        <v>9658</v>
      </c>
    </row>
    <row r="4822" spans="1:1" x14ac:dyDescent="0.25">
      <c r="A4822" s="16" t="s">
        <v>9664</v>
      </c>
    </row>
    <row r="4823" spans="1:1" x14ac:dyDescent="0.25">
      <c r="A4823" s="16" t="s">
        <v>9665</v>
      </c>
    </row>
    <row r="4824" spans="1:1" x14ac:dyDescent="0.25">
      <c r="A4824" s="16" t="s">
        <v>9669</v>
      </c>
    </row>
    <row r="4825" spans="1:1" x14ac:dyDescent="0.25">
      <c r="A4825" s="16" t="s">
        <v>9683</v>
      </c>
    </row>
    <row r="4826" spans="1:1" x14ac:dyDescent="0.25">
      <c r="A4826" s="16" t="s">
        <v>9684</v>
      </c>
    </row>
    <row r="4827" spans="1:1" x14ac:dyDescent="0.25">
      <c r="A4827" s="16" t="s">
        <v>9685</v>
      </c>
    </row>
    <row r="4828" spans="1:1" x14ac:dyDescent="0.25">
      <c r="A4828" s="16" t="s">
        <v>9686</v>
      </c>
    </row>
    <row r="4829" spans="1:1" x14ac:dyDescent="0.25">
      <c r="A4829" s="16" t="s">
        <v>9707</v>
      </c>
    </row>
    <row r="4830" spans="1:1" x14ac:dyDescent="0.25">
      <c r="A4830" s="16" t="s">
        <v>9726</v>
      </c>
    </row>
    <row r="4831" spans="1:1" x14ac:dyDescent="0.25">
      <c r="A4831" s="16" t="s">
        <v>9737</v>
      </c>
    </row>
    <row r="4832" spans="1:1" x14ac:dyDescent="0.25">
      <c r="A4832" s="16" t="s">
        <v>9780</v>
      </c>
    </row>
    <row r="4833" spans="1:1" x14ac:dyDescent="0.25">
      <c r="A4833" s="16" t="s">
        <v>9793</v>
      </c>
    </row>
    <row r="4834" spans="1:1" x14ac:dyDescent="0.25">
      <c r="A4834" s="16" t="s">
        <v>9798</v>
      </c>
    </row>
    <row r="4835" spans="1:1" x14ac:dyDescent="0.25">
      <c r="A4835" s="16" t="s">
        <v>9810</v>
      </c>
    </row>
    <row r="4836" spans="1:1" x14ac:dyDescent="0.25">
      <c r="A4836" s="16" t="s">
        <v>9805</v>
      </c>
    </row>
    <row r="4837" spans="1:1" x14ac:dyDescent="0.25">
      <c r="A4837" s="16" t="s">
        <v>9820</v>
      </c>
    </row>
    <row r="4838" spans="1:1" x14ac:dyDescent="0.25">
      <c r="A4838" s="16" t="s">
        <v>9822</v>
      </c>
    </row>
    <row r="4839" spans="1:1" x14ac:dyDescent="0.25">
      <c r="A4839" s="16" t="s">
        <v>9843</v>
      </c>
    </row>
    <row r="4840" spans="1:1" x14ac:dyDescent="0.25">
      <c r="A4840" s="16" t="s">
        <v>9845</v>
      </c>
    </row>
    <row r="4841" spans="1:1" x14ac:dyDescent="0.25">
      <c r="A4841" s="16" t="s">
        <v>9853</v>
      </c>
    </row>
    <row r="4842" spans="1:1" x14ac:dyDescent="0.25">
      <c r="A4842" s="16" t="s">
        <v>9854</v>
      </c>
    </row>
    <row r="4843" spans="1:1" x14ac:dyDescent="0.25">
      <c r="A4843" s="16" t="s">
        <v>9861</v>
      </c>
    </row>
    <row r="4844" spans="1:1" x14ac:dyDescent="0.25">
      <c r="A4844" s="16" t="s">
        <v>9873</v>
      </c>
    </row>
    <row r="4845" spans="1:1" x14ac:dyDescent="0.25">
      <c r="A4845" s="16" t="s">
        <v>9878</v>
      </c>
    </row>
    <row r="4846" spans="1:1" x14ac:dyDescent="0.25">
      <c r="A4846" s="16" t="s">
        <v>9887</v>
      </c>
    </row>
    <row r="4847" spans="1:1" x14ac:dyDescent="0.25">
      <c r="A4847" s="16" t="s">
        <v>9889</v>
      </c>
    </row>
    <row r="4848" spans="1:1" x14ac:dyDescent="0.25">
      <c r="A4848" s="16" t="s">
        <v>9895</v>
      </c>
    </row>
    <row r="4849" spans="1:1" x14ac:dyDescent="0.25">
      <c r="A4849" s="16" t="s">
        <v>9897</v>
      </c>
    </row>
    <row r="4850" spans="1:1" x14ac:dyDescent="0.25">
      <c r="A4850" s="16" t="s">
        <v>9899</v>
      </c>
    </row>
    <row r="4851" spans="1:1" x14ac:dyDescent="0.25">
      <c r="A4851" s="16" t="s">
        <v>9903</v>
      </c>
    </row>
    <row r="4852" spans="1:1" x14ac:dyDescent="0.25">
      <c r="A4852" s="16" t="s">
        <v>9905</v>
      </c>
    </row>
    <row r="4853" spans="1:1" x14ac:dyDescent="0.25">
      <c r="A4853" s="16" t="s">
        <v>9907</v>
      </c>
    </row>
    <row r="4854" spans="1:1" x14ac:dyDescent="0.25">
      <c r="A4854" s="16" t="s">
        <v>9911</v>
      </c>
    </row>
    <row r="4855" spans="1:1" x14ac:dyDescent="0.25">
      <c r="A4855" s="16" t="s">
        <v>9913</v>
      </c>
    </row>
    <row r="4856" spans="1:1" x14ac:dyDescent="0.25">
      <c r="A4856" s="16" t="s">
        <v>9917</v>
      </c>
    </row>
    <row r="4857" spans="1:1" x14ac:dyDescent="0.25">
      <c r="A4857" s="16" t="s">
        <v>9920</v>
      </c>
    </row>
    <row r="4858" spans="1:1" x14ac:dyDescent="0.25">
      <c r="A4858" s="16" t="s">
        <v>9930</v>
      </c>
    </row>
    <row r="4859" spans="1:1" x14ac:dyDescent="0.25">
      <c r="A4859" s="16" t="s">
        <v>9932</v>
      </c>
    </row>
    <row r="4860" spans="1:1" x14ac:dyDescent="0.25">
      <c r="A4860" s="16" t="s">
        <v>9960</v>
      </c>
    </row>
    <row r="4861" spans="1:1" x14ac:dyDescent="0.25">
      <c r="A4861" s="16" t="s">
        <v>9963</v>
      </c>
    </row>
    <row r="4862" spans="1:1" x14ac:dyDescent="0.25">
      <c r="A4862" s="16" t="s">
        <v>9965</v>
      </c>
    </row>
    <row r="4863" spans="1:1" x14ac:dyDescent="0.25">
      <c r="A4863" s="16" t="s">
        <v>9970</v>
      </c>
    </row>
    <row r="4864" spans="1:1" x14ac:dyDescent="0.25">
      <c r="A4864" s="16" t="s">
        <v>9977</v>
      </c>
    </row>
    <row r="4865" spans="1:1" x14ac:dyDescent="0.25">
      <c r="A4865" s="16" t="s">
        <v>9993</v>
      </c>
    </row>
    <row r="4866" spans="1:1" x14ac:dyDescent="0.25">
      <c r="A4866" s="16" t="s">
        <v>9995</v>
      </c>
    </row>
    <row r="4867" spans="1:1" x14ac:dyDescent="0.25">
      <c r="A4867" s="16" t="s">
        <v>10008</v>
      </c>
    </row>
    <row r="4868" spans="1:1" x14ac:dyDescent="0.25">
      <c r="A4868" s="16" t="s">
        <v>10010</v>
      </c>
    </row>
    <row r="4869" spans="1:1" x14ac:dyDescent="0.25">
      <c r="A4869" s="16" t="s">
        <v>10013</v>
      </c>
    </row>
    <row r="4870" spans="1:1" x14ac:dyDescent="0.25">
      <c r="A4870" s="16" t="s">
        <v>10025</v>
      </c>
    </row>
    <row r="4871" spans="1:1" x14ac:dyDescent="0.25">
      <c r="A4871" s="16" t="s">
        <v>10026</v>
      </c>
    </row>
    <row r="4872" spans="1:1" x14ac:dyDescent="0.25">
      <c r="A4872" s="16" t="s">
        <v>10031</v>
      </c>
    </row>
    <row r="4873" spans="1:1" x14ac:dyDescent="0.25">
      <c r="A4873" s="16" t="s">
        <v>10034</v>
      </c>
    </row>
    <row r="4874" spans="1:1" x14ac:dyDescent="0.25">
      <c r="A4874" s="16" t="s">
        <v>10035</v>
      </c>
    </row>
    <row r="4875" spans="1:1" x14ac:dyDescent="0.25">
      <c r="A4875" s="16" t="s">
        <v>10040</v>
      </c>
    </row>
    <row r="4876" spans="1:1" x14ac:dyDescent="0.25">
      <c r="A4876" s="16" t="s">
        <v>10050</v>
      </c>
    </row>
    <row r="4877" spans="1:1" x14ac:dyDescent="0.25">
      <c r="A4877" s="16" t="s">
        <v>10055</v>
      </c>
    </row>
    <row r="4878" spans="1:1" x14ac:dyDescent="0.25">
      <c r="A4878" s="16" t="s">
        <v>10056</v>
      </c>
    </row>
    <row r="4879" spans="1:1" x14ac:dyDescent="0.25">
      <c r="A4879" s="16" t="s">
        <v>10065</v>
      </c>
    </row>
    <row r="4880" spans="1:1" x14ac:dyDescent="0.25">
      <c r="A4880" s="16" t="s">
        <v>10088</v>
      </c>
    </row>
    <row r="4881" spans="1:1" x14ac:dyDescent="0.25">
      <c r="A4881" s="16" t="s">
        <v>10090</v>
      </c>
    </row>
    <row r="4882" spans="1:1" x14ac:dyDescent="0.25">
      <c r="A4882" s="16" t="s">
        <v>10091</v>
      </c>
    </row>
    <row r="4883" spans="1:1" x14ac:dyDescent="0.25">
      <c r="A4883" s="16" t="s">
        <v>10099</v>
      </c>
    </row>
    <row r="4884" spans="1:1" x14ac:dyDescent="0.25">
      <c r="A4884" s="16" t="s">
        <v>10101</v>
      </c>
    </row>
    <row r="4885" spans="1:1" x14ac:dyDescent="0.25">
      <c r="A4885" s="16" t="s">
        <v>10107</v>
      </c>
    </row>
    <row r="4886" spans="1:1" x14ac:dyDescent="0.25">
      <c r="A4886" s="16" t="s">
        <v>10113</v>
      </c>
    </row>
    <row r="4887" spans="1:1" x14ac:dyDescent="0.25">
      <c r="A4887" s="16" t="s">
        <v>10125</v>
      </c>
    </row>
    <row r="4888" spans="1:1" x14ac:dyDescent="0.25">
      <c r="A4888" s="16" t="s">
        <v>10139</v>
      </c>
    </row>
    <row r="4889" spans="1:1" x14ac:dyDescent="0.25">
      <c r="A4889" s="16" t="s">
        <v>10141</v>
      </c>
    </row>
    <row r="4890" spans="1:1" x14ac:dyDescent="0.25">
      <c r="A4890" s="16" t="s">
        <v>10142</v>
      </c>
    </row>
    <row r="4891" spans="1:1" x14ac:dyDescent="0.25">
      <c r="A4891" s="16" t="s">
        <v>10145</v>
      </c>
    </row>
    <row r="4892" spans="1:1" x14ac:dyDescent="0.25">
      <c r="A4892" s="16" t="s">
        <v>10153</v>
      </c>
    </row>
    <row r="4893" spans="1:1" x14ac:dyDescent="0.25">
      <c r="A4893" s="16" t="s">
        <v>10155</v>
      </c>
    </row>
    <row r="4894" spans="1:1" x14ac:dyDescent="0.25">
      <c r="A4894" s="16" t="s">
        <v>10156</v>
      </c>
    </row>
    <row r="4895" spans="1:1" x14ac:dyDescent="0.25">
      <c r="A4895" s="16" t="s">
        <v>10158</v>
      </c>
    </row>
    <row r="4896" spans="1:1" x14ac:dyDescent="0.25">
      <c r="A4896" s="16" t="s">
        <v>10161</v>
      </c>
    </row>
    <row r="4897" spans="1:1" x14ac:dyDescent="0.25">
      <c r="A4897" s="16" t="s">
        <v>10163</v>
      </c>
    </row>
    <row r="4898" spans="1:1" x14ac:dyDescent="0.25">
      <c r="A4898" s="16" t="s">
        <v>10177</v>
      </c>
    </row>
    <row r="4899" spans="1:1" x14ac:dyDescent="0.25">
      <c r="A4899" s="16" t="s">
        <v>10179</v>
      </c>
    </row>
    <row r="4900" spans="1:1" x14ac:dyDescent="0.25">
      <c r="A4900" s="16" t="s">
        <v>10186</v>
      </c>
    </row>
    <row r="4901" spans="1:1" x14ac:dyDescent="0.25">
      <c r="A4901" s="16" t="s">
        <v>10197</v>
      </c>
    </row>
    <row r="4902" spans="1:1" x14ac:dyDescent="0.25">
      <c r="A4902" s="16" t="s">
        <v>10222</v>
      </c>
    </row>
    <row r="4903" spans="1:1" x14ac:dyDescent="0.25">
      <c r="A4903" s="16" t="s">
        <v>10236</v>
      </c>
    </row>
    <row r="4904" spans="1:1" x14ac:dyDescent="0.25">
      <c r="A4904" s="16" t="s">
        <v>10237</v>
      </c>
    </row>
    <row r="4905" spans="1:1" x14ac:dyDescent="0.25">
      <c r="A4905" s="16" t="s">
        <v>10247</v>
      </c>
    </row>
    <row r="4906" spans="1:1" x14ac:dyDescent="0.25">
      <c r="A4906" s="16" t="s">
        <v>10248</v>
      </c>
    </row>
    <row r="4907" spans="1:1" x14ac:dyDescent="0.25">
      <c r="A4907" s="16" t="s">
        <v>10257</v>
      </c>
    </row>
    <row r="4908" spans="1:1" x14ac:dyDescent="0.25">
      <c r="A4908" s="16" t="s">
        <v>10259</v>
      </c>
    </row>
    <row r="4909" spans="1:1" x14ac:dyDescent="0.25">
      <c r="A4909" s="16" t="s">
        <v>10261</v>
      </c>
    </row>
    <row r="4910" spans="1:1" x14ac:dyDescent="0.25">
      <c r="A4910" s="16" t="s">
        <v>10262</v>
      </c>
    </row>
    <row r="4911" spans="1:1" x14ac:dyDescent="0.25">
      <c r="A4911" s="16" t="s">
        <v>10265</v>
      </c>
    </row>
    <row r="4912" spans="1:1" x14ac:dyDescent="0.25">
      <c r="A4912" s="16" t="s">
        <v>10273</v>
      </c>
    </row>
    <row r="4913" spans="1:1" x14ac:dyDescent="0.25">
      <c r="A4913" s="16" t="s">
        <v>10283</v>
      </c>
    </row>
    <row r="4914" spans="1:1" x14ac:dyDescent="0.25">
      <c r="A4914" s="16" t="s">
        <v>10287</v>
      </c>
    </row>
    <row r="4915" spans="1:1" x14ac:dyDescent="0.25">
      <c r="A4915" s="16" t="s">
        <v>10288</v>
      </c>
    </row>
    <row r="4916" spans="1:1" x14ac:dyDescent="0.25">
      <c r="A4916" s="16" t="s">
        <v>10303</v>
      </c>
    </row>
    <row r="4917" spans="1:1" x14ac:dyDescent="0.25">
      <c r="A4917" s="16" t="s">
        <v>10309</v>
      </c>
    </row>
    <row r="4918" spans="1:1" x14ac:dyDescent="0.25">
      <c r="A4918" s="16" t="s">
        <v>10312</v>
      </c>
    </row>
    <row r="4919" spans="1:1" x14ac:dyDescent="0.25">
      <c r="A4919" s="16" t="s">
        <v>10314</v>
      </c>
    </row>
    <row r="4920" spans="1:1" x14ac:dyDescent="0.25">
      <c r="A4920" s="16" t="s">
        <v>10320</v>
      </c>
    </row>
    <row r="4921" spans="1:1" x14ac:dyDescent="0.25">
      <c r="A4921" s="16" t="s">
        <v>10324</v>
      </c>
    </row>
    <row r="4922" spans="1:1" x14ac:dyDescent="0.25">
      <c r="A4922" s="16" t="s">
        <v>10335</v>
      </c>
    </row>
    <row r="4923" spans="1:1" x14ac:dyDescent="0.25">
      <c r="A4923" s="16" t="s">
        <v>10338</v>
      </c>
    </row>
    <row r="4924" spans="1:1" x14ac:dyDescent="0.25">
      <c r="A4924" s="16" t="s">
        <v>10342</v>
      </c>
    </row>
    <row r="4925" spans="1:1" x14ac:dyDescent="0.25">
      <c r="A4925" s="16" t="s">
        <v>10349</v>
      </c>
    </row>
    <row r="4926" spans="1:1" x14ac:dyDescent="0.25">
      <c r="A4926" s="16" t="s">
        <v>10358</v>
      </c>
    </row>
    <row r="4927" spans="1:1" x14ac:dyDescent="0.25">
      <c r="A4927" s="16" t="s">
        <v>10373</v>
      </c>
    </row>
    <row r="4928" spans="1:1" x14ac:dyDescent="0.25">
      <c r="A4928" s="16" t="s">
        <v>10401</v>
      </c>
    </row>
    <row r="4929" spans="1:1" x14ac:dyDescent="0.25">
      <c r="A4929" s="16" t="s">
        <v>10402</v>
      </c>
    </row>
    <row r="4930" spans="1:1" x14ac:dyDescent="0.25">
      <c r="A4930" s="16" t="s">
        <v>10421</v>
      </c>
    </row>
    <row r="4931" spans="1:1" x14ac:dyDescent="0.25">
      <c r="A4931" s="16" t="s">
        <v>10425</v>
      </c>
    </row>
    <row r="4932" spans="1:1" x14ac:dyDescent="0.25">
      <c r="A4932" s="16" t="s">
        <v>10430</v>
      </c>
    </row>
    <row r="4933" spans="1:1" x14ac:dyDescent="0.25">
      <c r="A4933" s="16" t="s">
        <v>10431</v>
      </c>
    </row>
    <row r="4934" spans="1:1" x14ac:dyDescent="0.25">
      <c r="A4934" s="16" t="s">
        <v>10440</v>
      </c>
    </row>
    <row r="4935" spans="1:1" x14ac:dyDescent="0.25">
      <c r="A4935" s="16" t="s">
        <v>10448</v>
      </c>
    </row>
    <row r="4936" spans="1:1" x14ac:dyDescent="0.25">
      <c r="A4936" s="16" t="s">
        <v>10450</v>
      </c>
    </row>
    <row r="4937" spans="1:1" x14ac:dyDescent="0.25">
      <c r="A4937" s="16" t="s">
        <v>10452</v>
      </c>
    </row>
    <row r="4938" spans="1:1" x14ac:dyDescent="0.25">
      <c r="A4938" s="16" t="s">
        <v>10455</v>
      </c>
    </row>
    <row r="4939" spans="1:1" x14ac:dyDescent="0.25">
      <c r="A4939" s="16" t="s">
        <v>10456</v>
      </c>
    </row>
    <row r="4940" spans="1:1" x14ac:dyDescent="0.25">
      <c r="A4940" s="16" t="s">
        <v>10458</v>
      </c>
    </row>
    <row r="4941" spans="1:1" x14ac:dyDescent="0.25">
      <c r="A4941" s="16" t="s">
        <v>10478</v>
      </c>
    </row>
    <row r="4942" spans="1:1" x14ac:dyDescent="0.25">
      <c r="A4942" s="16" t="s">
        <v>10480</v>
      </c>
    </row>
    <row r="4943" spans="1:1" x14ac:dyDescent="0.25">
      <c r="A4943" s="16" t="s">
        <v>10481</v>
      </c>
    </row>
    <row r="4944" spans="1:1" x14ac:dyDescent="0.25">
      <c r="A4944" s="16" t="s">
        <v>10499</v>
      </c>
    </row>
    <row r="4945" spans="1:1" x14ac:dyDescent="0.25">
      <c r="A4945" s="16" t="s">
        <v>10500</v>
      </c>
    </row>
    <row r="4946" spans="1:1" x14ac:dyDescent="0.25">
      <c r="A4946" s="16" t="s">
        <v>10508</v>
      </c>
    </row>
    <row r="4947" spans="1:1" x14ac:dyDescent="0.25">
      <c r="A4947" s="16" t="s">
        <v>10509</v>
      </c>
    </row>
    <row r="4948" spans="1:1" x14ac:dyDescent="0.25">
      <c r="A4948" s="16" t="s">
        <v>10510</v>
      </c>
    </row>
    <row r="4949" spans="1:1" x14ac:dyDescent="0.25">
      <c r="A4949" s="16" t="s">
        <v>10511</v>
      </c>
    </row>
    <row r="4950" spans="1:1" x14ac:dyDescent="0.25">
      <c r="A4950" s="16" t="s">
        <v>10516</v>
      </c>
    </row>
    <row r="4951" spans="1:1" x14ac:dyDescent="0.25">
      <c r="A4951" s="16" t="s">
        <v>10527</v>
      </c>
    </row>
    <row r="4952" spans="1:1" x14ac:dyDescent="0.25">
      <c r="A4952" s="16" t="s">
        <v>10541</v>
      </c>
    </row>
    <row r="4953" spans="1:1" x14ac:dyDescent="0.25">
      <c r="A4953" s="16" t="s">
        <v>10542</v>
      </c>
    </row>
    <row r="4954" spans="1:1" x14ac:dyDescent="0.25">
      <c r="A4954" s="16" t="s">
        <v>10549</v>
      </c>
    </row>
    <row r="4955" spans="1:1" x14ac:dyDescent="0.25">
      <c r="A4955" s="16" t="s">
        <v>10569</v>
      </c>
    </row>
    <row r="4956" spans="1:1" x14ac:dyDescent="0.25">
      <c r="A4956" s="16" t="s">
        <v>10571</v>
      </c>
    </row>
    <row r="4957" spans="1:1" x14ac:dyDescent="0.25">
      <c r="A4957" s="16" t="s">
        <v>10572</v>
      </c>
    </row>
    <row r="4958" spans="1:1" x14ac:dyDescent="0.25">
      <c r="A4958" s="16" t="s">
        <v>10573</v>
      </c>
    </row>
    <row r="4959" spans="1:1" x14ac:dyDescent="0.25">
      <c r="A4959" s="16" t="s">
        <v>10597</v>
      </c>
    </row>
    <row r="4960" spans="1:1" x14ac:dyDescent="0.25">
      <c r="A4960" s="16" t="s">
        <v>10598</v>
      </c>
    </row>
    <row r="4961" spans="1:1" x14ac:dyDescent="0.25">
      <c r="A4961" s="16" t="s">
        <v>10603</v>
      </c>
    </row>
    <row r="4962" spans="1:1" x14ac:dyDescent="0.25">
      <c r="A4962" s="16" t="s">
        <v>10608</v>
      </c>
    </row>
    <row r="4963" spans="1:1" x14ac:dyDescent="0.25">
      <c r="A4963" s="16" t="s">
        <v>10612</v>
      </c>
    </row>
    <row r="4964" spans="1:1" x14ac:dyDescent="0.25">
      <c r="A4964" s="16" t="s">
        <v>10622</v>
      </c>
    </row>
    <row r="4965" spans="1:1" x14ac:dyDescent="0.25">
      <c r="A4965" s="16" t="s">
        <v>10630</v>
      </c>
    </row>
    <row r="4966" spans="1:1" x14ac:dyDescent="0.25">
      <c r="A4966" s="16" t="s">
        <v>10631</v>
      </c>
    </row>
    <row r="4967" spans="1:1" x14ac:dyDescent="0.25">
      <c r="A4967" s="16" t="s">
        <v>10638</v>
      </c>
    </row>
    <row r="4968" spans="1:1" x14ac:dyDescent="0.25">
      <c r="A4968" s="16" t="s">
        <v>10640</v>
      </c>
    </row>
    <row r="4969" spans="1:1" x14ac:dyDescent="0.25">
      <c r="A4969" s="16" t="s">
        <v>10643</v>
      </c>
    </row>
    <row r="4970" spans="1:1" x14ac:dyDescent="0.25">
      <c r="A4970" s="16" t="s">
        <v>10675</v>
      </c>
    </row>
    <row r="4971" spans="1:1" x14ac:dyDescent="0.25">
      <c r="A4971" s="16" t="s">
        <v>10689</v>
      </c>
    </row>
    <row r="4972" spans="1:1" x14ac:dyDescent="0.25">
      <c r="A4972" s="16" t="s">
        <v>10696</v>
      </c>
    </row>
    <row r="4973" spans="1:1" x14ac:dyDescent="0.25">
      <c r="A4973" s="16" t="s">
        <v>10697</v>
      </c>
    </row>
    <row r="4974" spans="1:1" x14ac:dyDescent="0.25">
      <c r="A4974" s="16" t="s">
        <v>10700</v>
      </c>
    </row>
    <row r="4975" spans="1:1" x14ac:dyDescent="0.25">
      <c r="A4975" s="16" t="s">
        <v>10701</v>
      </c>
    </row>
    <row r="4976" spans="1:1" x14ac:dyDescent="0.25">
      <c r="A4976" s="16" t="s">
        <v>10702</v>
      </c>
    </row>
    <row r="4977" spans="1:1" x14ac:dyDescent="0.25">
      <c r="A4977" s="16" t="s">
        <v>10712</v>
      </c>
    </row>
    <row r="4978" spans="1:1" x14ac:dyDescent="0.25">
      <c r="A4978" s="16" t="s">
        <v>10715</v>
      </c>
    </row>
    <row r="4979" spans="1:1" x14ac:dyDescent="0.25">
      <c r="A4979" s="16" t="s">
        <v>10722</v>
      </c>
    </row>
    <row r="4980" spans="1:1" x14ac:dyDescent="0.25">
      <c r="A4980" s="16" t="s">
        <v>10723</v>
      </c>
    </row>
    <row r="4981" spans="1:1" x14ac:dyDescent="0.25">
      <c r="A4981" s="16" t="s">
        <v>10724</v>
      </c>
    </row>
    <row r="4982" spans="1:1" x14ac:dyDescent="0.25">
      <c r="A4982" s="16" t="s">
        <v>10726</v>
      </c>
    </row>
    <row r="4983" spans="1:1" x14ac:dyDescent="0.25">
      <c r="A4983" s="16" t="s">
        <v>10739</v>
      </c>
    </row>
    <row r="4984" spans="1:1" x14ac:dyDescent="0.25">
      <c r="A4984" s="16" t="s">
        <v>10741</v>
      </c>
    </row>
    <row r="4985" spans="1:1" x14ac:dyDescent="0.25">
      <c r="A4985" s="16" t="s">
        <v>10753</v>
      </c>
    </row>
    <row r="4986" spans="1:1" x14ac:dyDescent="0.25">
      <c r="A4986" s="16" t="s">
        <v>10761</v>
      </c>
    </row>
    <row r="4987" spans="1:1" x14ac:dyDescent="0.25">
      <c r="A4987" s="16" t="s">
        <v>10768</v>
      </c>
    </row>
    <row r="4988" spans="1:1" x14ac:dyDescent="0.25">
      <c r="A4988" s="16" t="s">
        <v>10777</v>
      </c>
    </row>
    <row r="4989" spans="1:1" x14ac:dyDescent="0.25">
      <c r="A4989" s="16" t="s">
        <v>10779</v>
      </c>
    </row>
    <row r="4990" spans="1:1" x14ac:dyDescent="0.25">
      <c r="A4990" s="16" t="s">
        <v>10781</v>
      </c>
    </row>
    <row r="4991" spans="1:1" x14ac:dyDescent="0.25">
      <c r="A4991" s="16" t="s">
        <v>10796</v>
      </c>
    </row>
    <row r="4992" spans="1:1" x14ac:dyDescent="0.25">
      <c r="A4992" s="16" t="s">
        <v>10798</v>
      </c>
    </row>
    <row r="4993" spans="1:1" x14ac:dyDescent="0.25">
      <c r="A4993" s="16" t="s">
        <v>10799</v>
      </c>
    </row>
    <row r="4994" spans="1:1" x14ac:dyDescent="0.25">
      <c r="A4994" s="16" t="s">
        <v>10827</v>
      </c>
    </row>
    <row r="4995" spans="1:1" x14ac:dyDescent="0.25">
      <c r="A4995" s="16" t="s">
        <v>10828</v>
      </c>
    </row>
    <row r="4996" spans="1:1" x14ac:dyDescent="0.25">
      <c r="A4996" s="16" t="s">
        <v>10829</v>
      </c>
    </row>
    <row r="4997" spans="1:1" x14ac:dyDescent="0.25">
      <c r="A4997" s="16" t="s">
        <v>10840</v>
      </c>
    </row>
    <row r="4998" spans="1:1" x14ac:dyDescent="0.25">
      <c r="A4998" s="16" t="s">
        <v>10845</v>
      </c>
    </row>
    <row r="4999" spans="1:1" x14ac:dyDescent="0.25">
      <c r="A4999" s="16" t="s">
        <v>10848</v>
      </c>
    </row>
    <row r="5000" spans="1:1" x14ac:dyDescent="0.25">
      <c r="A5000" s="16" t="s">
        <v>10849</v>
      </c>
    </row>
    <row r="5001" spans="1:1" x14ac:dyDescent="0.25">
      <c r="A5001" s="16" t="s">
        <v>10853</v>
      </c>
    </row>
    <row r="5002" spans="1:1" x14ac:dyDescent="0.25">
      <c r="A5002" s="16" t="s">
        <v>10886</v>
      </c>
    </row>
    <row r="5003" spans="1:1" x14ac:dyDescent="0.25">
      <c r="A5003" s="16" t="s">
        <v>10933</v>
      </c>
    </row>
    <row r="5004" spans="1:1" x14ac:dyDescent="0.25">
      <c r="A5004" s="16" t="s">
        <v>10934</v>
      </c>
    </row>
    <row r="5005" spans="1:1" x14ac:dyDescent="0.25">
      <c r="A5005" s="16" t="s">
        <v>10972</v>
      </c>
    </row>
    <row r="5006" spans="1:1" x14ac:dyDescent="0.25">
      <c r="A5006" s="16" t="s">
        <v>10977</v>
      </c>
    </row>
    <row r="5007" spans="1:1" x14ac:dyDescent="0.25">
      <c r="A5007" s="16" t="s">
        <v>10982</v>
      </c>
    </row>
    <row r="5008" spans="1:1" x14ac:dyDescent="0.25">
      <c r="A5008" s="16" t="s">
        <v>10984</v>
      </c>
    </row>
    <row r="5009" spans="1:1" x14ac:dyDescent="0.25">
      <c r="A5009" s="16" t="s">
        <v>11020</v>
      </c>
    </row>
    <row r="5010" spans="1:1" x14ac:dyDescent="0.25">
      <c r="A5010" s="16" t="s">
        <v>11057</v>
      </c>
    </row>
    <row r="5011" spans="1:1" x14ac:dyDescent="0.25">
      <c r="A5011" s="16" t="s">
        <v>11064</v>
      </c>
    </row>
    <row r="5012" spans="1:1" x14ac:dyDescent="0.25">
      <c r="A5012" s="16" t="s">
        <v>11068</v>
      </c>
    </row>
    <row r="5013" spans="1:1" x14ac:dyDescent="0.25">
      <c r="A5013" s="16" t="s">
        <v>11069</v>
      </c>
    </row>
    <row r="5014" spans="1:1" x14ac:dyDescent="0.25">
      <c r="A5014" s="16" t="s">
        <v>11098</v>
      </c>
    </row>
    <row r="5015" spans="1:1" x14ac:dyDescent="0.25">
      <c r="A5015" s="16" t="s">
        <v>11099</v>
      </c>
    </row>
    <row r="5016" spans="1:1" x14ac:dyDescent="0.25">
      <c r="A5016" s="16" t="s">
        <v>11101</v>
      </c>
    </row>
    <row r="5017" spans="1:1" x14ac:dyDescent="0.25">
      <c r="A5017" s="16" t="s">
        <v>11117</v>
      </c>
    </row>
    <row r="5018" spans="1:1" x14ac:dyDescent="0.25">
      <c r="A5018" s="16" t="s">
        <v>11119</v>
      </c>
    </row>
    <row r="5019" spans="1:1" x14ac:dyDescent="0.25">
      <c r="A5019" s="16" t="s">
        <v>11121</v>
      </c>
    </row>
    <row r="5020" spans="1:1" x14ac:dyDescent="0.25">
      <c r="A5020" s="16" t="s">
        <v>11122</v>
      </c>
    </row>
    <row r="5021" spans="1:1" x14ac:dyDescent="0.25">
      <c r="A5021" s="16" t="s">
        <v>11140</v>
      </c>
    </row>
    <row r="5022" spans="1:1" x14ac:dyDescent="0.25">
      <c r="A5022" s="16" t="s">
        <v>11143</v>
      </c>
    </row>
    <row r="5023" spans="1:1" x14ac:dyDescent="0.25">
      <c r="A5023" s="16" t="s">
        <v>11154</v>
      </c>
    </row>
    <row r="5024" spans="1:1" x14ac:dyDescent="0.25">
      <c r="A5024" s="16" t="s">
        <v>11155</v>
      </c>
    </row>
    <row r="5025" spans="1:1" x14ac:dyDescent="0.25">
      <c r="A5025" s="16" t="s">
        <v>11160</v>
      </c>
    </row>
    <row r="5026" spans="1:1" x14ac:dyDescent="0.25">
      <c r="A5026" s="16" t="s">
        <v>11161</v>
      </c>
    </row>
    <row r="5027" spans="1:1" x14ac:dyDescent="0.25">
      <c r="A5027" s="16" t="s">
        <v>11177</v>
      </c>
    </row>
    <row r="5028" spans="1:1" x14ac:dyDescent="0.25">
      <c r="A5028" s="16" t="s">
        <v>11193</v>
      </c>
    </row>
    <row r="5029" spans="1:1" x14ac:dyDescent="0.25">
      <c r="A5029" s="16" t="s">
        <v>11202</v>
      </c>
    </row>
    <row r="5030" spans="1:1" x14ac:dyDescent="0.25">
      <c r="A5030" s="16" t="s">
        <v>11303</v>
      </c>
    </row>
    <row r="5031" spans="1:1" x14ac:dyDescent="0.25">
      <c r="A5031" s="16" t="s">
        <v>11304</v>
      </c>
    </row>
    <row r="5032" spans="1:1" x14ac:dyDescent="0.25">
      <c r="A5032" s="16" t="s">
        <v>11327</v>
      </c>
    </row>
    <row r="5033" spans="1:1" x14ac:dyDescent="0.25">
      <c r="A5033" s="16" t="s">
        <v>11329</v>
      </c>
    </row>
    <row r="5034" spans="1:1" x14ac:dyDescent="0.25">
      <c r="A5034" s="16" t="s">
        <v>11330</v>
      </c>
    </row>
    <row r="5035" spans="1:1" x14ac:dyDescent="0.25">
      <c r="A5035" s="16" t="s">
        <v>11332</v>
      </c>
    </row>
    <row r="5036" spans="1:1" x14ac:dyDescent="0.25">
      <c r="A5036" s="16" t="s">
        <v>11358</v>
      </c>
    </row>
    <row r="5037" spans="1:1" x14ac:dyDescent="0.25">
      <c r="A5037" s="16" t="s">
        <v>11367</v>
      </c>
    </row>
    <row r="5038" spans="1:1" x14ac:dyDescent="0.25">
      <c r="A5038" s="16" t="s">
        <v>11380</v>
      </c>
    </row>
    <row r="5039" spans="1:1" x14ac:dyDescent="0.25">
      <c r="A5039" s="16" t="s">
        <v>11381</v>
      </c>
    </row>
    <row r="5040" spans="1:1" x14ac:dyDescent="0.25">
      <c r="A5040" s="16" t="s">
        <v>11385</v>
      </c>
    </row>
    <row r="5041" spans="1:1" x14ac:dyDescent="0.25">
      <c r="A5041" s="16" t="s">
        <v>11418</v>
      </c>
    </row>
    <row r="5042" spans="1:1" x14ac:dyDescent="0.25">
      <c r="A5042" s="16" t="s">
        <v>11419</v>
      </c>
    </row>
    <row r="5043" spans="1:1" x14ac:dyDescent="0.25">
      <c r="A5043" s="16" t="s">
        <v>11420</v>
      </c>
    </row>
    <row r="5044" spans="1:1" x14ac:dyDescent="0.25">
      <c r="A5044" s="16" t="s">
        <v>11436</v>
      </c>
    </row>
    <row r="5045" spans="1:1" x14ac:dyDescent="0.25">
      <c r="A5045" s="16" t="s">
        <v>11437</v>
      </c>
    </row>
    <row r="5046" spans="1:1" x14ac:dyDescent="0.25">
      <c r="A5046" s="16" t="s">
        <v>11448</v>
      </c>
    </row>
    <row r="5047" spans="1:1" x14ac:dyDescent="0.25">
      <c r="A5047" s="16" t="s">
        <v>11449</v>
      </c>
    </row>
    <row r="5048" spans="1:1" x14ac:dyDescent="0.25">
      <c r="A5048" s="16" t="s">
        <v>11450</v>
      </c>
    </row>
    <row r="5049" spans="1:1" x14ac:dyDescent="0.25">
      <c r="A5049" s="16" t="s">
        <v>11452</v>
      </c>
    </row>
    <row r="5050" spans="1:1" x14ac:dyDescent="0.25">
      <c r="A5050" s="16" t="s">
        <v>11454</v>
      </c>
    </row>
    <row r="5051" spans="1:1" x14ac:dyDescent="0.25">
      <c r="A5051" s="16" t="s">
        <v>11474</v>
      </c>
    </row>
    <row r="5052" spans="1:1" x14ac:dyDescent="0.25">
      <c r="A5052" s="16" t="s">
        <v>11476</v>
      </c>
    </row>
    <row r="5053" spans="1:1" x14ac:dyDescent="0.25">
      <c r="A5053" s="16" t="s">
        <v>11477</v>
      </c>
    </row>
    <row r="5054" spans="1:1" x14ac:dyDescent="0.25">
      <c r="A5054" s="16" t="s">
        <v>11478</v>
      </c>
    </row>
    <row r="5055" spans="1:1" x14ac:dyDescent="0.25">
      <c r="A5055" s="16" t="s">
        <v>11481</v>
      </c>
    </row>
    <row r="5056" spans="1:1" x14ac:dyDescent="0.25">
      <c r="A5056" s="16" t="s">
        <v>11483</v>
      </c>
    </row>
    <row r="5057" spans="1:1" x14ac:dyDescent="0.25">
      <c r="A5057" s="16" t="s">
        <v>11484</v>
      </c>
    </row>
    <row r="5058" spans="1:1" x14ac:dyDescent="0.25">
      <c r="A5058" s="16" t="s">
        <v>11517</v>
      </c>
    </row>
    <row r="5059" spans="1:1" x14ac:dyDescent="0.25">
      <c r="A5059" s="16" t="s">
        <v>11519</v>
      </c>
    </row>
    <row r="5060" spans="1:1" x14ac:dyDescent="0.25">
      <c r="A5060" s="16" t="s">
        <v>11525</v>
      </c>
    </row>
    <row r="5061" spans="1:1" x14ac:dyDescent="0.25">
      <c r="A5061" s="16" t="s">
        <v>11526</v>
      </c>
    </row>
    <row r="5062" spans="1:1" x14ac:dyDescent="0.25">
      <c r="A5062" s="16" t="s">
        <v>11545</v>
      </c>
    </row>
    <row r="5063" spans="1:1" x14ac:dyDescent="0.25">
      <c r="A5063" s="16" t="s">
        <v>11547</v>
      </c>
    </row>
    <row r="5064" spans="1:1" x14ac:dyDescent="0.25">
      <c r="A5064" s="16" t="s">
        <v>11566</v>
      </c>
    </row>
    <row r="5065" spans="1:1" x14ac:dyDescent="0.25">
      <c r="A5065" s="16" t="s">
        <v>11567</v>
      </c>
    </row>
    <row r="5066" spans="1:1" x14ac:dyDescent="0.25">
      <c r="A5066" s="16" t="s">
        <v>11595</v>
      </c>
    </row>
    <row r="5067" spans="1:1" x14ac:dyDescent="0.25">
      <c r="A5067" s="16" t="s">
        <v>11596</v>
      </c>
    </row>
    <row r="5068" spans="1:1" x14ac:dyDescent="0.25">
      <c r="A5068" s="16" t="s">
        <v>11597</v>
      </c>
    </row>
    <row r="5069" spans="1:1" x14ac:dyDescent="0.25">
      <c r="A5069" s="16" t="s">
        <v>11599</v>
      </c>
    </row>
    <row r="5070" spans="1:1" x14ac:dyDescent="0.25">
      <c r="A5070" s="16" t="s">
        <v>11634</v>
      </c>
    </row>
    <row r="5071" spans="1:1" x14ac:dyDescent="0.25">
      <c r="A5071" s="16" t="s">
        <v>11636</v>
      </c>
    </row>
    <row r="5072" spans="1:1" x14ac:dyDescent="0.25">
      <c r="A5072" s="16" t="s">
        <v>11639</v>
      </c>
    </row>
    <row r="5073" spans="1:1" x14ac:dyDescent="0.25">
      <c r="A5073" s="16" t="s">
        <v>11647</v>
      </c>
    </row>
    <row r="5074" spans="1:1" x14ac:dyDescent="0.25">
      <c r="A5074" s="16" t="s">
        <v>11653</v>
      </c>
    </row>
    <row r="5075" spans="1:1" x14ac:dyDescent="0.25">
      <c r="A5075" s="16" t="s">
        <v>11661</v>
      </c>
    </row>
    <row r="5076" spans="1:1" x14ac:dyDescent="0.25">
      <c r="A5076" s="16" t="s">
        <v>11662</v>
      </c>
    </row>
    <row r="5077" spans="1:1" x14ac:dyDescent="0.25">
      <c r="A5077" s="16" t="s">
        <v>11663</v>
      </c>
    </row>
    <row r="5078" spans="1:1" x14ac:dyDescent="0.25">
      <c r="A5078" s="16" t="s">
        <v>11664</v>
      </c>
    </row>
    <row r="5079" spans="1:1" x14ac:dyDescent="0.25">
      <c r="A5079" s="16" t="s">
        <v>11672</v>
      </c>
    </row>
    <row r="5080" spans="1:1" x14ac:dyDescent="0.25">
      <c r="A5080" s="16" t="s">
        <v>11680</v>
      </c>
    </row>
    <row r="5081" spans="1:1" x14ac:dyDescent="0.25">
      <c r="A5081" s="16" t="s">
        <v>11681</v>
      </c>
    </row>
    <row r="5082" spans="1:1" x14ac:dyDescent="0.25">
      <c r="A5082" s="16" t="s">
        <v>11682</v>
      </c>
    </row>
    <row r="5083" spans="1:1" x14ac:dyDescent="0.25">
      <c r="A5083" s="16" t="s">
        <v>11690</v>
      </c>
    </row>
    <row r="5084" spans="1:1" x14ac:dyDescent="0.25">
      <c r="A5084" s="16" t="s">
        <v>11692</v>
      </c>
    </row>
    <row r="5085" spans="1:1" x14ac:dyDescent="0.25">
      <c r="A5085" s="16" t="s">
        <v>11702</v>
      </c>
    </row>
    <row r="5086" spans="1:1" x14ac:dyDescent="0.25">
      <c r="A5086" s="16" t="s">
        <v>11703</v>
      </c>
    </row>
    <row r="5087" spans="1:1" x14ac:dyDescent="0.25">
      <c r="A5087" s="16" t="s">
        <v>11750</v>
      </c>
    </row>
    <row r="5088" spans="1:1" x14ac:dyDescent="0.25">
      <c r="A5088" s="16" t="s">
        <v>11771</v>
      </c>
    </row>
    <row r="5089" spans="1:1" x14ac:dyDescent="0.25">
      <c r="A5089" s="16" t="s">
        <v>11772</v>
      </c>
    </row>
    <row r="5090" spans="1:1" x14ac:dyDescent="0.25">
      <c r="A5090" s="16" t="s">
        <v>11773</v>
      </c>
    </row>
    <row r="5091" spans="1:1" x14ac:dyDescent="0.25">
      <c r="A5091" s="16" t="s">
        <v>11782</v>
      </c>
    </row>
    <row r="5092" spans="1:1" x14ac:dyDescent="0.25">
      <c r="A5092" s="16" t="s">
        <v>11786</v>
      </c>
    </row>
    <row r="5093" spans="1:1" x14ac:dyDescent="0.25">
      <c r="A5093" s="16" t="s">
        <v>11787</v>
      </c>
    </row>
    <row r="5094" spans="1:1" x14ac:dyDescent="0.25">
      <c r="A5094" s="16" t="s">
        <v>11788</v>
      </c>
    </row>
    <row r="5095" spans="1:1" x14ac:dyDescent="0.25">
      <c r="A5095" s="16" t="s">
        <v>11789</v>
      </c>
    </row>
    <row r="5096" spans="1:1" x14ac:dyDescent="0.25">
      <c r="A5096" s="16" t="s">
        <v>11798</v>
      </c>
    </row>
    <row r="5097" spans="1:1" x14ac:dyDescent="0.25">
      <c r="A5097" s="16" t="s">
        <v>11803</v>
      </c>
    </row>
    <row r="5098" spans="1:1" x14ac:dyDescent="0.25">
      <c r="A5098" s="16" t="s">
        <v>11817</v>
      </c>
    </row>
    <row r="5099" spans="1:1" x14ac:dyDescent="0.25">
      <c r="A5099" s="16" t="s">
        <v>11845</v>
      </c>
    </row>
    <row r="5100" spans="1:1" x14ac:dyDescent="0.25">
      <c r="A5100" s="16" t="s">
        <v>11869</v>
      </c>
    </row>
    <row r="5101" spans="1:1" x14ac:dyDescent="0.25">
      <c r="A5101" s="16" t="s">
        <v>11872</v>
      </c>
    </row>
    <row r="5102" spans="1:1" x14ac:dyDescent="0.25">
      <c r="A5102" s="16" t="s">
        <v>11911</v>
      </c>
    </row>
    <row r="5103" spans="1:1" x14ac:dyDescent="0.25">
      <c r="A5103" s="16" t="s">
        <v>11912</v>
      </c>
    </row>
    <row r="5104" spans="1:1" x14ac:dyDescent="0.25">
      <c r="A5104" s="16" t="s">
        <v>11922</v>
      </c>
    </row>
    <row r="5105" spans="1:1" x14ac:dyDescent="0.25">
      <c r="A5105" s="16" t="s">
        <v>11923</v>
      </c>
    </row>
    <row r="5106" spans="1:1" x14ac:dyDescent="0.25">
      <c r="A5106" s="16" t="s">
        <v>11935</v>
      </c>
    </row>
    <row r="5107" spans="1:1" x14ac:dyDescent="0.25">
      <c r="A5107" s="16" t="s">
        <v>11947</v>
      </c>
    </row>
    <row r="5108" spans="1:1" x14ac:dyDescent="0.25">
      <c r="A5108" s="16" t="s">
        <v>11949</v>
      </c>
    </row>
    <row r="5109" spans="1:1" x14ac:dyDescent="0.25">
      <c r="A5109" s="16" t="s">
        <v>11991</v>
      </c>
    </row>
    <row r="5110" spans="1:1" x14ac:dyDescent="0.25">
      <c r="A5110" s="16" t="s">
        <v>12002</v>
      </c>
    </row>
    <row r="5111" spans="1:1" x14ac:dyDescent="0.25">
      <c r="A5111" s="16" t="s">
        <v>12012</v>
      </c>
    </row>
    <row r="5112" spans="1:1" x14ac:dyDescent="0.25">
      <c r="A5112" s="16" t="s">
        <v>12069</v>
      </c>
    </row>
    <row r="5113" spans="1:1" x14ac:dyDescent="0.25">
      <c r="A5113" s="16" t="s">
        <v>12075</v>
      </c>
    </row>
    <row r="5114" spans="1:1" x14ac:dyDescent="0.25">
      <c r="A5114" s="16" t="s">
        <v>12076</v>
      </c>
    </row>
    <row r="5115" spans="1:1" x14ac:dyDescent="0.25">
      <c r="A5115" s="16" t="s">
        <v>12077</v>
      </c>
    </row>
    <row r="5116" spans="1:1" x14ac:dyDescent="0.25">
      <c r="A5116" s="16" t="s">
        <v>12078</v>
      </c>
    </row>
    <row r="5117" spans="1:1" x14ac:dyDescent="0.25">
      <c r="A5117" s="16" t="s">
        <v>12079</v>
      </c>
    </row>
    <row r="5118" spans="1:1" x14ac:dyDescent="0.25">
      <c r="A5118" s="16" t="s">
        <v>12083</v>
      </c>
    </row>
    <row r="5119" spans="1:1" x14ac:dyDescent="0.25">
      <c r="A5119" s="16" t="s">
        <v>12100</v>
      </c>
    </row>
    <row r="5120" spans="1:1" x14ac:dyDescent="0.25">
      <c r="A5120" s="16" t="s">
        <v>12114</v>
      </c>
    </row>
    <row r="5121" spans="1:1" x14ac:dyDescent="0.25">
      <c r="A5121" s="16" t="s">
        <v>12146</v>
      </c>
    </row>
    <row r="5122" spans="1:1" x14ac:dyDescent="0.25">
      <c r="A5122" s="16" t="s">
        <v>12147</v>
      </c>
    </row>
    <row r="5123" spans="1:1" x14ac:dyDescent="0.25">
      <c r="A5123" s="16" t="s">
        <v>12156</v>
      </c>
    </row>
    <row r="5124" spans="1:1" x14ac:dyDescent="0.25">
      <c r="A5124" s="16" t="s">
        <v>12206</v>
      </c>
    </row>
    <row r="5125" spans="1:1" x14ac:dyDescent="0.25">
      <c r="A5125" s="16" t="s">
        <v>12207</v>
      </c>
    </row>
    <row r="5126" spans="1:1" x14ac:dyDescent="0.25">
      <c r="A5126" s="16" t="s">
        <v>12224</v>
      </c>
    </row>
    <row r="5127" spans="1:1" x14ac:dyDescent="0.25">
      <c r="A5127" s="16" t="s">
        <v>12245</v>
      </c>
    </row>
    <row r="5128" spans="1:1" x14ac:dyDescent="0.25">
      <c r="A5128" s="16" t="s">
        <v>12246</v>
      </c>
    </row>
    <row r="5129" spans="1:1" x14ac:dyDescent="0.25">
      <c r="A5129" s="16" t="s">
        <v>12316</v>
      </c>
    </row>
    <row r="5130" spans="1:1" x14ac:dyDescent="0.25">
      <c r="A5130" s="16" t="s">
        <v>12320</v>
      </c>
    </row>
    <row r="5131" spans="1:1" x14ac:dyDescent="0.25">
      <c r="A5131" s="16" t="s">
        <v>12341</v>
      </c>
    </row>
    <row r="5132" spans="1:1" x14ac:dyDescent="0.25">
      <c r="A5132" s="16" t="s">
        <v>12342</v>
      </c>
    </row>
    <row r="5133" spans="1:1" x14ac:dyDescent="0.25">
      <c r="A5133" s="16" t="s">
        <v>12348</v>
      </c>
    </row>
    <row r="5134" spans="1:1" x14ac:dyDescent="0.25">
      <c r="A5134" s="16" t="s">
        <v>12380</v>
      </c>
    </row>
    <row r="5135" spans="1:1" x14ac:dyDescent="0.25">
      <c r="A5135" s="16" t="s">
        <v>12382</v>
      </c>
    </row>
    <row r="5136" spans="1:1" x14ac:dyDescent="0.25">
      <c r="A5136" s="16" t="s">
        <v>12383</v>
      </c>
    </row>
    <row r="5137" spans="1:1" x14ac:dyDescent="0.25">
      <c r="A5137" s="16" t="s">
        <v>12425</v>
      </c>
    </row>
    <row r="5138" spans="1:1" x14ac:dyDescent="0.25">
      <c r="A5138" s="16" t="s">
        <v>12495</v>
      </c>
    </row>
    <row r="5139" spans="1:1" x14ac:dyDescent="0.25">
      <c r="A5139" s="16" t="s">
        <v>12532</v>
      </c>
    </row>
    <row r="5140" spans="1:1" x14ac:dyDescent="0.25">
      <c r="A5140" s="16" t="s">
        <v>12593</v>
      </c>
    </row>
    <row r="5141" spans="1:1" x14ac:dyDescent="0.25">
      <c r="A5141" s="16" t="s">
        <v>12594</v>
      </c>
    </row>
    <row r="5142" spans="1:1" x14ac:dyDescent="0.25">
      <c r="A5142" s="16" t="s">
        <v>12676</v>
      </c>
    </row>
    <row r="5143" spans="1:1" x14ac:dyDescent="0.25">
      <c r="A5143" s="16" t="s">
        <v>12677</v>
      </c>
    </row>
    <row r="5144" spans="1:1" x14ac:dyDescent="0.25">
      <c r="A5144" s="16" t="s">
        <v>12716</v>
      </c>
    </row>
    <row r="5145" spans="1:1" x14ac:dyDescent="0.25">
      <c r="A5145" s="16" t="s">
        <v>12731</v>
      </c>
    </row>
    <row r="5146" spans="1:1" x14ac:dyDescent="0.25">
      <c r="A5146" s="16" t="s">
        <v>12735</v>
      </c>
    </row>
    <row r="5147" spans="1:1" x14ac:dyDescent="0.25">
      <c r="A5147" s="16" t="s">
        <v>12828</v>
      </c>
    </row>
    <row r="5148" spans="1:1" x14ac:dyDescent="0.25">
      <c r="A5148" s="16" t="s">
        <v>12829</v>
      </c>
    </row>
    <row r="5149" spans="1:1" x14ac:dyDescent="0.25">
      <c r="A5149" s="16" t="s">
        <v>12839</v>
      </c>
    </row>
    <row r="5150" spans="1:1" x14ac:dyDescent="0.25">
      <c r="A5150" s="16" t="s">
        <v>12848</v>
      </c>
    </row>
    <row r="5151" spans="1:1" x14ac:dyDescent="0.25">
      <c r="A5151" s="16" t="s">
        <v>12889</v>
      </c>
    </row>
    <row r="5152" spans="1:1" x14ac:dyDescent="0.25">
      <c r="A5152" s="16" t="s">
        <v>12909</v>
      </c>
    </row>
    <row r="5153" spans="1:1" x14ac:dyDescent="0.25">
      <c r="A5153" s="16" t="s">
        <v>12910</v>
      </c>
    </row>
    <row r="5154" spans="1:1" x14ac:dyDescent="0.25">
      <c r="A5154" s="16" t="s">
        <v>12913</v>
      </c>
    </row>
    <row r="5155" spans="1:1" x14ac:dyDescent="0.25">
      <c r="A5155" s="16" t="s">
        <v>12923</v>
      </c>
    </row>
    <row r="5156" spans="1:1" x14ac:dyDescent="0.25">
      <c r="A5156" s="16" t="s">
        <v>12924</v>
      </c>
    </row>
    <row r="5157" spans="1:1" x14ac:dyDescent="0.25">
      <c r="A5157" s="16" t="s">
        <v>12929</v>
      </c>
    </row>
    <row r="5158" spans="1:1" x14ac:dyDescent="0.25">
      <c r="A5158" s="16" t="s">
        <v>12942</v>
      </c>
    </row>
    <row r="5159" spans="1:1" x14ac:dyDescent="0.25">
      <c r="A5159" s="16" t="s">
        <v>12973</v>
      </c>
    </row>
    <row r="5160" spans="1:1" x14ac:dyDescent="0.25">
      <c r="A5160" s="16" t="s">
        <v>12977</v>
      </c>
    </row>
    <row r="5161" spans="1:1" x14ac:dyDescent="0.25">
      <c r="A5161" s="16" t="s">
        <v>12990</v>
      </c>
    </row>
    <row r="5162" spans="1:1" x14ac:dyDescent="0.25">
      <c r="A5162" s="16" t="s">
        <v>12991</v>
      </c>
    </row>
    <row r="5163" spans="1:1" x14ac:dyDescent="0.25">
      <c r="A5163" s="16" t="s">
        <v>12992</v>
      </c>
    </row>
    <row r="5164" spans="1:1" x14ac:dyDescent="0.25">
      <c r="A5164" s="16" t="s">
        <v>13041</v>
      </c>
    </row>
    <row r="5165" spans="1:1" x14ac:dyDescent="0.25">
      <c r="A5165" s="16" t="s">
        <v>13066</v>
      </c>
    </row>
    <row r="5166" spans="1:1" x14ac:dyDescent="0.25">
      <c r="A5166" s="16" t="s">
        <v>13074</v>
      </c>
    </row>
    <row r="5167" spans="1:1" x14ac:dyDescent="0.25">
      <c r="A5167" s="16" t="s">
        <v>10698</v>
      </c>
    </row>
    <row r="5168" spans="1:1" x14ac:dyDescent="0.25">
      <c r="A5168" s="16" t="s">
        <v>10729</v>
      </c>
    </row>
    <row r="5169" spans="1:1" x14ac:dyDescent="0.25">
      <c r="A5169" s="16" t="s">
        <v>10735</v>
      </c>
    </row>
    <row r="5170" spans="1:1" x14ac:dyDescent="0.25">
      <c r="A5170" s="16" t="s">
        <v>10736</v>
      </c>
    </row>
    <row r="5171" spans="1:1" x14ac:dyDescent="0.25">
      <c r="A5171" s="16" t="s">
        <v>10743</v>
      </c>
    </row>
    <row r="5172" spans="1:1" x14ac:dyDescent="0.25">
      <c r="A5172" s="16" t="s">
        <v>10764</v>
      </c>
    </row>
    <row r="5173" spans="1:1" x14ac:dyDescent="0.25">
      <c r="A5173" s="16" t="s">
        <v>10765</v>
      </c>
    </row>
    <row r="5174" spans="1:1" x14ac:dyDescent="0.25">
      <c r="A5174" s="16" t="s">
        <v>10770</v>
      </c>
    </row>
    <row r="5175" spans="1:1" x14ac:dyDescent="0.25">
      <c r="A5175" s="16" t="s">
        <v>11361</v>
      </c>
    </row>
    <row r="5176" spans="1:1" x14ac:dyDescent="0.25">
      <c r="A5176" s="16" t="s">
        <v>11376</v>
      </c>
    </row>
    <row r="5177" spans="1:1" x14ac:dyDescent="0.25">
      <c r="A5177" s="16" t="s">
        <v>11377</v>
      </c>
    </row>
    <row r="5178" spans="1:1" x14ac:dyDescent="0.25">
      <c r="A5178" s="16" t="s">
        <v>11378</v>
      </c>
    </row>
    <row r="5179" spans="1:1" x14ac:dyDescent="0.25">
      <c r="A5179" s="16" t="s">
        <v>11389</v>
      </c>
    </row>
    <row r="5180" spans="1:1" x14ac:dyDescent="0.25">
      <c r="A5180" s="16" t="s">
        <v>12050</v>
      </c>
    </row>
    <row r="5181" spans="1:1" x14ac:dyDescent="0.25">
      <c r="A5181" s="16" t="s">
        <v>12051</v>
      </c>
    </row>
    <row r="5182" spans="1:1" x14ac:dyDescent="0.25">
      <c r="A5182" s="16" t="s">
        <v>12057</v>
      </c>
    </row>
    <row r="5183" spans="1:1" x14ac:dyDescent="0.25">
      <c r="A5183" s="16" t="s">
        <v>12061</v>
      </c>
    </row>
    <row r="5184" spans="1:1" x14ac:dyDescent="0.25">
      <c r="A5184" s="16" t="s">
        <v>12130</v>
      </c>
    </row>
    <row r="5185" spans="1:1" x14ac:dyDescent="0.25">
      <c r="A5185" s="16" t="s">
        <v>12140</v>
      </c>
    </row>
    <row r="5186" spans="1:1" x14ac:dyDescent="0.25">
      <c r="A5186" s="16" t="s">
        <v>12148</v>
      </c>
    </row>
    <row r="5187" spans="1:1" x14ac:dyDescent="0.25">
      <c r="A5187" s="16" t="s">
        <v>12157</v>
      </c>
    </row>
    <row r="5188" spans="1:1" x14ac:dyDescent="0.25">
      <c r="A5188" s="16" t="s">
        <v>12178</v>
      </c>
    </row>
    <row r="5189" spans="1:1" x14ac:dyDescent="0.25">
      <c r="A5189" s="16" t="s">
        <v>12228</v>
      </c>
    </row>
    <row r="5190" spans="1:1" x14ac:dyDescent="0.25">
      <c r="A5190" s="16" t="s">
        <v>12241</v>
      </c>
    </row>
    <row r="5191" spans="1:1" x14ac:dyDescent="0.25">
      <c r="A5191" s="16" t="s">
        <v>12264</v>
      </c>
    </row>
    <row r="5192" spans="1:1" x14ac:dyDescent="0.25">
      <c r="A5192" s="16" t="s">
        <v>12265</v>
      </c>
    </row>
    <row r="5193" spans="1:1" x14ac:dyDescent="0.25">
      <c r="A5193" s="16" t="s">
        <v>12324</v>
      </c>
    </row>
    <row r="5194" spans="1:1" x14ac:dyDescent="0.25">
      <c r="A5194" s="16" t="s">
        <v>12284</v>
      </c>
    </row>
    <row r="5195" spans="1:1" x14ac:dyDescent="0.25">
      <c r="A5195" s="16" t="s">
        <v>12291</v>
      </c>
    </row>
    <row r="5196" spans="1:1" x14ac:dyDescent="0.25">
      <c r="A5196" s="16" t="s">
        <v>12305</v>
      </c>
    </row>
    <row r="5197" spans="1:1" x14ac:dyDescent="0.25">
      <c r="A5197" s="16" t="s">
        <v>12335</v>
      </c>
    </row>
    <row r="5198" spans="1:1" x14ac:dyDescent="0.25">
      <c r="A5198" s="16" t="s">
        <v>12336</v>
      </c>
    </row>
    <row r="5199" spans="1:1" x14ac:dyDescent="0.25">
      <c r="A5199" s="16" t="s">
        <v>12338</v>
      </c>
    </row>
    <row r="5200" spans="1:1" x14ac:dyDescent="0.25">
      <c r="A5200" s="16" t="s">
        <v>12343</v>
      </c>
    </row>
    <row r="5201" spans="1:1" x14ac:dyDescent="0.25">
      <c r="A5201" s="16" t="s">
        <v>12360</v>
      </c>
    </row>
    <row r="5202" spans="1:1" x14ac:dyDescent="0.25">
      <c r="A5202" s="16" t="s">
        <v>12365</v>
      </c>
    </row>
    <row r="5203" spans="1:1" x14ac:dyDescent="0.25">
      <c r="A5203" s="16" t="s">
        <v>12389</v>
      </c>
    </row>
    <row r="5204" spans="1:1" x14ac:dyDescent="0.25">
      <c r="A5204" s="16" t="s">
        <v>12402</v>
      </c>
    </row>
    <row r="5205" spans="1:1" x14ac:dyDescent="0.25">
      <c r="A5205" s="16" t="s">
        <v>12409</v>
      </c>
    </row>
    <row r="5206" spans="1:1" x14ac:dyDescent="0.25">
      <c r="A5206" s="16" t="s">
        <v>12465</v>
      </c>
    </row>
    <row r="5207" spans="1:1" x14ac:dyDescent="0.25">
      <c r="A5207" s="16" t="s">
        <v>12469</v>
      </c>
    </row>
    <row r="5208" spans="1:1" x14ac:dyDescent="0.25">
      <c r="A5208" s="16" t="s">
        <v>12483</v>
      </c>
    </row>
    <row r="5209" spans="1:1" x14ac:dyDescent="0.25">
      <c r="A5209" s="16" t="s">
        <v>12533</v>
      </c>
    </row>
    <row r="5210" spans="1:1" x14ac:dyDescent="0.25">
      <c r="A5210" s="16" t="s">
        <v>12570</v>
      </c>
    </row>
    <row r="5211" spans="1:1" x14ac:dyDescent="0.25">
      <c r="A5211" s="16" t="s">
        <v>12683</v>
      </c>
    </row>
    <row r="5212" spans="1:1" x14ac:dyDescent="0.25">
      <c r="A5212" s="16" t="s">
        <v>12697</v>
      </c>
    </row>
    <row r="5213" spans="1:1" x14ac:dyDescent="0.25">
      <c r="A5213" s="16" t="s">
        <v>12718</v>
      </c>
    </row>
    <row r="5214" spans="1:1" x14ac:dyDescent="0.25">
      <c r="A5214" s="16" t="s">
        <v>12766</v>
      </c>
    </row>
    <row r="5215" spans="1:1" x14ac:dyDescent="0.25">
      <c r="A5215" s="16" t="s">
        <v>12779</v>
      </c>
    </row>
    <row r="5216" spans="1:1" x14ac:dyDescent="0.25">
      <c r="A5216" s="16" t="s">
        <v>12781</v>
      </c>
    </row>
    <row r="5217" spans="1:1" x14ac:dyDescent="0.25">
      <c r="A5217" s="16" t="s">
        <v>12815</v>
      </c>
    </row>
    <row r="5218" spans="1:1" x14ac:dyDescent="0.25">
      <c r="A5218" s="16" t="s">
        <v>12816</v>
      </c>
    </row>
    <row r="5219" spans="1:1" x14ac:dyDescent="0.25">
      <c r="A5219" s="16" t="s">
        <v>12841</v>
      </c>
    </row>
    <row r="5220" spans="1:1" x14ac:dyDescent="0.25">
      <c r="A5220" s="16" t="s">
        <v>12849</v>
      </c>
    </row>
    <row r="5221" spans="1:1" x14ac:dyDescent="0.25">
      <c r="A5221" s="16" t="s">
        <v>12870</v>
      </c>
    </row>
    <row r="5222" spans="1:1" x14ac:dyDescent="0.25">
      <c r="A5222" s="16" t="s">
        <v>12876</v>
      </c>
    </row>
    <row r="5223" spans="1:1" x14ac:dyDescent="0.25">
      <c r="A5223" s="16" t="s">
        <v>12877</v>
      </c>
    </row>
    <row r="5224" spans="1:1" x14ac:dyDescent="0.25">
      <c r="A5224" s="16" t="s">
        <v>12878</v>
      </c>
    </row>
    <row r="5225" spans="1:1" x14ac:dyDescent="0.25">
      <c r="A5225" s="16" t="s">
        <v>12880</v>
      </c>
    </row>
    <row r="5226" spans="1:1" x14ac:dyDescent="0.25">
      <c r="A5226" s="16" t="s">
        <v>12900</v>
      </c>
    </row>
    <row r="5227" spans="1:1" x14ac:dyDescent="0.25">
      <c r="A5227" s="16" t="s">
        <v>12947</v>
      </c>
    </row>
    <row r="5228" spans="1:1" x14ac:dyDescent="0.25">
      <c r="A5228" s="16" t="s">
        <v>12954</v>
      </c>
    </row>
    <row r="5229" spans="1:1" x14ac:dyDescent="0.25">
      <c r="A5229" s="16" t="s">
        <v>12964</v>
      </c>
    </row>
    <row r="5230" spans="1:1" x14ac:dyDescent="0.25">
      <c r="A5230" s="16" t="s">
        <v>13076</v>
      </c>
    </row>
    <row r="5231" spans="1:1" x14ac:dyDescent="0.25">
      <c r="A5231" s="16" t="s">
        <v>10617</v>
      </c>
    </row>
    <row r="5232" spans="1:1" x14ac:dyDescent="0.25">
      <c r="A5232" s="16" t="s">
        <v>11498</v>
      </c>
    </row>
    <row r="5233" spans="1:1" x14ac:dyDescent="0.25">
      <c r="A5233" s="16" t="s">
        <v>11644</v>
      </c>
    </row>
    <row r="5234" spans="1:1" x14ac:dyDescent="0.25">
      <c r="A5234" s="16" t="s">
        <v>11708</v>
      </c>
    </row>
    <row r="5235" spans="1:1" x14ac:dyDescent="0.25">
      <c r="A5235" s="16" t="s">
        <v>11988</v>
      </c>
    </row>
    <row r="5236" spans="1:1" x14ac:dyDescent="0.25">
      <c r="A5236" s="16" t="s">
        <v>11847</v>
      </c>
    </row>
    <row r="5237" spans="1:1" x14ac:dyDescent="0.25">
      <c r="A5237" s="16" t="s">
        <v>12904</v>
      </c>
    </row>
    <row r="5238" spans="1:1" x14ac:dyDescent="0.25">
      <c r="A5238" s="16" t="s">
        <v>12065</v>
      </c>
    </row>
    <row r="5239" spans="1:1" x14ac:dyDescent="0.25">
      <c r="A5239" s="16" t="s">
        <v>12344</v>
      </c>
    </row>
    <row r="5240" spans="1:1" x14ac:dyDescent="0.25">
      <c r="A5240" s="16" t="s">
        <v>12430</v>
      </c>
    </row>
    <row r="5241" spans="1:1" x14ac:dyDescent="0.25">
      <c r="A5241" s="16" t="s">
        <v>9777</v>
      </c>
    </row>
    <row r="5242" spans="1:1" x14ac:dyDescent="0.25">
      <c r="A5242" s="16" t="s">
        <v>11369</v>
      </c>
    </row>
    <row r="5243" spans="1:1" x14ac:dyDescent="0.25">
      <c r="A5243" s="16" t="s">
        <v>11370</v>
      </c>
    </row>
    <row r="5244" spans="1:1" x14ac:dyDescent="0.25">
      <c r="A5244" s="16" t="s">
        <v>11382</v>
      </c>
    </row>
    <row r="5245" spans="1:1" x14ac:dyDescent="0.25">
      <c r="A5245" s="16" t="s">
        <v>11603</v>
      </c>
    </row>
    <row r="5246" spans="1:1" x14ac:dyDescent="0.25">
      <c r="A5246" s="16" t="s">
        <v>11642</v>
      </c>
    </row>
    <row r="5247" spans="1:1" x14ac:dyDescent="0.25">
      <c r="A5247" s="16" t="s">
        <v>11840</v>
      </c>
    </row>
    <row r="5248" spans="1:1" x14ac:dyDescent="0.25">
      <c r="A5248" s="16" t="s">
        <v>12467</v>
      </c>
    </row>
    <row r="5249" spans="1:1" x14ac:dyDescent="0.25">
      <c r="A5249" s="16" t="s">
        <v>12796</v>
      </c>
    </row>
    <row r="5250" spans="1:1" x14ac:dyDescent="0.25">
      <c r="A5250" s="16" t="s">
        <v>12798</v>
      </c>
    </row>
    <row r="5251" spans="1:1" x14ac:dyDescent="0.25">
      <c r="A5251" s="16" t="s">
        <v>9630</v>
      </c>
    </row>
    <row r="5252" spans="1:1" x14ac:dyDescent="0.25">
      <c r="A5252" s="16" t="s">
        <v>9673</v>
      </c>
    </row>
    <row r="5253" spans="1:1" x14ac:dyDescent="0.25">
      <c r="A5253" s="16" t="s">
        <v>9688</v>
      </c>
    </row>
    <row r="5254" spans="1:1" x14ac:dyDescent="0.25">
      <c r="A5254" s="16" t="s">
        <v>9699</v>
      </c>
    </row>
    <row r="5255" spans="1:1" x14ac:dyDescent="0.25">
      <c r="A5255" s="16" t="s">
        <v>9728</v>
      </c>
    </row>
    <row r="5256" spans="1:1" x14ac:dyDescent="0.25">
      <c r="A5256" s="16" t="s">
        <v>9764</v>
      </c>
    </row>
    <row r="5257" spans="1:1" x14ac:dyDescent="0.25">
      <c r="A5257" s="16" t="s">
        <v>9803</v>
      </c>
    </row>
    <row r="5258" spans="1:1" x14ac:dyDescent="0.25">
      <c r="A5258" s="16" t="s">
        <v>9813</v>
      </c>
    </row>
    <row r="5259" spans="1:1" x14ac:dyDescent="0.25">
      <c r="A5259" s="16" t="s">
        <v>9837</v>
      </c>
    </row>
    <row r="5260" spans="1:1" x14ac:dyDescent="0.25">
      <c r="A5260" s="16" t="s">
        <v>9856</v>
      </c>
    </row>
    <row r="5261" spans="1:1" x14ac:dyDescent="0.25">
      <c r="A5261" s="16" t="s">
        <v>9857</v>
      </c>
    </row>
    <row r="5262" spans="1:1" x14ac:dyDescent="0.25">
      <c r="A5262" s="16" t="s">
        <v>9871</v>
      </c>
    </row>
    <row r="5263" spans="1:1" x14ac:dyDescent="0.25">
      <c r="A5263" s="16" t="s">
        <v>9881</v>
      </c>
    </row>
    <row r="5264" spans="1:1" x14ac:dyDescent="0.25">
      <c r="A5264" s="16" t="s">
        <v>9892</v>
      </c>
    </row>
    <row r="5265" spans="1:1" x14ac:dyDescent="0.25">
      <c r="A5265" s="16" t="s">
        <v>9929</v>
      </c>
    </row>
    <row r="5266" spans="1:1" x14ac:dyDescent="0.25">
      <c r="A5266" s="16" t="s">
        <v>9934</v>
      </c>
    </row>
    <row r="5267" spans="1:1" x14ac:dyDescent="0.25">
      <c r="A5267" s="16" t="s">
        <v>9943</v>
      </c>
    </row>
    <row r="5268" spans="1:1" x14ac:dyDescent="0.25">
      <c r="A5268" s="16" t="s">
        <v>9952</v>
      </c>
    </row>
    <row r="5269" spans="1:1" x14ac:dyDescent="0.25">
      <c r="A5269" s="16" t="s">
        <v>9954</v>
      </c>
    </row>
    <row r="5270" spans="1:1" x14ac:dyDescent="0.25">
      <c r="A5270" s="16" t="s">
        <v>9958</v>
      </c>
    </row>
    <row r="5271" spans="1:1" x14ac:dyDescent="0.25">
      <c r="A5271" s="16" t="s">
        <v>9972</v>
      </c>
    </row>
    <row r="5272" spans="1:1" x14ac:dyDescent="0.25">
      <c r="A5272" s="16" t="s">
        <v>9975</v>
      </c>
    </row>
    <row r="5273" spans="1:1" x14ac:dyDescent="0.25">
      <c r="A5273" s="16" t="s">
        <v>9980</v>
      </c>
    </row>
    <row r="5274" spans="1:1" x14ac:dyDescent="0.25">
      <c r="A5274" s="16" t="s">
        <v>9987</v>
      </c>
    </row>
    <row r="5275" spans="1:1" x14ac:dyDescent="0.25">
      <c r="A5275" s="16" t="s">
        <v>10015</v>
      </c>
    </row>
    <row r="5276" spans="1:1" x14ac:dyDescent="0.25">
      <c r="A5276" s="16" t="s">
        <v>10023</v>
      </c>
    </row>
    <row r="5277" spans="1:1" x14ac:dyDescent="0.25">
      <c r="A5277" s="16" t="s">
        <v>10032</v>
      </c>
    </row>
    <row r="5278" spans="1:1" x14ac:dyDescent="0.25">
      <c r="A5278" s="16" t="s">
        <v>10042</v>
      </c>
    </row>
    <row r="5279" spans="1:1" x14ac:dyDescent="0.25">
      <c r="A5279" s="16" t="s">
        <v>10080</v>
      </c>
    </row>
    <row r="5280" spans="1:1" x14ac:dyDescent="0.25">
      <c r="A5280" s="16" t="s">
        <v>10095</v>
      </c>
    </row>
    <row r="5281" spans="1:1" x14ac:dyDescent="0.25">
      <c r="A5281" s="16" t="s">
        <v>10109</v>
      </c>
    </row>
    <row r="5282" spans="1:1" x14ac:dyDescent="0.25">
      <c r="A5282" s="16" t="s">
        <v>10117</v>
      </c>
    </row>
    <row r="5283" spans="1:1" x14ac:dyDescent="0.25">
      <c r="A5283" s="16" t="s">
        <v>10121</v>
      </c>
    </row>
    <row r="5284" spans="1:1" x14ac:dyDescent="0.25">
      <c r="A5284" s="16" t="s">
        <v>10150</v>
      </c>
    </row>
    <row r="5285" spans="1:1" x14ac:dyDescent="0.25">
      <c r="A5285" s="16" t="s">
        <v>10160</v>
      </c>
    </row>
    <row r="5286" spans="1:1" x14ac:dyDescent="0.25">
      <c r="A5286" s="16" t="s">
        <v>10182</v>
      </c>
    </row>
    <row r="5287" spans="1:1" x14ac:dyDescent="0.25">
      <c r="A5287" s="16" t="s">
        <v>10183</v>
      </c>
    </row>
    <row r="5288" spans="1:1" x14ac:dyDescent="0.25">
      <c r="A5288" s="16" t="s">
        <v>10226</v>
      </c>
    </row>
    <row r="5289" spans="1:1" x14ac:dyDescent="0.25">
      <c r="A5289" s="16" t="s">
        <v>10196</v>
      </c>
    </row>
    <row r="5290" spans="1:1" x14ac:dyDescent="0.25">
      <c r="A5290" s="16" t="s">
        <v>10221</v>
      </c>
    </row>
    <row r="5291" spans="1:1" x14ac:dyDescent="0.25">
      <c r="A5291" s="16" t="s">
        <v>10252</v>
      </c>
    </row>
    <row r="5292" spans="1:1" x14ac:dyDescent="0.25">
      <c r="A5292" s="16" t="s">
        <v>10281</v>
      </c>
    </row>
    <row r="5293" spans="1:1" x14ac:dyDescent="0.25">
      <c r="A5293" s="16" t="s">
        <v>10305</v>
      </c>
    </row>
    <row r="5294" spans="1:1" x14ac:dyDescent="0.25">
      <c r="A5294" s="16" t="s">
        <v>10307</v>
      </c>
    </row>
    <row r="5295" spans="1:1" x14ac:dyDescent="0.25">
      <c r="A5295" s="16" t="s">
        <v>10319</v>
      </c>
    </row>
    <row r="5296" spans="1:1" x14ac:dyDescent="0.25">
      <c r="A5296" s="16" t="s">
        <v>10326</v>
      </c>
    </row>
    <row r="5297" spans="1:1" x14ac:dyDescent="0.25">
      <c r="A5297" s="16" t="s">
        <v>10334</v>
      </c>
    </row>
    <row r="5298" spans="1:1" x14ac:dyDescent="0.25">
      <c r="A5298" s="16" t="s">
        <v>10352</v>
      </c>
    </row>
    <row r="5299" spans="1:1" x14ac:dyDescent="0.25">
      <c r="A5299" s="16" t="s">
        <v>10365</v>
      </c>
    </row>
    <row r="5300" spans="1:1" x14ac:dyDescent="0.25">
      <c r="A5300" s="16" t="s">
        <v>10386</v>
      </c>
    </row>
    <row r="5301" spans="1:1" x14ac:dyDescent="0.25">
      <c r="A5301" s="16" t="s">
        <v>10391</v>
      </c>
    </row>
    <row r="5302" spans="1:1" x14ac:dyDescent="0.25">
      <c r="A5302" s="16" t="s">
        <v>10393</v>
      </c>
    </row>
    <row r="5303" spans="1:1" x14ac:dyDescent="0.25">
      <c r="A5303" s="16" t="s">
        <v>10399</v>
      </c>
    </row>
    <row r="5304" spans="1:1" x14ac:dyDescent="0.25">
      <c r="A5304" s="16" t="s">
        <v>10413</v>
      </c>
    </row>
    <row r="5305" spans="1:1" x14ac:dyDescent="0.25">
      <c r="A5305" s="16" t="s">
        <v>10415</v>
      </c>
    </row>
    <row r="5306" spans="1:1" x14ac:dyDescent="0.25">
      <c r="A5306" s="16" t="s">
        <v>10424</v>
      </c>
    </row>
    <row r="5307" spans="1:1" x14ac:dyDescent="0.25">
      <c r="A5307" s="16" t="s">
        <v>10491</v>
      </c>
    </row>
    <row r="5308" spans="1:1" x14ac:dyDescent="0.25">
      <c r="A5308" s="16" t="s">
        <v>10526</v>
      </c>
    </row>
    <row r="5309" spans="1:1" x14ac:dyDescent="0.25">
      <c r="A5309" s="16" t="s">
        <v>10529</v>
      </c>
    </row>
    <row r="5310" spans="1:1" x14ac:dyDescent="0.25">
      <c r="A5310" s="16" t="s">
        <v>10535</v>
      </c>
    </row>
    <row r="5311" spans="1:1" x14ac:dyDescent="0.25">
      <c r="A5311" s="16" t="s">
        <v>11234</v>
      </c>
    </row>
    <row r="5312" spans="1:1" x14ac:dyDescent="0.25">
      <c r="A5312" s="16" t="s">
        <v>11235</v>
      </c>
    </row>
    <row r="5313" spans="1:1" x14ac:dyDescent="0.25">
      <c r="A5313" s="16" t="s">
        <v>11236</v>
      </c>
    </row>
    <row r="5314" spans="1:1" x14ac:dyDescent="0.25">
      <c r="A5314" s="16" t="s">
        <v>11237</v>
      </c>
    </row>
    <row r="5315" spans="1:1" x14ac:dyDescent="0.25">
      <c r="A5315" s="16" t="s">
        <v>11241</v>
      </c>
    </row>
    <row r="5316" spans="1:1" x14ac:dyDescent="0.25">
      <c r="A5316" s="16" t="s">
        <v>11354</v>
      </c>
    </row>
    <row r="5317" spans="1:1" x14ac:dyDescent="0.25">
      <c r="A5317" s="16" t="s">
        <v>11387</v>
      </c>
    </row>
    <row r="5318" spans="1:1" x14ac:dyDescent="0.25">
      <c r="A5318" s="16" t="s">
        <v>11394</v>
      </c>
    </row>
    <row r="5319" spans="1:1" x14ac:dyDescent="0.25">
      <c r="A5319" s="16" t="s">
        <v>11434</v>
      </c>
    </row>
    <row r="5320" spans="1:1" x14ac:dyDescent="0.25">
      <c r="A5320" s="16" t="s">
        <v>11435</v>
      </c>
    </row>
    <row r="5321" spans="1:1" x14ac:dyDescent="0.25">
      <c r="A5321" s="16" t="s">
        <v>11540</v>
      </c>
    </row>
    <row r="5322" spans="1:1" x14ac:dyDescent="0.25">
      <c r="A5322" s="16" t="s">
        <v>11543</v>
      </c>
    </row>
    <row r="5323" spans="1:1" x14ac:dyDescent="0.25">
      <c r="A5323" s="16" t="s">
        <v>11553</v>
      </c>
    </row>
    <row r="5324" spans="1:1" x14ac:dyDescent="0.25">
      <c r="A5324" s="16" t="s">
        <v>11579</v>
      </c>
    </row>
    <row r="5325" spans="1:1" x14ac:dyDescent="0.25">
      <c r="A5325" s="16" t="s">
        <v>11587</v>
      </c>
    </row>
    <row r="5326" spans="1:1" x14ac:dyDescent="0.25">
      <c r="A5326" s="16" t="s">
        <v>11612</v>
      </c>
    </row>
    <row r="5327" spans="1:1" x14ac:dyDescent="0.25">
      <c r="A5327" s="16" t="s">
        <v>11628</v>
      </c>
    </row>
    <row r="5328" spans="1:1" x14ac:dyDescent="0.25">
      <c r="A5328" s="16" t="s">
        <v>11637</v>
      </c>
    </row>
    <row r="5329" spans="1:1" x14ac:dyDescent="0.25">
      <c r="A5329" s="16" t="s">
        <v>11657</v>
      </c>
    </row>
    <row r="5330" spans="1:1" x14ac:dyDescent="0.25">
      <c r="A5330" s="16" t="s">
        <v>11719</v>
      </c>
    </row>
    <row r="5331" spans="1:1" x14ac:dyDescent="0.25">
      <c r="A5331" s="16" t="s">
        <v>11739</v>
      </c>
    </row>
    <row r="5332" spans="1:1" x14ac:dyDescent="0.25">
      <c r="A5332" s="16" t="s">
        <v>11740</v>
      </c>
    </row>
    <row r="5333" spans="1:1" x14ac:dyDescent="0.25">
      <c r="A5333" s="16" t="s">
        <v>11741</v>
      </c>
    </row>
    <row r="5334" spans="1:1" x14ac:dyDescent="0.25">
      <c r="A5334" s="16" t="s">
        <v>11759</v>
      </c>
    </row>
    <row r="5335" spans="1:1" x14ac:dyDescent="0.25">
      <c r="A5335" s="16" t="s">
        <v>11776</v>
      </c>
    </row>
    <row r="5336" spans="1:1" x14ac:dyDescent="0.25">
      <c r="A5336" s="16" t="s">
        <v>11777</v>
      </c>
    </row>
    <row r="5337" spans="1:1" x14ac:dyDescent="0.25">
      <c r="A5337" s="16" t="s">
        <v>11794</v>
      </c>
    </row>
    <row r="5338" spans="1:1" x14ac:dyDescent="0.25">
      <c r="A5338" s="16" t="s">
        <v>11797</v>
      </c>
    </row>
    <row r="5339" spans="1:1" x14ac:dyDescent="0.25">
      <c r="A5339" s="16" t="s">
        <v>11804</v>
      </c>
    </row>
    <row r="5340" spans="1:1" x14ac:dyDescent="0.25">
      <c r="A5340" s="16" t="s">
        <v>11809</v>
      </c>
    </row>
    <row r="5341" spans="1:1" x14ac:dyDescent="0.25">
      <c r="A5341" s="16" t="s">
        <v>11811</v>
      </c>
    </row>
    <row r="5342" spans="1:1" x14ac:dyDescent="0.25">
      <c r="A5342" s="16" t="s">
        <v>11819</v>
      </c>
    </row>
    <row r="5343" spans="1:1" x14ac:dyDescent="0.25">
      <c r="A5343" s="16" t="s">
        <v>11820</v>
      </c>
    </row>
    <row r="5344" spans="1:1" x14ac:dyDescent="0.25">
      <c r="A5344" s="16" t="s">
        <v>11821</v>
      </c>
    </row>
    <row r="5345" spans="1:1" x14ac:dyDescent="0.25">
      <c r="A5345" s="16" t="s">
        <v>11829</v>
      </c>
    </row>
    <row r="5346" spans="1:1" x14ac:dyDescent="0.25">
      <c r="A5346" s="16" t="s">
        <v>11838</v>
      </c>
    </row>
    <row r="5347" spans="1:1" x14ac:dyDescent="0.25">
      <c r="A5347" s="16" t="s">
        <v>11846</v>
      </c>
    </row>
    <row r="5348" spans="1:1" x14ac:dyDescent="0.25">
      <c r="A5348" s="16" t="s">
        <v>11854</v>
      </c>
    </row>
    <row r="5349" spans="1:1" x14ac:dyDescent="0.25">
      <c r="A5349" s="16" t="s">
        <v>11864</v>
      </c>
    </row>
    <row r="5350" spans="1:1" x14ac:dyDescent="0.25">
      <c r="A5350" s="16" t="s">
        <v>11917</v>
      </c>
    </row>
    <row r="5351" spans="1:1" x14ac:dyDescent="0.25">
      <c r="A5351" s="16" t="s">
        <v>11918</v>
      </c>
    </row>
    <row r="5352" spans="1:1" x14ac:dyDescent="0.25">
      <c r="A5352" s="16" t="s">
        <v>11952</v>
      </c>
    </row>
    <row r="5353" spans="1:1" x14ac:dyDescent="0.25">
      <c r="A5353" s="16" t="s">
        <v>11953</v>
      </c>
    </row>
    <row r="5354" spans="1:1" x14ac:dyDescent="0.25">
      <c r="A5354" s="16" t="s">
        <v>11990</v>
      </c>
    </row>
    <row r="5355" spans="1:1" x14ac:dyDescent="0.25">
      <c r="A5355" s="16" t="s">
        <v>12462</v>
      </c>
    </row>
    <row r="5356" spans="1:1" x14ac:dyDescent="0.25">
      <c r="A5356" s="16" t="s">
        <v>12463</v>
      </c>
    </row>
    <row r="5357" spans="1:1" x14ac:dyDescent="0.25">
      <c r="A5357" s="16" t="s">
        <v>12464</v>
      </c>
    </row>
    <row r="5358" spans="1:1" x14ac:dyDescent="0.25">
      <c r="A5358" s="16" t="s">
        <v>12628</v>
      </c>
    </row>
    <row r="5359" spans="1:1" x14ac:dyDescent="0.25">
      <c r="A5359" s="16" t="s">
        <v>12629</v>
      </c>
    </row>
    <row r="5360" spans="1:1" x14ac:dyDescent="0.25">
      <c r="A5360" s="16" t="s">
        <v>12664</v>
      </c>
    </row>
    <row r="5361" spans="1:1" x14ac:dyDescent="0.25">
      <c r="A5361" s="16" t="s">
        <v>12665</v>
      </c>
    </row>
    <row r="5362" spans="1:1" x14ac:dyDescent="0.25">
      <c r="A5362" s="16" t="s">
        <v>12696</v>
      </c>
    </row>
    <row r="5363" spans="1:1" x14ac:dyDescent="0.25">
      <c r="A5363" s="16" t="s">
        <v>12715</v>
      </c>
    </row>
    <row r="5364" spans="1:1" x14ac:dyDescent="0.25">
      <c r="A5364" s="16" t="s">
        <v>12727</v>
      </c>
    </row>
    <row r="5365" spans="1:1" x14ac:dyDescent="0.25">
      <c r="A5365" s="16" t="s">
        <v>12795</v>
      </c>
    </row>
    <row r="5366" spans="1:1" x14ac:dyDescent="0.25">
      <c r="A5366" s="16" t="s">
        <v>12833</v>
      </c>
    </row>
    <row r="5367" spans="1:1" x14ac:dyDescent="0.25">
      <c r="A5367" s="16" t="s">
        <v>12847</v>
      </c>
    </row>
    <row r="5368" spans="1:1" x14ac:dyDescent="0.25">
      <c r="A5368" s="16" t="s">
        <v>12858</v>
      </c>
    </row>
    <row r="5369" spans="1:1" x14ac:dyDescent="0.25">
      <c r="A5369" s="16" t="s">
        <v>12860</v>
      </c>
    </row>
    <row r="5370" spans="1:1" x14ac:dyDescent="0.25">
      <c r="A5370" s="16" t="s">
        <v>10250</v>
      </c>
    </row>
    <row r="5371" spans="1:1" x14ac:dyDescent="0.25">
      <c r="A5371" s="16" t="s">
        <v>10277</v>
      </c>
    </row>
    <row r="5372" spans="1:1" x14ac:dyDescent="0.25">
      <c r="A5372" s="16" t="s">
        <v>11536</v>
      </c>
    </row>
    <row r="5373" spans="1:1" x14ac:dyDescent="0.25">
      <c r="A5373" s="16" t="s">
        <v>10531</v>
      </c>
    </row>
    <row r="5374" spans="1:1" x14ac:dyDescent="0.25">
      <c r="A5374" s="16" t="s">
        <v>10533</v>
      </c>
    </row>
    <row r="5375" spans="1:1" x14ac:dyDescent="0.25">
      <c r="A5375" s="16" t="s">
        <v>10537</v>
      </c>
    </row>
    <row r="5376" spans="1:1" x14ac:dyDescent="0.25">
      <c r="A5376" s="16" t="s">
        <v>10539</v>
      </c>
    </row>
    <row r="5377" spans="1:1" x14ac:dyDescent="0.25">
      <c r="A5377" s="16" t="s">
        <v>10543</v>
      </c>
    </row>
    <row r="5378" spans="1:1" x14ac:dyDescent="0.25">
      <c r="A5378" s="16" t="s">
        <v>10545</v>
      </c>
    </row>
    <row r="5379" spans="1:1" x14ac:dyDescent="0.25">
      <c r="A5379" s="16" t="s">
        <v>10547</v>
      </c>
    </row>
    <row r="5380" spans="1:1" x14ac:dyDescent="0.25">
      <c r="A5380" s="16" t="s">
        <v>10551</v>
      </c>
    </row>
    <row r="5381" spans="1:1" x14ac:dyDescent="0.25">
      <c r="A5381" s="16" t="s">
        <v>10553</v>
      </c>
    </row>
    <row r="5382" spans="1:1" x14ac:dyDescent="0.25">
      <c r="A5382" s="16" t="s">
        <v>10555</v>
      </c>
    </row>
    <row r="5383" spans="1:1" x14ac:dyDescent="0.25">
      <c r="A5383" s="16" t="s">
        <v>10557</v>
      </c>
    </row>
    <row r="5384" spans="1:1" x14ac:dyDescent="0.25">
      <c r="A5384" s="16" t="s">
        <v>10559</v>
      </c>
    </row>
    <row r="5385" spans="1:1" x14ac:dyDescent="0.25">
      <c r="A5385" s="16" t="s">
        <v>10561</v>
      </c>
    </row>
    <row r="5386" spans="1:1" x14ac:dyDescent="0.25">
      <c r="A5386" s="16" t="s">
        <v>10563</v>
      </c>
    </row>
    <row r="5387" spans="1:1" x14ac:dyDescent="0.25">
      <c r="A5387" s="16" t="s">
        <v>10567</v>
      </c>
    </row>
    <row r="5388" spans="1:1" x14ac:dyDescent="0.25">
      <c r="A5388" s="16" t="s">
        <v>10575</v>
      </c>
    </row>
    <row r="5389" spans="1:1" x14ac:dyDescent="0.25">
      <c r="A5389" s="16" t="s">
        <v>10578</v>
      </c>
    </row>
    <row r="5390" spans="1:1" x14ac:dyDescent="0.25">
      <c r="A5390" s="16" t="s">
        <v>10580</v>
      </c>
    </row>
    <row r="5391" spans="1:1" x14ac:dyDescent="0.25">
      <c r="A5391" s="16" t="s">
        <v>10583</v>
      </c>
    </row>
    <row r="5392" spans="1:1" x14ac:dyDescent="0.25">
      <c r="A5392" s="16" t="s">
        <v>10585</v>
      </c>
    </row>
    <row r="5393" spans="1:1" x14ac:dyDescent="0.25">
      <c r="A5393" s="16" t="s">
        <v>10587</v>
      </c>
    </row>
    <row r="5394" spans="1:1" x14ac:dyDescent="0.25">
      <c r="A5394" s="16" t="s">
        <v>10590</v>
      </c>
    </row>
    <row r="5395" spans="1:1" x14ac:dyDescent="0.25">
      <c r="A5395" s="16" t="s">
        <v>10592</v>
      </c>
    </row>
    <row r="5396" spans="1:1" x14ac:dyDescent="0.25">
      <c r="A5396" s="16" t="s">
        <v>10594</v>
      </c>
    </row>
    <row r="5397" spans="1:1" x14ac:dyDescent="0.25">
      <c r="A5397" s="16" t="s">
        <v>10599</v>
      </c>
    </row>
    <row r="5398" spans="1:1" x14ac:dyDescent="0.25">
      <c r="A5398" s="16" t="s">
        <v>10601</v>
      </c>
    </row>
    <row r="5399" spans="1:1" x14ac:dyDescent="0.25">
      <c r="A5399" s="16" t="s">
        <v>10604</v>
      </c>
    </row>
    <row r="5400" spans="1:1" x14ac:dyDescent="0.25">
      <c r="A5400" s="16" t="s">
        <v>10606</v>
      </c>
    </row>
    <row r="5401" spans="1:1" x14ac:dyDescent="0.25">
      <c r="A5401" s="16" t="s">
        <v>10610</v>
      </c>
    </row>
    <row r="5402" spans="1:1" x14ac:dyDescent="0.25">
      <c r="A5402" s="16" t="s">
        <v>10613</v>
      </c>
    </row>
    <row r="5403" spans="1:1" x14ac:dyDescent="0.25">
      <c r="A5403" s="16" t="s">
        <v>10615</v>
      </c>
    </row>
    <row r="5404" spans="1:1" x14ac:dyDescent="0.25">
      <c r="A5404" s="16" t="s">
        <v>10618</v>
      </c>
    </row>
    <row r="5405" spans="1:1" x14ac:dyDescent="0.25">
      <c r="A5405" s="16" t="s">
        <v>10620</v>
      </c>
    </row>
    <row r="5406" spans="1:1" x14ac:dyDescent="0.25">
      <c r="A5406" s="16" t="s">
        <v>10624</v>
      </c>
    </row>
    <row r="5407" spans="1:1" x14ac:dyDescent="0.25">
      <c r="A5407" s="16" t="s">
        <v>10626</v>
      </c>
    </row>
    <row r="5408" spans="1:1" x14ac:dyDescent="0.25">
      <c r="A5408" s="16" t="s">
        <v>10632</v>
      </c>
    </row>
    <row r="5409" spans="1:1" x14ac:dyDescent="0.25">
      <c r="A5409" s="16" t="s">
        <v>10636</v>
      </c>
    </row>
    <row r="5410" spans="1:1" x14ac:dyDescent="0.25">
      <c r="A5410" s="16" t="s">
        <v>10644</v>
      </c>
    </row>
    <row r="5411" spans="1:1" x14ac:dyDescent="0.25">
      <c r="A5411" s="16" t="s">
        <v>10646</v>
      </c>
    </row>
    <row r="5412" spans="1:1" x14ac:dyDescent="0.25">
      <c r="A5412" s="16" t="s">
        <v>10649</v>
      </c>
    </row>
    <row r="5413" spans="1:1" x14ac:dyDescent="0.25">
      <c r="A5413" s="16" t="s">
        <v>10651</v>
      </c>
    </row>
    <row r="5414" spans="1:1" x14ac:dyDescent="0.25">
      <c r="A5414" s="16" t="s">
        <v>10655</v>
      </c>
    </row>
    <row r="5415" spans="1:1" x14ac:dyDescent="0.25">
      <c r="A5415" s="16" t="s">
        <v>10659</v>
      </c>
    </row>
    <row r="5416" spans="1:1" x14ac:dyDescent="0.25">
      <c r="A5416" s="16" t="s">
        <v>10661</v>
      </c>
    </row>
    <row r="5417" spans="1:1" x14ac:dyDescent="0.25">
      <c r="A5417" s="16" t="s">
        <v>10664</v>
      </c>
    </row>
    <row r="5418" spans="1:1" x14ac:dyDescent="0.25">
      <c r="A5418" s="16" t="s">
        <v>10666</v>
      </c>
    </row>
    <row r="5419" spans="1:1" x14ac:dyDescent="0.25">
      <c r="A5419" s="16" t="s">
        <v>10673</v>
      </c>
    </row>
    <row r="5420" spans="1:1" x14ac:dyDescent="0.25">
      <c r="A5420" s="16" t="s">
        <v>10678</v>
      </c>
    </row>
    <row r="5421" spans="1:1" x14ac:dyDescent="0.25">
      <c r="A5421" s="16" t="s">
        <v>10680</v>
      </c>
    </row>
    <row r="5422" spans="1:1" x14ac:dyDescent="0.25">
      <c r="A5422" s="16" t="s">
        <v>10684</v>
      </c>
    </row>
    <row r="5423" spans="1:1" x14ac:dyDescent="0.25">
      <c r="A5423" s="16" t="s">
        <v>10692</v>
      </c>
    </row>
    <row r="5424" spans="1:1" x14ac:dyDescent="0.25">
      <c r="A5424" s="16" t="s">
        <v>10703</v>
      </c>
    </row>
    <row r="5425" spans="1:1" x14ac:dyDescent="0.25">
      <c r="A5425" s="16" t="s">
        <v>10705</v>
      </c>
    </row>
    <row r="5426" spans="1:1" x14ac:dyDescent="0.25">
      <c r="A5426" s="16" t="s">
        <v>10707</v>
      </c>
    </row>
    <row r="5427" spans="1:1" x14ac:dyDescent="0.25">
      <c r="A5427" s="16" t="s">
        <v>10709</v>
      </c>
    </row>
    <row r="5428" spans="1:1" x14ac:dyDescent="0.25">
      <c r="A5428" s="16" t="s">
        <v>10716</v>
      </c>
    </row>
    <row r="5429" spans="1:1" x14ac:dyDescent="0.25">
      <c r="A5429" s="16" t="s">
        <v>10718</v>
      </c>
    </row>
    <row r="5430" spans="1:1" x14ac:dyDescent="0.25">
      <c r="A5430" s="16" t="s">
        <v>10720</v>
      </c>
    </row>
    <row r="5431" spans="1:1" x14ac:dyDescent="0.25">
      <c r="A5431" s="16" t="s">
        <v>10730</v>
      </c>
    </row>
    <row r="5432" spans="1:1" x14ac:dyDescent="0.25">
      <c r="A5432" s="16" t="s">
        <v>10744</v>
      </c>
    </row>
    <row r="5433" spans="1:1" x14ac:dyDescent="0.25">
      <c r="A5433" s="16" t="s">
        <v>10746</v>
      </c>
    </row>
    <row r="5434" spans="1:1" x14ac:dyDescent="0.25">
      <c r="A5434" s="16" t="s">
        <v>10766</v>
      </c>
    </row>
    <row r="5435" spans="1:1" x14ac:dyDescent="0.25">
      <c r="A5435" s="16" t="s">
        <v>10771</v>
      </c>
    </row>
    <row r="5436" spans="1:1" x14ac:dyDescent="0.25">
      <c r="A5436" s="16" t="s">
        <v>10774</v>
      </c>
    </row>
    <row r="5437" spans="1:1" x14ac:dyDescent="0.25">
      <c r="A5437" s="16" t="s">
        <v>10822</v>
      </c>
    </row>
    <row r="5438" spans="1:1" x14ac:dyDescent="0.25">
      <c r="A5438" s="16" t="s">
        <v>10823</v>
      </c>
    </row>
    <row r="5439" spans="1:1" x14ac:dyDescent="0.25">
      <c r="A5439" s="16" t="s">
        <v>10830</v>
      </c>
    </row>
    <row r="5440" spans="1:1" x14ac:dyDescent="0.25">
      <c r="A5440" s="16" t="s">
        <v>10832</v>
      </c>
    </row>
    <row r="5441" spans="1:1" x14ac:dyDescent="0.25">
      <c r="A5441" s="16" t="s">
        <v>10836</v>
      </c>
    </row>
    <row r="5442" spans="1:1" x14ac:dyDescent="0.25">
      <c r="A5442" s="16" t="s">
        <v>10838</v>
      </c>
    </row>
    <row r="5443" spans="1:1" x14ac:dyDescent="0.25">
      <c r="A5443" s="16" t="s">
        <v>10841</v>
      </c>
    </row>
    <row r="5444" spans="1:1" x14ac:dyDescent="0.25">
      <c r="A5444" s="16" t="s">
        <v>10846</v>
      </c>
    </row>
    <row r="5445" spans="1:1" x14ac:dyDescent="0.25">
      <c r="A5445" s="16" t="s">
        <v>10856</v>
      </c>
    </row>
    <row r="5446" spans="1:1" x14ac:dyDescent="0.25">
      <c r="A5446" s="16" t="s">
        <v>10862</v>
      </c>
    </row>
    <row r="5447" spans="1:1" x14ac:dyDescent="0.25">
      <c r="A5447" s="16" t="s">
        <v>10866</v>
      </c>
    </row>
    <row r="5448" spans="1:1" x14ac:dyDescent="0.25">
      <c r="A5448" s="16" t="s">
        <v>10868</v>
      </c>
    </row>
    <row r="5449" spans="1:1" x14ac:dyDescent="0.25">
      <c r="A5449" s="16" t="s">
        <v>10874</v>
      </c>
    </row>
    <row r="5450" spans="1:1" x14ac:dyDescent="0.25">
      <c r="A5450" s="16" t="s">
        <v>10876</v>
      </c>
    </row>
    <row r="5451" spans="1:1" x14ac:dyDescent="0.25">
      <c r="A5451" s="16" t="s">
        <v>10884</v>
      </c>
    </row>
    <row r="5452" spans="1:1" x14ac:dyDescent="0.25">
      <c r="A5452" s="16" t="s">
        <v>10887</v>
      </c>
    </row>
    <row r="5453" spans="1:1" x14ac:dyDescent="0.25">
      <c r="A5453" s="16" t="s">
        <v>10889</v>
      </c>
    </row>
    <row r="5454" spans="1:1" x14ac:dyDescent="0.25">
      <c r="A5454" s="16" t="s">
        <v>10893</v>
      </c>
    </row>
    <row r="5455" spans="1:1" x14ac:dyDescent="0.25">
      <c r="A5455" s="16" t="s">
        <v>10899</v>
      </c>
    </row>
    <row r="5456" spans="1:1" x14ac:dyDescent="0.25">
      <c r="A5456" s="16" t="s">
        <v>10901</v>
      </c>
    </row>
    <row r="5457" spans="1:1" x14ac:dyDescent="0.25">
      <c r="A5457" s="16" t="s">
        <v>10906</v>
      </c>
    </row>
    <row r="5458" spans="1:1" x14ac:dyDescent="0.25">
      <c r="A5458" s="16" t="s">
        <v>10916</v>
      </c>
    </row>
    <row r="5459" spans="1:1" x14ac:dyDescent="0.25">
      <c r="A5459" s="16" t="s">
        <v>10920</v>
      </c>
    </row>
    <row r="5460" spans="1:1" x14ac:dyDescent="0.25">
      <c r="A5460" s="16" t="s">
        <v>10928</v>
      </c>
    </row>
    <row r="5461" spans="1:1" x14ac:dyDescent="0.25">
      <c r="A5461" s="16" t="s">
        <v>10939</v>
      </c>
    </row>
    <row r="5462" spans="1:1" x14ac:dyDescent="0.25">
      <c r="A5462" s="16" t="s">
        <v>10941</v>
      </c>
    </row>
    <row r="5463" spans="1:1" x14ac:dyDescent="0.25">
      <c r="A5463" s="16" t="s">
        <v>10943</v>
      </c>
    </row>
    <row r="5464" spans="1:1" x14ac:dyDescent="0.25">
      <c r="A5464" s="16" t="s">
        <v>10945</v>
      </c>
    </row>
    <row r="5465" spans="1:1" x14ac:dyDescent="0.25">
      <c r="A5465" s="16" t="s">
        <v>10949</v>
      </c>
    </row>
    <row r="5466" spans="1:1" x14ac:dyDescent="0.25">
      <c r="A5466" s="16" t="s">
        <v>10951</v>
      </c>
    </row>
    <row r="5467" spans="1:1" x14ac:dyDescent="0.25">
      <c r="A5467" s="16" t="s">
        <v>10953</v>
      </c>
    </row>
    <row r="5468" spans="1:1" x14ac:dyDescent="0.25">
      <c r="A5468" s="16" t="s">
        <v>10957</v>
      </c>
    </row>
    <row r="5469" spans="1:1" x14ac:dyDescent="0.25">
      <c r="A5469" s="16" t="s">
        <v>10959</v>
      </c>
    </row>
    <row r="5470" spans="1:1" x14ac:dyDescent="0.25">
      <c r="A5470" s="16" t="s">
        <v>10962</v>
      </c>
    </row>
    <row r="5471" spans="1:1" x14ac:dyDescent="0.25">
      <c r="A5471" s="16" t="s">
        <v>10965</v>
      </c>
    </row>
    <row r="5472" spans="1:1" x14ac:dyDescent="0.25">
      <c r="A5472" s="16" t="s">
        <v>10967</v>
      </c>
    </row>
    <row r="5473" spans="1:1" x14ac:dyDescent="0.25">
      <c r="A5473" s="16" t="s">
        <v>10969</v>
      </c>
    </row>
    <row r="5474" spans="1:1" x14ac:dyDescent="0.25">
      <c r="A5474" s="16" t="s">
        <v>10973</v>
      </c>
    </row>
    <row r="5475" spans="1:1" x14ac:dyDescent="0.25">
      <c r="A5475" s="16" t="s">
        <v>10975</v>
      </c>
    </row>
    <row r="5476" spans="1:1" x14ac:dyDescent="0.25">
      <c r="A5476" s="16" t="s">
        <v>10978</v>
      </c>
    </row>
    <row r="5477" spans="1:1" x14ac:dyDescent="0.25">
      <c r="A5477" s="16" t="s">
        <v>10980</v>
      </c>
    </row>
    <row r="5478" spans="1:1" x14ac:dyDescent="0.25">
      <c r="A5478" s="16" t="s">
        <v>10990</v>
      </c>
    </row>
    <row r="5479" spans="1:1" x14ac:dyDescent="0.25">
      <c r="A5479" s="16" t="s">
        <v>10992</v>
      </c>
    </row>
    <row r="5480" spans="1:1" x14ac:dyDescent="0.25">
      <c r="A5480" s="16" t="s">
        <v>10994</v>
      </c>
    </row>
    <row r="5481" spans="1:1" x14ac:dyDescent="0.25">
      <c r="A5481" s="16" t="s">
        <v>10997</v>
      </c>
    </row>
    <row r="5482" spans="1:1" x14ac:dyDescent="0.25">
      <c r="A5482" s="16" t="s">
        <v>10999</v>
      </c>
    </row>
    <row r="5483" spans="1:1" x14ac:dyDescent="0.25">
      <c r="A5483" s="16" t="s">
        <v>11002</v>
      </c>
    </row>
    <row r="5484" spans="1:1" x14ac:dyDescent="0.25">
      <c r="A5484" s="16" t="s">
        <v>11004</v>
      </c>
    </row>
    <row r="5485" spans="1:1" x14ac:dyDescent="0.25">
      <c r="A5485" s="16" t="s">
        <v>11009</v>
      </c>
    </row>
    <row r="5486" spans="1:1" x14ac:dyDescent="0.25">
      <c r="A5486" s="16" t="s">
        <v>11011</v>
      </c>
    </row>
    <row r="5487" spans="1:1" x14ac:dyDescent="0.25">
      <c r="A5487" s="16" t="s">
        <v>11013</v>
      </c>
    </row>
    <row r="5488" spans="1:1" x14ac:dyDescent="0.25">
      <c r="A5488" s="16" t="s">
        <v>11015</v>
      </c>
    </row>
    <row r="5489" spans="1:1" x14ac:dyDescent="0.25">
      <c r="A5489" s="16" t="s">
        <v>11018</v>
      </c>
    </row>
    <row r="5490" spans="1:1" x14ac:dyDescent="0.25">
      <c r="A5490" s="16" t="s">
        <v>11021</v>
      </c>
    </row>
    <row r="5491" spans="1:1" x14ac:dyDescent="0.25">
      <c r="A5491" s="16" t="s">
        <v>11025</v>
      </c>
    </row>
    <row r="5492" spans="1:1" x14ac:dyDescent="0.25">
      <c r="A5492" s="16" t="s">
        <v>11028</v>
      </c>
    </row>
    <row r="5493" spans="1:1" x14ac:dyDescent="0.25">
      <c r="A5493" s="16" t="s">
        <v>11030</v>
      </c>
    </row>
    <row r="5494" spans="1:1" x14ac:dyDescent="0.25">
      <c r="A5494" s="16" t="s">
        <v>11031</v>
      </c>
    </row>
    <row r="5495" spans="1:1" x14ac:dyDescent="0.25">
      <c r="A5495" s="16" t="s">
        <v>11033</v>
      </c>
    </row>
    <row r="5496" spans="1:1" x14ac:dyDescent="0.25">
      <c r="A5496" s="16" t="s">
        <v>11040</v>
      </c>
    </row>
    <row r="5497" spans="1:1" x14ac:dyDescent="0.25">
      <c r="A5497" s="16" t="s">
        <v>11042</v>
      </c>
    </row>
    <row r="5498" spans="1:1" x14ac:dyDescent="0.25">
      <c r="A5498" s="16" t="s">
        <v>11045</v>
      </c>
    </row>
    <row r="5499" spans="1:1" x14ac:dyDescent="0.25">
      <c r="A5499" s="16" t="s">
        <v>11047</v>
      </c>
    </row>
    <row r="5500" spans="1:1" x14ac:dyDescent="0.25">
      <c r="A5500" s="16" t="s">
        <v>11049</v>
      </c>
    </row>
    <row r="5501" spans="1:1" x14ac:dyDescent="0.25">
      <c r="A5501" s="16" t="s">
        <v>11051</v>
      </c>
    </row>
    <row r="5502" spans="1:1" x14ac:dyDescent="0.25">
      <c r="A5502" s="16" t="s">
        <v>11053</v>
      </c>
    </row>
    <row r="5503" spans="1:1" x14ac:dyDescent="0.25">
      <c r="A5503" s="16" t="s">
        <v>11055</v>
      </c>
    </row>
    <row r="5504" spans="1:1" x14ac:dyDescent="0.25">
      <c r="A5504" s="16" t="s">
        <v>11059</v>
      </c>
    </row>
    <row r="5505" spans="1:1" x14ac:dyDescent="0.25">
      <c r="A5505" s="16" t="s">
        <v>11061</v>
      </c>
    </row>
    <row r="5506" spans="1:1" x14ac:dyDescent="0.25">
      <c r="A5506" s="16" t="s">
        <v>11065</v>
      </c>
    </row>
    <row r="5507" spans="1:1" x14ac:dyDescent="0.25">
      <c r="A5507" s="16" t="s">
        <v>11070</v>
      </c>
    </row>
    <row r="5508" spans="1:1" x14ac:dyDescent="0.25">
      <c r="A5508" s="16" t="s">
        <v>11072</v>
      </c>
    </row>
    <row r="5509" spans="1:1" x14ac:dyDescent="0.25">
      <c r="A5509" s="16" t="s">
        <v>11074</v>
      </c>
    </row>
    <row r="5510" spans="1:1" x14ac:dyDescent="0.25">
      <c r="A5510" s="16" t="s">
        <v>11076</v>
      </c>
    </row>
    <row r="5511" spans="1:1" x14ac:dyDescent="0.25">
      <c r="A5511" s="16" t="s">
        <v>11078</v>
      </c>
    </row>
    <row r="5512" spans="1:1" x14ac:dyDescent="0.25">
      <c r="A5512" s="16" t="s">
        <v>11080</v>
      </c>
    </row>
    <row r="5513" spans="1:1" x14ac:dyDescent="0.25">
      <c r="A5513" s="16" t="s">
        <v>11082</v>
      </c>
    </row>
    <row r="5514" spans="1:1" x14ac:dyDescent="0.25">
      <c r="A5514" s="16" t="s">
        <v>11084</v>
      </c>
    </row>
    <row r="5515" spans="1:1" x14ac:dyDescent="0.25">
      <c r="A5515" s="16" t="s">
        <v>11086</v>
      </c>
    </row>
    <row r="5516" spans="1:1" x14ac:dyDescent="0.25">
      <c r="A5516" s="16" t="s">
        <v>11089</v>
      </c>
    </row>
    <row r="5517" spans="1:1" x14ac:dyDescent="0.25">
      <c r="A5517" s="16" t="s">
        <v>11091</v>
      </c>
    </row>
    <row r="5518" spans="1:1" x14ac:dyDescent="0.25">
      <c r="A5518" s="16" t="s">
        <v>11093</v>
      </c>
    </row>
    <row r="5519" spans="1:1" x14ac:dyDescent="0.25">
      <c r="A5519" s="16" t="s">
        <v>11096</v>
      </c>
    </row>
    <row r="5520" spans="1:1" x14ac:dyDescent="0.25">
      <c r="A5520" s="16" t="s">
        <v>11102</v>
      </c>
    </row>
    <row r="5521" spans="1:1" x14ac:dyDescent="0.25">
      <c r="A5521" s="16" t="s">
        <v>11104</v>
      </c>
    </row>
    <row r="5522" spans="1:1" x14ac:dyDescent="0.25">
      <c r="A5522" s="16" t="s">
        <v>11148</v>
      </c>
    </row>
    <row r="5523" spans="1:1" x14ac:dyDescent="0.25">
      <c r="A5523" s="16" t="s">
        <v>11106</v>
      </c>
    </row>
    <row r="5524" spans="1:1" x14ac:dyDescent="0.25">
      <c r="A5524" s="16" t="s">
        <v>11108</v>
      </c>
    </row>
    <row r="5525" spans="1:1" x14ac:dyDescent="0.25">
      <c r="A5525" s="16" t="s">
        <v>11124</v>
      </c>
    </row>
    <row r="5526" spans="1:1" x14ac:dyDescent="0.25">
      <c r="A5526" s="16" t="s">
        <v>11131</v>
      </c>
    </row>
    <row r="5527" spans="1:1" x14ac:dyDescent="0.25">
      <c r="A5527" s="16" t="s">
        <v>11133</v>
      </c>
    </row>
    <row r="5528" spans="1:1" x14ac:dyDescent="0.25">
      <c r="A5528" s="16" t="s">
        <v>11137</v>
      </c>
    </row>
    <row r="5529" spans="1:1" x14ac:dyDescent="0.25">
      <c r="A5529" s="16" t="s">
        <v>11141</v>
      </c>
    </row>
    <row r="5530" spans="1:1" x14ac:dyDescent="0.25">
      <c r="A5530" s="16" t="s">
        <v>11135</v>
      </c>
    </row>
    <row r="5531" spans="1:1" x14ac:dyDescent="0.25">
      <c r="A5531" s="16" t="s">
        <v>11146</v>
      </c>
    </row>
    <row r="5532" spans="1:1" x14ac:dyDescent="0.25">
      <c r="A5532" s="16" t="s">
        <v>11110</v>
      </c>
    </row>
    <row r="5533" spans="1:1" x14ac:dyDescent="0.25">
      <c r="A5533" s="16" t="s">
        <v>11150</v>
      </c>
    </row>
    <row r="5534" spans="1:1" x14ac:dyDescent="0.25">
      <c r="A5534" s="16" t="s">
        <v>11152</v>
      </c>
    </row>
    <row r="5535" spans="1:1" x14ac:dyDescent="0.25">
      <c r="A5535" s="16" t="s">
        <v>11157</v>
      </c>
    </row>
    <row r="5536" spans="1:1" x14ac:dyDescent="0.25">
      <c r="A5536" s="16" t="s">
        <v>11163</v>
      </c>
    </row>
    <row r="5537" spans="1:1" x14ac:dyDescent="0.25">
      <c r="A5537" s="16" t="s">
        <v>11167</v>
      </c>
    </row>
    <row r="5538" spans="1:1" x14ac:dyDescent="0.25">
      <c r="A5538" s="16" t="s">
        <v>11169</v>
      </c>
    </row>
    <row r="5539" spans="1:1" x14ac:dyDescent="0.25">
      <c r="A5539" s="16" t="s">
        <v>11171</v>
      </c>
    </row>
    <row r="5540" spans="1:1" x14ac:dyDescent="0.25">
      <c r="A5540" s="16" t="s">
        <v>11173</v>
      </c>
    </row>
    <row r="5541" spans="1:1" x14ac:dyDescent="0.25">
      <c r="A5541" s="16" t="s">
        <v>11175</v>
      </c>
    </row>
    <row r="5542" spans="1:1" x14ac:dyDescent="0.25">
      <c r="A5542" s="16" t="s">
        <v>11181</v>
      </c>
    </row>
    <row r="5543" spans="1:1" x14ac:dyDescent="0.25">
      <c r="A5543" s="16" t="s">
        <v>11184</v>
      </c>
    </row>
    <row r="5544" spans="1:1" x14ac:dyDescent="0.25">
      <c r="A5544" s="16" t="s">
        <v>11186</v>
      </c>
    </row>
    <row r="5545" spans="1:1" x14ac:dyDescent="0.25">
      <c r="A5545" s="16" t="s">
        <v>11194</v>
      </c>
    </row>
    <row r="5546" spans="1:1" x14ac:dyDescent="0.25">
      <c r="A5546" s="16" t="s">
        <v>11208</v>
      </c>
    </row>
    <row r="5547" spans="1:1" x14ac:dyDescent="0.25">
      <c r="A5547" s="16" t="s">
        <v>11212</v>
      </c>
    </row>
    <row r="5548" spans="1:1" x14ac:dyDescent="0.25">
      <c r="A5548" s="16" t="s">
        <v>11214</v>
      </c>
    </row>
    <row r="5549" spans="1:1" x14ac:dyDescent="0.25">
      <c r="A5549" s="16" t="s">
        <v>11217</v>
      </c>
    </row>
    <row r="5550" spans="1:1" x14ac:dyDescent="0.25">
      <c r="A5550" s="16" t="s">
        <v>11219</v>
      </c>
    </row>
    <row r="5551" spans="1:1" x14ac:dyDescent="0.25">
      <c r="A5551" s="16" t="s">
        <v>11221</v>
      </c>
    </row>
    <row r="5552" spans="1:1" x14ac:dyDescent="0.25">
      <c r="A5552" s="16" t="s">
        <v>11242</v>
      </c>
    </row>
    <row r="5553" spans="1:1" x14ac:dyDescent="0.25">
      <c r="A5553" s="16" t="s">
        <v>11248</v>
      </c>
    </row>
    <row r="5554" spans="1:1" x14ac:dyDescent="0.25">
      <c r="A5554" s="16" t="s">
        <v>11262</v>
      </c>
    </row>
    <row r="5555" spans="1:1" x14ac:dyDescent="0.25">
      <c r="A5555" s="16" t="s">
        <v>11264</v>
      </c>
    </row>
    <row r="5556" spans="1:1" x14ac:dyDescent="0.25">
      <c r="A5556" s="16" t="s">
        <v>11276</v>
      </c>
    </row>
    <row r="5557" spans="1:1" x14ac:dyDescent="0.25">
      <c r="A5557" s="16" t="s">
        <v>11278</v>
      </c>
    </row>
    <row r="5558" spans="1:1" x14ac:dyDescent="0.25">
      <c r="A5558" s="16" t="s">
        <v>11285</v>
      </c>
    </row>
    <row r="5559" spans="1:1" x14ac:dyDescent="0.25">
      <c r="A5559" s="16" t="s">
        <v>11289</v>
      </c>
    </row>
    <row r="5560" spans="1:1" x14ac:dyDescent="0.25">
      <c r="A5560" s="16" t="s">
        <v>11291</v>
      </c>
    </row>
    <row r="5561" spans="1:1" x14ac:dyDescent="0.25">
      <c r="A5561" s="16" t="s">
        <v>11297</v>
      </c>
    </row>
    <row r="5562" spans="1:1" x14ac:dyDescent="0.25">
      <c r="A5562" s="16" t="s">
        <v>11306</v>
      </c>
    </row>
    <row r="5563" spans="1:1" x14ac:dyDescent="0.25">
      <c r="A5563" s="16" t="s">
        <v>11310</v>
      </c>
    </row>
    <row r="5564" spans="1:1" x14ac:dyDescent="0.25">
      <c r="A5564" s="16" t="s">
        <v>11315</v>
      </c>
    </row>
    <row r="5565" spans="1:1" x14ac:dyDescent="0.25">
      <c r="A5565" s="16" t="s">
        <v>11323</v>
      </c>
    </row>
    <row r="5566" spans="1:1" x14ac:dyDescent="0.25">
      <c r="A5566" s="16" t="s">
        <v>11325</v>
      </c>
    </row>
    <row r="5567" spans="1:1" x14ac:dyDescent="0.25">
      <c r="A5567" s="16" t="s">
        <v>11336</v>
      </c>
    </row>
    <row r="5568" spans="1:1" x14ac:dyDescent="0.25">
      <c r="A5568" s="16" t="s">
        <v>11346</v>
      </c>
    </row>
    <row r="5569" spans="1:1" x14ac:dyDescent="0.25">
      <c r="A5569" s="16" t="s">
        <v>11348</v>
      </c>
    </row>
    <row r="5570" spans="1:1" x14ac:dyDescent="0.25">
      <c r="A5570" s="16" t="s">
        <v>11363</v>
      </c>
    </row>
    <row r="5571" spans="1:1" x14ac:dyDescent="0.25">
      <c r="A5571" s="16" t="s">
        <v>11371</v>
      </c>
    </row>
    <row r="5572" spans="1:1" x14ac:dyDescent="0.25">
      <c r="A5572" s="16" t="s">
        <v>11374</v>
      </c>
    </row>
    <row r="5573" spans="1:1" x14ac:dyDescent="0.25">
      <c r="A5573" s="16" t="s">
        <v>11383</v>
      </c>
    </row>
    <row r="5574" spans="1:1" x14ac:dyDescent="0.25">
      <c r="A5574" s="16" t="s">
        <v>11390</v>
      </c>
    </row>
    <row r="5575" spans="1:1" x14ac:dyDescent="0.25">
      <c r="A5575" s="16" t="s">
        <v>11395</v>
      </c>
    </row>
    <row r="5576" spans="1:1" x14ac:dyDescent="0.25">
      <c r="A5576" s="16" t="s">
        <v>11397</v>
      </c>
    </row>
    <row r="5577" spans="1:1" x14ac:dyDescent="0.25">
      <c r="A5577" s="16" t="s">
        <v>11403</v>
      </c>
    </row>
    <row r="5578" spans="1:1" x14ac:dyDescent="0.25">
      <c r="A5578" s="16" t="s">
        <v>11405</v>
      </c>
    </row>
    <row r="5579" spans="1:1" x14ac:dyDescent="0.25">
      <c r="A5579" s="16" t="s">
        <v>11407</v>
      </c>
    </row>
    <row r="5580" spans="1:1" x14ac:dyDescent="0.25">
      <c r="A5580" s="16" t="s">
        <v>11413</v>
      </c>
    </row>
    <row r="5581" spans="1:1" x14ac:dyDescent="0.25">
      <c r="A5581" s="16" t="s">
        <v>11421</v>
      </c>
    </row>
    <row r="5582" spans="1:1" x14ac:dyDescent="0.25">
      <c r="A5582" s="16" t="s">
        <v>11415</v>
      </c>
    </row>
    <row r="5583" spans="1:1" x14ac:dyDescent="0.25">
      <c r="A5583" s="16" t="s">
        <v>11426</v>
      </c>
    </row>
    <row r="5584" spans="1:1" x14ac:dyDescent="0.25">
      <c r="A5584" s="16" t="s">
        <v>11428</v>
      </c>
    </row>
    <row r="5585" spans="1:1" x14ac:dyDescent="0.25">
      <c r="A5585" s="16" t="s">
        <v>11430</v>
      </c>
    </row>
    <row r="5586" spans="1:1" x14ac:dyDescent="0.25">
      <c r="A5586" s="16" t="s">
        <v>11432</v>
      </c>
    </row>
    <row r="5587" spans="1:1" x14ac:dyDescent="0.25">
      <c r="A5587" s="16" t="s">
        <v>11438</v>
      </c>
    </row>
    <row r="5588" spans="1:1" x14ac:dyDescent="0.25">
      <c r="A5588" s="16" t="s">
        <v>11440</v>
      </c>
    </row>
    <row r="5589" spans="1:1" x14ac:dyDescent="0.25">
      <c r="A5589" s="16" t="s">
        <v>11444</v>
      </c>
    </row>
    <row r="5590" spans="1:1" x14ac:dyDescent="0.25">
      <c r="A5590" s="16" t="s">
        <v>11455</v>
      </c>
    </row>
    <row r="5591" spans="1:1" x14ac:dyDescent="0.25">
      <c r="A5591" s="16" t="s">
        <v>11459</v>
      </c>
    </row>
    <row r="5592" spans="1:1" x14ac:dyDescent="0.25">
      <c r="A5592" s="16" t="s">
        <v>11461</v>
      </c>
    </row>
    <row r="5593" spans="1:1" x14ac:dyDescent="0.25">
      <c r="A5593" s="16" t="s">
        <v>11464</v>
      </c>
    </row>
    <row r="5594" spans="1:1" x14ac:dyDescent="0.25">
      <c r="A5594" s="16" t="s">
        <v>11467</v>
      </c>
    </row>
    <row r="5595" spans="1:1" x14ac:dyDescent="0.25">
      <c r="A5595" s="16" t="s">
        <v>11492</v>
      </c>
    </row>
    <row r="5596" spans="1:1" x14ac:dyDescent="0.25">
      <c r="A5596" s="16" t="s">
        <v>11493</v>
      </c>
    </row>
    <row r="5597" spans="1:1" x14ac:dyDescent="0.25">
      <c r="A5597" s="16" t="s">
        <v>11494</v>
      </c>
    </row>
    <row r="5598" spans="1:1" x14ac:dyDescent="0.25">
      <c r="A5598" s="16" t="s">
        <v>11496</v>
      </c>
    </row>
    <row r="5599" spans="1:1" x14ac:dyDescent="0.25">
      <c r="A5599" s="16" t="s">
        <v>11506</v>
      </c>
    </row>
    <row r="5600" spans="1:1" x14ac:dyDescent="0.25">
      <c r="A5600" s="16" t="s">
        <v>11535</v>
      </c>
    </row>
    <row r="5601" spans="1:1" x14ac:dyDescent="0.25">
      <c r="A5601" s="16" t="s">
        <v>11544</v>
      </c>
    </row>
    <row r="5602" spans="1:1" x14ac:dyDescent="0.25">
      <c r="A5602" s="16" t="s">
        <v>11548</v>
      </c>
    </row>
    <row r="5603" spans="1:1" x14ac:dyDescent="0.25">
      <c r="A5603" s="16" t="s">
        <v>11556</v>
      </c>
    </row>
    <row r="5604" spans="1:1" x14ac:dyDescent="0.25">
      <c r="A5604" s="16" t="s">
        <v>11559</v>
      </c>
    </row>
    <row r="5605" spans="1:1" x14ac:dyDescent="0.25">
      <c r="A5605" s="16" t="s">
        <v>11560</v>
      </c>
    </row>
    <row r="5606" spans="1:1" x14ac:dyDescent="0.25">
      <c r="A5606" s="16" t="s">
        <v>11568</v>
      </c>
    </row>
    <row r="5607" spans="1:1" x14ac:dyDescent="0.25">
      <c r="A5607" s="16" t="s">
        <v>11569</v>
      </c>
    </row>
    <row r="5608" spans="1:1" x14ac:dyDescent="0.25">
      <c r="A5608" s="16" t="s">
        <v>11570</v>
      </c>
    </row>
    <row r="5609" spans="1:1" x14ac:dyDescent="0.25">
      <c r="A5609" s="16" t="s">
        <v>11576</v>
      </c>
    </row>
    <row r="5610" spans="1:1" x14ac:dyDescent="0.25">
      <c r="A5610" s="16" t="s">
        <v>11577</v>
      </c>
    </row>
    <row r="5611" spans="1:1" x14ac:dyDescent="0.25">
      <c r="A5611" s="16" t="s">
        <v>11578</v>
      </c>
    </row>
    <row r="5612" spans="1:1" x14ac:dyDescent="0.25">
      <c r="A5612" s="16" t="s">
        <v>11593</v>
      </c>
    </row>
    <row r="5613" spans="1:1" x14ac:dyDescent="0.25">
      <c r="A5613" s="16" t="s">
        <v>11594</v>
      </c>
    </row>
    <row r="5614" spans="1:1" x14ac:dyDescent="0.25">
      <c r="A5614" s="16" t="s">
        <v>11613</v>
      </c>
    </row>
    <row r="5615" spans="1:1" x14ac:dyDescent="0.25">
      <c r="A5615" s="16" t="s">
        <v>11620</v>
      </c>
    </row>
    <row r="5616" spans="1:1" x14ac:dyDescent="0.25">
      <c r="A5616" s="16" t="s">
        <v>11621</v>
      </c>
    </row>
    <row r="5617" spans="1:1" x14ac:dyDescent="0.25">
      <c r="A5617" s="16" t="s">
        <v>11622</v>
      </c>
    </row>
    <row r="5618" spans="1:1" x14ac:dyDescent="0.25">
      <c r="A5618" s="16" t="s">
        <v>11623</v>
      </c>
    </row>
    <row r="5619" spans="1:1" x14ac:dyDescent="0.25">
      <c r="A5619" s="16" t="s">
        <v>11624</v>
      </c>
    </row>
    <row r="5620" spans="1:1" x14ac:dyDescent="0.25">
      <c r="A5620" s="16" t="s">
        <v>11625</v>
      </c>
    </row>
    <row r="5621" spans="1:1" x14ac:dyDescent="0.25">
      <c r="A5621" s="16" t="s">
        <v>11630</v>
      </c>
    </row>
    <row r="5622" spans="1:1" x14ac:dyDescent="0.25">
      <c r="A5622" s="16" t="s">
        <v>11632</v>
      </c>
    </row>
    <row r="5623" spans="1:1" x14ac:dyDescent="0.25">
      <c r="A5623" s="16" t="s">
        <v>11645</v>
      </c>
    </row>
    <row r="5624" spans="1:1" x14ac:dyDescent="0.25">
      <c r="A5624" s="16" t="s">
        <v>11654</v>
      </c>
    </row>
    <row r="5625" spans="1:1" x14ac:dyDescent="0.25">
      <c r="A5625" s="16" t="s">
        <v>11660</v>
      </c>
    </row>
    <row r="5626" spans="1:1" x14ac:dyDescent="0.25">
      <c r="A5626" s="16" t="s">
        <v>11666</v>
      </c>
    </row>
    <row r="5627" spans="1:1" x14ac:dyDescent="0.25">
      <c r="A5627" s="16" t="s">
        <v>11667</v>
      </c>
    </row>
    <row r="5628" spans="1:1" x14ac:dyDescent="0.25">
      <c r="A5628" s="16" t="s">
        <v>11675</v>
      </c>
    </row>
    <row r="5629" spans="1:1" x14ac:dyDescent="0.25">
      <c r="A5629" s="16" t="s">
        <v>11676</v>
      </c>
    </row>
    <row r="5630" spans="1:1" x14ac:dyDescent="0.25">
      <c r="A5630" s="16" t="s">
        <v>11677</v>
      </c>
    </row>
    <row r="5631" spans="1:1" x14ac:dyDescent="0.25">
      <c r="A5631" s="16" t="s">
        <v>11678</v>
      </c>
    </row>
    <row r="5632" spans="1:1" x14ac:dyDescent="0.25">
      <c r="A5632" s="16" t="s">
        <v>11683</v>
      </c>
    </row>
    <row r="5633" spans="1:1" x14ac:dyDescent="0.25">
      <c r="A5633" s="16" t="s">
        <v>11686</v>
      </c>
    </row>
    <row r="5634" spans="1:1" x14ac:dyDescent="0.25">
      <c r="A5634" s="16" t="s">
        <v>11693</v>
      </c>
    </row>
    <row r="5635" spans="1:1" x14ac:dyDescent="0.25">
      <c r="A5635" s="16" t="s">
        <v>11695</v>
      </c>
    </row>
    <row r="5636" spans="1:1" x14ac:dyDescent="0.25">
      <c r="A5636" s="16" t="s">
        <v>11705</v>
      </c>
    </row>
    <row r="5637" spans="1:1" x14ac:dyDescent="0.25">
      <c r="A5637" s="16" t="s">
        <v>11736</v>
      </c>
    </row>
    <row r="5638" spans="1:1" x14ac:dyDescent="0.25">
      <c r="A5638" s="16" t="s">
        <v>11737</v>
      </c>
    </row>
    <row r="5639" spans="1:1" x14ac:dyDescent="0.25">
      <c r="A5639" s="16" t="s">
        <v>11754</v>
      </c>
    </row>
    <row r="5640" spans="1:1" x14ac:dyDescent="0.25">
      <c r="A5640" s="16" t="s">
        <v>11799</v>
      </c>
    </row>
    <row r="5641" spans="1:1" x14ac:dyDescent="0.25">
      <c r="A5641" s="16" t="s">
        <v>11814</v>
      </c>
    </row>
    <row r="5642" spans="1:1" x14ac:dyDescent="0.25">
      <c r="A5642" s="16" t="s">
        <v>11865</v>
      </c>
    </row>
    <row r="5643" spans="1:1" x14ac:dyDescent="0.25">
      <c r="A5643" s="16" t="s">
        <v>11867</v>
      </c>
    </row>
    <row r="5644" spans="1:1" x14ac:dyDescent="0.25">
      <c r="A5644" s="16" t="s">
        <v>11874</v>
      </c>
    </row>
    <row r="5645" spans="1:1" x14ac:dyDescent="0.25">
      <c r="A5645" s="16" t="s">
        <v>11875</v>
      </c>
    </row>
    <row r="5646" spans="1:1" x14ac:dyDescent="0.25">
      <c r="A5646" s="16" t="s">
        <v>11882</v>
      </c>
    </row>
    <row r="5647" spans="1:1" x14ac:dyDescent="0.25">
      <c r="A5647" s="16" t="s">
        <v>11883</v>
      </c>
    </row>
    <row r="5648" spans="1:1" x14ac:dyDescent="0.25">
      <c r="A5648" s="16" t="s">
        <v>11884</v>
      </c>
    </row>
    <row r="5649" spans="1:1" x14ac:dyDescent="0.25">
      <c r="A5649" s="16" t="s">
        <v>11892</v>
      </c>
    </row>
    <row r="5650" spans="1:1" x14ac:dyDescent="0.25">
      <c r="A5650" s="16" t="s">
        <v>11897</v>
      </c>
    </row>
    <row r="5651" spans="1:1" x14ac:dyDescent="0.25">
      <c r="A5651" s="16" t="s">
        <v>11898</v>
      </c>
    </row>
    <row r="5652" spans="1:1" x14ac:dyDescent="0.25">
      <c r="A5652" s="16" t="s">
        <v>11906</v>
      </c>
    </row>
    <row r="5653" spans="1:1" x14ac:dyDescent="0.25">
      <c r="A5653" s="16" t="s">
        <v>11913</v>
      </c>
    </row>
    <row r="5654" spans="1:1" x14ac:dyDescent="0.25">
      <c r="A5654" s="16" t="s">
        <v>11919</v>
      </c>
    </row>
    <row r="5655" spans="1:1" x14ac:dyDescent="0.25">
      <c r="A5655" s="16" t="s">
        <v>11920</v>
      </c>
    </row>
    <row r="5656" spans="1:1" x14ac:dyDescent="0.25">
      <c r="A5656" s="16" t="s">
        <v>11921</v>
      </c>
    </row>
    <row r="5657" spans="1:1" x14ac:dyDescent="0.25">
      <c r="A5657" s="16" t="s">
        <v>11929</v>
      </c>
    </row>
    <row r="5658" spans="1:1" x14ac:dyDescent="0.25">
      <c r="A5658" s="16" t="s">
        <v>11930</v>
      </c>
    </row>
    <row r="5659" spans="1:1" x14ac:dyDescent="0.25">
      <c r="A5659" s="16" t="s">
        <v>11936</v>
      </c>
    </row>
    <row r="5660" spans="1:1" x14ac:dyDescent="0.25">
      <c r="A5660" s="16" t="s">
        <v>11941</v>
      </c>
    </row>
    <row r="5661" spans="1:1" x14ac:dyDescent="0.25">
      <c r="A5661" s="16" t="s">
        <v>11942</v>
      </c>
    </row>
    <row r="5662" spans="1:1" x14ac:dyDescent="0.25">
      <c r="A5662" s="16" t="s">
        <v>11943</v>
      </c>
    </row>
    <row r="5663" spans="1:1" x14ac:dyDescent="0.25">
      <c r="A5663" s="16" t="s">
        <v>11950</v>
      </c>
    </row>
    <row r="5664" spans="1:1" x14ac:dyDescent="0.25">
      <c r="A5664" s="16" t="s">
        <v>11963</v>
      </c>
    </row>
    <row r="5665" spans="1:1" x14ac:dyDescent="0.25">
      <c r="A5665" s="16" t="s">
        <v>11972</v>
      </c>
    </row>
    <row r="5666" spans="1:1" x14ac:dyDescent="0.25">
      <c r="A5666" s="16" t="s">
        <v>11973</v>
      </c>
    </row>
    <row r="5667" spans="1:1" x14ac:dyDescent="0.25">
      <c r="A5667" s="16" t="s">
        <v>11974</v>
      </c>
    </row>
    <row r="5668" spans="1:1" x14ac:dyDescent="0.25">
      <c r="A5668" s="16" t="s">
        <v>11975</v>
      </c>
    </row>
    <row r="5669" spans="1:1" x14ac:dyDescent="0.25">
      <c r="A5669" s="16" t="s">
        <v>11980</v>
      </c>
    </row>
    <row r="5670" spans="1:1" x14ac:dyDescent="0.25">
      <c r="A5670" s="16" t="s">
        <v>11981</v>
      </c>
    </row>
    <row r="5671" spans="1:1" x14ac:dyDescent="0.25">
      <c r="A5671" s="16" t="s">
        <v>11983</v>
      </c>
    </row>
    <row r="5672" spans="1:1" x14ac:dyDescent="0.25">
      <c r="A5672" s="16" t="s">
        <v>11987</v>
      </c>
    </row>
    <row r="5673" spans="1:1" x14ac:dyDescent="0.25">
      <c r="A5673" s="16" t="s">
        <v>11992</v>
      </c>
    </row>
    <row r="5674" spans="1:1" x14ac:dyDescent="0.25">
      <c r="A5674" s="16" t="s">
        <v>11995</v>
      </c>
    </row>
    <row r="5675" spans="1:1" x14ac:dyDescent="0.25">
      <c r="A5675" s="16" t="s">
        <v>11996</v>
      </c>
    </row>
    <row r="5676" spans="1:1" x14ac:dyDescent="0.25">
      <c r="A5676" s="16" t="s">
        <v>12008</v>
      </c>
    </row>
    <row r="5677" spans="1:1" x14ac:dyDescent="0.25">
      <c r="A5677" s="16" t="s">
        <v>12009</v>
      </c>
    </row>
    <row r="5678" spans="1:1" x14ac:dyDescent="0.25">
      <c r="A5678" s="16" t="s">
        <v>12010</v>
      </c>
    </row>
    <row r="5679" spans="1:1" x14ac:dyDescent="0.25">
      <c r="A5679" s="16" t="s">
        <v>12013</v>
      </c>
    </row>
    <row r="5680" spans="1:1" x14ac:dyDescent="0.25">
      <c r="A5680" s="16" t="s">
        <v>12014</v>
      </c>
    </row>
    <row r="5681" spans="1:1" x14ac:dyDescent="0.25">
      <c r="A5681" s="16" t="s">
        <v>12015</v>
      </c>
    </row>
    <row r="5682" spans="1:1" x14ac:dyDescent="0.25">
      <c r="A5682" s="16" t="s">
        <v>12016</v>
      </c>
    </row>
    <row r="5683" spans="1:1" x14ac:dyDescent="0.25">
      <c r="A5683" s="16" t="s">
        <v>12018</v>
      </c>
    </row>
    <row r="5684" spans="1:1" x14ac:dyDescent="0.25">
      <c r="A5684" s="16" t="s">
        <v>12019</v>
      </c>
    </row>
    <row r="5685" spans="1:1" x14ac:dyDescent="0.25">
      <c r="A5685" s="16" t="s">
        <v>12030</v>
      </c>
    </row>
    <row r="5686" spans="1:1" x14ac:dyDescent="0.25">
      <c r="A5686" s="16" t="s">
        <v>12031</v>
      </c>
    </row>
    <row r="5687" spans="1:1" x14ac:dyDescent="0.25">
      <c r="A5687" s="16" t="s">
        <v>12032</v>
      </c>
    </row>
    <row r="5688" spans="1:1" x14ac:dyDescent="0.25">
      <c r="A5688" s="16" t="s">
        <v>12033</v>
      </c>
    </row>
    <row r="5689" spans="1:1" x14ac:dyDescent="0.25">
      <c r="A5689" s="16" t="s">
        <v>12038</v>
      </c>
    </row>
    <row r="5690" spans="1:1" x14ac:dyDescent="0.25">
      <c r="A5690" s="16" t="s">
        <v>12039</v>
      </c>
    </row>
    <row r="5691" spans="1:1" x14ac:dyDescent="0.25">
      <c r="A5691" s="16" t="s">
        <v>12058</v>
      </c>
    </row>
    <row r="5692" spans="1:1" x14ac:dyDescent="0.25">
      <c r="A5692" s="16" t="s">
        <v>12064</v>
      </c>
    </row>
    <row r="5693" spans="1:1" x14ac:dyDescent="0.25">
      <c r="A5693" s="16" t="s">
        <v>12067</v>
      </c>
    </row>
    <row r="5694" spans="1:1" x14ac:dyDescent="0.25">
      <c r="A5694" s="16" t="s">
        <v>12068</v>
      </c>
    </row>
    <row r="5695" spans="1:1" x14ac:dyDescent="0.25">
      <c r="A5695" s="16" t="s">
        <v>12088</v>
      </c>
    </row>
    <row r="5696" spans="1:1" x14ac:dyDescent="0.25">
      <c r="A5696" s="16" t="s">
        <v>12089</v>
      </c>
    </row>
    <row r="5697" spans="1:1" x14ac:dyDescent="0.25">
      <c r="A5697" s="16" t="s">
        <v>12090</v>
      </c>
    </row>
    <row r="5698" spans="1:1" x14ac:dyDescent="0.25">
      <c r="A5698" s="16" t="s">
        <v>12099</v>
      </c>
    </row>
    <row r="5699" spans="1:1" x14ac:dyDescent="0.25">
      <c r="A5699" s="16" t="s">
        <v>12104</v>
      </c>
    </row>
    <row r="5700" spans="1:1" x14ac:dyDescent="0.25">
      <c r="A5700" s="16" t="s">
        <v>12105</v>
      </c>
    </row>
    <row r="5701" spans="1:1" x14ac:dyDescent="0.25">
      <c r="A5701" s="16" t="s">
        <v>12116</v>
      </c>
    </row>
    <row r="5702" spans="1:1" x14ac:dyDescent="0.25">
      <c r="A5702" s="16" t="s">
        <v>12117</v>
      </c>
    </row>
    <row r="5703" spans="1:1" x14ac:dyDescent="0.25">
      <c r="A5703" s="16" t="s">
        <v>12126</v>
      </c>
    </row>
    <row r="5704" spans="1:1" x14ac:dyDescent="0.25">
      <c r="A5704" s="16" t="s">
        <v>12128</v>
      </c>
    </row>
    <row r="5705" spans="1:1" x14ac:dyDescent="0.25">
      <c r="A5705" s="16" t="s">
        <v>12142</v>
      </c>
    </row>
    <row r="5706" spans="1:1" x14ac:dyDescent="0.25">
      <c r="A5706" s="16" t="s">
        <v>12143</v>
      </c>
    </row>
    <row r="5707" spans="1:1" x14ac:dyDescent="0.25">
      <c r="A5707" s="16" t="s">
        <v>12149</v>
      </c>
    </row>
    <row r="5708" spans="1:1" x14ac:dyDescent="0.25">
      <c r="A5708" s="16" t="s">
        <v>12153</v>
      </c>
    </row>
    <row r="5709" spans="1:1" x14ac:dyDescent="0.25">
      <c r="A5709" s="16" t="s">
        <v>12154</v>
      </c>
    </row>
    <row r="5710" spans="1:1" x14ac:dyDescent="0.25">
      <c r="A5710" s="16" t="s">
        <v>12158</v>
      </c>
    </row>
    <row r="5711" spans="1:1" x14ac:dyDescent="0.25">
      <c r="A5711" s="16" t="s">
        <v>12169</v>
      </c>
    </row>
    <row r="5712" spans="1:1" x14ac:dyDescent="0.25">
      <c r="A5712" s="16" t="s">
        <v>12179</v>
      </c>
    </row>
    <row r="5713" spans="1:1" x14ac:dyDescent="0.25">
      <c r="A5713" s="16" t="s">
        <v>12180</v>
      </c>
    </row>
    <row r="5714" spans="1:1" x14ac:dyDescent="0.25">
      <c r="A5714" s="16" t="s">
        <v>12181</v>
      </c>
    </row>
    <row r="5715" spans="1:1" x14ac:dyDescent="0.25">
      <c r="A5715" s="16" t="s">
        <v>12186</v>
      </c>
    </row>
    <row r="5716" spans="1:1" x14ac:dyDescent="0.25">
      <c r="A5716" s="16" t="s">
        <v>12187</v>
      </c>
    </row>
    <row r="5717" spans="1:1" x14ac:dyDescent="0.25">
      <c r="A5717" s="16" t="s">
        <v>12191</v>
      </c>
    </row>
    <row r="5718" spans="1:1" x14ac:dyDescent="0.25">
      <c r="A5718" s="16" t="s">
        <v>12197</v>
      </c>
    </row>
    <row r="5719" spans="1:1" x14ac:dyDescent="0.25">
      <c r="A5719" s="16" t="s">
        <v>12198</v>
      </c>
    </row>
    <row r="5720" spans="1:1" x14ac:dyDescent="0.25">
      <c r="A5720" s="16" t="s">
        <v>12199</v>
      </c>
    </row>
    <row r="5721" spans="1:1" x14ac:dyDescent="0.25">
      <c r="A5721" s="16" t="s">
        <v>12200</v>
      </c>
    </row>
    <row r="5722" spans="1:1" x14ac:dyDescent="0.25">
      <c r="A5722" s="16" t="s">
        <v>12203</v>
      </c>
    </row>
    <row r="5723" spans="1:1" x14ac:dyDescent="0.25">
      <c r="A5723" s="16" t="s">
        <v>12204</v>
      </c>
    </row>
    <row r="5724" spans="1:1" x14ac:dyDescent="0.25">
      <c r="A5724" s="16" t="s">
        <v>12209</v>
      </c>
    </row>
    <row r="5725" spans="1:1" x14ac:dyDescent="0.25">
      <c r="A5725" s="16" t="s">
        <v>12229</v>
      </c>
    </row>
    <row r="5726" spans="1:1" x14ac:dyDescent="0.25">
      <c r="A5726" s="16" t="s">
        <v>12242</v>
      </c>
    </row>
    <row r="5727" spans="1:1" x14ac:dyDescent="0.25">
      <c r="A5727" s="16" t="s">
        <v>12253</v>
      </c>
    </row>
    <row r="5728" spans="1:1" x14ac:dyDescent="0.25">
      <c r="A5728" s="16" t="s">
        <v>12254</v>
      </c>
    </row>
    <row r="5729" spans="1:1" x14ac:dyDescent="0.25">
      <c r="A5729" s="16" t="s">
        <v>12255</v>
      </c>
    </row>
    <row r="5730" spans="1:1" x14ac:dyDescent="0.25">
      <c r="A5730" s="16" t="s">
        <v>12256</v>
      </c>
    </row>
    <row r="5731" spans="1:1" x14ac:dyDescent="0.25">
      <c r="A5731" s="16" t="s">
        <v>12258</v>
      </c>
    </row>
    <row r="5732" spans="1:1" x14ac:dyDescent="0.25">
      <c r="A5732" s="16" t="s">
        <v>12266</v>
      </c>
    </row>
    <row r="5733" spans="1:1" x14ac:dyDescent="0.25">
      <c r="A5733" s="16" t="s">
        <v>12276</v>
      </c>
    </row>
    <row r="5734" spans="1:1" x14ac:dyDescent="0.25">
      <c r="A5734" s="16" t="s">
        <v>12277</v>
      </c>
    </row>
    <row r="5735" spans="1:1" x14ac:dyDescent="0.25">
      <c r="A5735" s="16" t="s">
        <v>12278</v>
      </c>
    </row>
    <row r="5736" spans="1:1" x14ac:dyDescent="0.25">
      <c r="A5736" s="16" t="s">
        <v>12279</v>
      </c>
    </row>
    <row r="5737" spans="1:1" x14ac:dyDescent="0.25">
      <c r="A5737" s="16" t="s">
        <v>12280</v>
      </c>
    </row>
    <row r="5738" spans="1:1" x14ac:dyDescent="0.25">
      <c r="A5738" s="16" t="s">
        <v>12292</v>
      </c>
    </row>
    <row r="5739" spans="1:1" x14ac:dyDescent="0.25">
      <c r="A5739" s="16" t="s">
        <v>12296</v>
      </c>
    </row>
    <row r="5740" spans="1:1" x14ac:dyDescent="0.25">
      <c r="A5740" s="16" t="s">
        <v>12297</v>
      </c>
    </row>
    <row r="5741" spans="1:1" x14ac:dyDescent="0.25">
      <c r="A5741" s="16" t="s">
        <v>12298</v>
      </c>
    </row>
    <row r="5742" spans="1:1" x14ac:dyDescent="0.25">
      <c r="A5742" s="16" t="s">
        <v>12299</v>
      </c>
    </row>
    <row r="5743" spans="1:1" x14ac:dyDescent="0.25">
      <c r="A5743" s="16" t="s">
        <v>12321</v>
      </c>
    </row>
    <row r="5744" spans="1:1" x14ac:dyDescent="0.25">
      <c r="A5744" s="16" t="s">
        <v>12322</v>
      </c>
    </row>
    <row r="5745" spans="1:1" x14ac:dyDescent="0.25">
      <c r="A5745" s="16" t="s">
        <v>12323</v>
      </c>
    </row>
    <row r="5746" spans="1:1" x14ac:dyDescent="0.25">
      <c r="A5746" s="16" t="s">
        <v>12325</v>
      </c>
    </row>
    <row r="5747" spans="1:1" x14ac:dyDescent="0.25">
      <c r="A5747" s="16" t="s">
        <v>12352</v>
      </c>
    </row>
    <row r="5748" spans="1:1" x14ac:dyDescent="0.25">
      <c r="A5748" s="16" t="s">
        <v>12353</v>
      </c>
    </row>
    <row r="5749" spans="1:1" x14ac:dyDescent="0.25">
      <c r="A5749" s="16" t="s">
        <v>12354</v>
      </c>
    </row>
    <row r="5750" spans="1:1" x14ac:dyDescent="0.25">
      <c r="A5750" s="16" t="s">
        <v>12363</v>
      </c>
    </row>
    <row r="5751" spans="1:1" x14ac:dyDescent="0.25">
      <c r="A5751" s="16" t="s">
        <v>12364</v>
      </c>
    </row>
    <row r="5752" spans="1:1" x14ac:dyDescent="0.25">
      <c r="A5752" s="16" t="s">
        <v>12368</v>
      </c>
    </row>
    <row r="5753" spans="1:1" x14ac:dyDescent="0.25">
      <c r="A5753" s="16" t="s">
        <v>12391</v>
      </c>
    </row>
    <row r="5754" spans="1:1" x14ac:dyDescent="0.25">
      <c r="A5754" s="16" t="s">
        <v>12392</v>
      </c>
    </row>
    <row r="5755" spans="1:1" x14ac:dyDescent="0.25">
      <c r="A5755" s="16" t="s">
        <v>12393</v>
      </c>
    </row>
    <row r="5756" spans="1:1" x14ac:dyDescent="0.25">
      <c r="A5756" s="16" t="s">
        <v>12394</v>
      </c>
    </row>
    <row r="5757" spans="1:1" x14ac:dyDescent="0.25">
      <c r="A5757" s="16" t="s">
        <v>12395</v>
      </c>
    </row>
    <row r="5758" spans="1:1" x14ac:dyDescent="0.25">
      <c r="A5758" s="16" t="s">
        <v>12398</v>
      </c>
    </row>
    <row r="5759" spans="1:1" x14ac:dyDescent="0.25">
      <c r="A5759" s="16" t="s">
        <v>12408</v>
      </c>
    </row>
    <row r="5760" spans="1:1" x14ac:dyDescent="0.25">
      <c r="A5760" s="16" t="s">
        <v>12410</v>
      </c>
    </row>
    <row r="5761" spans="1:1" x14ac:dyDescent="0.25">
      <c r="A5761" s="16" t="s">
        <v>12428</v>
      </c>
    </row>
    <row r="5762" spans="1:1" x14ac:dyDescent="0.25">
      <c r="A5762" s="16" t="s">
        <v>12429</v>
      </c>
    </row>
    <row r="5763" spans="1:1" x14ac:dyDescent="0.25">
      <c r="A5763" s="16" t="s">
        <v>12434</v>
      </c>
    </row>
    <row r="5764" spans="1:1" x14ac:dyDescent="0.25">
      <c r="A5764" s="16" t="s">
        <v>12437</v>
      </c>
    </row>
    <row r="5765" spans="1:1" x14ac:dyDescent="0.25">
      <c r="A5765" s="16" t="s">
        <v>12438</v>
      </c>
    </row>
    <row r="5766" spans="1:1" x14ac:dyDescent="0.25">
      <c r="A5766" s="16" t="s">
        <v>12439</v>
      </c>
    </row>
    <row r="5767" spans="1:1" x14ac:dyDescent="0.25">
      <c r="A5767" s="16" t="s">
        <v>12451</v>
      </c>
    </row>
    <row r="5768" spans="1:1" x14ac:dyDescent="0.25">
      <c r="A5768" s="16" t="s">
        <v>12452</v>
      </c>
    </row>
    <row r="5769" spans="1:1" x14ac:dyDescent="0.25">
      <c r="A5769" s="16" t="s">
        <v>12460</v>
      </c>
    </row>
    <row r="5770" spans="1:1" x14ac:dyDescent="0.25">
      <c r="A5770" s="16" t="s">
        <v>12468</v>
      </c>
    </row>
    <row r="5771" spans="1:1" x14ac:dyDescent="0.25">
      <c r="A5771" s="16" t="s">
        <v>12471</v>
      </c>
    </row>
    <row r="5772" spans="1:1" x14ac:dyDescent="0.25">
      <c r="A5772" s="16" t="s">
        <v>12484</v>
      </c>
    </row>
    <row r="5773" spans="1:1" x14ac:dyDescent="0.25">
      <c r="A5773" s="16" t="s">
        <v>12487</v>
      </c>
    </row>
    <row r="5774" spans="1:1" x14ac:dyDescent="0.25">
      <c r="A5774" s="16" t="s">
        <v>12491</v>
      </c>
    </row>
    <row r="5775" spans="1:1" x14ac:dyDescent="0.25">
      <c r="A5775" s="16" t="s">
        <v>12509</v>
      </c>
    </row>
    <row r="5776" spans="1:1" x14ac:dyDescent="0.25">
      <c r="A5776" s="16" t="s">
        <v>12510</v>
      </c>
    </row>
    <row r="5777" spans="1:1" x14ac:dyDescent="0.25">
      <c r="A5777" s="16" t="s">
        <v>12523</v>
      </c>
    </row>
    <row r="5778" spans="1:1" x14ac:dyDescent="0.25">
      <c r="A5778" s="16" t="s">
        <v>12524</v>
      </c>
    </row>
    <row r="5779" spans="1:1" x14ac:dyDescent="0.25">
      <c r="A5779" s="16" t="s">
        <v>12527</v>
      </c>
    </row>
    <row r="5780" spans="1:1" x14ac:dyDescent="0.25">
      <c r="A5780" s="16" t="s">
        <v>12547</v>
      </c>
    </row>
    <row r="5781" spans="1:1" x14ac:dyDescent="0.25">
      <c r="A5781" s="16" t="s">
        <v>12552</v>
      </c>
    </row>
    <row r="5782" spans="1:1" x14ac:dyDescent="0.25">
      <c r="A5782" s="16" t="s">
        <v>12574</v>
      </c>
    </row>
    <row r="5783" spans="1:1" x14ac:dyDescent="0.25">
      <c r="A5783" s="16" t="s">
        <v>12575</v>
      </c>
    </row>
    <row r="5784" spans="1:1" x14ac:dyDescent="0.25">
      <c r="A5784" s="16" t="s">
        <v>12576</v>
      </c>
    </row>
    <row r="5785" spans="1:1" x14ac:dyDescent="0.25">
      <c r="A5785" s="16" t="s">
        <v>12577</v>
      </c>
    </row>
    <row r="5786" spans="1:1" x14ac:dyDescent="0.25">
      <c r="A5786" s="16" t="s">
        <v>12578</v>
      </c>
    </row>
    <row r="5787" spans="1:1" x14ac:dyDescent="0.25">
      <c r="A5787" s="16" t="s">
        <v>12605</v>
      </c>
    </row>
    <row r="5788" spans="1:1" x14ac:dyDescent="0.25">
      <c r="A5788" s="16" t="s">
        <v>12610</v>
      </c>
    </row>
    <row r="5789" spans="1:1" x14ac:dyDescent="0.25">
      <c r="A5789" s="16" t="s">
        <v>12611</v>
      </c>
    </row>
    <row r="5790" spans="1:1" x14ac:dyDescent="0.25">
      <c r="A5790" s="16" t="s">
        <v>12612</v>
      </c>
    </row>
    <row r="5791" spans="1:1" x14ac:dyDescent="0.25">
      <c r="A5791" s="16" t="s">
        <v>12620</v>
      </c>
    </row>
    <row r="5792" spans="1:1" x14ac:dyDescent="0.25">
      <c r="A5792" s="16" t="s">
        <v>12621</v>
      </c>
    </row>
    <row r="5793" spans="1:1" x14ac:dyDescent="0.25">
      <c r="A5793" s="16" t="s">
        <v>12630</v>
      </c>
    </row>
    <row r="5794" spans="1:1" x14ac:dyDescent="0.25">
      <c r="A5794" s="16" t="s">
        <v>12635</v>
      </c>
    </row>
    <row r="5795" spans="1:1" x14ac:dyDescent="0.25">
      <c r="A5795" s="16" t="s">
        <v>12636</v>
      </c>
    </row>
    <row r="5796" spans="1:1" x14ac:dyDescent="0.25">
      <c r="A5796" s="16" t="s">
        <v>12637</v>
      </c>
    </row>
    <row r="5797" spans="1:1" x14ac:dyDescent="0.25">
      <c r="A5797" s="16" t="s">
        <v>12638</v>
      </c>
    </row>
    <row r="5798" spans="1:1" x14ac:dyDescent="0.25">
      <c r="A5798" s="16" t="s">
        <v>12639</v>
      </c>
    </row>
    <row r="5799" spans="1:1" x14ac:dyDescent="0.25">
      <c r="A5799" s="16" t="s">
        <v>12653</v>
      </c>
    </row>
    <row r="5800" spans="1:1" x14ac:dyDescent="0.25">
      <c r="A5800" s="16" t="s">
        <v>12655</v>
      </c>
    </row>
    <row r="5801" spans="1:1" x14ac:dyDescent="0.25">
      <c r="A5801" s="16" t="s">
        <v>12656</v>
      </c>
    </row>
    <row r="5802" spans="1:1" x14ac:dyDescent="0.25">
      <c r="A5802" s="16" t="s">
        <v>12673</v>
      </c>
    </row>
    <row r="5803" spans="1:1" x14ac:dyDescent="0.25">
      <c r="A5803" s="16" t="s">
        <v>12674</v>
      </c>
    </row>
    <row r="5804" spans="1:1" x14ac:dyDescent="0.25">
      <c r="A5804" s="16" t="s">
        <v>12675</v>
      </c>
    </row>
    <row r="5805" spans="1:1" x14ac:dyDescent="0.25">
      <c r="A5805" s="16" t="s">
        <v>12684</v>
      </c>
    </row>
    <row r="5806" spans="1:1" x14ac:dyDescent="0.25">
      <c r="A5806" s="16" t="s">
        <v>12685</v>
      </c>
    </row>
    <row r="5807" spans="1:1" x14ac:dyDescent="0.25">
      <c r="A5807" s="16" t="s">
        <v>12693</v>
      </c>
    </row>
    <row r="5808" spans="1:1" x14ac:dyDescent="0.25">
      <c r="A5808" s="16" t="s">
        <v>12704</v>
      </c>
    </row>
    <row r="5809" spans="1:1" x14ac:dyDescent="0.25">
      <c r="A5809" s="16" t="s">
        <v>12705</v>
      </c>
    </row>
    <row r="5810" spans="1:1" x14ac:dyDescent="0.25">
      <c r="A5810" s="16" t="s">
        <v>12714</v>
      </c>
    </row>
    <row r="5811" spans="1:1" x14ac:dyDescent="0.25">
      <c r="A5811" s="16" t="s">
        <v>12726</v>
      </c>
    </row>
    <row r="5812" spans="1:1" x14ac:dyDescent="0.25">
      <c r="A5812" s="16" t="s">
        <v>12737</v>
      </c>
    </row>
    <row r="5813" spans="1:1" x14ac:dyDescent="0.25">
      <c r="A5813" s="16" t="s">
        <v>12740</v>
      </c>
    </row>
    <row r="5814" spans="1:1" x14ac:dyDescent="0.25">
      <c r="A5814" s="16" t="s">
        <v>12742</v>
      </c>
    </row>
    <row r="5815" spans="1:1" x14ac:dyDescent="0.25">
      <c r="A5815" s="16" t="s">
        <v>12746</v>
      </c>
    </row>
    <row r="5816" spans="1:1" x14ac:dyDescent="0.25">
      <c r="A5816" s="16" t="s">
        <v>12764</v>
      </c>
    </row>
    <row r="5817" spans="1:1" x14ac:dyDescent="0.25">
      <c r="A5817" s="16" t="s">
        <v>12770</v>
      </c>
    </row>
    <row r="5818" spans="1:1" x14ac:dyDescent="0.25">
      <c r="A5818" s="16" t="s">
        <v>12776</v>
      </c>
    </row>
    <row r="5819" spans="1:1" x14ac:dyDescent="0.25">
      <c r="A5819" s="16" t="s">
        <v>12777</v>
      </c>
    </row>
    <row r="5820" spans="1:1" x14ac:dyDescent="0.25">
      <c r="A5820" s="16" t="s">
        <v>12780</v>
      </c>
    </row>
    <row r="5821" spans="1:1" x14ac:dyDescent="0.25">
      <c r="A5821" s="16" t="s">
        <v>12794</v>
      </c>
    </row>
    <row r="5822" spans="1:1" x14ac:dyDescent="0.25">
      <c r="A5822" s="16" t="s">
        <v>12823</v>
      </c>
    </row>
    <row r="5823" spans="1:1" x14ac:dyDescent="0.25">
      <c r="A5823" s="16" t="s">
        <v>12824</v>
      </c>
    </row>
    <row r="5824" spans="1:1" x14ac:dyDescent="0.25">
      <c r="A5824" s="16" t="s">
        <v>12836</v>
      </c>
    </row>
    <row r="5825" spans="1:1" x14ac:dyDescent="0.25">
      <c r="A5825" s="16" t="s">
        <v>12852</v>
      </c>
    </row>
    <row r="5826" spans="1:1" x14ac:dyDescent="0.25">
      <c r="A5826" s="16" t="s">
        <v>12853</v>
      </c>
    </row>
    <row r="5827" spans="1:1" x14ac:dyDescent="0.25">
      <c r="A5827" s="16" t="s">
        <v>12861</v>
      </c>
    </row>
    <row r="5828" spans="1:1" x14ac:dyDescent="0.25">
      <c r="A5828" s="16" t="s">
        <v>12868</v>
      </c>
    </row>
    <row r="5829" spans="1:1" x14ac:dyDescent="0.25">
      <c r="A5829" s="16" t="s">
        <v>12875</v>
      </c>
    </row>
    <row r="5830" spans="1:1" x14ac:dyDescent="0.25">
      <c r="A5830" s="16" t="s">
        <v>12902</v>
      </c>
    </row>
    <row r="5831" spans="1:1" x14ac:dyDescent="0.25">
      <c r="A5831" s="16" t="s">
        <v>12903</v>
      </c>
    </row>
    <row r="5832" spans="1:1" x14ac:dyDescent="0.25">
      <c r="A5832" s="16" t="s">
        <v>12911</v>
      </c>
    </row>
    <row r="5833" spans="1:1" x14ac:dyDescent="0.25">
      <c r="A5833" s="16" t="s">
        <v>12914</v>
      </c>
    </row>
    <row r="5834" spans="1:1" x14ac:dyDescent="0.25">
      <c r="A5834" s="16" t="s">
        <v>12915</v>
      </c>
    </row>
    <row r="5835" spans="1:1" x14ac:dyDescent="0.25">
      <c r="A5835" s="16" t="s">
        <v>12916</v>
      </c>
    </row>
    <row r="5836" spans="1:1" x14ac:dyDescent="0.25">
      <c r="A5836" s="16" t="s">
        <v>12918</v>
      </c>
    </row>
    <row r="5837" spans="1:1" x14ac:dyDescent="0.25">
      <c r="A5837" s="16" t="s">
        <v>12920</v>
      </c>
    </row>
    <row r="5838" spans="1:1" x14ac:dyDescent="0.25">
      <c r="A5838" s="16" t="s">
        <v>12926</v>
      </c>
    </row>
    <row r="5839" spans="1:1" x14ac:dyDescent="0.25">
      <c r="A5839" s="16" t="s">
        <v>12935</v>
      </c>
    </row>
    <row r="5840" spans="1:1" x14ac:dyDescent="0.25">
      <c r="A5840" s="16" t="s">
        <v>12938</v>
      </c>
    </row>
    <row r="5841" spans="1:1" x14ac:dyDescent="0.25">
      <c r="A5841" s="16" t="s">
        <v>12943</v>
      </c>
    </row>
    <row r="5842" spans="1:1" x14ac:dyDescent="0.25">
      <c r="A5842" s="16" t="s">
        <v>12944</v>
      </c>
    </row>
    <row r="5843" spans="1:1" x14ac:dyDescent="0.25">
      <c r="A5843" s="16" t="s">
        <v>12945</v>
      </c>
    </row>
    <row r="5844" spans="1:1" x14ac:dyDescent="0.25">
      <c r="A5844" s="16" t="s">
        <v>12951</v>
      </c>
    </row>
    <row r="5845" spans="1:1" x14ac:dyDescent="0.25">
      <c r="A5845" s="16" t="s">
        <v>12952</v>
      </c>
    </row>
    <row r="5846" spans="1:1" x14ac:dyDescent="0.25">
      <c r="A5846" s="16" t="s">
        <v>12957</v>
      </c>
    </row>
    <row r="5847" spans="1:1" x14ac:dyDescent="0.25">
      <c r="A5847" s="16" t="s">
        <v>12958</v>
      </c>
    </row>
    <row r="5848" spans="1:1" x14ac:dyDescent="0.25">
      <c r="A5848" s="16" t="s">
        <v>12965</v>
      </c>
    </row>
    <row r="5849" spans="1:1" x14ac:dyDescent="0.25">
      <c r="A5849" s="16" t="s">
        <v>12966</v>
      </c>
    </row>
    <row r="5850" spans="1:1" x14ac:dyDescent="0.25">
      <c r="A5850" s="16" t="s">
        <v>12967</v>
      </c>
    </row>
    <row r="5851" spans="1:1" x14ac:dyDescent="0.25">
      <c r="A5851" s="16" t="s">
        <v>12988</v>
      </c>
    </row>
    <row r="5852" spans="1:1" x14ac:dyDescent="0.25">
      <c r="A5852" s="16" t="s">
        <v>12993</v>
      </c>
    </row>
    <row r="5853" spans="1:1" x14ac:dyDescent="0.25">
      <c r="A5853" s="16" t="s">
        <v>12994</v>
      </c>
    </row>
    <row r="5854" spans="1:1" x14ac:dyDescent="0.25">
      <c r="A5854" s="16" t="s">
        <v>12995</v>
      </c>
    </row>
    <row r="5855" spans="1:1" x14ac:dyDescent="0.25">
      <c r="A5855" s="16" t="s">
        <v>13002</v>
      </c>
    </row>
    <row r="5856" spans="1:1" x14ac:dyDescent="0.25">
      <c r="A5856" s="16" t="s">
        <v>13003</v>
      </c>
    </row>
    <row r="5857" spans="1:1" x14ac:dyDescent="0.25">
      <c r="A5857" s="16" t="s">
        <v>13014</v>
      </c>
    </row>
    <row r="5858" spans="1:1" x14ac:dyDescent="0.25">
      <c r="A5858" s="16" t="s">
        <v>13018</v>
      </c>
    </row>
    <row r="5859" spans="1:1" x14ac:dyDescent="0.25">
      <c r="A5859" s="16" t="s">
        <v>13019</v>
      </c>
    </row>
    <row r="5860" spans="1:1" x14ac:dyDescent="0.25">
      <c r="A5860" s="16" t="s">
        <v>13020</v>
      </c>
    </row>
    <row r="5861" spans="1:1" x14ac:dyDescent="0.25">
      <c r="A5861" s="16" t="s">
        <v>13024</v>
      </c>
    </row>
    <row r="5862" spans="1:1" x14ac:dyDescent="0.25">
      <c r="A5862" s="16" t="s">
        <v>13025</v>
      </c>
    </row>
    <row r="5863" spans="1:1" x14ac:dyDescent="0.25">
      <c r="A5863" s="16" t="s">
        <v>13026</v>
      </c>
    </row>
    <row r="5864" spans="1:1" x14ac:dyDescent="0.25">
      <c r="A5864" s="16" t="s">
        <v>13030</v>
      </c>
    </row>
    <row r="5865" spans="1:1" x14ac:dyDescent="0.25">
      <c r="A5865" s="16" t="s">
        <v>13032</v>
      </c>
    </row>
    <row r="5866" spans="1:1" x14ac:dyDescent="0.25">
      <c r="A5866" s="16" t="s">
        <v>13036</v>
      </c>
    </row>
    <row r="5867" spans="1:1" x14ac:dyDescent="0.25">
      <c r="A5867" s="16" t="s">
        <v>13037</v>
      </c>
    </row>
    <row r="5868" spans="1:1" x14ac:dyDescent="0.25">
      <c r="A5868" s="16" t="s">
        <v>13051</v>
      </c>
    </row>
    <row r="5869" spans="1:1" x14ac:dyDescent="0.25">
      <c r="A5869" s="16" t="s">
        <v>13057</v>
      </c>
    </row>
    <row r="5870" spans="1:1" x14ac:dyDescent="0.25">
      <c r="A5870" s="16" t="s">
        <v>13058</v>
      </c>
    </row>
    <row r="5871" spans="1:1" x14ac:dyDescent="0.25">
      <c r="A5871" s="16" t="s">
        <v>13059</v>
      </c>
    </row>
    <row r="5872" spans="1:1" x14ac:dyDescent="0.25">
      <c r="A5872" s="16" t="s">
        <v>13060</v>
      </c>
    </row>
    <row r="5873" spans="1:1" x14ac:dyDescent="0.25">
      <c r="A5873" s="16" t="s">
        <v>13075</v>
      </c>
    </row>
    <row r="5874" spans="1:1" x14ac:dyDescent="0.25">
      <c r="A5874" s="16" t="s">
        <v>13079</v>
      </c>
    </row>
    <row r="5875" spans="1:1" x14ac:dyDescent="0.25">
      <c r="A5875" s="16" t="s">
        <v>13080</v>
      </c>
    </row>
    <row r="5876" spans="1:1" x14ac:dyDescent="0.25">
      <c r="A5876" s="16" t="s">
        <v>13081</v>
      </c>
    </row>
    <row r="5877" spans="1:1" x14ac:dyDescent="0.25">
      <c r="A5877" s="16" t="s">
        <v>13082</v>
      </c>
    </row>
    <row r="5878" spans="1:1" x14ac:dyDescent="0.25">
      <c r="A5878" s="16" t="s">
        <v>11704</v>
      </c>
    </row>
    <row r="5879" spans="1:1" x14ac:dyDescent="0.25">
      <c r="A5879" s="16" t="s">
        <v>11721</v>
      </c>
    </row>
    <row r="5880" spans="1:1" x14ac:dyDescent="0.25">
      <c r="A5880" s="16" t="s">
        <v>11774</v>
      </c>
    </row>
    <row r="5881" spans="1:1" x14ac:dyDescent="0.25">
      <c r="A5881" s="16" t="s">
        <v>11778</v>
      </c>
    </row>
    <row r="5882" spans="1:1" x14ac:dyDescent="0.25">
      <c r="A5882" s="16" t="s">
        <v>11784</v>
      </c>
    </row>
    <row r="5883" spans="1:1" x14ac:dyDescent="0.25">
      <c r="A5883" s="16" t="s">
        <v>11801</v>
      </c>
    </row>
    <row r="5884" spans="1:1" x14ac:dyDescent="0.25">
      <c r="A5884" s="16" t="s">
        <v>11805</v>
      </c>
    </row>
    <row r="5885" spans="1:1" x14ac:dyDescent="0.25">
      <c r="A5885" s="16" t="s">
        <v>11823</v>
      </c>
    </row>
    <row r="5886" spans="1:1" x14ac:dyDescent="0.25">
      <c r="A5886" s="16" t="s">
        <v>11886</v>
      </c>
    </row>
    <row r="5887" spans="1:1" x14ac:dyDescent="0.25">
      <c r="A5887" s="16" t="s">
        <v>11888</v>
      </c>
    </row>
    <row r="5888" spans="1:1" x14ac:dyDescent="0.25">
      <c r="A5888" s="16" t="s">
        <v>11907</v>
      </c>
    </row>
    <row r="5889" spans="1:1" x14ac:dyDescent="0.25">
      <c r="A5889" s="16" t="s">
        <v>11944</v>
      </c>
    </row>
    <row r="5890" spans="1:1" x14ac:dyDescent="0.25">
      <c r="A5890" s="16" t="s">
        <v>12155</v>
      </c>
    </row>
    <row r="5891" spans="1:1" x14ac:dyDescent="0.25">
      <c r="A5891" s="16" t="s">
        <v>12238</v>
      </c>
    </row>
    <row r="5892" spans="1:1" x14ac:dyDescent="0.25">
      <c r="A5892" s="16" t="s">
        <v>12496</v>
      </c>
    </row>
    <row r="5893" spans="1:1" x14ac:dyDescent="0.25">
      <c r="A5893" s="16" t="s">
        <v>12500</v>
      </c>
    </row>
    <row r="5894" spans="1:1" x14ac:dyDescent="0.25">
      <c r="A5894" s="16" t="s">
        <v>12498</v>
      </c>
    </row>
    <row r="5895" spans="1:1" x14ac:dyDescent="0.25">
      <c r="A5895" s="16" t="s">
        <v>12501</v>
      </c>
    </row>
    <row r="5896" spans="1:1" x14ac:dyDescent="0.25">
      <c r="A5896" s="16" t="s">
        <v>12542</v>
      </c>
    </row>
    <row r="5897" spans="1:1" x14ac:dyDescent="0.25">
      <c r="A5897" s="16" t="s">
        <v>12579</v>
      </c>
    </row>
    <row r="5898" spans="1:1" x14ac:dyDescent="0.25">
      <c r="A5898" s="16" t="s">
        <v>12720</v>
      </c>
    </row>
    <row r="5899" spans="1:1" x14ac:dyDescent="0.25">
      <c r="A5899" s="16" t="s">
        <v>11689</v>
      </c>
    </row>
    <row r="5900" spans="1:1" x14ac:dyDescent="0.25">
      <c r="A5900" s="16" t="s">
        <v>11881</v>
      </c>
    </row>
    <row r="5901" spans="1:1" x14ac:dyDescent="0.25">
      <c r="A5901" s="16" t="s">
        <v>12106</v>
      </c>
    </row>
    <row r="5902" spans="1:1" x14ac:dyDescent="0.25">
      <c r="A5902" s="16" t="s">
        <v>12257</v>
      </c>
    </row>
    <row r="5903" spans="1:1" x14ac:dyDescent="0.25">
      <c r="A5903" s="16" t="s">
        <v>12492</v>
      </c>
    </row>
    <row r="5904" spans="1:1" x14ac:dyDescent="0.25">
      <c r="A5904" s="16" t="s">
        <v>12787</v>
      </c>
    </row>
    <row r="5905" spans="1:1" x14ac:dyDescent="0.25">
      <c r="A5905" s="16" t="s">
        <v>12805</v>
      </c>
    </row>
    <row r="5906" spans="1:1" x14ac:dyDescent="0.25">
      <c r="A5906" s="16" t="s">
        <v>11600</v>
      </c>
    </row>
    <row r="5907" spans="1:1" x14ac:dyDescent="0.25">
      <c r="A5907" s="16" t="s">
        <v>9847</v>
      </c>
    </row>
    <row r="5908" spans="1:1" x14ac:dyDescent="0.25">
      <c r="A5908" s="16" t="s">
        <v>9855</v>
      </c>
    </row>
    <row r="5909" spans="1:1" x14ac:dyDescent="0.25">
      <c r="A5909" s="16" t="s">
        <v>10057</v>
      </c>
    </row>
    <row r="5910" spans="1:1" x14ac:dyDescent="0.25">
      <c r="A5910" s="16" t="s">
        <v>10295</v>
      </c>
    </row>
    <row r="5911" spans="1:1" x14ac:dyDescent="0.25">
      <c r="A5911" s="16" t="s">
        <v>10690</v>
      </c>
    </row>
    <row r="5912" spans="1:1" x14ac:dyDescent="0.25">
      <c r="A5912" s="16" t="s">
        <v>9705</v>
      </c>
    </row>
    <row r="5913" spans="1:1" x14ac:dyDescent="0.25">
      <c r="A5913" s="16" t="s">
        <v>11713</v>
      </c>
    </row>
    <row r="5914" spans="1:1" x14ac:dyDescent="0.25">
      <c r="A5914" s="16" t="s">
        <v>11743</v>
      </c>
    </row>
    <row r="5915" spans="1:1" x14ac:dyDescent="0.25">
      <c r="A5915" s="16" t="s">
        <v>11744</v>
      </c>
    </row>
    <row r="5916" spans="1:1" x14ac:dyDescent="0.25">
      <c r="A5916" s="16" t="s">
        <v>11795</v>
      </c>
    </row>
    <row r="5917" spans="1:1" x14ac:dyDescent="0.25">
      <c r="A5917" s="16" t="s">
        <v>11834</v>
      </c>
    </row>
    <row r="5918" spans="1:1" x14ac:dyDescent="0.25">
      <c r="A5918" s="16" t="s">
        <v>11860</v>
      </c>
    </row>
    <row r="5919" spans="1:1" x14ac:dyDescent="0.25">
      <c r="A5919" s="16" t="s">
        <v>11977</v>
      </c>
    </row>
    <row r="5920" spans="1:1" x14ac:dyDescent="0.25">
      <c r="A5920" s="16" t="s">
        <v>12259</v>
      </c>
    </row>
    <row r="5921" spans="1:1" x14ac:dyDescent="0.25">
      <c r="A5921" s="16" t="s">
        <v>11409</v>
      </c>
    </row>
    <row r="5922" spans="1:1" x14ac:dyDescent="0.25">
      <c r="A5922" s="16" t="s">
        <v>11417</v>
      </c>
    </row>
    <row r="5923" spans="1:1" x14ac:dyDescent="0.25">
      <c r="A5923" s="16" t="s">
        <v>12972</v>
      </c>
    </row>
    <row r="5924" spans="1:1" x14ac:dyDescent="0.25">
      <c r="A5924" s="16" t="s">
        <v>12301</v>
      </c>
    </row>
    <row r="5925" spans="1:1" x14ac:dyDescent="0.25">
      <c r="A5925" s="16" t="s">
        <v>12318</v>
      </c>
    </row>
    <row r="5926" spans="1:1" x14ac:dyDescent="0.25">
      <c r="A5926" s="16" t="s">
        <v>12319</v>
      </c>
    </row>
    <row r="5927" spans="1:1" x14ac:dyDescent="0.25">
      <c r="A5927" s="16" t="s">
        <v>12386</v>
      </c>
    </row>
    <row r="5928" spans="1:1" x14ac:dyDescent="0.25">
      <c r="A5928" s="16" t="s">
        <v>12387</v>
      </c>
    </row>
    <row r="5929" spans="1:1" x14ac:dyDescent="0.25">
      <c r="A5929" s="16" t="s">
        <v>12388</v>
      </c>
    </row>
    <row r="5930" spans="1:1" x14ac:dyDescent="0.25">
      <c r="A5930" s="16" t="s">
        <v>12418</v>
      </c>
    </row>
    <row r="5931" spans="1:1" x14ac:dyDescent="0.25">
      <c r="A5931" s="16" t="s">
        <v>12420</v>
      </c>
    </row>
    <row r="5932" spans="1:1" x14ac:dyDescent="0.25">
      <c r="A5932" s="16" t="s">
        <v>12421</v>
      </c>
    </row>
    <row r="5933" spans="1:1" x14ac:dyDescent="0.25">
      <c r="A5933" s="16" t="s">
        <v>12422</v>
      </c>
    </row>
    <row r="5934" spans="1:1" x14ac:dyDescent="0.25">
      <c r="A5934" s="16" t="s">
        <v>12424</v>
      </c>
    </row>
    <row r="5935" spans="1:1" x14ac:dyDescent="0.25">
      <c r="A5935" s="16" t="s">
        <v>12512</v>
      </c>
    </row>
    <row r="5936" spans="1:1" x14ac:dyDescent="0.25">
      <c r="A5936" s="16" t="s">
        <v>12513</v>
      </c>
    </row>
    <row r="5937" spans="1:1" x14ac:dyDescent="0.25">
      <c r="A5937" s="16" t="s">
        <v>12514</v>
      </c>
    </row>
    <row r="5938" spans="1:1" x14ac:dyDescent="0.25">
      <c r="A5938" s="16" t="s">
        <v>12516</v>
      </c>
    </row>
    <row r="5939" spans="1:1" x14ac:dyDescent="0.25">
      <c r="A5939" s="16" t="s">
        <v>12518</v>
      </c>
    </row>
    <row r="5940" spans="1:1" x14ac:dyDescent="0.25">
      <c r="A5940" s="16" t="s">
        <v>12522</v>
      </c>
    </row>
    <row r="5941" spans="1:1" x14ac:dyDescent="0.25">
      <c r="A5941" s="16" t="s">
        <v>12556</v>
      </c>
    </row>
    <row r="5942" spans="1:1" x14ac:dyDescent="0.25">
      <c r="A5942" s="16" t="s">
        <v>12557</v>
      </c>
    </row>
    <row r="5943" spans="1:1" x14ac:dyDescent="0.25">
      <c r="A5943" s="16" t="s">
        <v>12564</v>
      </c>
    </row>
    <row r="5944" spans="1:1" x14ac:dyDescent="0.25">
      <c r="A5944" s="16" t="s">
        <v>12565</v>
      </c>
    </row>
    <row r="5945" spans="1:1" x14ac:dyDescent="0.25">
      <c r="A5945" s="16" t="s">
        <v>12566</v>
      </c>
    </row>
    <row r="5946" spans="1:1" x14ac:dyDescent="0.25">
      <c r="A5946" s="16" t="s">
        <v>12619</v>
      </c>
    </row>
    <row r="5947" spans="1:1" x14ac:dyDescent="0.25">
      <c r="A5947" s="16" t="s">
        <v>12666</v>
      </c>
    </row>
    <row r="5948" spans="1:1" x14ac:dyDescent="0.25">
      <c r="A5948" s="16" t="s">
        <v>12667</v>
      </c>
    </row>
    <row r="5949" spans="1:1" x14ac:dyDescent="0.25">
      <c r="A5949" s="16" t="s">
        <v>12668</v>
      </c>
    </row>
    <row r="5950" spans="1:1" x14ac:dyDescent="0.25">
      <c r="A5950" s="16" t="s">
        <v>12669</v>
      </c>
    </row>
    <row r="5951" spans="1:1" x14ac:dyDescent="0.25">
      <c r="A5951" s="16" t="s">
        <v>12670</v>
      </c>
    </row>
    <row r="5952" spans="1:1" x14ac:dyDescent="0.25">
      <c r="A5952" s="16" t="s">
        <v>12671</v>
      </c>
    </row>
    <row r="5953" spans="1:1" x14ac:dyDescent="0.25">
      <c r="A5953" s="16" t="s">
        <v>12672</v>
      </c>
    </row>
    <row r="5954" spans="1:1" x14ac:dyDescent="0.25">
      <c r="A5954" s="16" t="s">
        <v>12694</v>
      </c>
    </row>
    <row r="5955" spans="1:1" x14ac:dyDescent="0.25">
      <c r="A5955" s="16" t="s">
        <v>12695</v>
      </c>
    </row>
    <row r="5956" spans="1:1" x14ac:dyDescent="0.25">
      <c r="A5956" s="16" t="s">
        <v>12711</v>
      </c>
    </row>
    <row r="5957" spans="1:1" x14ac:dyDescent="0.25">
      <c r="A5957" s="16" t="s">
        <v>12712</v>
      </c>
    </row>
    <row r="5958" spans="1:1" x14ac:dyDescent="0.25">
      <c r="A5958" s="16" t="s">
        <v>12713</v>
      </c>
    </row>
    <row r="5959" spans="1:1" x14ac:dyDescent="0.25">
      <c r="A5959" s="16" t="s">
        <v>12739</v>
      </c>
    </row>
    <row r="5960" spans="1:1" x14ac:dyDescent="0.25">
      <c r="A5960" s="16" t="s">
        <v>12759</v>
      </c>
    </row>
    <row r="5961" spans="1:1" x14ac:dyDescent="0.25">
      <c r="A5961" s="16" t="s">
        <v>12760</v>
      </c>
    </row>
    <row r="5962" spans="1:1" x14ac:dyDescent="0.25">
      <c r="A5962" s="16" t="s">
        <v>12761</v>
      </c>
    </row>
    <row r="5963" spans="1:1" x14ac:dyDescent="0.25">
      <c r="A5963" s="16" t="s">
        <v>12803</v>
      </c>
    </row>
    <row r="5964" spans="1:1" x14ac:dyDescent="0.25">
      <c r="A5964" s="16" t="s">
        <v>12804</v>
      </c>
    </row>
    <row r="5965" spans="1:1" x14ac:dyDescent="0.25">
      <c r="A5965" s="16" t="s">
        <v>12810</v>
      </c>
    </row>
    <row r="5966" spans="1:1" x14ac:dyDescent="0.25">
      <c r="A5966" s="16" t="s">
        <v>12813</v>
      </c>
    </row>
    <row r="5967" spans="1:1" x14ac:dyDescent="0.25">
      <c r="A5967" s="16" t="s">
        <v>12821</v>
      </c>
    </row>
    <row r="5968" spans="1:1" x14ac:dyDescent="0.25">
      <c r="A5968" s="16" t="s">
        <v>12822</v>
      </c>
    </row>
    <row r="5969" spans="1:1" x14ac:dyDescent="0.25">
      <c r="A5969" s="16" t="s">
        <v>12834</v>
      </c>
    </row>
    <row r="5970" spans="1:1" x14ac:dyDescent="0.25">
      <c r="A5970" s="16" t="s">
        <v>12835</v>
      </c>
    </row>
    <row r="5971" spans="1:1" x14ac:dyDescent="0.25">
      <c r="A5971" s="16" t="s">
        <v>12857</v>
      </c>
    </row>
    <row r="5972" spans="1:1" x14ac:dyDescent="0.25">
      <c r="A5972" s="16" t="s">
        <v>12869</v>
      </c>
    </row>
    <row r="5973" spans="1:1" x14ac:dyDescent="0.25">
      <c r="A5973" s="16" t="s">
        <v>12894</v>
      </c>
    </row>
    <row r="5974" spans="1:1" x14ac:dyDescent="0.25">
      <c r="A5974" s="16" t="s">
        <v>11228</v>
      </c>
    </row>
    <row r="5975" spans="1:1" x14ac:dyDescent="0.25">
      <c r="A5975" s="16" t="s">
        <v>11591</v>
      </c>
    </row>
    <row r="5976" spans="1:1" x14ac:dyDescent="0.25">
      <c r="A5976" s="16" t="s">
        <v>11658</v>
      </c>
    </row>
    <row r="5977" spans="1:1" x14ac:dyDescent="0.25">
      <c r="A5977" s="16" t="s">
        <v>11715</v>
      </c>
    </row>
    <row r="5978" spans="1:1" x14ac:dyDescent="0.25">
      <c r="A5978" s="16" t="s">
        <v>12188</v>
      </c>
    </row>
    <row r="5979" spans="1:1" x14ac:dyDescent="0.25">
      <c r="A5979" s="16" t="s">
        <v>12226</v>
      </c>
    </row>
    <row r="5980" spans="1:1" x14ac:dyDescent="0.25">
      <c r="A5980" s="16" t="s">
        <v>12232</v>
      </c>
    </row>
    <row r="5981" spans="1:1" x14ac:dyDescent="0.25">
      <c r="A5981" s="16" t="s">
        <v>12376</v>
      </c>
    </row>
    <row r="5982" spans="1:1" x14ac:dyDescent="0.25">
      <c r="A5982" s="16" t="s">
        <v>12540</v>
      </c>
    </row>
    <row r="5983" spans="1:1" x14ac:dyDescent="0.25">
      <c r="A5983" s="16" t="s">
        <v>12631</v>
      </c>
    </row>
    <row r="5984" spans="1:1" x14ac:dyDescent="0.25">
      <c r="A5984" s="16" t="s">
        <v>12633</v>
      </c>
    </row>
    <row r="5985" spans="1:1" x14ac:dyDescent="0.25">
      <c r="A5985" s="16" t="s">
        <v>12493</v>
      </c>
    </row>
    <row r="5986" spans="1:1" x14ac:dyDescent="0.25">
      <c r="A5986" s="16" t="s">
        <v>11501</v>
      </c>
    </row>
    <row r="5987" spans="1:1" x14ac:dyDescent="0.25">
      <c r="A5987" s="16" t="s">
        <v>11810</v>
      </c>
    </row>
    <row r="5988" spans="1:1" x14ac:dyDescent="0.25">
      <c r="A5988" s="16" t="s">
        <v>11893</v>
      </c>
    </row>
    <row r="5989" spans="1:1" x14ac:dyDescent="0.25">
      <c r="A5989" s="16" t="s">
        <v>11649</v>
      </c>
    </row>
    <row r="5990" spans="1:1" x14ac:dyDescent="0.25">
      <c r="A5990" s="16" t="s">
        <v>11742</v>
      </c>
    </row>
    <row r="5991" spans="1:1" x14ac:dyDescent="0.25">
      <c r="A5991" s="16" t="s">
        <v>11956</v>
      </c>
    </row>
    <row r="5992" spans="1:1" x14ac:dyDescent="0.25">
      <c r="A5992" s="16" t="s">
        <v>12334</v>
      </c>
    </row>
    <row r="5993" spans="1:1" x14ac:dyDescent="0.25">
      <c r="A5993" s="15" t="s">
        <v>13095</v>
      </c>
    </row>
    <row r="5994" spans="1:1" x14ac:dyDescent="0.25">
      <c r="A5994" s="16" t="s">
        <v>13095</v>
      </c>
    </row>
    <row r="5995" spans="1:1" x14ac:dyDescent="0.25">
      <c r="A5995" s="15" t="s">
        <v>13096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6C6AA-A399-4BFD-8711-5078429A1575}">
  <dimension ref="A1:I5989"/>
  <sheetViews>
    <sheetView workbookViewId="0">
      <selection sqref="A1:XFD1048576"/>
    </sheetView>
  </sheetViews>
  <sheetFormatPr baseColWidth="10" defaultRowHeight="15" x14ac:dyDescent="0.25"/>
  <cols>
    <col min="1" max="1" width="20.7109375" bestFit="1" customWidth="1"/>
    <col min="2" max="2" width="4.42578125" bestFit="1" customWidth="1"/>
    <col min="3" max="3" width="12.7109375" bestFit="1" customWidth="1"/>
    <col min="4" max="4" width="15.7109375" bestFit="1" customWidth="1"/>
    <col min="5" max="5" width="21.28515625" bestFit="1" customWidth="1"/>
    <col min="6" max="6" width="10.7109375" bestFit="1" customWidth="1"/>
    <col min="7" max="7" width="13.7109375" bestFit="1" customWidth="1"/>
    <col min="8" max="8" width="45.5703125" bestFit="1" customWidth="1"/>
    <col min="9" max="9" width="12" bestFit="1" customWidth="1"/>
  </cols>
  <sheetData>
    <row r="1" spans="1:9" x14ac:dyDescent="0.25">
      <c r="A1" t="s">
        <v>3324</v>
      </c>
      <c r="B1" t="s">
        <v>8854</v>
      </c>
      <c r="C1" t="s">
        <v>8855</v>
      </c>
      <c r="D1" t="s">
        <v>8856</v>
      </c>
      <c r="E1" t="s">
        <v>8857</v>
      </c>
      <c r="F1" t="s">
        <v>8858</v>
      </c>
      <c r="G1" t="s">
        <v>9162</v>
      </c>
      <c r="H1" t="s">
        <v>9163</v>
      </c>
      <c r="I1" t="s">
        <v>8862</v>
      </c>
    </row>
    <row r="2" spans="1:9" x14ac:dyDescent="0.25">
      <c r="A2" t="s">
        <v>9616</v>
      </c>
      <c r="C2" t="s">
        <v>9617</v>
      </c>
      <c r="D2" t="str">
        <f>"19906179"</f>
        <v>19906179</v>
      </c>
      <c r="E2" t="s">
        <v>9618</v>
      </c>
      <c r="F2" s="1">
        <v>43832</v>
      </c>
      <c r="G2" t="str">
        <f>"300043"</f>
        <v>300043</v>
      </c>
      <c r="H2" t="s">
        <v>2876</v>
      </c>
      <c r="I2">
        <v>1664</v>
      </c>
    </row>
    <row r="3" spans="1:9" x14ac:dyDescent="0.25">
      <c r="A3" t="s">
        <v>9616</v>
      </c>
      <c r="C3" t="s">
        <v>9617</v>
      </c>
      <c r="D3" t="str">
        <f>"19906180"</f>
        <v>19906180</v>
      </c>
      <c r="E3" t="s">
        <v>9619</v>
      </c>
      <c r="F3" s="1">
        <v>43832</v>
      </c>
      <c r="G3" t="str">
        <f>"300043"</f>
        <v>300043</v>
      </c>
      <c r="H3" t="s">
        <v>2876</v>
      </c>
      <c r="I3">
        <v>1037</v>
      </c>
    </row>
    <row r="4" spans="1:9" x14ac:dyDescent="0.25">
      <c r="A4" t="s">
        <v>9616</v>
      </c>
      <c r="C4" t="s">
        <v>9617</v>
      </c>
      <c r="D4" t="str">
        <f>"19906181"</f>
        <v>19906181</v>
      </c>
      <c r="E4" t="s">
        <v>9620</v>
      </c>
      <c r="F4" s="1">
        <v>43832</v>
      </c>
      <c r="G4" t="str">
        <f>"300043"</f>
        <v>300043</v>
      </c>
      <c r="H4" t="s">
        <v>2876</v>
      </c>
      <c r="I4">
        <v>456</v>
      </c>
    </row>
    <row r="5" spans="1:9" x14ac:dyDescent="0.25">
      <c r="A5" t="s">
        <v>9616</v>
      </c>
      <c r="C5" t="s">
        <v>9617</v>
      </c>
      <c r="D5" t="str">
        <f>"19906272"</f>
        <v>19906272</v>
      </c>
      <c r="E5" t="s">
        <v>9621</v>
      </c>
      <c r="F5" s="1">
        <v>43832</v>
      </c>
      <c r="G5" t="str">
        <f>"300043"</f>
        <v>300043</v>
      </c>
      <c r="H5" t="s">
        <v>2876</v>
      </c>
      <c r="I5">
        <v>199</v>
      </c>
    </row>
    <row r="6" spans="1:9" x14ac:dyDescent="0.25">
      <c r="A6" t="s">
        <v>9616</v>
      </c>
      <c r="C6" t="s">
        <v>9617</v>
      </c>
      <c r="D6" t="str">
        <f>"120310002"</f>
        <v>120310002</v>
      </c>
      <c r="E6" t="s">
        <v>8985</v>
      </c>
      <c r="F6" s="1">
        <v>43832</v>
      </c>
      <c r="G6" t="str">
        <f>"300080"</f>
        <v>300080</v>
      </c>
      <c r="H6" t="s">
        <v>2907</v>
      </c>
      <c r="I6">
        <v>7995.9359999999997</v>
      </c>
    </row>
    <row r="7" spans="1:9" x14ac:dyDescent="0.25">
      <c r="A7" t="s">
        <v>9616</v>
      </c>
      <c r="C7" t="s">
        <v>9617</v>
      </c>
      <c r="D7" t="str">
        <f>"002820"</f>
        <v>002820</v>
      </c>
      <c r="E7" t="s">
        <v>9622</v>
      </c>
      <c r="F7" s="1">
        <v>43832</v>
      </c>
      <c r="G7" t="str">
        <f>"300101"</f>
        <v>300101</v>
      </c>
      <c r="H7" t="s">
        <v>2926</v>
      </c>
      <c r="I7">
        <v>3476.92</v>
      </c>
    </row>
    <row r="8" spans="1:9" x14ac:dyDescent="0.25">
      <c r="A8" t="s">
        <v>9616</v>
      </c>
      <c r="C8" t="s">
        <v>9617</v>
      </c>
      <c r="D8" t="str">
        <f>"120310009"</f>
        <v>120310009</v>
      </c>
      <c r="E8" t="s">
        <v>9623</v>
      </c>
      <c r="F8" s="1">
        <v>43834</v>
      </c>
      <c r="G8" t="str">
        <f>"300080"</f>
        <v>300080</v>
      </c>
      <c r="H8" t="s">
        <v>2907</v>
      </c>
      <c r="I8">
        <v>151236</v>
      </c>
    </row>
    <row r="9" spans="1:9" x14ac:dyDescent="0.25">
      <c r="A9" t="s">
        <v>9616</v>
      </c>
      <c r="C9" t="s">
        <v>9617</v>
      </c>
      <c r="D9" t="str">
        <f>"10119255"</f>
        <v>10119255</v>
      </c>
      <c r="E9" t="s">
        <v>9183</v>
      </c>
      <c r="F9" s="1">
        <v>43837</v>
      </c>
      <c r="G9" t="str">
        <f>"300115"</f>
        <v>300115</v>
      </c>
      <c r="H9" t="s">
        <v>2938</v>
      </c>
      <c r="I9">
        <v>147162.76879999999</v>
      </c>
    </row>
    <row r="10" spans="1:9" x14ac:dyDescent="0.25">
      <c r="A10" t="s">
        <v>9616</v>
      </c>
      <c r="C10" t="s">
        <v>9617</v>
      </c>
      <c r="D10" t="str">
        <f>"19908448"</f>
        <v>19908448</v>
      </c>
      <c r="E10" t="s">
        <v>9624</v>
      </c>
      <c r="F10" s="1">
        <v>43838</v>
      </c>
      <c r="G10" t="str">
        <f>"300043"</f>
        <v>300043</v>
      </c>
      <c r="H10" t="s">
        <v>2876</v>
      </c>
      <c r="I10">
        <v>3706</v>
      </c>
    </row>
    <row r="11" spans="1:9" x14ac:dyDescent="0.25">
      <c r="A11" t="s">
        <v>9616</v>
      </c>
      <c r="C11" t="s">
        <v>9617</v>
      </c>
      <c r="D11" t="str">
        <f>"19908450"</f>
        <v>19908450</v>
      </c>
      <c r="E11" t="s">
        <v>9625</v>
      </c>
      <c r="F11" s="1">
        <v>43838</v>
      </c>
      <c r="G11" t="str">
        <f>"300043"</f>
        <v>300043</v>
      </c>
      <c r="H11" t="s">
        <v>2876</v>
      </c>
      <c r="I11">
        <v>1061</v>
      </c>
    </row>
    <row r="12" spans="1:9" x14ac:dyDescent="0.25">
      <c r="A12" t="s">
        <v>9616</v>
      </c>
      <c r="C12" t="s">
        <v>9617</v>
      </c>
      <c r="D12" t="str">
        <f>"19908451"</f>
        <v>19908451</v>
      </c>
      <c r="E12" t="s">
        <v>9626</v>
      </c>
      <c r="F12" s="1">
        <v>43838</v>
      </c>
      <c r="G12" t="str">
        <f>"300043"</f>
        <v>300043</v>
      </c>
      <c r="H12" t="s">
        <v>2876</v>
      </c>
      <c r="I12">
        <v>1191</v>
      </c>
    </row>
    <row r="13" spans="1:9" x14ac:dyDescent="0.25">
      <c r="A13" t="s">
        <v>9616</v>
      </c>
      <c r="C13" t="s">
        <v>9617</v>
      </c>
      <c r="D13" t="str">
        <f>"027820"</f>
        <v>027820</v>
      </c>
      <c r="E13" t="s">
        <v>9627</v>
      </c>
      <c r="F13" s="1">
        <v>43839</v>
      </c>
      <c r="G13" t="str">
        <f>"300101"</f>
        <v>300101</v>
      </c>
      <c r="H13" t="s">
        <v>2926</v>
      </c>
      <c r="I13">
        <v>3317.09</v>
      </c>
    </row>
    <row r="14" spans="1:9" x14ac:dyDescent="0.25">
      <c r="A14" t="s">
        <v>9616</v>
      </c>
      <c r="C14" t="s">
        <v>9617</v>
      </c>
      <c r="D14" t="s">
        <v>9628</v>
      </c>
      <c r="E14" t="s">
        <v>9629</v>
      </c>
      <c r="F14" s="1">
        <v>43839</v>
      </c>
      <c r="G14" t="str">
        <f>"300133"</f>
        <v>300133</v>
      </c>
      <c r="H14" t="s">
        <v>2955</v>
      </c>
      <c r="I14">
        <v>53026</v>
      </c>
    </row>
    <row r="15" spans="1:9" x14ac:dyDescent="0.25">
      <c r="A15" t="s">
        <v>9616</v>
      </c>
      <c r="C15" t="s">
        <v>9617</v>
      </c>
      <c r="D15" t="s">
        <v>9630</v>
      </c>
      <c r="E15" t="s">
        <v>9631</v>
      </c>
      <c r="F15" s="1">
        <v>43840</v>
      </c>
      <c r="G15" t="str">
        <f>"300092"</f>
        <v>300092</v>
      </c>
      <c r="H15" t="s">
        <v>2160</v>
      </c>
      <c r="I15">
        <v>53870</v>
      </c>
    </row>
    <row r="16" spans="1:9" x14ac:dyDescent="0.25">
      <c r="A16" t="s">
        <v>9616</v>
      </c>
      <c r="C16" t="s">
        <v>9617</v>
      </c>
      <c r="D16" t="str">
        <f>"10119407"</f>
        <v>10119407</v>
      </c>
      <c r="E16" t="s">
        <v>9632</v>
      </c>
      <c r="F16" s="1">
        <v>43843</v>
      </c>
      <c r="G16" t="str">
        <f>"300115"</f>
        <v>300115</v>
      </c>
      <c r="H16" t="s">
        <v>2938</v>
      </c>
      <c r="I16">
        <v>112646.3778</v>
      </c>
    </row>
    <row r="17" spans="1:9" x14ac:dyDescent="0.25">
      <c r="A17" t="s">
        <v>9616</v>
      </c>
      <c r="C17" t="s">
        <v>9617</v>
      </c>
      <c r="D17" t="str">
        <f>"10119408"</f>
        <v>10119408</v>
      </c>
      <c r="E17" t="s">
        <v>9633</v>
      </c>
      <c r="F17" s="1">
        <v>43843</v>
      </c>
      <c r="G17" t="str">
        <f>"300115"</f>
        <v>300115</v>
      </c>
      <c r="H17" t="s">
        <v>2938</v>
      </c>
      <c r="I17">
        <v>49919.826000000001</v>
      </c>
    </row>
    <row r="18" spans="1:9" x14ac:dyDescent="0.25">
      <c r="A18" t="s">
        <v>9616</v>
      </c>
      <c r="C18" t="s">
        <v>9617</v>
      </c>
      <c r="D18" t="str">
        <f>"1992541"</f>
        <v>1992541</v>
      </c>
      <c r="E18" t="s">
        <v>9634</v>
      </c>
      <c r="F18" s="1">
        <v>43844</v>
      </c>
      <c r="G18" t="str">
        <f>"300043"</f>
        <v>300043</v>
      </c>
      <c r="H18" t="s">
        <v>2876</v>
      </c>
      <c r="I18">
        <v>452</v>
      </c>
    </row>
    <row r="19" spans="1:9" x14ac:dyDescent="0.25">
      <c r="A19" t="s">
        <v>9616</v>
      </c>
      <c r="C19" t="s">
        <v>9617</v>
      </c>
      <c r="D19" t="str">
        <f>"19925466"</f>
        <v>19925466</v>
      </c>
      <c r="E19" t="s">
        <v>9635</v>
      </c>
      <c r="F19" s="1">
        <v>43844</v>
      </c>
      <c r="G19" t="str">
        <f>"300043"</f>
        <v>300043</v>
      </c>
      <c r="H19" t="s">
        <v>2876</v>
      </c>
      <c r="I19">
        <v>456</v>
      </c>
    </row>
    <row r="20" spans="1:9" x14ac:dyDescent="0.25">
      <c r="A20" t="s">
        <v>9616</v>
      </c>
      <c r="C20" t="s">
        <v>9617</v>
      </c>
      <c r="D20" t="str">
        <f>"63950"</f>
        <v>63950</v>
      </c>
      <c r="E20" t="s">
        <v>9636</v>
      </c>
      <c r="F20" s="1">
        <v>43844</v>
      </c>
      <c r="G20" t="str">
        <f>"300093"</f>
        <v>300093</v>
      </c>
      <c r="H20" t="s">
        <v>2918</v>
      </c>
      <c r="I20">
        <v>162476.6</v>
      </c>
    </row>
    <row r="21" spans="1:9" x14ac:dyDescent="0.25">
      <c r="A21" t="s">
        <v>9616</v>
      </c>
      <c r="C21" t="s">
        <v>9617</v>
      </c>
      <c r="D21" t="str">
        <f>"120310029"</f>
        <v>120310029</v>
      </c>
      <c r="E21" t="s">
        <v>9637</v>
      </c>
      <c r="F21" s="1">
        <v>43845</v>
      </c>
      <c r="G21" t="str">
        <f>"300080"</f>
        <v>300080</v>
      </c>
      <c r="H21" t="s">
        <v>2907</v>
      </c>
      <c r="I21">
        <v>52555.4</v>
      </c>
    </row>
    <row r="22" spans="1:9" x14ac:dyDescent="0.25">
      <c r="A22" t="s">
        <v>9616</v>
      </c>
      <c r="C22" t="s">
        <v>9617</v>
      </c>
      <c r="D22" t="str">
        <f>"120310030"</f>
        <v>120310030</v>
      </c>
      <c r="E22" t="s">
        <v>9638</v>
      </c>
      <c r="F22" s="1">
        <v>43845</v>
      </c>
      <c r="G22" t="str">
        <f>"300080"</f>
        <v>300080</v>
      </c>
      <c r="H22" t="s">
        <v>2907</v>
      </c>
      <c r="I22">
        <v>135738.6</v>
      </c>
    </row>
    <row r="23" spans="1:9" x14ac:dyDescent="0.25">
      <c r="A23" t="s">
        <v>9616</v>
      </c>
      <c r="C23" t="s">
        <v>9617</v>
      </c>
      <c r="D23" t="str">
        <f>"053020"</f>
        <v>053020</v>
      </c>
      <c r="E23" t="s">
        <v>9639</v>
      </c>
      <c r="F23" s="1">
        <v>43845</v>
      </c>
      <c r="G23" t="str">
        <f>"300101"</f>
        <v>300101</v>
      </c>
      <c r="H23" t="s">
        <v>2926</v>
      </c>
      <c r="I23">
        <v>3766.74</v>
      </c>
    </row>
    <row r="24" spans="1:9" x14ac:dyDescent="0.25">
      <c r="A24" t="s">
        <v>9616</v>
      </c>
      <c r="C24" t="s">
        <v>9617</v>
      </c>
      <c r="D24" t="str">
        <f>"10119523"</f>
        <v>10119523</v>
      </c>
      <c r="E24" t="s">
        <v>272</v>
      </c>
      <c r="F24" s="1">
        <v>43846</v>
      </c>
      <c r="G24" t="str">
        <f>"300115"</f>
        <v>300115</v>
      </c>
      <c r="H24" t="s">
        <v>2938</v>
      </c>
      <c r="I24">
        <v>101741.024</v>
      </c>
    </row>
    <row r="25" spans="1:9" x14ac:dyDescent="0.25">
      <c r="A25" t="s">
        <v>9616</v>
      </c>
      <c r="C25" t="s">
        <v>9617</v>
      </c>
      <c r="D25" t="str">
        <f>"10119526"</f>
        <v>10119526</v>
      </c>
      <c r="E25" t="s">
        <v>9640</v>
      </c>
      <c r="F25" s="1">
        <v>43846</v>
      </c>
      <c r="G25" t="str">
        <f>"300115"</f>
        <v>300115</v>
      </c>
      <c r="H25" t="s">
        <v>2938</v>
      </c>
      <c r="I25">
        <v>157751.484</v>
      </c>
    </row>
    <row r="26" spans="1:9" x14ac:dyDescent="0.25">
      <c r="A26" t="s">
        <v>9616</v>
      </c>
      <c r="C26" t="s">
        <v>9617</v>
      </c>
      <c r="D26" t="str">
        <f>"19927066"</f>
        <v>19927066</v>
      </c>
      <c r="E26" t="s">
        <v>9641</v>
      </c>
      <c r="F26" s="1">
        <v>43850</v>
      </c>
      <c r="G26" t="str">
        <f>"300043"</f>
        <v>300043</v>
      </c>
      <c r="H26" t="s">
        <v>2876</v>
      </c>
      <c r="I26">
        <v>2012</v>
      </c>
    </row>
    <row r="27" spans="1:9" x14ac:dyDescent="0.25">
      <c r="A27" t="s">
        <v>9616</v>
      </c>
      <c r="C27" t="s">
        <v>9617</v>
      </c>
      <c r="D27" t="str">
        <f>"19927067"</f>
        <v>19927067</v>
      </c>
      <c r="E27" t="s">
        <v>9642</v>
      </c>
      <c r="F27" s="1">
        <v>43850</v>
      </c>
      <c r="G27" t="str">
        <f>"300043"</f>
        <v>300043</v>
      </c>
      <c r="H27" t="s">
        <v>2876</v>
      </c>
      <c r="I27">
        <v>1140</v>
      </c>
    </row>
    <row r="28" spans="1:9" x14ac:dyDescent="0.25">
      <c r="A28" t="s">
        <v>9616</v>
      </c>
      <c r="C28" t="s">
        <v>9617</v>
      </c>
      <c r="D28" t="str">
        <f>"053120"</f>
        <v>053120</v>
      </c>
      <c r="E28" t="s">
        <v>9643</v>
      </c>
      <c r="F28" s="1">
        <v>43850</v>
      </c>
      <c r="G28" t="str">
        <f>"300101"</f>
        <v>300101</v>
      </c>
      <c r="H28" t="s">
        <v>2926</v>
      </c>
      <c r="I28">
        <v>3766.91</v>
      </c>
    </row>
    <row r="29" spans="1:9" x14ac:dyDescent="0.25">
      <c r="A29" t="s">
        <v>9616</v>
      </c>
      <c r="C29" t="s">
        <v>9617</v>
      </c>
      <c r="D29" t="str">
        <f>"053220"</f>
        <v>053220</v>
      </c>
      <c r="E29" t="s">
        <v>9644</v>
      </c>
      <c r="F29" s="1">
        <v>43850</v>
      </c>
      <c r="G29" t="str">
        <f>"300101"</f>
        <v>300101</v>
      </c>
      <c r="H29" t="s">
        <v>2926</v>
      </c>
      <c r="I29">
        <v>3611.68</v>
      </c>
    </row>
    <row r="30" spans="1:9" x14ac:dyDescent="0.25">
      <c r="A30" t="s">
        <v>9616</v>
      </c>
      <c r="C30" t="s">
        <v>9617</v>
      </c>
      <c r="D30" t="str">
        <f>"10119584"</f>
        <v>10119584</v>
      </c>
      <c r="E30" t="s">
        <v>2172</v>
      </c>
      <c r="F30" s="1">
        <v>43850</v>
      </c>
      <c r="G30" t="str">
        <f>"300115"</f>
        <v>300115</v>
      </c>
      <c r="H30" t="s">
        <v>2938</v>
      </c>
      <c r="I30">
        <v>184458.08369999999</v>
      </c>
    </row>
    <row r="31" spans="1:9" x14ac:dyDescent="0.25">
      <c r="A31" t="s">
        <v>9616</v>
      </c>
      <c r="C31" t="s">
        <v>9617</v>
      </c>
      <c r="D31" t="str">
        <f>"361604"</f>
        <v>361604</v>
      </c>
      <c r="E31" t="str">
        <f>"8000361604"</f>
        <v>8000361604</v>
      </c>
      <c r="F31" s="1">
        <v>43850</v>
      </c>
      <c r="G31" t="str">
        <f>"300220"</f>
        <v>300220</v>
      </c>
      <c r="H31" t="s">
        <v>2170</v>
      </c>
      <c r="I31">
        <v>957501.07200000004</v>
      </c>
    </row>
    <row r="32" spans="1:9" x14ac:dyDescent="0.25">
      <c r="A32" t="s">
        <v>9616</v>
      </c>
      <c r="C32" t="s">
        <v>9617</v>
      </c>
      <c r="D32" t="s">
        <v>9645</v>
      </c>
      <c r="E32" t="s">
        <v>9646</v>
      </c>
      <c r="F32" s="1">
        <v>43851</v>
      </c>
      <c r="G32" t="str">
        <f>"300133"</f>
        <v>300133</v>
      </c>
      <c r="H32" t="s">
        <v>2955</v>
      </c>
      <c r="I32">
        <v>30150</v>
      </c>
    </row>
    <row r="33" spans="1:9" x14ac:dyDescent="0.25">
      <c r="A33" t="s">
        <v>9616</v>
      </c>
      <c r="C33" t="s">
        <v>9617</v>
      </c>
      <c r="D33" t="str">
        <f>"10119651"</f>
        <v>10119651</v>
      </c>
      <c r="E33" t="s">
        <v>9191</v>
      </c>
      <c r="F33" s="1">
        <v>43852</v>
      </c>
      <c r="G33" t="str">
        <f>"300115"</f>
        <v>300115</v>
      </c>
      <c r="H33" t="s">
        <v>2938</v>
      </c>
      <c r="I33">
        <v>180967.82</v>
      </c>
    </row>
    <row r="34" spans="1:9" x14ac:dyDescent="0.25">
      <c r="A34" t="s">
        <v>9616</v>
      </c>
      <c r="C34" t="s">
        <v>9617</v>
      </c>
      <c r="D34" t="str">
        <f>"052920"</f>
        <v>052920</v>
      </c>
      <c r="E34" t="s">
        <v>9647</v>
      </c>
      <c r="F34" s="1">
        <v>43853</v>
      </c>
      <c r="G34" t="str">
        <f>"300101"</f>
        <v>300101</v>
      </c>
      <c r="H34" t="s">
        <v>2926</v>
      </c>
      <c r="I34">
        <v>3301.86</v>
      </c>
    </row>
    <row r="35" spans="1:9" x14ac:dyDescent="0.25">
      <c r="A35" t="s">
        <v>9616</v>
      </c>
      <c r="C35" t="s">
        <v>9617</v>
      </c>
      <c r="D35" t="str">
        <f>"10119680"</f>
        <v>10119680</v>
      </c>
      <c r="E35" t="s">
        <v>9648</v>
      </c>
      <c r="F35" s="1">
        <v>43853</v>
      </c>
      <c r="G35" t="str">
        <f>"300115"</f>
        <v>300115</v>
      </c>
      <c r="H35" t="s">
        <v>2938</v>
      </c>
      <c r="I35">
        <v>291615.88829999999</v>
      </c>
    </row>
    <row r="36" spans="1:9" x14ac:dyDescent="0.25">
      <c r="A36" t="s">
        <v>9616</v>
      </c>
      <c r="C36" t="s">
        <v>9617</v>
      </c>
      <c r="D36" t="str">
        <f>"10119681"</f>
        <v>10119681</v>
      </c>
      <c r="E36" t="s">
        <v>9648</v>
      </c>
      <c r="F36" s="1">
        <v>43853</v>
      </c>
      <c r="G36" t="str">
        <f>"300115"</f>
        <v>300115</v>
      </c>
      <c r="H36" t="s">
        <v>2938</v>
      </c>
      <c r="I36">
        <v>281794.55699999997</v>
      </c>
    </row>
    <row r="37" spans="1:9" x14ac:dyDescent="0.25">
      <c r="A37" t="s">
        <v>9616</v>
      </c>
      <c r="C37" t="s">
        <v>9617</v>
      </c>
      <c r="D37" t="str">
        <f>"10119712"</f>
        <v>10119712</v>
      </c>
      <c r="E37" t="s">
        <v>9649</v>
      </c>
      <c r="F37" s="1">
        <v>43854</v>
      </c>
      <c r="G37" t="str">
        <f>"300115"</f>
        <v>300115</v>
      </c>
      <c r="H37" t="s">
        <v>2938</v>
      </c>
      <c r="I37">
        <v>158723.7432</v>
      </c>
    </row>
    <row r="38" spans="1:9" x14ac:dyDescent="0.25">
      <c r="A38" t="s">
        <v>9616</v>
      </c>
      <c r="C38" t="s">
        <v>9617</v>
      </c>
      <c r="D38" t="str">
        <f>"120310067"</f>
        <v>120310067</v>
      </c>
      <c r="E38" s="2">
        <v>46116</v>
      </c>
      <c r="F38" s="1">
        <v>43857</v>
      </c>
      <c r="G38" t="str">
        <f>"300080"</f>
        <v>300080</v>
      </c>
      <c r="H38" t="s">
        <v>2907</v>
      </c>
      <c r="I38">
        <v>127272.6</v>
      </c>
    </row>
    <row r="39" spans="1:9" x14ac:dyDescent="0.25">
      <c r="A39" t="s">
        <v>9616</v>
      </c>
      <c r="C39" t="s">
        <v>9617</v>
      </c>
      <c r="D39" t="str">
        <f>"120310068"</f>
        <v>120310068</v>
      </c>
      <c r="E39" s="2">
        <v>46116</v>
      </c>
      <c r="F39" s="1">
        <v>43857</v>
      </c>
      <c r="G39" t="str">
        <f>"300080"</f>
        <v>300080</v>
      </c>
      <c r="H39" t="s">
        <v>2907</v>
      </c>
      <c r="I39">
        <v>43570.8</v>
      </c>
    </row>
    <row r="40" spans="1:9" x14ac:dyDescent="0.25">
      <c r="A40" t="s">
        <v>9616</v>
      </c>
      <c r="C40" t="s">
        <v>9617</v>
      </c>
      <c r="D40" t="str">
        <f>"052720"</f>
        <v>052720</v>
      </c>
      <c r="E40" t="s">
        <v>9650</v>
      </c>
      <c r="F40" s="1">
        <v>43857</v>
      </c>
      <c r="G40" t="str">
        <f>"300101"</f>
        <v>300101</v>
      </c>
      <c r="H40" t="s">
        <v>2926</v>
      </c>
      <c r="I40">
        <v>3765.66</v>
      </c>
    </row>
    <row r="41" spans="1:9" x14ac:dyDescent="0.25">
      <c r="A41" t="s">
        <v>9616</v>
      </c>
      <c r="C41" t="s">
        <v>9617</v>
      </c>
      <c r="D41" t="str">
        <f>"053320"</f>
        <v>053320</v>
      </c>
      <c r="E41" t="s">
        <v>9651</v>
      </c>
      <c r="F41" s="1">
        <v>43857</v>
      </c>
      <c r="G41" t="str">
        <f>"300101"</f>
        <v>300101</v>
      </c>
      <c r="H41" t="s">
        <v>2926</v>
      </c>
      <c r="I41">
        <v>3295.03</v>
      </c>
    </row>
    <row r="42" spans="1:9" x14ac:dyDescent="0.25">
      <c r="A42" t="s">
        <v>9616</v>
      </c>
      <c r="C42" t="s">
        <v>9617</v>
      </c>
      <c r="D42" t="str">
        <f>"10119713"</f>
        <v>10119713</v>
      </c>
      <c r="E42" t="s">
        <v>9640</v>
      </c>
      <c r="F42" s="1">
        <v>43857</v>
      </c>
      <c r="G42" t="str">
        <f>"300115"</f>
        <v>300115</v>
      </c>
      <c r="H42" t="s">
        <v>2938</v>
      </c>
      <c r="I42">
        <v>157751.484</v>
      </c>
    </row>
    <row r="43" spans="1:9" x14ac:dyDescent="0.25">
      <c r="A43" t="s">
        <v>9616</v>
      </c>
      <c r="C43" t="s">
        <v>9617</v>
      </c>
      <c r="D43" t="str">
        <f>"10119775"</f>
        <v>10119775</v>
      </c>
      <c r="E43" t="s">
        <v>2377</v>
      </c>
      <c r="F43" s="1">
        <v>43857</v>
      </c>
      <c r="G43" t="str">
        <f>"300115"</f>
        <v>300115</v>
      </c>
      <c r="H43" t="s">
        <v>2938</v>
      </c>
      <c r="I43">
        <v>175610.21280000001</v>
      </c>
    </row>
    <row r="44" spans="1:9" x14ac:dyDescent="0.25">
      <c r="A44" t="s">
        <v>9616</v>
      </c>
      <c r="C44" t="s">
        <v>9617</v>
      </c>
      <c r="D44" t="str">
        <f>"2000443"</f>
        <v>2000443</v>
      </c>
      <c r="E44" t="s">
        <v>9652</v>
      </c>
      <c r="F44" s="1">
        <v>43857</v>
      </c>
      <c r="G44" t="str">
        <f>"300235"</f>
        <v>300235</v>
      </c>
      <c r="H44" t="s">
        <v>3034</v>
      </c>
      <c r="I44">
        <v>5679.98</v>
      </c>
    </row>
    <row r="45" spans="1:9" x14ac:dyDescent="0.25">
      <c r="A45" t="s">
        <v>9616</v>
      </c>
      <c r="C45" t="s">
        <v>9617</v>
      </c>
      <c r="D45" t="str">
        <f>"20011624"</f>
        <v>20011624</v>
      </c>
      <c r="E45" t="s">
        <v>9653</v>
      </c>
      <c r="F45" s="1">
        <v>43858</v>
      </c>
      <c r="G45" t="str">
        <f>"300043"</f>
        <v>300043</v>
      </c>
      <c r="H45" t="s">
        <v>2876</v>
      </c>
      <c r="I45">
        <v>455</v>
      </c>
    </row>
    <row r="46" spans="1:9" x14ac:dyDescent="0.25">
      <c r="A46" t="s">
        <v>9616</v>
      </c>
      <c r="C46" t="s">
        <v>9617</v>
      </c>
      <c r="D46" t="str">
        <f>"200116223"</f>
        <v>200116223</v>
      </c>
      <c r="E46" t="s">
        <v>9622</v>
      </c>
      <c r="F46" s="1">
        <v>43858</v>
      </c>
      <c r="G46" t="str">
        <f>"300043"</f>
        <v>300043</v>
      </c>
      <c r="H46" t="s">
        <v>2876</v>
      </c>
      <c r="I46">
        <v>1472</v>
      </c>
    </row>
    <row r="47" spans="1:9" x14ac:dyDescent="0.25">
      <c r="A47" t="s">
        <v>9616</v>
      </c>
      <c r="C47" t="s">
        <v>9617</v>
      </c>
      <c r="D47" t="str">
        <f>"052420"</f>
        <v>052420</v>
      </c>
      <c r="E47" t="s">
        <v>9654</v>
      </c>
      <c r="F47" s="1">
        <v>43858</v>
      </c>
      <c r="G47" t="str">
        <f>"300101"</f>
        <v>300101</v>
      </c>
      <c r="H47" t="s">
        <v>2926</v>
      </c>
      <c r="I47">
        <v>3449.78</v>
      </c>
    </row>
    <row r="48" spans="1:9" x14ac:dyDescent="0.25">
      <c r="A48" t="s">
        <v>9616</v>
      </c>
      <c r="C48" t="s">
        <v>9617</v>
      </c>
      <c r="D48" t="str">
        <f>"10119783"</f>
        <v>10119783</v>
      </c>
      <c r="E48" t="s">
        <v>2172</v>
      </c>
      <c r="F48" s="1">
        <v>43858</v>
      </c>
      <c r="G48" t="str">
        <f>"300115"</f>
        <v>300115</v>
      </c>
      <c r="H48" t="s">
        <v>2938</v>
      </c>
      <c r="I48">
        <v>269185.72560000001</v>
      </c>
    </row>
    <row r="49" spans="1:9" x14ac:dyDescent="0.25">
      <c r="A49" t="s">
        <v>9616</v>
      </c>
      <c r="C49" t="s">
        <v>9617</v>
      </c>
      <c r="D49" t="str">
        <f>"20012014"</f>
        <v>20012014</v>
      </c>
      <c r="E49" t="s">
        <v>9652</v>
      </c>
      <c r="F49" s="1">
        <v>43859</v>
      </c>
      <c r="G49" t="str">
        <f>"300043"</f>
        <v>300043</v>
      </c>
      <c r="H49" t="s">
        <v>2876</v>
      </c>
      <c r="I49">
        <v>557</v>
      </c>
    </row>
    <row r="50" spans="1:9" x14ac:dyDescent="0.25">
      <c r="A50" t="s">
        <v>9616</v>
      </c>
      <c r="C50" t="s">
        <v>9617</v>
      </c>
      <c r="D50" t="str">
        <f>"052520"</f>
        <v>052520</v>
      </c>
      <c r="E50" t="s">
        <v>9655</v>
      </c>
      <c r="F50" s="1">
        <v>43859</v>
      </c>
      <c r="G50" t="str">
        <f>"300101"</f>
        <v>300101</v>
      </c>
      <c r="H50" t="s">
        <v>2926</v>
      </c>
      <c r="I50">
        <v>3604.54</v>
      </c>
    </row>
    <row r="51" spans="1:9" x14ac:dyDescent="0.25">
      <c r="A51" t="s">
        <v>9616</v>
      </c>
      <c r="C51" t="s">
        <v>9617</v>
      </c>
      <c r="D51" t="str">
        <f>"053420"</f>
        <v>053420</v>
      </c>
      <c r="E51" t="s">
        <v>9656</v>
      </c>
      <c r="F51" s="1">
        <v>43859</v>
      </c>
      <c r="G51" t="str">
        <f>"300101"</f>
        <v>300101</v>
      </c>
      <c r="H51" t="s">
        <v>2926</v>
      </c>
      <c r="I51">
        <v>3759.3</v>
      </c>
    </row>
    <row r="52" spans="1:9" x14ac:dyDescent="0.25">
      <c r="A52" t="s">
        <v>9616</v>
      </c>
      <c r="C52" t="s">
        <v>9617</v>
      </c>
      <c r="D52" t="str">
        <f>"054920"</f>
        <v>054920</v>
      </c>
      <c r="E52" t="s">
        <v>9652</v>
      </c>
      <c r="F52" s="1">
        <v>43859</v>
      </c>
      <c r="G52" t="str">
        <f>"300101"</f>
        <v>300101</v>
      </c>
      <c r="H52" t="s">
        <v>2926</v>
      </c>
      <c r="I52">
        <v>4530</v>
      </c>
    </row>
    <row r="53" spans="1:9" x14ac:dyDescent="0.25">
      <c r="A53" t="s">
        <v>9616</v>
      </c>
      <c r="C53" t="s">
        <v>9617</v>
      </c>
      <c r="D53" t="str">
        <f>"20011772"</f>
        <v>20011772</v>
      </c>
      <c r="E53" t="s">
        <v>9657</v>
      </c>
      <c r="F53" s="1">
        <v>43859</v>
      </c>
      <c r="G53" t="str">
        <f>"300115"</f>
        <v>300115</v>
      </c>
      <c r="H53" t="s">
        <v>2938</v>
      </c>
      <c r="I53">
        <v>243101.9448</v>
      </c>
    </row>
    <row r="54" spans="1:9" x14ac:dyDescent="0.25">
      <c r="A54" t="s">
        <v>9616</v>
      </c>
      <c r="C54" t="s">
        <v>9617</v>
      </c>
      <c r="D54" t="s">
        <v>9658</v>
      </c>
      <c r="E54" t="s">
        <v>9629</v>
      </c>
      <c r="F54" s="1">
        <v>43859</v>
      </c>
      <c r="G54" t="str">
        <f>"300133"</f>
        <v>300133</v>
      </c>
      <c r="H54" t="s">
        <v>2955</v>
      </c>
      <c r="I54">
        <v>41866</v>
      </c>
    </row>
    <row r="55" spans="1:9" x14ac:dyDescent="0.25">
      <c r="A55" t="s">
        <v>9616</v>
      </c>
      <c r="C55" t="s">
        <v>9617</v>
      </c>
      <c r="D55" t="str">
        <f>"2000991"</f>
        <v>2000991</v>
      </c>
      <c r="E55" t="s">
        <v>9659</v>
      </c>
      <c r="F55" s="1">
        <v>43859</v>
      </c>
      <c r="G55" t="str">
        <f>"300234"</f>
        <v>300234</v>
      </c>
      <c r="H55" t="s">
        <v>3033</v>
      </c>
      <c r="I55">
        <v>5038.3999999999996</v>
      </c>
    </row>
    <row r="56" spans="1:9" x14ac:dyDescent="0.25">
      <c r="A56" t="s">
        <v>9616</v>
      </c>
      <c r="C56" t="s">
        <v>9617</v>
      </c>
      <c r="D56" t="str">
        <f>"120310078"</f>
        <v>120310078</v>
      </c>
      <c r="E56" t="s">
        <v>9660</v>
      </c>
      <c r="F56" s="1">
        <v>43860</v>
      </c>
      <c r="G56" t="str">
        <f>"300080"</f>
        <v>300080</v>
      </c>
      <c r="H56" t="s">
        <v>2907</v>
      </c>
      <c r="I56">
        <v>12153.3</v>
      </c>
    </row>
    <row r="57" spans="1:9" x14ac:dyDescent="0.25">
      <c r="A57" t="s">
        <v>9616</v>
      </c>
      <c r="C57" t="s">
        <v>9617</v>
      </c>
      <c r="D57" t="str">
        <f>"20012925"</f>
        <v>20012925</v>
      </c>
      <c r="E57" t="s">
        <v>9639</v>
      </c>
      <c r="F57" s="1">
        <v>43861</v>
      </c>
      <c r="G57" t="str">
        <f>"300043"</f>
        <v>300043</v>
      </c>
      <c r="H57" t="s">
        <v>2876</v>
      </c>
      <c r="I57">
        <v>691</v>
      </c>
    </row>
    <row r="58" spans="1:9" x14ac:dyDescent="0.25">
      <c r="A58" t="s">
        <v>9616</v>
      </c>
      <c r="C58" t="s">
        <v>9617</v>
      </c>
      <c r="D58" t="str">
        <f>"20012928"</f>
        <v>20012928</v>
      </c>
      <c r="E58" t="s">
        <v>9627</v>
      </c>
      <c r="F58" s="1">
        <v>43861</v>
      </c>
      <c r="G58" t="str">
        <f>"300043"</f>
        <v>300043</v>
      </c>
      <c r="H58" t="s">
        <v>2876</v>
      </c>
      <c r="I58">
        <v>1639</v>
      </c>
    </row>
    <row r="59" spans="1:9" x14ac:dyDescent="0.25">
      <c r="A59" t="s">
        <v>9616</v>
      </c>
      <c r="C59" t="s">
        <v>9617</v>
      </c>
      <c r="D59" t="str">
        <f>"052620"</f>
        <v>052620</v>
      </c>
      <c r="E59" t="s">
        <v>9661</v>
      </c>
      <c r="F59" s="1">
        <v>43861</v>
      </c>
      <c r="G59" t="str">
        <f>"300101"</f>
        <v>300101</v>
      </c>
      <c r="H59" t="s">
        <v>2926</v>
      </c>
      <c r="I59">
        <v>3604.54</v>
      </c>
    </row>
    <row r="60" spans="1:9" x14ac:dyDescent="0.25">
      <c r="A60" t="s">
        <v>9616</v>
      </c>
      <c r="C60" t="s">
        <v>9617</v>
      </c>
      <c r="D60" t="s">
        <v>9662</v>
      </c>
      <c r="E60" t="s">
        <v>9663</v>
      </c>
      <c r="F60" s="1">
        <v>43861</v>
      </c>
      <c r="G60" t="str">
        <f>"300109"</f>
        <v>300109</v>
      </c>
      <c r="H60" t="s">
        <v>2934</v>
      </c>
      <c r="I60">
        <v>273045.99300000002</v>
      </c>
    </row>
    <row r="61" spans="1:9" x14ac:dyDescent="0.25">
      <c r="A61" t="s">
        <v>9616</v>
      </c>
      <c r="C61" t="s">
        <v>9617</v>
      </c>
      <c r="D61" t="s">
        <v>9664</v>
      </c>
      <c r="E61" t="s">
        <v>9629</v>
      </c>
      <c r="F61" s="1">
        <v>43861</v>
      </c>
      <c r="G61" t="str">
        <f>"300133"</f>
        <v>300133</v>
      </c>
      <c r="H61" t="s">
        <v>2955</v>
      </c>
      <c r="I61">
        <v>17604</v>
      </c>
    </row>
    <row r="62" spans="1:9" x14ac:dyDescent="0.25">
      <c r="A62" t="s">
        <v>9616</v>
      </c>
      <c r="C62" t="s">
        <v>9617</v>
      </c>
      <c r="D62" t="s">
        <v>9665</v>
      </c>
      <c r="E62" t="s">
        <v>9629</v>
      </c>
      <c r="F62" s="1">
        <v>43861</v>
      </c>
      <c r="G62" t="str">
        <f>"300133"</f>
        <v>300133</v>
      </c>
      <c r="H62" t="s">
        <v>2955</v>
      </c>
      <c r="I62">
        <v>40220</v>
      </c>
    </row>
    <row r="63" spans="1:9" x14ac:dyDescent="0.25">
      <c r="A63" t="s">
        <v>9616</v>
      </c>
      <c r="C63" t="s">
        <v>9617</v>
      </c>
      <c r="D63" t="str">
        <f>"10030418"</f>
        <v>10030418</v>
      </c>
      <c r="E63" t="s">
        <v>9666</v>
      </c>
      <c r="F63" s="1">
        <v>43861</v>
      </c>
      <c r="G63" t="str">
        <f>"300226"</f>
        <v>300226</v>
      </c>
      <c r="H63" t="s">
        <v>3025</v>
      </c>
      <c r="I63">
        <v>308768</v>
      </c>
    </row>
    <row r="64" spans="1:9" x14ac:dyDescent="0.25">
      <c r="A64" t="s">
        <v>9616</v>
      </c>
      <c r="C64" t="s">
        <v>9617</v>
      </c>
      <c r="D64" t="str">
        <f>"10119940"</f>
        <v>10119940</v>
      </c>
      <c r="E64" t="s">
        <v>9189</v>
      </c>
      <c r="F64" s="1">
        <v>43864</v>
      </c>
      <c r="G64" t="str">
        <f>"300115"</f>
        <v>300115</v>
      </c>
      <c r="H64" t="s">
        <v>2938</v>
      </c>
      <c r="I64">
        <v>283948.79700000002</v>
      </c>
    </row>
    <row r="65" spans="1:9" x14ac:dyDescent="0.25">
      <c r="A65" t="s">
        <v>9616</v>
      </c>
      <c r="C65" t="s">
        <v>9617</v>
      </c>
      <c r="D65" t="str">
        <f>"10119944"</f>
        <v>10119944</v>
      </c>
      <c r="E65" t="s">
        <v>9667</v>
      </c>
      <c r="F65" s="1">
        <v>43864</v>
      </c>
      <c r="G65" t="str">
        <f>"300115"</f>
        <v>300115</v>
      </c>
      <c r="H65" t="s">
        <v>2938</v>
      </c>
      <c r="I65">
        <v>283948.79700000002</v>
      </c>
    </row>
    <row r="66" spans="1:9" x14ac:dyDescent="0.25">
      <c r="A66" t="s">
        <v>9616</v>
      </c>
      <c r="C66" t="s">
        <v>9617</v>
      </c>
      <c r="D66" t="str">
        <f>"053520"</f>
        <v>053520</v>
      </c>
      <c r="E66" t="s">
        <v>9668</v>
      </c>
      <c r="F66" s="1">
        <v>43865</v>
      </c>
      <c r="G66" t="str">
        <f>"300101"</f>
        <v>300101</v>
      </c>
      <c r="H66" t="s">
        <v>2926</v>
      </c>
      <c r="I66">
        <v>3604.76</v>
      </c>
    </row>
    <row r="67" spans="1:9" x14ac:dyDescent="0.25">
      <c r="A67" t="s">
        <v>9616</v>
      </c>
      <c r="C67" t="s">
        <v>9617</v>
      </c>
      <c r="D67" t="s">
        <v>9669</v>
      </c>
      <c r="E67" t="s">
        <v>9670</v>
      </c>
      <c r="F67" s="1">
        <v>43865</v>
      </c>
      <c r="G67" t="str">
        <f>"300133"</f>
        <v>300133</v>
      </c>
      <c r="H67" t="s">
        <v>2955</v>
      </c>
      <c r="I67">
        <v>8352</v>
      </c>
    </row>
    <row r="68" spans="1:9" x14ac:dyDescent="0.25">
      <c r="A68" t="s">
        <v>9616</v>
      </c>
      <c r="C68" t="s">
        <v>9617</v>
      </c>
      <c r="D68" t="str">
        <f>"20014460"</f>
        <v>20014460</v>
      </c>
      <c r="E68" t="s">
        <v>9644</v>
      </c>
      <c r="F68" s="1">
        <v>43866</v>
      </c>
      <c r="G68" t="str">
        <f>"300043"</f>
        <v>300043</v>
      </c>
      <c r="H68" t="s">
        <v>2876</v>
      </c>
      <c r="I68">
        <v>2503</v>
      </c>
    </row>
    <row r="69" spans="1:9" x14ac:dyDescent="0.25">
      <c r="A69" t="s">
        <v>9616</v>
      </c>
      <c r="C69" t="s">
        <v>9617</v>
      </c>
      <c r="D69" t="str">
        <f>"20014461"</f>
        <v>20014461</v>
      </c>
      <c r="E69" t="s">
        <v>9643</v>
      </c>
      <c r="F69" s="1">
        <v>43866</v>
      </c>
      <c r="G69" t="str">
        <f>"300043"</f>
        <v>300043</v>
      </c>
      <c r="H69" t="s">
        <v>2876</v>
      </c>
      <c r="I69">
        <v>676</v>
      </c>
    </row>
    <row r="70" spans="1:9" x14ac:dyDescent="0.25">
      <c r="A70" t="s">
        <v>9616</v>
      </c>
      <c r="C70" t="s">
        <v>9617</v>
      </c>
      <c r="D70" t="str">
        <f>"20014462"</f>
        <v>20014462</v>
      </c>
      <c r="E70" t="s">
        <v>9647</v>
      </c>
      <c r="F70" s="1">
        <v>43866</v>
      </c>
      <c r="G70" t="str">
        <f>"300043"</f>
        <v>300043</v>
      </c>
      <c r="H70" t="s">
        <v>2876</v>
      </c>
      <c r="I70">
        <v>761</v>
      </c>
    </row>
    <row r="71" spans="1:9" x14ac:dyDescent="0.25">
      <c r="A71" t="s">
        <v>9616</v>
      </c>
      <c r="C71" t="s">
        <v>9617</v>
      </c>
      <c r="D71" t="str">
        <f>"20014463"</f>
        <v>20014463</v>
      </c>
      <c r="E71" t="s">
        <v>9650</v>
      </c>
      <c r="F71" s="1">
        <v>43866</v>
      </c>
      <c r="G71" t="str">
        <f>"300043"</f>
        <v>300043</v>
      </c>
      <c r="H71" t="s">
        <v>2876</v>
      </c>
      <c r="I71">
        <v>766</v>
      </c>
    </row>
    <row r="72" spans="1:9" x14ac:dyDescent="0.25">
      <c r="A72" t="s">
        <v>9616</v>
      </c>
      <c r="C72" t="s">
        <v>9617</v>
      </c>
      <c r="D72" t="str">
        <f>"082320"</f>
        <v>082320</v>
      </c>
      <c r="E72" t="s">
        <v>9671</v>
      </c>
      <c r="F72" s="1">
        <v>43866</v>
      </c>
      <c r="G72" t="str">
        <f>"300101"</f>
        <v>300101</v>
      </c>
      <c r="H72" t="s">
        <v>2926</v>
      </c>
      <c r="I72">
        <v>3604.76</v>
      </c>
    </row>
    <row r="73" spans="1:9" x14ac:dyDescent="0.25">
      <c r="A73" t="s">
        <v>9616</v>
      </c>
      <c r="C73" t="s">
        <v>9617</v>
      </c>
      <c r="D73" t="str">
        <f>"10120024"</f>
        <v>10120024</v>
      </c>
      <c r="E73" t="s">
        <v>2324</v>
      </c>
      <c r="F73" s="1">
        <v>43866</v>
      </c>
      <c r="G73" t="str">
        <f>"300115"</f>
        <v>300115</v>
      </c>
      <c r="H73" t="s">
        <v>2938</v>
      </c>
      <c r="I73">
        <v>270131.87300000002</v>
      </c>
    </row>
    <row r="74" spans="1:9" x14ac:dyDescent="0.25">
      <c r="A74" t="s">
        <v>9616</v>
      </c>
      <c r="C74" t="s">
        <v>9617</v>
      </c>
      <c r="D74" t="str">
        <f>"082220"</f>
        <v>082220</v>
      </c>
      <c r="E74" t="s">
        <v>9672</v>
      </c>
      <c r="F74" s="1">
        <v>43867</v>
      </c>
      <c r="G74" t="str">
        <f>"300101"</f>
        <v>300101</v>
      </c>
      <c r="H74" t="s">
        <v>2926</v>
      </c>
      <c r="I74">
        <v>3449.99</v>
      </c>
    </row>
    <row r="75" spans="1:9" x14ac:dyDescent="0.25">
      <c r="A75" t="s">
        <v>9616</v>
      </c>
      <c r="C75" t="s">
        <v>9617</v>
      </c>
      <c r="D75" t="s">
        <v>9673</v>
      </c>
      <c r="E75" t="s">
        <v>9674</v>
      </c>
      <c r="F75" s="1">
        <v>43868</v>
      </c>
      <c r="G75" t="str">
        <f>"300092"</f>
        <v>300092</v>
      </c>
      <c r="H75" t="s">
        <v>2160</v>
      </c>
      <c r="I75">
        <v>55350.15</v>
      </c>
    </row>
    <row r="76" spans="1:9" x14ac:dyDescent="0.25">
      <c r="A76" t="s">
        <v>9616</v>
      </c>
      <c r="C76" t="s">
        <v>9617</v>
      </c>
      <c r="D76" t="str">
        <f>"057220"</f>
        <v>057220</v>
      </c>
      <c r="E76" t="s">
        <v>9651</v>
      </c>
      <c r="F76" s="1">
        <v>43868</v>
      </c>
      <c r="G76" t="str">
        <f>"300101"</f>
        <v>300101</v>
      </c>
      <c r="H76" t="s">
        <v>2926</v>
      </c>
      <c r="I76">
        <v>773.78</v>
      </c>
    </row>
    <row r="77" spans="1:9" x14ac:dyDescent="0.25">
      <c r="A77" t="s">
        <v>9616</v>
      </c>
      <c r="C77" t="s">
        <v>9617</v>
      </c>
      <c r="D77" t="str">
        <f>"10120096"</f>
        <v>10120096</v>
      </c>
      <c r="E77" t="s">
        <v>9189</v>
      </c>
      <c r="F77" s="1">
        <v>43868</v>
      </c>
      <c r="G77" t="str">
        <f>"300115"</f>
        <v>300115</v>
      </c>
      <c r="H77" t="s">
        <v>2938</v>
      </c>
      <c r="I77">
        <v>283948.79700000002</v>
      </c>
    </row>
    <row r="78" spans="1:9" x14ac:dyDescent="0.25">
      <c r="A78" t="s">
        <v>9616</v>
      </c>
      <c r="C78" t="s">
        <v>9617</v>
      </c>
      <c r="D78" t="str">
        <f>"10120097"</f>
        <v>10120097</v>
      </c>
      <c r="E78" t="s">
        <v>2172</v>
      </c>
      <c r="F78" s="1">
        <v>43868</v>
      </c>
      <c r="G78" t="str">
        <f>"300115"</f>
        <v>300115</v>
      </c>
      <c r="H78" t="s">
        <v>2938</v>
      </c>
      <c r="I78">
        <v>281794.55699999997</v>
      </c>
    </row>
    <row r="79" spans="1:9" x14ac:dyDescent="0.25">
      <c r="A79" t="s">
        <v>9616</v>
      </c>
      <c r="C79" t="s">
        <v>9617</v>
      </c>
      <c r="D79" t="str">
        <f>"10120098"</f>
        <v>10120098</v>
      </c>
      <c r="E79" t="s">
        <v>9189</v>
      </c>
      <c r="F79" s="1">
        <v>43868</v>
      </c>
      <c r="G79" t="str">
        <f>"300115"</f>
        <v>300115</v>
      </c>
      <c r="H79" t="s">
        <v>2938</v>
      </c>
      <c r="I79">
        <v>283948.79700000002</v>
      </c>
    </row>
    <row r="80" spans="1:9" x14ac:dyDescent="0.25">
      <c r="A80" t="s">
        <v>9616</v>
      </c>
      <c r="C80" t="s">
        <v>9617</v>
      </c>
      <c r="D80" t="str">
        <f>"20015909"</f>
        <v>20015909</v>
      </c>
      <c r="E80" t="s">
        <v>9651</v>
      </c>
      <c r="F80" s="1">
        <v>43871</v>
      </c>
      <c r="G80" t="str">
        <f>"300043"</f>
        <v>300043</v>
      </c>
      <c r="H80" t="s">
        <v>2876</v>
      </c>
      <c r="I80">
        <v>1964</v>
      </c>
    </row>
    <row r="81" spans="1:9" x14ac:dyDescent="0.25">
      <c r="A81" t="s">
        <v>9616</v>
      </c>
      <c r="C81" t="s">
        <v>9617</v>
      </c>
      <c r="D81" t="str">
        <f>"082720"</f>
        <v>082720</v>
      </c>
      <c r="E81" t="s">
        <v>9675</v>
      </c>
      <c r="F81" s="1">
        <v>43871</v>
      </c>
      <c r="G81" t="str">
        <f>"300101"</f>
        <v>300101</v>
      </c>
      <c r="H81" t="s">
        <v>2926</v>
      </c>
      <c r="I81">
        <v>3140.45</v>
      </c>
    </row>
    <row r="82" spans="1:9" x14ac:dyDescent="0.25">
      <c r="A82" t="s">
        <v>9616</v>
      </c>
      <c r="C82" t="s">
        <v>9617</v>
      </c>
      <c r="D82" t="str">
        <f>"10120099"</f>
        <v>10120099</v>
      </c>
      <c r="E82" t="s">
        <v>9189</v>
      </c>
      <c r="F82" s="1">
        <v>43871</v>
      </c>
      <c r="G82" t="str">
        <f>"300115"</f>
        <v>300115</v>
      </c>
      <c r="H82" t="s">
        <v>2938</v>
      </c>
      <c r="I82">
        <v>283948.79700000002</v>
      </c>
    </row>
    <row r="83" spans="1:9" x14ac:dyDescent="0.25">
      <c r="A83" t="s">
        <v>9616</v>
      </c>
      <c r="C83" t="s">
        <v>9617</v>
      </c>
      <c r="D83" t="str">
        <f>"10120101"</f>
        <v>10120101</v>
      </c>
      <c r="E83" t="s">
        <v>9189</v>
      </c>
      <c r="F83" s="1">
        <v>43871</v>
      </c>
      <c r="G83" t="str">
        <f>"300115"</f>
        <v>300115</v>
      </c>
      <c r="H83" t="s">
        <v>2938</v>
      </c>
      <c r="I83">
        <v>283948.79700000002</v>
      </c>
    </row>
    <row r="84" spans="1:9" x14ac:dyDescent="0.25">
      <c r="A84" t="s">
        <v>9616</v>
      </c>
      <c r="C84" t="s">
        <v>9617</v>
      </c>
      <c r="D84" t="str">
        <f>"132052"</f>
        <v>132052</v>
      </c>
      <c r="E84" t="s">
        <v>9676</v>
      </c>
      <c r="F84" s="1">
        <v>43871</v>
      </c>
      <c r="G84" t="str">
        <f>"300118"</f>
        <v>300118</v>
      </c>
      <c r="H84" t="s">
        <v>2941</v>
      </c>
      <c r="I84">
        <v>4238.1499999999996</v>
      </c>
    </row>
    <row r="85" spans="1:9" x14ac:dyDescent="0.25">
      <c r="A85" t="s">
        <v>9616</v>
      </c>
      <c r="C85" t="s">
        <v>9617</v>
      </c>
      <c r="D85" t="str">
        <f>"20025430"</f>
        <v>20025430</v>
      </c>
      <c r="E85" t="s">
        <v>9654</v>
      </c>
      <c r="F85" s="1">
        <v>43872</v>
      </c>
      <c r="G85" t="str">
        <f>"300043"</f>
        <v>300043</v>
      </c>
      <c r="H85" t="s">
        <v>2876</v>
      </c>
      <c r="I85">
        <v>677</v>
      </c>
    </row>
    <row r="86" spans="1:9" x14ac:dyDescent="0.25">
      <c r="A86" t="s">
        <v>9616</v>
      </c>
      <c r="C86" t="s">
        <v>9617</v>
      </c>
      <c r="D86" t="str">
        <f>"20025431"</f>
        <v>20025431</v>
      </c>
      <c r="E86" t="s">
        <v>9656</v>
      </c>
      <c r="F86" s="1">
        <v>43872</v>
      </c>
      <c r="G86" t="str">
        <f>"300043"</f>
        <v>300043</v>
      </c>
      <c r="H86" t="s">
        <v>2876</v>
      </c>
      <c r="I86">
        <v>1109</v>
      </c>
    </row>
    <row r="87" spans="1:9" x14ac:dyDescent="0.25">
      <c r="A87" t="s">
        <v>9616</v>
      </c>
      <c r="C87" t="s">
        <v>9617</v>
      </c>
      <c r="D87" t="str">
        <f>"062220"</f>
        <v>062220</v>
      </c>
      <c r="E87" t="s">
        <v>9655</v>
      </c>
      <c r="F87" s="1">
        <v>43872</v>
      </c>
      <c r="G87" t="str">
        <f>"300101"</f>
        <v>300101</v>
      </c>
      <c r="H87" t="s">
        <v>2926</v>
      </c>
      <c r="I87">
        <v>176.86</v>
      </c>
    </row>
    <row r="88" spans="1:9" x14ac:dyDescent="0.25">
      <c r="A88" t="s">
        <v>9616</v>
      </c>
      <c r="C88" t="s">
        <v>9617</v>
      </c>
      <c r="D88" t="str">
        <f>"082420"</f>
        <v>082420</v>
      </c>
      <c r="E88" t="s">
        <v>9677</v>
      </c>
      <c r="F88" s="1">
        <v>43872</v>
      </c>
      <c r="G88" t="str">
        <f>"300101"</f>
        <v>300101</v>
      </c>
      <c r="H88" t="s">
        <v>2926</v>
      </c>
      <c r="I88">
        <v>3752.54</v>
      </c>
    </row>
    <row r="89" spans="1:9" x14ac:dyDescent="0.25">
      <c r="A89" t="s">
        <v>9616</v>
      </c>
      <c r="C89" t="s">
        <v>9617</v>
      </c>
      <c r="D89" t="str">
        <f>"20027001"</f>
        <v>20027001</v>
      </c>
      <c r="E89" t="s">
        <v>9659</v>
      </c>
      <c r="F89" s="1">
        <v>43873</v>
      </c>
      <c r="G89" t="str">
        <f>"300043"</f>
        <v>300043</v>
      </c>
      <c r="H89" t="s">
        <v>2876</v>
      </c>
      <c r="I89">
        <v>2469</v>
      </c>
    </row>
    <row r="90" spans="1:9" x14ac:dyDescent="0.25">
      <c r="A90" t="s">
        <v>9616</v>
      </c>
      <c r="C90" t="s">
        <v>9617</v>
      </c>
      <c r="D90" t="str">
        <f>"20027002"</f>
        <v>20027002</v>
      </c>
      <c r="E90" t="s">
        <v>9655</v>
      </c>
      <c r="F90" s="1">
        <v>43873</v>
      </c>
      <c r="G90" t="str">
        <f>"300043"</f>
        <v>300043</v>
      </c>
      <c r="H90" t="s">
        <v>2876</v>
      </c>
      <c r="I90">
        <v>729</v>
      </c>
    </row>
    <row r="91" spans="1:9" x14ac:dyDescent="0.25">
      <c r="A91" t="s">
        <v>9616</v>
      </c>
      <c r="C91" t="s">
        <v>9617</v>
      </c>
      <c r="D91" t="str">
        <f>"20027003"</f>
        <v>20027003</v>
      </c>
      <c r="E91" t="s">
        <v>9661</v>
      </c>
      <c r="F91" s="1">
        <v>43873</v>
      </c>
      <c r="G91" t="str">
        <f>"300043"</f>
        <v>300043</v>
      </c>
      <c r="H91" t="s">
        <v>2876</v>
      </c>
      <c r="I91">
        <v>673</v>
      </c>
    </row>
    <row r="92" spans="1:9" x14ac:dyDescent="0.25">
      <c r="A92" t="s">
        <v>9616</v>
      </c>
      <c r="C92" t="s">
        <v>9617</v>
      </c>
      <c r="D92" t="str">
        <f>"120310127"</f>
        <v>120310127</v>
      </c>
      <c r="E92" t="str">
        <f>"1456986"</f>
        <v>1456986</v>
      </c>
      <c r="F92" s="1">
        <v>43873</v>
      </c>
      <c r="G92" t="str">
        <f>"300080"</f>
        <v>300080</v>
      </c>
      <c r="H92" t="s">
        <v>2907</v>
      </c>
      <c r="I92">
        <v>125999.874</v>
      </c>
    </row>
    <row r="93" spans="1:9" x14ac:dyDescent="0.25">
      <c r="A93" t="s">
        <v>9616</v>
      </c>
      <c r="C93" t="s">
        <v>9617</v>
      </c>
      <c r="D93" t="str">
        <f>"10120222"</f>
        <v>10120222</v>
      </c>
      <c r="E93" t="s">
        <v>9678</v>
      </c>
      <c r="F93" s="1">
        <v>43873</v>
      </c>
      <c r="G93" t="str">
        <f>"300115"</f>
        <v>300115</v>
      </c>
      <c r="H93" t="s">
        <v>2938</v>
      </c>
      <c r="I93">
        <v>125178.768</v>
      </c>
    </row>
    <row r="94" spans="1:9" x14ac:dyDescent="0.25">
      <c r="A94" t="s">
        <v>9616</v>
      </c>
      <c r="C94" t="s">
        <v>9617</v>
      </c>
      <c r="D94" t="str">
        <f>"10120223"</f>
        <v>10120223</v>
      </c>
      <c r="E94" t="s">
        <v>9679</v>
      </c>
      <c r="F94" s="1">
        <v>43873</v>
      </c>
      <c r="G94" t="str">
        <f>"300115"</f>
        <v>300115</v>
      </c>
      <c r="H94" t="s">
        <v>2938</v>
      </c>
      <c r="I94">
        <v>26912.971799999999</v>
      </c>
    </row>
    <row r="95" spans="1:9" x14ac:dyDescent="0.25">
      <c r="A95" t="s">
        <v>9616</v>
      </c>
      <c r="C95" t="s">
        <v>9617</v>
      </c>
      <c r="D95" t="str">
        <f>"20290038"</f>
        <v>20290038</v>
      </c>
      <c r="E95" t="s">
        <v>9680</v>
      </c>
      <c r="F95" s="1">
        <v>43873</v>
      </c>
      <c r="G95" t="str">
        <f>"300237"</f>
        <v>300237</v>
      </c>
      <c r="H95" t="s">
        <v>3036</v>
      </c>
      <c r="I95">
        <v>225693</v>
      </c>
    </row>
    <row r="96" spans="1:9" x14ac:dyDescent="0.25">
      <c r="A96" t="s">
        <v>9616</v>
      </c>
      <c r="C96" t="s">
        <v>9617</v>
      </c>
      <c r="D96" t="str">
        <f>"20027821"</f>
        <v>20027821</v>
      </c>
      <c r="E96" t="s">
        <v>9668</v>
      </c>
      <c r="F96" s="1">
        <v>43874</v>
      </c>
      <c r="G96" t="str">
        <f>"300043"</f>
        <v>300043</v>
      </c>
      <c r="H96" t="s">
        <v>2876</v>
      </c>
      <c r="I96">
        <v>1072</v>
      </c>
    </row>
    <row r="97" spans="1:9" x14ac:dyDescent="0.25">
      <c r="A97" t="s">
        <v>9616</v>
      </c>
      <c r="C97" t="s">
        <v>9617</v>
      </c>
      <c r="D97" t="str">
        <f>"20027822"</f>
        <v>20027822</v>
      </c>
      <c r="E97" t="s">
        <v>9671</v>
      </c>
      <c r="F97" s="1">
        <v>43874</v>
      </c>
      <c r="G97" t="str">
        <f>"300043"</f>
        <v>300043</v>
      </c>
      <c r="H97" t="s">
        <v>2876</v>
      </c>
      <c r="I97">
        <v>1081</v>
      </c>
    </row>
    <row r="98" spans="1:9" x14ac:dyDescent="0.25">
      <c r="A98" t="s">
        <v>9616</v>
      </c>
      <c r="C98" t="s">
        <v>9617</v>
      </c>
      <c r="D98" t="str">
        <f>"20027823"</f>
        <v>20027823</v>
      </c>
      <c r="E98" t="s">
        <v>9672</v>
      </c>
      <c r="F98" s="1">
        <v>43874</v>
      </c>
      <c r="G98" t="str">
        <f>"300043"</f>
        <v>300043</v>
      </c>
      <c r="H98" t="s">
        <v>2876</v>
      </c>
      <c r="I98">
        <v>1081</v>
      </c>
    </row>
    <row r="99" spans="1:9" x14ac:dyDescent="0.25">
      <c r="A99" t="s">
        <v>9616</v>
      </c>
      <c r="C99" t="s">
        <v>9617</v>
      </c>
      <c r="D99" t="str">
        <f>"64235"</f>
        <v>64235</v>
      </c>
      <c r="E99" t="str">
        <f>"64235"</f>
        <v>64235</v>
      </c>
      <c r="F99" s="1">
        <v>43874</v>
      </c>
      <c r="G99" t="str">
        <f>"300093"</f>
        <v>300093</v>
      </c>
      <c r="H99" t="s">
        <v>2918</v>
      </c>
      <c r="I99">
        <v>167130.11919999999</v>
      </c>
    </row>
    <row r="100" spans="1:9" x14ac:dyDescent="0.25">
      <c r="A100" t="s">
        <v>9616</v>
      </c>
      <c r="C100" t="s">
        <v>9617</v>
      </c>
      <c r="D100" t="str">
        <f>"082820"</f>
        <v>082820</v>
      </c>
      <c r="E100" t="s">
        <v>9681</v>
      </c>
      <c r="F100" s="1">
        <v>43874</v>
      </c>
      <c r="G100" t="str">
        <f>"300101"</f>
        <v>300101</v>
      </c>
      <c r="H100" t="s">
        <v>2926</v>
      </c>
      <c r="I100">
        <v>3436</v>
      </c>
    </row>
    <row r="101" spans="1:9" x14ac:dyDescent="0.25">
      <c r="A101" t="s">
        <v>9616</v>
      </c>
      <c r="C101" t="s">
        <v>9617</v>
      </c>
      <c r="D101" t="str">
        <f>"082920"</f>
        <v>082920</v>
      </c>
      <c r="E101" t="s">
        <v>9682</v>
      </c>
      <c r="F101" s="1">
        <v>43874</v>
      </c>
      <c r="G101" t="str">
        <f>"300101"</f>
        <v>300101</v>
      </c>
      <c r="H101" t="s">
        <v>2926</v>
      </c>
      <c r="I101">
        <v>3436</v>
      </c>
    </row>
    <row r="102" spans="1:9" x14ac:dyDescent="0.25">
      <c r="A102" t="s">
        <v>9616</v>
      </c>
      <c r="C102" t="s">
        <v>9617</v>
      </c>
      <c r="D102" t="s">
        <v>9683</v>
      </c>
      <c r="E102" t="s">
        <v>9629</v>
      </c>
      <c r="F102" s="1">
        <v>43874</v>
      </c>
      <c r="G102" t="str">
        <f>"300133"</f>
        <v>300133</v>
      </c>
      <c r="H102" t="s">
        <v>2955</v>
      </c>
      <c r="I102">
        <v>12420</v>
      </c>
    </row>
    <row r="103" spans="1:9" x14ac:dyDescent="0.25">
      <c r="A103" t="s">
        <v>9616</v>
      </c>
      <c r="C103" t="s">
        <v>9617</v>
      </c>
      <c r="D103" t="s">
        <v>9684</v>
      </c>
      <c r="E103" t="s">
        <v>9629</v>
      </c>
      <c r="F103" s="1">
        <v>43874</v>
      </c>
      <c r="G103" t="str">
        <f>"300133"</f>
        <v>300133</v>
      </c>
      <c r="H103" t="s">
        <v>2955</v>
      </c>
      <c r="I103">
        <v>9120</v>
      </c>
    </row>
    <row r="104" spans="1:9" x14ac:dyDescent="0.25">
      <c r="A104" t="s">
        <v>9616</v>
      </c>
      <c r="C104" t="s">
        <v>9617</v>
      </c>
      <c r="D104" t="s">
        <v>9685</v>
      </c>
      <c r="E104" t="s">
        <v>9629</v>
      </c>
      <c r="F104" s="1">
        <v>43874</v>
      </c>
      <c r="G104" t="str">
        <f>"300133"</f>
        <v>300133</v>
      </c>
      <c r="H104" t="s">
        <v>2955</v>
      </c>
      <c r="I104">
        <v>17490</v>
      </c>
    </row>
    <row r="105" spans="1:9" x14ac:dyDescent="0.25">
      <c r="A105" t="s">
        <v>9616</v>
      </c>
      <c r="C105" t="s">
        <v>9617</v>
      </c>
      <c r="D105" t="s">
        <v>9686</v>
      </c>
      <c r="E105" t="s">
        <v>9629</v>
      </c>
      <c r="F105" s="1">
        <v>43874</v>
      </c>
      <c r="G105" t="str">
        <f>"300133"</f>
        <v>300133</v>
      </c>
      <c r="H105" t="s">
        <v>2955</v>
      </c>
      <c r="I105">
        <v>2196</v>
      </c>
    </row>
    <row r="106" spans="1:9" x14ac:dyDescent="0.25">
      <c r="A106" t="s">
        <v>9616</v>
      </c>
      <c r="C106" t="s">
        <v>9617</v>
      </c>
      <c r="D106" t="str">
        <f>"120310135"</f>
        <v>120310135</v>
      </c>
      <c r="E106" t="s">
        <v>9687</v>
      </c>
      <c r="F106" s="1">
        <v>43875</v>
      </c>
      <c r="G106" t="str">
        <f>"300080"</f>
        <v>300080</v>
      </c>
      <c r="H106" t="s">
        <v>2907</v>
      </c>
      <c r="I106">
        <v>7995.9359999999997</v>
      </c>
    </row>
    <row r="107" spans="1:9" x14ac:dyDescent="0.25">
      <c r="A107" t="s">
        <v>9616</v>
      </c>
      <c r="C107" t="s">
        <v>9617</v>
      </c>
      <c r="D107" t="s">
        <v>9688</v>
      </c>
      <c r="E107" t="s">
        <v>9689</v>
      </c>
      <c r="F107" s="1">
        <v>43875</v>
      </c>
      <c r="G107" t="str">
        <f>"300092"</f>
        <v>300092</v>
      </c>
      <c r="H107" t="s">
        <v>2160</v>
      </c>
      <c r="I107">
        <v>46980.5</v>
      </c>
    </row>
    <row r="108" spans="1:9" x14ac:dyDescent="0.25">
      <c r="A108" t="s">
        <v>9616</v>
      </c>
      <c r="C108" t="s">
        <v>9617</v>
      </c>
      <c r="D108" t="str">
        <f>"082520"</f>
        <v>082520</v>
      </c>
      <c r="E108" t="s">
        <v>9690</v>
      </c>
      <c r="F108" s="1">
        <v>43875</v>
      </c>
      <c r="G108" t="str">
        <f>"300101"</f>
        <v>300101</v>
      </c>
      <c r="H108" t="s">
        <v>2926</v>
      </c>
      <c r="I108">
        <v>3589.87</v>
      </c>
    </row>
    <row r="109" spans="1:9" x14ac:dyDescent="0.25">
      <c r="A109" t="s">
        <v>9616</v>
      </c>
      <c r="C109" t="s">
        <v>9617</v>
      </c>
      <c r="D109" t="str">
        <f>"082620"</f>
        <v>082620</v>
      </c>
      <c r="E109" t="s">
        <v>9691</v>
      </c>
      <c r="F109" s="1">
        <v>43875</v>
      </c>
      <c r="G109" t="str">
        <f>"300101"</f>
        <v>300101</v>
      </c>
      <c r="H109" t="s">
        <v>2926</v>
      </c>
      <c r="I109">
        <v>3743.74</v>
      </c>
    </row>
    <row r="110" spans="1:9" x14ac:dyDescent="0.25">
      <c r="A110" t="s">
        <v>9616</v>
      </c>
      <c r="C110" t="s">
        <v>9617</v>
      </c>
      <c r="D110" t="str">
        <f>"292042"</f>
        <v>292042</v>
      </c>
      <c r="E110" t="s">
        <v>9692</v>
      </c>
      <c r="F110" s="1">
        <v>43876</v>
      </c>
      <c r="G110" t="str">
        <f>"300240"</f>
        <v>300240</v>
      </c>
      <c r="H110" t="s">
        <v>3039</v>
      </c>
      <c r="I110">
        <v>5204.3999999999996</v>
      </c>
    </row>
    <row r="111" spans="1:9" x14ac:dyDescent="0.25">
      <c r="A111" t="s">
        <v>9616</v>
      </c>
      <c r="C111" t="s">
        <v>9617</v>
      </c>
      <c r="D111" t="str">
        <f>"093320"</f>
        <v>093320</v>
      </c>
      <c r="E111" t="s">
        <v>9693</v>
      </c>
      <c r="F111" s="1">
        <v>43878</v>
      </c>
      <c r="G111" t="str">
        <f>"300101"</f>
        <v>300101</v>
      </c>
      <c r="H111" t="s">
        <v>2926</v>
      </c>
      <c r="I111">
        <v>3736.15</v>
      </c>
    </row>
    <row r="112" spans="1:9" x14ac:dyDescent="0.25">
      <c r="A112" t="s">
        <v>9616</v>
      </c>
      <c r="C112" t="s">
        <v>9617</v>
      </c>
      <c r="D112" t="str">
        <f>"20029467"</f>
        <v>20029467</v>
      </c>
      <c r="E112" t="s">
        <v>9676</v>
      </c>
      <c r="F112" s="1">
        <v>43879</v>
      </c>
      <c r="G112" t="str">
        <f>"300043"</f>
        <v>300043</v>
      </c>
      <c r="H112" t="s">
        <v>2876</v>
      </c>
      <c r="I112">
        <v>828</v>
      </c>
    </row>
    <row r="113" spans="1:9" x14ac:dyDescent="0.25">
      <c r="A113" t="s">
        <v>9616</v>
      </c>
      <c r="C113" t="s">
        <v>9617</v>
      </c>
      <c r="D113" t="str">
        <f>"10120331"</f>
        <v>10120331</v>
      </c>
      <c r="E113" t="s">
        <v>9694</v>
      </c>
      <c r="F113" s="1">
        <v>43879</v>
      </c>
      <c r="G113" t="str">
        <f>"300115"</f>
        <v>300115</v>
      </c>
      <c r="H113" t="s">
        <v>2938</v>
      </c>
      <c r="I113">
        <v>222575.0043</v>
      </c>
    </row>
    <row r="114" spans="1:9" x14ac:dyDescent="0.25">
      <c r="A114" t="s">
        <v>9616</v>
      </c>
      <c r="C114" t="s">
        <v>9617</v>
      </c>
      <c r="D114" t="str">
        <f>"20029959"</f>
        <v>20029959</v>
      </c>
      <c r="E114" t="s">
        <v>9675</v>
      </c>
      <c r="F114" s="1">
        <v>43880</v>
      </c>
      <c r="G114" t="str">
        <f>"300043"</f>
        <v>300043</v>
      </c>
      <c r="H114" t="s">
        <v>2876</v>
      </c>
      <c r="I114">
        <v>1035</v>
      </c>
    </row>
    <row r="115" spans="1:9" x14ac:dyDescent="0.25">
      <c r="A115" t="s">
        <v>9616</v>
      </c>
      <c r="C115" t="s">
        <v>9617</v>
      </c>
      <c r="D115" t="str">
        <f>"093420"</f>
        <v>093420</v>
      </c>
      <c r="E115" t="s">
        <v>9695</v>
      </c>
      <c r="F115" s="1">
        <v>43880</v>
      </c>
      <c r="G115" t="str">
        <f>"300101"</f>
        <v>300101</v>
      </c>
      <c r="H115" t="s">
        <v>2926</v>
      </c>
      <c r="I115">
        <v>3122.39</v>
      </c>
    </row>
    <row r="116" spans="1:9" x14ac:dyDescent="0.25">
      <c r="A116" t="s">
        <v>9616</v>
      </c>
      <c r="C116" t="s">
        <v>9617</v>
      </c>
      <c r="D116" t="str">
        <f>"10120375"</f>
        <v>10120375</v>
      </c>
      <c r="E116" t="s">
        <v>2566</v>
      </c>
      <c r="F116" s="1">
        <v>43880</v>
      </c>
      <c r="G116" t="str">
        <f>"300115"</f>
        <v>300115</v>
      </c>
      <c r="H116" t="s">
        <v>2938</v>
      </c>
      <c r="I116">
        <v>157751.484</v>
      </c>
    </row>
    <row r="117" spans="1:9" x14ac:dyDescent="0.25">
      <c r="A117" t="s">
        <v>9616</v>
      </c>
      <c r="C117" t="s">
        <v>9617</v>
      </c>
      <c r="D117" t="str">
        <f>"200230290"</f>
        <v>200230290</v>
      </c>
      <c r="E117" t="s">
        <v>9677</v>
      </c>
      <c r="F117" s="1">
        <v>43881</v>
      </c>
      <c r="G117" t="str">
        <f>"300043"</f>
        <v>300043</v>
      </c>
      <c r="H117" t="s">
        <v>2876</v>
      </c>
      <c r="I117">
        <v>1080</v>
      </c>
    </row>
    <row r="118" spans="1:9" x14ac:dyDescent="0.25">
      <c r="A118" t="s">
        <v>9616</v>
      </c>
      <c r="C118" t="s">
        <v>9617</v>
      </c>
      <c r="D118" t="str">
        <f>"20030939"</f>
        <v>20030939</v>
      </c>
      <c r="E118" t="s">
        <v>9696</v>
      </c>
      <c r="F118" s="1">
        <v>43882</v>
      </c>
      <c r="G118" t="str">
        <f>"300043"</f>
        <v>300043</v>
      </c>
      <c r="H118" t="s">
        <v>2876</v>
      </c>
      <c r="I118">
        <v>912</v>
      </c>
    </row>
    <row r="119" spans="1:9" x14ac:dyDescent="0.25">
      <c r="A119" t="s">
        <v>9616</v>
      </c>
      <c r="C119" t="s">
        <v>9617</v>
      </c>
      <c r="D119" t="str">
        <f>"095520"</f>
        <v>095520</v>
      </c>
      <c r="E119" t="s">
        <v>9697</v>
      </c>
      <c r="F119" s="1">
        <v>43882</v>
      </c>
      <c r="G119" t="str">
        <f>"300101"</f>
        <v>300101</v>
      </c>
      <c r="H119" t="s">
        <v>2926</v>
      </c>
      <c r="I119">
        <v>3122.39</v>
      </c>
    </row>
    <row r="120" spans="1:9" x14ac:dyDescent="0.25">
      <c r="A120" t="s">
        <v>9616</v>
      </c>
      <c r="C120" t="s">
        <v>9617</v>
      </c>
      <c r="D120" t="str">
        <f>"10120446"</f>
        <v>10120446</v>
      </c>
      <c r="E120" t="s">
        <v>272</v>
      </c>
      <c r="F120" s="1">
        <v>43882</v>
      </c>
      <c r="G120" t="str">
        <f>"300115"</f>
        <v>300115</v>
      </c>
      <c r="H120" t="s">
        <v>2938</v>
      </c>
      <c r="I120">
        <v>85392.581999999995</v>
      </c>
    </row>
    <row r="121" spans="1:9" x14ac:dyDescent="0.25">
      <c r="A121" t="s">
        <v>9616</v>
      </c>
      <c r="C121" t="s">
        <v>9617</v>
      </c>
      <c r="D121" t="str">
        <f>"10120477"</f>
        <v>10120477</v>
      </c>
      <c r="E121" t="s">
        <v>9189</v>
      </c>
      <c r="F121" s="1">
        <v>43882</v>
      </c>
      <c r="G121" t="str">
        <f>"300115"</f>
        <v>300115</v>
      </c>
      <c r="H121" t="s">
        <v>2938</v>
      </c>
      <c r="I121">
        <v>283948.79700000002</v>
      </c>
    </row>
    <row r="122" spans="1:9" x14ac:dyDescent="0.25">
      <c r="A122" t="s">
        <v>9616</v>
      </c>
      <c r="C122" t="s">
        <v>9617</v>
      </c>
      <c r="D122" t="str">
        <f>"10120478"</f>
        <v>10120478</v>
      </c>
      <c r="E122" t="s">
        <v>9698</v>
      </c>
      <c r="F122" s="1">
        <v>43882</v>
      </c>
      <c r="G122" t="str">
        <f>"300115"</f>
        <v>300115</v>
      </c>
      <c r="H122" t="s">
        <v>2938</v>
      </c>
      <c r="I122">
        <v>283934.277</v>
      </c>
    </row>
    <row r="123" spans="1:9" x14ac:dyDescent="0.25">
      <c r="A123" t="s">
        <v>9616</v>
      </c>
      <c r="C123" t="s">
        <v>9617</v>
      </c>
      <c r="D123" t="s">
        <v>9699</v>
      </c>
      <c r="E123" t="s">
        <v>9700</v>
      </c>
      <c r="F123" s="1">
        <v>43883</v>
      </c>
      <c r="G123" t="str">
        <f>"300092"</f>
        <v>300092</v>
      </c>
      <c r="H123" t="s">
        <v>2160</v>
      </c>
      <c r="I123">
        <v>22429.35</v>
      </c>
    </row>
    <row r="124" spans="1:9" x14ac:dyDescent="0.25">
      <c r="A124" t="s">
        <v>9616</v>
      </c>
      <c r="C124" t="s">
        <v>9617</v>
      </c>
      <c r="D124" t="str">
        <f>"095620"</f>
        <v>095620</v>
      </c>
      <c r="E124" t="s">
        <v>9701</v>
      </c>
      <c r="F124" s="1">
        <v>43885</v>
      </c>
      <c r="G124" t="str">
        <f>"300101"</f>
        <v>300101</v>
      </c>
      <c r="H124" t="s">
        <v>2926</v>
      </c>
      <c r="I124">
        <v>3428.76</v>
      </c>
    </row>
    <row r="125" spans="1:9" x14ac:dyDescent="0.25">
      <c r="A125" t="s">
        <v>9616</v>
      </c>
      <c r="C125" t="s">
        <v>9617</v>
      </c>
      <c r="D125" t="str">
        <f>"10120482"</f>
        <v>10120482</v>
      </c>
      <c r="E125" t="s">
        <v>9183</v>
      </c>
      <c r="F125" s="1">
        <v>43885</v>
      </c>
      <c r="G125" t="str">
        <f>"300115"</f>
        <v>300115</v>
      </c>
      <c r="H125" t="s">
        <v>2938</v>
      </c>
      <c r="I125">
        <v>90118.815600000002</v>
      </c>
    </row>
    <row r="126" spans="1:9" x14ac:dyDescent="0.25">
      <c r="A126" t="s">
        <v>9616</v>
      </c>
      <c r="C126" t="s">
        <v>9617</v>
      </c>
      <c r="D126" t="str">
        <f>"363323"</f>
        <v>363323</v>
      </c>
      <c r="E126" t="s">
        <v>9702</v>
      </c>
      <c r="F126" s="1">
        <v>43885</v>
      </c>
      <c r="G126" t="str">
        <f>"300220"</f>
        <v>300220</v>
      </c>
      <c r="H126" t="s">
        <v>2170</v>
      </c>
      <c r="I126">
        <v>421741.32</v>
      </c>
    </row>
    <row r="127" spans="1:9" x14ac:dyDescent="0.25">
      <c r="A127" t="s">
        <v>9616</v>
      </c>
      <c r="C127" t="s">
        <v>9617</v>
      </c>
      <c r="D127" t="str">
        <f>"20031606"</f>
        <v>20031606</v>
      </c>
      <c r="E127" t="s">
        <v>9682</v>
      </c>
      <c r="F127" s="1">
        <v>43886</v>
      </c>
      <c r="G127" t="str">
        <f>"300043"</f>
        <v>300043</v>
      </c>
      <c r="H127" t="s">
        <v>2876</v>
      </c>
      <c r="I127">
        <v>1077</v>
      </c>
    </row>
    <row r="128" spans="1:9" x14ac:dyDescent="0.25">
      <c r="A128" t="s">
        <v>9616</v>
      </c>
      <c r="C128" t="s">
        <v>9617</v>
      </c>
      <c r="D128" t="str">
        <f>"20031607"</f>
        <v>20031607</v>
      </c>
      <c r="E128" t="s">
        <v>9681</v>
      </c>
      <c r="F128" s="1">
        <v>43886</v>
      </c>
      <c r="G128" t="str">
        <f>"300043"</f>
        <v>300043</v>
      </c>
      <c r="H128" t="s">
        <v>2876</v>
      </c>
      <c r="I128">
        <v>1077</v>
      </c>
    </row>
    <row r="129" spans="1:9" x14ac:dyDescent="0.25">
      <c r="A129" t="s">
        <v>9616</v>
      </c>
      <c r="C129" t="s">
        <v>9617</v>
      </c>
      <c r="D129" t="str">
        <f>"108620"</f>
        <v>108620</v>
      </c>
      <c r="E129" t="s">
        <v>9703</v>
      </c>
      <c r="F129" s="1">
        <v>43886</v>
      </c>
      <c r="G129" t="str">
        <f>"300101"</f>
        <v>300101</v>
      </c>
      <c r="H129" t="s">
        <v>2926</v>
      </c>
      <c r="I129">
        <v>3118.95</v>
      </c>
    </row>
    <row r="130" spans="1:9" x14ac:dyDescent="0.25">
      <c r="A130" t="s">
        <v>9616</v>
      </c>
      <c r="C130" t="s">
        <v>9617</v>
      </c>
      <c r="D130" t="str">
        <f>"108720"</f>
        <v>108720</v>
      </c>
      <c r="E130" t="s">
        <v>9704</v>
      </c>
      <c r="F130" s="1">
        <v>43886</v>
      </c>
      <c r="G130" t="str">
        <f>"300101"</f>
        <v>300101</v>
      </c>
      <c r="H130" t="s">
        <v>2926</v>
      </c>
      <c r="I130">
        <v>3118.95</v>
      </c>
    </row>
    <row r="131" spans="1:9" x14ac:dyDescent="0.25">
      <c r="A131" t="s">
        <v>9616</v>
      </c>
      <c r="C131" t="s">
        <v>9617</v>
      </c>
      <c r="D131" t="s">
        <v>9705</v>
      </c>
      <c r="E131" t="s">
        <v>9706</v>
      </c>
      <c r="F131" s="1">
        <v>43887</v>
      </c>
      <c r="G131" t="str">
        <f>"300090"</f>
        <v>300090</v>
      </c>
      <c r="H131" t="s">
        <v>2916</v>
      </c>
      <c r="I131">
        <v>6167.7</v>
      </c>
    </row>
    <row r="132" spans="1:9" x14ac:dyDescent="0.25">
      <c r="A132" t="s">
        <v>9616</v>
      </c>
      <c r="C132" t="s">
        <v>9617</v>
      </c>
      <c r="D132" t="s">
        <v>9707</v>
      </c>
      <c r="E132" t="s">
        <v>9629</v>
      </c>
      <c r="F132" s="1">
        <v>43887</v>
      </c>
      <c r="G132" t="str">
        <f>"300133"</f>
        <v>300133</v>
      </c>
      <c r="H132" t="s">
        <v>2955</v>
      </c>
      <c r="I132">
        <v>42574.5</v>
      </c>
    </row>
    <row r="133" spans="1:9" x14ac:dyDescent="0.25">
      <c r="A133" t="s">
        <v>9616</v>
      </c>
      <c r="C133" t="s">
        <v>9617</v>
      </c>
      <c r="D133" t="str">
        <f>"10120567"</f>
        <v>10120567</v>
      </c>
      <c r="E133" t="s">
        <v>9708</v>
      </c>
      <c r="F133" s="1">
        <v>43888</v>
      </c>
      <c r="G133" t="str">
        <f>"300115"</f>
        <v>300115</v>
      </c>
      <c r="H133" t="s">
        <v>2938</v>
      </c>
      <c r="I133">
        <v>283950.61200000002</v>
      </c>
    </row>
    <row r="134" spans="1:9" x14ac:dyDescent="0.25">
      <c r="A134" t="s">
        <v>9616</v>
      </c>
      <c r="C134" t="s">
        <v>9617</v>
      </c>
      <c r="D134" t="str">
        <f>"108820"</f>
        <v>108820</v>
      </c>
      <c r="E134" t="s">
        <v>9709</v>
      </c>
      <c r="F134" s="1">
        <v>43889</v>
      </c>
      <c r="G134" t="str">
        <f>"300101"</f>
        <v>300101</v>
      </c>
      <c r="H134" t="s">
        <v>2926</v>
      </c>
      <c r="I134">
        <v>3431.01</v>
      </c>
    </row>
    <row r="135" spans="1:9" x14ac:dyDescent="0.25">
      <c r="A135" t="s">
        <v>9616</v>
      </c>
      <c r="C135" t="s">
        <v>9617</v>
      </c>
      <c r="D135" t="str">
        <f>"10120582"</f>
        <v>10120582</v>
      </c>
      <c r="E135" t="s">
        <v>9710</v>
      </c>
      <c r="F135" s="1">
        <v>43889</v>
      </c>
      <c r="G135" t="str">
        <f>"300115"</f>
        <v>300115</v>
      </c>
      <c r="H135" t="s">
        <v>2938</v>
      </c>
      <c r="I135">
        <v>283950.61200000002</v>
      </c>
    </row>
    <row r="136" spans="1:9" x14ac:dyDescent="0.25">
      <c r="A136" t="s">
        <v>9616</v>
      </c>
      <c r="C136" t="s">
        <v>9617</v>
      </c>
      <c r="D136" t="str">
        <f>"10120606"</f>
        <v>10120606</v>
      </c>
      <c r="E136" t="s">
        <v>9711</v>
      </c>
      <c r="F136" s="1">
        <v>43889</v>
      </c>
      <c r="G136" t="str">
        <f>"300115"</f>
        <v>300115</v>
      </c>
      <c r="H136" t="s">
        <v>2938</v>
      </c>
      <c r="I136">
        <v>145109.14000000001</v>
      </c>
    </row>
    <row r="137" spans="1:9" x14ac:dyDescent="0.25">
      <c r="A137" t="s">
        <v>9616</v>
      </c>
      <c r="C137" t="s">
        <v>9617</v>
      </c>
      <c r="D137" t="str">
        <f>"10120607"</f>
        <v>10120607</v>
      </c>
      <c r="E137" t="s">
        <v>2377</v>
      </c>
      <c r="F137" s="1">
        <v>43889</v>
      </c>
      <c r="G137" t="str">
        <f>"300115"</f>
        <v>300115</v>
      </c>
      <c r="H137" t="s">
        <v>2938</v>
      </c>
      <c r="I137">
        <v>145109.14000000001</v>
      </c>
    </row>
    <row r="138" spans="1:9" x14ac:dyDescent="0.25">
      <c r="A138" t="s">
        <v>9616</v>
      </c>
      <c r="C138" t="s">
        <v>9617</v>
      </c>
      <c r="D138" t="str">
        <f>"20035954"</f>
        <v>20035954</v>
      </c>
      <c r="E138" t="s">
        <v>9691</v>
      </c>
      <c r="F138" s="1">
        <v>43890</v>
      </c>
      <c r="G138" t="str">
        <f>"300043"</f>
        <v>300043</v>
      </c>
      <c r="H138" t="s">
        <v>2876</v>
      </c>
      <c r="I138">
        <v>1071</v>
      </c>
    </row>
    <row r="139" spans="1:9" x14ac:dyDescent="0.25">
      <c r="A139" t="s">
        <v>9616</v>
      </c>
      <c r="C139" t="s">
        <v>9617</v>
      </c>
      <c r="D139" t="str">
        <f>"20036716"</f>
        <v>20036716</v>
      </c>
      <c r="E139" t="s">
        <v>9690</v>
      </c>
      <c r="F139" s="1">
        <v>43892</v>
      </c>
      <c r="G139" t="str">
        <f>"300043"</f>
        <v>300043</v>
      </c>
      <c r="H139" t="s">
        <v>2876</v>
      </c>
      <c r="I139">
        <v>3147</v>
      </c>
    </row>
    <row r="140" spans="1:9" x14ac:dyDescent="0.25">
      <c r="A140" t="s">
        <v>9616</v>
      </c>
      <c r="C140" t="s">
        <v>9617</v>
      </c>
      <c r="D140" t="str">
        <f>"20036717"</f>
        <v>20036717</v>
      </c>
      <c r="E140" t="s">
        <v>9693</v>
      </c>
      <c r="F140" s="1">
        <v>43892</v>
      </c>
      <c r="G140" t="str">
        <f>"300043"</f>
        <v>300043</v>
      </c>
      <c r="H140" t="s">
        <v>2876</v>
      </c>
      <c r="I140">
        <v>653</v>
      </c>
    </row>
    <row r="141" spans="1:9" x14ac:dyDescent="0.25">
      <c r="A141" t="s">
        <v>9616</v>
      </c>
      <c r="C141" t="s">
        <v>9617</v>
      </c>
      <c r="D141" t="str">
        <f>"20036718"</f>
        <v>20036718</v>
      </c>
      <c r="E141" t="s">
        <v>9695</v>
      </c>
      <c r="F141" s="1">
        <v>43892</v>
      </c>
      <c r="G141" t="str">
        <f>"300043"</f>
        <v>300043</v>
      </c>
      <c r="H141" t="s">
        <v>2876</v>
      </c>
      <c r="I141">
        <v>875</v>
      </c>
    </row>
    <row r="142" spans="1:9" x14ac:dyDescent="0.25">
      <c r="A142" t="s">
        <v>9616</v>
      </c>
      <c r="C142" t="s">
        <v>9617</v>
      </c>
      <c r="D142" t="str">
        <f>"20039992"</f>
        <v>20039992</v>
      </c>
      <c r="E142" t="s">
        <v>9712</v>
      </c>
      <c r="F142" s="1">
        <v>43892</v>
      </c>
      <c r="G142" t="str">
        <f>"300043"</f>
        <v>300043</v>
      </c>
      <c r="H142" t="s">
        <v>2876</v>
      </c>
      <c r="I142">
        <v>1077</v>
      </c>
    </row>
    <row r="143" spans="1:9" x14ac:dyDescent="0.25">
      <c r="A143" t="s">
        <v>9616</v>
      </c>
      <c r="C143" t="s">
        <v>9617</v>
      </c>
      <c r="D143" t="str">
        <f>"108920"</f>
        <v>108920</v>
      </c>
      <c r="E143" t="s">
        <v>9712</v>
      </c>
      <c r="F143" s="1">
        <v>43892</v>
      </c>
      <c r="G143" t="str">
        <f>"300101"</f>
        <v>300101</v>
      </c>
      <c r="H143" t="s">
        <v>2926</v>
      </c>
      <c r="I143">
        <v>3431.01</v>
      </c>
    </row>
    <row r="144" spans="1:9" x14ac:dyDescent="0.25">
      <c r="A144" t="s">
        <v>9616</v>
      </c>
      <c r="C144" t="s">
        <v>9617</v>
      </c>
      <c r="D144" t="str">
        <f>"128620"</f>
        <v>128620</v>
      </c>
      <c r="E144" t="s">
        <v>9713</v>
      </c>
      <c r="F144" s="1">
        <v>43892</v>
      </c>
      <c r="G144" t="str">
        <f>"300101"</f>
        <v>300101</v>
      </c>
      <c r="H144" t="s">
        <v>2926</v>
      </c>
      <c r="I144">
        <v>3605.52</v>
      </c>
    </row>
    <row r="145" spans="1:9" x14ac:dyDescent="0.25">
      <c r="A145" t="s">
        <v>9616</v>
      </c>
      <c r="C145" t="s">
        <v>9617</v>
      </c>
      <c r="D145" t="str">
        <f>"10120616"</f>
        <v>10120616</v>
      </c>
      <c r="E145" t="s">
        <v>9189</v>
      </c>
      <c r="F145" s="1">
        <v>43892</v>
      </c>
      <c r="G145" t="str">
        <f>"300115"</f>
        <v>300115</v>
      </c>
      <c r="H145" t="s">
        <v>2938</v>
      </c>
      <c r="I145">
        <v>283950.61200000002</v>
      </c>
    </row>
    <row r="146" spans="1:9" x14ac:dyDescent="0.25">
      <c r="A146" t="s">
        <v>9616</v>
      </c>
      <c r="C146" t="s">
        <v>9617</v>
      </c>
      <c r="D146" t="str">
        <f>"10120617"</f>
        <v>10120617</v>
      </c>
      <c r="E146" t="s">
        <v>9189</v>
      </c>
      <c r="F146" s="1">
        <v>43892</v>
      </c>
      <c r="G146" t="str">
        <f>"300115"</f>
        <v>300115</v>
      </c>
      <c r="H146" t="s">
        <v>2938</v>
      </c>
      <c r="I146">
        <v>283950.61200000002</v>
      </c>
    </row>
    <row r="147" spans="1:9" x14ac:dyDescent="0.25">
      <c r="A147" t="s">
        <v>9616</v>
      </c>
      <c r="C147" t="s">
        <v>9617</v>
      </c>
      <c r="D147" t="str">
        <f>"44313"</f>
        <v>44313</v>
      </c>
      <c r="E147" s="4">
        <v>43922</v>
      </c>
      <c r="F147" s="1">
        <v>43892</v>
      </c>
      <c r="G147" t="str">
        <f>"300235"</f>
        <v>300235</v>
      </c>
      <c r="H147" t="s">
        <v>3034</v>
      </c>
      <c r="I147">
        <v>5679.98</v>
      </c>
    </row>
    <row r="148" spans="1:9" x14ac:dyDescent="0.25">
      <c r="A148" t="s">
        <v>9616</v>
      </c>
      <c r="C148" t="s">
        <v>9617</v>
      </c>
      <c r="D148" t="str">
        <f>"20037204"</f>
        <v>20037204</v>
      </c>
      <c r="E148" t="s">
        <v>9701</v>
      </c>
      <c r="F148" s="1">
        <v>43893</v>
      </c>
      <c r="G148" t="str">
        <f>"300043"</f>
        <v>300043</v>
      </c>
      <c r="H148" t="s">
        <v>2876</v>
      </c>
      <c r="I148">
        <v>436</v>
      </c>
    </row>
    <row r="149" spans="1:9" x14ac:dyDescent="0.25">
      <c r="A149" t="s">
        <v>9616</v>
      </c>
      <c r="C149" t="s">
        <v>9617</v>
      </c>
      <c r="D149" t="str">
        <f>"20037205"</f>
        <v>20037205</v>
      </c>
      <c r="E149" t="s">
        <v>9697</v>
      </c>
      <c r="F149" s="1">
        <v>43893</v>
      </c>
      <c r="G149" t="str">
        <f>"300043"</f>
        <v>300043</v>
      </c>
      <c r="H149" t="s">
        <v>2876</v>
      </c>
      <c r="I149">
        <v>669</v>
      </c>
    </row>
    <row r="150" spans="1:9" x14ac:dyDescent="0.25">
      <c r="A150" t="s">
        <v>9616</v>
      </c>
      <c r="C150" t="s">
        <v>9617</v>
      </c>
      <c r="D150" t="str">
        <f>"200507"</f>
        <v>200507</v>
      </c>
      <c r="E150" t="s">
        <v>9659</v>
      </c>
      <c r="F150" s="1">
        <v>43893</v>
      </c>
      <c r="G150" t="str">
        <f>"300301"</f>
        <v>300301</v>
      </c>
      <c r="H150" t="s">
        <v>3043</v>
      </c>
      <c r="I150">
        <v>4668.49</v>
      </c>
    </row>
    <row r="151" spans="1:9" x14ac:dyDescent="0.25">
      <c r="A151" t="s">
        <v>9616</v>
      </c>
      <c r="C151" t="s">
        <v>9617</v>
      </c>
      <c r="D151" t="str">
        <f>"200508"</f>
        <v>200508</v>
      </c>
      <c r="E151" t="s">
        <v>9676</v>
      </c>
      <c r="F151" s="1">
        <v>43893</v>
      </c>
      <c r="G151" t="str">
        <f>"300301"</f>
        <v>300301</v>
      </c>
      <c r="H151" t="s">
        <v>3043</v>
      </c>
      <c r="I151">
        <v>2914.01</v>
      </c>
    </row>
    <row r="152" spans="1:9" x14ac:dyDescent="0.25">
      <c r="A152" t="s">
        <v>9616</v>
      </c>
      <c r="C152" t="s">
        <v>9617</v>
      </c>
      <c r="D152" t="str">
        <f>"20037668"</f>
        <v>20037668</v>
      </c>
      <c r="E152" t="s">
        <v>9703</v>
      </c>
      <c r="F152" s="1">
        <v>43894</v>
      </c>
      <c r="G152" t="str">
        <f>"300043"</f>
        <v>300043</v>
      </c>
      <c r="H152" t="s">
        <v>2876</v>
      </c>
      <c r="I152">
        <v>1072</v>
      </c>
    </row>
    <row r="153" spans="1:9" x14ac:dyDescent="0.25">
      <c r="A153" t="s">
        <v>9616</v>
      </c>
      <c r="C153" t="s">
        <v>9617</v>
      </c>
      <c r="D153" t="str">
        <f>"120310196"</f>
        <v>120310196</v>
      </c>
      <c r="E153" t="s">
        <v>9714</v>
      </c>
      <c r="F153" s="1">
        <v>43894</v>
      </c>
      <c r="G153" t="str">
        <f>"300080"</f>
        <v>300080</v>
      </c>
      <c r="H153" t="s">
        <v>2907</v>
      </c>
      <c r="I153">
        <v>125999.874</v>
      </c>
    </row>
    <row r="154" spans="1:9" x14ac:dyDescent="0.25">
      <c r="A154" t="s">
        <v>9616</v>
      </c>
      <c r="C154" t="s">
        <v>9617</v>
      </c>
      <c r="D154" t="str">
        <f>"128420"</f>
        <v>128420</v>
      </c>
      <c r="E154" t="s">
        <v>9715</v>
      </c>
      <c r="F154" s="1">
        <v>43894</v>
      </c>
      <c r="G154" t="str">
        <f>"300101"</f>
        <v>300101</v>
      </c>
      <c r="H154" t="s">
        <v>2926</v>
      </c>
      <c r="I154">
        <v>3451.12</v>
      </c>
    </row>
    <row r="155" spans="1:9" x14ac:dyDescent="0.25">
      <c r="A155" t="s">
        <v>9616</v>
      </c>
      <c r="C155" t="s">
        <v>9617</v>
      </c>
      <c r="D155" t="str">
        <f>"128520"</f>
        <v>128520</v>
      </c>
      <c r="E155" t="s">
        <v>9716</v>
      </c>
      <c r="F155" s="1">
        <v>43894</v>
      </c>
      <c r="G155" t="str">
        <f>"300101"</f>
        <v>300101</v>
      </c>
      <c r="H155" t="s">
        <v>2926</v>
      </c>
      <c r="I155">
        <v>3766.05</v>
      </c>
    </row>
    <row r="156" spans="1:9" x14ac:dyDescent="0.25">
      <c r="A156" t="s">
        <v>9616</v>
      </c>
      <c r="C156" t="s">
        <v>9617</v>
      </c>
      <c r="D156" t="str">
        <f>"128720"</f>
        <v>128720</v>
      </c>
      <c r="E156" t="s">
        <v>9717</v>
      </c>
      <c r="F156" s="1">
        <v>43894</v>
      </c>
      <c r="G156" t="str">
        <f>"300101"</f>
        <v>300101</v>
      </c>
      <c r="H156" t="s">
        <v>2926</v>
      </c>
      <c r="I156">
        <v>3454.38</v>
      </c>
    </row>
    <row r="157" spans="1:9" x14ac:dyDescent="0.25">
      <c r="A157" t="s">
        <v>9616</v>
      </c>
      <c r="C157" t="s">
        <v>9617</v>
      </c>
      <c r="D157" t="str">
        <f>"10120671"</f>
        <v>10120671</v>
      </c>
      <c r="E157" t="s">
        <v>9711</v>
      </c>
      <c r="F157" s="1">
        <v>43894</v>
      </c>
      <c r="G157" t="str">
        <f>"300115"</f>
        <v>300115</v>
      </c>
      <c r="H157" t="s">
        <v>2938</v>
      </c>
      <c r="I157">
        <v>145109.14000000001</v>
      </c>
    </row>
    <row r="158" spans="1:9" x14ac:dyDescent="0.25">
      <c r="A158" t="s">
        <v>9616</v>
      </c>
      <c r="C158" t="s">
        <v>9617</v>
      </c>
      <c r="D158" t="str">
        <f>"20038189"</f>
        <v>20038189</v>
      </c>
      <c r="E158" t="s">
        <v>9704</v>
      </c>
      <c r="F158" s="1">
        <v>43895</v>
      </c>
      <c r="G158" t="str">
        <f>"300043"</f>
        <v>300043</v>
      </c>
      <c r="H158" t="s">
        <v>2876</v>
      </c>
      <c r="I158">
        <v>1072</v>
      </c>
    </row>
    <row r="159" spans="1:9" x14ac:dyDescent="0.25">
      <c r="A159" t="s">
        <v>9616</v>
      </c>
      <c r="C159" t="s">
        <v>9617</v>
      </c>
      <c r="D159" t="str">
        <f>"20039336"</f>
        <v>20039336</v>
      </c>
      <c r="E159" t="s">
        <v>9718</v>
      </c>
      <c r="F159" s="1">
        <v>43895</v>
      </c>
      <c r="G159" t="str">
        <f>"300043"</f>
        <v>300043</v>
      </c>
      <c r="H159" t="s">
        <v>2876</v>
      </c>
      <c r="I159">
        <v>569</v>
      </c>
    </row>
    <row r="160" spans="1:9" x14ac:dyDescent="0.25">
      <c r="A160" t="s">
        <v>9616</v>
      </c>
      <c r="C160" t="s">
        <v>9617</v>
      </c>
      <c r="D160" t="str">
        <f>"10120718"</f>
        <v>10120718</v>
      </c>
      <c r="E160" t="s">
        <v>9719</v>
      </c>
      <c r="F160" s="1">
        <v>43895</v>
      </c>
      <c r="G160" t="str">
        <f>"300115"</f>
        <v>300115</v>
      </c>
      <c r="H160" t="s">
        <v>2938</v>
      </c>
      <c r="I160">
        <v>145109.14000000001</v>
      </c>
    </row>
    <row r="161" spans="1:9" x14ac:dyDescent="0.25">
      <c r="A161" t="s">
        <v>9616</v>
      </c>
      <c r="C161" t="s">
        <v>9617</v>
      </c>
      <c r="D161" t="str">
        <f>"200527"</f>
        <v>200527</v>
      </c>
      <c r="E161" t="s">
        <v>9696</v>
      </c>
      <c r="F161" s="1">
        <v>43895</v>
      </c>
      <c r="G161" t="str">
        <f>"300301"</f>
        <v>300301</v>
      </c>
      <c r="H161" t="s">
        <v>3043</v>
      </c>
      <c r="I161">
        <v>2107.5</v>
      </c>
    </row>
    <row r="162" spans="1:9" x14ac:dyDescent="0.25">
      <c r="A162" t="s">
        <v>9616</v>
      </c>
      <c r="C162" t="s">
        <v>9617</v>
      </c>
      <c r="D162" t="str">
        <f>"109320"</f>
        <v>109320</v>
      </c>
      <c r="E162" t="s">
        <v>9675</v>
      </c>
      <c r="F162" s="1">
        <v>43896</v>
      </c>
      <c r="G162" t="str">
        <f>"300101"</f>
        <v>300101</v>
      </c>
      <c r="H162" t="s">
        <v>2926</v>
      </c>
      <c r="I162">
        <v>770.68</v>
      </c>
    </row>
    <row r="163" spans="1:9" x14ac:dyDescent="0.25">
      <c r="A163" t="s">
        <v>9616</v>
      </c>
      <c r="C163" t="s">
        <v>9617</v>
      </c>
      <c r="D163" t="str">
        <f>"127920"</f>
        <v>127920</v>
      </c>
      <c r="E163" t="s">
        <v>9720</v>
      </c>
      <c r="F163" s="1">
        <v>43896</v>
      </c>
      <c r="G163" t="str">
        <f>"300101"</f>
        <v>300101</v>
      </c>
      <c r="H163" t="s">
        <v>2926</v>
      </c>
      <c r="I163">
        <v>3145.17</v>
      </c>
    </row>
    <row r="164" spans="1:9" x14ac:dyDescent="0.25">
      <c r="A164" t="s">
        <v>9616</v>
      </c>
      <c r="C164" t="s">
        <v>9617</v>
      </c>
      <c r="D164" t="str">
        <f>"150020"</f>
        <v>150020</v>
      </c>
      <c r="E164" t="s">
        <v>9721</v>
      </c>
      <c r="F164" s="1">
        <v>43899</v>
      </c>
      <c r="G164" t="str">
        <f>"300101"</f>
        <v>300101</v>
      </c>
      <c r="H164" t="s">
        <v>2926</v>
      </c>
      <c r="I164">
        <v>3636.67</v>
      </c>
    </row>
    <row r="165" spans="1:9" x14ac:dyDescent="0.25">
      <c r="A165" t="s">
        <v>9616</v>
      </c>
      <c r="C165" t="s">
        <v>9617</v>
      </c>
      <c r="D165" t="str">
        <f>"10120797"</f>
        <v>10120797</v>
      </c>
      <c r="E165" t="s">
        <v>9678</v>
      </c>
      <c r="F165" s="1">
        <v>43899</v>
      </c>
      <c r="G165" t="str">
        <f>"300115"</f>
        <v>300115</v>
      </c>
      <c r="H165" t="s">
        <v>2938</v>
      </c>
      <c r="I165">
        <v>98100.216499999995</v>
      </c>
    </row>
    <row r="166" spans="1:9" x14ac:dyDescent="0.25">
      <c r="A166" t="s">
        <v>9616</v>
      </c>
      <c r="C166" t="s">
        <v>9617</v>
      </c>
      <c r="D166" t="str">
        <f>"10120798"</f>
        <v>10120798</v>
      </c>
      <c r="E166" t="s">
        <v>9722</v>
      </c>
      <c r="F166" s="1">
        <v>43899</v>
      </c>
      <c r="G166" t="str">
        <f>"300115"</f>
        <v>300115</v>
      </c>
      <c r="H166" t="s">
        <v>2938</v>
      </c>
      <c r="I166">
        <v>43032.88</v>
      </c>
    </row>
    <row r="167" spans="1:9" x14ac:dyDescent="0.25">
      <c r="A167" t="s">
        <v>9616</v>
      </c>
      <c r="C167" t="s">
        <v>9617</v>
      </c>
      <c r="D167" t="str">
        <f>"10120799"</f>
        <v>10120799</v>
      </c>
      <c r="E167" t="s">
        <v>9723</v>
      </c>
      <c r="F167" s="1">
        <v>43899</v>
      </c>
      <c r="G167" t="str">
        <f>"300115"</f>
        <v>300115</v>
      </c>
      <c r="H167" t="s">
        <v>2938</v>
      </c>
      <c r="I167">
        <v>85392.581999999995</v>
      </c>
    </row>
    <row r="168" spans="1:9" x14ac:dyDescent="0.25">
      <c r="A168" t="s">
        <v>9616</v>
      </c>
      <c r="C168" t="s">
        <v>9617</v>
      </c>
      <c r="D168" t="str">
        <f>"20039991"</f>
        <v>20039991</v>
      </c>
      <c r="E168" t="s">
        <v>9709</v>
      </c>
      <c r="F168" s="1">
        <v>43900</v>
      </c>
      <c r="G168" t="str">
        <f>"300043"</f>
        <v>300043</v>
      </c>
      <c r="H168" t="s">
        <v>2876</v>
      </c>
      <c r="I168">
        <v>452</v>
      </c>
    </row>
    <row r="169" spans="1:9" x14ac:dyDescent="0.25">
      <c r="A169" t="s">
        <v>9616</v>
      </c>
      <c r="C169" t="s">
        <v>9617</v>
      </c>
      <c r="D169" t="str">
        <f>"10120834"</f>
        <v>10120834</v>
      </c>
      <c r="E169" t="s">
        <v>9189</v>
      </c>
      <c r="F169" s="1">
        <v>43900</v>
      </c>
      <c r="G169" t="str">
        <f>"300115"</f>
        <v>300115</v>
      </c>
      <c r="H169" t="s">
        <v>2938</v>
      </c>
      <c r="I169">
        <v>283950.61200000002</v>
      </c>
    </row>
    <row r="170" spans="1:9" x14ac:dyDescent="0.25">
      <c r="A170" t="s">
        <v>9616</v>
      </c>
      <c r="C170" t="s">
        <v>9617</v>
      </c>
      <c r="D170" t="str">
        <f>"10120870"</f>
        <v>10120870</v>
      </c>
      <c r="E170" t="s">
        <v>272</v>
      </c>
      <c r="F170" s="1">
        <v>43900</v>
      </c>
      <c r="G170" t="str">
        <f>"300115"</f>
        <v>300115</v>
      </c>
      <c r="H170" t="s">
        <v>2938</v>
      </c>
      <c r="I170">
        <v>105398.7176</v>
      </c>
    </row>
    <row r="171" spans="1:9" x14ac:dyDescent="0.25">
      <c r="A171" t="s">
        <v>9616</v>
      </c>
      <c r="C171" t="s">
        <v>9617</v>
      </c>
      <c r="D171" t="str">
        <f>"13113"</f>
        <v>13113</v>
      </c>
      <c r="E171" t="s">
        <v>9720</v>
      </c>
      <c r="F171" s="1">
        <v>43901</v>
      </c>
      <c r="G171" t="str">
        <f>"300043"</f>
        <v>300043</v>
      </c>
      <c r="H171" t="s">
        <v>2876</v>
      </c>
      <c r="I171">
        <v>633</v>
      </c>
    </row>
    <row r="172" spans="1:9" x14ac:dyDescent="0.25">
      <c r="A172" t="s">
        <v>9616</v>
      </c>
      <c r="C172" t="s">
        <v>9617</v>
      </c>
      <c r="D172" t="str">
        <f>"14172"</f>
        <v>14172</v>
      </c>
      <c r="E172" t="s">
        <v>9724</v>
      </c>
      <c r="F172" s="1">
        <v>43901</v>
      </c>
      <c r="G172" t="str">
        <f>"300043"</f>
        <v>300043</v>
      </c>
      <c r="H172" t="s">
        <v>2876</v>
      </c>
      <c r="I172">
        <v>444</v>
      </c>
    </row>
    <row r="173" spans="1:9" x14ac:dyDescent="0.25">
      <c r="A173" t="s">
        <v>9616</v>
      </c>
      <c r="C173" t="s">
        <v>9617</v>
      </c>
      <c r="D173" t="str">
        <f>"149820"</f>
        <v>149820</v>
      </c>
      <c r="E173" t="s">
        <v>9724</v>
      </c>
      <c r="F173" s="1">
        <v>43901</v>
      </c>
      <c r="G173" t="str">
        <f>"300101"</f>
        <v>300101</v>
      </c>
      <c r="H173" t="s">
        <v>2926</v>
      </c>
      <c r="I173">
        <v>3319.17</v>
      </c>
    </row>
    <row r="174" spans="1:9" x14ac:dyDescent="0.25">
      <c r="A174" t="s">
        <v>9616</v>
      </c>
      <c r="C174" t="s">
        <v>9617</v>
      </c>
      <c r="D174" t="str">
        <f>"150120"</f>
        <v>150120</v>
      </c>
      <c r="E174" t="s">
        <v>9725</v>
      </c>
      <c r="F174" s="1">
        <v>43901</v>
      </c>
      <c r="G174" t="str">
        <f>"300101"</f>
        <v>300101</v>
      </c>
      <c r="H174" t="s">
        <v>2926</v>
      </c>
      <c r="I174">
        <v>3319.17</v>
      </c>
    </row>
    <row r="175" spans="1:9" x14ac:dyDescent="0.25">
      <c r="A175" t="s">
        <v>9616</v>
      </c>
      <c r="C175" t="s">
        <v>9617</v>
      </c>
      <c r="D175" t="s">
        <v>9726</v>
      </c>
      <c r="E175" t="s">
        <v>9629</v>
      </c>
      <c r="F175" s="1">
        <v>43901</v>
      </c>
      <c r="G175" t="str">
        <f>"300133"</f>
        <v>300133</v>
      </c>
      <c r="H175" t="s">
        <v>2955</v>
      </c>
      <c r="I175">
        <v>58550</v>
      </c>
    </row>
    <row r="176" spans="1:9" x14ac:dyDescent="0.25">
      <c r="A176" t="s">
        <v>9616</v>
      </c>
      <c r="C176" t="s">
        <v>9617</v>
      </c>
      <c r="D176" t="str">
        <f>"20045201"</f>
        <v>20045201</v>
      </c>
      <c r="E176" t="s">
        <v>9727</v>
      </c>
      <c r="F176" s="1">
        <v>43902</v>
      </c>
      <c r="G176" t="str">
        <f>"300043"</f>
        <v>300043</v>
      </c>
      <c r="H176" t="s">
        <v>2876</v>
      </c>
      <c r="I176">
        <v>693</v>
      </c>
    </row>
    <row r="177" spans="1:9" x14ac:dyDescent="0.25">
      <c r="A177" t="s">
        <v>9616</v>
      </c>
      <c r="C177" t="s">
        <v>9617</v>
      </c>
      <c r="D177" t="s">
        <v>9728</v>
      </c>
      <c r="E177" t="s">
        <v>9729</v>
      </c>
      <c r="F177" s="1">
        <v>43902</v>
      </c>
      <c r="G177" t="str">
        <f>"300092"</f>
        <v>300092</v>
      </c>
      <c r="H177" t="s">
        <v>2160</v>
      </c>
      <c r="I177">
        <v>39831.050000000003</v>
      </c>
    </row>
    <row r="178" spans="1:9" x14ac:dyDescent="0.25">
      <c r="A178" t="s">
        <v>9616</v>
      </c>
      <c r="C178" t="s">
        <v>9617</v>
      </c>
      <c r="D178" t="str">
        <f>"128320"</f>
        <v>128320</v>
      </c>
      <c r="E178" t="s">
        <v>9730</v>
      </c>
      <c r="F178" s="1">
        <v>43902</v>
      </c>
      <c r="G178" t="str">
        <f>"300101"</f>
        <v>300101</v>
      </c>
      <c r="H178" t="s">
        <v>2926</v>
      </c>
      <c r="I178">
        <v>3281.33</v>
      </c>
    </row>
    <row r="179" spans="1:9" x14ac:dyDescent="0.25">
      <c r="A179" t="s">
        <v>9616</v>
      </c>
      <c r="C179" t="s">
        <v>9617</v>
      </c>
      <c r="D179" t="str">
        <f>"150420"</f>
        <v>150420</v>
      </c>
      <c r="E179" t="s">
        <v>9731</v>
      </c>
      <c r="F179" s="1">
        <v>43902</v>
      </c>
      <c r="G179" t="str">
        <f>"300101"</f>
        <v>300101</v>
      </c>
      <c r="H179" t="s">
        <v>2926</v>
      </c>
      <c r="I179">
        <v>3938.21</v>
      </c>
    </row>
    <row r="180" spans="1:9" x14ac:dyDescent="0.25">
      <c r="A180" t="s">
        <v>9616</v>
      </c>
      <c r="C180" t="s">
        <v>9617</v>
      </c>
      <c r="D180" t="str">
        <f>"10120876"</f>
        <v>10120876</v>
      </c>
      <c r="E180" t="s">
        <v>9189</v>
      </c>
      <c r="F180" s="1">
        <v>43902</v>
      </c>
      <c r="G180" t="str">
        <f>"300115"</f>
        <v>300115</v>
      </c>
      <c r="H180" t="s">
        <v>2938</v>
      </c>
      <c r="I180">
        <v>234283.4571</v>
      </c>
    </row>
    <row r="181" spans="1:9" x14ac:dyDescent="0.25">
      <c r="A181" t="s">
        <v>9616</v>
      </c>
      <c r="C181" t="s">
        <v>9617</v>
      </c>
      <c r="D181" t="str">
        <f>"20045674"</f>
        <v>20045674</v>
      </c>
      <c r="E181" t="s">
        <v>9732</v>
      </c>
      <c r="F181" s="1">
        <v>43903</v>
      </c>
      <c r="G181" t="str">
        <f>"300043"</f>
        <v>300043</v>
      </c>
      <c r="H181" t="s">
        <v>2876</v>
      </c>
      <c r="I181">
        <v>1191</v>
      </c>
    </row>
    <row r="182" spans="1:9" x14ac:dyDescent="0.25">
      <c r="A182" t="s">
        <v>9616</v>
      </c>
      <c r="C182" t="s">
        <v>9617</v>
      </c>
      <c r="D182" t="str">
        <f>"150220"</f>
        <v>150220</v>
      </c>
      <c r="E182" t="s">
        <v>9733</v>
      </c>
      <c r="F182" s="1">
        <v>43903</v>
      </c>
      <c r="G182" t="str">
        <f>"300101"</f>
        <v>300101</v>
      </c>
      <c r="H182" t="s">
        <v>2926</v>
      </c>
      <c r="I182">
        <v>4218.3599999999997</v>
      </c>
    </row>
    <row r="183" spans="1:9" x14ac:dyDescent="0.25">
      <c r="A183" t="s">
        <v>9616</v>
      </c>
      <c r="C183" t="s">
        <v>9617</v>
      </c>
      <c r="D183" t="str">
        <f>"20046140"</f>
        <v>20046140</v>
      </c>
      <c r="E183" t="s">
        <v>9713</v>
      </c>
      <c r="F183" s="1">
        <v>43906</v>
      </c>
      <c r="G183" t="str">
        <f>"300043"</f>
        <v>300043</v>
      </c>
      <c r="H183" t="s">
        <v>2876</v>
      </c>
      <c r="I183">
        <v>1077</v>
      </c>
    </row>
    <row r="184" spans="1:9" x14ac:dyDescent="0.25">
      <c r="A184" t="s">
        <v>9616</v>
      </c>
      <c r="C184" t="s">
        <v>9617</v>
      </c>
      <c r="D184" t="str">
        <f>"10120997"</f>
        <v>10120997</v>
      </c>
      <c r="E184" t="s">
        <v>9734</v>
      </c>
      <c r="F184" s="1">
        <v>43906</v>
      </c>
      <c r="G184" t="str">
        <f>"300115"</f>
        <v>300115</v>
      </c>
      <c r="H184" t="s">
        <v>2938</v>
      </c>
      <c r="I184">
        <v>145235.11199999999</v>
      </c>
    </row>
    <row r="185" spans="1:9" x14ac:dyDescent="0.25">
      <c r="A185" t="s">
        <v>9616</v>
      </c>
      <c r="C185" t="s">
        <v>9617</v>
      </c>
      <c r="D185" t="str">
        <f>"10120999"</f>
        <v>10120999</v>
      </c>
      <c r="E185" t="s">
        <v>9735</v>
      </c>
      <c r="F185" s="1">
        <v>43906</v>
      </c>
      <c r="G185" t="str">
        <f>"300115"</f>
        <v>300115</v>
      </c>
      <c r="H185" t="s">
        <v>2938</v>
      </c>
      <c r="I185">
        <v>150602.1</v>
      </c>
    </row>
    <row r="186" spans="1:9" x14ac:dyDescent="0.25">
      <c r="A186" t="s">
        <v>9616</v>
      </c>
      <c r="C186" t="s">
        <v>9617</v>
      </c>
      <c r="D186" t="str">
        <f>"14634"</f>
        <v>14634</v>
      </c>
      <c r="E186" t="s">
        <v>9733</v>
      </c>
      <c r="F186" s="1">
        <v>43907</v>
      </c>
      <c r="G186" t="str">
        <f>"300043"</f>
        <v>300043</v>
      </c>
      <c r="H186" t="s">
        <v>2876</v>
      </c>
      <c r="I186">
        <v>1093</v>
      </c>
    </row>
    <row r="187" spans="1:9" x14ac:dyDescent="0.25">
      <c r="A187" t="s">
        <v>9616</v>
      </c>
      <c r="C187" t="s">
        <v>9617</v>
      </c>
      <c r="D187" t="str">
        <f>"149920"</f>
        <v>149920</v>
      </c>
      <c r="E187" t="s">
        <v>9736</v>
      </c>
      <c r="F187" s="1">
        <v>43907</v>
      </c>
      <c r="G187" t="str">
        <f>"300101"</f>
        <v>300101</v>
      </c>
      <c r="H187" t="s">
        <v>2926</v>
      </c>
      <c r="I187">
        <v>3767.52</v>
      </c>
    </row>
    <row r="188" spans="1:9" x14ac:dyDescent="0.25">
      <c r="A188" t="s">
        <v>9616</v>
      </c>
      <c r="C188" t="s">
        <v>9617</v>
      </c>
      <c r="D188" t="s">
        <v>9737</v>
      </c>
      <c r="E188" t="s">
        <v>9738</v>
      </c>
      <c r="F188" s="1">
        <v>43907</v>
      </c>
      <c r="G188" t="str">
        <f>"300133"</f>
        <v>300133</v>
      </c>
      <c r="H188" t="s">
        <v>2955</v>
      </c>
      <c r="I188">
        <v>5940</v>
      </c>
    </row>
    <row r="189" spans="1:9" x14ac:dyDescent="0.25">
      <c r="A189" t="s">
        <v>9616</v>
      </c>
      <c r="C189" t="s">
        <v>9617</v>
      </c>
      <c r="D189" t="str">
        <f>"30519"</f>
        <v>30519</v>
      </c>
      <c r="E189" s="4">
        <v>44044</v>
      </c>
      <c r="F189" s="1">
        <v>43907</v>
      </c>
      <c r="G189" t="str">
        <f>"300241"</f>
        <v>300241</v>
      </c>
      <c r="H189" t="s">
        <v>3040</v>
      </c>
      <c r="I189">
        <v>4497.26</v>
      </c>
    </row>
    <row r="190" spans="1:9" x14ac:dyDescent="0.25">
      <c r="A190" t="s">
        <v>9616</v>
      </c>
      <c r="C190" t="s">
        <v>9617</v>
      </c>
      <c r="D190" t="str">
        <f>"20047120"</f>
        <v>20047120</v>
      </c>
      <c r="E190" t="s">
        <v>9715</v>
      </c>
      <c r="F190" s="1">
        <v>43908</v>
      </c>
      <c r="G190" t="str">
        <f>"300043"</f>
        <v>300043</v>
      </c>
      <c r="H190" t="s">
        <v>2876</v>
      </c>
      <c r="I190">
        <v>633</v>
      </c>
    </row>
    <row r="191" spans="1:9" x14ac:dyDescent="0.25">
      <c r="A191" t="s">
        <v>9616</v>
      </c>
      <c r="C191" t="s">
        <v>9617</v>
      </c>
      <c r="D191" t="str">
        <f>"20047121"</f>
        <v>20047121</v>
      </c>
      <c r="E191" t="s">
        <v>9716</v>
      </c>
      <c r="F191" s="1">
        <v>43908</v>
      </c>
      <c r="G191" t="str">
        <f>"300043"</f>
        <v>300043</v>
      </c>
      <c r="H191" t="s">
        <v>2876</v>
      </c>
      <c r="I191">
        <v>633</v>
      </c>
    </row>
    <row r="192" spans="1:9" x14ac:dyDescent="0.25">
      <c r="A192" t="s">
        <v>9616</v>
      </c>
      <c r="C192" t="s">
        <v>9617</v>
      </c>
      <c r="D192" t="str">
        <f>"10121066"</f>
        <v>10121066</v>
      </c>
      <c r="E192" t="s">
        <v>9249</v>
      </c>
      <c r="F192" s="1">
        <v>43908</v>
      </c>
      <c r="G192" t="str">
        <f>"300115"</f>
        <v>300115</v>
      </c>
      <c r="H192" t="s">
        <v>2938</v>
      </c>
      <c r="I192">
        <v>152365.70800000001</v>
      </c>
    </row>
    <row r="193" spans="1:9" x14ac:dyDescent="0.25">
      <c r="A193" t="s">
        <v>9616</v>
      </c>
      <c r="C193" t="s">
        <v>9617</v>
      </c>
      <c r="D193" t="str">
        <f>"10121071"</f>
        <v>10121071</v>
      </c>
      <c r="E193" t="s">
        <v>9739</v>
      </c>
      <c r="F193" s="1">
        <v>43908</v>
      </c>
      <c r="G193" t="str">
        <f>"300115"</f>
        <v>300115</v>
      </c>
      <c r="H193" t="s">
        <v>2938</v>
      </c>
      <c r="I193">
        <v>79732.831200000001</v>
      </c>
    </row>
    <row r="194" spans="1:9" x14ac:dyDescent="0.25">
      <c r="A194" t="s">
        <v>9616</v>
      </c>
      <c r="C194" t="s">
        <v>9617</v>
      </c>
      <c r="D194" t="str">
        <f>"10121072"</f>
        <v>10121072</v>
      </c>
      <c r="E194" t="s">
        <v>9640</v>
      </c>
      <c r="F194" s="1">
        <v>43908</v>
      </c>
      <c r="G194" t="str">
        <f>"300115"</f>
        <v>300115</v>
      </c>
      <c r="H194" t="s">
        <v>2938</v>
      </c>
      <c r="I194">
        <v>157751.484</v>
      </c>
    </row>
    <row r="195" spans="1:9" x14ac:dyDescent="0.25">
      <c r="A195" t="s">
        <v>9616</v>
      </c>
      <c r="C195" t="s">
        <v>9617</v>
      </c>
      <c r="D195" t="str">
        <f>"20047762"</f>
        <v>20047762</v>
      </c>
      <c r="E195" t="s">
        <v>9730</v>
      </c>
      <c r="F195" s="1">
        <v>43909</v>
      </c>
      <c r="G195" t="str">
        <f>"300043"</f>
        <v>300043</v>
      </c>
      <c r="H195" t="s">
        <v>2876</v>
      </c>
      <c r="I195">
        <v>1081</v>
      </c>
    </row>
    <row r="196" spans="1:9" x14ac:dyDescent="0.25">
      <c r="A196" t="s">
        <v>9616</v>
      </c>
      <c r="C196" t="s">
        <v>9617</v>
      </c>
      <c r="D196" t="str">
        <f>"150320"</f>
        <v>150320</v>
      </c>
      <c r="E196" t="s">
        <v>9740</v>
      </c>
      <c r="F196" s="1">
        <v>43909</v>
      </c>
      <c r="G196" t="str">
        <f>"300101"</f>
        <v>300101</v>
      </c>
      <c r="H196" t="s">
        <v>2926</v>
      </c>
      <c r="I196">
        <v>3135.47</v>
      </c>
    </row>
    <row r="197" spans="1:9" x14ac:dyDescent="0.25">
      <c r="A197" t="s">
        <v>9616</v>
      </c>
      <c r="C197" t="s">
        <v>9617</v>
      </c>
      <c r="D197" t="str">
        <f>"20150194"</f>
        <v>20150194</v>
      </c>
      <c r="E197" t="s">
        <v>9717</v>
      </c>
      <c r="F197" s="1">
        <v>43910</v>
      </c>
      <c r="G197" t="str">
        <f>"300043"</f>
        <v>300043</v>
      </c>
      <c r="H197" t="s">
        <v>2876</v>
      </c>
      <c r="I197">
        <v>1081</v>
      </c>
    </row>
    <row r="198" spans="1:9" x14ac:dyDescent="0.25">
      <c r="A198" t="s">
        <v>9616</v>
      </c>
      <c r="C198" t="s">
        <v>9617</v>
      </c>
      <c r="D198" t="str">
        <f>"64593"</f>
        <v>64593</v>
      </c>
      <c r="E198" t="s">
        <v>9741</v>
      </c>
      <c r="F198" s="1">
        <v>43910</v>
      </c>
      <c r="G198" t="str">
        <f>"300093"</f>
        <v>300093</v>
      </c>
      <c r="H198" t="s">
        <v>2918</v>
      </c>
      <c r="I198">
        <v>98414.293999999994</v>
      </c>
    </row>
    <row r="199" spans="1:9" x14ac:dyDescent="0.25">
      <c r="A199" t="s">
        <v>9616</v>
      </c>
      <c r="C199" t="s">
        <v>9617</v>
      </c>
      <c r="D199" t="str">
        <f>"64594"</f>
        <v>64594</v>
      </c>
      <c r="E199" t="s">
        <v>9742</v>
      </c>
      <c r="F199" s="1">
        <v>43910</v>
      </c>
      <c r="G199" t="str">
        <f>"300093"</f>
        <v>300093</v>
      </c>
      <c r="H199" t="s">
        <v>2918</v>
      </c>
      <c r="I199">
        <v>70686</v>
      </c>
    </row>
    <row r="200" spans="1:9" x14ac:dyDescent="0.25">
      <c r="A200" t="s">
        <v>9616</v>
      </c>
      <c r="C200" t="s">
        <v>9617</v>
      </c>
      <c r="D200" t="str">
        <f>"10121108"</f>
        <v>10121108</v>
      </c>
      <c r="E200" t="s">
        <v>9640</v>
      </c>
      <c r="F200" s="1">
        <v>43910</v>
      </c>
      <c r="G200" t="str">
        <f>"300115"</f>
        <v>300115</v>
      </c>
      <c r="H200" t="s">
        <v>2938</v>
      </c>
      <c r="I200">
        <v>185528.05919999999</v>
      </c>
    </row>
    <row r="201" spans="1:9" x14ac:dyDescent="0.25">
      <c r="A201" t="s">
        <v>9616</v>
      </c>
      <c r="C201" t="s">
        <v>9617</v>
      </c>
      <c r="D201" t="str">
        <f>"200704"</f>
        <v>200704</v>
      </c>
      <c r="E201" t="s">
        <v>9718</v>
      </c>
      <c r="F201" s="1">
        <v>43910</v>
      </c>
      <c r="G201" t="str">
        <f>"300301"</f>
        <v>300301</v>
      </c>
      <c r="H201" t="s">
        <v>3043</v>
      </c>
      <c r="I201">
        <v>2507.5300000000002</v>
      </c>
    </row>
    <row r="202" spans="1:9" x14ac:dyDescent="0.25">
      <c r="A202" t="s">
        <v>9616</v>
      </c>
      <c r="C202" t="s">
        <v>9617</v>
      </c>
      <c r="D202" t="str">
        <f>"10121178"</f>
        <v>10121178</v>
      </c>
      <c r="E202" t="s">
        <v>9708</v>
      </c>
      <c r="F202" s="1">
        <v>43911</v>
      </c>
      <c r="G202" t="str">
        <f>"300115"</f>
        <v>300115</v>
      </c>
      <c r="H202" t="s">
        <v>2938</v>
      </c>
      <c r="I202">
        <v>263700.75599999999</v>
      </c>
    </row>
    <row r="203" spans="1:9" x14ac:dyDescent="0.25">
      <c r="A203" t="s">
        <v>9616</v>
      </c>
      <c r="C203" t="s">
        <v>9617</v>
      </c>
      <c r="D203" t="str">
        <f>"164020"</f>
        <v>164020</v>
      </c>
      <c r="E203" t="s">
        <v>9743</v>
      </c>
      <c r="F203" s="1">
        <v>43913</v>
      </c>
      <c r="G203" t="str">
        <f>"300101"</f>
        <v>300101</v>
      </c>
      <c r="H203" t="s">
        <v>2926</v>
      </c>
      <c r="I203">
        <v>3583.59</v>
      </c>
    </row>
    <row r="204" spans="1:9" x14ac:dyDescent="0.25">
      <c r="A204" t="s">
        <v>9616</v>
      </c>
      <c r="C204" t="s">
        <v>9617</v>
      </c>
      <c r="D204" t="str">
        <f>"164220"</f>
        <v>164220</v>
      </c>
      <c r="E204" t="s">
        <v>9744</v>
      </c>
      <c r="F204" s="1">
        <v>43913</v>
      </c>
      <c r="G204" t="str">
        <f>"300101"</f>
        <v>300101</v>
      </c>
      <c r="H204" t="s">
        <v>2926</v>
      </c>
      <c r="I204">
        <v>3735.32</v>
      </c>
    </row>
    <row r="205" spans="1:9" x14ac:dyDescent="0.25">
      <c r="A205" t="s">
        <v>9616</v>
      </c>
      <c r="C205" t="s">
        <v>9617</v>
      </c>
      <c r="D205" t="str">
        <f>"164320"</f>
        <v>164320</v>
      </c>
      <c r="E205" t="s">
        <v>9745</v>
      </c>
      <c r="F205" s="1">
        <v>43913</v>
      </c>
      <c r="G205" t="str">
        <f>"300101"</f>
        <v>300101</v>
      </c>
      <c r="H205" t="s">
        <v>2926</v>
      </c>
      <c r="I205">
        <v>4045.47</v>
      </c>
    </row>
    <row r="206" spans="1:9" x14ac:dyDescent="0.25">
      <c r="A206" t="s">
        <v>9616</v>
      </c>
      <c r="C206" t="s">
        <v>9617</v>
      </c>
      <c r="D206" t="str">
        <f>"164420"</f>
        <v>164420</v>
      </c>
      <c r="E206" t="s">
        <v>9746</v>
      </c>
      <c r="F206" s="1">
        <v>43913</v>
      </c>
      <c r="G206" t="str">
        <f>"300101"</f>
        <v>300101</v>
      </c>
      <c r="H206" t="s">
        <v>2926</v>
      </c>
      <c r="I206">
        <v>3430.19</v>
      </c>
    </row>
    <row r="207" spans="1:9" x14ac:dyDescent="0.25">
      <c r="A207" t="s">
        <v>9616</v>
      </c>
      <c r="C207" t="s">
        <v>9617</v>
      </c>
      <c r="D207" t="str">
        <f>"10121180"</f>
        <v>10121180</v>
      </c>
      <c r="E207" t="s">
        <v>9747</v>
      </c>
      <c r="F207" s="1">
        <v>43913</v>
      </c>
      <c r="G207" t="str">
        <f>"300115"</f>
        <v>300115</v>
      </c>
      <c r="H207" t="s">
        <v>2938</v>
      </c>
      <c r="I207">
        <v>128861.2512</v>
      </c>
    </row>
    <row r="208" spans="1:9" x14ac:dyDescent="0.25">
      <c r="A208" t="s">
        <v>9616</v>
      </c>
      <c r="C208" t="s">
        <v>9617</v>
      </c>
      <c r="D208" t="str">
        <f>"10121181"</f>
        <v>10121181</v>
      </c>
      <c r="E208" t="s">
        <v>9748</v>
      </c>
      <c r="F208" s="1">
        <v>43913</v>
      </c>
      <c r="G208" t="str">
        <f>"300115"</f>
        <v>300115</v>
      </c>
      <c r="H208" t="s">
        <v>2938</v>
      </c>
      <c r="I208">
        <v>152982.56159999999</v>
      </c>
    </row>
    <row r="209" spans="1:9" x14ac:dyDescent="0.25">
      <c r="A209" t="s">
        <v>9616</v>
      </c>
      <c r="C209" t="s">
        <v>9617</v>
      </c>
      <c r="D209" t="str">
        <f>"20048733"</f>
        <v>20048733</v>
      </c>
      <c r="E209" t="s">
        <v>9721</v>
      </c>
      <c r="F209" s="1">
        <v>43914</v>
      </c>
      <c r="G209" t="str">
        <f>"300043"</f>
        <v>300043</v>
      </c>
      <c r="H209" t="s">
        <v>2876</v>
      </c>
      <c r="I209">
        <v>637</v>
      </c>
    </row>
    <row r="210" spans="1:9" x14ac:dyDescent="0.25">
      <c r="A210" t="s">
        <v>9616</v>
      </c>
      <c r="C210" t="s">
        <v>9617</v>
      </c>
      <c r="D210" t="str">
        <f>"20048734"</f>
        <v>20048734</v>
      </c>
      <c r="E210" t="s">
        <v>9725</v>
      </c>
      <c r="F210" s="1">
        <v>43914</v>
      </c>
      <c r="G210" t="str">
        <f>"300043"</f>
        <v>300043</v>
      </c>
      <c r="H210" t="s">
        <v>2876</v>
      </c>
      <c r="I210">
        <v>625</v>
      </c>
    </row>
    <row r="211" spans="1:9" x14ac:dyDescent="0.25">
      <c r="A211" t="s">
        <v>9616</v>
      </c>
      <c r="C211" t="s">
        <v>9617</v>
      </c>
      <c r="D211" t="str">
        <f>"120310266"</f>
        <v>120310266</v>
      </c>
      <c r="E211" t="s">
        <v>8925</v>
      </c>
      <c r="F211" s="1">
        <v>43914</v>
      </c>
      <c r="G211" t="str">
        <f>"300080"</f>
        <v>300080</v>
      </c>
      <c r="H211" t="s">
        <v>2907</v>
      </c>
      <c r="I211">
        <v>277992</v>
      </c>
    </row>
    <row r="212" spans="1:9" x14ac:dyDescent="0.25">
      <c r="A212" t="s">
        <v>9616</v>
      </c>
      <c r="C212" t="s">
        <v>9617</v>
      </c>
      <c r="D212" t="str">
        <f>"164120"</f>
        <v>164120</v>
      </c>
      <c r="E212" t="s">
        <v>9749</v>
      </c>
      <c r="F212" s="1">
        <v>43914</v>
      </c>
      <c r="G212" t="str">
        <f>"300101"</f>
        <v>300101</v>
      </c>
      <c r="H212" t="s">
        <v>2926</v>
      </c>
      <c r="I212">
        <v>3121.93</v>
      </c>
    </row>
    <row r="213" spans="1:9" x14ac:dyDescent="0.25">
      <c r="A213" t="s">
        <v>9616</v>
      </c>
      <c r="C213" t="s">
        <v>9617</v>
      </c>
      <c r="D213" t="str">
        <f>"10121182"</f>
        <v>10121182</v>
      </c>
      <c r="E213" t="s">
        <v>9750</v>
      </c>
      <c r="F213" s="1">
        <v>43914</v>
      </c>
      <c r="G213" t="str">
        <f>"300115"</f>
        <v>300115</v>
      </c>
      <c r="H213" t="s">
        <v>2938</v>
      </c>
      <c r="I213">
        <v>283950.61200000002</v>
      </c>
    </row>
    <row r="214" spans="1:9" x14ac:dyDescent="0.25">
      <c r="A214" t="s">
        <v>9616</v>
      </c>
      <c r="C214" t="s">
        <v>9617</v>
      </c>
      <c r="D214" t="str">
        <f>"148120"</f>
        <v>148120</v>
      </c>
      <c r="E214" t="s">
        <v>9720</v>
      </c>
      <c r="F214" s="1">
        <v>43915</v>
      </c>
      <c r="G214" t="str">
        <f>"300101"</f>
        <v>300101</v>
      </c>
      <c r="H214" t="s">
        <v>2926</v>
      </c>
      <c r="I214">
        <v>781.46</v>
      </c>
    </row>
    <row r="215" spans="1:9" x14ac:dyDescent="0.25">
      <c r="A215" t="s">
        <v>9616</v>
      </c>
      <c r="C215" t="s">
        <v>9617</v>
      </c>
      <c r="D215" t="str">
        <f>"148220"</f>
        <v>148220</v>
      </c>
      <c r="E215" t="s">
        <v>9730</v>
      </c>
      <c r="F215" s="1">
        <v>43915</v>
      </c>
      <c r="G215" t="str">
        <f>"300101"</f>
        <v>300101</v>
      </c>
      <c r="H215" t="s">
        <v>2926</v>
      </c>
      <c r="I215">
        <v>2163.7800000000002</v>
      </c>
    </row>
    <row r="216" spans="1:9" x14ac:dyDescent="0.25">
      <c r="A216" t="s">
        <v>9616</v>
      </c>
      <c r="C216" t="s">
        <v>9617</v>
      </c>
      <c r="D216" t="str">
        <f>"164720"</f>
        <v>164720</v>
      </c>
      <c r="E216" t="s">
        <v>9751</v>
      </c>
      <c r="F216" s="1">
        <v>43915</v>
      </c>
      <c r="G216" t="str">
        <f>"300101"</f>
        <v>300101</v>
      </c>
      <c r="H216" t="s">
        <v>2926</v>
      </c>
      <c r="I216">
        <v>3141.48</v>
      </c>
    </row>
    <row r="217" spans="1:9" x14ac:dyDescent="0.25">
      <c r="A217" t="s">
        <v>9616</v>
      </c>
      <c r="C217" t="s">
        <v>9617</v>
      </c>
      <c r="D217" t="str">
        <f>"168620"</f>
        <v>168620</v>
      </c>
      <c r="E217" t="s">
        <v>9752</v>
      </c>
      <c r="F217" s="1">
        <v>43916</v>
      </c>
      <c r="G217" t="str">
        <f>"300101"</f>
        <v>300101</v>
      </c>
      <c r="H217" t="s">
        <v>2926</v>
      </c>
      <c r="I217">
        <v>3331.2</v>
      </c>
    </row>
    <row r="218" spans="1:9" x14ac:dyDescent="0.25">
      <c r="A218" t="s">
        <v>9616</v>
      </c>
      <c r="C218" t="s">
        <v>9617</v>
      </c>
      <c r="D218" t="str">
        <f>"10121336"</f>
        <v>10121336</v>
      </c>
      <c r="E218" t="s">
        <v>9753</v>
      </c>
      <c r="F218" s="1">
        <v>43917</v>
      </c>
      <c r="G218" t="str">
        <f>"300115"</f>
        <v>300115</v>
      </c>
      <c r="H218" t="s">
        <v>2938</v>
      </c>
      <c r="I218">
        <v>283561.86099999998</v>
      </c>
    </row>
    <row r="219" spans="1:9" x14ac:dyDescent="0.25">
      <c r="A219" t="s">
        <v>9616</v>
      </c>
      <c r="C219" t="s">
        <v>9617</v>
      </c>
      <c r="D219" t="str">
        <f>"20054510"</f>
        <v>20054510</v>
      </c>
      <c r="E219" t="s">
        <v>9731</v>
      </c>
      <c r="F219" s="1">
        <v>43920</v>
      </c>
      <c r="G219" t="str">
        <f>"300043"</f>
        <v>300043</v>
      </c>
      <c r="H219" t="s">
        <v>2876</v>
      </c>
      <c r="I219">
        <v>2079</v>
      </c>
    </row>
    <row r="220" spans="1:9" x14ac:dyDescent="0.25">
      <c r="A220" t="s">
        <v>9616</v>
      </c>
      <c r="C220" t="s">
        <v>9617</v>
      </c>
      <c r="D220" t="str">
        <f>"20054511"</f>
        <v>20054511</v>
      </c>
      <c r="E220" t="s">
        <v>9736</v>
      </c>
      <c r="F220" s="1">
        <v>43920</v>
      </c>
      <c r="G220" t="str">
        <f>"300043"</f>
        <v>300043</v>
      </c>
      <c r="H220" t="s">
        <v>2876</v>
      </c>
      <c r="I220">
        <v>927</v>
      </c>
    </row>
    <row r="221" spans="1:9" x14ac:dyDescent="0.25">
      <c r="A221" t="s">
        <v>9616</v>
      </c>
      <c r="C221" t="s">
        <v>9617</v>
      </c>
      <c r="D221" t="str">
        <f>"20054512"</f>
        <v>20054512</v>
      </c>
      <c r="E221" t="s">
        <v>9745</v>
      </c>
      <c r="F221" s="1">
        <v>43920</v>
      </c>
      <c r="G221" t="str">
        <f>"300043"</f>
        <v>300043</v>
      </c>
      <c r="H221" t="s">
        <v>2876</v>
      </c>
      <c r="I221">
        <v>647</v>
      </c>
    </row>
    <row r="222" spans="1:9" x14ac:dyDescent="0.25">
      <c r="A222" t="s">
        <v>9616</v>
      </c>
      <c r="C222" t="s">
        <v>9617</v>
      </c>
      <c r="D222" t="str">
        <f>"168720"</f>
        <v>168720</v>
      </c>
      <c r="E222" t="s">
        <v>9754</v>
      </c>
      <c r="F222" s="1">
        <v>43920</v>
      </c>
      <c r="G222" t="str">
        <f>"300101"</f>
        <v>300101</v>
      </c>
      <c r="H222" t="s">
        <v>2926</v>
      </c>
      <c r="I222">
        <v>4033.38</v>
      </c>
    </row>
    <row r="223" spans="1:9" x14ac:dyDescent="0.25">
      <c r="A223" t="s">
        <v>9616</v>
      </c>
      <c r="C223" t="s">
        <v>9617</v>
      </c>
      <c r="D223" t="str">
        <f>"10121337"</f>
        <v>10121337</v>
      </c>
      <c r="E223" t="s">
        <v>9189</v>
      </c>
      <c r="F223" s="1">
        <v>43920</v>
      </c>
      <c r="G223" t="str">
        <f>"300115"</f>
        <v>300115</v>
      </c>
      <c r="H223" t="s">
        <v>2938</v>
      </c>
      <c r="I223">
        <v>283950.61200000002</v>
      </c>
    </row>
    <row r="224" spans="1:9" x14ac:dyDescent="0.25">
      <c r="A224" t="s">
        <v>9616</v>
      </c>
      <c r="C224" t="s">
        <v>9617</v>
      </c>
      <c r="D224" t="str">
        <f>"17645"</f>
        <v>17645</v>
      </c>
      <c r="E224" t="s">
        <v>9755</v>
      </c>
      <c r="F224" s="1">
        <v>43922</v>
      </c>
      <c r="G224" t="str">
        <f>"300043"</f>
        <v>300043</v>
      </c>
      <c r="H224" t="s">
        <v>2876</v>
      </c>
      <c r="I224">
        <v>1122</v>
      </c>
    </row>
    <row r="225" spans="1:9" x14ac:dyDescent="0.25">
      <c r="A225" t="s">
        <v>9616</v>
      </c>
      <c r="C225" t="s">
        <v>9617</v>
      </c>
      <c r="D225" t="str">
        <f>"20054732"</f>
        <v>20054732</v>
      </c>
      <c r="E225" t="s">
        <v>9740</v>
      </c>
      <c r="F225" s="1">
        <v>43922</v>
      </c>
      <c r="G225" t="str">
        <f>"300043"</f>
        <v>300043</v>
      </c>
      <c r="H225" t="s">
        <v>2876</v>
      </c>
      <c r="I225">
        <v>1846</v>
      </c>
    </row>
    <row r="226" spans="1:9" x14ac:dyDescent="0.25">
      <c r="A226" t="s">
        <v>9616</v>
      </c>
      <c r="C226" t="s">
        <v>9617</v>
      </c>
      <c r="D226" t="str">
        <f>"20054733"</f>
        <v>20054733</v>
      </c>
      <c r="E226" t="s">
        <v>9744</v>
      </c>
      <c r="F226" s="1">
        <v>43922</v>
      </c>
      <c r="G226" t="str">
        <f>"300043"</f>
        <v>300043</v>
      </c>
      <c r="H226" t="s">
        <v>2876</v>
      </c>
      <c r="I226">
        <v>652</v>
      </c>
    </row>
    <row r="227" spans="1:9" x14ac:dyDescent="0.25">
      <c r="A227" t="s">
        <v>9616</v>
      </c>
      <c r="C227" t="s">
        <v>9617</v>
      </c>
      <c r="D227" t="str">
        <f>"20054734"</f>
        <v>20054734</v>
      </c>
      <c r="E227" t="s">
        <v>9743</v>
      </c>
      <c r="F227" s="1">
        <v>43922</v>
      </c>
      <c r="G227" t="str">
        <f>"300043"</f>
        <v>300043</v>
      </c>
      <c r="H227" t="s">
        <v>2876</v>
      </c>
      <c r="I227">
        <v>421</v>
      </c>
    </row>
    <row r="228" spans="1:9" x14ac:dyDescent="0.25">
      <c r="A228" t="s">
        <v>9616</v>
      </c>
      <c r="C228" t="s">
        <v>9617</v>
      </c>
      <c r="D228" t="str">
        <f>"168220"</f>
        <v>168220</v>
      </c>
      <c r="E228" t="s">
        <v>9755</v>
      </c>
      <c r="F228" s="1">
        <v>43922</v>
      </c>
      <c r="G228" t="str">
        <f>"300101"</f>
        <v>300101</v>
      </c>
      <c r="H228" t="s">
        <v>2926</v>
      </c>
      <c r="I228">
        <v>3394.06</v>
      </c>
    </row>
    <row r="229" spans="1:9" x14ac:dyDescent="0.25">
      <c r="A229" t="s">
        <v>9616</v>
      </c>
      <c r="C229" t="s">
        <v>9617</v>
      </c>
      <c r="D229" t="str">
        <f>"10121407"</f>
        <v>10121407</v>
      </c>
      <c r="E229" t="s">
        <v>9756</v>
      </c>
      <c r="F229" s="1">
        <v>43922</v>
      </c>
      <c r="G229" t="str">
        <f>"300115"</f>
        <v>300115</v>
      </c>
      <c r="H229" t="s">
        <v>2938</v>
      </c>
      <c r="I229">
        <v>283950.61200000002</v>
      </c>
    </row>
    <row r="230" spans="1:9" x14ac:dyDescent="0.25">
      <c r="A230" t="s">
        <v>9616</v>
      </c>
      <c r="C230" t="s">
        <v>9617</v>
      </c>
      <c r="D230" t="str">
        <f>"168520"</f>
        <v>168520</v>
      </c>
      <c r="E230" t="s">
        <v>9757</v>
      </c>
      <c r="F230" s="1">
        <v>43923</v>
      </c>
      <c r="G230" t="str">
        <f>"300101"</f>
        <v>300101</v>
      </c>
      <c r="H230" t="s">
        <v>2926</v>
      </c>
      <c r="I230">
        <v>3412</v>
      </c>
    </row>
    <row r="231" spans="1:9" x14ac:dyDescent="0.25">
      <c r="A231" t="s">
        <v>9616</v>
      </c>
      <c r="C231" t="s">
        <v>9617</v>
      </c>
      <c r="D231" t="str">
        <f>"120310293"</f>
        <v>120310293</v>
      </c>
      <c r="E231" t="s">
        <v>9714</v>
      </c>
      <c r="F231" s="1">
        <v>43925</v>
      </c>
      <c r="G231" t="str">
        <f>"300080"</f>
        <v>300080</v>
      </c>
      <c r="H231" t="s">
        <v>2907</v>
      </c>
      <c r="I231">
        <v>123902.96</v>
      </c>
    </row>
    <row r="232" spans="1:9" x14ac:dyDescent="0.25">
      <c r="A232" t="s">
        <v>9616</v>
      </c>
      <c r="C232" t="s">
        <v>9617</v>
      </c>
      <c r="D232" t="str">
        <f>"20049793"</f>
        <v>20049793</v>
      </c>
      <c r="E232" t="s">
        <v>9746</v>
      </c>
      <c r="F232" s="1">
        <v>43927</v>
      </c>
      <c r="G232" t="str">
        <f>"300043"</f>
        <v>300043</v>
      </c>
      <c r="H232" t="s">
        <v>2876</v>
      </c>
      <c r="I232">
        <v>1795</v>
      </c>
    </row>
    <row r="233" spans="1:9" x14ac:dyDescent="0.25">
      <c r="A233" t="s">
        <v>9616</v>
      </c>
      <c r="C233" t="s">
        <v>9617</v>
      </c>
      <c r="D233" t="str">
        <f>"20049794"</f>
        <v>20049794</v>
      </c>
      <c r="E233" t="s">
        <v>9749</v>
      </c>
      <c r="F233" s="1">
        <v>43927</v>
      </c>
      <c r="G233" t="str">
        <f>"300043"</f>
        <v>300043</v>
      </c>
      <c r="H233" t="s">
        <v>2876</v>
      </c>
      <c r="I233">
        <v>762</v>
      </c>
    </row>
    <row r="234" spans="1:9" x14ac:dyDescent="0.25">
      <c r="A234" t="s">
        <v>9616</v>
      </c>
      <c r="C234" t="s">
        <v>9617</v>
      </c>
      <c r="D234" t="str">
        <f>"20049795"</f>
        <v>20049795</v>
      </c>
      <c r="E234" t="s">
        <v>9758</v>
      </c>
      <c r="F234" s="1">
        <v>43927</v>
      </c>
      <c r="G234" t="str">
        <f>"300043"</f>
        <v>300043</v>
      </c>
      <c r="H234" t="s">
        <v>2876</v>
      </c>
      <c r="I234">
        <v>253</v>
      </c>
    </row>
    <row r="235" spans="1:9" x14ac:dyDescent="0.25">
      <c r="A235" t="s">
        <v>9616</v>
      </c>
      <c r="C235" t="s">
        <v>9617</v>
      </c>
      <c r="D235" t="str">
        <f>"166920"</f>
        <v>166920</v>
      </c>
      <c r="E235" t="s">
        <v>9749</v>
      </c>
      <c r="F235" s="1">
        <v>43927</v>
      </c>
      <c r="G235" t="str">
        <f>"300101"</f>
        <v>300101</v>
      </c>
      <c r="H235" t="s">
        <v>2926</v>
      </c>
      <c r="I235">
        <v>309.69</v>
      </c>
    </row>
    <row r="236" spans="1:9" x14ac:dyDescent="0.25">
      <c r="A236" t="s">
        <v>9616</v>
      </c>
      <c r="C236" t="s">
        <v>9617</v>
      </c>
      <c r="D236" t="str">
        <f>"167020"</f>
        <v>167020</v>
      </c>
      <c r="E236" t="s">
        <v>9751</v>
      </c>
      <c r="F236" s="1">
        <v>43927</v>
      </c>
      <c r="G236" t="str">
        <f>"300101"</f>
        <v>300101</v>
      </c>
      <c r="H236" t="s">
        <v>2926</v>
      </c>
      <c r="I236">
        <v>314.48</v>
      </c>
    </row>
    <row r="237" spans="1:9" x14ac:dyDescent="0.25">
      <c r="A237" t="s">
        <v>9616</v>
      </c>
      <c r="C237" t="s">
        <v>9617</v>
      </c>
      <c r="D237" t="str">
        <f>"184420"</f>
        <v>184420</v>
      </c>
      <c r="E237" t="s">
        <v>9759</v>
      </c>
      <c r="F237" s="1">
        <v>43927</v>
      </c>
      <c r="G237" t="str">
        <f>"300101"</f>
        <v>300101</v>
      </c>
      <c r="H237" t="s">
        <v>2926</v>
      </c>
      <c r="I237">
        <v>3685.11</v>
      </c>
    </row>
    <row r="238" spans="1:9" x14ac:dyDescent="0.25">
      <c r="A238" t="s">
        <v>9616</v>
      </c>
      <c r="C238" t="s">
        <v>9617</v>
      </c>
      <c r="D238" t="str">
        <f>"10121501"</f>
        <v>10121501</v>
      </c>
      <c r="E238" t="s">
        <v>9708</v>
      </c>
      <c r="F238" s="1">
        <v>43927</v>
      </c>
      <c r="G238" t="str">
        <f>"300115"</f>
        <v>300115</v>
      </c>
      <c r="H238" t="s">
        <v>2938</v>
      </c>
      <c r="I238">
        <v>275583.429</v>
      </c>
    </row>
    <row r="239" spans="1:9" x14ac:dyDescent="0.25">
      <c r="A239" t="s">
        <v>9616</v>
      </c>
      <c r="C239" t="s">
        <v>9617</v>
      </c>
      <c r="D239" t="str">
        <f>"10121503"</f>
        <v>10121503</v>
      </c>
      <c r="E239" t="s">
        <v>9748</v>
      </c>
      <c r="F239" s="1">
        <v>43928</v>
      </c>
      <c r="G239" t="str">
        <f>"300115"</f>
        <v>300115</v>
      </c>
      <c r="H239" t="s">
        <v>2938</v>
      </c>
      <c r="I239">
        <v>33353.627999999997</v>
      </c>
    </row>
    <row r="240" spans="1:9" x14ac:dyDescent="0.25">
      <c r="A240" t="s">
        <v>9616</v>
      </c>
      <c r="C240" t="s">
        <v>9617</v>
      </c>
      <c r="D240" t="str">
        <f>"10121504"</f>
        <v>10121504</v>
      </c>
      <c r="E240" t="s">
        <v>9760</v>
      </c>
      <c r="F240" s="1">
        <v>43928</v>
      </c>
      <c r="G240" t="str">
        <f>"300115"</f>
        <v>300115</v>
      </c>
      <c r="H240" t="s">
        <v>2938</v>
      </c>
      <c r="I240">
        <v>164504.14420000001</v>
      </c>
    </row>
    <row r="241" spans="1:9" x14ac:dyDescent="0.25">
      <c r="A241" t="s">
        <v>9616</v>
      </c>
      <c r="C241" t="s">
        <v>9617</v>
      </c>
      <c r="D241" t="str">
        <f>"2002043"</f>
        <v>2002043</v>
      </c>
      <c r="E241" t="s">
        <v>9761</v>
      </c>
      <c r="F241" s="1">
        <v>43928</v>
      </c>
      <c r="G241" t="str">
        <f>"300235"</f>
        <v>300235</v>
      </c>
      <c r="H241" t="s">
        <v>3034</v>
      </c>
      <c r="I241">
        <v>5679.98</v>
      </c>
    </row>
    <row r="242" spans="1:9" x14ac:dyDescent="0.25">
      <c r="A242" t="s">
        <v>9616</v>
      </c>
      <c r="C242" t="s">
        <v>9617</v>
      </c>
      <c r="D242" t="str">
        <f>"44559"</f>
        <v>44559</v>
      </c>
      <c r="E242" t="s">
        <v>9761</v>
      </c>
      <c r="F242" s="1">
        <v>43929</v>
      </c>
      <c r="G242" t="str">
        <f>"300043"</f>
        <v>300043</v>
      </c>
      <c r="H242" t="s">
        <v>2876</v>
      </c>
      <c r="I242">
        <v>588</v>
      </c>
    </row>
    <row r="243" spans="1:9" x14ac:dyDescent="0.25">
      <c r="A243" t="s">
        <v>9616</v>
      </c>
      <c r="C243" t="s">
        <v>9617</v>
      </c>
      <c r="D243" t="str">
        <f>"184620"</f>
        <v>184620</v>
      </c>
      <c r="E243" t="s">
        <v>9762</v>
      </c>
      <c r="F243" s="1">
        <v>43929</v>
      </c>
      <c r="G243" t="str">
        <f>"300101"</f>
        <v>300101</v>
      </c>
      <c r="H243" t="s">
        <v>2926</v>
      </c>
      <c r="I243">
        <v>3244.17</v>
      </c>
    </row>
    <row r="244" spans="1:9" x14ac:dyDescent="0.25">
      <c r="A244" t="s">
        <v>9616</v>
      </c>
      <c r="C244" t="s">
        <v>9617</v>
      </c>
      <c r="D244" t="str">
        <f>"20052217"</f>
        <v>20052217</v>
      </c>
      <c r="E244" t="s">
        <v>9751</v>
      </c>
      <c r="F244" s="1">
        <v>43930</v>
      </c>
      <c r="G244" t="str">
        <f>"300043"</f>
        <v>300043</v>
      </c>
      <c r="H244" t="s">
        <v>2876</v>
      </c>
      <c r="I244">
        <v>2794</v>
      </c>
    </row>
    <row r="245" spans="1:9" x14ac:dyDescent="0.25">
      <c r="A245" t="s">
        <v>9616</v>
      </c>
      <c r="C245" t="s">
        <v>9617</v>
      </c>
      <c r="D245" t="str">
        <f>"20052218"</f>
        <v>20052218</v>
      </c>
      <c r="E245" t="s">
        <v>9752</v>
      </c>
      <c r="F245" s="1">
        <v>43930</v>
      </c>
      <c r="G245" t="str">
        <f>"300043"</f>
        <v>300043</v>
      </c>
      <c r="H245" t="s">
        <v>2876</v>
      </c>
      <c r="I245">
        <v>1079</v>
      </c>
    </row>
    <row r="246" spans="1:9" x14ac:dyDescent="0.25">
      <c r="A246" t="s">
        <v>9616</v>
      </c>
      <c r="C246" t="s">
        <v>9617</v>
      </c>
      <c r="D246" t="str">
        <f>"184520"</f>
        <v>184520</v>
      </c>
      <c r="E246" t="s">
        <v>9763</v>
      </c>
      <c r="F246" s="1">
        <v>43930</v>
      </c>
      <c r="G246" t="str">
        <f>"300101"</f>
        <v>300101</v>
      </c>
      <c r="H246" t="s">
        <v>2926</v>
      </c>
      <c r="I246">
        <v>3406.58</v>
      </c>
    </row>
    <row r="247" spans="1:9" x14ac:dyDescent="0.25">
      <c r="A247" t="s">
        <v>9616</v>
      </c>
      <c r="C247" t="s">
        <v>9617</v>
      </c>
      <c r="D247" t="str">
        <f>"200854"</f>
        <v>200854</v>
      </c>
      <c r="E247" t="s">
        <v>9727</v>
      </c>
      <c r="F247" s="1">
        <v>43930</v>
      </c>
      <c r="G247" t="str">
        <f>"300301"</f>
        <v>300301</v>
      </c>
      <c r="H247" t="s">
        <v>3043</v>
      </c>
      <c r="I247">
        <v>7328.8</v>
      </c>
    </row>
    <row r="248" spans="1:9" x14ac:dyDescent="0.25">
      <c r="A248" t="s">
        <v>9616</v>
      </c>
      <c r="C248" t="s">
        <v>9617</v>
      </c>
      <c r="D248" t="s">
        <v>9764</v>
      </c>
      <c r="E248" t="s">
        <v>9167</v>
      </c>
      <c r="F248" s="1">
        <v>43931</v>
      </c>
      <c r="G248" t="str">
        <f>"300081"</f>
        <v>300081</v>
      </c>
      <c r="H248" t="s">
        <v>2045</v>
      </c>
      <c r="I248">
        <v>91761.67</v>
      </c>
    </row>
    <row r="249" spans="1:9" x14ac:dyDescent="0.25">
      <c r="A249" t="s">
        <v>9616</v>
      </c>
      <c r="C249" t="s">
        <v>9617</v>
      </c>
      <c r="D249" t="str">
        <f>"179820"</f>
        <v>179820</v>
      </c>
      <c r="E249" t="s">
        <v>9757</v>
      </c>
      <c r="F249" s="1">
        <v>43934</v>
      </c>
      <c r="G249" t="str">
        <f>"300101"</f>
        <v>300101</v>
      </c>
      <c r="H249" t="s">
        <v>2926</v>
      </c>
      <c r="I249">
        <v>488.05</v>
      </c>
    </row>
    <row r="250" spans="1:9" x14ac:dyDescent="0.25">
      <c r="A250" t="s">
        <v>9616</v>
      </c>
      <c r="C250" t="s">
        <v>9617</v>
      </c>
      <c r="D250" t="str">
        <f>"200897"</f>
        <v>200897</v>
      </c>
      <c r="E250" t="s">
        <v>9732</v>
      </c>
      <c r="F250" s="1">
        <v>43934</v>
      </c>
      <c r="G250" t="str">
        <f>"300301"</f>
        <v>300301</v>
      </c>
      <c r="H250" t="s">
        <v>3043</v>
      </c>
      <c r="I250">
        <v>9534.82</v>
      </c>
    </row>
    <row r="251" spans="1:9" x14ac:dyDescent="0.25">
      <c r="A251" t="s">
        <v>9616</v>
      </c>
      <c r="C251" t="s">
        <v>9617</v>
      </c>
      <c r="D251" t="str">
        <f>"10121610"</f>
        <v>10121610</v>
      </c>
      <c r="E251" t="s">
        <v>2172</v>
      </c>
      <c r="F251" s="1">
        <v>43935</v>
      </c>
      <c r="G251" t="str">
        <f t="shared" ref="G251:G257" si="0">"300115"</f>
        <v>300115</v>
      </c>
      <c r="H251" t="s">
        <v>2938</v>
      </c>
      <c r="I251">
        <v>184458.08369999999</v>
      </c>
    </row>
    <row r="252" spans="1:9" x14ac:dyDescent="0.25">
      <c r="A252" t="s">
        <v>9616</v>
      </c>
      <c r="C252" t="s">
        <v>9617</v>
      </c>
      <c r="D252" t="str">
        <f>"20011889"</f>
        <v>20011889</v>
      </c>
      <c r="E252" t="s">
        <v>9765</v>
      </c>
      <c r="F252" s="1">
        <v>43935</v>
      </c>
      <c r="G252" t="str">
        <f t="shared" si="0"/>
        <v>300115</v>
      </c>
      <c r="H252" t="s">
        <v>2938</v>
      </c>
      <c r="I252">
        <v>1247.884</v>
      </c>
    </row>
    <row r="253" spans="1:9" x14ac:dyDescent="0.25">
      <c r="A253" t="s">
        <v>9616</v>
      </c>
      <c r="C253" t="s">
        <v>9617</v>
      </c>
      <c r="D253" t="str">
        <f>"10121633"</f>
        <v>10121633</v>
      </c>
      <c r="E253" t="s">
        <v>9766</v>
      </c>
      <c r="F253" s="1">
        <v>43936</v>
      </c>
      <c r="G253" t="str">
        <f t="shared" si="0"/>
        <v>300115</v>
      </c>
      <c r="H253" t="s">
        <v>2938</v>
      </c>
      <c r="I253">
        <v>305922.04499999998</v>
      </c>
    </row>
    <row r="254" spans="1:9" x14ac:dyDescent="0.25">
      <c r="A254" t="s">
        <v>9616</v>
      </c>
      <c r="C254" t="s">
        <v>9617</v>
      </c>
      <c r="D254" t="str">
        <f>"10121634"</f>
        <v>10121634</v>
      </c>
      <c r="E254" t="s">
        <v>9767</v>
      </c>
      <c r="F254" s="1">
        <v>43936</v>
      </c>
      <c r="G254" t="str">
        <f t="shared" si="0"/>
        <v>300115</v>
      </c>
      <c r="H254" t="s">
        <v>2938</v>
      </c>
      <c r="I254">
        <v>176161.44039999999</v>
      </c>
    </row>
    <row r="255" spans="1:9" x14ac:dyDescent="0.25">
      <c r="A255" t="s">
        <v>9616</v>
      </c>
      <c r="C255" t="s">
        <v>9617</v>
      </c>
      <c r="D255" t="str">
        <f>"10121693"</f>
        <v>10121693</v>
      </c>
      <c r="E255" t="s">
        <v>9719</v>
      </c>
      <c r="F255" s="1">
        <v>43937</v>
      </c>
      <c r="G255" t="str">
        <f t="shared" si="0"/>
        <v>300115</v>
      </c>
      <c r="H255" t="s">
        <v>2938</v>
      </c>
      <c r="I255">
        <v>150606.25140000001</v>
      </c>
    </row>
    <row r="256" spans="1:9" x14ac:dyDescent="0.25">
      <c r="A256" t="s">
        <v>9616</v>
      </c>
      <c r="C256" t="s">
        <v>9617</v>
      </c>
      <c r="D256" t="str">
        <f>"10121699"</f>
        <v>10121699</v>
      </c>
      <c r="E256" t="s">
        <v>9768</v>
      </c>
      <c r="F256" s="1">
        <v>43938</v>
      </c>
      <c r="G256" t="str">
        <f t="shared" si="0"/>
        <v>300115</v>
      </c>
      <c r="H256" t="s">
        <v>2938</v>
      </c>
      <c r="I256">
        <v>281794.55699999997</v>
      </c>
    </row>
    <row r="257" spans="1:9" x14ac:dyDescent="0.25">
      <c r="A257" t="s">
        <v>9616</v>
      </c>
      <c r="C257" t="s">
        <v>9617</v>
      </c>
      <c r="D257" t="str">
        <f>"10121705"</f>
        <v>10121705</v>
      </c>
      <c r="E257" t="s">
        <v>9189</v>
      </c>
      <c r="F257" s="1">
        <v>43938</v>
      </c>
      <c r="G257" t="str">
        <f t="shared" si="0"/>
        <v>300115</v>
      </c>
      <c r="H257" t="s">
        <v>2938</v>
      </c>
      <c r="I257">
        <v>275583.429</v>
      </c>
    </row>
    <row r="258" spans="1:9" x14ac:dyDescent="0.25">
      <c r="A258" t="s">
        <v>9616</v>
      </c>
      <c r="C258" t="s">
        <v>9617</v>
      </c>
      <c r="D258" t="str">
        <f>"200520"</f>
        <v>200520</v>
      </c>
      <c r="E258" t="s">
        <v>9769</v>
      </c>
      <c r="F258" s="1">
        <v>43941</v>
      </c>
      <c r="G258" t="str">
        <f t="shared" ref="G258:G263" si="1">"300101"</f>
        <v>300101</v>
      </c>
      <c r="H258" t="s">
        <v>2926</v>
      </c>
      <c r="I258">
        <v>4197.83</v>
      </c>
    </row>
    <row r="259" spans="1:9" x14ac:dyDescent="0.25">
      <c r="A259" t="s">
        <v>9616</v>
      </c>
      <c r="C259" t="s">
        <v>9617</v>
      </c>
      <c r="D259" t="str">
        <f>"200720"</f>
        <v>200720</v>
      </c>
      <c r="E259" t="s">
        <v>9770</v>
      </c>
      <c r="F259" s="1">
        <v>43941</v>
      </c>
      <c r="G259" t="str">
        <f t="shared" si="1"/>
        <v>300101</v>
      </c>
      <c r="H259" t="s">
        <v>2926</v>
      </c>
      <c r="I259">
        <v>3862.21</v>
      </c>
    </row>
    <row r="260" spans="1:9" x14ac:dyDescent="0.25">
      <c r="A260" t="s">
        <v>9616</v>
      </c>
      <c r="C260" t="s">
        <v>9617</v>
      </c>
      <c r="D260" t="str">
        <f>"200820"</f>
        <v>200820</v>
      </c>
      <c r="E260" t="s">
        <v>9771</v>
      </c>
      <c r="F260" s="1">
        <v>43941</v>
      </c>
      <c r="G260" t="str">
        <f t="shared" si="1"/>
        <v>300101</v>
      </c>
      <c r="H260" t="s">
        <v>2926</v>
      </c>
      <c r="I260">
        <v>3713.34</v>
      </c>
    </row>
    <row r="261" spans="1:9" x14ac:dyDescent="0.25">
      <c r="A261" t="s">
        <v>9616</v>
      </c>
      <c r="C261" t="s">
        <v>9617</v>
      </c>
      <c r="D261" t="str">
        <f>"200920"</f>
        <v>200920</v>
      </c>
      <c r="E261" t="s">
        <v>9772</v>
      </c>
      <c r="F261" s="1">
        <v>43941</v>
      </c>
      <c r="G261" t="str">
        <f t="shared" si="1"/>
        <v>300101</v>
      </c>
      <c r="H261" t="s">
        <v>2926</v>
      </c>
      <c r="I261">
        <v>3862.21</v>
      </c>
    </row>
    <row r="262" spans="1:9" x14ac:dyDescent="0.25">
      <c r="A262" t="s">
        <v>9616</v>
      </c>
      <c r="C262" t="s">
        <v>9617</v>
      </c>
      <c r="D262" t="str">
        <f>"199720"</f>
        <v>199720</v>
      </c>
      <c r="E262" t="s">
        <v>9773</v>
      </c>
      <c r="F262" s="1">
        <v>43942</v>
      </c>
      <c r="G262" t="str">
        <f t="shared" si="1"/>
        <v>300101</v>
      </c>
      <c r="H262" t="s">
        <v>2926</v>
      </c>
      <c r="I262">
        <v>3820.04</v>
      </c>
    </row>
    <row r="263" spans="1:9" x14ac:dyDescent="0.25">
      <c r="A263" t="s">
        <v>9616</v>
      </c>
      <c r="C263" t="s">
        <v>9617</v>
      </c>
      <c r="D263" t="str">
        <f>"200620"</f>
        <v>200620</v>
      </c>
      <c r="E263" t="s">
        <v>9774</v>
      </c>
      <c r="F263" s="1">
        <v>43942</v>
      </c>
      <c r="G263" t="str">
        <f t="shared" si="1"/>
        <v>300101</v>
      </c>
      <c r="H263" t="s">
        <v>2926</v>
      </c>
      <c r="I263">
        <v>3503.54</v>
      </c>
    </row>
    <row r="264" spans="1:9" x14ac:dyDescent="0.25">
      <c r="A264" t="s">
        <v>9616</v>
      </c>
      <c r="C264" t="s">
        <v>9617</v>
      </c>
      <c r="D264" t="str">
        <f>"10121792"</f>
        <v>10121792</v>
      </c>
      <c r="E264" t="s">
        <v>9189</v>
      </c>
      <c r="F264" s="1">
        <v>43942</v>
      </c>
      <c r="G264" t="str">
        <f>"300115"</f>
        <v>300115</v>
      </c>
      <c r="H264" t="s">
        <v>2938</v>
      </c>
      <c r="I264">
        <v>275583.429</v>
      </c>
    </row>
    <row r="265" spans="1:9" x14ac:dyDescent="0.25">
      <c r="A265" t="s">
        <v>9616</v>
      </c>
      <c r="C265" t="s">
        <v>9617</v>
      </c>
      <c r="D265" t="str">
        <f>"10121814"</f>
        <v>10121814</v>
      </c>
      <c r="E265" t="s">
        <v>9633</v>
      </c>
      <c r="F265" s="1">
        <v>43942</v>
      </c>
      <c r="G265" t="str">
        <f>"300115"</f>
        <v>300115</v>
      </c>
      <c r="H265" t="s">
        <v>2938</v>
      </c>
      <c r="I265">
        <v>95334.096000000005</v>
      </c>
    </row>
    <row r="266" spans="1:9" x14ac:dyDescent="0.25">
      <c r="A266" t="s">
        <v>9616</v>
      </c>
      <c r="C266" t="s">
        <v>9617</v>
      </c>
      <c r="D266" t="str">
        <f>"10121815"</f>
        <v>10121815</v>
      </c>
      <c r="E266" t="s">
        <v>9207</v>
      </c>
      <c r="F266" s="1">
        <v>43942</v>
      </c>
      <c r="G266" t="str">
        <f>"300115"</f>
        <v>300115</v>
      </c>
      <c r="H266" t="s">
        <v>2938</v>
      </c>
      <c r="I266">
        <v>123606.38400000001</v>
      </c>
    </row>
    <row r="267" spans="1:9" x14ac:dyDescent="0.25">
      <c r="A267" t="s">
        <v>9616</v>
      </c>
      <c r="C267" t="s">
        <v>9617</v>
      </c>
      <c r="D267" t="str">
        <f>"10121816"</f>
        <v>10121816</v>
      </c>
      <c r="E267" t="s">
        <v>9189</v>
      </c>
      <c r="F267" s="1">
        <v>43942</v>
      </c>
      <c r="G267" t="str">
        <f>"300115"</f>
        <v>300115</v>
      </c>
      <c r="H267" t="s">
        <v>2938</v>
      </c>
      <c r="I267">
        <v>238154.8389</v>
      </c>
    </row>
    <row r="268" spans="1:9" x14ac:dyDescent="0.25">
      <c r="A268" t="s">
        <v>9616</v>
      </c>
      <c r="C268" t="s">
        <v>9617</v>
      </c>
      <c r="D268" t="str">
        <f>"10121817"</f>
        <v>10121817</v>
      </c>
      <c r="E268" t="s">
        <v>9183</v>
      </c>
      <c r="F268" s="1">
        <v>43942</v>
      </c>
      <c r="G268" t="str">
        <f>"300115"</f>
        <v>300115</v>
      </c>
      <c r="H268" t="s">
        <v>2938</v>
      </c>
      <c r="I268">
        <v>91662.384000000005</v>
      </c>
    </row>
    <row r="269" spans="1:9" x14ac:dyDescent="0.25">
      <c r="A269" t="s">
        <v>9616</v>
      </c>
      <c r="C269" t="s">
        <v>9617</v>
      </c>
      <c r="D269" t="str">
        <f>"20053134"</f>
        <v>20053134</v>
      </c>
      <c r="E269" t="s">
        <v>9754</v>
      </c>
      <c r="F269" s="1">
        <v>43943</v>
      </c>
      <c r="G269" t="str">
        <f>"300043"</f>
        <v>300043</v>
      </c>
      <c r="H269" t="s">
        <v>2876</v>
      </c>
      <c r="I269">
        <v>2932</v>
      </c>
    </row>
    <row r="270" spans="1:9" x14ac:dyDescent="0.25">
      <c r="A270" t="s">
        <v>9616</v>
      </c>
      <c r="C270" t="s">
        <v>9617</v>
      </c>
      <c r="D270" t="str">
        <f>"20053135"</f>
        <v>20053135</v>
      </c>
      <c r="E270" t="s">
        <v>9757</v>
      </c>
      <c r="F270" s="1">
        <v>43943</v>
      </c>
      <c r="G270" t="str">
        <f>"300043"</f>
        <v>300043</v>
      </c>
      <c r="H270" t="s">
        <v>2876</v>
      </c>
      <c r="I270">
        <v>1118</v>
      </c>
    </row>
    <row r="271" spans="1:9" x14ac:dyDescent="0.25">
      <c r="A271" t="s">
        <v>9616</v>
      </c>
      <c r="C271" t="s">
        <v>9617</v>
      </c>
      <c r="D271" t="str">
        <f>"2000424"</f>
        <v>2000424</v>
      </c>
      <c r="E271" t="s">
        <v>9775</v>
      </c>
      <c r="F271" s="1">
        <v>43943</v>
      </c>
      <c r="G271" t="str">
        <f>"300064"</f>
        <v>300064</v>
      </c>
      <c r="H271" t="s">
        <v>2896</v>
      </c>
      <c r="I271">
        <v>45100</v>
      </c>
    </row>
    <row r="272" spans="1:9" x14ac:dyDescent="0.25">
      <c r="A272" t="s">
        <v>9616</v>
      </c>
      <c r="C272" t="s">
        <v>9617</v>
      </c>
      <c r="D272" t="str">
        <f>"2000425"</f>
        <v>2000425</v>
      </c>
      <c r="E272" t="s">
        <v>9776</v>
      </c>
      <c r="F272" s="1">
        <v>43943</v>
      </c>
      <c r="G272" t="str">
        <f>"300064"</f>
        <v>300064</v>
      </c>
      <c r="H272" t="s">
        <v>2896</v>
      </c>
      <c r="I272">
        <v>18560</v>
      </c>
    </row>
    <row r="273" spans="1:9" x14ac:dyDescent="0.25">
      <c r="A273" t="s">
        <v>9616</v>
      </c>
      <c r="C273" t="s">
        <v>9617</v>
      </c>
      <c r="D273" t="s">
        <v>9777</v>
      </c>
      <c r="E273" t="s">
        <v>9778</v>
      </c>
      <c r="F273" s="1">
        <v>43943</v>
      </c>
      <c r="G273" t="str">
        <f>"300064"</f>
        <v>300064</v>
      </c>
      <c r="H273" t="s">
        <v>2896</v>
      </c>
      <c r="I273">
        <v>13083.6</v>
      </c>
    </row>
    <row r="274" spans="1:9" x14ac:dyDescent="0.25">
      <c r="A274" t="s">
        <v>9616</v>
      </c>
      <c r="C274" t="s">
        <v>9617</v>
      </c>
      <c r="D274" t="str">
        <f>"10121843"</f>
        <v>10121843</v>
      </c>
      <c r="E274" t="s">
        <v>9768</v>
      </c>
      <c r="F274" s="1">
        <v>43943</v>
      </c>
      <c r="G274" t="str">
        <f>"300115"</f>
        <v>300115</v>
      </c>
      <c r="H274" t="s">
        <v>2938</v>
      </c>
      <c r="I274">
        <v>273492.549</v>
      </c>
    </row>
    <row r="275" spans="1:9" x14ac:dyDescent="0.25">
      <c r="A275" t="s">
        <v>9616</v>
      </c>
      <c r="C275" t="s">
        <v>9617</v>
      </c>
      <c r="D275" t="str">
        <f>"19590"</f>
        <v>19590</v>
      </c>
      <c r="E275" t="s">
        <v>9773</v>
      </c>
      <c r="F275" s="1">
        <v>43944</v>
      </c>
      <c r="G275" t="str">
        <f>"300043"</f>
        <v>300043</v>
      </c>
      <c r="H275" t="s">
        <v>2876</v>
      </c>
      <c r="I275">
        <v>1093</v>
      </c>
    </row>
    <row r="276" spans="1:9" x14ac:dyDescent="0.25">
      <c r="A276" t="s">
        <v>9616</v>
      </c>
      <c r="C276" t="s">
        <v>9617</v>
      </c>
      <c r="D276" t="str">
        <f>"19889"</f>
        <v>19889</v>
      </c>
      <c r="E276" t="s">
        <v>9779</v>
      </c>
      <c r="F276" s="1">
        <v>43944</v>
      </c>
      <c r="G276" t="str">
        <f>"300043"</f>
        <v>300043</v>
      </c>
      <c r="H276" t="s">
        <v>2876</v>
      </c>
      <c r="I276">
        <v>1073</v>
      </c>
    </row>
    <row r="277" spans="1:9" x14ac:dyDescent="0.25">
      <c r="A277" t="s">
        <v>9616</v>
      </c>
      <c r="C277" t="s">
        <v>9617</v>
      </c>
      <c r="D277" t="str">
        <f>"200120"</f>
        <v>200120</v>
      </c>
      <c r="E277" t="s">
        <v>9779</v>
      </c>
      <c r="F277" s="1">
        <v>43944</v>
      </c>
      <c r="G277" t="str">
        <f>"300101"</f>
        <v>300101</v>
      </c>
      <c r="H277" t="s">
        <v>2926</v>
      </c>
      <c r="I277">
        <v>3956.35</v>
      </c>
    </row>
    <row r="278" spans="1:9" x14ac:dyDescent="0.25">
      <c r="A278" t="s">
        <v>9616</v>
      </c>
      <c r="C278" t="s">
        <v>9617</v>
      </c>
      <c r="D278" t="str">
        <f>"10121869"</f>
        <v>10121869</v>
      </c>
      <c r="E278" t="s">
        <v>9194</v>
      </c>
      <c r="F278" s="1">
        <v>43944</v>
      </c>
      <c r="G278" t="str">
        <f>"300115"</f>
        <v>300115</v>
      </c>
      <c r="H278" t="s">
        <v>2938</v>
      </c>
      <c r="I278">
        <v>150602.1</v>
      </c>
    </row>
    <row r="279" spans="1:9" x14ac:dyDescent="0.25">
      <c r="A279" t="s">
        <v>9616</v>
      </c>
      <c r="C279" t="s">
        <v>9617</v>
      </c>
      <c r="D279" t="s">
        <v>9780</v>
      </c>
      <c r="E279" t="s">
        <v>9629</v>
      </c>
      <c r="F279" s="1">
        <v>43944</v>
      </c>
      <c r="G279" t="str">
        <f>"300133"</f>
        <v>300133</v>
      </c>
      <c r="H279" t="s">
        <v>2955</v>
      </c>
      <c r="I279">
        <v>48753</v>
      </c>
    </row>
    <row r="280" spans="1:9" x14ac:dyDescent="0.25">
      <c r="A280" t="s">
        <v>9616</v>
      </c>
      <c r="C280" t="s">
        <v>9617</v>
      </c>
      <c r="D280" t="str">
        <f>"3634"</f>
        <v>3634</v>
      </c>
      <c r="E280" t="s">
        <v>9781</v>
      </c>
      <c r="F280" s="1">
        <v>43945</v>
      </c>
      <c r="G280" t="str">
        <f t="shared" ref="G280:G285" si="2">"300043"</f>
        <v>300043</v>
      </c>
      <c r="H280" t="s">
        <v>2876</v>
      </c>
      <c r="I280">
        <v>956</v>
      </c>
    </row>
    <row r="281" spans="1:9" x14ac:dyDescent="0.25">
      <c r="A281" t="s">
        <v>9616</v>
      </c>
      <c r="C281" t="s">
        <v>9617</v>
      </c>
      <c r="D281" t="str">
        <f>"20015"</f>
        <v>20015</v>
      </c>
      <c r="E281" t="s">
        <v>9782</v>
      </c>
      <c r="F281" s="1">
        <v>43945</v>
      </c>
      <c r="G281" t="str">
        <f t="shared" si="2"/>
        <v>300043</v>
      </c>
      <c r="H281" t="s">
        <v>2876</v>
      </c>
      <c r="I281">
        <v>884</v>
      </c>
    </row>
    <row r="282" spans="1:9" x14ac:dyDescent="0.25">
      <c r="A282" t="s">
        <v>9616</v>
      </c>
      <c r="C282" t="s">
        <v>9617</v>
      </c>
      <c r="D282" t="str">
        <f>"20089"</f>
        <v>20089</v>
      </c>
      <c r="E282" t="s">
        <v>9783</v>
      </c>
      <c r="F282" s="1">
        <v>43945</v>
      </c>
      <c r="G282" t="str">
        <f t="shared" si="2"/>
        <v>300043</v>
      </c>
      <c r="H282" t="s">
        <v>2876</v>
      </c>
      <c r="I282">
        <v>465</v>
      </c>
    </row>
    <row r="283" spans="1:9" x14ac:dyDescent="0.25">
      <c r="A283" t="s">
        <v>9616</v>
      </c>
      <c r="C283" t="s">
        <v>9617</v>
      </c>
      <c r="D283" t="str">
        <f>"20097"</f>
        <v>20097</v>
      </c>
      <c r="E283" t="s">
        <v>9784</v>
      </c>
      <c r="F283" s="1">
        <v>43945</v>
      </c>
      <c r="G283" t="str">
        <f t="shared" si="2"/>
        <v>300043</v>
      </c>
      <c r="H283" t="s">
        <v>2876</v>
      </c>
      <c r="I283">
        <v>1058</v>
      </c>
    </row>
    <row r="284" spans="1:9" x14ac:dyDescent="0.25">
      <c r="A284" t="s">
        <v>9616</v>
      </c>
      <c r="C284" t="s">
        <v>9617</v>
      </c>
      <c r="D284" t="str">
        <f>"20053307"</f>
        <v>20053307</v>
      </c>
      <c r="E284" t="s">
        <v>9759</v>
      </c>
      <c r="F284" s="1">
        <v>43945</v>
      </c>
      <c r="G284" t="str">
        <f t="shared" si="2"/>
        <v>300043</v>
      </c>
      <c r="H284" t="s">
        <v>2876</v>
      </c>
      <c r="I284">
        <v>2974</v>
      </c>
    </row>
    <row r="285" spans="1:9" x14ac:dyDescent="0.25">
      <c r="A285" t="s">
        <v>9616</v>
      </c>
      <c r="C285" t="s">
        <v>9617</v>
      </c>
      <c r="D285" t="str">
        <f>"20053308"</f>
        <v>20053308</v>
      </c>
      <c r="E285" t="s">
        <v>9763</v>
      </c>
      <c r="F285" s="1">
        <v>43945</v>
      </c>
      <c r="G285" t="str">
        <f t="shared" si="2"/>
        <v>300043</v>
      </c>
      <c r="H285" t="s">
        <v>2876</v>
      </c>
      <c r="I285">
        <v>1097</v>
      </c>
    </row>
    <row r="286" spans="1:9" x14ac:dyDescent="0.25">
      <c r="A286" t="s">
        <v>9616</v>
      </c>
      <c r="C286" t="s">
        <v>9617</v>
      </c>
      <c r="D286" t="str">
        <f>"199920"</f>
        <v>199920</v>
      </c>
      <c r="E286" t="s">
        <v>9784</v>
      </c>
      <c r="F286" s="1">
        <v>43945</v>
      </c>
      <c r="G286" t="str">
        <f>"300101"</f>
        <v>300101</v>
      </c>
      <c r="H286" t="s">
        <v>2926</v>
      </c>
      <c r="I286">
        <v>3641.12</v>
      </c>
    </row>
    <row r="287" spans="1:9" x14ac:dyDescent="0.25">
      <c r="A287" t="s">
        <v>9616</v>
      </c>
      <c r="C287" t="s">
        <v>9617</v>
      </c>
      <c r="D287" t="str">
        <f>"200220"</f>
        <v>200220</v>
      </c>
      <c r="E287" t="s">
        <v>9781</v>
      </c>
      <c r="F287" s="1">
        <v>43945</v>
      </c>
      <c r="G287" t="str">
        <f>"300101"</f>
        <v>300101</v>
      </c>
      <c r="H287" t="s">
        <v>2926</v>
      </c>
      <c r="I287">
        <v>3482.16</v>
      </c>
    </row>
    <row r="288" spans="1:9" x14ac:dyDescent="0.25">
      <c r="A288" t="s">
        <v>9616</v>
      </c>
      <c r="C288" t="s">
        <v>9617</v>
      </c>
      <c r="D288" t="str">
        <f>"200320"</f>
        <v>200320</v>
      </c>
      <c r="E288" t="s">
        <v>9783</v>
      </c>
      <c r="F288" s="1">
        <v>43945</v>
      </c>
      <c r="G288" t="str">
        <f>"300101"</f>
        <v>300101</v>
      </c>
      <c r="H288" t="s">
        <v>2926</v>
      </c>
      <c r="I288">
        <v>3168.23</v>
      </c>
    </row>
    <row r="289" spans="1:9" x14ac:dyDescent="0.25">
      <c r="A289" t="s">
        <v>9616</v>
      </c>
      <c r="C289" t="s">
        <v>9617</v>
      </c>
      <c r="D289" t="str">
        <f>"200420"</f>
        <v>200420</v>
      </c>
      <c r="E289" t="s">
        <v>9782</v>
      </c>
      <c r="F289" s="1">
        <v>43945</v>
      </c>
      <c r="G289" t="str">
        <f>"300101"</f>
        <v>300101</v>
      </c>
      <c r="H289" t="s">
        <v>2926</v>
      </c>
      <c r="I289">
        <v>3796.09</v>
      </c>
    </row>
    <row r="290" spans="1:9" x14ac:dyDescent="0.25">
      <c r="A290" t="s">
        <v>9616</v>
      </c>
      <c r="C290" t="s">
        <v>9617</v>
      </c>
      <c r="D290" t="str">
        <f>"10121897"</f>
        <v>10121897</v>
      </c>
      <c r="E290" t="s">
        <v>9183</v>
      </c>
      <c r="F290" s="1">
        <v>43945</v>
      </c>
      <c r="G290" t="str">
        <f>"300115"</f>
        <v>300115</v>
      </c>
      <c r="H290" t="s">
        <v>2938</v>
      </c>
      <c r="I290">
        <v>84284.067999999999</v>
      </c>
    </row>
    <row r="291" spans="1:9" x14ac:dyDescent="0.25">
      <c r="A291" t="s">
        <v>9616</v>
      </c>
      <c r="C291" t="s">
        <v>9617</v>
      </c>
      <c r="D291" t="str">
        <f>"201079"</f>
        <v>201079</v>
      </c>
      <c r="E291" t="s">
        <v>9761</v>
      </c>
      <c r="F291" s="1">
        <v>43948</v>
      </c>
      <c r="G291" t="str">
        <f>"300301"</f>
        <v>300301</v>
      </c>
      <c r="H291" t="s">
        <v>3043</v>
      </c>
      <c r="I291">
        <v>5912.23</v>
      </c>
    </row>
    <row r="292" spans="1:9" x14ac:dyDescent="0.25">
      <c r="A292" t="s">
        <v>9616</v>
      </c>
      <c r="C292" t="s">
        <v>9617</v>
      </c>
      <c r="D292" t="str">
        <f>"201080"</f>
        <v>201080</v>
      </c>
      <c r="E292" t="s">
        <v>9758</v>
      </c>
      <c r="F292" s="1">
        <v>43948</v>
      </c>
      <c r="G292" t="str">
        <f>"300301"</f>
        <v>300301</v>
      </c>
      <c r="H292" t="s">
        <v>3043</v>
      </c>
      <c r="I292">
        <v>3405</v>
      </c>
    </row>
    <row r="293" spans="1:9" x14ac:dyDescent="0.25">
      <c r="A293" t="s">
        <v>9616</v>
      </c>
      <c r="C293" t="s">
        <v>9617</v>
      </c>
      <c r="D293" t="str">
        <f>"20404"</f>
        <v>20404</v>
      </c>
      <c r="E293" t="s">
        <v>9785</v>
      </c>
      <c r="F293" s="1">
        <v>43949</v>
      </c>
      <c r="G293" t="str">
        <f>"300043"</f>
        <v>300043</v>
      </c>
      <c r="H293" t="s">
        <v>2876</v>
      </c>
      <c r="I293">
        <v>655</v>
      </c>
    </row>
    <row r="294" spans="1:9" x14ac:dyDescent="0.25">
      <c r="A294" t="s">
        <v>9616</v>
      </c>
      <c r="C294" t="s">
        <v>9617</v>
      </c>
      <c r="D294" t="str">
        <f>"20461"</f>
        <v>20461</v>
      </c>
      <c r="E294" t="s">
        <v>9786</v>
      </c>
      <c r="F294" s="1">
        <v>43949</v>
      </c>
      <c r="G294" t="str">
        <f>"300043"</f>
        <v>300043</v>
      </c>
      <c r="H294" t="s">
        <v>2876</v>
      </c>
      <c r="I294">
        <v>439</v>
      </c>
    </row>
    <row r="295" spans="1:9" x14ac:dyDescent="0.25">
      <c r="A295" t="s">
        <v>9616</v>
      </c>
      <c r="C295" t="s">
        <v>9617</v>
      </c>
      <c r="D295" t="str">
        <f>"20070393"</f>
        <v>20070393</v>
      </c>
      <c r="E295" t="s">
        <v>9771</v>
      </c>
      <c r="F295" s="1">
        <v>43949</v>
      </c>
      <c r="G295" t="str">
        <f>"300043"</f>
        <v>300043</v>
      </c>
      <c r="H295" t="s">
        <v>2876</v>
      </c>
      <c r="I295">
        <v>2067</v>
      </c>
    </row>
    <row r="296" spans="1:9" x14ac:dyDescent="0.25">
      <c r="A296" t="s">
        <v>9616</v>
      </c>
      <c r="C296" t="s">
        <v>9617</v>
      </c>
      <c r="D296" t="str">
        <f>"20070394"</f>
        <v>20070394</v>
      </c>
      <c r="E296" t="s">
        <v>9762</v>
      </c>
      <c r="F296" s="1">
        <v>43949</v>
      </c>
      <c r="G296" t="str">
        <f>"300043"</f>
        <v>300043</v>
      </c>
      <c r="H296" t="s">
        <v>2876</v>
      </c>
      <c r="I296">
        <v>842</v>
      </c>
    </row>
    <row r="297" spans="1:9" x14ac:dyDescent="0.25">
      <c r="A297" t="s">
        <v>9616</v>
      </c>
      <c r="C297" t="s">
        <v>9617</v>
      </c>
      <c r="D297" t="str">
        <f>"2002237"</f>
        <v>2002237</v>
      </c>
      <c r="E297" t="s">
        <v>9787</v>
      </c>
      <c r="F297" s="1">
        <v>43949</v>
      </c>
      <c r="G297" t="str">
        <f>"300064"</f>
        <v>300064</v>
      </c>
      <c r="H297" t="s">
        <v>2896</v>
      </c>
      <c r="I297">
        <v>8722.4</v>
      </c>
    </row>
    <row r="298" spans="1:9" x14ac:dyDescent="0.25">
      <c r="A298" t="s">
        <v>9616</v>
      </c>
      <c r="C298" t="s">
        <v>9617</v>
      </c>
      <c r="D298" t="str">
        <f>"2002238"</f>
        <v>2002238</v>
      </c>
      <c r="E298" t="s">
        <v>9787</v>
      </c>
      <c r="F298" s="1">
        <v>43949</v>
      </c>
      <c r="G298" t="str">
        <f>"300064"</f>
        <v>300064</v>
      </c>
      <c r="H298" t="s">
        <v>2896</v>
      </c>
      <c r="I298">
        <v>8722.4</v>
      </c>
    </row>
    <row r="299" spans="1:9" x14ac:dyDescent="0.25">
      <c r="A299" t="s">
        <v>9616</v>
      </c>
      <c r="C299" t="s">
        <v>9617</v>
      </c>
      <c r="D299" t="str">
        <f>"199820"</f>
        <v>199820</v>
      </c>
      <c r="E299" t="s">
        <v>9786</v>
      </c>
      <c r="F299" s="1">
        <v>43949</v>
      </c>
      <c r="G299" t="str">
        <f>"300101"</f>
        <v>300101</v>
      </c>
      <c r="H299" t="s">
        <v>2926</v>
      </c>
      <c r="I299">
        <v>3488.19</v>
      </c>
    </row>
    <row r="300" spans="1:9" x14ac:dyDescent="0.25">
      <c r="A300" t="s">
        <v>9616</v>
      </c>
      <c r="C300" t="s">
        <v>9617</v>
      </c>
      <c r="D300" t="str">
        <f>"200020"</f>
        <v>200020</v>
      </c>
      <c r="E300" t="s">
        <v>9785</v>
      </c>
      <c r="F300" s="1">
        <v>43949</v>
      </c>
      <c r="G300" t="str">
        <f>"300101"</f>
        <v>300101</v>
      </c>
      <c r="H300" t="s">
        <v>2926</v>
      </c>
      <c r="I300">
        <v>3173.74</v>
      </c>
    </row>
    <row r="301" spans="1:9" x14ac:dyDescent="0.25">
      <c r="A301" t="s">
        <v>9616</v>
      </c>
      <c r="C301" t="s">
        <v>9617</v>
      </c>
      <c r="D301" t="str">
        <f>"32052"</f>
        <v>32052</v>
      </c>
      <c r="E301" t="s">
        <v>9788</v>
      </c>
      <c r="F301" s="1">
        <v>43950</v>
      </c>
      <c r="G301" t="str">
        <f>"300226"</f>
        <v>300226</v>
      </c>
      <c r="H301" t="s">
        <v>3025</v>
      </c>
      <c r="I301">
        <v>171925</v>
      </c>
    </row>
    <row r="302" spans="1:9" x14ac:dyDescent="0.25">
      <c r="A302" t="s">
        <v>9616</v>
      </c>
      <c r="C302" t="s">
        <v>9617</v>
      </c>
      <c r="D302" t="str">
        <f>"10122026"</f>
        <v>10122026</v>
      </c>
      <c r="E302" t="s">
        <v>9194</v>
      </c>
      <c r="F302" s="1">
        <v>43951</v>
      </c>
      <c r="G302" t="str">
        <f>"300115"</f>
        <v>300115</v>
      </c>
      <c r="H302" t="s">
        <v>2938</v>
      </c>
      <c r="I302">
        <v>69513.193199999994</v>
      </c>
    </row>
    <row r="303" spans="1:9" x14ac:dyDescent="0.25">
      <c r="A303" t="s">
        <v>9616</v>
      </c>
      <c r="C303" t="s">
        <v>9617</v>
      </c>
      <c r="D303" t="str">
        <f>"10122027"</f>
        <v>10122027</v>
      </c>
      <c r="E303" t="s">
        <v>9789</v>
      </c>
      <c r="F303" s="1">
        <v>43951</v>
      </c>
      <c r="G303" t="str">
        <f>"300115"</f>
        <v>300115</v>
      </c>
      <c r="H303" t="s">
        <v>2938</v>
      </c>
      <c r="I303">
        <v>47445.620199999998</v>
      </c>
    </row>
    <row r="304" spans="1:9" x14ac:dyDescent="0.25">
      <c r="A304" t="s">
        <v>9616</v>
      </c>
      <c r="C304" t="s">
        <v>9617</v>
      </c>
      <c r="D304" t="str">
        <f>"10122028"</f>
        <v>10122028</v>
      </c>
      <c r="E304" t="s">
        <v>9790</v>
      </c>
      <c r="F304" s="1">
        <v>43951</v>
      </c>
      <c r="G304" t="str">
        <f>"300115"</f>
        <v>300115</v>
      </c>
      <c r="H304" t="s">
        <v>2938</v>
      </c>
      <c r="I304">
        <v>129796.1192</v>
      </c>
    </row>
    <row r="305" spans="1:9" x14ac:dyDescent="0.25">
      <c r="A305" t="s">
        <v>9616</v>
      </c>
      <c r="C305" t="s">
        <v>9617</v>
      </c>
      <c r="D305" t="str">
        <f>"21082"</f>
        <v>21082</v>
      </c>
      <c r="E305" t="s">
        <v>9791</v>
      </c>
      <c r="F305" s="1">
        <v>43955</v>
      </c>
      <c r="G305" t="str">
        <f>"300043"</f>
        <v>300043</v>
      </c>
      <c r="H305" t="s">
        <v>2876</v>
      </c>
      <c r="I305">
        <v>587</v>
      </c>
    </row>
    <row r="306" spans="1:9" x14ac:dyDescent="0.25">
      <c r="A306" t="s">
        <v>9616</v>
      </c>
      <c r="C306" t="s">
        <v>9617</v>
      </c>
      <c r="D306" t="str">
        <f>"21101"</f>
        <v>21101</v>
      </c>
      <c r="E306" t="s">
        <v>9792</v>
      </c>
      <c r="F306" s="1">
        <v>43955</v>
      </c>
      <c r="G306" t="str">
        <f>"300043"</f>
        <v>300043</v>
      </c>
      <c r="H306" t="s">
        <v>2876</v>
      </c>
      <c r="I306">
        <v>547</v>
      </c>
    </row>
    <row r="307" spans="1:9" x14ac:dyDescent="0.25">
      <c r="A307" t="s">
        <v>9616</v>
      </c>
      <c r="C307" t="s">
        <v>9617</v>
      </c>
      <c r="D307" t="str">
        <f>"219820"</f>
        <v>219820</v>
      </c>
      <c r="E307" t="s">
        <v>9792</v>
      </c>
      <c r="F307" s="1">
        <v>43955</v>
      </c>
      <c r="G307" t="str">
        <f>"300101"</f>
        <v>300101</v>
      </c>
      <c r="H307" t="s">
        <v>2926</v>
      </c>
      <c r="I307">
        <v>3352.38</v>
      </c>
    </row>
    <row r="308" spans="1:9" x14ac:dyDescent="0.25">
      <c r="A308" t="s">
        <v>9616</v>
      </c>
      <c r="C308" t="s">
        <v>9617</v>
      </c>
      <c r="D308" t="str">
        <f>"220020"</f>
        <v>220020</v>
      </c>
      <c r="E308" t="s">
        <v>9791</v>
      </c>
      <c r="F308" s="1">
        <v>43955</v>
      </c>
      <c r="G308" t="str">
        <f>"300101"</f>
        <v>300101</v>
      </c>
      <c r="H308" t="s">
        <v>2926</v>
      </c>
      <c r="I308">
        <v>3172.78</v>
      </c>
    </row>
    <row r="309" spans="1:9" x14ac:dyDescent="0.25">
      <c r="A309" t="s">
        <v>9616</v>
      </c>
      <c r="C309" t="s">
        <v>9617</v>
      </c>
      <c r="D309" t="str">
        <f>"10122065"</f>
        <v>10122065</v>
      </c>
      <c r="E309" t="s">
        <v>9189</v>
      </c>
      <c r="F309" s="1">
        <v>43955</v>
      </c>
      <c r="G309" t="str">
        <f>"300115"</f>
        <v>300115</v>
      </c>
      <c r="H309" t="s">
        <v>2938</v>
      </c>
      <c r="I309">
        <v>282856.93699999998</v>
      </c>
    </row>
    <row r="310" spans="1:9" x14ac:dyDescent="0.25">
      <c r="A310" t="s">
        <v>9616</v>
      </c>
      <c r="C310" t="s">
        <v>9617</v>
      </c>
      <c r="D310" t="s">
        <v>9793</v>
      </c>
      <c r="E310" t="s">
        <v>9794</v>
      </c>
      <c r="F310" s="1">
        <v>43955</v>
      </c>
      <c r="G310" t="str">
        <f>"300133"</f>
        <v>300133</v>
      </c>
      <c r="H310" t="s">
        <v>2955</v>
      </c>
      <c r="I310">
        <v>25200</v>
      </c>
    </row>
    <row r="311" spans="1:9" x14ac:dyDescent="0.25">
      <c r="A311" t="s">
        <v>9616</v>
      </c>
      <c r="C311" t="s">
        <v>9617</v>
      </c>
      <c r="D311" t="str">
        <f>"0462020"</f>
        <v>0462020</v>
      </c>
      <c r="E311" t="s">
        <v>9668</v>
      </c>
      <c r="F311" s="1">
        <v>43956</v>
      </c>
      <c r="G311" t="str">
        <f>"300242"</f>
        <v>300242</v>
      </c>
      <c r="H311" t="s">
        <v>3041</v>
      </c>
      <c r="I311">
        <v>11000</v>
      </c>
    </row>
    <row r="312" spans="1:9" x14ac:dyDescent="0.25">
      <c r="A312" t="s">
        <v>9616</v>
      </c>
      <c r="C312" t="s">
        <v>9617</v>
      </c>
      <c r="D312" t="str">
        <f>"10122128"</f>
        <v>10122128</v>
      </c>
      <c r="E312" t="s">
        <v>9795</v>
      </c>
      <c r="F312" s="1">
        <v>43957</v>
      </c>
      <c r="G312" t="str">
        <f>"300115"</f>
        <v>300115</v>
      </c>
      <c r="H312" t="s">
        <v>2938</v>
      </c>
      <c r="I312">
        <v>273492.549</v>
      </c>
    </row>
    <row r="313" spans="1:9" x14ac:dyDescent="0.25">
      <c r="A313" t="s">
        <v>9616</v>
      </c>
      <c r="C313" t="s">
        <v>9617</v>
      </c>
      <c r="D313" t="str">
        <f>"84971"</f>
        <v>84971</v>
      </c>
      <c r="E313" t="s">
        <v>9796</v>
      </c>
      <c r="F313" s="1">
        <v>43958</v>
      </c>
      <c r="G313" t="str">
        <f>"300043"</f>
        <v>300043</v>
      </c>
      <c r="H313" t="s">
        <v>2876</v>
      </c>
      <c r="I313">
        <v>1083</v>
      </c>
    </row>
    <row r="314" spans="1:9" x14ac:dyDescent="0.25">
      <c r="A314" t="s">
        <v>9616</v>
      </c>
      <c r="C314" t="s">
        <v>9617</v>
      </c>
      <c r="D314" t="str">
        <f>"20071311"</f>
        <v>20071311</v>
      </c>
      <c r="E314" t="s">
        <v>9769</v>
      </c>
      <c r="F314" s="1">
        <v>43958</v>
      </c>
      <c r="G314" t="str">
        <f>"300043"</f>
        <v>300043</v>
      </c>
      <c r="H314" t="s">
        <v>2876</v>
      </c>
      <c r="I314">
        <v>2184</v>
      </c>
    </row>
    <row r="315" spans="1:9" x14ac:dyDescent="0.25">
      <c r="A315" t="s">
        <v>9616</v>
      </c>
      <c r="C315" t="s">
        <v>9617</v>
      </c>
      <c r="D315" t="str">
        <f>"20071312"</f>
        <v>20071312</v>
      </c>
      <c r="E315" t="s">
        <v>9770</v>
      </c>
      <c r="F315" s="1">
        <v>43958</v>
      </c>
      <c r="G315" t="str">
        <f>"300043"</f>
        <v>300043</v>
      </c>
      <c r="H315" t="s">
        <v>2876</v>
      </c>
      <c r="I315">
        <v>1201</v>
      </c>
    </row>
    <row r="316" spans="1:9" x14ac:dyDescent="0.25">
      <c r="A316" t="s">
        <v>9616</v>
      </c>
      <c r="C316" t="s">
        <v>9617</v>
      </c>
      <c r="D316" t="str">
        <f>"120310383"</f>
        <v>120310383</v>
      </c>
      <c r="E316" t="s">
        <v>9714</v>
      </c>
      <c r="F316" s="1">
        <v>43958</v>
      </c>
      <c r="G316" t="str">
        <f>"300080"</f>
        <v>300080</v>
      </c>
      <c r="H316" t="s">
        <v>2907</v>
      </c>
      <c r="I316">
        <v>125621.496</v>
      </c>
    </row>
    <row r="317" spans="1:9" x14ac:dyDescent="0.25">
      <c r="A317" t="s">
        <v>9616</v>
      </c>
      <c r="C317" t="s">
        <v>9617</v>
      </c>
      <c r="D317" t="str">
        <f>"22342020"</f>
        <v>22342020</v>
      </c>
      <c r="E317" t="s">
        <v>9796</v>
      </c>
      <c r="F317" s="1">
        <v>43958</v>
      </c>
      <c r="G317" t="str">
        <f>"300101"</f>
        <v>300101</v>
      </c>
      <c r="H317" t="s">
        <v>2926</v>
      </c>
      <c r="I317">
        <v>3458.4</v>
      </c>
    </row>
    <row r="318" spans="1:9" x14ac:dyDescent="0.25">
      <c r="A318" t="s">
        <v>9616</v>
      </c>
      <c r="C318" t="s">
        <v>9617</v>
      </c>
      <c r="D318" t="str">
        <f>"10122162"</f>
        <v>10122162</v>
      </c>
      <c r="E318" t="s">
        <v>9797</v>
      </c>
      <c r="F318" s="1">
        <v>43958</v>
      </c>
      <c r="G318" t="str">
        <f>"300115"</f>
        <v>300115</v>
      </c>
      <c r="H318" t="s">
        <v>2938</v>
      </c>
      <c r="I318">
        <v>115383.8763</v>
      </c>
    </row>
    <row r="319" spans="1:9" x14ac:dyDescent="0.25">
      <c r="A319" t="s">
        <v>9616</v>
      </c>
      <c r="C319" t="s">
        <v>9617</v>
      </c>
      <c r="D319" t="str">
        <f>"10122163"</f>
        <v>10122163</v>
      </c>
      <c r="E319" t="s">
        <v>9189</v>
      </c>
      <c r="F319" s="1">
        <v>43958</v>
      </c>
      <c r="G319" t="str">
        <f>"300115"</f>
        <v>300115</v>
      </c>
      <c r="H319" t="s">
        <v>2938</v>
      </c>
      <c r="I319">
        <v>133635.348</v>
      </c>
    </row>
    <row r="320" spans="1:9" x14ac:dyDescent="0.25">
      <c r="A320" t="s">
        <v>9616</v>
      </c>
      <c r="C320" t="s">
        <v>9617</v>
      </c>
      <c r="D320" t="str">
        <f>"10122167"</f>
        <v>10122167</v>
      </c>
      <c r="E320" t="s">
        <v>9189</v>
      </c>
      <c r="F320" s="1">
        <v>43958</v>
      </c>
      <c r="G320" t="str">
        <f>"300115"</f>
        <v>300115</v>
      </c>
      <c r="H320" t="s">
        <v>2938</v>
      </c>
      <c r="I320">
        <v>275583.429</v>
      </c>
    </row>
    <row r="321" spans="1:9" x14ac:dyDescent="0.25">
      <c r="A321" t="s">
        <v>9616</v>
      </c>
      <c r="C321" t="s">
        <v>9617</v>
      </c>
      <c r="D321" t="s">
        <v>9798</v>
      </c>
      <c r="E321" t="s">
        <v>9799</v>
      </c>
      <c r="F321" s="1">
        <v>43958</v>
      </c>
      <c r="G321" t="str">
        <f>"300133"</f>
        <v>300133</v>
      </c>
      <c r="H321" t="s">
        <v>2955</v>
      </c>
      <c r="I321">
        <v>15610</v>
      </c>
    </row>
    <row r="322" spans="1:9" x14ac:dyDescent="0.25">
      <c r="A322" t="s">
        <v>9616</v>
      </c>
      <c r="C322" t="s">
        <v>9617</v>
      </c>
      <c r="D322" t="str">
        <f>"2002441"</f>
        <v>2002441</v>
      </c>
      <c r="E322" t="s">
        <v>9800</v>
      </c>
      <c r="F322" s="1">
        <v>43959</v>
      </c>
      <c r="G322" t="str">
        <f>"300064"</f>
        <v>300064</v>
      </c>
      <c r="H322" t="s">
        <v>2896</v>
      </c>
      <c r="I322">
        <v>65738</v>
      </c>
    </row>
    <row r="323" spans="1:9" x14ac:dyDescent="0.25">
      <c r="A323" t="s">
        <v>9616</v>
      </c>
      <c r="C323" t="s">
        <v>9617</v>
      </c>
      <c r="D323" t="str">
        <f>"10122194"</f>
        <v>10122194</v>
      </c>
      <c r="E323" t="s">
        <v>9189</v>
      </c>
      <c r="F323" s="1">
        <v>43959</v>
      </c>
      <c r="G323" t="str">
        <f>"300115"</f>
        <v>300115</v>
      </c>
      <c r="H323" t="s">
        <v>2938</v>
      </c>
      <c r="I323">
        <v>275583.429</v>
      </c>
    </row>
    <row r="324" spans="1:9" x14ac:dyDescent="0.25">
      <c r="A324" t="s">
        <v>9616</v>
      </c>
      <c r="C324" t="s">
        <v>9617</v>
      </c>
      <c r="D324" t="str">
        <f>"10122195"</f>
        <v>10122195</v>
      </c>
      <c r="E324" t="s">
        <v>2172</v>
      </c>
      <c r="F324" s="1">
        <v>43959</v>
      </c>
      <c r="G324" t="str">
        <f>"300115"</f>
        <v>300115</v>
      </c>
      <c r="H324" t="s">
        <v>2938</v>
      </c>
      <c r="I324">
        <v>184458.08369999999</v>
      </c>
    </row>
    <row r="325" spans="1:9" x14ac:dyDescent="0.25">
      <c r="A325" t="s">
        <v>9616</v>
      </c>
      <c r="C325" t="s">
        <v>9617</v>
      </c>
      <c r="D325" t="str">
        <f>"505322"</f>
        <v>505322</v>
      </c>
      <c r="E325" t="s">
        <v>9801</v>
      </c>
      <c r="F325" s="1">
        <v>43962</v>
      </c>
      <c r="G325" t="str">
        <f>"300043"</f>
        <v>300043</v>
      </c>
      <c r="H325" t="s">
        <v>2876</v>
      </c>
      <c r="I325">
        <v>1055</v>
      </c>
    </row>
    <row r="326" spans="1:9" x14ac:dyDescent="0.25">
      <c r="A326" t="s">
        <v>9616</v>
      </c>
      <c r="C326" t="s">
        <v>9617</v>
      </c>
      <c r="D326" t="str">
        <f>"20071632"</f>
        <v>20071632</v>
      </c>
      <c r="E326" t="s">
        <v>9774</v>
      </c>
      <c r="F326" s="1">
        <v>43962</v>
      </c>
      <c r="G326" t="str">
        <f>"300043"</f>
        <v>300043</v>
      </c>
      <c r="H326" t="s">
        <v>2876</v>
      </c>
      <c r="I326">
        <v>2628</v>
      </c>
    </row>
    <row r="327" spans="1:9" x14ac:dyDescent="0.25">
      <c r="A327" t="s">
        <v>9616</v>
      </c>
      <c r="C327" t="s">
        <v>9617</v>
      </c>
      <c r="D327" t="str">
        <f>"20071633"</f>
        <v>20071633</v>
      </c>
      <c r="E327" t="s">
        <v>9772</v>
      </c>
      <c r="F327" s="1">
        <v>43962</v>
      </c>
      <c r="G327" t="str">
        <f>"300043"</f>
        <v>300043</v>
      </c>
      <c r="H327" t="s">
        <v>2876</v>
      </c>
      <c r="I327">
        <v>760</v>
      </c>
    </row>
    <row r="328" spans="1:9" x14ac:dyDescent="0.25">
      <c r="A328" t="s">
        <v>9616</v>
      </c>
      <c r="C328" t="s">
        <v>9617</v>
      </c>
      <c r="D328" t="str">
        <f>"224020"</f>
        <v>224020</v>
      </c>
      <c r="E328" t="s">
        <v>9801</v>
      </c>
      <c r="F328" s="1">
        <v>43962</v>
      </c>
      <c r="G328" t="str">
        <f>"300101"</f>
        <v>300101</v>
      </c>
      <c r="H328" t="s">
        <v>2926</v>
      </c>
      <c r="I328">
        <v>3611.32</v>
      </c>
    </row>
    <row r="329" spans="1:9" x14ac:dyDescent="0.25">
      <c r="A329" t="s">
        <v>9616</v>
      </c>
      <c r="C329" t="s">
        <v>9617</v>
      </c>
      <c r="D329" t="str">
        <f>"45518"</f>
        <v>45518</v>
      </c>
      <c r="E329" t="s">
        <v>9802</v>
      </c>
      <c r="F329" s="1">
        <v>43963</v>
      </c>
      <c r="G329" t="str">
        <f>"300043"</f>
        <v>300043</v>
      </c>
      <c r="H329" t="s">
        <v>2876</v>
      </c>
      <c r="I329">
        <v>976</v>
      </c>
    </row>
    <row r="330" spans="1:9" x14ac:dyDescent="0.25">
      <c r="A330" t="s">
        <v>9616</v>
      </c>
      <c r="C330" t="s">
        <v>9617</v>
      </c>
      <c r="D330" t="s">
        <v>9803</v>
      </c>
      <c r="E330" t="s">
        <v>9804</v>
      </c>
      <c r="F330" s="1">
        <v>43963</v>
      </c>
      <c r="G330" t="str">
        <f>"300092"</f>
        <v>300092</v>
      </c>
      <c r="H330" t="s">
        <v>2160</v>
      </c>
      <c r="I330">
        <v>38342</v>
      </c>
    </row>
    <row r="331" spans="1:9" x14ac:dyDescent="0.25">
      <c r="A331" t="s">
        <v>9616</v>
      </c>
      <c r="C331" t="s">
        <v>9617</v>
      </c>
      <c r="D331" t="str">
        <f>"223320"</f>
        <v>223320</v>
      </c>
      <c r="E331" t="s">
        <v>9802</v>
      </c>
      <c r="F331" s="1">
        <v>43963</v>
      </c>
      <c r="G331" t="str">
        <f>"300101"</f>
        <v>300101</v>
      </c>
      <c r="H331" t="s">
        <v>2926</v>
      </c>
      <c r="I331">
        <v>3145.82</v>
      </c>
    </row>
    <row r="332" spans="1:9" x14ac:dyDescent="0.25">
      <c r="A332" t="s">
        <v>9616</v>
      </c>
      <c r="C332" t="s">
        <v>9617</v>
      </c>
      <c r="D332" t="s">
        <v>9805</v>
      </c>
      <c r="E332" t="s">
        <v>9806</v>
      </c>
      <c r="F332" s="1">
        <v>43963</v>
      </c>
      <c r="G332" t="str">
        <f>"300133"</f>
        <v>300133</v>
      </c>
      <c r="H332" t="s">
        <v>2955</v>
      </c>
      <c r="I332">
        <v>2200</v>
      </c>
    </row>
    <row r="333" spans="1:9" x14ac:dyDescent="0.25">
      <c r="A333" t="s">
        <v>9616</v>
      </c>
      <c r="C333" t="s">
        <v>9617</v>
      </c>
      <c r="D333" t="str">
        <f>"22235"</f>
        <v>22235</v>
      </c>
      <c r="E333" t="s">
        <v>9807</v>
      </c>
      <c r="F333" s="1">
        <v>43964</v>
      </c>
      <c r="G333" t="str">
        <f>"300043"</f>
        <v>300043</v>
      </c>
      <c r="H333" t="s">
        <v>2876</v>
      </c>
      <c r="I333">
        <v>761</v>
      </c>
    </row>
    <row r="334" spans="1:9" x14ac:dyDescent="0.25">
      <c r="A334" t="s">
        <v>9616</v>
      </c>
      <c r="C334" t="s">
        <v>9617</v>
      </c>
      <c r="D334" t="str">
        <f>"227220"</f>
        <v>227220</v>
      </c>
      <c r="E334" t="s">
        <v>9807</v>
      </c>
      <c r="F334" s="1">
        <v>43964</v>
      </c>
      <c r="G334" t="str">
        <f>"300101"</f>
        <v>300101</v>
      </c>
      <c r="H334" t="s">
        <v>2926</v>
      </c>
      <c r="I334">
        <v>3773.27</v>
      </c>
    </row>
    <row r="335" spans="1:9" x14ac:dyDescent="0.25">
      <c r="A335" t="s">
        <v>9616</v>
      </c>
      <c r="C335" t="s">
        <v>9617</v>
      </c>
      <c r="D335" t="str">
        <f>"193892"</f>
        <v>193892</v>
      </c>
      <c r="E335" t="s">
        <v>9808</v>
      </c>
      <c r="F335" s="1">
        <v>43965</v>
      </c>
      <c r="G335" t="str">
        <f>"300043"</f>
        <v>300043</v>
      </c>
      <c r="H335" t="s">
        <v>2876</v>
      </c>
      <c r="I335">
        <v>1058</v>
      </c>
    </row>
    <row r="336" spans="1:9" x14ac:dyDescent="0.25">
      <c r="A336" t="s">
        <v>9616</v>
      </c>
      <c r="C336" t="s">
        <v>9617</v>
      </c>
      <c r="D336" t="str">
        <f>"2000512"</f>
        <v>2000512</v>
      </c>
      <c r="E336" t="s">
        <v>9809</v>
      </c>
      <c r="F336" s="1">
        <v>43965</v>
      </c>
      <c r="G336" t="str">
        <f>"300064"</f>
        <v>300064</v>
      </c>
      <c r="H336" t="s">
        <v>2896</v>
      </c>
      <c r="I336">
        <v>68480</v>
      </c>
    </row>
    <row r="337" spans="1:9" x14ac:dyDescent="0.25">
      <c r="A337" t="s">
        <v>9616</v>
      </c>
      <c r="C337" t="s">
        <v>9617</v>
      </c>
      <c r="D337" t="str">
        <f>"64935"</f>
        <v>64935</v>
      </c>
      <c r="E337" t="str">
        <f>"64935"</f>
        <v>64935</v>
      </c>
      <c r="F337" s="1">
        <v>43965</v>
      </c>
      <c r="G337" t="str">
        <f>"300093"</f>
        <v>300093</v>
      </c>
      <c r="H337" t="s">
        <v>2918</v>
      </c>
      <c r="I337">
        <v>103242.76270000001</v>
      </c>
    </row>
    <row r="338" spans="1:9" x14ac:dyDescent="0.25">
      <c r="A338" t="s">
        <v>9616</v>
      </c>
      <c r="C338" t="s">
        <v>9617</v>
      </c>
      <c r="D338" t="str">
        <f>"64936"</f>
        <v>64936</v>
      </c>
      <c r="E338" t="str">
        <f>"64936"</f>
        <v>64936</v>
      </c>
      <c r="F338" s="1">
        <v>43965</v>
      </c>
      <c r="G338" t="str">
        <f>"300093"</f>
        <v>300093</v>
      </c>
      <c r="H338" t="s">
        <v>2918</v>
      </c>
      <c r="I338">
        <v>67568.998200000002</v>
      </c>
    </row>
    <row r="339" spans="1:9" x14ac:dyDescent="0.25">
      <c r="A339" t="s">
        <v>9616</v>
      </c>
      <c r="C339" t="s">
        <v>9617</v>
      </c>
      <c r="D339" t="str">
        <f>"223120"</f>
        <v>223120</v>
      </c>
      <c r="E339" t="s">
        <v>9791</v>
      </c>
      <c r="F339" s="1">
        <v>43965</v>
      </c>
      <c r="G339" t="str">
        <f>"300101"</f>
        <v>300101</v>
      </c>
      <c r="H339" t="s">
        <v>2926</v>
      </c>
      <c r="I339">
        <v>931.86</v>
      </c>
    </row>
    <row r="340" spans="1:9" x14ac:dyDescent="0.25">
      <c r="A340" t="s">
        <v>9616</v>
      </c>
      <c r="C340" t="s">
        <v>9617</v>
      </c>
      <c r="D340" t="str">
        <f>"223220"</f>
        <v>223220</v>
      </c>
      <c r="E340" t="s">
        <v>9792</v>
      </c>
      <c r="F340" s="1">
        <v>43965</v>
      </c>
      <c r="G340" t="str">
        <f>"300101"</f>
        <v>300101</v>
      </c>
      <c r="H340" t="s">
        <v>2926</v>
      </c>
      <c r="I340">
        <v>931.86</v>
      </c>
    </row>
    <row r="341" spans="1:9" x14ac:dyDescent="0.25">
      <c r="A341" t="s">
        <v>9616</v>
      </c>
      <c r="C341" t="s">
        <v>9617</v>
      </c>
      <c r="D341" t="str">
        <f>"227020"</f>
        <v>227020</v>
      </c>
      <c r="E341" t="s">
        <v>9808</v>
      </c>
      <c r="F341" s="1">
        <v>43965</v>
      </c>
      <c r="G341" t="str">
        <f>"300101"</f>
        <v>300101</v>
      </c>
      <c r="H341" t="s">
        <v>2926</v>
      </c>
      <c r="I341">
        <v>3145.82</v>
      </c>
    </row>
    <row r="342" spans="1:9" x14ac:dyDescent="0.25">
      <c r="A342" t="s">
        <v>9616</v>
      </c>
      <c r="C342" t="s">
        <v>9617</v>
      </c>
      <c r="D342" t="str">
        <f>"10122345"</f>
        <v>10122345</v>
      </c>
      <c r="E342" t="s">
        <v>9189</v>
      </c>
      <c r="F342" s="1">
        <v>43965</v>
      </c>
      <c r="G342" t="str">
        <f>"300115"</f>
        <v>300115</v>
      </c>
      <c r="H342" t="s">
        <v>2938</v>
      </c>
      <c r="I342">
        <v>275387.80499999999</v>
      </c>
    </row>
    <row r="343" spans="1:9" x14ac:dyDescent="0.25">
      <c r="A343" t="s">
        <v>9616</v>
      </c>
      <c r="C343" t="s">
        <v>9617</v>
      </c>
      <c r="D343" t="str">
        <f>"0572020"</f>
        <v>0572020</v>
      </c>
      <c r="E343" t="s">
        <v>9751</v>
      </c>
      <c r="F343" s="1">
        <v>43965</v>
      </c>
      <c r="G343" t="str">
        <f>"300242"</f>
        <v>300242</v>
      </c>
      <c r="H343" t="s">
        <v>3041</v>
      </c>
      <c r="I343">
        <v>13000</v>
      </c>
    </row>
    <row r="344" spans="1:9" x14ac:dyDescent="0.25">
      <c r="A344" t="s">
        <v>9616</v>
      </c>
      <c r="C344" t="s">
        <v>9617</v>
      </c>
      <c r="D344" t="str">
        <f>"10122352"</f>
        <v>10122352</v>
      </c>
      <c r="E344" t="s">
        <v>9189</v>
      </c>
      <c r="F344" s="1">
        <v>43966</v>
      </c>
      <c r="G344" t="str">
        <f>"300115"</f>
        <v>300115</v>
      </c>
      <c r="H344" t="s">
        <v>2938</v>
      </c>
      <c r="I344">
        <v>275583.429</v>
      </c>
    </row>
    <row r="345" spans="1:9" x14ac:dyDescent="0.25">
      <c r="A345" t="s">
        <v>9616</v>
      </c>
      <c r="C345" t="s">
        <v>9617</v>
      </c>
      <c r="D345" t="s">
        <v>9810</v>
      </c>
      <c r="E345" t="s">
        <v>9811</v>
      </c>
      <c r="F345" s="1">
        <v>43966</v>
      </c>
      <c r="G345" t="str">
        <f>"300133"</f>
        <v>300133</v>
      </c>
      <c r="H345" t="s">
        <v>2955</v>
      </c>
      <c r="I345">
        <v>20070</v>
      </c>
    </row>
    <row r="346" spans="1:9" x14ac:dyDescent="0.25">
      <c r="A346" t="s">
        <v>9616</v>
      </c>
      <c r="C346" t="s">
        <v>9617</v>
      </c>
      <c r="D346" t="str">
        <f>"22744"</f>
        <v>22744</v>
      </c>
      <c r="E346" t="s">
        <v>9812</v>
      </c>
      <c r="F346" s="1">
        <v>43969</v>
      </c>
      <c r="G346" t="str">
        <f>"300043"</f>
        <v>300043</v>
      </c>
      <c r="H346" t="s">
        <v>2876</v>
      </c>
      <c r="I346">
        <v>1056</v>
      </c>
    </row>
    <row r="347" spans="1:9" x14ac:dyDescent="0.25">
      <c r="A347" t="s">
        <v>9616</v>
      </c>
      <c r="C347" t="s">
        <v>9617</v>
      </c>
      <c r="D347" t="s">
        <v>9813</v>
      </c>
      <c r="E347" t="s">
        <v>9814</v>
      </c>
      <c r="F347" s="1">
        <v>43969</v>
      </c>
      <c r="G347" t="str">
        <f>"300092"</f>
        <v>300092</v>
      </c>
      <c r="H347" t="s">
        <v>2160</v>
      </c>
      <c r="I347">
        <v>16740</v>
      </c>
    </row>
    <row r="348" spans="1:9" x14ac:dyDescent="0.25">
      <c r="A348" t="s">
        <v>9616</v>
      </c>
      <c r="C348" t="s">
        <v>9617</v>
      </c>
      <c r="D348" t="str">
        <f>"227120"</f>
        <v>227120</v>
      </c>
      <c r="E348" t="s">
        <v>9802</v>
      </c>
      <c r="F348" s="1">
        <v>43969</v>
      </c>
      <c r="G348" t="str">
        <f>"300101"</f>
        <v>300101</v>
      </c>
      <c r="H348" t="s">
        <v>2926</v>
      </c>
      <c r="I348">
        <v>777.76</v>
      </c>
    </row>
    <row r="349" spans="1:9" x14ac:dyDescent="0.25">
      <c r="A349" t="s">
        <v>9616</v>
      </c>
      <c r="C349" t="s">
        <v>9617</v>
      </c>
      <c r="D349" t="str">
        <f>"230020"</f>
        <v>230020</v>
      </c>
      <c r="E349" t="s">
        <v>9812</v>
      </c>
      <c r="F349" s="1">
        <v>43969</v>
      </c>
      <c r="G349" t="str">
        <f>"300101"</f>
        <v>300101</v>
      </c>
      <c r="H349" t="s">
        <v>2926</v>
      </c>
      <c r="I349">
        <v>4392.3900000000003</v>
      </c>
    </row>
    <row r="350" spans="1:9" x14ac:dyDescent="0.25">
      <c r="A350" t="s">
        <v>9616</v>
      </c>
      <c r="C350" t="s">
        <v>9617</v>
      </c>
      <c r="D350" t="str">
        <f>"22992"</f>
        <v>22992</v>
      </c>
      <c r="E350" t="s">
        <v>9815</v>
      </c>
      <c r="F350" s="1">
        <v>43970</v>
      </c>
      <c r="G350" t="str">
        <f>"300043"</f>
        <v>300043</v>
      </c>
      <c r="H350" t="s">
        <v>2876</v>
      </c>
      <c r="I350">
        <v>1056</v>
      </c>
    </row>
    <row r="351" spans="1:9" x14ac:dyDescent="0.25">
      <c r="A351" t="s">
        <v>9616</v>
      </c>
      <c r="C351" t="s">
        <v>9617</v>
      </c>
      <c r="D351" t="str">
        <f>"23020"</f>
        <v>23020</v>
      </c>
      <c r="E351" t="s">
        <v>9816</v>
      </c>
      <c r="F351" s="1">
        <v>43970</v>
      </c>
      <c r="G351" t="str">
        <f>"300043"</f>
        <v>300043</v>
      </c>
      <c r="H351" t="s">
        <v>2876</v>
      </c>
      <c r="I351">
        <v>1056</v>
      </c>
    </row>
    <row r="352" spans="1:9" x14ac:dyDescent="0.25">
      <c r="A352" t="s">
        <v>9616</v>
      </c>
      <c r="C352" t="s">
        <v>9617</v>
      </c>
      <c r="D352" t="str">
        <f>"230120"</f>
        <v>230120</v>
      </c>
      <c r="E352" t="s">
        <v>9815</v>
      </c>
      <c r="F352" s="1">
        <v>43970</v>
      </c>
      <c r="G352" t="str">
        <f>"300101"</f>
        <v>300101</v>
      </c>
      <c r="H352" t="s">
        <v>2926</v>
      </c>
      <c r="I352">
        <v>3466.9</v>
      </c>
    </row>
    <row r="353" spans="1:9" x14ac:dyDescent="0.25">
      <c r="A353" t="s">
        <v>9616</v>
      </c>
      <c r="C353" t="s">
        <v>9617</v>
      </c>
      <c r="D353" t="str">
        <f>"234520"</f>
        <v>234520</v>
      </c>
      <c r="E353" t="s">
        <v>9816</v>
      </c>
      <c r="F353" s="1">
        <v>43970</v>
      </c>
      <c r="G353" t="str">
        <f>"300101"</f>
        <v>300101</v>
      </c>
      <c r="H353" t="s">
        <v>2926</v>
      </c>
      <c r="I353">
        <v>3908.13</v>
      </c>
    </row>
    <row r="354" spans="1:9" x14ac:dyDescent="0.25">
      <c r="A354" t="s">
        <v>9616</v>
      </c>
      <c r="C354" t="s">
        <v>9617</v>
      </c>
      <c r="D354" t="str">
        <f>"10122489"</f>
        <v>10122489</v>
      </c>
      <c r="E354" t="s">
        <v>9189</v>
      </c>
      <c r="F354" s="1">
        <v>43971</v>
      </c>
      <c r="G354" t="str">
        <f>"300115"</f>
        <v>300115</v>
      </c>
      <c r="H354" t="s">
        <v>2938</v>
      </c>
      <c r="I354">
        <v>275583.429</v>
      </c>
    </row>
    <row r="355" spans="1:9" x14ac:dyDescent="0.25">
      <c r="A355" t="s">
        <v>9616</v>
      </c>
      <c r="C355" t="s">
        <v>9617</v>
      </c>
      <c r="D355" t="str">
        <f>"10122491"</f>
        <v>10122491</v>
      </c>
      <c r="E355" t="s">
        <v>9189</v>
      </c>
      <c r="F355" s="1">
        <v>43971</v>
      </c>
      <c r="G355" t="str">
        <f>"300115"</f>
        <v>300115</v>
      </c>
      <c r="H355" t="s">
        <v>2938</v>
      </c>
      <c r="I355">
        <v>275583.429</v>
      </c>
    </row>
    <row r="356" spans="1:9" x14ac:dyDescent="0.25">
      <c r="A356" t="s">
        <v>9616</v>
      </c>
      <c r="C356" t="s">
        <v>9617</v>
      </c>
      <c r="D356" t="str">
        <f>"229520"</f>
        <v>229520</v>
      </c>
      <c r="E356" t="s">
        <v>9808</v>
      </c>
      <c r="F356" s="1">
        <v>43972</v>
      </c>
      <c r="G356" t="str">
        <f>"300101"</f>
        <v>300101</v>
      </c>
      <c r="H356" t="s">
        <v>2926</v>
      </c>
      <c r="I356">
        <v>775.33</v>
      </c>
    </row>
    <row r="357" spans="1:9" x14ac:dyDescent="0.25">
      <c r="A357" t="s">
        <v>9616</v>
      </c>
      <c r="C357" t="s">
        <v>9617</v>
      </c>
      <c r="D357" t="str">
        <f>"10122523"</f>
        <v>10122523</v>
      </c>
      <c r="E357" t="s">
        <v>9194</v>
      </c>
      <c r="F357" s="1">
        <v>43972</v>
      </c>
      <c r="G357" t="str">
        <f>"300115"</f>
        <v>300115</v>
      </c>
      <c r="H357" t="s">
        <v>2938</v>
      </c>
      <c r="I357">
        <v>150602.1</v>
      </c>
    </row>
    <row r="358" spans="1:9" x14ac:dyDescent="0.25">
      <c r="A358" t="s">
        <v>9616</v>
      </c>
      <c r="C358" t="s">
        <v>9617</v>
      </c>
      <c r="D358" t="str">
        <f>"10122530"</f>
        <v>10122530</v>
      </c>
      <c r="E358" t="s">
        <v>9189</v>
      </c>
      <c r="F358" s="1">
        <v>43972</v>
      </c>
      <c r="G358" t="str">
        <f>"300115"</f>
        <v>300115</v>
      </c>
      <c r="H358" t="s">
        <v>2938</v>
      </c>
      <c r="I358">
        <v>275583.429</v>
      </c>
    </row>
    <row r="359" spans="1:9" x14ac:dyDescent="0.25">
      <c r="A359" t="s">
        <v>9616</v>
      </c>
      <c r="C359" t="s">
        <v>9617</v>
      </c>
      <c r="D359" t="str">
        <f>"23440"</f>
        <v>23440</v>
      </c>
      <c r="E359" t="s">
        <v>9817</v>
      </c>
      <c r="F359" s="1">
        <v>43973</v>
      </c>
      <c r="G359" t="str">
        <f>"300043"</f>
        <v>300043</v>
      </c>
      <c r="H359" t="s">
        <v>2876</v>
      </c>
      <c r="I359">
        <v>1065</v>
      </c>
    </row>
    <row r="360" spans="1:9" x14ac:dyDescent="0.25">
      <c r="A360" t="s">
        <v>9616</v>
      </c>
      <c r="C360" t="s">
        <v>9617</v>
      </c>
      <c r="D360" t="str">
        <f>"23441"</f>
        <v>23441</v>
      </c>
      <c r="E360" t="s">
        <v>9818</v>
      </c>
      <c r="F360" s="1">
        <v>43973</v>
      </c>
      <c r="G360" t="str">
        <f>"300043"</f>
        <v>300043</v>
      </c>
      <c r="H360" t="s">
        <v>2876</v>
      </c>
      <c r="I360">
        <v>1065</v>
      </c>
    </row>
    <row r="361" spans="1:9" x14ac:dyDescent="0.25">
      <c r="A361" t="s">
        <v>9616</v>
      </c>
      <c r="C361" t="s">
        <v>9617</v>
      </c>
      <c r="D361" t="str">
        <f>"58817"</f>
        <v>58817</v>
      </c>
      <c r="E361" t="s">
        <v>9819</v>
      </c>
      <c r="F361" s="1">
        <v>43973</v>
      </c>
      <c r="G361" t="str">
        <f>"300043"</f>
        <v>300043</v>
      </c>
      <c r="H361" t="s">
        <v>2876</v>
      </c>
      <c r="I361">
        <v>581</v>
      </c>
    </row>
    <row r="362" spans="1:9" x14ac:dyDescent="0.25">
      <c r="A362" t="s">
        <v>9616</v>
      </c>
      <c r="C362" t="s">
        <v>9617</v>
      </c>
      <c r="D362" t="str">
        <f>"240520"</f>
        <v>240520</v>
      </c>
      <c r="E362" t="s">
        <v>9817</v>
      </c>
      <c r="F362" s="1">
        <v>43973</v>
      </c>
      <c r="G362" t="str">
        <f>"300101"</f>
        <v>300101</v>
      </c>
      <c r="H362" t="s">
        <v>2926</v>
      </c>
      <c r="I362">
        <v>3171.87</v>
      </c>
    </row>
    <row r="363" spans="1:9" x14ac:dyDescent="0.25">
      <c r="A363" t="s">
        <v>9616</v>
      </c>
      <c r="C363" t="s">
        <v>9617</v>
      </c>
      <c r="D363" t="str">
        <f>"240620"</f>
        <v>240620</v>
      </c>
      <c r="E363" t="s">
        <v>9818</v>
      </c>
      <c r="F363" s="1">
        <v>43973</v>
      </c>
      <c r="G363" t="str">
        <f>"300101"</f>
        <v>300101</v>
      </c>
      <c r="H363" t="s">
        <v>2926</v>
      </c>
      <c r="I363">
        <v>3328.72</v>
      </c>
    </row>
    <row r="364" spans="1:9" x14ac:dyDescent="0.25">
      <c r="A364" t="s">
        <v>9616</v>
      </c>
      <c r="C364" t="s">
        <v>9617</v>
      </c>
      <c r="D364" t="str">
        <f>"10122566"</f>
        <v>10122566</v>
      </c>
      <c r="E364" t="s">
        <v>9189</v>
      </c>
      <c r="F364" s="1">
        <v>43973</v>
      </c>
      <c r="G364" t="str">
        <f>"300115"</f>
        <v>300115</v>
      </c>
      <c r="H364" t="s">
        <v>2938</v>
      </c>
      <c r="I364">
        <v>184273.584</v>
      </c>
    </row>
    <row r="365" spans="1:9" x14ac:dyDescent="0.25">
      <c r="A365" t="s">
        <v>9616</v>
      </c>
      <c r="C365" t="s">
        <v>9617</v>
      </c>
      <c r="D365" t="str">
        <f>"10122569"</f>
        <v>10122569</v>
      </c>
      <c r="E365" t="s">
        <v>9189</v>
      </c>
      <c r="F365" s="1">
        <v>43973</v>
      </c>
      <c r="G365" t="str">
        <f>"300115"</f>
        <v>300115</v>
      </c>
      <c r="H365" t="s">
        <v>2938</v>
      </c>
      <c r="I365">
        <v>275583.429</v>
      </c>
    </row>
    <row r="366" spans="1:9" x14ac:dyDescent="0.25">
      <c r="A366" t="s">
        <v>9616</v>
      </c>
      <c r="C366" t="s">
        <v>9617</v>
      </c>
      <c r="D366" t="s">
        <v>9820</v>
      </c>
      <c r="E366" t="s">
        <v>9821</v>
      </c>
      <c r="F366" s="1">
        <v>43973</v>
      </c>
      <c r="G366" t="str">
        <f>"300133"</f>
        <v>300133</v>
      </c>
      <c r="H366" t="s">
        <v>2955</v>
      </c>
      <c r="I366">
        <v>34092</v>
      </c>
    </row>
    <row r="367" spans="1:9" x14ac:dyDescent="0.25">
      <c r="A367" t="s">
        <v>9616</v>
      </c>
      <c r="C367" t="s">
        <v>9617</v>
      </c>
      <c r="D367" t="s">
        <v>9822</v>
      </c>
      <c r="E367" t="s">
        <v>9823</v>
      </c>
      <c r="F367" s="1">
        <v>43973</v>
      </c>
      <c r="G367" t="str">
        <f>"300133"</f>
        <v>300133</v>
      </c>
      <c r="H367" t="s">
        <v>2955</v>
      </c>
      <c r="I367">
        <v>5330</v>
      </c>
    </row>
    <row r="368" spans="1:9" x14ac:dyDescent="0.25">
      <c r="A368" t="s">
        <v>9616</v>
      </c>
      <c r="C368" t="s">
        <v>9617</v>
      </c>
      <c r="D368" t="str">
        <f>"23552"</f>
        <v>23552</v>
      </c>
      <c r="E368" t="s">
        <v>9824</v>
      </c>
      <c r="F368" s="1">
        <v>43977</v>
      </c>
      <c r="G368" t="str">
        <f>"300043"</f>
        <v>300043</v>
      </c>
      <c r="H368" t="s">
        <v>2876</v>
      </c>
      <c r="I368">
        <v>1068</v>
      </c>
    </row>
    <row r="369" spans="1:9" x14ac:dyDescent="0.25">
      <c r="A369" t="s">
        <v>9616</v>
      </c>
      <c r="C369" t="s">
        <v>9617</v>
      </c>
      <c r="D369" t="str">
        <f>"240820"</f>
        <v>240820</v>
      </c>
      <c r="E369" t="s">
        <v>9824</v>
      </c>
      <c r="F369" s="1">
        <v>43977</v>
      </c>
      <c r="G369" t="str">
        <f>"300101"</f>
        <v>300101</v>
      </c>
      <c r="H369" t="s">
        <v>2926</v>
      </c>
      <c r="I369">
        <v>3796.14</v>
      </c>
    </row>
    <row r="370" spans="1:9" x14ac:dyDescent="0.25">
      <c r="A370" t="s">
        <v>9616</v>
      </c>
      <c r="C370" t="s">
        <v>9617</v>
      </c>
      <c r="D370" t="str">
        <f>"10122662"</f>
        <v>10122662</v>
      </c>
      <c r="E370" t="s">
        <v>9825</v>
      </c>
      <c r="F370" s="1">
        <v>43977</v>
      </c>
      <c r="G370" t="str">
        <f>"300115"</f>
        <v>300115</v>
      </c>
      <c r="H370" t="s">
        <v>2938</v>
      </c>
      <c r="I370">
        <v>157847.18400000001</v>
      </c>
    </row>
    <row r="371" spans="1:9" x14ac:dyDescent="0.25">
      <c r="A371" t="s">
        <v>9616</v>
      </c>
      <c r="C371" t="s">
        <v>9617</v>
      </c>
      <c r="D371" t="str">
        <f>"10122665"</f>
        <v>10122665</v>
      </c>
      <c r="E371" t="s">
        <v>9191</v>
      </c>
      <c r="F371" s="1">
        <v>43977</v>
      </c>
      <c r="G371" t="str">
        <f>"300115"</f>
        <v>300115</v>
      </c>
      <c r="H371" t="s">
        <v>2938</v>
      </c>
      <c r="I371">
        <v>109521.44500000001</v>
      </c>
    </row>
    <row r="372" spans="1:9" x14ac:dyDescent="0.25">
      <c r="A372" t="s">
        <v>9616</v>
      </c>
      <c r="C372" t="s">
        <v>9617</v>
      </c>
      <c r="D372" t="str">
        <f>"10122666"</f>
        <v>10122666</v>
      </c>
      <c r="E372" t="s">
        <v>9826</v>
      </c>
      <c r="F372" s="1">
        <v>43977</v>
      </c>
      <c r="G372" t="str">
        <f>"300115"</f>
        <v>300115</v>
      </c>
      <c r="H372" t="s">
        <v>2938</v>
      </c>
      <c r="I372">
        <v>119557.35</v>
      </c>
    </row>
    <row r="373" spans="1:9" x14ac:dyDescent="0.25">
      <c r="A373" t="s">
        <v>9616</v>
      </c>
      <c r="C373" t="s">
        <v>9617</v>
      </c>
      <c r="D373" t="str">
        <f>"23553"</f>
        <v>23553</v>
      </c>
      <c r="E373" t="s">
        <v>9827</v>
      </c>
      <c r="F373" s="1">
        <v>43978</v>
      </c>
      <c r="G373" t="str">
        <f>"300043"</f>
        <v>300043</v>
      </c>
      <c r="H373" t="s">
        <v>2876</v>
      </c>
      <c r="I373">
        <v>656</v>
      </c>
    </row>
    <row r="374" spans="1:9" x14ac:dyDescent="0.25">
      <c r="A374" t="s">
        <v>9616</v>
      </c>
      <c r="C374" t="s">
        <v>9617</v>
      </c>
      <c r="D374" t="str">
        <f>"23816"</f>
        <v>23816</v>
      </c>
      <c r="E374" t="s">
        <v>9828</v>
      </c>
      <c r="F374" s="1">
        <v>43978</v>
      </c>
      <c r="G374" t="str">
        <f>"300043"</f>
        <v>300043</v>
      </c>
      <c r="H374" t="s">
        <v>2876</v>
      </c>
      <c r="I374">
        <v>768</v>
      </c>
    </row>
    <row r="375" spans="1:9" x14ac:dyDescent="0.25">
      <c r="A375" t="s">
        <v>9616</v>
      </c>
      <c r="C375" t="s">
        <v>9617</v>
      </c>
      <c r="D375" t="str">
        <f>"240720"</f>
        <v>240720</v>
      </c>
      <c r="E375" t="s">
        <v>9828</v>
      </c>
      <c r="F375" s="1">
        <v>43978</v>
      </c>
      <c r="G375" t="str">
        <f>"300101"</f>
        <v>300101</v>
      </c>
      <c r="H375" t="s">
        <v>2926</v>
      </c>
      <c r="I375">
        <v>3168.73</v>
      </c>
    </row>
    <row r="376" spans="1:9" x14ac:dyDescent="0.25">
      <c r="A376" t="s">
        <v>9616</v>
      </c>
      <c r="C376" t="s">
        <v>9617</v>
      </c>
      <c r="D376" t="str">
        <f>"241020"</f>
        <v>241020</v>
      </c>
      <c r="E376" t="s">
        <v>9827</v>
      </c>
      <c r="F376" s="1">
        <v>43978</v>
      </c>
      <c r="G376" t="str">
        <f>"300101"</f>
        <v>300101</v>
      </c>
      <c r="H376" t="s">
        <v>2926</v>
      </c>
      <c r="I376">
        <v>3639.29</v>
      </c>
    </row>
    <row r="377" spans="1:9" x14ac:dyDescent="0.25">
      <c r="A377" t="s">
        <v>9616</v>
      </c>
      <c r="C377" t="s">
        <v>9617</v>
      </c>
      <c r="D377" t="str">
        <f>"23815"</f>
        <v>23815</v>
      </c>
      <c r="E377" t="s">
        <v>9829</v>
      </c>
      <c r="F377" s="1">
        <v>43979</v>
      </c>
      <c r="G377" t="str">
        <f>"300043"</f>
        <v>300043</v>
      </c>
      <c r="H377" t="s">
        <v>2876</v>
      </c>
      <c r="I377">
        <v>1065</v>
      </c>
    </row>
    <row r="378" spans="1:9" x14ac:dyDescent="0.25">
      <c r="A378" t="s">
        <v>9616</v>
      </c>
      <c r="C378" t="s">
        <v>9617</v>
      </c>
      <c r="D378" t="str">
        <f>"241120"</f>
        <v>241120</v>
      </c>
      <c r="E378" t="s">
        <v>9829</v>
      </c>
      <c r="F378" s="1">
        <v>43979</v>
      </c>
      <c r="G378" t="str">
        <f>"300101"</f>
        <v>300101</v>
      </c>
      <c r="H378" t="s">
        <v>2926</v>
      </c>
      <c r="I378">
        <v>3639.29</v>
      </c>
    </row>
    <row r="379" spans="1:9" x14ac:dyDescent="0.25">
      <c r="A379" t="s">
        <v>9616</v>
      </c>
      <c r="C379" t="s">
        <v>9617</v>
      </c>
      <c r="D379" t="str">
        <f>"4714"</f>
        <v>4714</v>
      </c>
      <c r="E379" t="s">
        <v>9830</v>
      </c>
      <c r="F379" s="1">
        <v>43983</v>
      </c>
      <c r="G379" t="str">
        <f>"300043"</f>
        <v>300043</v>
      </c>
      <c r="H379" t="s">
        <v>2876</v>
      </c>
      <c r="I379">
        <v>923</v>
      </c>
    </row>
    <row r="380" spans="1:9" x14ac:dyDescent="0.25">
      <c r="A380" t="s">
        <v>9616</v>
      </c>
      <c r="C380" t="s">
        <v>9617</v>
      </c>
      <c r="D380" t="str">
        <f>"2002940"</f>
        <v>2002940</v>
      </c>
      <c r="E380" t="s">
        <v>9831</v>
      </c>
      <c r="F380" s="1">
        <v>43983</v>
      </c>
      <c r="G380" t="str">
        <f>"300064"</f>
        <v>300064</v>
      </c>
      <c r="H380" t="s">
        <v>2896</v>
      </c>
      <c r="I380">
        <v>95940</v>
      </c>
    </row>
    <row r="381" spans="1:9" x14ac:dyDescent="0.25">
      <c r="A381" t="s">
        <v>9616</v>
      </c>
      <c r="C381" t="s">
        <v>9617</v>
      </c>
      <c r="D381" t="str">
        <f>"2002941"</f>
        <v>2002941</v>
      </c>
      <c r="E381" t="s">
        <v>9832</v>
      </c>
      <c r="F381" s="1">
        <v>43983</v>
      </c>
      <c r="G381" t="str">
        <f>"300064"</f>
        <v>300064</v>
      </c>
      <c r="H381" t="s">
        <v>2896</v>
      </c>
      <c r="I381">
        <v>95940</v>
      </c>
    </row>
    <row r="382" spans="1:9" x14ac:dyDescent="0.25">
      <c r="A382" t="s">
        <v>9616</v>
      </c>
      <c r="C382" t="s">
        <v>9617</v>
      </c>
      <c r="D382" t="str">
        <f>"2002942"</f>
        <v>2002942</v>
      </c>
      <c r="E382" t="s">
        <v>9833</v>
      </c>
      <c r="F382" s="1">
        <v>43983</v>
      </c>
      <c r="G382" t="str">
        <f>"300064"</f>
        <v>300064</v>
      </c>
      <c r="H382" t="s">
        <v>2896</v>
      </c>
      <c r="I382">
        <v>95940</v>
      </c>
    </row>
    <row r="383" spans="1:9" x14ac:dyDescent="0.25">
      <c r="A383" t="s">
        <v>9616</v>
      </c>
      <c r="C383" t="s">
        <v>9617</v>
      </c>
      <c r="D383" t="str">
        <f>"2002943"</f>
        <v>2002943</v>
      </c>
      <c r="E383" t="s">
        <v>9834</v>
      </c>
      <c r="F383" s="1">
        <v>43983</v>
      </c>
      <c r="G383" t="str">
        <f>"300064"</f>
        <v>300064</v>
      </c>
      <c r="H383" t="s">
        <v>2896</v>
      </c>
      <c r="I383">
        <v>95940</v>
      </c>
    </row>
    <row r="384" spans="1:9" x14ac:dyDescent="0.25">
      <c r="A384" t="s">
        <v>9616</v>
      </c>
      <c r="C384" t="s">
        <v>9617</v>
      </c>
      <c r="D384" t="str">
        <f>"120310453"</f>
        <v>120310453</v>
      </c>
      <c r="E384" t="s">
        <v>9835</v>
      </c>
      <c r="F384" s="1">
        <v>43983</v>
      </c>
      <c r="G384" t="str">
        <f>"300080"</f>
        <v>300080</v>
      </c>
      <c r="H384" t="s">
        <v>2907</v>
      </c>
      <c r="I384">
        <v>107146.46249999999</v>
      </c>
    </row>
    <row r="385" spans="1:9" x14ac:dyDescent="0.25">
      <c r="A385" t="s">
        <v>9616</v>
      </c>
      <c r="C385" t="s">
        <v>9617</v>
      </c>
      <c r="D385" t="str">
        <f>"249420"</f>
        <v>249420</v>
      </c>
      <c r="E385" t="s">
        <v>9830</v>
      </c>
      <c r="F385" s="1">
        <v>43983</v>
      </c>
      <c r="G385" t="str">
        <f>"300101"</f>
        <v>300101</v>
      </c>
      <c r="H385" t="s">
        <v>2926</v>
      </c>
      <c r="I385">
        <v>4047.8</v>
      </c>
    </row>
    <row r="386" spans="1:9" x14ac:dyDescent="0.25">
      <c r="A386" t="s">
        <v>9616</v>
      </c>
      <c r="C386" t="s">
        <v>9617</v>
      </c>
      <c r="D386" t="str">
        <f>"24530"</f>
        <v>24530</v>
      </c>
      <c r="E386" t="s">
        <v>9836</v>
      </c>
      <c r="F386" s="1">
        <v>43984</v>
      </c>
      <c r="G386" t="str">
        <f>"300043"</f>
        <v>300043</v>
      </c>
      <c r="H386" t="s">
        <v>2876</v>
      </c>
      <c r="I386">
        <v>684</v>
      </c>
    </row>
    <row r="387" spans="1:9" x14ac:dyDescent="0.25">
      <c r="A387" t="s">
        <v>9616</v>
      </c>
      <c r="C387" t="s">
        <v>9617</v>
      </c>
      <c r="D387" t="s">
        <v>9837</v>
      </c>
      <c r="E387" t="s">
        <v>9838</v>
      </c>
      <c r="F387" s="1">
        <v>43984</v>
      </c>
      <c r="G387" t="str">
        <f>"300092"</f>
        <v>300092</v>
      </c>
      <c r="H387" t="s">
        <v>2160</v>
      </c>
      <c r="I387">
        <v>79275</v>
      </c>
    </row>
    <row r="388" spans="1:9" x14ac:dyDescent="0.25">
      <c r="A388" t="s">
        <v>9616</v>
      </c>
      <c r="C388" t="s">
        <v>9617</v>
      </c>
      <c r="D388" t="str">
        <f>"249820"</f>
        <v>249820</v>
      </c>
      <c r="E388" t="s">
        <v>9836</v>
      </c>
      <c r="F388" s="1">
        <v>43984</v>
      </c>
      <c r="G388" t="str">
        <f>"300101"</f>
        <v>300101</v>
      </c>
      <c r="H388" t="s">
        <v>2926</v>
      </c>
      <c r="I388">
        <v>3504.72</v>
      </c>
    </row>
    <row r="389" spans="1:9" x14ac:dyDescent="0.25">
      <c r="A389" t="s">
        <v>9616</v>
      </c>
      <c r="C389" t="s">
        <v>9617</v>
      </c>
      <c r="D389" t="str">
        <f>"62154"</f>
        <v>62154</v>
      </c>
      <c r="E389" t="s">
        <v>9839</v>
      </c>
      <c r="F389" s="1">
        <v>43985</v>
      </c>
      <c r="G389" t="str">
        <f>"300043"</f>
        <v>300043</v>
      </c>
      <c r="H389" t="s">
        <v>2876</v>
      </c>
      <c r="I389">
        <v>592</v>
      </c>
    </row>
    <row r="390" spans="1:9" x14ac:dyDescent="0.25">
      <c r="A390" t="s">
        <v>9616</v>
      </c>
      <c r="C390" t="s">
        <v>9617</v>
      </c>
      <c r="D390" t="str">
        <f>"10122878"</f>
        <v>10122878</v>
      </c>
      <c r="E390" t="s">
        <v>9840</v>
      </c>
      <c r="F390" s="1">
        <v>43985</v>
      </c>
      <c r="G390" t="str">
        <f>"300115"</f>
        <v>300115</v>
      </c>
      <c r="H390" t="s">
        <v>2938</v>
      </c>
      <c r="I390">
        <v>275583.429</v>
      </c>
    </row>
    <row r="391" spans="1:9" x14ac:dyDescent="0.25">
      <c r="A391" t="s">
        <v>9616</v>
      </c>
      <c r="C391" t="s">
        <v>9617</v>
      </c>
      <c r="D391" t="str">
        <f>"10122879"</f>
        <v>10122879</v>
      </c>
      <c r="E391" t="s">
        <v>9189</v>
      </c>
      <c r="F391" s="1">
        <v>43985</v>
      </c>
      <c r="G391" t="str">
        <f>"300115"</f>
        <v>300115</v>
      </c>
      <c r="H391" t="s">
        <v>2938</v>
      </c>
      <c r="I391">
        <v>275583.429</v>
      </c>
    </row>
    <row r="392" spans="1:9" x14ac:dyDescent="0.25">
      <c r="A392" t="s">
        <v>9616</v>
      </c>
      <c r="C392" t="s">
        <v>9617</v>
      </c>
      <c r="D392" t="str">
        <f>"5758"</f>
        <v>5758</v>
      </c>
      <c r="E392" t="s">
        <v>9841</v>
      </c>
      <c r="F392" s="1">
        <v>43986</v>
      </c>
      <c r="G392" t="str">
        <f>"300043"</f>
        <v>300043</v>
      </c>
      <c r="H392" t="s">
        <v>2876</v>
      </c>
      <c r="I392">
        <v>1076</v>
      </c>
    </row>
    <row r="393" spans="1:9" x14ac:dyDescent="0.25">
      <c r="A393" t="s">
        <v>9616</v>
      </c>
      <c r="C393" t="s">
        <v>9617</v>
      </c>
      <c r="D393" t="str">
        <f>"245820"</f>
        <v>245820</v>
      </c>
      <c r="E393" t="s">
        <v>9842</v>
      </c>
      <c r="F393" s="1">
        <v>43986</v>
      </c>
      <c r="G393" t="str">
        <f>"300101"</f>
        <v>300101</v>
      </c>
      <c r="H393" t="s">
        <v>2926</v>
      </c>
      <c r="I393">
        <v>50</v>
      </c>
    </row>
    <row r="394" spans="1:9" x14ac:dyDescent="0.25">
      <c r="A394" t="s">
        <v>9616</v>
      </c>
      <c r="C394" t="s">
        <v>9617</v>
      </c>
      <c r="D394" t="str">
        <f>"265020"</f>
        <v>265020</v>
      </c>
      <c r="E394" t="s">
        <v>9841</v>
      </c>
      <c r="F394" s="1">
        <v>43986</v>
      </c>
      <c r="G394" t="str">
        <f>"300101"</f>
        <v>300101</v>
      </c>
      <c r="H394" t="s">
        <v>2926</v>
      </c>
      <c r="I394">
        <v>3191.07</v>
      </c>
    </row>
    <row r="395" spans="1:9" x14ac:dyDescent="0.25">
      <c r="A395" t="s">
        <v>9616</v>
      </c>
      <c r="C395" t="s">
        <v>9617</v>
      </c>
      <c r="D395" t="str">
        <f>"10122908"</f>
        <v>10122908</v>
      </c>
      <c r="E395" t="s">
        <v>9264</v>
      </c>
      <c r="F395" s="1">
        <v>43986</v>
      </c>
      <c r="G395" t="str">
        <f>"300115"</f>
        <v>300115</v>
      </c>
      <c r="H395" t="s">
        <v>2938</v>
      </c>
      <c r="I395">
        <v>225138.4333</v>
      </c>
    </row>
    <row r="396" spans="1:9" x14ac:dyDescent="0.25">
      <c r="A396" t="s">
        <v>9616</v>
      </c>
      <c r="C396" t="s">
        <v>9617</v>
      </c>
      <c r="D396" t="s">
        <v>9843</v>
      </c>
      <c r="E396" t="s">
        <v>9844</v>
      </c>
      <c r="F396" s="1">
        <v>43986</v>
      </c>
      <c r="G396" t="str">
        <f>"300133"</f>
        <v>300133</v>
      </c>
      <c r="H396" t="s">
        <v>2955</v>
      </c>
      <c r="I396">
        <v>37428</v>
      </c>
    </row>
    <row r="397" spans="1:9" x14ac:dyDescent="0.25">
      <c r="A397" t="s">
        <v>9616</v>
      </c>
      <c r="C397" t="s">
        <v>9617</v>
      </c>
      <c r="D397" t="s">
        <v>9845</v>
      </c>
      <c r="E397" t="s">
        <v>9846</v>
      </c>
      <c r="F397" s="1">
        <v>43986</v>
      </c>
      <c r="G397" t="str">
        <f>"300133"</f>
        <v>300133</v>
      </c>
      <c r="H397" t="s">
        <v>2955</v>
      </c>
      <c r="I397">
        <v>6270</v>
      </c>
    </row>
    <row r="398" spans="1:9" x14ac:dyDescent="0.25">
      <c r="A398" t="s">
        <v>9616</v>
      </c>
      <c r="C398" t="s">
        <v>9617</v>
      </c>
      <c r="D398" t="s">
        <v>9847</v>
      </c>
      <c r="E398" t="s">
        <v>9819</v>
      </c>
      <c r="F398" s="1">
        <v>43986</v>
      </c>
      <c r="G398" t="str">
        <f>"300301"</f>
        <v>300301</v>
      </c>
      <c r="H398" t="s">
        <v>3043</v>
      </c>
      <c r="I398">
        <v>6748.13</v>
      </c>
    </row>
    <row r="399" spans="1:9" x14ac:dyDescent="0.25">
      <c r="A399" t="s">
        <v>9616</v>
      </c>
      <c r="C399" t="s">
        <v>9617</v>
      </c>
      <c r="D399" t="str">
        <f>"24954"</f>
        <v>24954</v>
      </c>
      <c r="E399" t="s">
        <v>9848</v>
      </c>
      <c r="F399" s="1">
        <v>43987</v>
      </c>
      <c r="G399" t="str">
        <f>"300043"</f>
        <v>300043</v>
      </c>
      <c r="H399" t="s">
        <v>2876</v>
      </c>
      <c r="I399">
        <v>1076</v>
      </c>
    </row>
    <row r="400" spans="1:9" x14ac:dyDescent="0.25">
      <c r="A400" t="s">
        <v>9616</v>
      </c>
      <c r="C400" t="s">
        <v>9617</v>
      </c>
      <c r="D400" t="str">
        <f>"249920"</f>
        <v>249920</v>
      </c>
      <c r="E400" t="s">
        <v>9829</v>
      </c>
      <c r="F400" s="1">
        <v>43987</v>
      </c>
      <c r="G400" t="str">
        <f>"300101"</f>
        <v>300101</v>
      </c>
      <c r="H400" t="s">
        <v>2926</v>
      </c>
      <c r="I400">
        <v>157.77000000000001</v>
      </c>
    </row>
    <row r="401" spans="1:9" x14ac:dyDescent="0.25">
      <c r="A401" t="s">
        <v>9616</v>
      </c>
      <c r="C401" t="s">
        <v>9617</v>
      </c>
      <c r="D401" t="str">
        <f>"250020"</f>
        <v>250020</v>
      </c>
      <c r="E401" t="s">
        <v>9828</v>
      </c>
      <c r="F401" s="1">
        <v>43987</v>
      </c>
      <c r="G401" t="str">
        <f>"300101"</f>
        <v>300101</v>
      </c>
      <c r="H401" t="s">
        <v>2926</v>
      </c>
      <c r="I401">
        <v>315.54000000000002</v>
      </c>
    </row>
    <row r="402" spans="1:9" x14ac:dyDescent="0.25">
      <c r="A402" t="s">
        <v>9616</v>
      </c>
      <c r="C402" t="s">
        <v>9617</v>
      </c>
      <c r="D402" t="str">
        <f>"265220"</f>
        <v>265220</v>
      </c>
      <c r="E402" t="s">
        <v>9848</v>
      </c>
      <c r="F402" s="1">
        <v>43987</v>
      </c>
      <c r="G402" t="str">
        <f>"300101"</f>
        <v>300101</v>
      </c>
      <c r="H402" t="s">
        <v>2926</v>
      </c>
      <c r="I402">
        <v>3191.71</v>
      </c>
    </row>
    <row r="403" spans="1:9" x14ac:dyDescent="0.25">
      <c r="A403" t="s">
        <v>9616</v>
      </c>
      <c r="C403" t="s">
        <v>9617</v>
      </c>
      <c r="D403" t="str">
        <f>"10122949"</f>
        <v>10122949</v>
      </c>
      <c r="E403" t="s">
        <v>9840</v>
      </c>
      <c r="F403" s="1">
        <v>43987</v>
      </c>
      <c r="G403" t="str">
        <f>"300115"</f>
        <v>300115</v>
      </c>
      <c r="H403" t="s">
        <v>2938</v>
      </c>
      <c r="I403">
        <v>275583.429</v>
      </c>
    </row>
    <row r="404" spans="1:9" x14ac:dyDescent="0.25">
      <c r="A404" t="s">
        <v>9616</v>
      </c>
      <c r="C404" t="s">
        <v>9617</v>
      </c>
      <c r="D404" t="str">
        <f>"25359"</f>
        <v>25359</v>
      </c>
      <c r="E404" t="s">
        <v>9849</v>
      </c>
      <c r="F404" s="1">
        <v>43991</v>
      </c>
      <c r="G404" t="str">
        <f>"300043"</f>
        <v>300043</v>
      </c>
      <c r="H404" t="s">
        <v>2876</v>
      </c>
      <c r="I404">
        <v>1081</v>
      </c>
    </row>
    <row r="405" spans="1:9" x14ac:dyDescent="0.25">
      <c r="A405" t="s">
        <v>9616</v>
      </c>
      <c r="C405" t="s">
        <v>9617</v>
      </c>
      <c r="D405" t="str">
        <f>"25495"</f>
        <v>25495</v>
      </c>
      <c r="E405" t="s">
        <v>9850</v>
      </c>
      <c r="F405" s="1">
        <v>43991</v>
      </c>
      <c r="G405" t="str">
        <f>"300043"</f>
        <v>300043</v>
      </c>
      <c r="H405" t="s">
        <v>2876</v>
      </c>
      <c r="I405">
        <v>913</v>
      </c>
    </row>
    <row r="406" spans="1:9" x14ac:dyDescent="0.25">
      <c r="A406" t="s">
        <v>9616</v>
      </c>
      <c r="C406" t="s">
        <v>9617</v>
      </c>
      <c r="D406" t="str">
        <f>"265420"</f>
        <v>265420</v>
      </c>
      <c r="E406" t="s">
        <v>9849</v>
      </c>
      <c r="F406" s="1">
        <v>43991</v>
      </c>
      <c r="G406" t="str">
        <f>"300101"</f>
        <v>300101</v>
      </c>
      <c r="H406" t="s">
        <v>2926</v>
      </c>
      <c r="I406">
        <v>3520.73</v>
      </c>
    </row>
    <row r="407" spans="1:9" x14ac:dyDescent="0.25">
      <c r="A407" t="s">
        <v>9616</v>
      </c>
      <c r="C407" t="s">
        <v>9617</v>
      </c>
      <c r="D407" t="str">
        <f>"2003225"</f>
        <v>2003225</v>
      </c>
      <c r="E407" t="s">
        <v>9851</v>
      </c>
      <c r="F407" s="1">
        <v>43992</v>
      </c>
      <c r="G407" t="str">
        <f>"300064"</f>
        <v>300064</v>
      </c>
      <c r="H407" t="s">
        <v>2896</v>
      </c>
      <c r="I407">
        <v>95940</v>
      </c>
    </row>
    <row r="408" spans="1:9" x14ac:dyDescent="0.25">
      <c r="A408" t="s">
        <v>9616</v>
      </c>
      <c r="C408" t="s">
        <v>9617</v>
      </c>
      <c r="D408" t="str">
        <f>"2003226"</f>
        <v>2003226</v>
      </c>
      <c r="E408" t="s">
        <v>9851</v>
      </c>
      <c r="F408" s="1">
        <v>43992</v>
      </c>
      <c r="G408" t="str">
        <f>"300064"</f>
        <v>300064</v>
      </c>
      <c r="H408" t="s">
        <v>2896</v>
      </c>
      <c r="I408">
        <v>95940</v>
      </c>
    </row>
    <row r="409" spans="1:9" x14ac:dyDescent="0.25">
      <c r="A409" t="s">
        <v>9616</v>
      </c>
      <c r="C409" t="s">
        <v>9617</v>
      </c>
      <c r="D409" t="str">
        <f>"10123031"</f>
        <v>10123031</v>
      </c>
      <c r="E409" t="s">
        <v>9174</v>
      </c>
      <c r="F409" s="1">
        <v>43992</v>
      </c>
      <c r="G409" t="str">
        <f>"300115"</f>
        <v>300115</v>
      </c>
      <c r="H409" t="s">
        <v>2938</v>
      </c>
      <c r="I409">
        <v>201741.88320000001</v>
      </c>
    </row>
    <row r="410" spans="1:9" x14ac:dyDescent="0.25">
      <c r="A410" t="s">
        <v>9616</v>
      </c>
      <c r="C410" t="s">
        <v>9617</v>
      </c>
      <c r="D410" t="str">
        <f>"2003267"</f>
        <v>2003267</v>
      </c>
      <c r="E410" t="s">
        <v>9852</v>
      </c>
      <c r="F410" s="1">
        <v>43993</v>
      </c>
      <c r="G410" t="str">
        <f>"300064"</f>
        <v>300064</v>
      </c>
      <c r="H410" t="s">
        <v>2896</v>
      </c>
      <c r="I410">
        <v>18470</v>
      </c>
    </row>
    <row r="411" spans="1:9" x14ac:dyDescent="0.25">
      <c r="A411" t="s">
        <v>9616</v>
      </c>
      <c r="C411" t="s">
        <v>9617</v>
      </c>
      <c r="D411" t="str">
        <f>"2003268"</f>
        <v>2003268</v>
      </c>
      <c r="E411" t="s">
        <v>9852</v>
      </c>
      <c r="F411" s="1">
        <v>43993</v>
      </c>
      <c r="G411" t="str">
        <f>"300064"</f>
        <v>300064</v>
      </c>
      <c r="H411" t="s">
        <v>2896</v>
      </c>
      <c r="I411">
        <v>10890</v>
      </c>
    </row>
    <row r="412" spans="1:9" x14ac:dyDescent="0.25">
      <c r="A412" t="s">
        <v>9616</v>
      </c>
      <c r="C412" t="s">
        <v>9617</v>
      </c>
      <c r="D412" t="str">
        <f>"120310496"</f>
        <v>120310496</v>
      </c>
      <c r="E412" t="s">
        <v>9714</v>
      </c>
      <c r="F412" s="1">
        <v>43993</v>
      </c>
      <c r="G412" t="str">
        <f>"300080"</f>
        <v>300080</v>
      </c>
      <c r="H412" t="s">
        <v>2907</v>
      </c>
      <c r="I412">
        <v>125621.496</v>
      </c>
    </row>
    <row r="413" spans="1:9" x14ac:dyDescent="0.25">
      <c r="A413" t="s">
        <v>9616</v>
      </c>
      <c r="C413" t="s">
        <v>9617</v>
      </c>
      <c r="D413" t="s">
        <v>9853</v>
      </c>
      <c r="E413" t="s">
        <v>9629</v>
      </c>
      <c r="F413" s="1">
        <v>43994</v>
      </c>
      <c r="G413" t="str">
        <f>"300133"</f>
        <v>300133</v>
      </c>
      <c r="H413" t="s">
        <v>2955</v>
      </c>
      <c r="I413">
        <v>25228</v>
      </c>
    </row>
    <row r="414" spans="1:9" x14ac:dyDescent="0.25">
      <c r="A414" t="s">
        <v>9616</v>
      </c>
      <c r="C414" t="s">
        <v>9617</v>
      </c>
      <c r="D414" t="s">
        <v>9854</v>
      </c>
      <c r="E414" t="s">
        <v>9629</v>
      </c>
      <c r="F414" s="1">
        <v>43994</v>
      </c>
      <c r="G414" t="str">
        <f>"300133"</f>
        <v>300133</v>
      </c>
      <c r="H414" t="s">
        <v>2955</v>
      </c>
      <c r="I414">
        <v>43236</v>
      </c>
    </row>
    <row r="415" spans="1:9" x14ac:dyDescent="0.25">
      <c r="A415" t="s">
        <v>9616</v>
      </c>
      <c r="C415" t="s">
        <v>9617</v>
      </c>
      <c r="D415" t="str">
        <f>"201443"</f>
        <v>201443</v>
      </c>
      <c r="E415" t="s">
        <v>9839</v>
      </c>
      <c r="F415" s="1">
        <v>43994</v>
      </c>
      <c r="G415" t="str">
        <f>"300301"</f>
        <v>300301</v>
      </c>
      <c r="H415" t="s">
        <v>3043</v>
      </c>
      <c r="I415">
        <v>7217.98</v>
      </c>
    </row>
    <row r="416" spans="1:9" x14ac:dyDescent="0.25">
      <c r="A416" t="s">
        <v>9616</v>
      </c>
      <c r="C416" t="s">
        <v>9617</v>
      </c>
      <c r="D416" t="str">
        <f>"201454"</f>
        <v>201454</v>
      </c>
      <c r="E416" t="s">
        <v>9696</v>
      </c>
      <c r="F416" s="1">
        <v>43995</v>
      </c>
      <c r="G416" t="str">
        <f>"300301"</f>
        <v>300301</v>
      </c>
      <c r="H416" t="s">
        <v>3043</v>
      </c>
      <c r="I416">
        <v>62.5</v>
      </c>
    </row>
    <row r="417" spans="1:9" x14ac:dyDescent="0.25">
      <c r="A417" t="s">
        <v>9616</v>
      </c>
      <c r="C417" t="s">
        <v>9617</v>
      </c>
      <c r="D417" t="s">
        <v>9855</v>
      </c>
      <c r="E417" t="s">
        <v>9727</v>
      </c>
      <c r="F417" s="1">
        <v>43995</v>
      </c>
      <c r="G417" t="str">
        <f>"300301"</f>
        <v>300301</v>
      </c>
      <c r="H417" t="s">
        <v>3043</v>
      </c>
      <c r="I417">
        <v>50</v>
      </c>
    </row>
    <row r="418" spans="1:9" x14ac:dyDescent="0.25">
      <c r="A418" t="s">
        <v>9616</v>
      </c>
      <c r="C418" t="s">
        <v>9617</v>
      </c>
      <c r="D418" t="s">
        <v>9856</v>
      </c>
      <c r="E418" t="s">
        <v>9729</v>
      </c>
      <c r="F418" s="1">
        <v>43997</v>
      </c>
      <c r="G418" t="str">
        <f>"300092"</f>
        <v>300092</v>
      </c>
      <c r="H418" t="s">
        <v>2160</v>
      </c>
      <c r="I418">
        <v>26100</v>
      </c>
    </row>
    <row r="419" spans="1:9" x14ac:dyDescent="0.25">
      <c r="A419" t="s">
        <v>9616</v>
      </c>
      <c r="C419" t="s">
        <v>9617</v>
      </c>
      <c r="D419" t="str">
        <f>"26305"</f>
        <v>26305</v>
      </c>
      <c r="E419" t="s">
        <v>9842</v>
      </c>
      <c r="F419" s="1">
        <v>43998</v>
      </c>
      <c r="G419" t="str">
        <f>"300043"</f>
        <v>300043</v>
      </c>
      <c r="H419" t="s">
        <v>2876</v>
      </c>
      <c r="I419">
        <v>834</v>
      </c>
    </row>
    <row r="420" spans="1:9" x14ac:dyDescent="0.25">
      <c r="A420" t="s">
        <v>9616</v>
      </c>
      <c r="C420" t="s">
        <v>9617</v>
      </c>
      <c r="D420" t="s">
        <v>9857</v>
      </c>
      <c r="E420" t="s">
        <v>9858</v>
      </c>
      <c r="F420" s="1">
        <v>43998</v>
      </c>
      <c r="G420" t="str">
        <f>"300092"</f>
        <v>300092</v>
      </c>
      <c r="H420" t="s">
        <v>2160</v>
      </c>
      <c r="I420">
        <v>55495</v>
      </c>
    </row>
    <row r="421" spans="1:9" x14ac:dyDescent="0.25">
      <c r="A421" t="s">
        <v>9616</v>
      </c>
      <c r="C421" t="s">
        <v>9617</v>
      </c>
      <c r="D421" t="str">
        <f>"265720"</f>
        <v>265720</v>
      </c>
      <c r="E421" t="s">
        <v>9842</v>
      </c>
      <c r="F421" s="1">
        <v>43998</v>
      </c>
      <c r="G421" t="str">
        <f>"300101"</f>
        <v>300101</v>
      </c>
      <c r="H421" t="s">
        <v>2926</v>
      </c>
      <c r="I421">
        <v>3507.62</v>
      </c>
    </row>
    <row r="422" spans="1:9" x14ac:dyDescent="0.25">
      <c r="A422" t="s">
        <v>9616</v>
      </c>
      <c r="C422" t="s">
        <v>9617</v>
      </c>
      <c r="D422" t="str">
        <f>"10123199"</f>
        <v>10123199</v>
      </c>
      <c r="E422" t="s">
        <v>9840</v>
      </c>
      <c r="F422" s="1">
        <v>43999</v>
      </c>
      <c r="G422" t="str">
        <f>"300115"</f>
        <v>300115</v>
      </c>
      <c r="H422" t="s">
        <v>2938</v>
      </c>
      <c r="I422">
        <v>275583.429</v>
      </c>
    </row>
    <row r="423" spans="1:9" x14ac:dyDescent="0.25">
      <c r="A423" t="s">
        <v>9616</v>
      </c>
      <c r="C423" t="s">
        <v>9617</v>
      </c>
      <c r="D423" t="str">
        <f>"265520"</f>
        <v>265520</v>
      </c>
      <c r="E423" t="s">
        <v>9850</v>
      </c>
      <c r="F423" s="1">
        <v>44000</v>
      </c>
      <c r="G423" t="str">
        <f>"300101"</f>
        <v>300101</v>
      </c>
      <c r="H423" t="s">
        <v>2926</v>
      </c>
      <c r="I423">
        <v>3675.46</v>
      </c>
    </row>
    <row r="424" spans="1:9" x14ac:dyDescent="0.25">
      <c r="A424" t="s">
        <v>9616</v>
      </c>
      <c r="C424" t="s">
        <v>9617</v>
      </c>
      <c r="D424" t="str">
        <f>"10123198"</f>
        <v>10123198</v>
      </c>
      <c r="E424" t="s">
        <v>9264</v>
      </c>
      <c r="F424" s="1">
        <v>44000</v>
      </c>
      <c r="G424" t="str">
        <f>"300115"</f>
        <v>300115</v>
      </c>
      <c r="H424" t="s">
        <v>2938</v>
      </c>
      <c r="I424">
        <v>184308.696</v>
      </c>
    </row>
    <row r="425" spans="1:9" x14ac:dyDescent="0.25">
      <c r="A425" t="s">
        <v>9616</v>
      </c>
      <c r="C425" t="s">
        <v>9617</v>
      </c>
      <c r="D425" t="str">
        <f>"10123224"</f>
        <v>10123224</v>
      </c>
      <c r="E425" t="s">
        <v>9337</v>
      </c>
      <c r="F425" s="1">
        <v>44000</v>
      </c>
      <c r="G425" t="str">
        <f>"300115"</f>
        <v>300115</v>
      </c>
      <c r="H425" t="s">
        <v>2938</v>
      </c>
      <c r="I425">
        <v>270146.55800000002</v>
      </c>
    </row>
    <row r="426" spans="1:9" x14ac:dyDescent="0.25">
      <c r="A426" t="s">
        <v>9616</v>
      </c>
      <c r="C426" t="s">
        <v>9617</v>
      </c>
      <c r="D426" t="str">
        <f>"220310120"</f>
        <v>220310120</v>
      </c>
      <c r="E426" t="s">
        <v>8925</v>
      </c>
      <c r="F426" s="1">
        <v>44001</v>
      </c>
      <c r="G426" t="str">
        <f>"300080"</f>
        <v>300080</v>
      </c>
      <c r="H426" t="s">
        <v>2907</v>
      </c>
      <c r="I426">
        <v>3564</v>
      </c>
    </row>
    <row r="427" spans="1:9" x14ac:dyDescent="0.25">
      <c r="A427" t="s">
        <v>9616</v>
      </c>
      <c r="C427" t="s">
        <v>9617</v>
      </c>
      <c r="D427" t="str">
        <f>"10123242"</f>
        <v>10123242</v>
      </c>
      <c r="E427" t="s">
        <v>9859</v>
      </c>
      <c r="F427" s="1">
        <v>44001</v>
      </c>
      <c r="G427" t="str">
        <f>"300115"</f>
        <v>300115</v>
      </c>
      <c r="H427" t="s">
        <v>2938</v>
      </c>
      <c r="I427">
        <v>93430.210500000001</v>
      </c>
    </row>
    <row r="428" spans="1:9" x14ac:dyDescent="0.25">
      <c r="A428" t="s">
        <v>9616</v>
      </c>
      <c r="C428" t="s">
        <v>9617</v>
      </c>
      <c r="D428" t="str">
        <f>"10123245"</f>
        <v>10123245</v>
      </c>
      <c r="E428" t="s">
        <v>9860</v>
      </c>
      <c r="F428" s="1">
        <v>44001</v>
      </c>
      <c r="G428" t="str">
        <f>"300115"</f>
        <v>300115</v>
      </c>
      <c r="H428" t="s">
        <v>2938</v>
      </c>
      <c r="I428">
        <v>79445.08</v>
      </c>
    </row>
    <row r="429" spans="1:9" x14ac:dyDescent="0.25">
      <c r="A429" t="s">
        <v>9616</v>
      </c>
      <c r="C429" t="s">
        <v>9617</v>
      </c>
      <c r="D429" t="s">
        <v>9861</v>
      </c>
      <c r="E429" t="s">
        <v>9862</v>
      </c>
      <c r="F429" s="1">
        <v>44001</v>
      </c>
      <c r="G429" t="str">
        <f>"300133"</f>
        <v>300133</v>
      </c>
      <c r="H429" t="s">
        <v>2955</v>
      </c>
      <c r="I429">
        <v>9126</v>
      </c>
    </row>
    <row r="430" spans="1:9" x14ac:dyDescent="0.25">
      <c r="A430" t="s">
        <v>9616</v>
      </c>
      <c r="C430" t="s">
        <v>9617</v>
      </c>
      <c r="D430" t="str">
        <f>"27043"</f>
        <v>27043</v>
      </c>
      <c r="E430" t="s">
        <v>9863</v>
      </c>
      <c r="F430" s="1">
        <v>44004</v>
      </c>
      <c r="G430" t="str">
        <f>"300043"</f>
        <v>300043</v>
      </c>
      <c r="H430" t="s">
        <v>2876</v>
      </c>
      <c r="I430">
        <v>772</v>
      </c>
    </row>
    <row r="431" spans="1:9" x14ac:dyDescent="0.25">
      <c r="A431" t="s">
        <v>9616</v>
      </c>
      <c r="C431" t="s">
        <v>9617</v>
      </c>
      <c r="D431" t="str">
        <f>"282920"</f>
        <v>282920</v>
      </c>
      <c r="E431" t="s">
        <v>9863</v>
      </c>
      <c r="F431" s="1">
        <v>44004</v>
      </c>
      <c r="G431" t="str">
        <f>"300101"</f>
        <v>300101</v>
      </c>
      <c r="H431" t="s">
        <v>2926</v>
      </c>
      <c r="I431">
        <v>3494.76</v>
      </c>
    </row>
    <row r="432" spans="1:9" x14ac:dyDescent="0.25">
      <c r="A432" t="s">
        <v>9616</v>
      </c>
      <c r="C432" t="s">
        <v>9617</v>
      </c>
      <c r="D432" t="str">
        <f>"10123297"</f>
        <v>10123297</v>
      </c>
      <c r="E432" t="s">
        <v>9840</v>
      </c>
      <c r="F432" s="1">
        <v>44004</v>
      </c>
      <c r="G432" t="str">
        <f>"300115"</f>
        <v>300115</v>
      </c>
      <c r="H432" t="s">
        <v>2938</v>
      </c>
      <c r="I432">
        <v>275583.429</v>
      </c>
    </row>
    <row r="433" spans="1:9" x14ac:dyDescent="0.25">
      <c r="A433" t="s">
        <v>9616</v>
      </c>
      <c r="C433" t="s">
        <v>9617</v>
      </c>
      <c r="D433" t="str">
        <f>"10123298"</f>
        <v>10123298</v>
      </c>
      <c r="E433" t="s">
        <v>9864</v>
      </c>
      <c r="F433" s="1">
        <v>44004</v>
      </c>
      <c r="G433" t="str">
        <f>"300115"</f>
        <v>300115</v>
      </c>
      <c r="H433" t="s">
        <v>2938</v>
      </c>
      <c r="I433">
        <v>273243.82799999998</v>
      </c>
    </row>
    <row r="434" spans="1:9" x14ac:dyDescent="0.25">
      <c r="A434" t="s">
        <v>9616</v>
      </c>
      <c r="C434" t="s">
        <v>9617</v>
      </c>
      <c r="D434" t="str">
        <f>"27229"</f>
        <v>27229</v>
      </c>
      <c r="E434" t="s">
        <v>9865</v>
      </c>
      <c r="F434" s="1">
        <v>44005</v>
      </c>
      <c r="G434" t="str">
        <f>"300043"</f>
        <v>300043</v>
      </c>
      <c r="H434" t="s">
        <v>2876</v>
      </c>
      <c r="I434">
        <v>734</v>
      </c>
    </row>
    <row r="435" spans="1:9" x14ac:dyDescent="0.25">
      <c r="A435" t="s">
        <v>9616</v>
      </c>
      <c r="C435" t="s">
        <v>9617</v>
      </c>
      <c r="D435" t="str">
        <f>"27230"</f>
        <v>27230</v>
      </c>
      <c r="E435" t="s">
        <v>9866</v>
      </c>
      <c r="F435" s="1">
        <v>44005</v>
      </c>
      <c r="G435" t="str">
        <f>"300043"</f>
        <v>300043</v>
      </c>
      <c r="H435" t="s">
        <v>2876</v>
      </c>
      <c r="I435">
        <v>1055</v>
      </c>
    </row>
    <row r="436" spans="1:9" x14ac:dyDescent="0.25">
      <c r="A436" t="s">
        <v>9616</v>
      </c>
      <c r="C436" t="s">
        <v>9617</v>
      </c>
      <c r="D436" t="str">
        <f>"283220"</f>
        <v>283220</v>
      </c>
      <c r="E436" t="s">
        <v>9865</v>
      </c>
      <c r="F436" s="1">
        <v>44005</v>
      </c>
      <c r="G436" t="str">
        <f>"300101"</f>
        <v>300101</v>
      </c>
      <c r="H436" t="s">
        <v>2926</v>
      </c>
      <c r="I436">
        <v>3995.76</v>
      </c>
    </row>
    <row r="437" spans="1:9" x14ac:dyDescent="0.25">
      <c r="A437" t="s">
        <v>9616</v>
      </c>
      <c r="C437" t="s">
        <v>9617</v>
      </c>
      <c r="D437" t="str">
        <f>"283320"</f>
        <v>283320</v>
      </c>
      <c r="E437" t="s">
        <v>9866</v>
      </c>
      <c r="F437" s="1">
        <v>44005</v>
      </c>
      <c r="G437" t="str">
        <f>"300101"</f>
        <v>300101</v>
      </c>
      <c r="H437" t="s">
        <v>2926</v>
      </c>
      <c r="I437">
        <v>3344.46</v>
      </c>
    </row>
    <row r="438" spans="1:9" x14ac:dyDescent="0.25">
      <c r="A438" t="s">
        <v>9616</v>
      </c>
      <c r="C438" t="s">
        <v>9617</v>
      </c>
      <c r="D438" t="str">
        <f>"10123350"</f>
        <v>10123350</v>
      </c>
      <c r="E438" t="s">
        <v>9867</v>
      </c>
      <c r="F438" s="1">
        <v>44005</v>
      </c>
      <c r="G438" t="str">
        <f>"300115"</f>
        <v>300115</v>
      </c>
      <c r="H438" t="s">
        <v>2938</v>
      </c>
      <c r="I438">
        <v>151212.36679999999</v>
      </c>
    </row>
    <row r="439" spans="1:9" x14ac:dyDescent="0.25">
      <c r="A439" t="s">
        <v>9616</v>
      </c>
      <c r="C439" t="s">
        <v>9617</v>
      </c>
      <c r="D439" t="str">
        <f>"10123351"</f>
        <v>10123351</v>
      </c>
      <c r="E439" t="s">
        <v>9868</v>
      </c>
      <c r="F439" s="1">
        <v>44005</v>
      </c>
      <c r="G439" t="str">
        <f>"300115"</f>
        <v>300115</v>
      </c>
      <c r="H439" t="s">
        <v>2938</v>
      </c>
      <c r="I439">
        <v>150548.11199999999</v>
      </c>
    </row>
    <row r="440" spans="1:9" x14ac:dyDescent="0.25">
      <c r="A440" t="s">
        <v>9616</v>
      </c>
      <c r="C440" t="s">
        <v>9617</v>
      </c>
      <c r="D440" t="str">
        <f>"2003624"</f>
        <v>2003624</v>
      </c>
      <c r="E440" t="s">
        <v>9869</v>
      </c>
      <c r="F440" s="1">
        <v>44006</v>
      </c>
      <c r="G440" t="str">
        <f>"300064"</f>
        <v>300064</v>
      </c>
      <c r="H440" t="s">
        <v>2896</v>
      </c>
      <c r="I440">
        <v>148102</v>
      </c>
    </row>
    <row r="441" spans="1:9" x14ac:dyDescent="0.25">
      <c r="A441" t="s">
        <v>9616</v>
      </c>
      <c r="C441" t="s">
        <v>9617</v>
      </c>
      <c r="D441" t="str">
        <f>"120310542"</f>
        <v>120310542</v>
      </c>
      <c r="E441" t="s">
        <v>8925</v>
      </c>
      <c r="F441" s="1">
        <v>44006</v>
      </c>
      <c r="G441" t="str">
        <f>"300080"</f>
        <v>300080</v>
      </c>
      <c r="H441" t="s">
        <v>2907</v>
      </c>
      <c r="I441">
        <v>191268</v>
      </c>
    </row>
    <row r="442" spans="1:9" x14ac:dyDescent="0.25">
      <c r="A442" t="s">
        <v>9616</v>
      </c>
      <c r="C442" t="s">
        <v>9617</v>
      </c>
      <c r="D442" t="str">
        <f>"27518"</f>
        <v>27518</v>
      </c>
      <c r="E442" t="s">
        <v>9870</v>
      </c>
      <c r="F442" s="1">
        <v>44007</v>
      </c>
      <c r="G442" t="str">
        <f>"300043"</f>
        <v>300043</v>
      </c>
      <c r="H442" t="s">
        <v>2876</v>
      </c>
      <c r="I442">
        <v>1065</v>
      </c>
    </row>
    <row r="443" spans="1:9" x14ac:dyDescent="0.25">
      <c r="A443" t="s">
        <v>9616</v>
      </c>
      <c r="C443" t="s">
        <v>9617</v>
      </c>
      <c r="D443" t="s">
        <v>9871</v>
      </c>
      <c r="E443" t="s">
        <v>9872</v>
      </c>
      <c r="F443" s="1">
        <v>44007</v>
      </c>
      <c r="G443" t="str">
        <f>"300092"</f>
        <v>300092</v>
      </c>
      <c r="H443" t="s">
        <v>2160</v>
      </c>
      <c r="I443">
        <v>48499</v>
      </c>
    </row>
    <row r="444" spans="1:9" x14ac:dyDescent="0.25">
      <c r="A444" t="s">
        <v>9616</v>
      </c>
      <c r="C444" t="s">
        <v>9617</v>
      </c>
      <c r="D444" t="str">
        <f>"283120"</f>
        <v>283120</v>
      </c>
      <c r="E444" t="s">
        <v>9870</v>
      </c>
      <c r="F444" s="1">
        <v>44007</v>
      </c>
      <c r="G444" t="str">
        <f>"300101"</f>
        <v>300101</v>
      </c>
      <c r="H444" t="s">
        <v>2926</v>
      </c>
      <c r="I444">
        <v>3350.13</v>
      </c>
    </row>
    <row r="445" spans="1:9" x14ac:dyDescent="0.25">
      <c r="A445" t="s">
        <v>9616</v>
      </c>
      <c r="C445" t="s">
        <v>9617</v>
      </c>
      <c r="D445" t="s">
        <v>9873</v>
      </c>
      <c r="E445" t="s">
        <v>9629</v>
      </c>
      <c r="F445" s="1">
        <v>44007</v>
      </c>
      <c r="G445" t="str">
        <f>"300133"</f>
        <v>300133</v>
      </c>
      <c r="H445" t="s">
        <v>2955</v>
      </c>
      <c r="I445">
        <v>22992</v>
      </c>
    </row>
    <row r="446" spans="1:9" x14ac:dyDescent="0.25">
      <c r="A446" t="s">
        <v>9616</v>
      </c>
      <c r="C446" t="s">
        <v>9617</v>
      </c>
      <c r="D446" t="str">
        <f>"27527"</f>
        <v>27527</v>
      </c>
      <c r="E446" t="s">
        <v>9874</v>
      </c>
      <c r="F446" s="1">
        <v>44008</v>
      </c>
      <c r="G446" t="str">
        <f>"300043"</f>
        <v>300043</v>
      </c>
      <c r="H446" t="s">
        <v>2876</v>
      </c>
      <c r="I446">
        <v>1076</v>
      </c>
    </row>
    <row r="447" spans="1:9" x14ac:dyDescent="0.25">
      <c r="A447" t="s">
        <v>9616</v>
      </c>
      <c r="C447" t="s">
        <v>9617</v>
      </c>
      <c r="D447" t="str">
        <f>"27831"</f>
        <v>27831</v>
      </c>
      <c r="E447" t="s">
        <v>9875</v>
      </c>
      <c r="F447" s="1">
        <v>44008</v>
      </c>
      <c r="G447" t="str">
        <f>"300043"</f>
        <v>300043</v>
      </c>
      <c r="H447" t="s">
        <v>2876</v>
      </c>
      <c r="I447">
        <v>661</v>
      </c>
    </row>
    <row r="448" spans="1:9" x14ac:dyDescent="0.25">
      <c r="A448" t="s">
        <v>9616</v>
      </c>
      <c r="C448" t="s">
        <v>9617</v>
      </c>
      <c r="D448" t="str">
        <f>"283020"</f>
        <v>283020</v>
      </c>
      <c r="E448" t="s">
        <v>9874</v>
      </c>
      <c r="F448" s="1">
        <v>44008</v>
      </c>
      <c r="G448" t="str">
        <f>"300101"</f>
        <v>300101</v>
      </c>
      <c r="H448" t="s">
        <v>2926</v>
      </c>
      <c r="I448">
        <v>3847.66</v>
      </c>
    </row>
    <row r="449" spans="1:9" x14ac:dyDescent="0.25">
      <c r="A449" t="s">
        <v>9616</v>
      </c>
      <c r="C449" t="s">
        <v>9617</v>
      </c>
      <c r="D449" t="str">
        <f>"286020"</f>
        <v>286020</v>
      </c>
      <c r="E449" t="s">
        <v>9875</v>
      </c>
      <c r="F449" s="1">
        <v>44008</v>
      </c>
      <c r="G449" t="str">
        <f>"300101"</f>
        <v>300101</v>
      </c>
      <c r="H449" t="s">
        <v>2926</v>
      </c>
      <c r="I449">
        <v>3671.43</v>
      </c>
    </row>
    <row r="450" spans="1:9" x14ac:dyDescent="0.25">
      <c r="A450" t="s">
        <v>9616</v>
      </c>
      <c r="C450" t="s">
        <v>9617</v>
      </c>
      <c r="D450" t="str">
        <f>"10123439"</f>
        <v>10123439</v>
      </c>
      <c r="E450" t="s">
        <v>9864</v>
      </c>
      <c r="F450" s="1">
        <v>44008</v>
      </c>
      <c r="G450" t="str">
        <f>"300115"</f>
        <v>300115</v>
      </c>
      <c r="H450" t="s">
        <v>2938</v>
      </c>
      <c r="I450">
        <v>283934.277</v>
      </c>
    </row>
    <row r="451" spans="1:9" x14ac:dyDescent="0.25">
      <c r="A451" t="s">
        <v>9616</v>
      </c>
      <c r="C451" t="s">
        <v>9617</v>
      </c>
      <c r="D451" t="str">
        <f>"10123440"</f>
        <v>10123440</v>
      </c>
      <c r="E451" t="s">
        <v>9876</v>
      </c>
      <c r="F451" s="1">
        <v>44008</v>
      </c>
      <c r="G451" t="str">
        <f>"300115"</f>
        <v>300115</v>
      </c>
      <c r="H451" t="s">
        <v>2938</v>
      </c>
      <c r="I451">
        <v>135073.27900000001</v>
      </c>
    </row>
    <row r="452" spans="1:9" x14ac:dyDescent="0.25">
      <c r="A452" t="s">
        <v>9616</v>
      </c>
      <c r="C452" t="s">
        <v>9617</v>
      </c>
      <c r="D452" t="str">
        <f>"10123441"</f>
        <v>10123441</v>
      </c>
      <c r="E452" t="s">
        <v>9877</v>
      </c>
      <c r="F452" s="1">
        <v>44008</v>
      </c>
      <c r="G452" t="str">
        <f>"300115"</f>
        <v>300115</v>
      </c>
      <c r="H452" t="s">
        <v>2938</v>
      </c>
      <c r="I452">
        <v>135073.27900000001</v>
      </c>
    </row>
    <row r="453" spans="1:9" x14ac:dyDescent="0.25">
      <c r="A453" t="s">
        <v>9616</v>
      </c>
      <c r="C453" t="s">
        <v>9617</v>
      </c>
      <c r="D453" t="s">
        <v>9878</v>
      </c>
      <c r="E453" t="s">
        <v>9879</v>
      </c>
      <c r="F453" s="1">
        <v>44008</v>
      </c>
      <c r="G453" t="str">
        <f>"300133"</f>
        <v>300133</v>
      </c>
      <c r="H453" t="s">
        <v>2955</v>
      </c>
      <c r="I453">
        <v>6048</v>
      </c>
    </row>
    <row r="454" spans="1:9" x14ac:dyDescent="0.25">
      <c r="A454" t="s">
        <v>9616</v>
      </c>
      <c r="C454" t="s">
        <v>9617</v>
      </c>
      <c r="D454" t="str">
        <f>"27987"</f>
        <v>27987</v>
      </c>
      <c r="E454" t="s">
        <v>9880</v>
      </c>
      <c r="F454" s="1">
        <v>44011</v>
      </c>
      <c r="G454" t="str">
        <f>"300043"</f>
        <v>300043</v>
      </c>
      <c r="H454" t="s">
        <v>2876</v>
      </c>
      <c r="I454">
        <v>661</v>
      </c>
    </row>
    <row r="455" spans="1:9" x14ac:dyDescent="0.25">
      <c r="A455" t="s">
        <v>9616</v>
      </c>
      <c r="C455" t="s">
        <v>9617</v>
      </c>
      <c r="D455" t="s">
        <v>9881</v>
      </c>
      <c r="E455" t="s">
        <v>9882</v>
      </c>
      <c r="F455" s="1">
        <v>44011</v>
      </c>
      <c r="G455" t="str">
        <f>"300092"</f>
        <v>300092</v>
      </c>
      <c r="H455" t="s">
        <v>2160</v>
      </c>
      <c r="I455">
        <v>8952</v>
      </c>
    </row>
    <row r="456" spans="1:9" x14ac:dyDescent="0.25">
      <c r="A456" t="s">
        <v>9616</v>
      </c>
      <c r="C456" t="s">
        <v>9617</v>
      </c>
      <c r="D456" t="str">
        <f>"285820"</f>
        <v>285820</v>
      </c>
      <c r="E456" t="s">
        <v>9880</v>
      </c>
      <c r="F456" s="1">
        <v>44011</v>
      </c>
      <c r="G456" t="str">
        <f>"300101"</f>
        <v>300101</v>
      </c>
      <c r="H456" t="s">
        <v>2926</v>
      </c>
      <c r="I456">
        <v>3376.53</v>
      </c>
    </row>
    <row r="457" spans="1:9" x14ac:dyDescent="0.25">
      <c r="A457" t="s">
        <v>9616</v>
      </c>
      <c r="C457" t="s">
        <v>9617</v>
      </c>
      <c r="D457" t="str">
        <f>"12031058"</f>
        <v>12031058</v>
      </c>
      <c r="E457" t="s">
        <v>9883</v>
      </c>
      <c r="F457" s="1">
        <v>44013</v>
      </c>
      <c r="G457" t="str">
        <f>"300080"</f>
        <v>300080</v>
      </c>
      <c r="H457" t="s">
        <v>2907</v>
      </c>
      <c r="I457">
        <v>147.91999999999999</v>
      </c>
    </row>
    <row r="458" spans="1:9" x14ac:dyDescent="0.25">
      <c r="A458" t="s">
        <v>9616</v>
      </c>
      <c r="C458" t="s">
        <v>9617</v>
      </c>
      <c r="D458" t="str">
        <f>"120310580"</f>
        <v>120310580</v>
      </c>
      <c r="E458" t="s">
        <v>9714</v>
      </c>
      <c r="F458" s="1">
        <v>44013</v>
      </c>
      <c r="G458" t="str">
        <f>"300080"</f>
        <v>300080</v>
      </c>
      <c r="H458" t="s">
        <v>2907</v>
      </c>
      <c r="I458">
        <v>99931.067500000005</v>
      </c>
    </row>
    <row r="459" spans="1:9" x14ac:dyDescent="0.25">
      <c r="A459" t="s">
        <v>9616</v>
      </c>
      <c r="C459" t="s">
        <v>9617</v>
      </c>
      <c r="D459" t="str">
        <f>"10123518"</f>
        <v>10123518</v>
      </c>
      <c r="E459" t="s">
        <v>9191</v>
      </c>
      <c r="F459" s="1">
        <v>44013</v>
      </c>
      <c r="G459" t="str">
        <f>"300115"</f>
        <v>300115</v>
      </c>
      <c r="H459" t="s">
        <v>2938</v>
      </c>
      <c r="I459">
        <v>270146.55800000002</v>
      </c>
    </row>
    <row r="460" spans="1:9" x14ac:dyDescent="0.25">
      <c r="A460" t="s">
        <v>9616</v>
      </c>
      <c r="C460" t="s">
        <v>9617</v>
      </c>
      <c r="D460" t="str">
        <f>"28516"</f>
        <v>28516</v>
      </c>
      <c r="E460" t="s">
        <v>9884</v>
      </c>
      <c r="F460" s="1">
        <v>44014</v>
      </c>
      <c r="G460" t="str">
        <f>"300043"</f>
        <v>300043</v>
      </c>
      <c r="H460" t="s">
        <v>2876</v>
      </c>
      <c r="I460">
        <v>1105</v>
      </c>
    </row>
    <row r="461" spans="1:9" x14ac:dyDescent="0.25">
      <c r="A461" t="s">
        <v>9616</v>
      </c>
      <c r="C461" t="s">
        <v>9617</v>
      </c>
      <c r="D461" t="str">
        <f>"28525"</f>
        <v>28525</v>
      </c>
      <c r="E461" t="s">
        <v>9885</v>
      </c>
      <c r="F461" s="1">
        <v>44014</v>
      </c>
      <c r="G461" t="str">
        <f>"300043"</f>
        <v>300043</v>
      </c>
      <c r="H461" t="s">
        <v>2876</v>
      </c>
      <c r="I461">
        <v>1060</v>
      </c>
    </row>
    <row r="462" spans="1:9" x14ac:dyDescent="0.25">
      <c r="A462" t="s">
        <v>9616</v>
      </c>
      <c r="C462" t="s">
        <v>9617</v>
      </c>
      <c r="D462" t="str">
        <f>"304520"</f>
        <v>304520</v>
      </c>
      <c r="E462" t="s">
        <v>9884</v>
      </c>
      <c r="F462" s="1">
        <v>44014</v>
      </c>
      <c r="G462" t="str">
        <f>"300101"</f>
        <v>300101</v>
      </c>
      <c r="H462" t="s">
        <v>2926</v>
      </c>
      <c r="I462">
        <v>3350.85</v>
      </c>
    </row>
    <row r="463" spans="1:9" x14ac:dyDescent="0.25">
      <c r="A463" t="s">
        <v>9616</v>
      </c>
      <c r="C463" t="s">
        <v>9617</v>
      </c>
      <c r="D463" t="str">
        <f>"305120"</f>
        <v>305120</v>
      </c>
      <c r="E463" t="s">
        <v>9885</v>
      </c>
      <c r="F463" s="1">
        <v>44014</v>
      </c>
      <c r="G463" t="str">
        <f>"300101"</f>
        <v>300101</v>
      </c>
      <c r="H463" t="s">
        <v>2926</v>
      </c>
      <c r="I463">
        <v>3192.26</v>
      </c>
    </row>
    <row r="464" spans="1:9" x14ac:dyDescent="0.25">
      <c r="A464" t="s">
        <v>9616</v>
      </c>
      <c r="C464" t="s">
        <v>9617</v>
      </c>
      <c r="D464" t="str">
        <f>"10123519"</f>
        <v>10123519</v>
      </c>
      <c r="E464" t="s">
        <v>9183</v>
      </c>
      <c r="F464" s="1">
        <v>44014</v>
      </c>
      <c r="G464" t="str">
        <f>"300115"</f>
        <v>300115</v>
      </c>
      <c r="H464" t="s">
        <v>2938</v>
      </c>
      <c r="I464">
        <v>91662.384000000005</v>
      </c>
    </row>
    <row r="465" spans="1:9" x14ac:dyDescent="0.25">
      <c r="A465" t="s">
        <v>9616</v>
      </c>
      <c r="C465" t="s">
        <v>9617</v>
      </c>
      <c r="D465" t="str">
        <f>"27708"</f>
        <v>27708</v>
      </c>
      <c r="E465" t="s">
        <v>9886</v>
      </c>
      <c r="F465" s="1">
        <v>44015</v>
      </c>
      <c r="G465" t="str">
        <f>"300043"</f>
        <v>300043</v>
      </c>
      <c r="H465" t="s">
        <v>2876</v>
      </c>
      <c r="I465">
        <v>1070</v>
      </c>
    </row>
    <row r="466" spans="1:9" x14ac:dyDescent="0.25">
      <c r="A466" t="s">
        <v>9616</v>
      </c>
      <c r="C466" t="s">
        <v>9617</v>
      </c>
      <c r="D466" t="str">
        <f>"303320"</f>
        <v>303320</v>
      </c>
      <c r="E466" t="s">
        <v>9886</v>
      </c>
      <c r="F466" s="1">
        <v>44015</v>
      </c>
      <c r="G466" t="str">
        <f>"300101"</f>
        <v>300101</v>
      </c>
      <c r="H466" t="s">
        <v>2926</v>
      </c>
      <c r="I466">
        <v>4460.53</v>
      </c>
    </row>
    <row r="467" spans="1:9" x14ac:dyDescent="0.25">
      <c r="A467" t="s">
        <v>9616</v>
      </c>
      <c r="C467" t="s">
        <v>9617</v>
      </c>
      <c r="D467" t="str">
        <f>"10123619"</f>
        <v>10123619</v>
      </c>
      <c r="E467" t="s">
        <v>9181</v>
      </c>
      <c r="F467" s="1">
        <v>44015</v>
      </c>
      <c r="G467" t="str">
        <f>"300115"</f>
        <v>300115</v>
      </c>
      <c r="H467" t="s">
        <v>2938</v>
      </c>
      <c r="I467">
        <v>99927.592600000004</v>
      </c>
    </row>
    <row r="468" spans="1:9" x14ac:dyDescent="0.25">
      <c r="A468" t="s">
        <v>9616</v>
      </c>
      <c r="C468" t="s">
        <v>9617</v>
      </c>
      <c r="D468" t="s">
        <v>9887</v>
      </c>
      <c r="E468" t="s">
        <v>9888</v>
      </c>
      <c r="F468" s="1">
        <v>44015</v>
      </c>
      <c r="G468" t="str">
        <f>"300133"</f>
        <v>300133</v>
      </c>
      <c r="H468" t="s">
        <v>2955</v>
      </c>
      <c r="I468">
        <v>32100</v>
      </c>
    </row>
    <row r="469" spans="1:9" x14ac:dyDescent="0.25">
      <c r="A469" t="s">
        <v>9616</v>
      </c>
      <c r="C469" t="s">
        <v>9617</v>
      </c>
      <c r="D469" t="s">
        <v>9889</v>
      </c>
      <c r="E469" t="s">
        <v>9890</v>
      </c>
      <c r="F469" s="1">
        <v>44015</v>
      </c>
      <c r="G469" t="str">
        <f>"300133"</f>
        <v>300133</v>
      </c>
      <c r="H469" t="s">
        <v>2955</v>
      </c>
      <c r="I469">
        <v>5040</v>
      </c>
    </row>
    <row r="470" spans="1:9" x14ac:dyDescent="0.25">
      <c r="A470" t="s">
        <v>9616</v>
      </c>
      <c r="C470" t="s">
        <v>9617</v>
      </c>
      <c r="D470" t="str">
        <f>"28890"</f>
        <v>28890</v>
      </c>
      <c r="E470" t="s">
        <v>9891</v>
      </c>
      <c r="F470" s="1">
        <v>44018</v>
      </c>
      <c r="G470" t="str">
        <f>"300043"</f>
        <v>300043</v>
      </c>
      <c r="H470" t="s">
        <v>2876</v>
      </c>
      <c r="I470">
        <v>1059</v>
      </c>
    </row>
    <row r="471" spans="1:9" x14ac:dyDescent="0.25">
      <c r="A471" t="s">
        <v>9616</v>
      </c>
      <c r="C471" t="s">
        <v>9617</v>
      </c>
      <c r="D471" t="str">
        <f>"2003924"</f>
        <v>2003924</v>
      </c>
      <c r="E471" t="s">
        <v>9112</v>
      </c>
      <c r="F471" s="1">
        <v>44018</v>
      </c>
      <c r="G471" t="str">
        <f>"300064"</f>
        <v>300064</v>
      </c>
      <c r="H471" t="s">
        <v>2896</v>
      </c>
      <c r="I471">
        <v>95940</v>
      </c>
    </row>
    <row r="472" spans="1:9" x14ac:dyDescent="0.25">
      <c r="A472" t="s">
        <v>9616</v>
      </c>
      <c r="C472" t="s">
        <v>9617</v>
      </c>
      <c r="D472" t="s">
        <v>9892</v>
      </c>
      <c r="E472" t="s">
        <v>9893</v>
      </c>
      <c r="F472" s="1">
        <v>44018</v>
      </c>
      <c r="G472" t="str">
        <f>"300092"</f>
        <v>300092</v>
      </c>
      <c r="H472" t="s">
        <v>2160</v>
      </c>
      <c r="I472">
        <v>11520</v>
      </c>
    </row>
    <row r="473" spans="1:9" x14ac:dyDescent="0.25">
      <c r="A473" t="s">
        <v>9616</v>
      </c>
      <c r="C473" t="s">
        <v>9617</v>
      </c>
      <c r="D473" t="str">
        <f>"305020"</f>
        <v>305020</v>
      </c>
      <c r="E473" t="s">
        <v>9891</v>
      </c>
      <c r="F473" s="1">
        <v>44018</v>
      </c>
      <c r="G473" t="str">
        <f>"300101"</f>
        <v>300101</v>
      </c>
      <c r="H473" t="s">
        <v>2926</v>
      </c>
      <c r="I473">
        <v>3668.98</v>
      </c>
    </row>
    <row r="474" spans="1:9" x14ac:dyDescent="0.25">
      <c r="A474" t="s">
        <v>9616</v>
      </c>
      <c r="C474" t="s">
        <v>9617</v>
      </c>
      <c r="D474" t="str">
        <f>"10123637"</f>
        <v>10123637</v>
      </c>
      <c r="E474" t="s">
        <v>9191</v>
      </c>
      <c r="F474" s="1">
        <v>44018</v>
      </c>
      <c r="G474" t="str">
        <f>"300115"</f>
        <v>300115</v>
      </c>
      <c r="H474" t="s">
        <v>2938</v>
      </c>
      <c r="I474">
        <v>187346.0325</v>
      </c>
    </row>
    <row r="475" spans="1:9" x14ac:dyDescent="0.25">
      <c r="A475" t="s">
        <v>9616</v>
      </c>
      <c r="C475" t="s">
        <v>9617</v>
      </c>
      <c r="D475" t="str">
        <f>"28933"</f>
        <v>28933</v>
      </c>
      <c r="E475" t="s">
        <v>9894</v>
      </c>
      <c r="F475" s="1">
        <v>44019</v>
      </c>
      <c r="G475" t="str">
        <f>"300043"</f>
        <v>300043</v>
      </c>
      <c r="H475" t="s">
        <v>2876</v>
      </c>
      <c r="I475">
        <v>469</v>
      </c>
    </row>
    <row r="476" spans="1:9" x14ac:dyDescent="0.25">
      <c r="A476" t="s">
        <v>9616</v>
      </c>
      <c r="C476" t="s">
        <v>9617</v>
      </c>
      <c r="D476" t="str">
        <f>"304920"</f>
        <v>304920</v>
      </c>
      <c r="E476" t="s">
        <v>9894</v>
      </c>
      <c r="F476" s="1">
        <v>44019</v>
      </c>
      <c r="G476" t="str">
        <f>"300101"</f>
        <v>300101</v>
      </c>
      <c r="H476" t="s">
        <v>2926</v>
      </c>
      <c r="I476">
        <v>3669.38</v>
      </c>
    </row>
    <row r="477" spans="1:9" x14ac:dyDescent="0.25">
      <c r="A477" t="s">
        <v>9616</v>
      </c>
      <c r="C477" t="s">
        <v>9617</v>
      </c>
      <c r="D477" t="str">
        <f>"10123675"</f>
        <v>10123675</v>
      </c>
      <c r="E477" t="s">
        <v>9840</v>
      </c>
      <c r="F477" s="1">
        <v>44019</v>
      </c>
      <c r="G477" t="str">
        <f>"300115"</f>
        <v>300115</v>
      </c>
      <c r="H477" t="s">
        <v>2938</v>
      </c>
      <c r="I477">
        <v>281999.35940000002</v>
      </c>
    </row>
    <row r="478" spans="1:9" x14ac:dyDescent="0.25">
      <c r="A478" t="s">
        <v>9616</v>
      </c>
      <c r="C478" t="s">
        <v>9617</v>
      </c>
      <c r="D478" t="str">
        <f>"10123676"</f>
        <v>10123676</v>
      </c>
      <c r="E478" t="s">
        <v>9194</v>
      </c>
      <c r="F478" s="1">
        <v>44019</v>
      </c>
      <c r="G478" t="str">
        <f>"300115"</f>
        <v>300115</v>
      </c>
      <c r="H478" t="s">
        <v>2938</v>
      </c>
      <c r="I478">
        <v>150602.1</v>
      </c>
    </row>
    <row r="479" spans="1:9" x14ac:dyDescent="0.25">
      <c r="A479" t="s">
        <v>9616</v>
      </c>
      <c r="C479" t="s">
        <v>9617</v>
      </c>
      <c r="D479" t="str">
        <f>"10123704"</f>
        <v>10123704</v>
      </c>
      <c r="E479" t="s">
        <v>9766</v>
      </c>
      <c r="F479" s="1">
        <v>44020</v>
      </c>
      <c r="G479" t="str">
        <f>"300115"</f>
        <v>300115</v>
      </c>
      <c r="H479" t="s">
        <v>2938</v>
      </c>
      <c r="I479">
        <v>305923.86</v>
      </c>
    </row>
    <row r="480" spans="1:9" x14ac:dyDescent="0.25">
      <c r="A480" t="s">
        <v>9616</v>
      </c>
      <c r="C480" t="s">
        <v>9617</v>
      </c>
      <c r="D480" t="s">
        <v>9895</v>
      </c>
      <c r="E480" t="s">
        <v>9896</v>
      </c>
      <c r="F480" s="1">
        <v>44020</v>
      </c>
      <c r="G480" t="str">
        <f>"300133"</f>
        <v>300133</v>
      </c>
      <c r="H480" t="s">
        <v>2955</v>
      </c>
      <c r="I480">
        <v>4400</v>
      </c>
    </row>
    <row r="481" spans="1:9" x14ac:dyDescent="0.25">
      <c r="A481" t="s">
        <v>9616</v>
      </c>
      <c r="C481" t="s">
        <v>9617</v>
      </c>
      <c r="D481" t="s">
        <v>9897</v>
      </c>
      <c r="E481" t="s">
        <v>9898</v>
      </c>
      <c r="F481" s="1">
        <v>44020</v>
      </c>
      <c r="G481" t="str">
        <f>"300133"</f>
        <v>300133</v>
      </c>
      <c r="H481" t="s">
        <v>2955</v>
      </c>
      <c r="I481">
        <v>11583</v>
      </c>
    </row>
    <row r="482" spans="1:9" x14ac:dyDescent="0.25">
      <c r="A482" t="s">
        <v>9616</v>
      </c>
      <c r="C482" t="s">
        <v>9617</v>
      </c>
      <c r="D482" t="s">
        <v>9899</v>
      </c>
      <c r="E482" t="s">
        <v>9900</v>
      </c>
      <c r="F482" s="1">
        <v>44020</v>
      </c>
      <c r="G482" t="str">
        <f>"300133"</f>
        <v>300133</v>
      </c>
      <c r="H482" t="s">
        <v>2955</v>
      </c>
      <c r="I482">
        <v>47286</v>
      </c>
    </row>
    <row r="483" spans="1:9" x14ac:dyDescent="0.25">
      <c r="A483" t="s">
        <v>9616</v>
      </c>
      <c r="C483" t="s">
        <v>9617</v>
      </c>
      <c r="D483" t="str">
        <f>"29492"</f>
        <v>29492</v>
      </c>
      <c r="E483" t="s">
        <v>9901</v>
      </c>
      <c r="F483" s="1">
        <v>44021</v>
      </c>
      <c r="G483" t="str">
        <f>"300043"</f>
        <v>300043</v>
      </c>
      <c r="H483" t="s">
        <v>2876</v>
      </c>
      <c r="I483">
        <v>495</v>
      </c>
    </row>
    <row r="484" spans="1:9" x14ac:dyDescent="0.25">
      <c r="A484" t="s">
        <v>9616</v>
      </c>
      <c r="C484" t="s">
        <v>9617</v>
      </c>
      <c r="D484" t="str">
        <f>"29493"</f>
        <v>29493</v>
      </c>
      <c r="E484" t="s">
        <v>9902</v>
      </c>
      <c r="F484" s="1">
        <v>44021</v>
      </c>
      <c r="G484" t="str">
        <f>"300043"</f>
        <v>300043</v>
      </c>
      <c r="H484" t="s">
        <v>2876</v>
      </c>
      <c r="I484">
        <v>785</v>
      </c>
    </row>
    <row r="485" spans="1:9" x14ac:dyDescent="0.25">
      <c r="A485" t="s">
        <v>9616</v>
      </c>
      <c r="C485" t="s">
        <v>9617</v>
      </c>
      <c r="D485" t="str">
        <f>"312120"</f>
        <v>312120</v>
      </c>
      <c r="E485" t="s">
        <v>9901</v>
      </c>
      <c r="F485" s="1">
        <v>44021</v>
      </c>
      <c r="G485" t="str">
        <f>"300101"</f>
        <v>300101</v>
      </c>
      <c r="H485" t="s">
        <v>2926</v>
      </c>
      <c r="I485">
        <v>3353.28</v>
      </c>
    </row>
    <row r="486" spans="1:9" x14ac:dyDescent="0.25">
      <c r="A486" t="s">
        <v>9616</v>
      </c>
      <c r="C486" t="s">
        <v>9617</v>
      </c>
      <c r="D486" t="str">
        <f>"312220"</f>
        <v>312220</v>
      </c>
      <c r="E486" t="s">
        <v>9902</v>
      </c>
      <c r="F486" s="1">
        <v>44021</v>
      </c>
      <c r="G486" t="str">
        <f>"300101"</f>
        <v>300101</v>
      </c>
      <c r="H486" t="s">
        <v>2926</v>
      </c>
      <c r="I486">
        <v>3511.89</v>
      </c>
    </row>
    <row r="487" spans="1:9" x14ac:dyDescent="0.25">
      <c r="A487" t="s">
        <v>9616</v>
      </c>
      <c r="C487" t="s">
        <v>9617</v>
      </c>
      <c r="D487" t="s">
        <v>9903</v>
      </c>
      <c r="E487" t="s">
        <v>9904</v>
      </c>
      <c r="F487" s="1">
        <v>44021</v>
      </c>
      <c r="G487" t="str">
        <f>"300133"</f>
        <v>300133</v>
      </c>
      <c r="H487" t="s">
        <v>2955</v>
      </c>
      <c r="I487">
        <v>10080</v>
      </c>
    </row>
    <row r="488" spans="1:9" x14ac:dyDescent="0.25">
      <c r="A488" t="s">
        <v>9616</v>
      </c>
      <c r="C488" t="s">
        <v>9617</v>
      </c>
      <c r="D488" t="s">
        <v>9905</v>
      </c>
      <c r="E488" t="s">
        <v>9906</v>
      </c>
      <c r="F488" s="1">
        <v>44021</v>
      </c>
      <c r="G488" t="str">
        <f>"300133"</f>
        <v>300133</v>
      </c>
      <c r="H488" t="s">
        <v>2955</v>
      </c>
      <c r="I488">
        <v>5330</v>
      </c>
    </row>
    <row r="489" spans="1:9" x14ac:dyDescent="0.25">
      <c r="A489" t="s">
        <v>9616</v>
      </c>
      <c r="C489" t="s">
        <v>9617</v>
      </c>
      <c r="D489" t="s">
        <v>9907</v>
      </c>
      <c r="E489" t="s">
        <v>9908</v>
      </c>
      <c r="F489" s="1">
        <v>44022</v>
      </c>
      <c r="G489" t="str">
        <f>"300133"</f>
        <v>300133</v>
      </c>
      <c r="H489" t="s">
        <v>2955</v>
      </c>
      <c r="I489">
        <v>22680</v>
      </c>
    </row>
    <row r="490" spans="1:9" x14ac:dyDescent="0.25">
      <c r="A490" t="s">
        <v>9616</v>
      </c>
      <c r="C490" t="s">
        <v>9617</v>
      </c>
      <c r="D490" t="str">
        <f>"201756"</f>
        <v>201756</v>
      </c>
      <c r="E490" t="s">
        <v>9676</v>
      </c>
      <c r="F490" s="1">
        <v>44022</v>
      </c>
      <c r="G490" t="str">
        <f>"300301"</f>
        <v>300301</v>
      </c>
      <c r="H490" t="s">
        <v>3043</v>
      </c>
      <c r="I490">
        <v>472.5</v>
      </c>
    </row>
    <row r="491" spans="1:9" x14ac:dyDescent="0.25">
      <c r="A491" t="s">
        <v>9616</v>
      </c>
      <c r="C491" t="s">
        <v>9617</v>
      </c>
      <c r="D491" t="str">
        <f>"2004070"</f>
        <v>2004070</v>
      </c>
      <c r="E491" t="s">
        <v>9909</v>
      </c>
      <c r="F491" s="1">
        <v>44023</v>
      </c>
      <c r="G491" t="str">
        <f>"300064"</f>
        <v>300064</v>
      </c>
      <c r="H491" t="s">
        <v>2896</v>
      </c>
      <c r="I491">
        <v>95940</v>
      </c>
    </row>
    <row r="492" spans="1:9" x14ac:dyDescent="0.25">
      <c r="A492" t="s">
        <v>9616</v>
      </c>
      <c r="C492" t="s">
        <v>9617</v>
      </c>
      <c r="D492" t="str">
        <f>"2004071"</f>
        <v>2004071</v>
      </c>
      <c r="E492" t="s">
        <v>9909</v>
      </c>
      <c r="F492" s="1">
        <v>44023</v>
      </c>
      <c r="G492" t="str">
        <f>"300064"</f>
        <v>300064</v>
      </c>
      <c r="H492" t="s">
        <v>2896</v>
      </c>
      <c r="I492">
        <v>95940</v>
      </c>
    </row>
    <row r="493" spans="1:9" x14ac:dyDescent="0.25">
      <c r="A493" t="s">
        <v>9616</v>
      </c>
      <c r="C493" t="s">
        <v>9617</v>
      </c>
      <c r="D493" t="str">
        <f>"10123803"</f>
        <v>10123803</v>
      </c>
      <c r="E493" t="s">
        <v>9335</v>
      </c>
      <c r="F493" s="1">
        <v>44025</v>
      </c>
      <c r="G493" t="str">
        <f>"300115"</f>
        <v>300115</v>
      </c>
      <c r="H493" t="s">
        <v>2938</v>
      </c>
      <c r="I493">
        <v>283950.61200000002</v>
      </c>
    </row>
    <row r="494" spans="1:9" x14ac:dyDescent="0.25">
      <c r="A494" t="s">
        <v>9616</v>
      </c>
      <c r="C494" t="s">
        <v>9617</v>
      </c>
      <c r="D494" t="str">
        <f>"10123811"</f>
        <v>10123811</v>
      </c>
      <c r="E494" t="s">
        <v>9910</v>
      </c>
      <c r="F494" s="1">
        <v>44025</v>
      </c>
      <c r="G494" t="str">
        <f>"300115"</f>
        <v>300115</v>
      </c>
      <c r="H494" t="s">
        <v>2938</v>
      </c>
      <c r="I494">
        <v>283950.61200000002</v>
      </c>
    </row>
    <row r="495" spans="1:9" x14ac:dyDescent="0.25">
      <c r="A495" t="s">
        <v>9616</v>
      </c>
      <c r="C495" t="s">
        <v>9617</v>
      </c>
      <c r="D495" t="s">
        <v>9911</v>
      </c>
      <c r="E495" t="s">
        <v>9912</v>
      </c>
      <c r="F495" s="1">
        <v>44025</v>
      </c>
      <c r="G495" t="str">
        <f>"300133"</f>
        <v>300133</v>
      </c>
      <c r="H495" t="s">
        <v>2955</v>
      </c>
      <c r="I495">
        <v>17640</v>
      </c>
    </row>
    <row r="496" spans="1:9" x14ac:dyDescent="0.25">
      <c r="A496" t="s">
        <v>9616</v>
      </c>
      <c r="C496" t="s">
        <v>9617</v>
      </c>
      <c r="D496" t="s">
        <v>9913</v>
      </c>
      <c r="E496" t="s">
        <v>9914</v>
      </c>
      <c r="F496" s="1">
        <v>44025</v>
      </c>
      <c r="G496" t="str">
        <f>"300133"</f>
        <v>300133</v>
      </c>
      <c r="H496" t="s">
        <v>2955</v>
      </c>
      <c r="I496">
        <v>5940</v>
      </c>
    </row>
    <row r="497" spans="1:9" x14ac:dyDescent="0.25">
      <c r="A497" t="s">
        <v>9616</v>
      </c>
      <c r="C497" t="s">
        <v>9617</v>
      </c>
      <c r="D497" t="str">
        <f>"20241976"</f>
        <v>20241976</v>
      </c>
      <c r="E497" t="s">
        <v>9915</v>
      </c>
      <c r="F497" s="1">
        <v>44026</v>
      </c>
      <c r="G497" t="str">
        <f>"300043"</f>
        <v>300043</v>
      </c>
      <c r="H497" t="s">
        <v>2876</v>
      </c>
      <c r="I497">
        <v>2087</v>
      </c>
    </row>
    <row r="498" spans="1:9" x14ac:dyDescent="0.25">
      <c r="A498" t="s">
        <v>9616</v>
      </c>
      <c r="C498" t="s">
        <v>9617</v>
      </c>
      <c r="D498" t="str">
        <f>"312920"</f>
        <v>312920</v>
      </c>
      <c r="E498" t="s">
        <v>9915</v>
      </c>
      <c r="F498" s="1">
        <v>44026</v>
      </c>
      <c r="G498" t="str">
        <f>"300101"</f>
        <v>300101</v>
      </c>
      <c r="H498" t="s">
        <v>2926</v>
      </c>
      <c r="I498">
        <v>3832.96</v>
      </c>
    </row>
    <row r="499" spans="1:9" x14ac:dyDescent="0.25">
      <c r="A499" t="s">
        <v>9616</v>
      </c>
      <c r="C499" t="s">
        <v>9617</v>
      </c>
      <c r="D499" t="str">
        <f>"2004165"</f>
        <v>2004165</v>
      </c>
      <c r="E499" t="s">
        <v>9543</v>
      </c>
      <c r="F499" s="1">
        <v>44027</v>
      </c>
      <c r="G499" t="str">
        <f>"300064"</f>
        <v>300064</v>
      </c>
      <c r="H499" t="s">
        <v>2896</v>
      </c>
      <c r="I499">
        <v>29360</v>
      </c>
    </row>
    <row r="500" spans="1:9" x14ac:dyDescent="0.25">
      <c r="A500" t="s">
        <v>9616</v>
      </c>
      <c r="C500" t="s">
        <v>9617</v>
      </c>
      <c r="D500" t="str">
        <f>"120310625"</f>
        <v>120310625</v>
      </c>
      <c r="E500" t="s">
        <v>9916</v>
      </c>
      <c r="F500" s="1">
        <v>44027</v>
      </c>
      <c r="G500" t="str">
        <f>"300080"</f>
        <v>300080</v>
      </c>
      <c r="H500" t="s">
        <v>2907</v>
      </c>
      <c r="I500">
        <v>13824</v>
      </c>
    </row>
    <row r="501" spans="1:9" x14ac:dyDescent="0.25">
      <c r="A501" t="s">
        <v>9616</v>
      </c>
      <c r="C501" t="s">
        <v>9617</v>
      </c>
      <c r="D501" t="str">
        <f>"10123876"</f>
        <v>10123876</v>
      </c>
      <c r="E501" t="s">
        <v>1928</v>
      </c>
      <c r="F501" s="1">
        <v>44027</v>
      </c>
      <c r="G501" t="str">
        <f>"300115"</f>
        <v>300115</v>
      </c>
      <c r="H501" t="s">
        <v>2938</v>
      </c>
      <c r="I501">
        <v>82908.87</v>
      </c>
    </row>
    <row r="502" spans="1:9" x14ac:dyDescent="0.25">
      <c r="A502" t="s">
        <v>9616</v>
      </c>
      <c r="C502" t="s">
        <v>9617</v>
      </c>
      <c r="D502" t="str">
        <f>"10123877"</f>
        <v>10123877</v>
      </c>
      <c r="E502" t="s">
        <v>1928</v>
      </c>
      <c r="F502" s="1">
        <v>44027</v>
      </c>
      <c r="G502" t="str">
        <f>"300115"</f>
        <v>300115</v>
      </c>
      <c r="H502" t="s">
        <v>2938</v>
      </c>
      <c r="I502">
        <v>81920.926999999996</v>
      </c>
    </row>
    <row r="503" spans="1:9" x14ac:dyDescent="0.25">
      <c r="A503" t="s">
        <v>9616</v>
      </c>
      <c r="C503" t="s">
        <v>9617</v>
      </c>
      <c r="D503" t="s">
        <v>9917</v>
      </c>
      <c r="E503" t="s">
        <v>9646</v>
      </c>
      <c r="F503" s="1">
        <v>44027</v>
      </c>
      <c r="G503" t="str">
        <f>"300133"</f>
        <v>300133</v>
      </c>
      <c r="H503" t="s">
        <v>2955</v>
      </c>
      <c r="I503">
        <v>10080</v>
      </c>
    </row>
    <row r="504" spans="1:9" x14ac:dyDescent="0.25">
      <c r="A504" t="s">
        <v>9616</v>
      </c>
      <c r="C504" t="s">
        <v>9617</v>
      </c>
      <c r="D504" t="str">
        <f>"20241978"</f>
        <v>20241978</v>
      </c>
      <c r="E504" t="s">
        <v>9918</v>
      </c>
      <c r="F504" s="1">
        <v>44028</v>
      </c>
      <c r="G504" t="str">
        <f>"300043"</f>
        <v>300043</v>
      </c>
      <c r="H504" t="s">
        <v>2876</v>
      </c>
      <c r="I504">
        <v>1099</v>
      </c>
    </row>
    <row r="505" spans="1:9" x14ac:dyDescent="0.25">
      <c r="A505" t="s">
        <v>9616</v>
      </c>
      <c r="C505" t="s">
        <v>9617</v>
      </c>
      <c r="D505" t="str">
        <f>"20251636"</f>
        <v>20251636</v>
      </c>
      <c r="E505" t="s">
        <v>9919</v>
      </c>
      <c r="F505" s="1">
        <v>44028</v>
      </c>
      <c r="G505" t="str">
        <f>"300043"</f>
        <v>300043</v>
      </c>
      <c r="H505" t="s">
        <v>2876</v>
      </c>
      <c r="I505">
        <v>1921</v>
      </c>
    </row>
    <row r="506" spans="1:9" x14ac:dyDescent="0.25">
      <c r="A506" t="s">
        <v>9616</v>
      </c>
      <c r="C506" t="s">
        <v>9617</v>
      </c>
      <c r="D506" t="str">
        <f>"313020"</f>
        <v>313020</v>
      </c>
      <c r="E506" t="s">
        <v>9918</v>
      </c>
      <c r="F506" s="1">
        <v>44028</v>
      </c>
      <c r="G506" t="str">
        <f>"300101"</f>
        <v>300101</v>
      </c>
      <c r="H506" t="s">
        <v>2926</v>
      </c>
      <c r="I506">
        <v>4014.62</v>
      </c>
    </row>
    <row r="507" spans="1:9" x14ac:dyDescent="0.25">
      <c r="A507" t="s">
        <v>9616</v>
      </c>
      <c r="C507" t="s">
        <v>9617</v>
      </c>
      <c r="D507" t="str">
        <f>"322320"</f>
        <v>322320</v>
      </c>
      <c r="E507" t="s">
        <v>9919</v>
      </c>
      <c r="F507" s="1">
        <v>44028</v>
      </c>
      <c r="G507" t="str">
        <f>"300101"</f>
        <v>300101</v>
      </c>
      <c r="H507" t="s">
        <v>2926</v>
      </c>
      <c r="I507">
        <v>4160.87</v>
      </c>
    </row>
    <row r="508" spans="1:9" x14ac:dyDescent="0.25">
      <c r="A508" t="s">
        <v>9616</v>
      </c>
      <c r="C508" t="s">
        <v>9617</v>
      </c>
      <c r="D508" t="s">
        <v>9920</v>
      </c>
      <c r="E508" t="s">
        <v>9921</v>
      </c>
      <c r="F508" s="1">
        <v>44028</v>
      </c>
      <c r="G508" t="str">
        <f>"300133"</f>
        <v>300133</v>
      </c>
      <c r="H508" t="s">
        <v>2955</v>
      </c>
      <c r="I508">
        <v>30672</v>
      </c>
    </row>
    <row r="509" spans="1:9" x14ac:dyDescent="0.25">
      <c r="A509" t="s">
        <v>9616</v>
      </c>
      <c r="C509" t="s">
        <v>9617</v>
      </c>
      <c r="D509" t="str">
        <f>"20251638"</f>
        <v>20251638</v>
      </c>
      <c r="E509" t="s">
        <v>9922</v>
      </c>
      <c r="F509" s="1">
        <v>44029</v>
      </c>
      <c r="G509" t="str">
        <f>"300043"</f>
        <v>300043</v>
      </c>
      <c r="H509" t="s">
        <v>2876</v>
      </c>
      <c r="I509">
        <v>1146</v>
      </c>
    </row>
    <row r="510" spans="1:9" x14ac:dyDescent="0.25">
      <c r="A510" t="s">
        <v>9616</v>
      </c>
      <c r="C510" t="s">
        <v>9617</v>
      </c>
      <c r="D510" t="str">
        <f>"20251640"</f>
        <v>20251640</v>
      </c>
      <c r="E510" t="s">
        <v>9923</v>
      </c>
      <c r="F510" s="1">
        <v>44029</v>
      </c>
      <c r="G510" t="str">
        <f>"300043"</f>
        <v>300043</v>
      </c>
      <c r="H510" t="s">
        <v>2876</v>
      </c>
      <c r="I510">
        <v>1144</v>
      </c>
    </row>
    <row r="511" spans="1:9" x14ac:dyDescent="0.25">
      <c r="A511" t="s">
        <v>9616</v>
      </c>
      <c r="C511" t="s">
        <v>9617</v>
      </c>
      <c r="D511" t="str">
        <f>"20251642"</f>
        <v>20251642</v>
      </c>
      <c r="E511" t="s">
        <v>9924</v>
      </c>
      <c r="F511" s="1">
        <v>44029</v>
      </c>
      <c r="G511" t="str">
        <f>"300043"</f>
        <v>300043</v>
      </c>
      <c r="H511" t="s">
        <v>2876</v>
      </c>
      <c r="I511">
        <v>451</v>
      </c>
    </row>
    <row r="512" spans="1:9" x14ac:dyDescent="0.25">
      <c r="A512" t="s">
        <v>9616</v>
      </c>
      <c r="C512" t="s">
        <v>9617</v>
      </c>
      <c r="D512" t="str">
        <f>"316520"</f>
        <v>316520</v>
      </c>
      <c r="E512" t="s">
        <v>9918</v>
      </c>
      <c r="F512" s="1">
        <v>44029</v>
      </c>
      <c r="G512" t="str">
        <f>"300101"</f>
        <v>300101</v>
      </c>
      <c r="H512" t="s">
        <v>2926</v>
      </c>
      <c r="I512">
        <v>159.28</v>
      </c>
    </row>
    <row r="513" spans="1:9" x14ac:dyDescent="0.25">
      <c r="A513" t="s">
        <v>9616</v>
      </c>
      <c r="C513" t="s">
        <v>9617</v>
      </c>
      <c r="D513" t="str">
        <f>"322020"</f>
        <v>322020</v>
      </c>
      <c r="E513" t="s">
        <v>9922</v>
      </c>
      <c r="F513" s="1">
        <v>44029</v>
      </c>
      <c r="G513" t="str">
        <f>"300101"</f>
        <v>300101</v>
      </c>
      <c r="H513" t="s">
        <v>2926</v>
      </c>
      <c r="I513">
        <v>3360.89</v>
      </c>
    </row>
    <row r="514" spans="1:9" x14ac:dyDescent="0.25">
      <c r="A514" t="s">
        <v>9616</v>
      </c>
      <c r="C514" t="s">
        <v>9617</v>
      </c>
      <c r="D514" t="str">
        <f>"322220"</f>
        <v>322220</v>
      </c>
      <c r="E514" t="s">
        <v>9923</v>
      </c>
      <c r="F514" s="1">
        <v>44029</v>
      </c>
      <c r="G514" t="str">
        <f>"300101"</f>
        <v>300101</v>
      </c>
      <c r="H514" t="s">
        <v>2926</v>
      </c>
      <c r="I514">
        <v>3201.61</v>
      </c>
    </row>
    <row r="515" spans="1:9" x14ac:dyDescent="0.25">
      <c r="A515" t="s">
        <v>9616</v>
      </c>
      <c r="C515" t="s">
        <v>9617</v>
      </c>
      <c r="D515" t="str">
        <f>"326820"</f>
        <v>326820</v>
      </c>
      <c r="E515" t="s">
        <v>9924</v>
      </c>
      <c r="F515" s="1">
        <v>44029</v>
      </c>
      <c r="G515" t="str">
        <f>"300101"</f>
        <v>300101</v>
      </c>
      <c r="H515" t="s">
        <v>2926</v>
      </c>
      <c r="I515">
        <v>4180.12</v>
      </c>
    </row>
    <row r="516" spans="1:9" x14ac:dyDescent="0.25">
      <c r="A516" t="s">
        <v>9616</v>
      </c>
      <c r="C516" t="s">
        <v>9617</v>
      </c>
      <c r="D516" t="str">
        <f>"2004302"</f>
        <v>2004302</v>
      </c>
      <c r="E516" t="s">
        <v>9925</v>
      </c>
      <c r="F516" s="1">
        <v>44032</v>
      </c>
      <c r="G516" t="str">
        <f>"300064"</f>
        <v>300064</v>
      </c>
      <c r="H516" t="s">
        <v>2896</v>
      </c>
      <c r="I516">
        <v>29360</v>
      </c>
    </row>
    <row r="517" spans="1:9" x14ac:dyDescent="0.25">
      <c r="A517" t="s">
        <v>9616</v>
      </c>
      <c r="C517" t="s">
        <v>9617</v>
      </c>
      <c r="D517" t="str">
        <f>"10124000"</f>
        <v>10124000</v>
      </c>
      <c r="E517" t="s">
        <v>9183</v>
      </c>
      <c r="F517" s="1">
        <v>44032</v>
      </c>
      <c r="G517" t="str">
        <f>"300115"</f>
        <v>300115</v>
      </c>
      <c r="H517" t="s">
        <v>2938</v>
      </c>
      <c r="I517">
        <v>105673.656</v>
      </c>
    </row>
    <row r="518" spans="1:9" x14ac:dyDescent="0.25">
      <c r="A518" t="s">
        <v>9616</v>
      </c>
      <c r="C518" t="s">
        <v>9617</v>
      </c>
      <c r="D518" t="str">
        <f>"30716"</f>
        <v>30716</v>
      </c>
      <c r="E518" t="s">
        <v>9926</v>
      </c>
      <c r="F518" s="1">
        <v>44033</v>
      </c>
      <c r="G518" t="str">
        <f>"300043"</f>
        <v>300043</v>
      </c>
      <c r="H518" t="s">
        <v>2876</v>
      </c>
      <c r="I518">
        <v>437</v>
      </c>
    </row>
    <row r="519" spans="1:9" x14ac:dyDescent="0.25">
      <c r="A519" t="s">
        <v>9616</v>
      </c>
      <c r="C519" t="s">
        <v>9617</v>
      </c>
      <c r="D519" t="str">
        <f>"2000899"</f>
        <v>2000899</v>
      </c>
      <c r="E519" t="s">
        <v>9927</v>
      </c>
      <c r="F519" s="1">
        <v>44033</v>
      </c>
      <c r="G519" t="str">
        <f>"300064"</f>
        <v>300064</v>
      </c>
      <c r="H519" t="s">
        <v>2896</v>
      </c>
      <c r="I519">
        <v>54560</v>
      </c>
    </row>
    <row r="520" spans="1:9" x14ac:dyDescent="0.25">
      <c r="A520" t="s">
        <v>9616</v>
      </c>
      <c r="C520" t="s">
        <v>9617</v>
      </c>
      <c r="D520" t="str">
        <f>"2000900"</f>
        <v>2000900</v>
      </c>
      <c r="E520" t="s">
        <v>9928</v>
      </c>
      <c r="F520" s="1">
        <v>44033</v>
      </c>
      <c r="G520" t="str">
        <f>"300064"</f>
        <v>300064</v>
      </c>
      <c r="H520" t="s">
        <v>2896</v>
      </c>
      <c r="I520">
        <v>65120</v>
      </c>
    </row>
    <row r="521" spans="1:9" x14ac:dyDescent="0.25">
      <c r="A521" t="s">
        <v>9616</v>
      </c>
      <c r="C521" t="s">
        <v>9617</v>
      </c>
      <c r="D521" t="s">
        <v>9929</v>
      </c>
      <c r="E521" t="s">
        <v>9893</v>
      </c>
      <c r="F521" s="1">
        <v>44033</v>
      </c>
      <c r="G521" t="str">
        <f>"300092"</f>
        <v>300092</v>
      </c>
      <c r="H521" t="s">
        <v>2160</v>
      </c>
      <c r="I521">
        <v>36798.699999999997</v>
      </c>
    </row>
    <row r="522" spans="1:9" x14ac:dyDescent="0.25">
      <c r="A522" t="s">
        <v>9616</v>
      </c>
      <c r="C522" t="s">
        <v>9617</v>
      </c>
      <c r="D522" t="str">
        <f>"321920"</f>
        <v>321920</v>
      </c>
      <c r="E522" t="s">
        <v>9926</v>
      </c>
      <c r="F522" s="1">
        <v>44033</v>
      </c>
      <c r="G522" t="str">
        <f>"300101"</f>
        <v>300101</v>
      </c>
      <c r="H522" t="s">
        <v>2926</v>
      </c>
      <c r="I522">
        <v>3840.59</v>
      </c>
    </row>
    <row r="523" spans="1:9" x14ac:dyDescent="0.25">
      <c r="A523" t="s">
        <v>9616</v>
      </c>
      <c r="C523" t="s">
        <v>9617</v>
      </c>
      <c r="D523" t="str">
        <f>"2004365"</f>
        <v>2004365</v>
      </c>
      <c r="E523" t="s">
        <v>9714</v>
      </c>
      <c r="F523" s="1">
        <v>44034</v>
      </c>
      <c r="G523" t="str">
        <f>"300064"</f>
        <v>300064</v>
      </c>
      <c r="H523" t="s">
        <v>2896</v>
      </c>
      <c r="I523">
        <v>17444.8</v>
      </c>
    </row>
    <row r="524" spans="1:9" x14ac:dyDescent="0.25">
      <c r="A524" t="s">
        <v>9616</v>
      </c>
      <c r="C524" t="s">
        <v>9617</v>
      </c>
      <c r="D524" t="str">
        <f>"10124052"</f>
        <v>10124052</v>
      </c>
      <c r="E524" t="s">
        <v>2566</v>
      </c>
      <c r="F524" s="1">
        <v>44034</v>
      </c>
      <c r="G524" t="str">
        <f>"300115"</f>
        <v>300115</v>
      </c>
      <c r="H524" t="s">
        <v>2938</v>
      </c>
      <c r="I524">
        <v>195427.60490000001</v>
      </c>
    </row>
    <row r="525" spans="1:9" x14ac:dyDescent="0.25">
      <c r="A525" t="s">
        <v>9616</v>
      </c>
      <c r="C525" t="s">
        <v>9617</v>
      </c>
      <c r="D525" t="str">
        <f>"10124053"</f>
        <v>10124053</v>
      </c>
      <c r="E525" t="s">
        <v>1928</v>
      </c>
      <c r="F525" s="1">
        <v>44034</v>
      </c>
      <c r="G525" t="str">
        <f>"300115"</f>
        <v>300115</v>
      </c>
      <c r="H525" t="s">
        <v>2938</v>
      </c>
      <c r="I525">
        <v>82908.87</v>
      </c>
    </row>
    <row r="526" spans="1:9" x14ac:dyDescent="0.25">
      <c r="A526" t="s">
        <v>9616</v>
      </c>
      <c r="C526" t="s">
        <v>9617</v>
      </c>
      <c r="D526" t="s">
        <v>9930</v>
      </c>
      <c r="E526" t="s">
        <v>9931</v>
      </c>
      <c r="F526" s="1">
        <v>44034</v>
      </c>
      <c r="G526" t="str">
        <f>"300133"</f>
        <v>300133</v>
      </c>
      <c r="H526" t="s">
        <v>2955</v>
      </c>
      <c r="I526">
        <v>23208</v>
      </c>
    </row>
    <row r="527" spans="1:9" x14ac:dyDescent="0.25">
      <c r="A527" t="s">
        <v>9616</v>
      </c>
      <c r="C527" t="s">
        <v>9617</v>
      </c>
      <c r="D527" t="s">
        <v>9932</v>
      </c>
      <c r="E527" t="s">
        <v>9933</v>
      </c>
      <c r="F527" s="1">
        <v>44034</v>
      </c>
      <c r="G527" t="str">
        <f>"300133"</f>
        <v>300133</v>
      </c>
      <c r="H527" t="s">
        <v>2955</v>
      </c>
      <c r="I527">
        <v>2970</v>
      </c>
    </row>
    <row r="528" spans="1:9" x14ac:dyDescent="0.25">
      <c r="A528" t="s">
        <v>9616</v>
      </c>
      <c r="C528" t="s">
        <v>9617</v>
      </c>
      <c r="D528" t="s">
        <v>9934</v>
      </c>
      <c r="E528" t="s">
        <v>9935</v>
      </c>
      <c r="F528" s="1">
        <v>44035</v>
      </c>
      <c r="G528" t="str">
        <f>"300092"</f>
        <v>300092</v>
      </c>
      <c r="H528" t="s">
        <v>2160</v>
      </c>
      <c r="I528">
        <v>47977.599999999999</v>
      </c>
    </row>
    <row r="529" spans="1:9" x14ac:dyDescent="0.25">
      <c r="A529" t="s">
        <v>9616</v>
      </c>
      <c r="C529" t="s">
        <v>9617</v>
      </c>
      <c r="D529" t="str">
        <f>"20251829"</f>
        <v>20251829</v>
      </c>
      <c r="E529" t="s">
        <v>9936</v>
      </c>
      <c r="F529" s="1">
        <v>44036</v>
      </c>
      <c r="G529" t="str">
        <f>"300043"</f>
        <v>300043</v>
      </c>
      <c r="H529" t="s">
        <v>2876</v>
      </c>
      <c r="I529">
        <v>531</v>
      </c>
    </row>
    <row r="530" spans="1:9" x14ac:dyDescent="0.25">
      <c r="A530" t="s">
        <v>9616</v>
      </c>
      <c r="C530" t="s">
        <v>9617</v>
      </c>
      <c r="D530" t="str">
        <f>"326720"</f>
        <v>326720</v>
      </c>
      <c r="E530" t="s">
        <v>9936</v>
      </c>
      <c r="F530" s="1">
        <v>44036</v>
      </c>
      <c r="G530" t="str">
        <f>"300101"</f>
        <v>300101</v>
      </c>
      <c r="H530" t="s">
        <v>2926</v>
      </c>
      <c r="I530">
        <v>3519.49</v>
      </c>
    </row>
    <row r="531" spans="1:9" x14ac:dyDescent="0.25">
      <c r="A531" t="s">
        <v>9616</v>
      </c>
      <c r="C531" t="s">
        <v>9617</v>
      </c>
      <c r="D531" t="str">
        <f>"20251827"</f>
        <v>20251827</v>
      </c>
      <c r="E531" t="s">
        <v>9937</v>
      </c>
      <c r="F531" s="1">
        <v>44039</v>
      </c>
      <c r="G531" t="str">
        <f>"300043"</f>
        <v>300043</v>
      </c>
      <c r="H531" t="s">
        <v>2876</v>
      </c>
      <c r="I531">
        <v>1041</v>
      </c>
    </row>
    <row r="532" spans="1:9" x14ac:dyDescent="0.25">
      <c r="A532" t="s">
        <v>9616</v>
      </c>
      <c r="C532" t="s">
        <v>9617</v>
      </c>
      <c r="D532" t="str">
        <f>"20251828"</f>
        <v>20251828</v>
      </c>
      <c r="E532" t="s">
        <v>9938</v>
      </c>
      <c r="F532" s="1">
        <v>44039</v>
      </c>
      <c r="G532" t="str">
        <f>"300043"</f>
        <v>300043</v>
      </c>
      <c r="H532" t="s">
        <v>2876</v>
      </c>
      <c r="I532">
        <v>813</v>
      </c>
    </row>
    <row r="533" spans="1:9" x14ac:dyDescent="0.25">
      <c r="A533" t="s">
        <v>9616</v>
      </c>
      <c r="C533" t="s">
        <v>9617</v>
      </c>
      <c r="D533" t="str">
        <f>"2000928"</f>
        <v>2000928</v>
      </c>
      <c r="E533" t="s">
        <v>9939</v>
      </c>
      <c r="F533" s="1">
        <v>44039</v>
      </c>
      <c r="G533" t="str">
        <f>"300064"</f>
        <v>300064</v>
      </c>
      <c r="H533" t="s">
        <v>2896</v>
      </c>
      <c r="I533">
        <v>11840</v>
      </c>
    </row>
    <row r="534" spans="1:9" x14ac:dyDescent="0.25">
      <c r="A534" t="s">
        <v>9616</v>
      </c>
      <c r="C534" t="s">
        <v>9617</v>
      </c>
      <c r="D534" t="str">
        <f>"2004497"</f>
        <v>2004497</v>
      </c>
      <c r="E534" t="s">
        <v>9714</v>
      </c>
      <c r="F534" s="1">
        <v>44039</v>
      </c>
      <c r="G534" t="str">
        <f>"300064"</f>
        <v>300064</v>
      </c>
      <c r="H534" t="s">
        <v>2896</v>
      </c>
      <c r="I534">
        <v>122433.60000000001</v>
      </c>
    </row>
    <row r="535" spans="1:9" x14ac:dyDescent="0.25">
      <c r="A535" t="s">
        <v>9616</v>
      </c>
      <c r="C535" t="s">
        <v>9617</v>
      </c>
      <c r="D535" t="str">
        <f>"327820"</f>
        <v>327820</v>
      </c>
      <c r="E535" t="s">
        <v>9886</v>
      </c>
      <c r="F535" s="1">
        <v>44039</v>
      </c>
      <c r="G535" t="str">
        <f>"300101"</f>
        <v>300101</v>
      </c>
      <c r="H535" t="s">
        <v>2926</v>
      </c>
      <c r="I535">
        <v>181.48</v>
      </c>
    </row>
    <row r="536" spans="1:9" x14ac:dyDescent="0.25">
      <c r="A536" t="s">
        <v>9616</v>
      </c>
      <c r="C536" t="s">
        <v>9617</v>
      </c>
      <c r="D536" t="str">
        <f>"328120"</f>
        <v>328120</v>
      </c>
      <c r="E536" t="s">
        <v>9937</v>
      </c>
      <c r="F536" s="1">
        <v>44039</v>
      </c>
      <c r="G536" t="str">
        <f>"300101"</f>
        <v>300101</v>
      </c>
      <c r="H536" t="s">
        <v>2926</v>
      </c>
      <c r="I536">
        <v>3678.43</v>
      </c>
    </row>
    <row r="537" spans="1:9" x14ac:dyDescent="0.25">
      <c r="A537" t="s">
        <v>9616</v>
      </c>
      <c r="C537" t="s">
        <v>9617</v>
      </c>
      <c r="D537" t="str">
        <f>"341420"</f>
        <v>341420</v>
      </c>
      <c r="E537" t="s">
        <v>9938</v>
      </c>
      <c r="F537" s="1">
        <v>44039</v>
      </c>
      <c r="G537" t="str">
        <f>"300101"</f>
        <v>300101</v>
      </c>
      <c r="H537" t="s">
        <v>2926</v>
      </c>
      <c r="I537">
        <v>3520.44</v>
      </c>
    </row>
    <row r="538" spans="1:9" x14ac:dyDescent="0.25">
      <c r="A538" t="s">
        <v>9616</v>
      </c>
      <c r="C538" t="s">
        <v>9617</v>
      </c>
      <c r="D538" t="str">
        <f>"10124303"</f>
        <v>10124303</v>
      </c>
      <c r="E538" t="s">
        <v>1928</v>
      </c>
      <c r="F538" s="1">
        <v>44046</v>
      </c>
      <c r="G538" t="str">
        <f t="shared" ref="G538:G545" si="3">"300115"</f>
        <v>300115</v>
      </c>
      <c r="H538" t="s">
        <v>2938</v>
      </c>
      <c r="I538">
        <v>82908.87</v>
      </c>
    </row>
    <row r="539" spans="1:9" x14ac:dyDescent="0.25">
      <c r="A539" t="s">
        <v>9616</v>
      </c>
      <c r="C539" t="s">
        <v>9617</v>
      </c>
      <c r="D539" t="str">
        <f>"10124338"</f>
        <v>10124338</v>
      </c>
      <c r="E539" t="s">
        <v>9940</v>
      </c>
      <c r="F539" s="1">
        <v>44046</v>
      </c>
      <c r="G539" t="str">
        <f t="shared" si="3"/>
        <v>300115</v>
      </c>
      <c r="H539" t="s">
        <v>2938</v>
      </c>
      <c r="I539">
        <v>271233.07199999999</v>
      </c>
    </row>
    <row r="540" spans="1:9" x14ac:dyDescent="0.25">
      <c r="A540" t="s">
        <v>9616</v>
      </c>
      <c r="C540" t="s">
        <v>9617</v>
      </c>
      <c r="D540" t="str">
        <f>"10124339"</f>
        <v>10124339</v>
      </c>
      <c r="E540" t="s">
        <v>9225</v>
      </c>
      <c r="F540" s="1">
        <v>44046</v>
      </c>
      <c r="G540" t="str">
        <f t="shared" si="3"/>
        <v>300115</v>
      </c>
      <c r="H540" t="s">
        <v>2938</v>
      </c>
      <c r="I540">
        <v>32475.861000000001</v>
      </c>
    </row>
    <row r="541" spans="1:9" x14ac:dyDescent="0.25">
      <c r="A541" t="s">
        <v>9616</v>
      </c>
      <c r="C541" t="s">
        <v>9617</v>
      </c>
      <c r="D541" t="str">
        <f>"10124345"</f>
        <v>10124345</v>
      </c>
      <c r="E541" t="s">
        <v>9867</v>
      </c>
      <c r="F541" s="1">
        <v>44047</v>
      </c>
      <c r="G541" t="str">
        <f t="shared" si="3"/>
        <v>300115</v>
      </c>
      <c r="H541" t="s">
        <v>2938</v>
      </c>
      <c r="I541">
        <v>145111.948</v>
      </c>
    </row>
    <row r="542" spans="1:9" x14ac:dyDescent="0.25">
      <c r="A542" t="s">
        <v>9616</v>
      </c>
      <c r="C542" t="s">
        <v>9617</v>
      </c>
      <c r="D542" t="str">
        <f>"10124350"</f>
        <v>10124350</v>
      </c>
      <c r="E542" t="s">
        <v>1819</v>
      </c>
      <c r="F542" s="1">
        <v>44047</v>
      </c>
      <c r="G542" t="str">
        <f t="shared" si="3"/>
        <v>300115</v>
      </c>
      <c r="H542" t="s">
        <v>2938</v>
      </c>
      <c r="I542">
        <v>82908.87</v>
      </c>
    </row>
    <row r="543" spans="1:9" x14ac:dyDescent="0.25">
      <c r="A543" t="s">
        <v>9616</v>
      </c>
      <c r="C543" t="s">
        <v>9617</v>
      </c>
      <c r="D543" t="str">
        <f>"10124351"</f>
        <v>10124351</v>
      </c>
      <c r="E543" t="s">
        <v>1928</v>
      </c>
      <c r="F543" s="1">
        <v>44047</v>
      </c>
      <c r="G543" t="str">
        <f t="shared" si="3"/>
        <v>300115</v>
      </c>
      <c r="H543" t="s">
        <v>2938</v>
      </c>
      <c r="I543">
        <v>82908.87</v>
      </c>
    </row>
    <row r="544" spans="1:9" x14ac:dyDescent="0.25">
      <c r="A544" t="s">
        <v>9616</v>
      </c>
      <c r="C544" t="s">
        <v>9617</v>
      </c>
      <c r="D544" t="str">
        <f>"10124386"</f>
        <v>10124386</v>
      </c>
      <c r="E544" t="s">
        <v>9189</v>
      </c>
      <c r="F544" s="1">
        <v>44047</v>
      </c>
      <c r="G544" t="str">
        <f t="shared" si="3"/>
        <v>300115</v>
      </c>
      <c r="H544" t="s">
        <v>2938</v>
      </c>
      <c r="I544">
        <v>284235.56699999998</v>
      </c>
    </row>
    <row r="545" spans="1:9" x14ac:dyDescent="0.25">
      <c r="A545" t="s">
        <v>9616</v>
      </c>
      <c r="C545" t="s">
        <v>9617</v>
      </c>
      <c r="D545" t="str">
        <f>"10124426"</f>
        <v>10124426</v>
      </c>
      <c r="E545" t="s">
        <v>9708</v>
      </c>
      <c r="F545" s="1">
        <v>44048</v>
      </c>
      <c r="G545" t="str">
        <f t="shared" si="3"/>
        <v>300115</v>
      </c>
      <c r="H545" t="s">
        <v>2938</v>
      </c>
      <c r="I545">
        <v>283950.61200000002</v>
      </c>
    </row>
    <row r="546" spans="1:9" x14ac:dyDescent="0.25">
      <c r="A546" t="s">
        <v>9616</v>
      </c>
      <c r="C546" t="s">
        <v>9617</v>
      </c>
      <c r="D546" t="str">
        <f>"20243688"</f>
        <v>20243688</v>
      </c>
      <c r="E546" t="s">
        <v>9941</v>
      </c>
      <c r="F546" s="1">
        <v>44049</v>
      </c>
      <c r="G546" t="str">
        <f>"300043"</f>
        <v>300043</v>
      </c>
      <c r="H546" t="s">
        <v>2876</v>
      </c>
      <c r="I546">
        <v>1055</v>
      </c>
    </row>
    <row r="547" spans="1:9" x14ac:dyDescent="0.25">
      <c r="A547" t="s">
        <v>9616</v>
      </c>
      <c r="C547" t="s">
        <v>9617</v>
      </c>
      <c r="D547" t="str">
        <f>"20243690"</f>
        <v>20243690</v>
      </c>
      <c r="E547" t="s">
        <v>9942</v>
      </c>
      <c r="F547" s="1">
        <v>44049</v>
      </c>
      <c r="G547" t="str">
        <f>"300043"</f>
        <v>300043</v>
      </c>
      <c r="H547" t="s">
        <v>2876</v>
      </c>
      <c r="I547">
        <v>1220</v>
      </c>
    </row>
    <row r="548" spans="1:9" x14ac:dyDescent="0.25">
      <c r="A548" t="s">
        <v>9616</v>
      </c>
      <c r="C548" t="s">
        <v>9617</v>
      </c>
      <c r="D548" t="s">
        <v>9943</v>
      </c>
      <c r="E548" t="s">
        <v>9858</v>
      </c>
      <c r="F548" s="1">
        <v>44049</v>
      </c>
      <c r="G548" t="str">
        <f>"300092"</f>
        <v>300092</v>
      </c>
      <c r="H548" t="s">
        <v>2160</v>
      </c>
      <c r="I548">
        <v>58692.3</v>
      </c>
    </row>
    <row r="549" spans="1:9" x14ac:dyDescent="0.25">
      <c r="A549" t="s">
        <v>9616</v>
      </c>
      <c r="C549" t="s">
        <v>9617</v>
      </c>
      <c r="D549" t="str">
        <f>"351020"</f>
        <v>351020</v>
      </c>
      <c r="E549" t="s">
        <v>9942</v>
      </c>
      <c r="F549" s="1">
        <v>44049</v>
      </c>
      <c r="G549" t="str">
        <f>"300101"</f>
        <v>300101</v>
      </c>
      <c r="H549" t="s">
        <v>2926</v>
      </c>
      <c r="I549">
        <v>3370.52</v>
      </c>
    </row>
    <row r="550" spans="1:9" x14ac:dyDescent="0.25">
      <c r="A550" t="s">
        <v>9616</v>
      </c>
      <c r="C550" t="s">
        <v>9617</v>
      </c>
      <c r="D550" t="str">
        <f>"351120"</f>
        <v>351120</v>
      </c>
      <c r="E550" t="s">
        <v>9941</v>
      </c>
      <c r="F550" s="1">
        <v>44049</v>
      </c>
      <c r="G550" t="str">
        <f>"300101"</f>
        <v>300101</v>
      </c>
      <c r="H550" t="s">
        <v>2926</v>
      </c>
      <c r="I550">
        <v>3369.98</v>
      </c>
    </row>
    <row r="551" spans="1:9" x14ac:dyDescent="0.25">
      <c r="A551" t="s">
        <v>9616</v>
      </c>
      <c r="C551" t="s">
        <v>9617</v>
      </c>
      <c r="D551" t="str">
        <f>"10124452"</f>
        <v>10124452</v>
      </c>
      <c r="E551" t="s">
        <v>9944</v>
      </c>
      <c r="F551" s="1">
        <v>44049</v>
      </c>
      <c r="G551" t="str">
        <f>"300115"</f>
        <v>300115</v>
      </c>
      <c r="H551" t="s">
        <v>2938</v>
      </c>
      <c r="I551">
        <v>82908.87</v>
      </c>
    </row>
    <row r="552" spans="1:9" x14ac:dyDescent="0.25">
      <c r="A552" t="s">
        <v>9616</v>
      </c>
      <c r="C552" t="s">
        <v>9617</v>
      </c>
      <c r="D552" t="str">
        <f>"20243907"</f>
        <v>20243907</v>
      </c>
      <c r="E552" t="s">
        <v>9945</v>
      </c>
      <c r="F552" s="1">
        <v>44050</v>
      </c>
      <c r="G552" t="str">
        <f>"300043"</f>
        <v>300043</v>
      </c>
      <c r="H552" t="s">
        <v>2876</v>
      </c>
      <c r="I552">
        <v>818</v>
      </c>
    </row>
    <row r="553" spans="1:9" x14ac:dyDescent="0.25">
      <c r="A553" t="s">
        <v>9616</v>
      </c>
      <c r="C553" t="s">
        <v>9617</v>
      </c>
      <c r="D553" t="str">
        <f>"20243909"</f>
        <v>20243909</v>
      </c>
      <c r="E553" t="s">
        <v>9946</v>
      </c>
      <c r="F553" s="1">
        <v>44050</v>
      </c>
      <c r="G553" t="str">
        <f>"300043"</f>
        <v>300043</v>
      </c>
      <c r="H553" t="s">
        <v>2876</v>
      </c>
      <c r="I553">
        <v>674</v>
      </c>
    </row>
    <row r="554" spans="1:9" x14ac:dyDescent="0.25">
      <c r="A554" t="s">
        <v>9616</v>
      </c>
      <c r="C554" t="s">
        <v>9617</v>
      </c>
      <c r="D554" t="str">
        <f>"351520"</f>
        <v>351520</v>
      </c>
      <c r="E554" t="s">
        <v>9945</v>
      </c>
      <c r="F554" s="1">
        <v>44050</v>
      </c>
      <c r="G554" t="str">
        <f>"300101"</f>
        <v>300101</v>
      </c>
      <c r="H554" t="s">
        <v>2926</v>
      </c>
      <c r="I554">
        <v>3996</v>
      </c>
    </row>
    <row r="555" spans="1:9" x14ac:dyDescent="0.25">
      <c r="A555" t="s">
        <v>9616</v>
      </c>
      <c r="C555" t="s">
        <v>9617</v>
      </c>
      <c r="D555" t="str">
        <f>"353320"</f>
        <v>353320</v>
      </c>
      <c r="E555" t="s">
        <v>9946</v>
      </c>
      <c r="F555" s="1">
        <v>44050</v>
      </c>
      <c r="G555" t="str">
        <f>"300101"</f>
        <v>300101</v>
      </c>
      <c r="H555" t="s">
        <v>2926</v>
      </c>
      <c r="I555">
        <v>3954.96</v>
      </c>
    </row>
    <row r="556" spans="1:9" x14ac:dyDescent="0.25">
      <c r="A556" t="s">
        <v>9616</v>
      </c>
      <c r="C556" t="s">
        <v>9617</v>
      </c>
      <c r="D556" t="str">
        <f>"20242138"</f>
        <v>20242138</v>
      </c>
      <c r="E556" t="s">
        <v>9947</v>
      </c>
      <c r="F556" s="1">
        <v>44053</v>
      </c>
      <c r="G556" t="str">
        <f>"300043"</f>
        <v>300043</v>
      </c>
      <c r="H556" t="s">
        <v>2876</v>
      </c>
      <c r="I556">
        <v>2276</v>
      </c>
    </row>
    <row r="557" spans="1:9" x14ac:dyDescent="0.25">
      <c r="A557" t="s">
        <v>9616</v>
      </c>
      <c r="C557" t="s">
        <v>9617</v>
      </c>
      <c r="D557" t="str">
        <f>"351220"</f>
        <v>351220</v>
      </c>
      <c r="E557" t="s">
        <v>9947</v>
      </c>
      <c r="F557" s="1">
        <v>44053</v>
      </c>
      <c r="G557" t="str">
        <f>"300101"</f>
        <v>300101</v>
      </c>
      <c r="H557" t="s">
        <v>2926</v>
      </c>
      <c r="I557">
        <v>3482.17</v>
      </c>
    </row>
    <row r="558" spans="1:9" x14ac:dyDescent="0.25">
      <c r="A558" t="s">
        <v>9616</v>
      </c>
      <c r="C558" t="s">
        <v>9617</v>
      </c>
      <c r="D558" t="s">
        <v>9948</v>
      </c>
      <c r="E558" t="s">
        <v>9949</v>
      </c>
      <c r="F558" s="1">
        <v>44054</v>
      </c>
      <c r="G558" t="str">
        <f>"300092"</f>
        <v>300092</v>
      </c>
      <c r="H558" t="s">
        <v>2160</v>
      </c>
      <c r="I558">
        <v>2302</v>
      </c>
    </row>
    <row r="559" spans="1:9" x14ac:dyDescent="0.25">
      <c r="A559" t="s">
        <v>9616</v>
      </c>
      <c r="C559" t="s">
        <v>9617</v>
      </c>
      <c r="D559" t="s">
        <v>9950</v>
      </c>
      <c r="E559" t="s">
        <v>9950</v>
      </c>
      <c r="F559" s="1">
        <v>44054</v>
      </c>
      <c r="G559" t="str">
        <f>"300092"</f>
        <v>300092</v>
      </c>
      <c r="H559" t="s">
        <v>2160</v>
      </c>
      <c r="I559">
        <v>129</v>
      </c>
    </row>
    <row r="560" spans="1:9" x14ac:dyDescent="0.25">
      <c r="A560" t="s">
        <v>9616</v>
      </c>
      <c r="C560" t="s">
        <v>9617</v>
      </c>
      <c r="D560" t="s">
        <v>9951</v>
      </c>
      <c r="E560" t="s">
        <v>9951</v>
      </c>
      <c r="F560" s="1">
        <v>44054</v>
      </c>
      <c r="G560" t="str">
        <f>"300092"</f>
        <v>300092</v>
      </c>
      <c r="H560" t="s">
        <v>2160</v>
      </c>
      <c r="I560">
        <v>149.19999999999999</v>
      </c>
    </row>
    <row r="561" spans="1:9" x14ac:dyDescent="0.25">
      <c r="A561" t="s">
        <v>9616</v>
      </c>
      <c r="C561" t="s">
        <v>9617</v>
      </c>
      <c r="D561" t="str">
        <f>"2004671"</f>
        <v>2004671</v>
      </c>
      <c r="E561" t="s">
        <v>9674</v>
      </c>
      <c r="F561" s="1">
        <v>44055</v>
      </c>
      <c r="G561" t="str">
        <f>"300064"</f>
        <v>300064</v>
      </c>
      <c r="H561" t="s">
        <v>2896</v>
      </c>
      <c r="I561">
        <v>88250</v>
      </c>
    </row>
    <row r="562" spans="1:9" x14ac:dyDescent="0.25">
      <c r="A562" t="s">
        <v>9616</v>
      </c>
      <c r="C562" t="s">
        <v>9617</v>
      </c>
      <c r="D562" t="s">
        <v>9952</v>
      </c>
      <c r="E562" t="s">
        <v>9953</v>
      </c>
      <c r="F562" s="1">
        <v>44055</v>
      </c>
      <c r="G562" t="str">
        <f>"300092"</f>
        <v>300092</v>
      </c>
      <c r="H562" t="s">
        <v>2160</v>
      </c>
      <c r="I562">
        <v>82309</v>
      </c>
    </row>
    <row r="563" spans="1:9" x14ac:dyDescent="0.25">
      <c r="A563" t="s">
        <v>9616</v>
      </c>
      <c r="C563" t="s">
        <v>9617</v>
      </c>
      <c r="D563" t="s">
        <v>9954</v>
      </c>
      <c r="E563" t="s">
        <v>9955</v>
      </c>
      <c r="F563" s="1">
        <v>44055</v>
      </c>
      <c r="G563" t="str">
        <f>"300092"</f>
        <v>300092</v>
      </c>
      <c r="H563" t="s">
        <v>2160</v>
      </c>
      <c r="I563">
        <v>29682.5</v>
      </c>
    </row>
    <row r="564" spans="1:9" x14ac:dyDescent="0.25">
      <c r="A564" t="s">
        <v>9616</v>
      </c>
      <c r="C564" t="s">
        <v>9617</v>
      </c>
      <c r="D564" t="str">
        <f>"20242140"</f>
        <v>20242140</v>
      </c>
      <c r="E564" t="s">
        <v>9956</v>
      </c>
      <c r="F564" s="1">
        <v>44056</v>
      </c>
      <c r="G564" t="str">
        <f>"300043"</f>
        <v>300043</v>
      </c>
      <c r="H564" t="s">
        <v>2876</v>
      </c>
      <c r="I564">
        <v>439</v>
      </c>
    </row>
    <row r="565" spans="1:9" x14ac:dyDescent="0.25">
      <c r="A565" t="s">
        <v>9616</v>
      </c>
      <c r="C565" t="s">
        <v>9617</v>
      </c>
      <c r="D565" t="str">
        <f>"356220"</f>
        <v>356220</v>
      </c>
      <c r="E565" t="s">
        <v>9956</v>
      </c>
      <c r="F565" s="1">
        <v>44056</v>
      </c>
      <c r="G565" t="str">
        <f>"300101"</f>
        <v>300101</v>
      </c>
      <c r="H565" t="s">
        <v>2926</v>
      </c>
      <c r="I565">
        <v>3351.74</v>
      </c>
    </row>
    <row r="566" spans="1:9" x14ac:dyDescent="0.25">
      <c r="A566" t="s">
        <v>9616</v>
      </c>
      <c r="C566" t="s">
        <v>9617</v>
      </c>
      <c r="D566" t="str">
        <f>"20242348"</f>
        <v>20242348</v>
      </c>
      <c r="E566" t="s">
        <v>9957</v>
      </c>
      <c r="F566" s="1">
        <v>44060</v>
      </c>
      <c r="G566" t="str">
        <f>"300043"</f>
        <v>300043</v>
      </c>
      <c r="H566" t="s">
        <v>2876</v>
      </c>
      <c r="I566">
        <v>1109</v>
      </c>
    </row>
    <row r="567" spans="1:9" x14ac:dyDescent="0.25">
      <c r="A567" t="s">
        <v>9616</v>
      </c>
      <c r="C567" t="s">
        <v>9617</v>
      </c>
      <c r="D567" t="s">
        <v>9958</v>
      </c>
      <c r="E567" t="s">
        <v>9959</v>
      </c>
      <c r="F567" s="1">
        <v>44060</v>
      </c>
      <c r="G567" t="str">
        <f>"300092"</f>
        <v>300092</v>
      </c>
      <c r="H567" t="s">
        <v>2160</v>
      </c>
      <c r="I567">
        <v>41743.599999999999</v>
      </c>
    </row>
    <row r="568" spans="1:9" x14ac:dyDescent="0.25">
      <c r="A568" t="s">
        <v>9616</v>
      </c>
      <c r="C568" t="s">
        <v>9617</v>
      </c>
      <c r="D568" t="str">
        <f>"361020"</f>
        <v>361020</v>
      </c>
      <c r="E568" t="s">
        <v>9957</v>
      </c>
      <c r="F568" s="1">
        <v>44060</v>
      </c>
      <c r="G568" t="str">
        <f>"300101"</f>
        <v>300101</v>
      </c>
      <c r="H568" t="s">
        <v>2926</v>
      </c>
      <c r="I568">
        <v>4947.8999999999996</v>
      </c>
    </row>
    <row r="569" spans="1:9" x14ac:dyDescent="0.25">
      <c r="A569" t="s">
        <v>9616</v>
      </c>
      <c r="C569" t="s">
        <v>9617</v>
      </c>
      <c r="D569" t="s">
        <v>9960</v>
      </c>
      <c r="E569" t="s">
        <v>9629</v>
      </c>
      <c r="F569" s="1">
        <v>44061</v>
      </c>
      <c r="G569" t="str">
        <f>"300133"</f>
        <v>300133</v>
      </c>
      <c r="H569" t="s">
        <v>2955</v>
      </c>
      <c r="I569">
        <v>46266</v>
      </c>
    </row>
    <row r="570" spans="1:9" x14ac:dyDescent="0.25">
      <c r="A570" t="s">
        <v>9616</v>
      </c>
      <c r="C570" t="s">
        <v>9617</v>
      </c>
      <c r="D570" t="str">
        <f>"20242347"</f>
        <v>20242347</v>
      </c>
      <c r="E570" t="s">
        <v>9961</v>
      </c>
      <c r="F570" s="1">
        <v>44062</v>
      </c>
      <c r="G570" t="str">
        <f>"300043"</f>
        <v>300043</v>
      </c>
      <c r="H570" t="s">
        <v>2876</v>
      </c>
      <c r="I570">
        <v>1575</v>
      </c>
    </row>
    <row r="571" spans="1:9" x14ac:dyDescent="0.25">
      <c r="A571" t="s">
        <v>9616</v>
      </c>
      <c r="C571" t="s">
        <v>9617</v>
      </c>
      <c r="D571" t="str">
        <f>"365620"</f>
        <v>365620</v>
      </c>
      <c r="E571" t="s">
        <v>9961</v>
      </c>
      <c r="F571" s="1">
        <v>44062</v>
      </c>
      <c r="G571" t="str">
        <f>"300101"</f>
        <v>300101</v>
      </c>
      <c r="H571" t="s">
        <v>2926</v>
      </c>
      <c r="I571">
        <v>5428.53</v>
      </c>
    </row>
    <row r="572" spans="1:9" x14ac:dyDescent="0.25">
      <c r="A572" t="s">
        <v>9616</v>
      </c>
      <c r="C572" t="s">
        <v>9617</v>
      </c>
      <c r="D572" t="str">
        <f>"10124817"</f>
        <v>10124817</v>
      </c>
      <c r="E572" t="s">
        <v>9962</v>
      </c>
      <c r="F572" s="1">
        <v>44067</v>
      </c>
      <c r="G572" t="str">
        <f>"300115"</f>
        <v>300115</v>
      </c>
      <c r="H572" t="s">
        <v>2938</v>
      </c>
      <c r="I572">
        <v>15652.528399999999</v>
      </c>
    </row>
    <row r="573" spans="1:9" x14ac:dyDescent="0.25">
      <c r="A573" t="s">
        <v>9616</v>
      </c>
      <c r="C573" t="s">
        <v>9617</v>
      </c>
      <c r="D573" t="str">
        <f>"10124818"</f>
        <v>10124818</v>
      </c>
      <c r="E573" t="s">
        <v>9840</v>
      </c>
      <c r="F573" s="1">
        <v>44067</v>
      </c>
      <c r="G573" t="str">
        <f>"300115"</f>
        <v>300115</v>
      </c>
      <c r="H573" t="s">
        <v>2938</v>
      </c>
      <c r="I573">
        <v>321956.55800000002</v>
      </c>
    </row>
    <row r="574" spans="1:9" x14ac:dyDescent="0.25">
      <c r="A574" t="s">
        <v>9616</v>
      </c>
      <c r="C574" t="s">
        <v>9617</v>
      </c>
      <c r="D574" t="str">
        <f>"10124841"</f>
        <v>10124841</v>
      </c>
      <c r="E574" t="s">
        <v>1819</v>
      </c>
      <c r="F574" s="1">
        <v>44068</v>
      </c>
      <c r="G574" t="str">
        <f>"300115"</f>
        <v>300115</v>
      </c>
      <c r="H574" t="s">
        <v>2938</v>
      </c>
      <c r="I574">
        <v>80731.42</v>
      </c>
    </row>
    <row r="575" spans="1:9" x14ac:dyDescent="0.25">
      <c r="A575" t="s">
        <v>9616</v>
      </c>
      <c r="C575" t="s">
        <v>9617</v>
      </c>
      <c r="D575" t="s">
        <v>9963</v>
      </c>
      <c r="E575" t="s">
        <v>9629</v>
      </c>
      <c r="F575" s="1">
        <v>44068</v>
      </c>
      <c r="G575" t="str">
        <f>"300133"</f>
        <v>300133</v>
      </c>
      <c r="H575" t="s">
        <v>2955</v>
      </c>
      <c r="I575">
        <v>35816</v>
      </c>
    </row>
    <row r="576" spans="1:9" x14ac:dyDescent="0.25">
      <c r="A576" t="s">
        <v>9616</v>
      </c>
      <c r="C576" t="s">
        <v>9617</v>
      </c>
      <c r="D576" t="str">
        <f>"93953"</f>
        <v>93953</v>
      </c>
      <c r="E576" t="s">
        <v>9964</v>
      </c>
      <c r="F576" s="1">
        <v>44070</v>
      </c>
      <c r="G576" t="str">
        <f>"300043"</f>
        <v>300043</v>
      </c>
      <c r="H576" t="s">
        <v>2876</v>
      </c>
      <c r="I576">
        <v>1294</v>
      </c>
    </row>
    <row r="577" spans="1:9" x14ac:dyDescent="0.25">
      <c r="A577" t="s">
        <v>9616</v>
      </c>
      <c r="C577" t="s">
        <v>9617</v>
      </c>
      <c r="D577" t="str">
        <f>"38692020"</f>
        <v>38692020</v>
      </c>
      <c r="E577" t="s">
        <v>9964</v>
      </c>
      <c r="F577" s="1">
        <v>44070</v>
      </c>
      <c r="G577" t="str">
        <f>"300101"</f>
        <v>300101</v>
      </c>
      <c r="H577" t="s">
        <v>2926</v>
      </c>
      <c r="I577">
        <v>3191.71</v>
      </c>
    </row>
    <row r="578" spans="1:9" x14ac:dyDescent="0.25">
      <c r="A578" t="s">
        <v>9616</v>
      </c>
      <c r="C578" t="s">
        <v>9617</v>
      </c>
      <c r="D578" t="str">
        <f>"10124915"</f>
        <v>10124915</v>
      </c>
      <c r="E578" t="s">
        <v>8907</v>
      </c>
      <c r="F578" s="1">
        <v>44070</v>
      </c>
      <c r="G578" t="str">
        <f>"300115"</f>
        <v>300115</v>
      </c>
      <c r="H578" t="s">
        <v>2938</v>
      </c>
      <c r="I578">
        <v>290803.61200000002</v>
      </c>
    </row>
    <row r="579" spans="1:9" x14ac:dyDescent="0.25">
      <c r="A579" t="s">
        <v>9616</v>
      </c>
      <c r="C579" t="s">
        <v>9617</v>
      </c>
      <c r="D579" t="s">
        <v>9965</v>
      </c>
      <c r="E579" t="s">
        <v>9966</v>
      </c>
      <c r="F579" s="1">
        <v>44070</v>
      </c>
      <c r="G579" t="str">
        <f>"300133"</f>
        <v>300133</v>
      </c>
      <c r="H579" t="s">
        <v>2955</v>
      </c>
      <c r="I579">
        <v>11880</v>
      </c>
    </row>
    <row r="580" spans="1:9" x14ac:dyDescent="0.25">
      <c r="A580" t="s">
        <v>9616</v>
      </c>
      <c r="C580" t="s">
        <v>9617</v>
      </c>
      <c r="D580" t="str">
        <f>"35871"</f>
        <v>35871</v>
      </c>
      <c r="E580" t="s">
        <v>9967</v>
      </c>
      <c r="F580" s="1">
        <v>44071</v>
      </c>
      <c r="G580" t="str">
        <f>"300043"</f>
        <v>300043</v>
      </c>
      <c r="H580" t="s">
        <v>2876</v>
      </c>
      <c r="I580">
        <v>492</v>
      </c>
    </row>
    <row r="581" spans="1:9" x14ac:dyDescent="0.25">
      <c r="A581" t="s">
        <v>9616</v>
      </c>
      <c r="C581" t="s">
        <v>9617</v>
      </c>
      <c r="D581" t="str">
        <f>"2004999"</f>
        <v>2004999</v>
      </c>
      <c r="E581" t="s">
        <v>9543</v>
      </c>
      <c r="F581" s="1">
        <v>44071</v>
      </c>
      <c r="G581" t="str">
        <f>"300064"</f>
        <v>300064</v>
      </c>
      <c r="H581" t="s">
        <v>2896</v>
      </c>
      <c r="I581">
        <v>29360</v>
      </c>
    </row>
    <row r="582" spans="1:9" x14ac:dyDescent="0.25">
      <c r="A582" t="s">
        <v>9616</v>
      </c>
      <c r="C582" t="s">
        <v>9617</v>
      </c>
      <c r="D582" t="str">
        <f>"120310726"</f>
        <v>120310726</v>
      </c>
      <c r="E582" t="s">
        <v>9968</v>
      </c>
      <c r="F582" s="1">
        <v>44071</v>
      </c>
      <c r="G582" t="str">
        <f>"300080"</f>
        <v>300080</v>
      </c>
      <c r="H582" t="s">
        <v>2907</v>
      </c>
      <c r="I582">
        <v>64800</v>
      </c>
    </row>
    <row r="583" spans="1:9" x14ac:dyDescent="0.25">
      <c r="A583" t="s">
        <v>9616</v>
      </c>
      <c r="C583" t="s">
        <v>9617</v>
      </c>
      <c r="D583" t="str">
        <f>"387020"</f>
        <v>387020</v>
      </c>
      <c r="E583" t="s">
        <v>9967</v>
      </c>
      <c r="F583" s="1">
        <v>44071</v>
      </c>
      <c r="G583" t="str">
        <f>"300101"</f>
        <v>300101</v>
      </c>
      <c r="H583" t="s">
        <v>2926</v>
      </c>
      <c r="I583">
        <v>3348.87</v>
      </c>
    </row>
    <row r="584" spans="1:9" x14ac:dyDescent="0.25">
      <c r="A584" t="s">
        <v>9616</v>
      </c>
      <c r="C584" t="s">
        <v>9617</v>
      </c>
      <c r="D584" t="str">
        <f>"10124952"</f>
        <v>10124952</v>
      </c>
      <c r="E584" t="s">
        <v>9969</v>
      </c>
      <c r="F584" s="1">
        <v>44071</v>
      </c>
      <c r="G584" t="str">
        <f>"300115"</f>
        <v>300115</v>
      </c>
      <c r="H584" t="s">
        <v>2938</v>
      </c>
      <c r="I584">
        <v>145109.14000000001</v>
      </c>
    </row>
    <row r="585" spans="1:9" x14ac:dyDescent="0.25">
      <c r="A585" t="s">
        <v>9616</v>
      </c>
      <c r="C585" t="s">
        <v>9617</v>
      </c>
      <c r="D585" t="str">
        <f>"10124985"</f>
        <v>10124985</v>
      </c>
      <c r="E585" t="s">
        <v>9633</v>
      </c>
      <c r="F585" s="1">
        <v>44071</v>
      </c>
      <c r="G585" t="str">
        <f>"300115"</f>
        <v>300115</v>
      </c>
      <c r="H585" t="s">
        <v>2938</v>
      </c>
      <c r="I585">
        <v>124864.113</v>
      </c>
    </row>
    <row r="586" spans="1:9" x14ac:dyDescent="0.25">
      <c r="A586" t="s">
        <v>9616</v>
      </c>
      <c r="C586" t="s">
        <v>9617</v>
      </c>
      <c r="D586" t="str">
        <f>"10124986"</f>
        <v>10124986</v>
      </c>
      <c r="E586" t="s">
        <v>9252</v>
      </c>
      <c r="F586" s="1">
        <v>44071</v>
      </c>
      <c r="G586" t="str">
        <f>"300115"</f>
        <v>300115</v>
      </c>
      <c r="H586" t="s">
        <v>2938</v>
      </c>
      <c r="I586">
        <v>137368.82610000001</v>
      </c>
    </row>
    <row r="587" spans="1:9" x14ac:dyDescent="0.25">
      <c r="A587" t="s">
        <v>9616</v>
      </c>
      <c r="C587" t="s">
        <v>9617</v>
      </c>
      <c r="D587" t="s">
        <v>9970</v>
      </c>
      <c r="E587" t="s">
        <v>9971</v>
      </c>
      <c r="F587" s="1">
        <v>44071</v>
      </c>
      <c r="G587" t="str">
        <f>"300133"</f>
        <v>300133</v>
      </c>
      <c r="H587" t="s">
        <v>2955</v>
      </c>
      <c r="I587">
        <v>10660</v>
      </c>
    </row>
    <row r="588" spans="1:9" x14ac:dyDescent="0.25">
      <c r="A588" t="s">
        <v>9616</v>
      </c>
      <c r="C588" t="s">
        <v>9617</v>
      </c>
      <c r="D588" t="s">
        <v>9972</v>
      </c>
      <c r="E588" t="s">
        <v>9973</v>
      </c>
      <c r="F588" s="1">
        <v>44072</v>
      </c>
      <c r="G588" t="str">
        <f>"300092"</f>
        <v>300092</v>
      </c>
      <c r="H588" t="s">
        <v>2160</v>
      </c>
      <c r="I588">
        <v>73615</v>
      </c>
    </row>
    <row r="589" spans="1:9" x14ac:dyDescent="0.25">
      <c r="A589" t="s">
        <v>9616</v>
      </c>
      <c r="C589" t="s">
        <v>9617</v>
      </c>
      <c r="D589" t="str">
        <f>"20242544"</f>
        <v>20242544</v>
      </c>
      <c r="E589" t="s">
        <v>9974</v>
      </c>
      <c r="F589" s="1">
        <v>44074</v>
      </c>
      <c r="G589" t="str">
        <f>"300043"</f>
        <v>300043</v>
      </c>
      <c r="H589" t="s">
        <v>2876</v>
      </c>
      <c r="I589">
        <v>645</v>
      </c>
    </row>
    <row r="590" spans="1:9" x14ac:dyDescent="0.25">
      <c r="A590" t="s">
        <v>9616</v>
      </c>
      <c r="C590" t="s">
        <v>9617</v>
      </c>
      <c r="D590" t="str">
        <f>"120310731"</f>
        <v>120310731</v>
      </c>
      <c r="E590" t="s">
        <v>8903</v>
      </c>
      <c r="F590" s="1">
        <v>44074</v>
      </c>
      <c r="G590" t="str">
        <f>"300080"</f>
        <v>300080</v>
      </c>
      <c r="H590" t="s">
        <v>2907</v>
      </c>
      <c r="I590">
        <v>31104</v>
      </c>
    </row>
    <row r="591" spans="1:9" x14ac:dyDescent="0.25">
      <c r="A591" t="s">
        <v>9616</v>
      </c>
      <c r="C591" t="s">
        <v>9617</v>
      </c>
      <c r="D591" t="s">
        <v>9975</v>
      </c>
      <c r="E591" t="s">
        <v>9729</v>
      </c>
      <c r="F591" s="1">
        <v>44074</v>
      </c>
      <c r="G591" t="str">
        <f>"300092"</f>
        <v>300092</v>
      </c>
      <c r="H591" t="s">
        <v>2160</v>
      </c>
      <c r="I591">
        <v>10440</v>
      </c>
    </row>
    <row r="592" spans="1:9" x14ac:dyDescent="0.25">
      <c r="A592" t="s">
        <v>9616</v>
      </c>
      <c r="C592" t="s">
        <v>9617</v>
      </c>
      <c r="D592" t="str">
        <f>"386820"</f>
        <v>386820</v>
      </c>
      <c r="E592" t="s">
        <v>9974</v>
      </c>
      <c r="F592" s="1">
        <v>44074</v>
      </c>
      <c r="G592" t="str">
        <f>"300101"</f>
        <v>300101</v>
      </c>
      <c r="H592" t="s">
        <v>2926</v>
      </c>
      <c r="I592">
        <v>3351.4</v>
      </c>
    </row>
    <row r="593" spans="1:9" x14ac:dyDescent="0.25">
      <c r="A593" t="s">
        <v>9616</v>
      </c>
      <c r="C593" t="s">
        <v>9617</v>
      </c>
      <c r="D593" t="str">
        <f>"20242546"</f>
        <v>20242546</v>
      </c>
      <c r="E593" t="s">
        <v>9976</v>
      </c>
      <c r="F593" s="1">
        <v>44075</v>
      </c>
      <c r="G593" t="str">
        <f>"300043"</f>
        <v>300043</v>
      </c>
      <c r="H593" t="s">
        <v>2876</v>
      </c>
      <c r="I593">
        <v>2475</v>
      </c>
    </row>
    <row r="594" spans="1:9" x14ac:dyDescent="0.25">
      <c r="A594" t="s">
        <v>9616</v>
      </c>
      <c r="C594" t="s">
        <v>9617</v>
      </c>
      <c r="D594" t="str">
        <f>"387120"</f>
        <v>387120</v>
      </c>
      <c r="E594" t="s">
        <v>9976</v>
      </c>
      <c r="F594" s="1">
        <v>44075</v>
      </c>
      <c r="G594" t="str">
        <f>"300101"</f>
        <v>300101</v>
      </c>
      <c r="H594" t="s">
        <v>2926</v>
      </c>
      <c r="I594">
        <v>3669.73</v>
      </c>
    </row>
    <row r="595" spans="1:9" x14ac:dyDescent="0.25">
      <c r="A595" t="s">
        <v>9616</v>
      </c>
      <c r="C595" t="s">
        <v>9617</v>
      </c>
      <c r="D595" t="s">
        <v>9977</v>
      </c>
      <c r="E595" t="s">
        <v>9629</v>
      </c>
      <c r="F595" s="1">
        <v>44075</v>
      </c>
      <c r="G595" t="str">
        <f>"300133"</f>
        <v>300133</v>
      </c>
      <c r="H595" t="s">
        <v>2955</v>
      </c>
      <c r="I595">
        <v>20652</v>
      </c>
    </row>
    <row r="596" spans="1:9" x14ac:dyDescent="0.25">
      <c r="A596" t="s">
        <v>9616</v>
      </c>
      <c r="C596" t="s">
        <v>9617</v>
      </c>
      <c r="D596" t="str">
        <f>"61966"</f>
        <v>61966</v>
      </c>
      <c r="E596" t="s">
        <v>9978</v>
      </c>
      <c r="F596" s="1">
        <v>44076</v>
      </c>
      <c r="G596" t="str">
        <f>"300043"</f>
        <v>300043</v>
      </c>
      <c r="H596" t="s">
        <v>2876</v>
      </c>
      <c r="I596">
        <v>1036</v>
      </c>
    </row>
    <row r="597" spans="1:9" x14ac:dyDescent="0.25">
      <c r="A597" t="s">
        <v>9616</v>
      </c>
      <c r="C597" t="s">
        <v>9617</v>
      </c>
      <c r="D597" t="str">
        <f>"2005129"</f>
        <v>2005129</v>
      </c>
      <c r="E597" t="s">
        <v>9979</v>
      </c>
      <c r="F597" s="1">
        <v>44076</v>
      </c>
      <c r="G597" t="str">
        <f>"300064"</f>
        <v>300064</v>
      </c>
      <c r="H597" t="s">
        <v>2896</v>
      </c>
      <c r="I597">
        <v>57376</v>
      </c>
    </row>
    <row r="598" spans="1:9" x14ac:dyDescent="0.25">
      <c r="A598" t="s">
        <v>9616</v>
      </c>
      <c r="C598" t="s">
        <v>9617</v>
      </c>
      <c r="D598" t="str">
        <f>"394420"</f>
        <v>394420</v>
      </c>
      <c r="E598" t="s">
        <v>9978</v>
      </c>
      <c r="F598" s="1">
        <v>44076</v>
      </c>
      <c r="G598" t="str">
        <f>"300101"</f>
        <v>300101</v>
      </c>
      <c r="H598" t="s">
        <v>2926</v>
      </c>
      <c r="I598">
        <v>3352.69</v>
      </c>
    </row>
    <row r="599" spans="1:9" x14ac:dyDescent="0.25">
      <c r="A599" t="s">
        <v>9616</v>
      </c>
      <c r="C599" t="s">
        <v>9617</v>
      </c>
      <c r="D599" t="str">
        <f>"10125082"</f>
        <v>10125082</v>
      </c>
      <c r="E599" t="s">
        <v>9640</v>
      </c>
      <c r="F599" s="1">
        <v>44076</v>
      </c>
      <c r="G599" t="str">
        <f>"300115"</f>
        <v>300115</v>
      </c>
      <c r="H599" t="s">
        <v>2938</v>
      </c>
      <c r="I599">
        <v>140969.22399999999</v>
      </c>
    </row>
    <row r="600" spans="1:9" x14ac:dyDescent="0.25">
      <c r="A600" t="s">
        <v>9616</v>
      </c>
      <c r="C600" t="s">
        <v>9617</v>
      </c>
      <c r="D600" t="str">
        <f>"10125126"</f>
        <v>10125126</v>
      </c>
      <c r="E600" t="s">
        <v>2172</v>
      </c>
      <c r="F600" s="1">
        <v>44077</v>
      </c>
      <c r="G600" t="str">
        <f>"300115"</f>
        <v>300115</v>
      </c>
      <c r="H600" t="s">
        <v>2938</v>
      </c>
      <c r="I600">
        <v>190426.88279999999</v>
      </c>
    </row>
    <row r="601" spans="1:9" x14ac:dyDescent="0.25">
      <c r="A601" t="s">
        <v>9616</v>
      </c>
      <c r="C601" t="s">
        <v>9617</v>
      </c>
      <c r="D601" t="s">
        <v>9980</v>
      </c>
      <c r="E601" t="s">
        <v>9981</v>
      </c>
      <c r="F601" s="1">
        <v>44078</v>
      </c>
      <c r="G601" t="str">
        <f>"300092"</f>
        <v>300092</v>
      </c>
      <c r="H601" t="s">
        <v>2160</v>
      </c>
      <c r="I601">
        <v>60986.1</v>
      </c>
    </row>
    <row r="602" spans="1:9" x14ac:dyDescent="0.25">
      <c r="A602" t="s">
        <v>9616</v>
      </c>
      <c r="C602" t="s">
        <v>9617</v>
      </c>
      <c r="D602" t="str">
        <f>"10125168"</f>
        <v>10125168</v>
      </c>
      <c r="E602" t="s">
        <v>8907</v>
      </c>
      <c r="F602" s="1">
        <v>44078</v>
      </c>
      <c r="G602" t="str">
        <f>"300115"</f>
        <v>300115</v>
      </c>
      <c r="H602" t="s">
        <v>2938</v>
      </c>
      <c r="I602">
        <v>283948.79700000002</v>
      </c>
    </row>
    <row r="603" spans="1:9" x14ac:dyDescent="0.25">
      <c r="A603" t="s">
        <v>9616</v>
      </c>
      <c r="C603" t="s">
        <v>9617</v>
      </c>
      <c r="D603" t="str">
        <f>"94197"</f>
        <v>94197</v>
      </c>
      <c r="E603" t="s">
        <v>9982</v>
      </c>
      <c r="F603" s="1">
        <v>44081</v>
      </c>
      <c r="G603" t="str">
        <f>"300043"</f>
        <v>300043</v>
      </c>
      <c r="H603" t="s">
        <v>2876</v>
      </c>
      <c r="I603">
        <v>794</v>
      </c>
    </row>
    <row r="604" spans="1:9" x14ac:dyDescent="0.25">
      <c r="A604" t="s">
        <v>9616</v>
      </c>
      <c r="C604" t="s">
        <v>9617</v>
      </c>
      <c r="D604" t="str">
        <f>"2005234"</f>
        <v>2005234</v>
      </c>
      <c r="E604" t="s">
        <v>9983</v>
      </c>
      <c r="F604" s="1">
        <v>44081</v>
      </c>
      <c r="G604" t="str">
        <f>"300064"</f>
        <v>300064</v>
      </c>
      <c r="H604" t="s">
        <v>2896</v>
      </c>
      <c r="I604">
        <v>47728.7</v>
      </c>
    </row>
    <row r="605" spans="1:9" x14ac:dyDescent="0.25">
      <c r="A605" t="s">
        <v>9616</v>
      </c>
      <c r="C605" t="s">
        <v>9617</v>
      </c>
      <c r="D605" t="str">
        <f>"394320"</f>
        <v>394320</v>
      </c>
      <c r="E605" t="s">
        <v>9982</v>
      </c>
      <c r="F605" s="1">
        <v>44081</v>
      </c>
      <c r="G605" t="str">
        <f>"300101"</f>
        <v>300101</v>
      </c>
      <c r="H605" t="s">
        <v>2926</v>
      </c>
      <c r="I605">
        <v>3348.37</v>
      </c>
    </row>
    <row r="606" spans="1:9" x14ac:dyDescent="0.25">
      <c r="A606" t="s">
        <v>9616</v>
      </c>
      <c r="C606" t="s">
        <v>9617</v>
      </c>
      <c r="D606" t="str">
        <f>"10125210"</f>
        <v>10125210</v>
      </c>
      <c r="E606" t="s">
        <v>1928</v>
      </c>
      <c r="F606" s="1">
        <v>44081</v>
      </c>
      <c r="G606" t="str">
        <f>"300115"</f>
        <v>300115</v>
      </c>
      <c r="H606" t="s">
        <v>2938</v>
      </c>
      <c r="I606">
        <v>82908.87</v>
      </c>
    </row>
    <row r="607" spans="1:9" x14ac:dyDescent="0.25">
      <c r="A607" t="s">
        <v>9616</v>
      </c>
      <c r="C607" t="s">
        <v>9617</v>
      </c>
      <c r="D607" t="str">
        <f>"10125212"</f>
        <v>10125212</v>
      </c>
      <c r="E607" t="s">
        <v>9984</v>
      </c>
      <c r="F607" s="1">
        <v>44081</v>
      </c>
      <c r="G607" t="str">
        <f>"300115"</f>
        <v>300115</v>
      </c>
      <c r="H607" t="s">
        <v>2938</v>
      </c>
      <c r="I607">
        <v>150602.1</v>
      </c>
    </row>
    <row r="608" spans="1:9" x14ac:dyDescent="0.25">
      <c r="A608" t="s">
        <v>9616</v>
      </c>
      <c r="C608" t="s">
        <v>9617</v>
      </c>
      <c r="D608" t="str">
        <f>"08110"</f>
        <v>08110</v>
      </c>
      <c r="E608" t="s">
        <v>9985</v>
      </c>
      <c r="F608" s="1">
        <v>44082</v>
      </c>
      <c r="G608" t="str">
        <f>"300043"</f>
        <v>300043</v>
      </c>
      <c r="H608" t="s">
        <v>2876</v>
      </c>
      <c r="I608">
        <v>641</v>
      </c>
    </row>
    <row r="609" spans="1:9" x14ac:dyDescent="0.25">
      <c r="A609" t="s">
        <v>9616</v>
      </c>
      <c r="C609" t="s">
        <v>9617</v>
      </c>
      <c r="D609" t="str">
        <f>"37503"</f>
        <v>37503</v>
      </c>
      <c r="E609" t="s">
        <v>9986</v>
      </c>
      <c r="F609" s="1">
        <v>44082</v>
      </c>
      <c r="G609" t="str">
        <f>"300043"</f>
        <v>300043</v>
      </c>
      <c r="H609" t="s">
        <v>2876</v>
      </c>
      <c r="I609">
        <v>1104</v>
      </c>
    </row>
    <row r="610" spans="1:9" x14ac:dyDescent="0.25">
      <c r="A610" t="s">
        <v>9616</v>
      </c>
      <c r="C610" t="s">
        <v>9617</v>
      </c>
      <c r="D610" t="s">
        <v>9987</v>
      </c>
      <c r="E610" t="s">
        <v>9858</v>
      </c>
      <c r="F610" s="1">
        <v>44082</v>
      </c>
      <c r="G610" t="str">
        <f>"300092"</f>
        <v>300092</v>
      </c>
      <c r="H610" t="s">
        <v>2160</v>
      </c>
      <c r="I610">
        <v>19675.349999999999</v>
      </c>
    </row>
    <row r="611" spans="1:9" x14ac:dyDescent="0.25">
      <c r="A611" t="s">
        <v>9616</v>
      </c>
      <c r="C611" t="s">
        <v>9617</v>
      </c>
      <c r="D611" t="str">
        <f>"394720"</f>
        <v>394720</v>
      </c>
      <c r="E611" t="s">
        <v>9986</v>
      </c>
      <c r="F611" s="1">
        <v>44082</v>
      </c>
      <c r="G611" t="str">
        <f>"300101"</f>
        <v>300101</v>
      </c>
      <c r="H611" t="s">
        <v>2926</v>
      </c>
      <c r="I611">
        <v>3498.19</v>
      </c>
    </row>
    <row r="612" spans="1:9" x14ac:dyDescent="0.25">
      <c r="A612" t="s">
        <v>9616</v>
      </c>
      <c r="C612" t="s">
        <v>9617</v>
      </c>
      <c r="D612" t="str">
        <f>"396520"</f>
        <v>396520</v>
      </c>
      <c r="E612" t="s">
        <v>9985</v>
      </c>
      <c r="F612" s="1">
        <v>44082</v>
      </c>
      <c r="G612" t="str">
        <f>"300101"</f>
        <v>300101</v>
      </c>
      <c r="H612" t="s">
        <v>2926</v>
      </c>
      <c r="I612">
        <v>3816.05</v>
      </c>
    </row>
    <row r="613" spans="1:9" x14ac:dyDescent="0.25">
      <c r="A613" t="s">
        <v>9616</v>
      </c>
      <c r="C613" t="s">
        <v>9617</v>
      </c>
      <c r="D613" t="str">
        <f>"10125238"</f>
        <v>10125238</v>
      </c>
      <c r="E613" t="s">
        <v>1928</v>
      </c>
      <c r="F613" s="1">
        <v>44082</v>
      </c>
      <c r="G613" t="str">
        <f>"300115"</f>
        <v>300115</v>
      </c>
      <c r="H613" t="s">
        <v>2938</v>
      </c>
      <c r="I613">
        <v>82908.87</v>
      </c>
    </row>
    <row r="614" spans="1:9" x14ac:dyDescent="0.25">
      <c r="A614" t="s">
        <v>9616</v>
      </c>
      <c r="C614" t="s">
        <v>9617</v>
      </c>
      <c r="D614" t="str">
        <f>"10125240"</f>
        <v>10125240</v>
      </c>
      <c r="E614" t="s">
        <v>9249</v>
      </c>
      <c r="F614" s="1">
        <v>44082</v>
      </c>
      <c r="G614" t="str">
        <f>"300115"</f>
        <v>300115</v>
      </c>
      <c r="H614" t="s">
        <v>2938</v>
      </c>
      <c r="I614">
        <v>203662.38639999999</v>
      </c>
    </row>
    <row r="615" spans="1:9" x14ac:dyDescent="0.25">
      <c r="A615" t="s">
        <v>9616</v>
      </c>
      <c r="C615" t="s">
        <v>9617</v>
      </c>
      <c r="D615" t="str">
        <f>"2005306"</f>
        <v>2005306</v>
      </c>
      <c r="E615" t="s">
        <v>9909</v>
      </c>
      <c r="F615" s="1">
        <v>44083</v>
      </c>
      <c r="G615" t="str">
        <f>"300064"</f>
        <v>300064</v>
      </c>
      <c r="H615" t="s">
        <v>2896</v>
      </c>
      <c r="I615">
        <v>95940</v>
      </c>
    </row>
    <row r="616" spans="1:9" x14ac:dyDescent="0.25">
      <c r="A616" t="s">
        <v>9616</v>
      </c>
      <c r="C616" t="s">
        <v>9617</v>
      </c>
      <c r="D616" t="str">
        <f>"10125270"</f>
        <v>10125270</v>
      </c>
      <c r="E616" t="s">
        <v>9988</v>
      </c>
      <c r="F616" s="1">
        <v>44083</v>
      </c>
      <c r="G616" t="str">
        <f>"300115"</f>
        <v>300115</v>
      </c>
      <c r="H616" t="s">
        <v>2938</v>
      </c>
      <c r="I616">
        <v>113655.8544</v>
      </c>
    </row>
    <row r="617" spans="1:9" x14ac:dyDescent="0.25">
      <c r="A617" t="s">
        <v>9616</v>
      </c>
      <c r="C617" t="s">
        <v>9617</v>
      </c>
      <c r="D617" t="str">
        <f>"20012173"</f>
        <v>20012173</v>
      </c>
      <c r="E617" t="str">
        <f>"0020012173"</f>
        <v>0020012173</v>
      </c>
      <c r="F617" s="1">
        <v>44083</v>
      </c>
      <c r="G617" t="str">
        <f>"300115"</f>
        <v>300115</v>
      </c>
      <c r="H617" t="s">
        <v>2938</v>
      </c>
      <c r="I617">
        <v>2634.5088000000001</v>
      </c>
    </row>
    <row r="618" spans="1:9" x14ac:dyDescent="0.25">
      <c r="A618" t="s">
        <v>9616</v>
      </c>
      <c r="C618" t="s">
        <v>9617</v>
      </c>
      <c r="D618" t="str">
        <f>"37758"</f>
        <v>37758</v>
      </c>
      <c r="E618" t="s">
        <v>9989</v>
      </c>
      <c r="F618" s="1">
        <v>44084</v>
      </c>
      <c r="G618" t="str">
        <f>"300043"</f>
        <v>300043</v>
      </c>
      <c r="H618" t="s">
        <v>2876</v>
      </c>
      <c r="I618">
        <v>661</v>
      </c>
    </row>
    <row r="619" spans="1:9" x14ac:dyDescent="0.25">
      <c r="A619" t="s">
        <v>9616</v>
      </c>
      <c r="C619" t="s">
        <v>9617</v>
      </c>
      <c r="D619" t="str">
        <f>"37763"</f>
        <v>37763</v>
      </c>
      <c r="E619" t="s">
        <v>9990</v>
      </c>
      <c r="F619" s="1">
        <v>44084</v>
      </c>
      <c r="G619" t="str">
        <f>"300043"</f>
        <v>300043</v>
      </c>
      <c r="H619" t="s">
        <v>2876</v>
      </c>
      <c r="I619">
        <v>438</v>
      </c>
    </row>
    <row r="620" spans="1:9" x14ac:dyDescent="0.25">
      <c r="A620" t="s">
        <v>9616</v>
      </c>
      <c r="C620" t="s">
        <v>9617</v>
      </c>
      <c r="D620" t="str">
        <f>"37770"</f>
        <v>37770</v>
      </c>
      <c r="E620" t="s">
        <v>9991</v>
      </c>
      <c r="F620" s="1">
        <v>44084</v>
      </c>
      <c r="G620" t="str">
        <f>"300043"</f>
        <v>300043</v>
      </c>
      <c r="H620" t="s">
        <v>2876</v>
      </c>
      <c r="I620">
        <v>437</v>
      </c>
    </row>
    <row r="621" spans="1:9" x14ac:dyDescent="0.25">
      <c r="A621" t="s">
        <v>9616</v>
      </c>
      <c r="C621" t="s">
        <v>9617</v>
      </c>
      <c r="D621" t="str">
        <f>"37773"</f>
        <v>37773</v>
      </c>
      <c r="E621" t="s">
        <v>9992</v>
      </c>
      <c r="F621" s="1">
        <v>44084</v>
      </c>
      <c r="G621" t="str">
        <f>"300043"</f>
        <v>300043</v>
      </c>
      <c r="H621" t="s">
        <v>2876</v>
      </c>
      <c r="I621">
        <v>835</v>
      </c>
    </row>
    <row r="622" spans="1:9" x14ac:dyDescent="0.25">
      <c r="A622" t="s">
        <v>9616</v>
      </c>
      <c r="C622" t="s">
        <v>9617</v>
      </c>
      <c r="D622" t="str">
        <f>"394520"</f>
        <v>394520</v>
      </c>
      <c r="E622" t="s">
        <v>9991</v>
      </c>
      <c r="F622" s="1">
        <v>44084</v>
      </c>
      <c r="G622" t="str">
        <f>"300101"</f>
        <v>300101</v>
      </c>
      <c r="H622" t="s">
        <v>2926</v>
      </c>
      <c r="I622">
        <v>3812.75</v>
      </c>
    </row>
    <row r="623" spans="1:9" x14ac:dyDescent="0.25">
      <c r="A623" t="s">
        <v>9616</v>
      </c>
      <c r="C623" t="s">
        <v>9617</v>
      </c>
      <c r="D623" t="str">
        <f>"394620"</f>
        <v>394620</v>
      </c>
      <c r="E623" t="s">
        <v>9992</v>
      </c>
      <c r="F623" s="1">
        <v>44084</v>
      </c>
      <c r="G623" t="str">
        <f>"300101"</f>
        <v>300101</v>
      </c>
      <c r="H623" t="s">
        <v>2926</v>
      </c>
      <c r="I623">
        <v>3496.17</v>
      </c>
    </row>
    <row r="624" spans="1:9" x14ac:dyDescent="0.25">
      <c r="A624" t="s">
        <v>9616</v>
      </c>
      <c r="C624" t="s">
        <v>9617</v>
      </c>
      <c r="D624" t="str">
        <f>"394920"</f>
        <v>394920</v>
      </c>
      <c r="E624" t="s">
        <v>9989</v>
      </c>
      <c r="F624" s="1">
        <v>44084</v>
      </c>
      <c r="G624" t="str">
        <f>"300101"</f>
        <v>300101</v>
      </c>
      <c r="H624" t="s">
        <v>2926</v>
      </c>
      <c r="I624">
        <v>3179.59</v>
      </c>
    </row>
    <row r="625" spans="1:9" x14ac:dyDescent="0.25">
      <c r="A625" t="s">
        <v>9616</v>
      </c>
      <c r="C625" t="s">
        <v>9617</v>
      </c>
      <c r="D625" t="str">
        <f>"395120"</f>
        <v>395120</v>
      </c>
      <c r="E625" t="s">
        <v>9990</v>
      </c>
      <c r="F625" s="1">
        <v>44084</v>
      </c>
      <c r="G625" t="str">
        <f>"300101"</f>
        <v>300101</v>
      </c>
      <c r="H625" t="s">
        <v>2926</v>
      </c>
      <c r="I625">
        <v>3179.59</v>
      </c>
    </row>
    <row r="626" spans="1:9" x14ac:dyDescent="0.25">
      <c r="A626" t="s">
        <v>9616</v>
      </c>
      <c r="C626" t="s">
        <v>9617</v>
      </c>
      <c r="D626" t="str">
        <f>"10125306"</f>
        <v>10125306</v>
      </c>
      <c r="E626" t="s">
        <v>9172</v>
      </c>
      <c r="F626" s="1">
        <v>44084</v>
      </c>
      <c r="G626" t="str">
        <f>"300115"</f>
        <v>300115</v>
      </c>
      <c r="H626" t="s">
        <v>2938</v>
      </c>
      <c r="I626">
        <v>155215.80799999999</v>
      </c>
    </row>
    <row r="627" spans="1:9" x14ac:dyDescent="0.25">
      <c r="A627" t="s">
        <v>9616</v>
      </c>
      <c r="C627" t="s">
        <v>9617</v>
      </c>
      <c r="D627" t="str">
        <f>"10125308"</f>
        <v>10125308</v>
      </c>
      <c r="E627" t="s">
        <v>9734</v>
      </c>
      <c r="F627" s="1">
        <v>44084</v>
      </c>
      <c r="G627" t="str">
        <f>"300115"</f>
        <v>300115</v>
      </c>
      <c r="H627" t="s">
        <v>2938</v>
      </c>
      <c r="I627">
        <v>142786.16440000001</v>
      </c>
    </row>
    <row r="628" spans="1:9" x14ac:dyDescent="0.25">
      <c r="A628" t="s">
        <v>9616</v>
      </c>
      <c r="C628" t="s">
        <v>9617</v>
      </c>
      <c r="D628" t="str">
        <f>"10125309"</f>
        <v>10125309</v>
      </c>
      <c r="E628" t="s">
        <v>1819</v>
      </c>
      <c r="F628" s="1">
        <v>44084</v>
      </c>
      <c r="G628" t="str">
        <f>"300115"</f>
        <v>300115</v>
      </c>
      <c r="H628" t="s">
        <v>2938</v>
      </c>
      <c r="I628">
        <v>88247.372399999993</v>
      </c>
    </row>
    <row r="629" spans="1:9" x14ac:dyDescent="0.25">
      <c r="A629" t="s">
        <v>9616</v>
      </c>
      <c r="C629" t="s">
        <v>9617</v>
      </c>
      <c r="D629" t="s">
        <v>9993</v>
      </c>
      <c r="E629" t="s">
        <v>9629</v>
      </c>
      <c r="F629" s="1">
        <v>44084</v>
      </c>
      <c r="G629" t="str">
        <f>"300133"</f>
        <v>300133</v>
      </c>
      <c r="H629" t="s">
        <v>2955</v>
      </c>
      <c r="I629">
        <v>10375.200000000001</v>
      </c>
    </row>
    <row r="630" spans="1:9" x14ac:dyDescent="0.25">
      <c r="A630" t="s">
        <v>9616</v>
      </c>
      <c r="C630" t="s">
        <v>9617</v>
      </c>
      <c r="D630" t="str">
        <f>"37984"</f>
        <v>37984</v>
      </c>
      <c r="E630" t="s">
        <v>9994</v>
      </c>
      <c r="F630" s="1">
        <v>44085</v>
      </c>
      <c r="G630" t="str">
        <f>"300043"</f>
        <v>300043</v>
      </c>
      <c r="H630" t="s">
        <v>2876</v>
      </c>
      <c r="I630">
        <v>539</v>
      </c>
    </row>
    <row r="631" spans="1:9" x14ac:dyDescent="0.25">
      <c r="A631" t="s">
        <v>9616</v>
      </c>
      <c r="C631" t="s">
        <v>9617</v>
      </c>
      <c r="D631" t="str">
        <f>"394820"</f>
        <v>394820</v>
      </c>
      <c r="E631" t="s">
        <v>9994</v>
      </c>
      <c r="F631" s="1">
        <v>44085</v>
      </c>
      <c r="G631" t="str">
        <f>"300101"</f>
        <v>300101</v>
      </c>
      <c r="H631" t="s">
        <v>2926</v>
      </c>
      <c r="I631">
        <v>3183.7</v>
      </c>
    </row>
    <row r="632" spans="1:9" x14ac:dyDescent="0.25">
      <c r="A632" t="s">
        <v>9616</v>
      </c>
      <c r="C632" t="s">
        <v>9617</v>
      </c>
      <c r="D632" t="str">
        <f>"10125362"</f>
        <v>10125362</v>
      </c>
      <c r="E632" t="s">
        <v>8907</v>
      </c>
      <c r="F632" s="1">
        <v>44085</v>
      </c>
      <c r="G632" t="str">
        <f>"300115"</f>
        <v>300115</v>
      </c>
      <c r="H632" t="s">
        <v>2938</v>
      </c>
      <c r="I632">
        <v>283948.79700000002</v>
      </c>
    </row>
    <row r="633" spans="1:9" x14ac:dyDescent="0.25">
      <c r="A633" t="s">
        <v>9616</v>
      </c>
      <c r="C633" t="s">
        <v>9617</v>
      </c>
      <c r="D633" t="s">
        <v>9995</v>
      </c>
      <c r="E633" t="s">
        <v>9996</v>
      </c>
      <c r="F633" s="1">
        <v>44085</v>
      </c>
      <c r="G633" t="str">
        <f>"300133"</f>
        <v>300133</v>
      </c>
      <c r="H633" t="s">
        <v>2955</v>
      </c>
      <c r="I633">
        <v>11646</v>
      </c>
    </row>
    <row r="634" spans="1:9" x14ac:dyDescent="0.25">
      <c r="A634" t="s">
        <v>9616</v>
      </c>
      <c r="C634" t="s">
        <v>9617</v>
      </c>
      <c r="D634" t="str">
        <f>"38416"</f>
        <v>38416</v>
      </c>
      <c r="E634" t="s">
        <v>9997</v>
      </c>
      <c r="F634" s="1">
        <v>44088</v>
      </c>
      <c r="G634" t="str">
        <f>"300043"</f>
        <v>300043</v>
      </c>
      <c r="H634" t="s">
        <v>2876</v>
      </c>
      <c r="I634">
        <v>455</v>
      </c>
    </row>
    <row r="635" spans="1:9" x14ac:dyDescent="0.25">
      <c r="A635" t="s">
        <v>9616</v>
      </c>
      <c r="C635" t="s">
        <v>9617</v>
      </c>
      <c r="D635" t="str">
        <f>"65975"</f>
        <v>65975</v>
      </c>
      <c r="E635" t="s">
        <v>9998</v>
      </c>
      <c r="F635" s="1">
        <v>44088</v>
      </c>
      <c r="G635" t="str">
        <f>"300093"</f>
        <v>300093</v>
      </c>
      <c r="H635" t="s">
        <v>2918</v>
      </c>
      <c r="I635">
        <v>162635.5258</v>
      </c>
    </row>
    <row r="636" spans="1:9" x14ac:dyDescent="0.25">
      <c r="A636" t="s">
        <v>9616</v>
      </c>
      <c r="C636" t="s">
        <v>9617</v>
      </c>
      <c r="D636" t="str">
        <f>"396920"</f>
        <v>396920</v>
      </c>
      <c r="E636" t="s">
        <v>9997</v>
      </c>
      <c r="F636" s="1">
        <v>44088</v>
      </c>
      <c r="G636" t="str">
        <f>"300101"</f>
        <v>300101</v>
      </c>
      <c r="H636" t="s">
        <v>2926</v>
      </c>
      <c r="I636">
        <v>3469.13</v>
      </c>
    </row>
    <row r="637" spans="1:9" x14ac:dyDescent="0.25">
      <c r="A637" t="s">
        <v>9616</v>
      </c>
      <c r="C637" t="s">
        <v>9617</v>
      </c>
      <c r="D637" t="str">
        <f>"10125397"</f>
        <v>10125397</v>
      </c>
      <c r="E637" t="s">
        <v>1928</v>
      </c>
      <c r="F637" s="1">
        <v>44088</v>
      </c>
      <c r="G637" t="str">
        <f>"300115"</f>
        <v>300115</v>
      </c>
      <c r="H637" t="s">
        <v>2938</v>
      </c>
      <c r="I637">
        <v>82908.87</v>
      </c>
    </row>
    <row r="638" spans="1:9" x14ac:dyDescent="0.25">
      <c r="A638" t="s">
        <v>9616</v>
      </c>
      <c r="C638" t="s">
        <v>9617</v>
      </c>
      <c r="D638" t="str">
        <f>"10125399"</f>
        <v>10125399</v>
      </c>
      <c r="E638" t="s">
        <v>9172</v>
      </c>
      <c r="F638" s="1">
        <v>44088</v>
      </c>
      <c r="G638" t="str">
        <f>"300115"</f>
        <v>300115</v>
      </c>
      <c r="H638" t="s">
        <v>2938</v>
      </c>
      <c r="I638">
        <v>155731.7916</v>
      </c>
    </row>
    <row r="639" spans="1:9" x14ac:dyDescent="0.25">
      <c r="A639" t="s">
        <v>9616</v>
      </c>
      <c r="C639" t="s">
        <v>9617</v>
      </c>
      <c r="D639" t="str">
        <f>"38415"</f>
        <v>38415</v>
      </c>
      <c r="E639" t="s">
        <v>9999</v>
      </c>
      <c r="F639" s="1">
        <v>44089</v>
      </c>
      <c r="G639" t="str">
        <f>"300043"</f>
        <v>300043</v>
      </c>
      <c r="H639" t="s">
        <v>2876</v>
      </c>
      <c r="I639">
        <v>635</v>
      </c>
    </row>
    <row r="640" spans="1:9" x14ac:dyDescent="0.25">
      <c r="A640" t="s">
        <v>9616</v>
      </c>
      <c r="C640" t="s">
        <v>9617</v>
      </c>
      <c r="D640" t="str">
        <f>"120310779"</f>
        <v>120310779</v>
      </c>
      <c r="E640" t="s">
        <v>9714</v>
      </c>
      <c r="F640" s="1">
        <v>44089</v>
      </c>
      <c r="G640" t="str">
        <f>"300080"</f>
        <v>300080</v>
      </c>
      <c r="H640" t="s">
        <v>2907</v>
      </c>
      <c r="I640">
        <v>195374.36799999999</v>
      </c>
    </row>
    <row r="641" spans="1:9" x14ac:dyDescent="0.25">
      <c r="A641" t="s">
        <v>9616</v>
      </c>
      <c r="C641" t="s">
        <v>9617</v>
      </c>
      <c r="D641" t="str">
        <f>"395020"</f>
        <v>395020</v>
      </c>
      <c r="E641" t="s">
        <v>9999</v>
      </c>
      <c r="F641" s="1">
        <v>44089</v>
      </c>
      <c r="G641" t="str">
        <f>"300101"</f>
        <v>300101</v>
      </c>
      <c r="H641" t="s">
        <v>2926</v>
      </c>
      <c r="I641">
        <v>3507.3</v>
      </c>
    </row>
    <row r="642" spans="1:9" x14ac:dyDescent="0.25">
      <c r="A642" t="s">
        <v>9616</v>
      </c>
      <c r="C642" t="s">
        <v>9617</v>
      </c>
      <c r="D642" t="str">
        <f>"38414"</f>
        <v>38414</v>
      </c>
      <c r="E642" t="s">
        <v>10000</v>
      </c>
      <c r="F642" s="1">
        <v>44090</v>
      </c>
      <c r="G642" t="str">
        <f>"300043"</f>
        <v>300043</v>
      </c>
      <c r="H642" t="s">
        <v>2876</v>
      </c>
      <c r="I642">
        <v>677</v>
      </c>
    </row>
    <row r="643" spans="1:9" x14ac:dyDescent="0.25">
      <c r="A643" t="s">
        <v>9616</v>
      </c>
      <c r="C643" t="s">
        <v>9617</v>
      </c>
      <c r="D643" t="str">
        <f>"2001150"</f>
        <v>2001150</v>
      </c>
      <c r="E643" t="s">
        <v>10001</v>
      </c>
      <c r="F643" s="1">
        <v>44090</v>
      </c>
      <c r="G643" t="str">
        <f>"300064"</f>
        <v>300064</v>
      </c>
      <c r="H643" t="s">
        <v>2896</v>
      </c>
      <c r="I643">
        <v>25680</v>
      </c>
    </row>
    <row r="644" spans="1:9" x14ac:dyDescent="0.25">
      <c r="A644" t="s">
        <v>9616</v>
      </c>
      <c r="C644" t="s">
        <v>9617</v>
      </c>
      <c r="D644" t="str">
        <f>"120310786"</f>
        <v>120310786</v>
      </c>
      <c r="E644" t="s">
        <v>10002</v>
      </c>
      <c r="F644" s="1">
        <v>44090</v>
      </c>
      <c r="G644" t="str">
        <f>"300080"</f>
        <v>300080</v>
      </c>
      <c r="H644" t="s">
        <v>2907</v>
      </c>
      <c r="I644">
        <v>20736</v>
      </c>
    </row>
    <row r="645" spans="1:9" x14ac:dyDescent="0.25">
      <c r="A645" t="s">
        <v>9616</v>
      </c>
      <c r="C645" t="s">
        <v>9617</v>
      </c>
      <c r="D645" t="str">
        <f>"120310787"</f>
        <v>120310787</v>
      </c>
      <c r="E645" t="s">
        <v>10003</v>
      </c>
      <c r="F645" s="1">
        <v>44090</v>
      </c>
      <c r="G645" t="str">
        <f>"300080"</f>
        <v>300080</v>
      </c>
      <c r="H645" t="s">
        <v>2907</v>
      </c>
      <c r="I645">
        <v>202824</v>
      </c>
    </row>
    <row r="646" spans="1:9" x14ac:dyDescent="0.25">
      <c r="A646" t="s">
        <v>9616</v>
      </c>
      <c r="C646" t="s">
        <v>9617</v>
      </c>
      <c r="D646" t="str">
        <f>"400120"</f>
        <v>400120</v>
      </c>
      <c r="E646" t="s">
        <v>10000</v>
      </c>
      <c r="F646" s="1">
        <v>44090</v>
      </c>
      <c r="G646" t="str">
        <f>"300101"</f>
        <v>300101</v>
      </c>
      <c r="H646" t="s">
        <v>2926</v>
      </c>
      <c r="I646">
        <v>3668.49</v>
      </c>
    </row>
    <row r="647" spans="1:9" x14ac:dyDescent="0.25">
      <c r="A647" t="s">
        <v>9616</v>
      </c>
      <c r="C647" t="s">
        <v>9617</v>
      </c>
      <c r="D647" t="str">
        <f>"38769"</f>
        <v>38769</v>
      </c>
      <c r="E647" t="s">
        <v>10004</v>
      </c>
      <c r="F647" s="1">
        <v>44091</v>
      </c>
      <c r="G647" t="str">
        <f>"300043"</f>
        <v>300043</v>
      </c>
      <c r="H647" t="s">
        <v>2876</v>
      </c>
      <c r="I647">
        <v>1108</v>
      </c>
    </row>
    <row r="648" spans="1:9" x14ac:dyDescent="0.25">
      <c r="A648" t="s">
        <v>9616</v>
      </c>
      <c r="C648" t="s">
        <v>9617</v>
      </c>
      <c r="D648" t="str">
        <f>"38776"</f>
        <v>38776</v>
      </c>
      <c r="E648" t="s">
        <v>10005</v>
      </c>
      <c r="F648" s="1">
        <v>44091</v>
      </c>
      <c r="G648" t="str">
        <f>"300043"</f>
        <v>300043</v>
      </c>
      <c r="H648" t="s">
        <v>2876</v>
      </c>
      <c r="I648">
        <v>440</v>
      </c>
    </row>
    <row r="649" spans="1:9" x14ac:dyDescent="0.25">
      <c r="A649" t="s">
        <v>9616</v>
      </c>
      <c r="C649" t="s">
        <v>9617</v>
      </c>
      <c r="D649" t="str">
        <f>"39033"</f>
        <v>39033</v>
      </c>
      <c r="E649" t="s">
        <v>10006</v>
      </c>
      <c r="F649" s="1">
        <v>44091</v>
      </c>
      <c r="G649" t="str">
        <f>"300043"</f>
        <v>300043</v>
      </c>
      <c r="H649" t="s">
        <v>2876</v>
      </c>
      <c r="I649">
        <v>682</v>
      </c>
    </row>
    <row r="650" spans="1:9" x14ac:dyDescent="0.25">
      <c r="A650" t="s">
        <v>9616</v>
      </c>
      <c r="C650" t="s">
        <v>9617</v>
      </c>
      <c r="D650" t="str">
        <f>"400020"</f>
        <v>400020</v>
      </c>
      <c r="E650" t="s">
        <v>10005</v>
      </c>
      <c r="F650" s="1">
        <v>44091</v>
      </c>
      <c r="G650" t="str">
        <f>"300101"</f>
        <v>300101</v>
      </c>
      <c r="H650" t="s">
        <v>2926</v>
      </c>
      <c r="I650">
        <v>3360.82</v>
      </c>
    </row>
    <row r="651" spans="1:9" x14ac:dyDescent="0.25">
      <c r="A651" t="s">
        <v>9616</v>
      </c>
      <c r="C651" t="s">
        <v>9617</v>
      </c>
      <c r="D651" t="str">
        <f>"412320"</f>
        <v>412320</v>
      </c>
      <c r="E651" t="s">
        <v>10004</v>
      </c>
      <c r="F651" s="1">
        <v>44091</v>
      </c>
      <c r="G651" t="str">
        <f>"300101"</f>
        <v>300101</v>
      </c>
      <c r="H651" t="s">
        <v>2926</v>
      </c>
      <c r="I651">
        <v>3360.82</v>
      </c>
    </row>
    <row r="652" spans="1:9" x14ac:dyDescent="0.25">
      <c r="A652" t="s">
        <v>9616</v>
      </c>
      <c r="C652" t="s">
        <v>9617</v>
      </c>
      <c r="D652" t="str">
        <f>"412420"</f>
        <v>412420</v>
      </c>
      <c r="E652" t="s">
        <v>10006</v>
      </c>
      <c r="F652" s="1">
        <v>44091</v>
      </c>
      <c r="G652" t="str">
        <f>"300101"</f>
        <v>300101</v>
      </c>
      <c r="H652" t="s">
        <v>2926</v>
      </c>
      <c r="I652">
        <v>3839.39</v>
      </c>
    </row>
    <row r="653" spans="1:9" x14ac:dyDescent="0.25">
      <c r="A653" t="s">
        <v>9616</v>
      </c>
      <c r="C653" t="s">
        <v>9617</v>
      </c>
      <c r="D653" t="str">
        <f>"2005550"</f>
        <v>2005550</v>
      </c>
      <c r="E653" t="s">
        <v>10007</v>
      </c>
      <c r="F653" s="1">
        <v>44092</v>
      </c>
      <c r="G653" t="str">
        <f>"300064"</f>
        <v>300064</v>
      </c>
      <c r="H653" t="s">
        <v>2896</v>
      </c>
      <c r="I653">
        <v>120110</v>
      </c>
    </row>
    <row r="654" spans="1:9" x14ac:dyDescent="0.25">
      <c r="A654" t="s">
        <v>9616</v>
      </c>
      <c r="C654" t="s">
        <v>9617</v>
      </c>
      <c r="D654" t="str">
        <f>"2005551"</f>
        <v>2005551</v>
      </c>
      <c r="E654" t="s">
        <v>9337</v>
      </c>
      <c r="F654" s="1">
        <v>44092</v>
      </c>
      <c r="G654" t="str">
        <f>"300064"</f>
        <v>300064</v>
      </c>
      <c r="H654" t="s">
        <v>2896</v>
      </c>
      <c r="I654">
        <v>10386.1</v>
      </c>
    </row>
    <row r="655" spans="1:9" x14ac:dyDescent="0.25">
      <c r="A655" t="s">
        <v>9616</v>
      </c>
      <c r="C655" t="s">
        <v>9617</v>
      </c>
      <c r="D655" t="s">
        <v>10008</v>
      </c>
      <c r="E655" t="s">
        <v>9629</v>
      </c>
      <c r="F655" s="1">
        <v>44095</v>
      </c>
      <c r="G655" t="str">
        <f>"300133"</f>
        <v>300133</v>
      </c>
      <c r="H655" t="s">
        <v>2955</v>
      </c>
      <c r="I655">
        <v>45123</v>
      </c>
    </row>
    <row r="656" spans="1:9" x14ac:dyDescent="0.25">
      <c r="A656" t="s">
        <v>9616</v>
      </c>
      <c r="C656" t="s">
        <v>9617</v>
      </c>
      <c r="D656" t="str">
        <f>"10125595"</f>
        <v>10125595</v>
      </c>
      <c r="E656" t="s">
        <v>10009</v>
      </c>
      <c r="F656" s="1">
        <v>44096</v>
      </c>
      <c r="G656" t="str">
        <f>"300115"</f>
        <v>300115</v>
      </c>
      <c r="H656" t="s">
        <v>2938</v>
      </c>
      <c r="I656">
        <v>275583.429</v>
      </c>
    </row>
    <row r="657" spans="1:9" x14ac:dyDescent="0.25">
      <c r="A657" t="s">
        <v>9616</v>
      </c>
      <c r="C657" t="s">
        <v>9617</v>
      </c>
      <c r="D657" t="s">
        <v>10010</v>
      </c>
      <c r="E657" t="s">
        <v>9562</v>
      </c>
      <c r="F657" s="1">
        <v>44096</v>
      </c>
      <c r="G657" t="str">
        <f>"300133"</f>
        <v>300133</v>
      </c>
      <c r="H657" t="s">
        <v>2955</v>
      </c>
      <c r="I657">
        <v>61020</v>
      </c>
    </row>
    <row r="658" spans="1:9" x14ac:dyDescent="0.25">
      <c r="A658" t="s">
        <v>9616</v>
      </c>
      <c r="C658" t="s">
        <v>9617</v>
      </c>
      <c r="D658" t="str">
        <f>"2005668"</f>
        <v>2005668</v>
      </c>
      <c r="E658" s="2">
        <v>46027</v>
      </c>
      <c r="F658" s="1">
        <v>44098</v>
      </c>
      <c r="G658" t="str">
        <f>"300064"</f>
        <v>300064</v>
      </c>
      <c r="H658" t="s">
        <v>2896</v>
      </c>
      <c r="I658">
        <v>95940</v>
      </c>
    </row>
    <row r="659" spans="1:9" x14ac:dyDescent="0.25">
      <c r="A659" t="s">
        <v>9616</v>
      </c>
      <c r="C659" t="s">
        <v>9617</v>
      </c>
      <c r="D659" t="str">
        <f>"10125690"</f>
        <v>10125690</v>
      </c>
      <c r="E659" t="s">
        <v>9172</v>
      </c>
      <c r="F659" s="1">
        <v>44098</v>
      </c>
      <c r="G659" t="str">
        <f>"300115"</f>
        <v>300115</v>
      </c>
      <c r="H659" t="s">
        <v>2938</v>
      </c>
      <c r="I659">
        <v>145109.14000000001</v>
      </c>
    </row>
    <row r="660" spans="1:9" x14ac:dyDescent="0.25">
      <c r="A660" t="s">
        <v>9616</v>
      </c>
      <c r="C660" t="s">
        <v>9617</v>
      </c>
      <c r="D660" t="str">
        <f>"44333"</f>
        <v>44333</v>
      </c>
      <c r="E660" t="s">
        <v>10011</v>
      </c>
      <c r="F660" s="1">
        <v>44099</v>
      </c>
      <c r="G660" t="str">
        <f>"300043"</f>
        <v>300043</v>
      </c>
      <c r="H660" t="s">
        <v>2876</v>
      </c>
      <c r="I660">
        <v>1081</v>
      </c>
    </row>
    <row r="661" spans="1:9" x14ac:dyDescent="0.25">
      <c r="A661" t="s">
        <v>9616</v>
      </c>
      <c r="C661" t="s">
        <v>9617</v>
      </c>
      <c r="D661" t="str">
        <f>"009175"</f>
        <v>009175</v>
      </c>
      <c r="E661" t="s">
        <v>10012</v>
      </c>
      <c r="F661" s="1">
        <v>44099</v>
      </c>
      <c r="G661" t="str">
        <f>"300087"</f>
        <v>300087</v>
      </c>
      <c r="H661" t="s">
        <v>2913</v>
      </c>
      <c r="I661">
        <v>4183.7299999999996</v>
      </c>
    </row>
    <row r="662" spans="1:9" x14ac:dyDescent="0.25">
      <c r="A662" t="s">
        <v>9616</v>
      </c>
      <c r="C662" t="s">
        <v>9617</v>
      </c>
      <c r="D662" t="str">
        <f>"441120"</f>
        <v>441120</v>
      </c>
      <c r="E662" t="s">
        <v>10011</v>
      </c>
      <c r="F662" s="1">
        <v>44099</v>
      </c>
      <c r="G662" t="str">
        <f>"300101"</f>
        <v>300101</v>
      </c>
      <c r="H662" t="s">
        <v>2926</v>
      </c>
      <c r="I662">
        <v>3333.2</v>
      </c>
    </row>
    <row r="663" spans="1:9" x14ac:dyDescent="0.25">
      <c r="A663" t="s">
        <v>9616</v>
      </c>
      <c r="C663" t="s">
        <v>9617</v>
      </c>
      <c r="D663" t="str">
        <f>"10125735"</f>
        <v>10125735</v>
      </c>
      <c r="E663" t="s">
        <v>1928</v>
      </c>
      <c r="F663" s="1">
        <v>44099</v>
      </c>
      <c r="G663" t="str">
        <f>"300115"</f>
        <v>300115</v>
      </c>
      <c r="H663" t="s">
        <v>2938</v>
      </c>
      <c r="I663">
        <v>82908.87</v>
      </c>
    </row>
    <row r="664" spans="1:9" x14ac:dyDescent="0.25">
      <c r="A664" t="s">
        <v>9616</v>
      </c>
      <c r="C664" t="s">
        <v>9617</v>
      </c>
      <c r="D664" t="s">
        <v>10013</v>
      </c>
      <c r="E664" t="s">
        <v>10014</v>
      </c>
      <c r="F664" s="1">
        <v>44099</v>
      </c>
      <c r="G664" t="str">
        <f>"300133"</f>
        <v>300133</v>
      </c>
      <c r="H664" t="s">
        <v>2955</v>
      </c>
      <c r="I664">
        <v>16319.64</v>
      </c>
    </row>
    <row r="665" spans="1:9" x14ac:dyDescent="0.25">
      <c r="A665" t="s">
        <v>9616</v>
      </c>
      <c r="C665" t="s">
        <v>9617</v>
      </c>
      <c r="D665" t="s">
        <v>10015</v>
      </c>
      <c r="E665" t="s">
        <v>10016</v>
      </c>
      <c r="F665" s="1">
        <v>44100</v>
      </c>
      <c r="G665" t="str">
        <f>"300092"</f>
        <v>300092</v>
      </c>
      <c r="H665" t="s">
        <v>2160</v>
      </c>
      <c r="I665">
        <v>36683.9</v>
      </c>
    </row>
    <row r="666" spans="1:9" x14ac:dyDescent="0.25">
      <c r="A666" t="s">
        <v>9616</v>
      </c>
      <c r="C666" t="s">
        <v>9617</v>
      </c>
      <c r="D666" t="str">
        <f>"441520"</f>
        <v>441520</v>
      </c>
      <c r="E666" t="s">
        <v>10017</v>
      </c>
      <c r="F666" s="1">
        <v>44102</v>
      </c>
      <c r="G666" t="str">
        <f>"300101"</f>
        <v>300101</v>
      </c>
      <c r="H666" t="s">
        <v>2926</v>
      </c>
      <c r="I666">
        <v>3806.95</v>
      </c>
    </row>
    <row r="667" spans="1:9" x14ac:dyDescent="0.25">
      <c r="A667" t="s">
        <v>9616</v>
      </c>
      <c r="C667" t="s">
        <v>9617</v>
      </c>
      <c r="D667" t="str">
        <f>"38692021"</f>
        <v>38692021</v>
      </c>
      <c r="E667" t="s">
        <v>10000</v>
      </c>
      <c r="F667" s="1">
        <v>44102</v>
      </c>
      <c r="G667" t="str">
        <f>"300101"</f>
        <v>300101</v>
      </c>
      <c r="H667" t="s">
        <v>2926</v>
      </c>
      <c r="I667">
        <v>181.09</v>
      </c>
    </row>
    <row r="668" spans="1:9" x14ac:dyDescent="0.25">
      <c r="A668" t="s">
        <v>9616</v>
      </c>
      <c r="C668" t="s">
        <v>9617</v>
      </c>
      <c r="D668" t="str">
        <f>"35721"</f>
        <v>35721</v>
      </c>
      <c r="E668" t="s">
        <v>10018</v>
      </c>
      <c r="F668" s="1">
        <v>44103</v>
      </c>
      <c r="G668" t="str">
        <f>"300043"</f>
        <v>300043</v>
      </c>
      <c r="H668" t="s">
        <v>2876</v>
      </c>
      <c r="I668">
        <v>436</v>
      </c>
    </row>
    <row r="669" spans="1:9" x14ac:dyDescent="0.25">
      <c r="A669" t="s">
        <v>9616</v>
      </c>
      <c r="C669" t="s">
        <v>9617</v>
      </c>
      <c r="D669" t="str">
        <f>"40766"</f>
        <v>40766</v>
      </c>
      <c r="E669" t="s">
        <v>10017</v>
      </c>
      <c r="F669" s="1">
        <v>44103</v>
      </c>
      <c r="G669" t="str">
        <f>"300043"</f>
        <v>300043</v>
      </c>
      <c r="H669" t="s">
        <v>2876</v>
      </c>
      <c r="I669">
        <v>641</v>
      </c>
    </row>
    <row r="670" spans="1:9" x14ac:dyDescent="0.25">
      <c r="A670" t="s">
        <v>9616</v>
      </c>
      <c r="C670" t="s">
        <v>9617</v>
      </c>
      <c r="D670" t="str">
        <f>"441020"</f>
        <v>441020</v>
      </c>
      <c r="E670" t="s">
        <v>10018</v>
      </c>
      <c r="F670" s="1">
        <v>44103</v>
      </c>
      <c r="G670" t="str">
        <f>"300101"</f>
        <v>300101</v>
      </c>
      <c r="H670" t="s">
        <v>2926</v>
      </c>
      <c r="I670">
        <v>3491.52</v>
      </c>
    </row>
    <row r="671" spans="1:9" x14ac:dyDescent="0.25">
      <c r="A671" t="s">
        <v>9616</v>
      </c>
      <c r="C671" t="s">
        <v>9617</v>
      </c>
      <c r="D671" t="str">
        <f>"10125819"</f>
        <v>10125819</v>
      </c>
      <c r="E671" t="s">
        <v>9633</v>
      </c>
      <c r="F671" s="1">
        <v>44103</v>
      </c>
      <c r="G671" t="str">
        <f>"300115"</f>
        <v>300115</v>
      </c>
      <c r="H671" t="s">
        <v>2938</v>
      </c>
      <c r="I671">
        <v>34817.904000000002</v>
      </c>
    </row>
    <row r="672" spans="1:9" x14ac:dyDescent="0.25">
      <c r="A672" t="s">
        <v>9616</v>
      </c>
      <c r="C672" t="s">
        <v>9617</v>
      </c>
      <c r="D672" t="str">
        <f>"10125820"</f>
        <v>10125820</v>
      </c>
      <c r="E672" t="s">
        <v>10019</v>
      </c>
      <c r="F672" s="1">
        <v>44103</v>
      </c>
      <c r="G672" t="str">
        <f>"300115"</f>
        <v>300115</v>
      </c>
      <c r="H672" t="s">
        <v>2938</v>
      </c>
      <c r="I672">
        <v>79160.366999999998</v>
      </c>
    </row>
    <row r="673" spans="1:9" x14ac:dyDescent="0.25">
      <c r="A673" t="s">
        <v>9616</v>
      </c>
      <c r="C673" t="s">
        <v>9617</v>
      </c>
      <c r="D673" t="str">
        <f>"2005863"</f>
        <v>2005863</v>
      </c>
      <c r="E673" t="s">
        <v>10020</v>
      </c>
      <c r="F673" s="1">
        <v>44104</v>
      </c>
      <c r="G673" t="str">
        <f>"300064"</f>
        <v>300064</v>
      </c>
      <c r="H673" t="s">
        <v>2896</v>
      </c>
      <c r="I673">
        <v>35209.599999999999</v>
      </c>
    </row>
    <row r="674" spans="1:9" x14ac:dyDescent="0.25">
      <c r="A674" t="s">
        <v>9616</v>
      </c>
      <c r="C674" t="s">
        <v>9617</v>
      </c>
      <c r="D674" t="str">
        <f>"2005864"</f>
        <v>2005864</v>
      </c>
      <c r="E674" t="s">
        <v>10021</v>
      </c>
      <c r="F674" s="1">
        <v>44104</v>
      </c>
      <c r="G674" t="str">
        <f>"300064"</f>
        <v>300064</v>
      </c>
      <c r="H674" t="s">
        <v>2896</v>
      </c>
      <c r="I674">
        <v>67731.199999999997</v>
      </c>
    </row>
    <row r="675" spans="1:9" x14ac:dyDescent="0.25">
      <c r="A675" t="s">
        <v>9616</v>
      </c>
      <c r="C675" t="s">
        <v>9617</v>
      </c>
      <c r="D675" t="str">
        <f>"220310188"</f>
        <v>220310188</v>
      </c>
      <c r="E675" t="s">
        <v>10022</v>
      </c>
      <c r="F675" s="1">
        <v>44104</v>
      </c>
      <c r="G675" t="str">
        <f>"300080"</f>
        <v>300080</v>
      </c>
      <c r="H675" t="s">
        <v>2907</v>
      </c>
      <c r="I675">
        <v>7776</v>
      </c>
    </row>
    <row r="676" spans="1:9" x14ac:dyDescent="0.25">
      <c r="A676" t="s">
        <v>9616</v>
      </c>
      <c r="C676" t="s">
        <v>9617</v>
      </c>
      <c r="D676" t="s">
        <v>10023</v>
      </c>
      <c r="E676" t="s">
        <v>9674</v>
      </c>
      <c r="F676" s="1">
        <v>44104</v>
      </c>
      <c r="G676" t="str">
        <f>"300092"</f>
        <v>300092</v>
      </c>
      <c r="H676" t="s">
        <v>2160</v>
      </c>
      <c r="I676">
        <v>42900</v>
      </c>
    </row>
    <row r="677" spans="1:9" x14ac:dyDescent="0.25">
      <c r="A677" t="s">
        <v>9616</v>
      </c>
      <c r="C677" t="s">
        <v>9617</v>
      </c>
      <c r="D677" t="str">
        <f>"2005908"</f>
        <v>2005908</v>
      </c>
      <c r="E677" t="s">
        <v>10024</v>
      </c>
      <c r="F677" s="1">
        <v>44105</v>
      </c>
      <c r="G677" t="str">
        <f>"300064"</f>
        <v>300064</v>
      </c>
      <c r="H677" t="s">
        <v>2896</v>
      </c>
      <c r="I677">
        <v>63518</v>
      </c>
    </row>
    <row r="678" spans="1:9" x14ac:dyDescent="0.25">
      <c r="A678" t="s">
        <v>9616</v>
      </c>
      <c r="C678" t="s">
        <v>9617</v>
      </c>
      <c r="D678" t="str">
        <f>"10125900"</f>
        <v>10125900</v>
      </c>
      <c r="E678" t="s">
        <v>8907</v>
      </c>
      <c r="F678" s="1">
        <v>44105</v>
      </c>
      <c r="G678" t="str">
        <f>"300115"</f>
        <v>300115</v>
      </c>
      <c r="H678" t="s">
        <v>2938</v>
      </c>
      <c r="I678">
        <v>283948.79700000002</v>
      </c>
    </row>
    <row r="679" spans="1:9" x14ac:dyDescent="0.25">
      <c r="A679" t="s">
        <v>9616</v>
      </c>
      <c r="C679" t="s">
        <v>9617</v>
      </c>
      <c r="D679" t="s">
        <v>10025</v>
      </c>
      <c r="E679" t="s">
        <v>9629</v>
      </c>
      <c r="F679" s="1">
        <v>44106</v>
      </c>
      <c r="G679" t="str">
        <f>"300133"</f>
        <v>300133</v>
      </c>
      <c r="H679" t="s">
        <v>2955</v>
      </c>
      <c r="I679">
        <v>26613</v>
      </c>
    </row>
    <row r="680" spans="1:9" x14ac:dyDescent="0.25">
      <c r="A680" t="s">
        <v>9616</v>
      </c>
      <c r="C680" t="s">
        <v>9617</v>
      </c>
      <c r="D680" t="s">
        <v>10026</v>
      </c>
      <c r="E680" t="s">
        <v>10027</v>
      </c>
      <c r="F680" s="1">
        <v>44106</v>
      </c>
      <c r="G680" t="str">
        <f>"300133"</f>
        <v>300133</v>
      </c>
      <c r="H680" t="s">
        <v>2955</v>
      </c>
      <c r="I680">
        <v>10392</v>
      </c>
    </row>
    <row r="681" spans="1:9" x14ac:dyDescent="0.25">
      <c r="A681" t="s">
        <v>9616</v>
      </c>
      <c r="C681" t="s">
        <v>9617</v>
      </c>
      <c r="D681" t="str">
        <f>"9199"</f>
        <v>9199</v>
      </c>
      <c r="E681" t="s">
        <v>10028</v>
      </c>
      <c r="F681" s="1">
        <v>44109</v>
      </c>
      <c r="G681" t="str">
        <f>"300043"</f>
        <v>300043</v>
      </c>
      <c r="H681" t="s">
        <v>2876</v>
      </c>
      <c r="I681">
        <v>1118</v>
      </c>
    </row>
    <row r="682" spans="1:9" x14ac:dyDescent="0.25">
      <c r="A682" t="s">
        <v>9616</v>
      </c>
      <c r="C682" t="s">
        <v>9617</v>
      </c>
      <c r="D682" t="str">
        <f>"2005949"</f>
        <v>2005949</v>
      </c>
      <c r="E682" t="s">
        <v>10029</v>
      </c>
      <c r="F682" s="1">
        <v>44109</v>
      </c>
      <c r="G682" t="str">
        <f>"300064"</f>
        <v>300064</v>
      </c>
      <c r="H682" t="s">
        <v>2896</v>
      </c>
      <c r="I682">
        <v>19362</v>
      </c>
    </row>
    <row r="683" spans="1:9" x14ac:dyDescent="0.25">
      <c r="A683" t="s">
        <v>9616</v>
      </c>
      <c r="C683" t="s">
        <v>9617</v>
      </c>
      <c r="D683" t="str">
        <f>"220310189"</f>
        <v>220310189</v>
      </c>
      <c r="E683" t="s">
        <v>10030</v>
      </c>
      <c r="F683" s="1">
        <v>44109</v>
      </c>
      <c r="G683" t="str">
        <f>"300080"</f>
        <v>300080</v>
      </c>
      <c r="H683" t="s">
        <v>2907</v>
      </c>
      <c r="I683">
        <v>5184</v>
      </c>
    </row>
    <row r="684" spans="1:9" x14ac:dyDescent="0.25">
      <c r="A684" t="s">
        <v>9616</v>
      </c>
      <c r="C684" t="s">
        <v>9617</v>
      </c>
      <c r="D684" t="str">
        <f>"441720"</f>
        <v>441720</v>
      </c>
      <c r="E684" t="s">
        <v>10028</v>
      </c>
      <c r="F684" s="1">
        <v>44109</v>
      </c>
      <c r="G684" t="str">
        <f>"300101"</f>
        <v>300101</v>
      </c>
      <c r="H684" t="s">
        <v>2926</v>
      </c>
      <c r="I684">
        <v>3190.07</v>
      </c>
    </row>
    <row r="685" spans="1:9" x14ac:dyDescent="0.25">
      <c r="A685" t="s">
        <v>9616</v>
      </c>
      <c r="C685" t="s">
        <v>9617</v>
      </c>
      <c r="D685" t="str">
        <f>"10126019"</f>
        <v>10126019</v>
      </c>
      <c r="E685" t="s">
        <v>9191</v>
      </c>
      <c r="F685" s="1">
        <v>44109</v>
      </c>
      <c r="G685" t="str">
        <f>"300115"</f>
        <v>300115</v>
      </c>
      <c r="H685" t="s">
        <v>2938</v>
      </c>
      <c r="I685">
        <v>111355.0515</v>
      </c>
    </row>
    <row r="686" spans="1:9" x14ac:dyDescent="0.25">
      <c r="A686" t="s">
        <v>9616</v>
      </c>
      <c r="C686" t="s">
        <v>9617</v>
      </c>
      <c r="D686" t="s">
        <v>10031</v>
      </c>
      <c r="E686" t="s">
        <v>9971</v>
      </c>
      <c r="F686" s="1">
        <v>44109</v>
      </c>
      <c r="G686" t="str">
        <f>"300133"</f>
        <v>300133</v>
      </c>
      <c r="H686" t="s">
        <v>2955</v>
      </c>
      <c r="I686">
        <v>21564.68</v>
      </c>
    </row>
    <row r="687" spans="1:9" x14ac:dyDescent="0.25">
      <c r="A687" t="s">
        <v>9616</v>
      </c>
      <c r="C687" t="s">
        <v>9617</v>
      </c>
      <c r="D687" t="str">
        <f>"10126018"</f>
        <v>10126018</v>
      </c>
      <c r="E687" t="s">
        <v>2566</v>
      </c>
      <c r="F687" s="1">
        <v>44110</v>
      </c>
      <c r="G687" t="str">
        <f>"300115"</f>
        <v>300115</v>
      </c>
      <c r="H687" t="s">
        <v>2938</v>
      </c>
      <c r="I687">
        <v>194782.89600000001</v>
      </c>
    </row>
    <row r="688" spans="1:9" x14ac:dyDescent="0.25">
      <c r="A688" t="s">
        <v>9616</v>
      </c>
      <c r="C688" t="s">
        <v>9617</v>
      </c>
      <c r="D688" t="str">
        <f>"10126022"</f>
        <v>10126022</v>
      </c>
      <c r="E688" t="s">
        <v>9183</v>
      </c>
      <c r="F688" s="1">
        <v>44110</v>
      </c>
      <c r="G688" t="str">
        <f>"300115"</f>
        <v>300115</v>
      </c>
      <c r="H688" t="s">
        <v>2938</v>
      </c>
      <c r="I688">
        <v>138061.57199999999</v>
      </c>
    </row>
    <row r="689" spans="1:9" x14ac:dyDescent="0.25">
      <c r="A689" t="s">
        <v>9616</v>
      </c>
      <c r="C689" t="s">
        <v>9617</v>
      </c>
      <c r="D689" t="str">
        <f>"108421"</f>
        <v>108421</v>
      </c>
      <c r="E689" t="s">
        <v>10012</v>
      </c>
      <c r="F689" s="1">
        <v>44112</v>
      </c>
      <c r="G689" t="str">
        <f>"300043"</f>
        <v>300043</v>
      </c>
      <c r="H689" t="s">
        <v>2876</v>
      </c>
      <c r="I689">
        <v>561</v>
      </c>
    </row>
    <row r="690" spans="1:9" x14ac:dyDescent="0.25">
      <c r="A690" t="s">
        <v>9616</v>
      </c>
      <c r="C690" t="s">
        <v>9617</v>
      </c>
      <c r="D690" t="str">
        <f>"2006036"</f>
        <v>2006036</v>
      </c>
      <c r="E690" t="s">
        <v>10029</v>
      </c>
      <c r="F690" s="1">
        <v>44112</v>
      </c>
      <c r="G690" t="str">
        <f>"300064"</f>
        <v>300064</v>
      </c>
      <c r="H690" t="s">
        <v>2896</v>
      </c>
      <c r="I690">
        <v>21408</v>
      </c>
    </row>
    <row r="691" spans="1:9" x14ac:dyDescent="0.25">
      <c r="A691" t="s">
        <v>9616</v>
      </c>
      <c r="C691" t="s">
        <v>9617</v>
      </c>
      <c r="D691" t="s">
        <v>10032</v>
      </c>
      <c r="E691" t="s">
        <v>10033</v>
      </c>
      <c r="F691" s="1">
        <v>44112</v>
      </c>
      <c r="G691" t="str">
        <f>"300092"</f>
        <v>300092</v>
      </c>
      <c r="H691" t="s">
        <v>2160</v>
      </c>
      <c r="I691">
        <v>13522</v>
      </c>
    </row>
    <row r="692" spans="1:9" x14ac:dyDescent="0.25">
      <c r="A692" t="s">
        <v>9616</v>
      </c>
      <c r="C692" t="s">
        <v>9617</v>
      </c>
      <c r="D692" t="str">
        <f>"440820"</f>
        <v>440820</v>
      </c>
      <c r="E692" t="s">
        <v>10006</v>
      </c>
      <c r="F692" s="1">
        <v>44112</v>
      </c>
      <c r="G692" t="str">
        <f>"300101"</f>
        <v>300101</v>
      </c>
      <c r="H692" t="s">
        <v>2926</v>
      </c>
      <c r="I692">
        <v>158.72</v>
      </c>
    </row>
    <row r="693" spans="1:9" x14ac:dyDescent="0.25">
      <c r="A693" t="s">
        <v>9616</v>
      </c>
      <c r="C693" t="s">
        <v>9617</v>
      </c>
      <c r="D693" t="s">
        <v>10034</v>
      </c>
      <c r="E693" t="s">
        <v>9629</v>
      </c>
      <c r="F693" s="1">
        <v>44112</v>
      </c>
      <c r="G693" t="str">
        <f>"300133"</f>
        <v>300133</v>
      </c>
      <c r="H693" t="s">
        <v>2955</v>
      </c>
      <c r="I693">
        <v>23166</v>
      </c>
    </row>
    <row r="694" spans="1:9" x14ac:dyDescent="0.25">
      <c r="A694" t="s">
        <v>9616</v>
      </c>
      <c r="C694" t="s">
        <v>9617</v>
      </c>
      <c r="D694" t="s">
        <v>10035</v>
      </c>
      <c r="E694" t="s">
        <v>9629</v>
      </c>
      <c r="F694" s="1">
        <v>44112</v>
      </c>
      <c r="G694" t="str">
        <f>"300133"</f>
        <v>300133</v>
      </c>
      <c r="H694" t="s">
        <v>2955</v>
      </c>
      <c r="I694">
        <v>53625.599999999999</v>
      </c>
    </row>
    <row r="695" spans="1:9" x14ac:dyDescent="0.25">
      <c r="A695" t="s">
        <v>9616</v>
      </c>
      <c r="C695" t="s">
        <v>9617</v>
      </c>
      <c r="D695" t="str">
        <f>"20247144"</f>
        <v>20247144</v>
      </c>
      <c r="E695" t="s">
        <v>10036</v>
      </c>
      <c r="F695" s="1">
        <v>44113</v>
      </c>
      <c r="G695" t="str">
        <f>"300043"</f>
        <v>300043</v>
      </c>
      <c r="H695" t="s">
        <v>2876</v>
      </c>
      <c r="I695">
        <v>2552</v>
      </c>
    </row>
    <row r="696" spans="1:9" x14ac:dyDescent="0.25">
      <c r="A696" t="s">
        <v>9616</v>
      </c>
      <c r="C696" t="s">
        <v>9617</v>
      </c>
      <c r="D696" t="str">
        <f>"20247145"</f>
        <v>20247145</v>
      </c>
      <c r="E696" t="s">
        <v>10037</v>
      </c>
      <c r="F696" s="1">
        <v>44113</v>
      </c>
      <c r="G696" t="str">
        <f>"300043"</f>
        <v>300043</v>
      </c>
      <c r="H696" t="s">
        <v>2876</v>
      </c>
      <c r="I696">
        <v>532</v>
      </c>
    </row>
    <row r="697" spans="1:9" x14ac:dyDescent="0.25">
      <c r="A697" t="s">
        <v>9616</v>
      </c>
      <c r="C697" t="s">
        <v>9617</v>
      </c>
      <c r="D697" t="str">
        <f>"20247147"</f>
        <v>20247147</v>
      </c>
      <c r="E697" t="s">
        <v>10038</v>
      </c>
      <c r="F697" s="1">
        <v>44113</v>
      </c>
      <c r="G697" t="str">
        <f>"300043"</f>
        <v>300043</v>
      </c>
      <c r="H697" t="s">
        <v>2876</v>
      </c>
      <c r="I697">
        <v>621</v>
      </c>
    </row>
    <row r="698" spans="1:9" x14ac:dyDescent="0.25">
      <c r="A698" t="s">
        <v>9616</v>
      </c>
      <c r="C698" t="s">
        <v>9617</v>
      </c>
      <c r="D698" t="str">
        <f>"458220"</f>
        <v>458220</v>
      </c>
      <c r="E698" t="s">
        <v>10037</v>
      </c>
      <c r="F698" s="1">
        <v>44113</v>
      </c>
      <c r="G698" t="str">
        <f>"300101"</f>
        <v>300101</v>
      </c>
      <c r="H698" t="s">
        <v>2926</v>
      </c>
      <c r="I698">
        <v>3346.56</v>
      </c>
    </row>
    <row r="699" spans="1:9" x14ac:dyDescent="0.25">
      <c r="A699" t="s">
        <v>9616</v>
      </c>
      <c r="C699" t="s">
        <v>9617</v>
      </c>
      <c r="D699" t="str">
        <f>"458320"</f>
        <v>458320</v>
      </c>
      <c r="E699" t="s">
        <v>10038</v>
      </c>
      <c r="F699" s="1">
        <v>44113</v>
      </c>
      <c r="G699" t="str">
        <f>"300101"</f>
        <v>300101</v>
      </c>
      <c r="H699" t="s">
        <v>2926</v>
      </c>
      <c r="I699">
        <v>3346.56</v>
      </c>
    </row>
    <row r="700" spans="1:9" x14ac:dyDescent="0.25">
      <c r="A700" t="s">
        <v>9616</v>
      </c>
      <c r="C700" t="s">
        <v>9617</v>
      </c>
      <c r="D700" t="str">
        <f>"458420"</f>
        <v>458420</v>
      </c>
      <c r="E700" t="s">
        <v>10036</v>
      </c>
      <c r="F700" s="1">
        <v>44113</v>
      </c>
      <c r="G700" t="str">
        <f>"300101"</f>
        <v>300101</v>
      </c>
      <c r="H700" t="s">
        <v>2926</v>
      </c>
      <c r="I700">
        <v>3346.56</v>
      </c>
    </row>
    <row r="701" spans="1:9" x14ac:dyDescent="0.25">
      <c r="A701" t="s">
        <v>9616</v>
      </c>
      <c r="C701" t="s">
        <v>9617</v>
      </c>
      <c r="D701" t="str">
        <f>"20247176"</f>
        <v>20247176</v>
      </c>
      <c r="E701" t="s">
        <v>10039</v>
      </c>
      <c r="F701" s="1">
        <v>44116</v>
      </c>
      <c r="G701" t="str">
        <f>"300043"</f>
        <v>300043</v>
      </c>
      <c r="H701" t="s">
        <v>2876</v>
      </c>
      <c r="I701">
        <v>541</v>
      </c>
    </row>
    <row r="702" spans="1:9" x14ac:dyDescent="0.25">
      <c r="A702" t="s">
        <v>9616</v>
      </c>
      <c r="C702" t="s">
        <v>9617</v>
      </c>
      <c r="D702" t="str">
        <f>"446820"</f>
        <v>446820</v>
      </c>
      <c r="E702" t="s">
        <v>10028</v>
      </c>
      <c r="F702" s="1">
        <v>44116</v>
      </c>
      <c r="G702" t="str">
        <f>"300101"</f>
        <v>300101</v>
      </c>
      <c r="H702" t="s">
        <v>2926</v>
      </c>
      <c r="I702">
        <v>475.53</v>
      </c>
    </row>
    <row r="703" spans="1:9" x14ac:dyDescent="0.25">
      <c r="A703" t="s">
        <v>9616</v>
      </c>
      <c r="C703" t="s">
        <v>9617</v>
      </c>
      <c r="D703" t="str">
        <f>"458120"</f>
        <v>458120</v>
      </c>
      <c r="E703" t="s">
        <v>10039</v>
      </c>
      <c r="F703" s="1">
        <v>44116</v>
      </c>
      <c r="G703" t="str">
        <f>"300101"</f>
        <v>300101</v>
      </c>
      <c r="H703" t="s">
        <v>2926</v>
      </c>
      <c r="I703">
        <v>4922.0200000000004</v>
      </c>
    </row>
    <row r="704" spans="1:9" x14ac:dyDescent="0.25">
      <c r="A704" t="s">
        <v>9616</v>
      </c>
      <c r="C704" t="s">
        <v>9617</v>
      </c>
      <c r="D704" t="s">
        <v>10040</v>
      </c>
      <c r="E704" t="s">
        <v>10041</v>
      </c>
      <c r="F704" s="1">
        <v>44118</v>
      </c>
      <c r="G704" t="str">
        <f>"300133"</f>
        <v>300133</v>
      </c>
      <c r="H704" t="s">
        <v>2955</v>
      </c>
      <c r="I704">
        <v>27533</v>
      </c>
    </row>
    <row r="705" spans="1:9" x14ac:dyDescent="0.25">
      <c r="A705" t="s">
        <v>9616</v>
      </c>
      <c r="C705" t="s">
        <v>9617</v>
      </c>
      <c r="D705" t="str">
        <f>"2006199"</f>
        <v>2006199</v>
      </c>
      <c r="E705" t="s">
        <v>10029</v>
      </c>
      <c r="F705" s="1">
        <v>44119</v>
      </c>
      <c r="G705" t="str">
        <f>"300064"</f>
        <v>300064</v>
      </c>
      <c r="H705" t="s">
        <v>2896</v>
      </c>
      <c r="I705">
        <v>43080</v>
      </c>
    </row>
    <row r="706" spans="1:9" x14ac:dyDescent="0.25">
      <c r="A706" t="s">
        <v>9616</v>
      </c>
      <c r="C706" t="s">
        <v>9617</v>
      </c>
      <c r="D706" t="str">
        <f>"2006247"</f>
        <v>2006247</v>
      </c>
      <c r="E706" t="s">
        <v>9714</v>
      </c>
      <c r="F706" s="1">
        <v>44120</v>
      </c>
      <c r="G706" t="str">
        <f>"300064"</f>
        <v>300064</v>
      </c>
      <c r="H706" t="s">
        <v>2896</v>
      </c>
      <c r="I706">
        <v>75939.600000000006</v>
      </c>
    </row>
    <row r="707" spans="1:9" x14ac:dyDescent="0.25">
      <c r="A707" t="s">
        <v>9616</v>
      </c>
      <c r="C707" t="s">
        <v>9617</v>
      </c>
      <c r="D707" t="str">
        <f>"2006248"</f>
        <v>2006248</v>
      </c>
      <c r="E707" t="s">
        <v>9243</v>
      </c>
      <c r="F707" s="1">
        <v>44120</v>
      </c>
      <c r="G707" t="str">
        <f>"300064"</f>
        <v>300064</v>
      </c>
      <c r="H707" t="s">
        <v>2896</v>
      </c>
      <c r="I707">
        <v>44376</v>
      </c>
    </row>
    <row r="708" spans="1:9" x14ac:dyDescent="0.25">
      <c r="A708" t="s">
        <v>9616</v>
      </c>
      <c r="C708" t="s">
        <v>9617</v>
      </c>
      <c r="D708" t="s">
        <v>10042</v>
      </c>
      <c r="E708" t="s">
        <v>9729</v>
      </c>
      <c r="F708" s="1">
        <v>44120</v>
      </c>
      <c r="G708" t="str">
        <f>"300092"</f>
        <v>300092</v>
      </c>
      <c r="H708" t="s">
        <v>2160</v>
      </c>
      <c r="I708">
        <v>64225.4</v>
      </c>
    </row>
    <row r="709" spans="1:9" x14ac:dyDescent="0.25">
      <c r="A709" t="s">
        <v>9616</v>
      </c>
      <c r="C709" t="s">
        <v>9617</v>
      </c>
      <c r="D709" t="str">
        <f>"457620"</f>
        <v>457620</v>
      </c>
      <c r="E709" t="s">
        <v>9991</v>
      </c>
      <c r="F709" s="1">
        <v>44120</v>
      </c>
      <c r="G709" t="str">
        <f>"300101"</f>
        <v>300101</v>
      </c>
      <c r="H709" t="s">
        <v>2926</v>
      </c>
      <c r="I709">
        <v>159.36000000000001</v>
      </c>
    </row>
    <row r="710" spans="1:9" x14ac:dyDescent="0.25">
      <c r="A710" t="s">
        <v>9616</v>
      </c>
      <c r="C710" t="s">
        <v>9617</v>
      </c>
      <c r="D710" t="str">
        <f>"10126380"</f>
        <v>10126380</v>
      </c>
      <c r="E710" t="s">
        <v>2172</v>
      </c>
      <c r="F710" s="1">
        <v>44120</v>
      </c>
      <c r="G710" t="str">
        <f>"300115"</f>
        <v>300115</v>
      </c>
      <c r="H710" t="s">
        <v>2938</v>
      </c>
      <c r="I710">
        <v>281794.55699999997</v>
      </c>
    </row>
    <row r="711" spans="1:9" x14ac:dyDescent="0.25">
      <c r="A711" t="s">
        <v>9616</v>
      </c>
      <c r="C711" t="s">
        <v>9617</v>
      </c>
      <c r="D711" t="str">
        <f>"10126382"</f>
        <v>10126382</v>
      </c>
      <c r="E711" t="s">
        <v>10043</v>
      </c>
      <c r="F711" s="1">
        <v>44120</v>
      </c>
      <c r="G711" t="str">
        <f>"300115"</f>
        <v>300115</v>
      </c>
      <c r="H711" t="s">
        <v>2938</v>
      </c>
      <c r="I711">
        <v>176784.56400000001</v>
      </c>
    </row>
    <row r="712" spans="1:9" x14ac:dyDescent="0.25">
      <c r="A712" t="s">
        <v>9616</v>
      </c>
      <c r="C712" t="s">
        <v>9617</v>
      </c>
      <c r="D712" t="str">
        <f>"10126383"</f>
        <v>10126383</v>
      </c>
      <c r="E712" t="s">
        <v>10044</v>
      </c>
      <c r="F712" s="1">
        <v>44120</v>
      </c>
      <c r="G712" t="str">
        <f>"300115"</f>
        <v>300115</v>
      </c>
      <c r="H712" t="s">
        <v>2938</v>
      </c>
      <c r="I712">
        <v>107981.77499999999</v>
      </c>
    </row>
    <row r="713" spans="1:9" x14ac:dyDescent="0.25">
      <c r="A713" t="s">
        <v>9616</v>
      </c>
      <c r="C713" t="s">
        <v>9617</v>
      </c>
      <c r="D713" t="str">
        <f>"2006294"</f>
        <v>2006294</v>
      </c>
      <c r="E713" t="s">
        <v>10045</v>
      </c>
      <c r="F713" s="1">
        <v>44123</v>
      </c>
      <c r="G713" t="str">
        <f>"300064"</f>
        <v>300064</v>
      </c>
      <c r="H713" t="s">
        <v>2896</v>
      </c>
      <c r="I713">
        <v>91140</v>
      </c>
    </row>
    <row r="714" spans="1:9" x14ac:dyDescent="0.25">
      <c r="A714" t="s">
        <v>9616</v>
      </c>
      <c r="C714" t="s">
        <v>9617</v>
      </c>
      <c r="D714" t="str">
        <f>"120310886"</f>
        <v>120310886</v>
      </c>
      <c r="E714" t="s">
        <v>10046</v>
      </c>
      <c r="F714" s="1">
        <v>44123</v>
      </c>
      <c r="G714" t="str">
        <f>"300080"</f>
        <v>300080</v>
      </c>
      <c r="H714" t="s">
        <v>2907</v>
      </c>
      <c r="I714">
        <v>116424</v>
      </c>
    </row>
    <row r="715" spans="1:9" x14ac:dyDescent="0.25">
      <c r="A715" t="s">
        <v>9616</v>
      </c>
      <c r="C715" t="s">
        <v>9617</v>
      </c>
      <c r="D715" t="str">
        <f>"10126384"</f>
        <v>10126384</v>
      </c>
      <c r="E715" t="s">
        <v>2172</v>
      </c>
      <c r="F715" s="1">
        <v>44123</v>
      </c>
      <c r="G715" t="str">
        <f>"300115"</f>
        <v>300115</v>
      </c>
      <c r="H715" t="s">
        <v>2938</v>
      </c>
      <c r="I715">
        <v>281794.55699999997</v>
      </c>
    </row>
    <row r="716" spans="1:9" x14ac:dyDescent="0.25">
      <c r="A716" t="s">
        <v>9616</v>
      </c>
      <c r="C716" t="s">
        <v>9617</v>
      </c>
      <c r="D716" t="str">
        <f>"10126385"</f>
        <v>10126385</v>
      </c>
      <c r="E716" t="s">
        <v>9249</v>
      </c>
      <c r="F716" s="1">
        <v>44123</v>
      </c>
      <c r="G716" t="str">
        <f>"300115"</f>
        <v>300115</v>
      </c>
      <c r="H716" t="s">
        <v>2938</v>
      </c>
      <c r="I716">
        <v>150602.1</v>
      </c>
    </row>
    <row r="717" spans="1:9" x14ac:dyDescent="0.25">
      <c r="A717" t="s">
        <v>9616</v>
      </c>
      <c r="C717" t="s">
        <v>9617</v>
      </c>
      <c r="D717" t="str">
        <f>"20247796"</f>
        <v>20247796</v>
      </c>
      <c r="E717" t="s">
        <v>10047</v>
      </c>
      <c r="F717" s="1">
        <v>44124</v>
      </c>
      <c r="G717" t="str">
        <f>"300043"</f>
        <v>300043</v>
      </c>
      <c r="H717" t="s">
        <v>2876</v>
      </c>
      <c r="I717">
        <v>1089</v>
      </c>
    </row>
    <row r="718" spans="1:9" x14ac:dyDescent="0.25">
      <c r="A718" t="s">
        <v>9616</v>
      </c>
      <c r="C718" t="s">
        <v>9617</v>
      </c>
      <c r="D718" t="str">
        <f>"476820"</f>
        <v>476820</v>
      </c>
      <c r="E718" t="s">
        <v>10047</v>
      </c>
      <c r="F718" s="1">
        <v>44124</v>
      </c>
      <c r="G718" t="str">
        <f>"300101"</f>
        <v>300101</v>
      </c>
      <c r="H718" t="s">
        <v>2926</v>
      </c>
      <c r="I718">
        <v>3333.64</v>
      </c>
    </row>
    <row r="719" spans="1:9" x14ac:dyDescent="0.25">
      <c r="A719" t="s">
        <v>9616</v>
      </c>
      <c r="C719" t="s">
        <v>9617</v>
      </c>
      <c r="D719" t="str">
        <f>"20247795"</f>
        <v>20247795</v>
      </c>
      <c r="E719" t="s">
        <v>10048</v>
      </c>
      <c r="F719" s="1">
        <v>44125</v>
      </c>
      <c r="G719" t="str">
        <f>"300043"</f>
        <v>300043</v>
      </c>
      <c r="H719" t="s">
        <v>2876</v>
      </c>
      <c r="I719">
        <v>2805</v>
      </c>
    </row>
    <row r="720" spans="1:9" x14ac:dyDescent="0.25">
      <c r="A720" t="s">
        <v>9616</v>
      </c>
      <c r="C720" t="s">
        <v>9617</v>
      </c>
      <c r="D720" t="str">
        <f>"476920"</f>
        <v>476920</v>
      </c>
      <c r="E720" t="s">
        <v>10048</v>
      </c>
      <c r="F720" s="1">
        <v>44125</v>
      </c>
      <c r="G720" t="str">
        <f>"300101"</f>
        <v>300101</v>
      </c>
      <c r="H720" t="s">
        <v>2926</v>
      </c>
      <c r="I720">
        <v>3336.88</v>
      </c>
    </row>
    <row r="721" spans="1:9" x14ac:dyDescent="0.25">
      <c r="A721" t="s">
        <v>9616</v>
      </c>
      <c r="C721" t="s">
        <v>9617</v>
      </c>
      <c r="D721" t="str">
        <f>"10126463"</f>
        <v>10126463</v>
      </c>
      <c r="E721" t="s">
        <v>1928</v>
      </c>
      <c r="F721" s="1">
        <v>44125</v>
      </c>
      <c r="G721" t="str">
        <f>"300115"</f>
        <v>300115</v>
      </c>
      <c r="H721" t="s">
        <v>2938</v>
      </c>
      <c r="I721">
        <v>69822.720000000001</v>
      </c>
    </row>
    <row r="722" spans="1:9" x14ac:dyDescent="0.25">
      <c r="A722" t="s">
        <v>9616</v>
      </c>
      <c r="C722" t="s">
        <v>9617</v>
      </c>
      <c r="D722" t="str">
        <f>"10126466"</f>
        <v>10126466</v>
      </c>
      <c r="E722" t="s">
        <v>9748</v>
      </c>
      <c r="F722" s="1">
        <v>44125</v>
      </c>
      <c r="G722" t="str">
        <f>"300115"</f>
        <v>300115</v>
      </c>
      <c r="H722" t="s">
        <v>2938</v>
      </c>
      <c r="I722">
        <v>135073.27900000001</v>
      </c>
    </row>
    <row r="723" spans="1:9" x14ac:dyDescent="0.25">
      <c r="A723" t="s">
        <v>9616</v>
      </c>
      <c r="C723" t="s">
        <v>9617</v>
      </c>
      <c r="D723" t="str">
        <f>"10126467"</f>
        <v>10126467</v>
      </c>
      <c r="E723" t="s">
        <v>10049</v>
      </c>
      <c r="F723" s="1">
        <v>44125</v>
      </c>
      <c r="G723" t="str">
        <f>"300115"</f>
        <v>300115</v>
      </c>
      <c r="H723" t="s">
        <v>2938</v>
      </c>
      <c r="I723">
        <v>135073.27900000001</v>
      </c>
    </row>
    <row r="724" spans="1:9" x14ac:dyDescent="0.25">
      <c r="A724" t="s">
        <v>9616</v>
      </c>
      <c r="C724" t="s">
        <v>9617</v>
      </c>
      <c r="D724" t="s">
        <v>10050</v>
      </c>
      <c r="E724" t="s">
        <v>10051</v>
      </c>
      <c r="F724" s="1">
        <v>44125</v>
      </c>
      <c r="G724" t="str">
        <f>"300133"</f>
        <v>300133</v>
      </c>
      <c r="H724" t="s">
        <v>2955</v>
      </c>
      <c r="I724">
        <v>38240</v>
      </c>
    </row>
    <row r="725" spans="1:9" x14ac:dyDescent="0.25">
      <c r="A725" t="s">
        <v>9616</v>
      </c>
      <c r="C725" t="s">
        <v>9617</v>
      </c>
      <c r="D725" t="str">
        <f>"45296"</f>
        <v>45296</v>
      </c>
      <c r="E725" t="s">
        <v>10052</v>
      </c>
      <c r="F725" s="1">
        <v>44126</v>
      </c>
      <c r="G725" t="str">
        <f>"300043"</f>
        <v>300043</v>
      </c>
      <c r="H725" t="s">
        <v>2876</v>
      </c>
      <c r="I725">
        <v>661</v>
      </c>
    </row>
    <row r="726" spans="1:9" x14ac:dyDescent="0.25">
      <c r="A726" t="s">
        <v>9616</v>
      </c>
      <c r="C726" t="s">
        <v>9617</v>
      </c>
      <c r="D726" t="str">
        <f>"477020"</f>
        <v>477020</v>
      </c>
      <c r="E726" t="s">
        <v>10052</v>
      </c>
      <c r="F726" s="1">
        <v>44126</v>
      </c>
      <c r="G726" t="str">
        <f>"300101"</f>
        <v>300101</v>
      </c>
      <c r="H726" t="s">
        <v>2926</v>
      </c>
      <c r="I726">
        <v>3342.93</v>
      </c>
    </row>
    <row r="727" spans="1:9" x14ac:dyDescent="0.25">
      <c r="A727" t="s">
        <v>9616</v>
      </c>
      <c r="C727" t="s">
        <v>9617</v>
      </c>
      <c r="D727" t="str">
        <f>"20247901"</f>
        <v>20247901</v>
      </c>
      <c r="E727" t="s">
        <v>10053</v>
      </c>
      <c r="F727" s="1">
        <v>44127</v>
      </c>
      <c r="G727" t="str">
        <f>"300043"</f>
        <v>300043</v>
      </c>
      <c r="H727" t="s">
        <v>2876</v>
      </c>
      <c r="I727">
        <v>3444</v>
      </c>
    </row>
    <row r="728" spans="1:9" x14ac:dyDescent="0.25">
      <c r="A728" t="s">
        <v>9616</v>
      </c>
      <c r="C728" t="s">
        <v>9617</v>
      </c>
      <c r="D728" t="str">
        <f>"477120"</f>
        <v>477120</v>
      </c>
      <c r="E728" t="s">
        <v>10053</v>
      </c>
      <c r="F728" s="1">
        <v>44127</v>
      </c>
      <c r="G728" t="str">
        <f>"300101"</f>
        <v>300101</v>
      </c>
      <c r="H728" t="s">
        <v>2926</v>
      </c>
      <c r="I728">
        <v>3498.14</v>
      </c>
    </row>
    <row r="729" spans="1:9" x14ac:dyDescent="0.25">
      <c r="A729" t="s">
        <v>9616</v>
      </c>
      <c r="C729" t="s">
        <v>9617</v>
      </c>
      <c r="D729" t="str">
        <f>"10126584"</f>
        <v>10126584</v>
      </c>
      <c r="E729" t="s">
        <v>9633</v>
      </c>
      <c r="F729" s="1">
        <v>44127</v>
      </c>
      <c r="G729" t="str">
        <f>"300115"</f>
        <v>300115</v>
      </c>
      <c r="H729" t="s">
        <v>2938</v>
      </c>
      <c r="I729">
        <v>132621.58799999999</v>
      </c>
    </row>
    <row r="730" spans="1:9" x14ac:dyDescent="0.25">
      <c r="A730" t="s">
        <v>9616</v>
      </c>
      <c r="C730" t="s">
        <v>9617</v>
      </c>
      <c r="D730" t="str">
        <f>"10126586"</f>
        <v>10126586</v>
      </c>
      <c r="E730" t="s">
        <v>10054</v>
      </c>
      <c r="F730" s="1">
        <v>44127</v>
      </c>
      <c r="G730" t="str">
        <f>"300115"</f>
        <v>300115</v>
      </c>
      <c r="H730" t="s">
        <v>2938</v>
      </c>
      <c r="I730">
        <v>81099.721999999994</v>
      </c>
    </row>
    <row r="731" spans="1:9" x14ac:dyDescent="0.25">
      <c r="A731" t="s">
        <v>9616</v>
      </c>
      <c r="C731" t="s">
        <v>9617</v>
      </c>
      <c r="D731" t="s">
        <v>10055</v>
      </c>
      <c r="E731" t="s">
        <v>9565</v>
      </c>
      <c r="F731" s="1">
        <v>44127</v>
      </c>
      <c r="G731" t="str">
        <f>"300133"</f>
        <v>300133</v>
      </c>
      <c r="H731" t="s">
        <v>2955</v>
      </c>
      <c r="I731">
        <v>40339.5</v>
      </c>
    </row>
    <row r="732" spans="1:9" x14ac:dyDescent="0.25">
      <c r="A732" t="s">
        <v>9616</v>
      </c>
      <c r="C732" t="s">
        <v>9617</v>
      </c>
      <c r="D732" t="s">
        <v>10056</v>
      </c>
      <c r="E732" t="s">
        <v>10051</v>
      </c>
      <c r="F732" s="1">
        <v>44127</v>
      </c>
      <c r="G732" t="str">
        <f>"300133"</f>
        <v>300133</v>
      </c>
      <c r="H732" t="s">
        <v>2955</v>
      </c>
      <c r="I732">
        <v>7200</v>
      </c>
    </row>
    <row r="733" spans="1:9" x14ac:dyDescent="0.25">
      <c r="A733" t="s">
        <v>9616</v>
      </c>
      <c r="C733" t="s">
        <v>9617</v>
      </c>
      <c r="D733" t="s">
        <v>10057</v>
      </c>
      <c r="E733" t="s">
        <v>10012</v>
      </c>
      <c r="F733" s="1">
        <v>44127</v>
      </c>
      <c r="G733" t="str">
        <f>"300301"</f>
        <v>300301</v>
      </c>
      <c r="H733" t="s">
        <v>3043</v>
      </c>
      <c r="I733">
        <v>4859.62</v>
      </c>
    </row>
    <row r="734" spans="1:9" x14ac:dyDescent="0.25">
      <c r="A734" t="s">
        <v>9616</v>
      </c>
      <c r="C734" t="s">
        <v>9617</v>
      </c>
      <c r="D734" t="str">
        <f>"10126588"</f>
        <v>10126588</v>
      </c>
      <c r="E734" t="s">
        <v>9189</v>
      </c>
      <c r="F734" s="1">
        <v>44128</v>
      </c>
      <c r="G734" t="str">
        <f>"300115"</f>
        <v>300115</v>
      </c>
      <c r="H734" t="s">
        <v>2938</v>
      </c>
      <c r="I734">
        <v>341372.22899999999</v>
      </c>
    </row>
    <row r="735" spans="1:9" x14ac:dyDescent="0.25">
      <c r="A735" t="s">
        <v>9616</v>
      </c>
      <c r="C735" t="s">
        <v>9617</v>
      </c>
      <c r="D735" t="str">
        <f>"45800"</f>
        <v>45800</v>
      </c>
      <c r="E735" t="s">
        <v>10058</v>
      </c>
      <c r="F735" s="1">
        <v>44130</v>
      </c>
      <c r="G735" t="str">
        <f>"300043"</f>
        <v>300043</v>
      </c>
      <c r="H735" t="s">
        <v>2876</v>
      </c>
      <c r="I735">
        <v>391</v>
      </c>
    </row>
    <row r="736" spans="1:9" x14ac:dyDescent="0.25">
      <c r="A736" t="s">
        <v>9616</v>
      </c>
      <c r="C736" t="s">
        <v>9617</v>
      </c>
      <c r="D736" t="str">
        <f>"496020"</f>
        <v>496020</v>
      </c>
      <c r="E736" t="s">
        <v>10058</v>
      </c>
      <c r="F736" s="1">
        <v>44130</v>
      </c>
      <c r="G736" t="str">
        <f>"300101"</f>
        <v>300101</v>
      </c>
      <c r="H736" t="s">
        <v>2926</v>
      </c>
      <c r="I736">
        <v>3810.62</v>
      </c>
    </row>
    <row r="737" spans="1:9" x14ac:dyDescent="0.25">
      <c r="A737" t="s">
        <v>9616</v>
      </c>
      <c r="C737" t="s">
        <v>9617</v>
      </c>
      <c r="D737" t="str">
        <f>"10126590"</f>
        <v>10126590</v>
      </c>
      <c r="E737" t="s">
        <v>10059</v>
      </c>
      <c r="F737" s="1">
        <v>44130</v>
      </c>
      <c r="G737" t="str">
        <f>"300115"</f>
        <v>300115</v>
      </c>
      <c r="H737" t="s">
        <v>2938</v>
      </c>
      <c r="I737">
        <v>281794.55699999997</v>
      </c>
    </row>
    <row r="738" spans="1:9" x14ac:dyDescent="0.25">
      <c r="A738" t="s">
        <v>9616</v>
      </c>
      <c r="C738" t="s">
        <v>9617</v>
      </c>
      <c r="D738" t="str">
        <f>"20247902"</f>
        <v>20247902</v>
      </c>
      <c r="E738" t="s">
        <v>10060</v>
      </c>
      <c r="F738" s="1">
        <v>44131</v>
      </c>
      <c r="G738" t="str">
        <f>"300043"</f>
        <v>300043</v>
      </c>
      <c r="H738" t="s">
        <v>2876</v>
      </c>
      <c r="I738">
        <v>1049</v>
      </c>
    </row>
    <row r="739" spans="1:9" x14ac:dyDescent="0.25">
      <c r="A739" t="s">
        <v>9616</v>
      </c>
      <c r="C739" t="s">
        <v>9617</v>
      </c>
      <c r="D739" t="str">
        <f>"495920"</f>
        <v>495920</v>
      </c>
      <c r="E739" t="s">
        <v>10060</v>
      </c>
      <c r="F739" s="1">
        <v>44131</v>
      </c>
      <c r="G739" t="str">
        <f>"300101"</f>
        <v>300101</v>
      </c>
      <c r="H739" t="s">
        <v>2926</v>
      </c>
      <c r="I739">
        <v>3179.91</v>
      </c>
    </row>
    <row r="740" spans="1:9" x14ac:dyDescent="0.25">
      <c r="A740" t="s">
        <v>9616</v>
      </c>
      <c r="C740" t="s">
        <v>9617</v>
      </c>
      <c r="D740" t="str">
        <f>"20246847"</f>
        <v>20246847</v>
      </c>
      <c r="E740" t="s">
        <v>10028</v>
      </c>
      <c r="F740" s="1">
        <v>44132</v>
      </c>
      <c r="G740" t="str">
        <f>"300043"</f>
        <v>300043</v>
      </c>
      <c r="H740" t="s">
        <v>2876</v>
      </c>
      <c r="I740">
        <v>1118</v>
      </c>
    </row>
    <row r="741" spans="1:9" x14ac:dyDescent="0.25">
      <c r="A741" t="s">
        <v>9616</v>
      </c>
      <c r="C741" t="s">
        <v>9617</v>
      </c>
      <c r="D741" t="str">
        <f>"20247903"</f>
        <v>20247903</v>
      </c>
      <c r="E741" t="s">
        <v>10061</v>
      </c>
      <c r="F741" s="1">
        <v>44132</v>
      </c>
      <c r="G741" t="str">
        <f>"300043"</f>
        <v>300043</v>
      </c>
      <c r="H741" t="s">
        <v>2876</v>
      </c>
      <c r="I741">
        <v>868</v>
      </c>
    </row>
    <row r="742" spans="1:9" x14ac:dyDescent="0.25">
      <c r="A742" t="s">
        <v>9616</v>
      </c>
      <c r="C742" t="s">
        <v>9617</v>
      </c>
      <c r="D742" t="str">
        <f>"20248249"</f>
        <v>20248249</v>
      </c>
      <c r="E742" t="s">
        <v>10062</v>
      </c>
      <c r="F742" s="1">
        <v>44132</v>
      </c>
      <c r="G742" t="str">
        <f>"300043"</f>
        <v>300043</v>
      </c>
      <c r="H742" t="s">
        <v>2876</v>
      </c>
      <c r="I742">
        <v>3186</v>
      </c>
    </row>
    <row r="743" spans="1:9" x14ac:dyDescent="0.25">
      <c r="A743" t="s">
        <v>9616</v>
      </c>
      <c r="C743" t="s">
        <v>9617</v>
      </c>
      <c r="D743" t="str">
        <f>"20248250"</f>
        <v>20248250</v>
      </c>
      <c r="E743" t="s">
        <v>10063</v>
      </c>
      <c r="F743" s="1">
        <v>44132</v>
      </c>
      <c r="G743" t="str">
        <f>"300043"</f>
        <v>300043</v>
      </c>
      <c r="H743" t="s">
        <v>2876</v>
      </c>
      <c r="I743">
        <v>1090</v>
      </c>
    </row>
    <row r="744" spans="1:9" x14ac:dyDescent="0.25">
      <c r="A744" t="s">
        <v>9616</v>
      </c>
      <c r="C744" t="s">
        <v>9617</v>
      </c>
      <c r="D744" t="str">
        <f>"494320"</f>
        <v>494320</v>
      </c>
      <c r="E744" t="s">
        <v>10062</v>
      </c>
      <c r="F744" s="1">
        <v>44132</v>
      </c>
      <c r="G744" t="str">
        <f>"300101"</f>
        <v>300101</v>
      </c>
      <c r="H744" t="s">
        <v>2926</v>
      </c>
      <c r="I744">
        <v>3135.86</v>
      </c>
    </row>
    <row r="745" spans="1:9" x14ac:dyDescent="0.25">
      <c r="A745" t="s">
        <v>9616</v>
      </c>
      <c r="C745" t="s">
        <v>9617</v>
      </c>
      <c r="D745" t="str">
        <f>"495720"</f>
        <v>495720</v>
      </c>
      <c r="E745" t="s">
        <v>10063</v>
      </c>
      <c r="F745" s="1">
        <v>44132</v>
      </c>
      <c r="G745" t="str">
        <f>"300101"</f>
        <v>300101</v>
      </c>
      <c r="H745" t="s">
        <v>2926</v>
      </c>
      <c r="I745">
        <v>4434.92</v>
      </c>
    </row>
    <row r="746" spans="1:9" x14ac:dyDescent="0.25">
      <c r="A746" t="s">
        <v>9616</v>
      </c>
      <c r="C746" t="s">
        <v>9617</v>
      </c>
      <c r="D746" t="str">
        <f>"496120"</f>
        <v>496120</v>
      </c>
      <c r="E746" t="s">
        <v>10061</v>
      </c>
      <c r="F746" s="1">
        <v>44132</v>
      </c>
      <c r="G746" t="str">
        <f>"300101"</f>
        <v>300101</v>
      </c>
      <c r="H746" t="s">
        <v>2926</v>
      </c>
      <c r="I746">
        <v>4115.49</v>
      </c>
    </row>
    <row r="747" spans="1:9" x14ac:dyDescent="0.25">
      <c r="A747" t="s">
        <v>9616</v>
      </c>
      <c r="C747" t="s">
        <v>9617</v>
      </c>
      <c r="D747" t="str">
        <f>"10126743"</f>
        <v>10126743</v>
      </c>
      <c r="E747" t="s">
        <v>9189</v>
      </c>
      <c r="F747" s="1">
        <v>44134</v>
      </c>
      <c r="G747" t="str">
        <f>"300115"</f>
        <v>300115</v>
      </c>
      <c r="H747" t="s">
        <v>2938</v>
      </c>
      <c r="I747">
        <v>283948.79700000002</v>
      </c>
    </row>
    <row r="748" spans="1:9" x14ac:dyDescent="0.25">
      <c r="A748" t="s">
        <v>9616</v>
      </c>
      <c r="C748" t="s">
        <v>9617</v>
      </c>
      <c r="D748" t="str">
        <f>"2006564"</f>
        <v>2006564</v>
      </c>
      <c r="E748" s="2">
        <v>46027</v>
      </c>
      <c r="F748" s="1">
        <v>44137</v>
      </c>
      <c r="G748" t="str">
        <f>"300064"</f>
        <v>300064</v>
      </c>
      <c r="H748" t="s">
        <v>2896</v>
      </c>
      <c r="I748">
        <v>65160</v>
      </c>
    </row>
    <row r="749" spans="1:9" x14ac:dyDescent="0.25">
      <c r="A749" t="s">
        <v>9616</v>
      </c>
      <c r="C749" t="s">
        <v>9617</v>
      </c>
      <c r="D749" t="str">
        <f>"2006565"</f>
        <v>2006565</v>
      </c>
      <c r="E749" t="s">
        <v>9266</v>
      </c>
      <c r="F749" s="1">
        <v>44137</v>
      </c>
      <c r="G749" t="str">
        <f>"300064"</f>
        <v>300064</v>
      </c>
      <c r="H749" t="s">
        <v>2896</v>
      </c>
      <c r="I749">
        <v>28564</v>
      </c>
    </row>
    <row r="750" spans="1:9" x14ac:dyDescent="0.25">
      <c r="A750" t="s">
        <v>9616</v>
      </c>
      <c r="C750" t="s">
        <v>9617</v>
      </c>
      <c r="D750" t="str">
        <f>"10126781"</f>
        <v>10126781</v>
      </c>
      <c r="E750" t="s">
        <v>9189</v>
      </c>
      <c r="F750" s="1">
        <v>44137</v>
      </c>
      <c r="G750" t="str">
        <f>"300115"</f>
        <v>300115</v>
      </c>
      <c r="H750" t="s">
        <v>2938</v>
      </c>
      <c r="I750">
        <v>283948.79700000002</v>
      </c>
    </row>
    <row r="751" spans="1:9" x14ac:dyDescent="0.25">
      <c r="A751" t="s">
        <v>9616</v>
      </c>
      <c r="C751" t="s">
        <v>9617</v>
      </c>
      <c r="D751" t="str">
        <f>"10126785"</f>
        <v>10126785</v>
      </c>
      <c r="E751" t="s">
        <v>9172</v>
      </c>
      <c r="F751" s="1">
        <v>44137</v>
      </c>
      <c r="G751" t="str">
        <f>"300115"</f>
        <v>300115</v>
      </c>
      <c r="H751" t="s">
        <v>2938</v>
      </c>
      <c r="I751">
        <v>145109.14000000001</v>
      </c>
    </row>
    <row r="752" spans="1:9" x14ac:dyDescent="0.25">
      <c r="A752" t="s">
        <v>9616</v>
      </c>
      <c r="C752" t="s">
        <v>9617</v>
      </c>
      <c r="D752" t="s">
        <v>10064</v>
      </c>
      <c r="E752" t="s">
        <v>10064</v>
      </c>
      <c r="F752" s="1">
        <v>44138</v>
      </c>
      <c r="G752" t="str">
        <f>"300092"</f>
        <v>300092</v>
      </c>
      <c r="H752" t="s">
        <v>2160</v>
      </c>
      <c r="I752">
        <v>480</v>
      </c>
    </row>
    <row r="753" spans="1:9" x14ac:dyDescent="0.25">
      <c r="A753" t="s">
        <v>9616</v>
      </c>
      <c r="C753" t="s">
        <v>9617</v>
      </c>
      <c r="D753" t="s">
        <v>10065</v>
      </c>
      <c r="E753" t="s">
        <v>9971</v>
      </c>
      <c r="F753" s="1">
        <v>44138</v>
      </c>
      <c r="G753" t="str">
        <f>"300133"</f>
        <v>300133</v>
      </c>
      <c r="H753" t="s">
        <v>2955</v>
      </c>
      <c r="I753">
        <v>17750</v>
      </c>
    </row>
    <row r="754" spans="1:9" x14ac:dyDescent="0.25">
      <c r="A754" t="s">
        <v>9616</v>
      </c>
      <c r="C754" t="s">
        <v>9617</v>
      </c>
      <c r="D754" t="str">
        <f>"10126853"</f>
        <v>10126853</v>
      </c>
      <c r="E754" t="s">
        <v>2172</v>
      </c>
      <c r="F754" s="1">
        <v>44139</v>
      </c>
      <c r="G754" t="str">
        <f>"300115"</f>
        <v>300115</v>
      </c>
      <c r="H754" t="s">
        <v>2938</v>
      </c>
      <c r="I754">
        <v>301558.44400000002</v>
      </c>
    </row>
    <row r="755" spans="1:9" x14ac:dyDescent="0.25">
      <c r="A755" t="s">
        <v>9616</v>
      </c>
      <c r="C755" t="s">
        <v>9617</v>
      </c>
      <c r="D755" t="str">
        <f>"10126854"</f>
        <v>10126854</v>
      </c>
      <c r="E755" t="s">
        <v>2172</v>
      </c>
      <c r="F755" s="1">
        <v>44139</v>
      </c>
      <c r="G755" t="str">
        <f>"300115"</f>
        <v>300115</v>
      </c>
      <c r="H755" t="s">
        <v>2938</v>
      </c>
      <c r="I755">
        <v>301558.44400000002</v>
      </c>
    </row>
    <row r="756" spans="1:9" x14ac:dyDescent="0.25">
      <c r="A756" t="s">
        <v>9616</v>
      </c>
      <c r="C756" t="s">
        <v>9617</v>
      </c>
      <c r="D756" t="str">
        <f>"20248520"</f>
        <v>20248520</v>
      </c>
      <c r="E756" t="s">
        <v>10066</v>
      </c>
      <c r="F756" s="1">
        <v>44140</v>
      </c>
      <c r="G756" t="str">
        <f>"300043"</f>
        <v>300043</v>
      </c>
      <c r="H756" t="s">
        <v>2876</v>
      </c>
      <c r="I756">
        <v>2809</v>
      </c>
    </row>
    <row r="757" spans="1:9" x14ac:dyDescent="0.25">
      <c r="A757" t="s">
        <v>9616</v>
      </c>
      <c r="C757" t="s">
        <v>9617</v>
      </c>
      <c r="D757" t="str">
        <f>"20248521"</f>
        <v>20248521</v>
      </c>
      <c r="E757" t="s">
        <v>10067</v>
      </c>
      <c r="F757" s="1">
        <v>44140</v>
      </c>
      <c r="G757" t="str">
        <f>"300043"</f>
        <v>300043</v>
      </c>
      <c r="H757" t="s">
        <v>2876</v>
      </c>
      <c r="I757">
        <v>1093</v>
      </c>
    </row>
    <row r="758" spans="1:9" x14ac:dyDescent="0.25">
      <c r="A758" t="s">
        <v>9616</v>
      </c>
      <c r="C758" t="s">
        <v>9617</v>
      </c>
      <c r="D758" t="str">
        <f>"20248522"</f>
        <v>20248522</v>
      </c>
      <c r="E758" t="s">
        <v>10068</v>
      </c>
      <c r="F758" s="1">
        <v>44140</v>
      </c>
      <c r="G758" t="str">
        <f>"300043"</f>
        <v>300043</v>
      </c>
      <c r="H758" t="s">
        <v>2876</v>
      </c>
      <c r="I758">
        <v>1093</v>
      </c>
    </row>
    <row r="759" spans="1:9" x14ac:dyDescent="0.25">
      <c r="A759" t="s">
        <v>9616</v>
      </c>
      <c r="C759" t="s">
        <v>9617</v>
      </c>
      <c r="D759" t="str">
        <f>"495820"</f>
        <v>495820</v>
      </c>
      <c r="E759" t="s">
        <v>10067</v>
      </c>
      <c r="F759" s="1">
        <v>44140</v>
      </c>
      <c r="G759" t="str">
        <f>"300101"</f>
        <v>300101</v>
      </c>
      <c r="H759" t="s">
        <v>2926</v>
      </c>
      <c r="I759">
        <v>3955.81</v>
      </c>
    </row>
    <row r="760" spans="1:9" x14ac:dyDescent="0.25">
      <c r="A760" t="s">
        <v>9616</v>
      </c>
      <c r="C760" t="s">
        <v>9617</v>
      </c>
      <c r="D760" t="str">
        <f>"496220"</f>
        <v>496220</v>
      </c>
      <c r="E760" t="s">
        <v>10068</v>
      </c>
      <c r="F760" s="1">
        <v>44140</v>
      </c>
      <c r="G760" t="str">
        <f>"300101"</f>
        <v>300101</v>
      </c>
      <c r="H760" t="s">
        <v>2926</v>
      </c>
      <c r="I760">
        <v>4434.96</v>
      </c>
    </row>
    <row r="761" spans="1:9" x14ac:dyDescent="0.25">
      <c r="A761" t="s">
        <v>9616</v>
      </c>
      <c r="C761" t="s">
        <v>9617</v>
      </c>
      <c r="D761" t="str">
        <f>"516320"</f>
        <v>516320</v>
      </c>
      <c r="E761" t="s">
        <v>10066</v>
      </c>
      <c r="F761" s="1">
        <v>44140</v>
      </c>
      <c r="G761" t="str">
        <f>"300101"</f>
        <v>300101</v>
      </c>
      <c r="H761" t="s">
        <v>2926</v>
      </c>
      <c r="I761">
        <v>3601.05</v>
      </c>
    </row>
    <row r="762" spans="1:9" x14ac:dyDescent="0.25">
      <c r="A762" t="s">
        <v>9616</v>
      </c>
      <c r="C762" t="s">
        <v>9617</v>
      </c>
      <c r="D762" t="str">
        <f>"10126884"</f>
        <v>10126884</v>
      </c>
      <c r="E762" t="s">
        <v>10069</v>
      </c>
      <c r="F762" s="1">
        <v>44140</v>
      </c>
      <c r="G762" t="str">
        <f>"300115"</f>
        <v>300115</v>
      </c>
      <c r="H762" t="s">
        <v>2938</v>
      </c>
      <c r="I762">
        <v>83419.797999999995</v>
      </c>
    </row>
    <row r="763" spans="1:9" x14ac:dyDescent="0.25">
      <c r="A763" t="s">
        <v>9616</v>
      </c>
      <c r="C763" t="s">
        <v>9617</v>
      </c>
      <c r="D763" t="str">
        <f>"10126892"</f>
        <v>10126892</v>
      </c>
      <c r="E763" t="s">
        <v>9189</v>
      </c>
      <c r="F763" s="1">
        <v>44140</v>
      </c>
      <c r="G763" t="str">
        <f>"300115"</f>
        <v>300115</v>
      </c>
      <c r="H763" t="s">
        <v>2938</v>
      </c>
      <c r="I763">
        <v>255703.8726</v>
      </c>
    </row>
    <row r="764" spans="1:9" x14ac:dyDescent="0.25">
      <c r="A764" t="s">
        <v>9616</v>
      </c>
      <c r="C764" t="s">
        <v>9617</v>
      </c>
      <c r="D764" t="str">
        <f>"10126964"</f>
        <v>10126964</v>
      </c>
      <c r="E764" t="s">
        <v>2172</v>
      </c>
      <c r="F764" s="1">
        <v>44141</v>
      </c>
      <c r="G764" t="str">
        <f>"300115"</f>
        <v>300115</v>
      </c>
      <c r="H764" t="s">
        <v>2938</v>
      </c>
      <c r="I764">
        <v>301558.44400000002</v>
      </c>
    </row>
    <row r="765" spans="1:9" x14ac:dyDescent="0.25">
      <c r="A765" t="s">
        <v>9616</v>
      </c>
      <c r="C765" t="s">
        <v>9617</v>
      </c>
      <c r="D765" t="str">
        <f>"10126967"</f>
        <v>10126967</v>
      </c>
      <c r="E765" t="s">
        <v>8852</v>
      </c>
      <c r="F765" s="1">
        <v>44144</v>
      </c>
      <c r="G765" t="str">
        <f>"300115"</f>
        <v>300115</v>
      </c>
      <c r="H765" t="s">
        <v>2938</v>
      </c>
      <c r="I765">
        <v>281794.55699999997</v>
      </c>
    </row>
    <row r="766" spans="1:9" x14ac:dyDescent="0.25">
      <c r="A766" t="s">
        <v>9616</v>
      </c>
      <c r="C766" t="s">
        <v>9617</v>
      </c>
      <c r="D766" t="str">
        <f>"10126994"</f>
        <v>10126994</v>
      </c>
      <c r="E766" t="s">
        <v>9191</v>
      </c>
      <c r="F766" s="1">
        <v>44144</v>
      </c>
      <c r="G766" t="str">
        <f>"300115"</f>
        <v>300115</v>
      </c>
      <c r="H766" t="s">
        <v>2938</v>
      </c>
      <c r="I766">
        <v>126289.02</v>
      </c>
    </row>
    <row r="767" spans="1:9" x14ac:dyDescent="0.25">
      <c r="A767" t="s">
        <v>9616</v>
      </c>
      <c r="C767" t="s">
        <v>9617</v>
      </c>
      <c r="D767" t="str">
        <f>"20249488"</f>
        <v>20249488</v>
      </c>
      <c r="E767" t="s">
        <v>10070</v>
      </c>
      <c r="F767" s="1">
        <v>44145</v>
      </c>
      <c r="G767" t="str">
        <f>"300043"</f>
        <v>300043</v>
      </c>
      <c r="H767" t="s">
        <v>2876</v>
      </c>
      <c r="I767">
        <v>3793</v>
      </c>
    </row>
    <row r="768" spans="1:9" x14ac:dyDescent="0.25">
      <c r="A768" t="s">
        <v>9616</v>
      </c>
      <c r="C768" t="s">
        <v>9617</v>
      </c>
      <c r="D768" t="str">
        <f>"20249490"</f>
        <v>20249490</v>
      </c>
      <c r="E768" t="s">
        <v>10071</v>
      </c>
      <c r="F768" s="1">
        <v>44145</v>
      </c>
      <c r="G768" t="str">
        <f>"300043"</f>
        <v>300043</v>
      </c>
      <c r="H768" t="s">
        <v>2876</v>
      </c>
      <c r="I768">
        <v>1037</v>
      </c>
    </row>
    <row r="769" spans="1:9" x14ac:dyDescent="0.25">
      <c r="A769" t="s">
        <v>9616</v>
      </c>
      <c r="C769" t="s">
        <v>9617</v>
      </c>
      <c r="D769" t="str">
        <f>"2006715"</f>
        <v>2006715</v>
      </c>
      <c r="E769" t="s">
        <v>10033</v>
      </c>
      <c r="F769" s="1">
        <v>44145</v>
      </c>
      <c r="G769" t="str">
        <f>"300064"</f>
        <v>300064</v>
      </c>
      <c r="H769" t="s">
        <v>2896</v>
      </c>
      <c r="I769">
        <v>13440</v>
      </c>
    </row>
    <row r="770" spans="1:9" x14ac:dyDescent="0.25">
      <c r="A770" t="s">
        <v>9616</v>
      </c>
      <c r="C770" t="s">
        <v>9617</v>
      </c>
      <c r="D770" t="str">
        <f>"516720"</f>
        <v>516720</v>
      </c>
      <c r="E770" t="s">
        <v>10070</v>
      </c>
      <c r="F770" s="1">
        <v>44145</v>
      </c>
      <c r="G770" t="str">
        <f>"300101"</f>
        <v>300101</v>
      </c>
      <c r="H770" t="s">
        <v>2926</v>
      </c>
      <c r="I770">
        <v>3652.36</v>
      </c>
    </row>
    <row r="771" spans="1:9" x14ac:dyDescent="0.25">
      <c r="A771" t="s">
        <v>9616</v>
      </c>
      <c r="C771" t="s">
        <v>9617</v>
      </c>
      <c r="D771" t="str">
        <f>"10126996"</f>
        <v>10126996</v>
      </c>
      <c r="E771" t="s">
        <v>9189</v>
      </c>
      <c r="F771" s="1">
        <v>44145</v>
      </c>
      <c r="G771" t="str">
        <f>"300115"</f>
        <v>300115</v>
      </c>
      <c r="H771" t="s">
        <v>2938</v>
      </c>
      <c r="I771">
        <v>259274.565</v>
      </c>
    </row>
    <row r="772" spans="1:9" x14ac:dyDescent="0.25">
      <c r="A772" t="s">
        <v>9616</v>
      </c>
      <c r="C772" t="s">
        <v>9617</v>
      </c>
      <c r="D772" t="str">
        <f>"10126998"</f>
        <v>10126998</v>
      </c>
      <c r="E772" t="s">
        <v>10072</v>
      </c>
      <c r="F772" s="1">
        <v>44145</v>
      </c>
      <c r="G772" t="str">
        <f>"300115"</f>
        <v>300115</v>
      </c>
      <c r="H772" t="s">
        <v>2938</v>
      </c>
      <c r="I772">
        <v>137744.046</v>
      </c>
    </row>
    <row r="773" spans="1:9" x14ac:dyDescent="0.25">
      <c r="A773" t="s">
        <v>9616</v>
      </c>
      <c r="C773" t="s">
        <v>9617</v>
      </c>
      <c r="D773" t="str">
        <f>"10126999"</f>
        <v>10126999</v>
      </c>
      <c r="E773" t="s">
        <v>10073</v>
      </c>
      <c r="F773" s="1">
        <v>44145</v>
      </c>
      <c r="G773" t="str">
        <f>"300115"</f>
        <v>300115</v>
      </c>
      <c r="H773" t="s">
        <v>2938</v>
      </c>
      <c r="I773">
        <v>16221.216</v>
      </c>
    </row>
    <row r="774" spans="1:9" x14ac:dyDescent="0.25">
      <c r="A774" t="s">
        <v>9616</v>
      </c>
      <c r="C774" t="s">
        <v>9617</v>
      </c>
      <c r="D774" t="str">
        <f>"48926"</f>
        <v>48926</v>
      </c>
      <c r="E774" t="s">
        <v>10074</v>
      </c>
      <c r="F774" s="1">
        <v>44146</v>
      </c>
      <c r="G774" t="str">
        <f>"300043"</f>
        <v>300043</v>
      </c>
      <c r="H774" t="s">
        <v>2876</v>
      </c>
      <c r="I774">
        <v>1048</v>
      </c>
    </row>
    <row r="775" spans="1:9" x14ac:dyDescent="0.25">
      <c r="A775" t="s">
        <v>9616</v>
      </c>
      <c r="C775" t="s">
        <v>9617</v>
      </c>
      <c r="D775" t="str">
        <f>"49011"</f>
        <v>49011</v>
      </c>
      <c r="E775" t="s">
        <v>10075</v>
      </c>
      <c r="F775" s="1">
        <v>44146</v>
      </c>
      <c r="G775" t="str">
        <f>"300043"</f>
        <v>300043</v>
      </c>
      <c r="H775" t="s">
        <v>2876</v>
      </c>
      <c r="I775">
        <v>1090</v>
      </c>
    </row>
    <row r="776" spans="1:9" x14ac:dyDescent="0.25">
      <c r="A776" t="s">
        <v>9616</v>
      </c>
      <c r="C776" t="s">
        <v>9617</v>
      </c>
      <c r="D776" t="str">
        <f>"20249489"</f>
        <v>20249489</v>
      </c>
      <c r="E776" t="s">
        <v>10076</v>
      </c>
      <c r="F776" s="1">
        <v>44146</v>
      </c>
      <c r="G776" t="str">
        <f>"300043"</f>
        <v>300043</v>
      </c>
      <c r="H776" t="s">
        <v>2876</v>
      </c>
      <c r="I776">
        <v>1154</v>
      </c>
    </row>
    <row r="777" spans="1:9" x14ac:dyDescent="0.25">
      <c r="A777" t="s">
        <v>9616</v>
      </c>
      <c r="C777" t="s">
        <v>9617</v>
      </c>
      <c r="D777" t="str">
        <f>"517720"</f>
        <v>517720</v>
      </c>
      <c r="E777" t="s">
        <v>10075</v>
      </c>
      <c r="F777" s="1">
        <v>44146</v>
      </c>
      <c r="G777" t="str">
        <f>"300101"</f>
        <v>300101</v>
      </c>
      <c r="H777" t="s">
        <v>2926</v>
      </c>
      <c r="I777">
        <v>3489.89</v>
      </c>
    </row>
    <row r="778" spans="1:9" x14ac:dyDescent="0.25">
      <c r="A778" t="s">
        <v>9616</v>
      </c>
      <c r="C778" t="s">
        <v>9617</v>
      </c>
      <c r="D778" t="str">
        <f>"517820"</f>
        <v>517820</v>
      </c>
      <c r="E778" t="s">
        <v>10076</v>
      </c>
      <c r="F778" s="1">
        <v>44146</v>
      </c>
      <c r="G778" t="str">
        <f>"300101"</f>
        <v>300101</v>
      </c>
      <c r="H778" t="s">
        <v>2926</v>
      </c>
      <c r="I778">
        <v>3489.89</v>
      </c>
    </row>
    <row r="779" spans="1:9" x14ac:dyDescent="0.25">
      <c r="A779" t="s">
        <v>9616</v>
      </c>
      <c r="C779" t="s">
        <v>9617</v>
      </c>
      <c r="D779" t="str">
        <f>"10127105"</f>
        <v>10127105</v>
      </c>
      <c r="E779" t="s">
        <v>10077</v>
      </c>
      <c r="F779" s="1">
        <v>44146</v>
      </c>
      <c r="G779" t="str">
        <f>"300115"</f>
        <v>300115</v>
      </c>
      <c r="H779" t="s">
        <v>2938</v>
      </c>
      <c r="I779">
        <v>82908.87</v>
      </c>
    </row>
    <row r="780" spans="1:9" x14ac:dyDescent="0.25">
      <c r="A780" t="s">
        <v>9616</v>
      </c>
      <c r="C780" t="s">
        <v>9617</v>
      </c>
      <c r="D780" t="str">
        <f>"48692"</f>
        <v>48692</v>
      </c>
      <c r="E780" t="s">
        <v>10078</v>
      </c>
      <c r="F780" s="1">
        <v>44147</v>
      </c>
      <c r="G780" t="str">
        <f>"300043"</f>
        <v>300043</v>
      </c>
      <c r="H780" t="s">
        <v>2876</v>
      </c>
      <c r="I780">
        <v>436</v>
      </c>
    </row>
    <row r="781" spans="1:9" x14ac:dyDescent="0.25">
      <c r="A781" t="s">
        <v>9616</v>
      </c>
      <c r="C781" t="s">
        <v>9617</v>
      </c>
      <c r="D781" t="str">
        <f>"497720"</f>
        <v>497720</v>
      </c>
      <c r="E781" t="s">
        <v>10060</v>
      </c>
      <c r="F781" s="1">
        <v>44147</v>
      </c>
      <c r="G781" t="str">
        <f>"300101"</f>
        <v>300101</v>
      </c>
      <c r="H781" t="s">
        <v>2926</v>
      </c>
      <c r="I781">
        <v>630.71</v>
      </c>
    </row>
    <row r="782" spans="1:9" x14ac:dyDescent="0.25">
      <c r="A782" t="s">
        <v>9616</v>
      </c>
      <c r="C782" t="s">
        <v>9617</v>
      </c>
      <c r="D782" t="str">
        <f>"517620"</f>
        <v>517620</v>
      </c>
      <c r="E782" t="s">
        <v>10078</v>
      </c>
      <c r="F782" s="1">
        <v>44147</v>
      </c>
      <c r="G782" t="str">
        <f>"300101"</f>
        <v>300101</v>
      </c>
      <c r="H782" t="s">
        <v>2926</v>
      </c>
      <c r="I782">
        <v>4277.47</v>
      </c>
    </row>
    <row r="783" spans="1:9" x14ac:dyDescent="0.25">
      <c r="A783" t="s">
        <v>9616</v>
      </c>
      <c r="C783" t="s">
        <v>9617</v>
      </c>
      <c r="D783" t="str">
        <f>"10127106"</f>
        <v>10127106</v>
      </c>
      <c r="E783" t="s">
        <v>9189</v>
      </c>
      <c r="F783" s="1">
        <v>44147</v>
      </c>
      <c r="G783" t="str">
        <f>"300115"</f>
        <v>300115</v>
      </c>
      <c r="H783" t="s">
        <v>2938</v>
      </c>
      <c r="I783">
        <v>275583.429</v>
      </c>
    </row>
    <row r="784" spans="1:9" x14ac:dyDescent="0.25">
      <c r="A784" t="s">
        <v>9616</v>
      </c>
      <c r="C784" t="s">
        <v>9617</v>
      </c>
      <c r="D784" t="str">
        <f>"49526"</f>
        <v>49526</v>
      </c>
      <c r="E784" t="s">
        <v>10079</v>
      </c>
      <c r="F784" s="1">
        <v>44148</v>
      </c>
      <c r="G784" t="str">
        <f>"300043"</f>
        <v>300043</v>
      </c>
      <c r="H784" t="s">
        <v>2876</v>
      </c>
      <c r="I784">
        <v>669</v>
      </c>
    </row>
    <row r="785" spans="1:9" x14ac:dyDescent="0.25">
      <c r="A785" t="s">
        <v>9616</v>
      </c>
      <c r="C785" t="s">
        <v>9617</v>
      </c>
      <c r="D785" t="s">
        <v>10080</v>
      </c>
      <c r="E785" t="s">
        <v>9858</v>
      </c>
      <c r="F785" s="1">
        <v>44148</v>
      </c>
      <c r="G785" t="str">
        <f>"300092"</f>
        <v>300092</v>
      </c>
      <c r="H785" t="s">
        <v>2160</v>
      </c>
      <c r="I785">
        <v>48138</v>
      </c>
    </row>
    <row r="786" spans="1:9" x14ac:dyDescent="0.25">
      <c r="A786" t="s">
        <v>9616</v>
      </c>
      <c r="C786" t="s">
        <v>9617</v>
      </c>
      <c r="D786" t="str">
        <f>"516520"</f>
        <v>516520</v>
      </c>
      <c r="E786" t="s">
        <v>10079</v>
      </c>
      <c r="F786" s="1">
        <v>44148</v>
      </c>
      <c r="G786" t="str">
        <f>"300101"</f>
        <v>300101</v>
      </c>
      <c r="H786" t="s">
        <v>2926</v>
      </c>
      <c r="I786">
        <v>3806.95</v>
      </c>
    </row>
    <row r="787" spans="1:9" x14ac:dyDescent="0.25">
      <c r="A787" t="s">
        <v>9616</v>
      </c>
      <c r="C787" t="s">
        <v>9617</v>
      </c>
      <c r="D787" t="str">
        <f>"20249761"</f>
        <v>20249761</v>
      </c>
      <c r="E787" t="s">
        <v>10081</v>
      </c>
      <c r="F787" s="1">
        <v>44151</v>
      </c>
      <c r="G787" t="str">
        <f>"300043"</f>
        <v>300043</v>
      </c>
      <c r="H787" t="s">
        <v>2876</v>
      </c>
      <c r="I787">
        <v>2568</v>
      </c>
    </row>
    <row r="788" spans="1:9" x14ac:dyDescent="0.25">
      <c r="A788" t="s">
        <v>9616</v>
      </c>
      <c r="C788" t="s">
        <v>9617</v>
      </c>
      <c r="D788" t="str">
        <f>"20249762"</f>
        <v>20249762</v>
      </c>
      <c r="E788" t="s">
        <v>10082</v>
      </c>
      <c r="F788" s="1">
        <v>44151</v>
      </c>
      <c r="G788" t="str">
        <f>"300043"</f>
        <v>300043</v>
      </c>
      <c r="H788" t="s">
        <v>2876</v>
      </c>
      <c r="I788">
        <v>850</v>
      </c>
    </row>
    <row r="789" spans="1:9" x14ac:dyDescent="0.25">
      <c r="A789" t="s">
        <v>9616</v>
      </c>
      <c r="C789" t="s">
        <v>9617</v>
      </c>
      <c r="D789" t="str">
        <f>"516820"</f>
        <v>516820</v>
      </c>
      <c r="E789" t="s">
        <v>10081</v>
      </c>
      <c r="F789" s="1">
        <v>44151</v>
      </c>
      <c r="G789" t="str">
        <f>"300101"</f>
        <v>300101</v>
      </c>
      <c r="H789" t="s">
        <v>2926</v>
      </c>
      <c r="I789">
        <v>3335.93</v>
      </c>
    </row>
    <row r="790" spans="1:9" x14ac:dyDescent="0.25">
      <c r="A790" t="s">
        <v>9616</v>
      </c>
      <c r="C790" t="s">
        <v>9617</v>
      </c>
      <c r="D790" t="str">
        <f>"517120"</f>
        <v>517120</v>
      </c>
      <c r="E790" t="s">
        <v>10082</v>
      </c>
      <c r="F790" s="1">
        <v>44151</v>
      </c>
      <c r="G790" t="str">
        <f>"300101"</f>
        <v>300101</v>
      </c>
      <c r="H790" t="s">
        <v>2926</v>
      </c>
      <c r="I790">
        <v>3964.41</v>
      </c>
    </row>
    <row r="791" spans="1:9" x14ac:dyDescent="0.25">
      <c r="A791" t="s">
        <v>9616</v>
      </c>
      <c r="C791" t="s">
        <v>9617</v>
      </c>
      <c r="D791" t="str">
        <f>"49802"</f>
        <v>49802</v>
      </c>
      <c r="E791" t="s">
        <v>10083</v>
      </c>
      <c r="F791" s="1">
        <v>44152</v>
      </c>
      <c r="G791" t="str">
        <f>"300043"</f>
        <v>300043</v>
      </c>
      <c r="H791" t="s">
        <v>2876</v>
      </c>
      <c r="I791">
        <v>1156</v>
      </c>
    </row>
    <row r="792" spans="1:9" x14ac:dyDescent="0.25">
      <c r="A792" t="s">
        <v>9616</v>
      </c>
      <c r="C792" t="s">
        <v>9617</v>
      </c>
      <c r="D792" t="str">
        <f>"20249763"</f>
        <v>20249763</v>
      </c>
      <c r="E792" t="s">
        <v>10084</v>
      </c>
      <c r="F792" s="1">
        <v>44152</v>
      </c>
      <c r="G792" t="str">
        <f>"300043"</f>
        <v>300043</v>
      </c>
      <c r="H792" t="s">
        <v>2876</v>
      </c>
      <c r="I792">
        <v>437</v>
      </c>
    </row>
    <row r="793" spans="1:9" x14ac:dyDescent="0.25">
      <c r="A793" t="s">
        <v>9616</v>
      </c>
      <c r="C793" t="s">
        <v>9617</v>
      </c>
      <c r="D793" t="str">
        <f>"505420"</f>
        <v>505420</v>
      </c>
      <c r="E793" t="s">
        <v>10067</v>
      </c>
      <c r="F793" s="1">
        <v>44152</v>
      </c>
      <c r="G793" t="str">
        <f>"300101"</f>
        <v>300101</v>
      </c>
      <c r="H793" t="s">
        <v>2926</v>
      </c>
      <c r="I793">
        <v>157.63999999999999</v>
      </c>
    </row>
    <row r="794" spans="1:9" x14ac:dyDescent="0.25">
      <c r="A794" t="s">
        <v>9616</v>
      </c>
      <c r="C794" t="s">
        <v>9617</v>
      </c>
      <c r="D794" t="str">
        <f>"516920"</f>
        <v>516920</v>
      </c>
      <c r="E794" t="s">
        <v>10083</v>
      </c>
      <c r="F794" s="1">
        <v>44152</v>
      </c>
      <c r="G794" t="str">
        <f>"300101"</f>
        <v>300101</v>
      </c>
      <c r="H794" t="s">
        <v>2926</v>
      </c>
      <c r="I794">
        <v>4754.01</v>
      </c>
    </row>
    <row r="795" spans="1:9" x14ac:dyDescent="0.25">
      <c r="A795" t="s">
        <v>9616</v>
      </c>
      <c r="C795" t="s">
        <v>9617</v>
      </c>
      <c r="D795" t="str">
        <f>"517520"</f>
        <v>517520</v>
      </c>
      <c r="E795" t="s">
        <v>10084</v>
      </c>
      <c r="F795" s="1">
        <v>44152</v>
      </c>
      <c r="G795" t="str">
        <f>"300101"</f>
        <v>300101</v>
      </c>
      <c r="H795" t="s">
        <v>2926</v>
      </c>
      <c r="I795">
        <v>4125.63</v>
      </c>
    </row>
    <row r="796" spans="1:9" x14ac:dyDescent="0.25">
      <c r="A796" t="s">
        <v>9616</v>
      </c>
      <c r="C796" t="s">
        <v>9617</v>
      </c>
      <c r="D796" t="str">
        <f>"10127206"</f>
        <v>10127206</v>
      </c>
      <c r="E796" t="s">
        <v>9633</v>
      </c>
      <c r="F796" s="1">
        <v>44152</v>
      </c>
      <c r="G796" t="str">
        <f>"300115"</f>
        <v>300115</v>
      </c>
      <c r="H796" t="s">
        <v>2938</v>
      </c>
      <c r="I796">
        <v>102700.0436</v>
      </c>
    </row>
    <row r="797" spans="1:9" x14ac:dyDescent="0.25">
      <c r="A797" t="s">
        <v>9616</v>
      </c>
      <c r="C797" t="s">
        <v>9617</v>
      </c>
      <c r="D797" t="str">
        <f>"10127207"</f>
        <v>10127207</v>
      </c>
      <c r="E797" t="s">
        <v>10085</v>
      </c>
      <c r="F797" s="1">
        <v>44152</v>
      </c>
      <c r="G797" t="str">
        <f>"300115"</f>
        <v>300115</v>
      </c>
      <c r="H797" t="s">
        <v>2938</v>
      </c>
      <c r="I797">
        <v>102700.0436</v>
      </c>
    </row>
    <row r="798" spans="1:9" x14ac:dyDescent="0.25">
      <c r="A798" t="s">
        <v>9616</v>
      </c>
      <c r="C798" t="s">
        <v>9617</v>
      </c>
      <c r="D798" t="str">
        <f>"20085179"</f>
        <v>20085179</v>
      </c>
      <c r="E798" t="s">
        <v>10086</v>
      </c>
      <c r="F798" s="1">
        <v>44154</v>
      </c>
      <c r="G798" t="str">
        <f>"300043"</f>
        <v>300043</v>
      </c>
      <c r="H798" t="s">
        <v>2876</v>
      </c>
      <c r="I798">
        <v>3427</v>
      </c>
    </row>
    <row r="799" spans="1:9" x14ac:dyDescent="0.25">
      <c r="A799" t="s">
        <v>9616</v>
      </c>
      <c r="C799" t="s">
        <v>9617</v>
      </c>
      <c r="D799" t="str">
        <f>"2006929"</f>
        <v>2006929</v>
      </c>
      <c r="E799" t="s">
        <v>9729</v>
      </c>
      <c r="F799" s="1">
        <v>44154</v>
      </c>
      <c r="G799" t="str">
        <f>"300064"</f>
        <v>300064</v>
      </c>
      <c r="H799" t="s">
        <v>2896</v>
      </c>
      <c r="I799">
        <v>10823.25</v>
      </c>
    </row>
    <row r="800" spans="1:9" x14ac:dyDescent="0.25">
      <c r="A800" t="s">
        <v>9616</v>
      </c>
      <c r="C800" t="s">
        <v>9617</v>
      </c>
      <c r="D800" t="str">
        <f>"10127273"</f>
        <v>10127273</v>
      </c>
      <c r="E800" t="s">
        <v>9840</v>
      </c>
      <c r="F800" s="1">
        <v>44154</v>
      </c>
      <c r="G800" t="str">
        <f>"300115"</f>
        <v>300115</v>
      </c>
      <c r="H800" t="s">
        <v>2938</v>
      </c>
      <c r="I800">
        <v>259274.565</v>
      </c>
    </row>
    <row r="801" spans="1:9" x14ac:dyDescent="0.25">
      <c r="A801" t="s">
        <v>9616</v>
      </c>
      <c r="C801" t="s">
        <v>9617</v>
      </c>
      <c r="D801" t="str">
        <f>"202008034"</f>
        <v>202008034</v>
      </c>
      <c r="E801" t="s">
        <v>10071</v>
      </c>
      <c r="F801" s="1">
        <v>44154</v>
      </c>
      <c r="G801" t="str">
        <f>"300191"</f>
        <v>300191</v>
      </c>
      <c r="H801" t="s">
        <v>3008</v>
      </c>
      <c r="I801">
        <v>3498.22</v>
      </c>
    </row>
    <row r="802" spans="1:9" x14ac:dyDescent="0.25">
      <c r="A802" t="s">
        <v>9616</v>
      </c>
      <c r="C802" t="s">
        <v>9617</v>
      </c>
      <c r="D802" t="str">
        <f>"202008035"</f>
        <v>202008035</v>
      </c>
      <c r="E802" t="s">
        <v>10074</v>
      </c>
      <c r="F802" s="1">
        <v>44154</v>
      </c>
      <c r="G802" t="str">
        <f>"300191"</f>
        <v>300191</v>
      </c>
      <c r="H802" t="s">
        <v>3008</v>
      </c>
      <c r="I802">
        <v>3178.11</v>
      </c>
    </row>
    <row r="803" spans="1:9" x14ac:dyDescent="0.25">
      <c r="A803" t="s">
        <v>9616</v>
      </c>
      <c r="C803" t="s">
        <v>9617</v>
      </c>
      <c r="D803" t="str">
        <f>"10127315"</f>
        <v>10127315</v>
      </c>
      <c r="E803" t="s">
        <v>10087</v>
      </c>
      <c r="F803" s="1">
        <v>44155</v>
      </c>
      <c r="G803" t="str">
        <f>"300115"</f>
        <v>300115</v>
      </c>
      <c r="H803" t="s">
        <v>2938</v>
      </c>
      <c r="I803">
        <v>301558.44400000002</v>
      </c>
    </row>
    <row r="804" spans="1:9" x14ac:dyDescent="0.25">
      <c r="A804" t="s">
        <v>9616</v>
      </c>
      <c r="C804" t="s">
        <v>9617</v>
      </c>
      <c r="D804" t="str">
        <f>"10127316"</f>
        <v>10127316</v>
      </c>
      <c r="E804" t="s">
        <v>9840</v>
      </c>
      <c r="F804" s="1">
        <v>44155</v>
      </c>
      <c r="G804" t="str">
        <f>"300115"</f>
        <v>300115</v>
      </c>
      <c r="H804" t="s">
        <v>2938</v>
      </c>
      <c r="I804">
        <v>259274.565</v>
      </c>
    </row>
    <row r="805" spans="1:9" x14ac:dyDescent="0.25">
      <c r="A805" t="s">
        <v>9616</v>
      </c>
      <c r="C805" t="s">
        <v>9617</v>
      </c>
      <c r="D805" t="s">
        <v>10088</v>
      </c>
      <c r="E805" t="s">
        <v>10089</v>
      </c>
      <c r="F805" s="1">
        <v>44155</v>
      </c>
      <c r="G805" t="str">
        <f>"300133"</f>
        <v>300133</v>
      </c>
      <c r="H805" t="s">
        <v>2955</v>
      </c>
      <c r="I805">
        <v>24786</v>
      </c>
    </row>
    <row r="806" spans="1:9" x14ac:dyDescent="0.25">
      <c r="A806" t="s">
        <v>9616</v>
      </c>
      <c r="C806" t="s">
        <v>9617</v>
      </c>
      <c r="D806" t="s">
        <v>10090</v>
      </c>
      <c r="E806" t="s">
        <v>9579</v>
      </c>
      <c r="F806" s="1">
        <v>44155</v>
      </c>
      <c r="G806" t="str">
        <f>"300133"</f>
        <v>300133</v>
      </c>
      <c r="H806" t="s">
        <v>2955</v>
      </c>
      <c r="I806">
        <v>11664</v>
      </c>
    </row>
    <row r="807" spans="1:9" x14ac:dyDescent="0.25">
      <c r="A807" t="s">
        <v>9616</v>
      </c>
      <c r="C807" t="s">
        <v>9617</v>
      </c>
      <c r="D807" t="s">
        <v>10091</v>
      </c>
      <c r="E807" t="s">
        <v>10092</v>
      </c>
      <c r="F807" s="1">
        <v>44155</v>
      </c>
      <c r="G807" t="str">
        <f>"300133"</f>
        <v>300133</v>
      </c>
      <c r="H807" t="s">
        <v>2955</v>
      </c>
      <c r="I807">
        <v>38772.400000000001</v>
      </c>
    </row>
    <row r="808" spans="1:9" x14ac:dyDescent="0.25">
      <c r="A808" t="s">
        <v>9616</v>
      </c>
      <c r="C808" t="s">
        <v>9617</v>
      </c>
      <c r="D808" t="str">
        <f>"50995"</f>
        <v>50995</v>
      </c>
      <c r="E808" t="s">
        <v>10093</v>
      </c>
      <c r="F808" s="1">
        <v>44158</v>
      </c>
      <c r="G808" t="str">
        <f>"300043"</f>
        <v>300043</v>
      </c>
      <c r="H808" t="s">
        <v>2876</v>
      </c>
      <c r="I808">
        <v>1049</v>
      </c>
    </row>
    <row r="809" spans="1:9" x14ac:dyDescent="0.25">
      <c r="A809" t="s">
        <v>9616</v>
      </c>
      <c r="C809" t="s">
        <v>9617</v>
      </c>
      <c r="D809" t="str">
        <f>"2001411"</f>
        <v>2001411</v>
      </c>
      <c r="E809" t="s">
        <v>10094</v>
      </c>
      <c r="F809" s="1">
        <v>44158</v>
      </c>
      <c r="G809" t="str">
        <f>"300064"</f>
        <v>300064</v>
      </c>
      <c r="H809" t="s">
        <v>2896</v>
      </c>
      <c r="I809">
        <v>35600</v>
      </c>
    </row>
    <row r="810" spans="1:9" x14ac:dyDescent="0.25">
      <c r="A810" t="s">
        <v>9616</v>
      </c>
      <c r="C810" t="s">
        <v>9617</v>
      </c>
      <c r="D810" t="s">
        <v>10095</v>
      </c>
      <c r="E810" t="s">
        <v>10096</v>
      </c>
      <c r="F810" s="1">
        <v>44158</v>
      </c>
      <c r="G810" t="str">
        <f>"300092"</f>
        <v>300092</v>
      </c>
      <c r="H810" t="s">
        <v>2160</v>
      </c>
      <c r="I810">
        <v>41192.199999999997</v>
      </c>
    </row>
    <row r="811" spans="1:9" x14ac:dyDescent="0.25">
      <c r="A811" t="s">
        <v>9616</v>
      </c>
      <c r="C811" t="s">
        <v>9617</v>
      </c>
      <c r="D811" t="str">
        <f>"10127353"</f>
        <v>10127353</v>
      </c>
      <c r="E811" t="s">
        <v>9183</v>
      </c>
      <c r="F811" s="1">
        <v>44158</v>
      </c>
      <c r="G811" t="str">
        <f>"300115"</f>
        <v>300115</v>
      </c>
      <c r="H811" t="s">
        <v>2938</v>
      </c>
      <c r="I811">
        <v>137608.54800000001</v>
      </c>
    </row>
    <row r="812" spans="1:9" x14ac:dyDescent="0.25">
      <c r="A812" t="s">
        <v>9616</v>
      </c>
      <c r="C812" t="s">
        <v>9617</v>
      </c>
      <c r="D812" t="str">
        <f>"10127393"</f>
        <v>10127393</v>
      </c>
      <c r="E812" t="s">
        <v>10087</v>
      </c>
      <c r="F812" s="1">
        <v>44158</v>
      </c>
      <c r="G812" t="str">
        <f>"300115"</f>
        <v>300115</v>
      </c>
      <c r="H812" t="s">
        <v>2938</v>
      </c>
      <c r="I812">
        <v>301558.44400000002</v>
      </c>
    </row>
    <row r="813" spans="1:9" x14ac:dyDescent="0.25">
      <c r="A813" t="s">
        <v>9616</v>
      </c>
      <c r="C813" t="s">
        <v>9617</v>
      </c>
      <c r="D813" t="str">
        <f>"51328"</f>
        <v>51328</v>
      </c>
      <c r="E813" t="s">
        <v>10097</v>
      </c>
      <c r="F813" s="1">
        <v>44159</v>
      </c>
      <c r="G813" t="str">
        <f>"300043"</f>
        <v>300043</v>
      </c>
      <c r="H813" t="s">
        <v>2876</v>
      </c>
      <c r="I813">
        <v>1049</v>
      </c>
    </row>
    <row r="814" spans="1:9" x14ac:dyDescent="0.25">
      <c r="A814" t="s">
        <v>9616</v>
      </c>
      <c r="C814" t="s">
        <v>9617</v>
      </c>
      <c r="D814" t="str">
        <f>"20085181"</f>
        <v>20085181</v>
      </c>
      <c r="E814" t="s">
        <v>10098</v>
      </c>
      <c r="F814" s="1">
        <v>44160</v>
      </c>
      <c r="G814" t="str">
        <f>"300043"</f>
        <v>300043</v>
      </c>
      <c r="H814" t="s">
        <v>2876</v>
      </c>
      <c r="I814">
        <v>1156</v>
      </c>
    </row>
    <row r="815" spans="1:9" x14ac:dyDescent="0.25">
      <c r="A815" t="s">
        <v>9616</v>
      </c>
      <c r="C815" t="s">
        <v>9617</v>
      </c>
      <c r="D815" t="str">
        <f>"527320"</f>
        <v>527320</v>
      </c>
      <c r="E815" t="s">
        <v>10098</v>
      </c>
      <c r="F815" s="1">
        <v>44160</v>
      </c>
      <c r="G815" t="str">
        <f>"300101"</f>
        <v>300101</v>
      </c>
      <c r="H815" t="s">
        <v>2926</v>
      </c>
      <c r="I815">
        <v>3650.32</v>
      </c>
    </row>
    <row r="816" spans="1:9" x14ac:dyDescent="0.25">
      <c r="A816" t="s">
        <v>9616</v>
      </c>
      <c r="C816" t="s">
        <v>9617</v>
      </c>
      <c r="D816" t="s">
        <v>10099</v>
      </c>
      <c r="E816" t="s">
        <v>10100</v>
      </c>
      <c r="F816" s="1">
        <v>44160</v>
      </c>
      <c r="G816" t="str">
        <f>"300133"</f>
        <v>300133</v>
      </c>
      <c r="H816" t="s">
        <v>2955</v>
      </c>
      <c r="I816">
        <v>51393.599999999999</v>
      </c>
    </row>
    <row r="817" spans="1:9" x14ac:dyDescent="0.25">
      <c r="A817" t="s">
        <v>9616</v>
      </c>
      <c r="C817" t="s">
        <v>9617</v>
      </c>
      <c r="D817" t="s">
        <v>10101</v>
      </c>
      <c r="E817" t="s">
        <v>9896</v>
      </c>
      <c r="F817" s="1">
        <v>44160</v>
      </c>
      <c r="G817" t="str">
        <f>"300133"</f>
        <v>300133</v>
      </c>
      <c r="H817" t="s">
        <v>2955</v>
      </c>
      <c r="I817">
        <v>6050</v>
      </c>
    </row>
    <row r="818" spans="1:9" x14ac:dyDescent="0.25">
      <c r="A818" t="s">
        <v>9616</v>
      </c>
      <c r="C818" t="s">
        <v>9617</v>
      </c>
      <c r="D818" t="str">
        <f>"10127476"</f>
        <v>10127476</v>
      </c>
      <c r="E818" t="s">
        <v>9633</v>
      </c>
      <c r="F818" s="1">
        <v>44161</v>
      </c>
      <c r="G818" t="str">
        <f>"300115"</f>
        <v>300115</v>
      </c>
      <c r="H818" t="s">
        <v>2938</v>
      </c>
      <c r="I818">
        <v>46166.23</v>
      </c>
    </row>
    <row r="819" spans="1:9" x14ac:dyDescent="0.25">
      <c r="A819" t="s">
        <v>9616</v>
      </c>
      <c r="C819" t="s">
        <v>9617</v>
      </c>
      <c r="D819" t="str">
        <f>"10127477"</f>
        <v>10127477</v>
      </c>
      <c r="E819" t="s">
        <v>10102</v>
      </c>
      <c r="F819" s="1">
        <v>44161</v>
      </c>
      <c r="G819" t="str">
        <f>"300115"</f>
        <v>300115</v>
      </c>
      <c r="H819" t="s">
        <v>2938</v>
      </c>
      <c r="I819">
        <v>60725.299800000001</v>
      </c>
    </row>
    <row r="820" spans="1:9" x14ac:dyDescent="0.25">
      <c r="A820" t="s">
        <v>9616</v>
      </c>
      <c r="C820" t="s">
        <v>9617</v>
      </c>
      <c r="D820" t="str">
        <f>"202008285"</f>
        <v>202008285</v>
      </c>
      <c r="E820" t="s">
        <v>10086</v>
      </c>
      <c r="F820" s="1">
        <v>44161</v>
      </c>
      <c r="G820" t="str">
        <f>"300191"</f>
        <v>300191</v>
      </c>
      <c r="H820" t="s">
        <v>3008</v>
      </c>
      <c r="I820">
        <v>3183.43</v>
      </c>
    </row>
    <row r="821" spans="1:9" x14ac:dyDescent="0.25">
      <c r="A821" t="s">
        <v>9616</v>
      </c>
      <c r="C821" t="s">
        <v>9617</v>
      </c>
      <c r="D821" t="str">
        <f>"25537"</f>
        <v>25537</v>
      </c>
      <c r="E821" t="s">
        <v>10103</v>
      </c>
      <c r="F821" s="1">
        <v>44162</v>
      </c>
      <c r="G821" t="str">
        <f>"300043"</f>
        <v>300043</v>
      </c>
      <c r="H821" t="s">
        <v>2876</v>
      </c>
      <c r="I821">
        <v>617</v>
      </c>
    </row>
    <row r="822" spans="1:9" x14ac:dyDescent="0.25">
      <c r="A822" t="s">
        <v>9616</v>
      </c>
      <c r="C822" t="s">
        <v>9617</v>
      </c>
      <c r="D822" t="str">
        <f>"52283"</f>
        <v>52283</v>
      </c>
      <c r="E822" t="s">
        <v>10104</v>
      </c>
      <c r="F822" s="1">
        <v>44162</v>
      </c>
      <c r="G822" t="str">
        <f>"300043"</f>
        <v>300043</v>
      </c>
      <c r="H822" t="s">
        <v>2876</v>
      </c>
      <c r="I822">
        <v>1156</v>
      </c>
    </row>
    <row r="823" spans="1:9" x14ac:dyDescent="0.25">
      <c r="A823" t="s">
        <v>9616</v>
      </c>
      <c r="C823" t="s">
        <v>9617</v>
      </c>
      <c r="D823" t="str">
        <f>"2001440"</f>
        <v>2001440</v>
      </c>
      <c r="E823" t="s">
        <v>10105</v>
      </c>
      <c r="F823" s="1">
        <v>44162</v>
      </c>
      <c r="G823" t="str">
        <f>"300064"</f>
        <v>300064</v>
      </c>
      <c r="H823" t="s">
        <v>2896</v>
      </c>
      <c r="I823">
        <v>15790</v>
      </c>
    </row>
    <row r="824" spans="1:9" x14ac:dyDescent="0.25">
      <c r="A824" t="s">
        <v>9616</v>
      </c>
      <c r="C824" t="s">
        <v>9617</v>
      </c>
      <c r="D824" t="str">
        <f>"571420"</f>
        <v>571420</v>
      </c>
      <c r="E824" t="s">
        <v>10104</v>
      </c>
      <c r="F824" s="1">
        <v>44162</v>
      </c>
      <c r="G824" t="str">
        <f>"300101"</f>
        <v>300101</v>
      </c>
      <c r="H824" t="s">
        <v>2926</v>
      </c>
      <c r="I824">
        <v>3436.98</v>
      </c>
    </row>
    <row r="825" spans="1:9" x14ac:dyDescent="0.25">
      <c r="A825" t="s">
        <v>9616</v>
      </c>
      <c r="C825" t="s">
        <v>9617</v>
      </c>
      <c r="D825" t="str">
        <f>"571520"</f>
        <v>571520</v>
      </c>
      <c r="E825" t="s">
        <v>10103</v>
      </c>
      <c r="F825" s="1">
        <v>44162</v>
      </c>
      <c r="G825" t="str">
        <f>"300101"</f>
        <v>300101</v>
      </c>
      <c r="H825" t="s">
        <v>2926</v>
      </c>
      <c r="I825">
        <v>3752.69</v>
      </c>
    </row>
    <row r="826" spans="1:9" x14ac:dyDescent="0.25">
      <c r="A826" t="s">
        <v>9616</v>
      </c>
      <c r="C826" t="s">
        <v>9617</v>
      </c>
      <c r="D826" t="str">
        <f>"10127504"</f>
        <v>10127504</v>
      </c>
      <c r="E826" t="s">
        <v>2172</v>
      </c>
      <c r="F826" s="1">
        <v>44162</v>
      </c>
      <c r="G826" t="str">
        <f>"300115"</f>
        <v>300115</v>
      </c>
      <c r="H826" t="s">
        <v>2938</v>
      </c>
      <c r="I826">
        <v>273492.549</v>
      </c>
    </row>
    <row r="827" spans="1:9" x14ac:dyDescent="0.25">
      <c r="A827" t="s">
        <v>9616</v>
      </c>
      <c r="C827" t="s">
        <v>9617</v>
      </c>
      <c r="D827" t="str">
        <f>"10127505"</f>
        <v>10127505</v>
      </c>
      <c r="E827" t="s">
        <v>2172</v>
      </c>
      <c r="F827" s="1">
        <v>44162</v>
      </c>
      <c r="G827" t="str">
        <f>"300115"</f>
        <v>300115</v>
      </c>
      <c r="H827" t="s">
        <v>2938</v>
      </c>
      <c r="I827">
        <v>301558.44400000002</v>
      </c>
    </row>
    <row r="828" spans="1:9" x14ac:dyDescent="0.25">
      <c r="A828" t="s">
        <v>9616</v>
      </c>
      <c r="C828" t="s">
        <v>9617</v>
      </c>
      <c r="D828" t="str">
        <f>"10127509"</f>
        <v>10127509</v>
      </c>
      <c r="E828" t="s">
        <v>2172</v>
      </c>
      <c r="F828" s="1">
        <v>44162</v>
      </c>
      <c r="G828" t="str">
        <f>"300115"</f>
        <v>300115</v>
      </c>
      <c r="H828" t="s">
        <v>2938</v>
      </c>
      <c r="I828">
        <v>283681.46399999998</v>
      </c>
    </row>
    <row r="829" spans="1:9" x14ac:dyDescent="0.25">
      <c r="A829" t="s">
        <v>9616</v>
      </c>
      <c r="C829" t="s">
        <v>9617</v>
      </c>
      <c r="D829" t="str">
        <f>"52849"</f>
        <v>52849</v>
      </c>
      <c r="E829" t="s">
        <v>10106</v>
      </c>
      <c r="F829" s="1">
        <v>44165</v>
      </c>
      <c r="G829" t="str">
        <f>"300043"</f>
        <v>300043</v>
      </c>
      <c r="H829" t="s">
        <v>2876</v>
      </c>
      <c r="I829">
        <v>1156</v>
      </c>
    </row>
    <row r="830" spans="1:9" x14ac:dyDescent="0.25">
      <c r="A830" t="s">
        <v>9616</v>
      </c>
      <c r="C830" t="s">
        <v>9617</v>
      </c>
      <c r="D830" t="str">
        <f>"120311036"</f>
        <v>120311036</v>
      </c>
      <c r="E830" t="s">
        <v>9729</v>
      </c>
      <c r="F830" s="1">
        <v>44165</v>
      </c>
      <c r="G830" t="str">
        <f>"300080"</f>
        <v>300080</v>
      </c>
      <c r="H830" t="s">
        <v>2907</v>
      </c>
      <c r="I830">
        <v>19602</v>
      </c>
    </row>
    <row r="831" spans="1:9" x14ac:dyDescent="0.25">
      <c r="A831" t="s">
        <v>9616</v>
      </c>
      <c r="C831" t="s">
        <v>9617</v>
      </c>
      <c r="D831" t="str">
        <f>"571720"</f>
        <v>571720</v>
      </c>
      <c r="E831" t="s">
        <v>10106</v>
      </c>
      <c r="F831" s="1">
        <v>44165</v>
      </c>
      <c r="G831" t="str">
        <f>"300101"</f>
        <v>300101</v>
      </c>
      <c r="H831" t="s">
        <v>2926</v>
      </c>
      <c r="I831">
        <v>3339.67</v>
      </c>
    </row>
    <row r="832" spans="1:9" x14ac:dyDescent="0.25">
      <c r="A832" t="s">
        <v>9616</v>
      </c>
      <c r="C832" t="s">
        <v>9617</v>
      </c>
      <c r="D832" t="s">
        <v>10107</v>
      </c>
      <c r="E832" t="s">
        <v>9565</v>
      </c>
      <c r="F832" s="1">
        <v>44165</v>
      </c>
      <c r="G832" t="str">
        <f>"300133"</f>
        <v>300133</v>
      </c>
      <c r="H832" t="s">
        <v>2955</v>
      </c>
      <c r="I832">
        <v>28957.5</v>
      </c>
    </row>
    <row r="833" spans="1:9" x14ac:dyDescent="0.25">
      <c r="A833" t="s">
        <v>9616</v>
      </c>
      <c r="C833" t="s">
        <v>9617</v>
      </c>
      <c r="D833" t="str">
        <f>"202008367"</f>
        <v>202008367</v>
      </c>
      <c r="E833" t="s">
        <v>10097</v>
      </c>
      <c r="F833" s="1">
        <v>44165</v>
      </c>
      <c r="G833" t="str">
        <f>"300191"</f>
        <v>300191</v>
      </c>
      <c r="H833" t="s">
        <v>3008</v>
      </c>
      <c r="I833">
        <v>3158.54</v>
      </c>
    </row>
    <row r="834" spans="1:9" x14ac:dyDescent="0.25">
      <c r="A834" t="s">
        <v>9616</v>
      </c>
      <c r="C834" t="s">
        <v>9617</v>
      </c>
      <c r="D834" t="str">
        <f>"202008369"</f>
        <v>202008369</v>
      </c>
      <c r="E834" t="s">
        <v>10093</v>
      </c>
      <c r="F834" s="1">
        <v>44165</v>
      </c>
      <c r="G834" t="str">
        <f>"300191"</f>
        <v>300191</v>
      </c>
      <c r="H834" t="s">
        <v>3008</v>
      </c>
      <c r="I834">
        <v>3473.43</v>
      </c>
    </row>
    <row r="835" spans="1:9" x14ac:dyDescent="0.25">
      <c r="A835" t="s">
        <v>9616</v>
      </c>
      <c r="C835" t="s">
        <v>9617</v>
      </c>
      <c r="D835" t="str">
        <f>"11681"</f>
        <v>11681</v>
      </c>
      <c r="E835" t="s">
        <v>10108</v>
      </c>
      <c r="F835" s="1">
        <v>44166</v>
      </c>
      <c r="G835" t="str">
        <f>"300043"</f>
        <v>300043</v>
      </c>
      <c r="H835" t="s">
        <v>2876</v>
      </c>
      <c r="I835">
        <v>1102</v>
      </c>
    </row>
    <row r="836" spans="1:9" x14ac:dyDescent="0.25">
      <c r="A836" t="s">
        <v>9616</v>
      </c>
      <c r="C836" t="s">
        <v>9617</v>
      </c>
      <c r="D836" t="s">
        <v>10109</v>
      </c>
      <c r="E836" t="s">
        <v>8967</v>
      </c>
      <c r="F836" s="1">
        <v>44166</v>
      </c>
      <c r="G836" t="str">
        <f>"300092"</f>
        <v>300092</v>
      </c>
      <c r="H836" t="s">
        <v>2160</v>
      </c>
      <c r="I836">
        <v>13500</v>
      </c>
    </row>
    <row r="837" spans="1:9" x14ac:dyDescent="0.25">
      <c r="A837" t="s">
        <v>9616</v>
      </c>
      <c r="C837" t="s">
        <v>9617</v>
      </c>
      <c r="D837" t="str">
        <f>"571620"</f>
        <v>571620</v>
      </c>
      <c r="E837" t="s">
        <v>10108</v>
      </c>
      <c r="F837" s="1">
        <v>44166</v>
      </c>
      <c r="G837" t="str">
        <f>"300101"</f>
        <v>300101</v>
      </c>
      <c r="H837" t="s">
        <v>2926</v>
      </c>
      <c r="I837">
        <v>3188.9</v>
      </c>
    </row>
    <row r="838" spans="1:9" x14ac:dyDescent="0.25">
      <c r="A838" t="s">
        <v>9616</v>
      </c>
      <c r="C838" t="s">
        <v>9617</v>
      </c>
      <c r="D838" t="str">
        <f>"10127584"</f>
        <v>10127584</v>
      </c>
      <c r="E838" t="s">
        <v>9189</v>
      </c>
      <c r="F838" s="1">
        <v>44166</v>
      </c>
      <c r="G838" t="str">
        <f>"300115"</f>
        <v>300115</v>
      </c>
      <c r="H838" t="s">
        <v>2938</v>
      </c>
      <c r="I838">
        <v>259274.565</v>
      </c>
    </row>
    <row r="839" spans="1:9" x14ac:dyDescent="0.25">
      <c r="A839" t="s">
        <v>9616</v>
      </c>
      <c r="C839" t="s">
        <v>9617</v>
      </c>
      <c r="D839" t="str">
        <f>"016020"</f>
        <v>016020</v>
      </c>
      <c r="E839" t="s">
        <v>10071</v>
      </c>
      <c r="F839" s="1">
        <v>44166</v>
      </c>
      <c r="G839" t="str">
        <f>"300192"</f>
        <v>300192</v>
      </c>
      <c r="H839" t="s">
        <v>3009</v>
      </c>
      <c r="I839">
        <v>12500</v>
      </c>
    </row>
    <row r="840" spans="1:9" x14ac:dyDescent="0.25">
      <c r="A840" t="s">
        <v>9616</v>
      </c>
      <c r="C840" t="s">
        <v>9617</v>
      </c>
      <c r="D840" t="str">
        <f>"016120"</f>
        <v>016120</v>
      </c>
      <c r="E840" t="s">
        <v>10110</v>
      </c>
      <c r="F840" s="1">
        <v>44166</v>
      </c>
      <c r="G840" t="str">
        <f>"300192"</f>
        <v>300192</v>
      </c>
      <c r="H840" t="s">
        <v>3009</v>
      </c>
      <c r="I840">
        <v>12500</v>
      </c>
    </row>
    <row r="841" spans="1:9" x14ac:dyDescent="0.25">
      <c r="A841" t="s">
        <v>9616</v>
      </c>
      <c r="C841" t="s">
        <v>9617</v>
      </c>
      <c r="D841" t="str">
        <f>"016220"</f>
        <v>016220</v>
      </c>
      <c r="E841" t="s">
        <v>10086</v>
      </c>
      <c r="F841" s="1">
        <v>44166</v>
      </c>
      <c r="G841" t="str">
        <f>"300192"</f>
        <v>300192</v>
      </c>
      <c r="H841" t="s">
        <v>3009</v>
      </c>
      <c r="I841">
        <v>13000</v>
      </c>
    </row>
    <row r="842" spans="1:9" x14ac:dyDescent="0.25">
      <c r="A842" t="s">
        <v>9616</v>
      </c>
      <c r="C842" t="s">
        <v>9617</v>
      </c>
      <c r="D842" t="str">
        <f>"016320"</f>
        <v>016320</v>
      </c>
      <c r="E842" t="s">
        <v>10093</v>
      </c>
      <c r="F842" s="1">
        <v>44166</v>
      </c>
      <c r="G842" t="str">
        <f>"300192"</f>
        <v>300192</v>
      </c>
      <c r="H842" t="s">
        <v>3009</v>
      </c>
      <c r="I842">
        <v>12500</v>
      </c>
    </row>
    <row r="843" spans="1:9" x14ac:dyDescent="0.25">
      <c r="A843" t="s">
        <v>9616</v>
      </c>
      <c r="C843" t="s">
        <v>9617</v>
      </c>
      <c r="D843" t="str">
        <f>"016420"</f>
        <v>016420</v>
      </c>
      <c r="E843" t="s">
        <v>10097</v>
      </c>
      <c r="F843" s="1">
        <v>44166</v>
      </c>
      <c r="G843" t="str">
        <f>"300192"</f>
        <v>300192</v>
      </c>
      <c r="H843" t="s">
        <v>3009</v>
      </c>
      <c r="I843">
        <v>11000</v>
      </c>
    </row>
    <row r="844" spans="1:9" x14ac:dyDescent="0.25">
      <c r="A844" t="s">
        <v>9616</v>
      </c>
      <c r="C844" t="s">
        <v>9617</v>
      </c>
      <c r="D844" t="str">
        <f>"53213"</f>
        <v>53213</v>
      </c>
      <c r="E844" t="s">
        <v>10111</v>
      </c>
      <c r="F844" s="1">
        <v>44167</v>
      </c>
      <c r="G844" t="str">
        <f>"300043"</f>
        <v>300043</v>
      </c>
      <c r="H844" t="s">
        <v>2876</v>
      </c>
      <c r="I844">
        <v>1065</v>
      </c>
    </row>
    <row r="845" spans="1:9" x14ac:dyDescent="0.25">
      <c r="A845" t="s">
        <v>9616</v>
      </c>
      <c r="C845" t="s">
        <v>9617</v>
      </c>
      <c r="D845" t="str">
        <f>"53302"</f>
        <v>53302</v>
      </c>
      <c r="E845" t="s">
        <v>10112</v>
      </c>
      <c r="F845" s="1">
        <v>44167</v>
      </c>
      <c r="G845" t="str">
        <f>"300043"</f>
        <v>300043</v>
      </c>
      <c r="H845" t="s">
        <v>2876</v>
      </c>
      <c r="I845">
        <v>1053</v>
      </c>
    </row>
    <row r="846" spans="1:9" x14ac:dyDescent="0.25">
      <c r="A846" t="s">
        <v>9616</v>
      </c>
      <c r="C846" t="s">
        <v>9617</v>
      </c>
      <c r="D846" t="str">
        <f>"571820"</f>
        <v>571820</v>
      </c>
      <c r="E846" t="s">
        <v>10111</v>
      </c>
      <c r="F846" s="1">
        <v>44167</v>
      </c>
      <c r="G846" t="str">
        <f>"300101"</f>
        <v>300101</v>
      </c>
      <c r="H846" t="s">
        <v>2926</v>
      </c>
      <c r="I846">
        <v>3822.65</v>
      </c>
    </row>
    <row r="847" spans="1:9" x14ac:dyDescent="0.25">
      <c r="A847" t="s">
        <v>9616</v>
      </c>
      <c r="C847" t="s">
        <v>9617</v>
      </c>
      <c r="D847" t="str">
        <f>"10127622"</f>
        <v>10127622</v>
      </c>
      <c r="E847" t="s">
        <v>2172</v>
      </c>
      <c r="F847" s="1">
        <v>44167</v>
      </c>
      <c r="G847" t="str">
        <f>"300115"</f>
        <v>300115</v>
      </c>
      <c r="H847" t="s">
        <v>2938</v>
      </c>
      <c r="I847">
        <v>178902.6844</v>
      </c>
    </row>
    <row r="848" spans="1:9" x14ac:dyDescent="0.25">
      <c r="A848" t="s">
        <v>9616</v>
      </c>
      <c r="C848" t="s">
        <v>9617</v>
      </c>
      <c r="D848" t="s">
        <v>10113</v>
      </c>
      <c r="E848" t="s">
        <v>9553</v>
      </c>
      <c r="F848" s="1">
        <v>44167</v>
      </c>
      <c r="G848" t="str">
        <f>"300133"</f>
        <v>300133</v>
      </c>
      <c r="H848" t="s">
        <v>2955</v>
      </c>
      <c r="I848">
        <v>43104</v>
      </c>
    </row>
    <row r="849" spans="1:9" x14ac:dyDescent="0.25">
      <c r="A849" t="s">
        <v>9616</v>
      </c>
      <c r="C849" t="s">
        <v>9617</v>
      </c>
      <c r="D849" t="str">
        <f>"53219"</f>
        <v>53219</v>
      </c>
      <c r="E849" t="s">
        <v>10114</v>
      </c>
      <c r="F849" s="1">
        <v>44169</v>
      </c>
      <c r="G849" t="str">
        <f>"300043"</f>
        <v>300043</v>
      </c>
      <c r="H849" t="s">
        <v>2876</v>
      </c>
      <c r="I849">
        <v>517</v>
      </c>
    </row>
    <row r="850" spans="1:9" x14ac:dyDescent="0.25">
      <c r="A850" t="s">
        <v>9616</v>
      </c>
      <c r="C850" t="s">
        <v>9617</v>
      </c>
      <c r="D850" t="str">
        <f>"2001454"</f>
        <v>2001454</v>
      </c>
      <c r="E850" t="s">
        <v>10115</v>
      </c>
      <c r="F850" s="1">
        <v>44169</v>
      </c>
      <c r="G850" t="str">
        <f>"300064"</f>
        <v>300064</v>
      </c>
      <c r="H850" t="s">
        <v>2896</v>
      </c>
      <c r="I850">
        <v>13480</v>
      </c>
    </row>
    <row r="851" spans="1:9" x14ac:dyDescent="0.25">
      <c r="A851" t="s">
        <v>9616</v>
      </c>
      <c r="C851" t="s">
        <v>9617</v>
      </c>
      <c r="D851" t="str">
        <f>"2007443"</f>
        <v>2007443</v>
      </c>
      <c r="E851" s="2">
        <v>46116</v>
      </c>
      <c r="F851" s="1">
        <v>44169</v>
      </c>
      <c r="G851" t="str">
        <f>"300064"</f>
        <v>300064</v>
      </c>
      <c r="H851" t="s">
        <v>2896</v>
      </c>
      <c r="I851">
        <v>106221.12</v>
      </c>
    </row>
    <row r="852" spans="1:9" x14ac:dyDescent="0.25">
      <c r="A852" t="s">
        <v>9616</v>
      </c>
      <c r="C852" t="s">
        <v>9617</v>
      </c>
      <c r="D852" t="str">
        <f>"2007444"</f>
        <v>2007444</v>
      </c>
      <c r="E852" s="2">
        <v>46027</v>
      </c>
      <c r="F852" s="1">
        <v>44169</v>
      </c>
      <c r="G852" t="str">
        <f>"300064"</f>
        <v>300064</v>
      </c>
      <c r="H852" t="s">
        <v>2896</v>
      </c>
      <c r="I852">
        <v>12990</v>
      </c>
    </row>
    <row r="853" spans="1:9" x14ac:dyDescent="0.25">
      <c r="A853" t="s">
        <v>9616</v>
      </c>
      <c r="C853" t="s">
        <v>9617</v>
      </c>
      <c r="D853" t="str">
        <f>"571220"</f>
        <v>571220</v>
      </c>
      <c r="E853" t="s">
        <v>10114</v>
      </c>
      <c r="F853" s="1">
        <v>44169</v>
      </c>
      <c r="G853" t="str">
        <f>"300101"</f>
        <v>300101</v>
      </c>
      <c r="H853" t="s">
        <v>2926</v>
      </c>
      <c r="I853">
        <v>4261</v>
      </c>
    </row>
    <row r="854" spans="1:9" x14ac:dyDescent="0.25">
      <c r="A854" t="s">
        <v>9616</v>
      </c>
      <c r="C854" t="s">
        <v>9617</v>
      </c>
      <c r="D854" t="str">
        <f>"10127692"</f>
        <v>10127692</v>
      </c>
      <c r="E854" t="s">
        <v>2172</v>
      </c>
      <c r="F854" s="1">
        <v>44169</v>
      </c>
      <c r="G854" t="str">
        <f>"300115"</f>
        <v>300115</v>
      </c>
      <c r="H854" t="s">
        <v>2938</v>
      </c>
      <c r="I854">
        <v>301558.44400000002</v>
      </c>
    </row>
    <row r="855" spans="1:9" x14ac:dyDescent="0.25">
      <c r="A855" t="s">
        <v>9616</v>
      </c>
      <c r="C855" t="s">
        <v>9617</v>
      </c>
      <c r="D855" t="str">
        <f>"10127694"</f>
        <v>10127694</v>
      </c>
      <c r="E855" t="s">
        <v>2172</v>
      </c>
      <c r="F855" s="1">
        <v>44169</v>
      </c>
      <c r="G855" t="str">
        <f>"300115"</f>
        <v>300115</v>
      </c>
      <c r="H855" t="s">
        <v>2938</v>
      </c>
      <c r="I855">
        <v>301558.44400000002</v>
      </c>
    </row>
    <row r="856" spans="1:9" x14ac:dyDescent="0.25">
      <c r="A856" t="s">
        <v>9616</v>
      </c>
      <c r="C856" t="s">
        <v>9617</v>
      </c>
      <c r="D856" t="str">
        <f>"54165"</f>
        <v>54165</v>
      </c>
      <c r="E856" t="s">
        <v>10116</v>
      </c>
      <c r="F856" s="1">
        <v>44172</v>
      </c>
      <c r="G856" t="str">
        <f>"300043"</f>
        <v>300043</v>
      </c>
      <c r="H856" t="s">
        <v>2876</v>
      </c>
      <c r="I856">
        <v>757</v>
      </c>
    </row>
    <row r="857" spans="1:9" x14ac:dyDescent="0.25">
      <c r="A857" t="s">
        <v>9616</v>
      </c>
      <c r="C857" t="s">
        <v>9617</v>
      </c>
      <c r="D857" t="str">
        <f>"572020"</f>
        <v>572020</v>
      </c>
      <c r="E857" t="s">
        <v>10116</v>
      </c>
      <c r="F857" s="1">
        <v>44172</v>
      </c>
      <c r="G857" t="str">
        <f>"300101"</f>
        <v>300101</v>
      </c>
      <c r="H857" t="s">
        <v>2926</v>
      </c>
      <c r="I857">
        <v>3829.07</v>
      </c>
    </row>
    <row r="858" spans="1:9" x14ac:dyDescent="0.25">
      <c r="A858" t="s">
        <v>9616</v>
      </c>
      <c r="C858" t="s">
        <v>9617</v>
      </c>
      <c r="D858" t="s">
        <v>10117</v>
      </c>
      <c r="E858" t="s">
        <v>9949</v>
      </c>
      <c r="F858" s="1">
        <v>44173</v>
      </c>
      <c r="G858" t="str">
        <f>"300092"</f>
        <v>300092</v>
      </c>
      <c r="H858" t="s">
        <v>2160</v>
      </c>
      <c r="I858">
        <v>15552</v>
      </c>
    </row>
    <row r="859" spans="1:9" x14ac:dyDescent="0.25">
      <c r="A859" t="s">
        <v>9616</v>
      </c>
      <c r="C859" t="s">
        <v>9617</v>
      </c>
      <c r="D859" t="str">
        <f>"54596"</f>
        <v>54596</v>
      </c>
      <c r="E859" t="s">
        <v>10118</v>
      </c>
      <c r="F859" s="1">
        <v>44174</v>
      </c>
      <c r="G859" t="str">
        <f>"300043"</f>
        <v>300043</v>
      </c>
      <c r="H859" t="s">
        <v>2876</v>
      </c>
      <c r="I859">
        <v>1164</v>
      </c>
    </row>
    <row r="860" spans="1:9" x14ac:dyDescent="0.25">
      <c r="A860" t="s">
        <v>9616</v>
      </c>
      <c r="C860" t="s">
        <v>9617</v>
      </c>
      <c r="D860" t="str">
        <f>"54708"</f>
        <v>54708</v>
      </c>
      <c r="E860" t="s">
        <v>10119</v>
      </c>
      <c r="F860" s="1">
        <v>44174</v>
      </c>
      <c r="G860" t="str">
        <f>"300043"</f>
        <v>300043</v>
      </c>
      <c r="H860" t="s">
        <v>2876</v>
      </c>
      <c r="I860">
        <v>1162</v>
      </c>
    </row>
    <row r="861" spans="1:9" x14ac:dyDescent="0.25">
      <c r="A861" t="s">
        <v>9616</v>
      </c>
      <c r="C861" t="s">
        <v>9617</v>
      </c>
      <c r="D861" t="str">
        <f>"571120"</f>
        <v>571120</v>
      </c>
      <c r="E861" t="s">
        <v>10119</v>
      </c>
      <c r="F861" s="1">
        <v>44174</v>
      </c>
      <c r="G861" t="str">
        <f>"300101"</f>
        <v>300101</v>
      </c>
      <c r="H861" t="s">
        <v>2926</v>
      </c>
      <c r="I861">
        <v>3193.52</v>
      </c>
    </row>
    <row r="862" spans="1:9" x14ac:dyDescent="0.25">
      <c r="A862" t="s">
        <v>9616</v>
      </c>
      <c r="C862" t="s">
        <v>9617</v>
      </c>
      <c r="D862" t="str">
        <f>"571920"</f>
        <v>571920</v>
      </c>
      <c r="E862" t="s">
        <v>10118</v>
      </c>
      <c r="F862" s="1">
        <v>44174</v>
      </c>
      <c r="G862" t="str">
        <f>"300101"</f>
        <v>300101</v>
      </c>
      <c r="H862" t="s">
        <v>2926</v>
      </c>
      <c r="I862">
        <v>3352.84</v>
      </c>
    </row>
    <row r="863" spans="1:9" x14ac:dyDescent="0.25">
      <c r="A863" t="s">
        <v>9616</v>
      </c>
      <c r="C863" t="s">
        <v>9617</v>
      </c>
      <c r="D863" t="str">
        <f>"10127728"</f>
        <v>10127728</v>
      </c>
      <c r="E863" t="s">
        <v>2566</v>
      </c>
      <c r="F863" s="1">
        <v>44174</v>
      </c>
      <c r="G863" t="str">
        <f>"300115"</f>
        <v>300115</v>
      </c>
      <c r="H863" t="s">
        <v>2938</v>
      </c>
      <c r="I863">
        <v>187989.7371</v>
      </c>
    </row>
    <row r="864" spans="1:9" x14ac:dyDescent="0.25">
      <c r="A864" t="s">
        <v>9616</v>
      </c>
      <c r="C864" t="s">
        <v>9617</v>
      </c>
      <c r="D864" t="str">
        <f>"10127730"</f>
        <v>10127730</v>
      </c>
      <c r="E864" t="s">
        <v>2172</v>
      </c>
      <c r="F864" s="1">
        <v>44174</v>
      </c>
      <c r="G864" t="str">
        <f>"300115"</f>
        <v>300115</v>
      </c>
      <c r="H864" t="s">
        <v>2938</v>
      </c>
      <c r="I864">
        <v>301558.44400000002</v>
      </c>
    </row>
    <row r="865" spans="1:9" x14ac:dyDescent="0.25">
      <c r="A865" t="s">
        <v>9616</v>
      </c>
      <c r="C865" t="s">
        <v>9617</v>
      </c>
      <c r="D865" t="str">
        <f>"561320"</f>
        <v>561320</v>
      </c>
      <c r="E865" t="s">
        <v>10098</v>
      </c>
      <c r="F865" s="1">
        <v>44175</v>
      </c>
      <c r="G865" t="str">
        <f>"300101"</f>
        <v>300101</v>
      </c>
      <c r="H865" t="s">
        <v>2926</v>
      </c>
      <c r="I865">
        <v>157.55000000000001</v>
      </c>
    </row>
    <row r="866" spans="1:9" x14ac:dyDescent="0.25">
      <c r="A866" t="s">
        <v>9616</v>
      </c>
      <c r="C866" t="s">
        <v>9617</v>
      </c>
      <c r="D866" t="str">
        <f>"10127766"</f>
        <v>10127766</v>
      </c>
      <c r="E866" t="s">
        <v>9633</v>
      </c>
      <c r="F866" s="1">
        <v>44175</v>
      </c>
      <c r="G866" t="str">
        <f>"300115"</f>
        <v>300115</v>
      </c>
      <c r="H866" t="s">
        <v>2938</v>
      </c>
      <c r="I866">
        <v>136509.12</v>
      </c>
    </row>
    <row r="867" spans="1:9" x14ac:dyDescent="0.25">
      <c r="A867" t="s">
        <v>9616</v>
      </c>
      <c r="C867" t="s">
        <v>9617</v>
      </c>
      <c r="D867" t="str">
        <f>"10127768"</f>
        <v>10127768</v>
      </c>
      <c r="E867" t="s">
        <v>9207</v>
      </c>
      <c r="F867" s="1">
        <v>44175</v>
      </c>
      <c r="G867" t="str">
        <f>"300115"</f>
        <v>300115</v>
      </c>
      <c r="H867" t="s">
        <v>2938</v>
      </c>
      <c r="I867">
        <v>101962.0668</v>
      </c>
    </row>
    <row r="868" spans="1:9" x14ac:dyDescent="0.25">
      <c r="A868" t="s">
        <v>9616</v>
      </c>
      <c r="C868" t="s">
        <v>9617</v>
      </c>
      <c r="D868" t="str">
        <f>"10127770"</f>
        <v>10127770</v>
      </c>
      <c r="E868" t="s">
        <v>9249</v>
      </c>
      <c r="F868" s="1">
        <v>44175</v>
      </c>
      <c r="G868" t="str">
        <f>"300115"</f>
        <v>300115</v>
      </c>
      <c r="H868" t="s">
        <v>2938</v>
      </c>
      <c r="I868">
        <v>150602.1</v>
      </c>
    </row>
    <row r="869" spans="1:9" x14ac:dyDescent="0.25">
      <c r="A869" t="s">
        <v>9616</v>
      </c>
      <c r="C869" t="s">
        <v>9617</v>
      </c>
      <c r="D869" t="str">
        <f>"55106"</f>
        <v>55106</v>
      </c>
      <c r="E869" t="s">
        <v>10120</v>
      </c>
      <c r="F869" s="1">
        <v>44176</v>
      </c>
      <c r="G869" t="str">
        <f>"300043"</f>
        <v>300043</v>
      </c>
      <c r="H869" t="s">
        <v>2876</v>
      </c>
      <c r="I869">
        <v>787</v>
      </c>
    </row>
    <row r="870" spans="1:9" x14ac:dyDescent="0.25">
      <c r="A870" t="s">
        <v>9616</v>
      </c>
      <c r="C870" t="s">
        <v>9617</v>
      </c>
      <c r="D870" t="str">
        <f>"2007648"</f>
        <v>2007648</v>
      </c>
      <c r="E870" t="s">
        <v>9925</v>
      </c>
      <c r="F870" s="1">
        <v>44176</v>
      </c>
      <c r="G870" t="str">
        <f>"300064"</f>
        <v>300064</v>
      </c>
      <c r="H870" t="s">
        <v>2896</v>
      </c>
      <c r="I870">
        <v>28018</v>
      </c>
    </row>
    <row r="871" spans="1:9" x14ac:dyDescent="0.25">
      <c r="A871" t="s">
        <v>9616</v>
      </c>
      <c r="C871" t="s">
        <v>9617</v>
      </c>
      <c r="D871" t="s">
        <v>10121</v>
      </c>
      <c r="E871" t="s">
        <v>8967</v>
      </c>
      <c r="F871" s="1">
        <v>44176</v>
      </c>
      <c r="G871" t="str">
        <f>"300092"</f>
        <v>300092</v>
      </c>
      <c r="H871" t="s">
        <v>2160</v>
      </c>
      <c r="I871">
        <v>13500</v>
      </c>
    </row>
    <row r="872" spans="1:9" x14ac:dyDescent="0.25">
      <c r="A872" t="s">
        <v>9616</v>
      </c>
      <c r="C872" t="s">
        <v>9617</v>
      </c>
      <c r="D872" t="str">
        <f>"571020"</f>
        <v>571020</v>
      </c>
      <c r="E872" t="s">
        <v>10120</v>
      </c>
      <c r="F872" s="1">
        <v>44176</v>
      </c>
      <c r="G872" t="str">
        <f>"300101"</f>
        <v>300101</v>
      </c>
      <c r="H872" t="s">
        <v>2926</v>
      </c>
      <c r="I872">
        <v>3349.75</v>
      </c>
    </row>
    <row r="873" spans="1:9" x14ac:dyDescent="0.25">
      <c r="A873" t="s">
        <v>9616</v>
      </c>
      <c r="C873" t="s">
        <v>9617</v>
      </c>
      <c r="D873" t="str">
        <f>"10127805"</f>
        <v>10127805</v>
      </c>
      <c r="E873" t="s">
        <v>9189</v>
      </c>
      <c r="F873" s="1">
        <v>44176</v>
      </c>
      <c r="G873" t="str">
        <f>"300115"</f>
        <v>300115</v>
      </c>
      <c r="H873" t="s">
        <v>2938</v>
      </c>
      <c r="I873">
        <v>259274.565</v>
      </c>
    </row>
    <row r="874" spans="1:9" x14ac:dyDescent="0.25">
      <c r="A874" t="s">
        <v>9616</v>
      </c>
      <c r="C874" t="s">
        <v>9617</v>
      </c>
      <c r="D874" t="str">
        <f>"10127807"</f>
        <v>10127807</v>
      </c>
      <c r="E874" t="s">
        <v>2566</v>
      </c>
      <c r="F874" s="1">
        <v>44176</v>
      </c>
      <c r="G874" t="str">
        <f>"300115"</f>
        <v>300115</v>
      </c>
      <c r="H874" t="s">
        <v>2938</v>
      </c>
      <c r="I874">
        <v>194782.89600000001</v>
      </c>
    </row>
    <row r="875" spans="1:9" x14ac:dyDescent="0.25">
      <c r="A875" t="s">
        <v>9616</v>
      </c>
      <c r="C875" t="s">
        <v>9617</v>
      </c>
      <c r="D875" t="str">
        <f>"200949"</f>
        <v>200949</v>
      </c>
      <c r="E875" t="s">
        <v>9219</v>
      </c>
      <c r="F875" s="1">
        <v>44177</v>
      </c>
      <c r="G875" t="str">
        <f>"300081"</f>
        <v>300081</v>
      </c>
      <c r="H875" t="s">
        <v>2045</v>
      </c>
      <c r="I875">
        <v>136069.0968</v>
      </c>
    </row>
    <row r="876" spans="1:9" x14ac:dyDescent="0.25">
      <c r="A876" t="s">
        <v>9616</v>
      </c>
      <c r="C876" t="s">
        <v>9617</v>
      </c>
      <c r="D876" t="str">
        <f>"589920"</f>
        <v>589920</v>
      </c>
      <c r="E876" t="s">
        <v>10122</v>
      </c>
      <c r="F876" s="1">
        <v>44177</v>
      </c>
      <c r="G876" t="str">
        <f>"300101"</f>
        <v>300101</v>
      </c>
      <c r="H876" t="s">
        <v>2926</v>
      </c>
      <c r="I876">
        <v>3670.92</v>
      </c>
    </row>
    <row r="877" spans="1:9" x14ac:dyDescent="0.25">
      <c r="A877" t="s">
        <v>9616</v>
      </c>
      <c r="C877" t="s">
        <v>9617</v>
      </c>
      <c r="D877" t="str">
        <f>"55537"</f>
        <v>55537</v>
      </c>
      <c r="E877" t="s">
        <v>10123</v>
      </c>
      <c r="F877" s="1">
        <v>44179</v>
      </c>
      <c r="G877" t="str">
        <f>"300043"</f>
        <v>300043</v>
      </c>
      <c r="H877" t="s">
        <v>2876</v>
      </c>
      <c r="I877">
        <v>1056</v>
      </c>
    </row>
    <row r="878" spans="1:9" x14ac:dyDescent="0.25">
      <c r="A878" t="s">
        <v>9616</v>
      </c>
      <c r="C878" t="s">
        <v>9617</v>
      </c>
      <c r="D878" t="str">
        <f>"55681"</f>
        <v>55681</v>
      </c>
      <c r="E878" t="s">
        <v>10124</v>
      </c>
      <c r="F878" s="1">
        <v>44179</v>
      </c>
      <c r="G878" t="str">
        <f>"300043"</f>
        <v>300043</v>
      </c>
      <c r="H878" t="s">
        <v>2876</v>
      </c>
      <c r="I878">
        <v>663</v>
      </c>
    </row>
    <row r="879" spans="1:9" x14ac:dyDescent="0.25">
      <c r="A879" t="s">
        <v>9616</v>
      </c>
      <c r="C879" t="s">
        <v>9617</v>
      </c>
      <c r="D879" t="str">
        <f>"589820"</f>
        <v>589820</v>
      </c>
      <c r="E879" t="s">
        <v>10124</v>
      </c>
      <c r="F879" s="1">
        <v>44179</v>
      </c>
      <c r="G879" t="str">
        <f>"300101"</f>
        <v>300101</v>
      </c>
      <c r="H879" t="s">
        <v>2926</v>
      </c>
      <c r="I879">
        <v>3512.15</v>
      </c>
    </row>
    <row r="880" spans="1:9" x14ac:dyDescent="0.25">
      <c r="A880" t="s">
        <v>9616</v>
      </c>
      <c r="C880" t="s">
        <v>9617</v>
      </c>
      <c r="D880" t="s">
        <v>10125</v>
      </c>
      <c r="E880" t="s">
        <v>10126</v>
      </c>
      <c r="F880" s="1">
        <v>44179</v>
      </c>
      <c r="G880" t="str">
        <f>"300133"</f>
        <v>300133</v>
      </c>
      <c r="H880" t="s">
        <v>2955</v>
      </c>
      <c r="I880">
        <v>20318</v>
      </c>
    </row>
    <row r="881" spans="1:9" x14ac:dyDescent="0.25">
      <c r="A881" t="s">
        <v>9616</v>
      </c>
      <c r="C881" t="s">
        <v>9617</v>
      </c>
      <c r="D881" t="str">
        <f>"202008848"</f>
        <v>202008848</v>
      </c>
      <c r="E881" t="s">
        <v>10112</v>
      </c>
      <c r="F881" s="1">
        <v>44179</v>
      </c>
      <c r="G881" t="str">
        <f>"300191"</f>
        <v>300191</v>
      </c>
      <c r="H881" t="s">
        <v>3008</v>
      </c>
      <c r="I881">
        <v>3169.64</v>
      </c>
    </row>
    <row r="882" spans="1:9" x14ac:dyDescent="0.25">
      <c r="A882" t="s">
        <v>9616</v>
      </c>
      <c r="C882" t="s">
        <v>9617</v>
      </c>
      <c r="D882" t="str">
        <f>"55678"</f>
        <v>55678</v>
      </c>
      <c r="E882" t="s">
        <v>10122</v>
      </c>
      <c r="F882" s="1">
        <v>44180</v>
      </c>
      <c r="G882" t="str">
        <f>"300043"</f>
        <v>300043</v>
      </c>
      <c r="H882" t="s">
        <v>2876</v>
      </c>
      <c r="I882">
        <v>954</v>
      </c>
    </row>
    <row r="883" spans="1:9" x14ac:dyDescent="0.25">
      <c r="A883" t="s">
        <v>9616</v>
      </c>
      <c r="C883" t="s">
        <v>9617</v>
      </c>
      <c r="D883" t="str">
        <f>"55695"</f>
        <v>55695</v>
      </c>
      <c r="E883" t="s">
        <v>10127</v>
      </c>
      <c r="F883" s="1">
        <v>44181</v>
      </c>
      <c r="G883" t="str">
        <f>"300043"</f>
        <v>300043</v>
      </c>
      <c r="H883" t="s">
        <v>2876</v>
      </c>
      <c r="I883">
        <v>1164</v>
      </c>
    </row>
    <row r="884" spans="1:9" x14ac:dyDescent="0.25">
      <c r="A884" t="s">
        <v>9616</v>
      </c>
      <c r="C884" t="s">
        <v>9617</v>
      </c>
      <c r="D884" t="str">
        <f>"2007758"</f>
        <v>2007758</v>
      </c>
      <c r="E884" t="s">
        <v>10128</v>
      </c>
      <c r="F884" s="1">
        <v>44181</v>
      </c>
      <c r="G884" t="str">
        <f>"300064"</f>
        <v>300064</v>
      </c>
      <c r="H884" t="s">
        <v>2896</v>
      </c>
      <c r="I884">
        <v>39787</v>
      </c>
    </row>
    <row r="885" spans="1:9" x14ac:dyDescent="0.25">
      <c r="A885" t="s">
        <v>9616</v>
      </c>
      <c r="C885" t="s">
        <v>9617</v>
      </c>
      <c r="D885" t="str">
        <f>"2007759"</f>
        <v>2007759</v>
      </c>
      <c r="E885" t="s">
        <v>10033</v>
      </c>
      <c r="F885" s="1">
        <v>44181</v>
      </c>
      <c r="G885" t="str">
        <f>"300064"</f>
        <v>300064</v>
      </c>
      <c r="H885" t="s">
        <v>2896</v>
      </c>
      <c r="I885">
        <v>16625</v>
      </c>
    </row>
    <row r="886" spans="1:9" x14ac:dyDescent="0.25">
      <c r="A886" t="s">
        <v>9616</v>
      </c>
      <c r="C886" t="s">
        <v>9617</v>
      </c>
      <c r="D886" t="str">
        <f>"593620"</f>
        <v>593620</v>
      </c>
      <c r="E886" t="s">
        <v>10127</v>
      </c>
      <c r="F886" s="1">
        <v>44181</v>
      </c>
      <c r="G886" t="str">
        <f>"300101"</f>
        <v>300101</v>
      </c>
      <c r="H886" t="s">
        <v>2926</v>
      </c>
      <c r="I886">
        <v>3828.5</v>
      </c>
    </row>
    <row r="887" spans="1:9" x14ac:dyDescent="0.25">
      <c r="A887" t="s">
        <v>9616</v>
      </c>
      <c r="C887" t="s">
        <v>9617</v>
      </c>
      <c r="D887" t="str">
        <f>"56617"</f>
        <v>56617</v>
      </c>
      <c r="E887" t="s">
        <v>10129</v>
      </c>
      <c r="F887" s="1">
        <v>44182</v>
      </c>
      <c r="G887" t="str">
        <f>"300043"</f>
        <v>300043</v>
      </c>
      <c r="H887" t="s">
        <v>2876</v>
      </c>
      <c r="I887">
        <v>809</v>
      </c>
    </row>
    <row r="888" spans="1:9" x14ac:dyDescent="0.25">
      <c r="A888" t="s">
        <v>9616</v>
      </c>
      <c r="C888" t="s">
        <v>9617</v>
      </c>
      <c r="D888" t="str">
        <f>"588020"</f>
        <v>588020</v>
      </c>
      <c r="E888" t="s">
        <v>10129</v>
      </c>
      <c r="F888" s="1">
        <v>44182</v>
      </c>
      <c r="G888" t="str">
        <f>"300101"</f>
        <v>300101</v>
      </c>
      <c r="H888" t="s">
        <v>2926</v>
      </c>
      <c r="I888">
        <v>3348.64</v>
      </c>
    </row>
    <row r="889" spans="1:9" x14ac:dyDescent="0.25">
      <c r="A889" t="s">
        <v>9616</v>
      </c>
      <c r="C889" t="s">
        <v>9617</v>
      </c>
      <c r="D889" t="str">
        <f>"10127943"</f>
        <v>10127943</v>
      </c>
      <c r="E889" t="s">
        <v>10130</v>
      </c>
      <c r="F889" s="1">
        <v>44182</v>
      </c>
      <c r="G889" t="str">
        <f>"300115"</f>
        <v>300115</v>
      </c>
      <c r="H889" t="s">
        <v>2938</v>
      </c>
      <c r="I889">
        <v>137382.03599999999</v>
      </c>
    </row>
    <row r="890" spans="1:9" x14ac:dyDescent="0.25">
      <c r="A890" t="s">
        <v>9616</v>
      </c>
      <c r="C890" t="s">
        <v>9617</v>
      </c>
      <c r="D890" t="str">
        <f>"10127944"</f>
        <v>10127944</v>
      </c>
      <c r="E890" t="s">
        <v>9329</v>
      </c>
      <c r="F890" s="1">
        <v>44182</v>
      </c>
      <c r="G890" t="str">
        <f>"300115"</f>
        <v>300115</v>
      </c>
      <c r="H890" t="s">
        <v>2938</v>
      </c>
      <c r="I890">
        <v>138123.348</v>
      </c>
    </row>
    <row r="891" spans="1:9" x14ac:dyDescent="0.25">
      <c r="A891" t="s">
        <v>9616</v>
      </c>
      <c r="C891" t="s">
        <v>9617</v>
      </c>
      <c r="D891" t="str">
        <f>"10127953"</f>
        <v>10127953</v>
      </c>
      <c r="E891" t="s">
        <v>9189</v>
      </c>
      <c r="F891" s="1">
        <v>44182</v>
      </c>
      <c r="G891" t="str">
        <f>"300115"</f>
        <v>300115</v>
      </c>
      <c r="H891" t="s">
        <v>2938</v>
      </c>
      <c r="I891">
        <v>259274.565</v>
      </c>
    </row>
    <row r="892" spans="1:9" x14ac:dyDescent="0.25">
      <c r="A892" t="s">
        <v>9616</v>
      </c>
      <c r="C892" t="s">
        <v>9617</v>
      </c>
      <c r="D892" t="str">
        <f>"10127956"</f>
        <v>10127956</v>
      </c>
      <c r="E892" t="s">
        <v>2172</v>
      </c>
      <c r="F892" s="1">
        <v>44182</v>
      </c>
      <c r="G892" t="str">
        <f>"300115"</f>
        <v>300115</v>
      </c>
      <c r="H892" t="s">
        <v>2938</v>
      </c>
      <c r="I892">
        <v>275114.27899999998</v>
      </c>
    </row>
    <row r="893" spans="1:9" x14ac:dyDescent="0.25">
      <c r="A893" t="s">
        <v>9616</v>
      </c>
      <c r="C893" t="s">
        <v>9617</v>
      </c>
      <c r="D893" t="str">
        <f>"202008977"</f>
        <v>202008977</v>
      </c>
      <c r="E893" t="s">
        <v>10123</v>
      </c>
      <c r="F893" s="1">
        <v>44182</v>
      </c>
      <c r="G893" t="str">
        <f>"300191"</f>
        <v>300191</v>
      </c>
      <c r="H893" t="s">
        <v>3008</v>
      </c>
      <c r="I893">
        <v>3174.15</v>
      </c>
    </row>
    <row r="894" spans="1:9" x14ac:dyDescent="0.25">
      <c r="A894" t="s">
        <v>9616</v>
      </c>
      <c r="C894" t="s">
        <v>9617</v>
      </c>
      <c r="D894" t="str">
        <f>"56742"</f>
        <v>56742</v>
      </c>
      <c r="E894" t="s">
        <v>10131</v>
      </c>
      <c r="F894" s="1">
        <v>44183</v>
      </c>
      <c r="G894" t="str">
        <f>"300043"</f>
        <v>300043</v>
      </c>
      <c r="H894" t="s">
        <v>2876</v>
      </c>
      <c r="I894">
        <v>828</v>
      </c>
    </row>
    <row r="895" spans="1:9" x14ac:dyDescent="0.25">
      <c r="A895" t="s">
        <v>9616</v>
      </c>
      <c r="C895" t="s">
        <v>9617</v>
      </c>
      <c r="D895" t="str">
        <f>"2001583"</f>
        <v>2001583</v>
      </c>
      <c r="E895" t="s">
        <v>10132</v>
      </c>
      <c r="F895" s="1">
        <v>44183</v>
      </c>
      <c r="G895" t="str">
        <f>"300064"</f>
        <v>300064</v>
      </c>
      <c r="H895" t="s">
        <v>2896</v>
      </c>
      <c r="I895">
        <v>26130</v>
      </c>
    </row>
    <row r="896" spans="1:9" x14ac:dyDescent="0.25">
      <c r="A896" t="s">
        <v>9616</v>
      </c>
      <c r="C896" t="s">
        <v>9617</v>
      </c>
      <c r="D896" t="str">
        <f>"2007883"</f>
        <v>2007883</v>
      </c>
      <c r="E896" t="s">
        <v>9925</v>
      </c>
      <c r="F896" s="1">
        <v>44183</v>
      </c>
      <c r="G896" t="str">
        <f>"300064"</f>
        <v>300064</v>
      </c>
      <c r="H896" t="s">
        <v>2896</v>
      </c>
      <c r="I896">
        <v>41922</v>
      </c>
    </row>
    <row r="897" spans="1:9" x14ac:dyDescent="0.25">
      <c r="A897" t="s">
        <v>9616</v>
      </c>
      <c r="C897" t="s">
        <v>9617</v>
      </c>
      <c r="D897" t="str">
        <f>"10127989"</f>
        <v>10127989</v>
      </c>
      <c r="E897" t="s">
        <v>9337</v>
      </c>
      <c r="F897" s="1">
        <v>44183</v>
      </c>
      <c r="G897" t="str">
        <f>"300115"</f>
        <v>300115</v>
      </c>
      <c r="H897" t="s">
        <v>2938</v>
      </c>
      <c r="I897">
        <v>249414.3916</v>
      </c>
    </row>
    <row r="898" spans="1:9" x14ac:dyDescent="0.25">
      <c r="A898" t="s">
        <v>9616</v>
      </c>
      <c r="C898" t="s">
        <v>9617</v>
      </c>
      <c r="D898" t="str">
        <f>"57066"</f>
        <v>57066</v>
      </c>
      <c r="E898" t="s">
        <v>10133</v>
      </c>
      <c r="F898" s="1">
        <v>44186</v>
      </c>
      <c r="G898" t="str">
        <f>"300043"</f>
        <v>300043</v>
      </c>
      <c r="H898" t="s">
        <v>2876</v>
      </c>
      <c r="I898">
        <v>1024</v>
      </c>
    </row>
    <row r="899" spans="1:9" x14ac:dyDescent="0.25">
      <c r="A899" t="s">
        <v>9616</v>
      </c>
      <c r="C899" t="s">
        <v>9617</v>
      </c>
      <c r="D899" t="str">
        <f>"57128"</f>
        <v>57128</v>
      </c>
      <c r="E899" t="s">
        <v>10134</v>
      </c>
      <c r="F899" s="1">
        <v>44186</v>
      </c>
      <c r="G899" t="str">
        <f>"300043"</f>
        <v>300043</v>
      </c>
      <c r="H899" t="s">
        <v>2876</v>
      </c>
      <c r="I899">
        <v>617</v>
      </c>
    </row>
    <row r="900" spans="1:9" x14ac:dyDescent="0.25">
      <c r="A900" t="s">
        <v>9616</v>
      </c>
      <c r="C900" t="s">
        <v>9617</v>
      </c>
      <c r="D900" t="str">
        <f>"592120"</f>
        <v>592120</v>
      </c>
      <c r="E900" t="s">
        <v>10134</v>
      </c>
      <c r="F900" s="1">
        <v>44186</v>
      </c>
      <c r="G900" t="str">
        <f>"300101"</f>
        <v>300101</v>
      </c>
      <c r="H900" t="s">
        <v>2926</v>
      </c>
      <c r="I900">
        <v>3509.55</v>
      </c>
    </row>
    <row r="901" spans="1:9" x14ac:dyDescent="0.25">
      <c r="A901" t="s">
        <v>9616</v>
      </c>
      <c r="C901" t="s">
        <v>9617</v>
      </c>
      <c r="D901" t="str">
        <f>"57247"</f>
        <v>57247</v>
      </c>
      <c r="E901" t="s">
        <v>10135</v>
      </c>
      <c r="F901" s="1">
        <v>44187</v>
      </c>
      <c r="G901" t="str">
        <f>"300043"</f>
        <v>300043</v>
      </c>
      <c r="H901" t="s">
        <v>2876</v>
      </c>
      <c r="I901">
        <v>620</v>
      </c>
    </row>
    <row r="902" spans="1:9" x14ac:dyDescent="0.25">
      <c r="A902" t="s">
        <v>9616</v>
      </c>
      <c r="C902" t="s">
        <v>9617</v>
      </c>
      <c r="D902" t="str">
        <f>"57248"</f>
        <v>57248</v>
      </c>
      <c r="E902" t="s">
        <v>10136</v>
      </c>
      <c r="F902" s="1">
        <v>44187</v>
      </c>
      <c r="G902" t="str">
        <f>"300043"</f>
        <v>300043</v>
      </c>
      <c r="H902" t="s">
        <v>2876</v>
      </c>
      <c r="I902">
        <v>1074</v>
      </c>
    </row>
    <row r="903" spans="1:9" x14ac:dyDescent="0.25">
      <c r="A903" t="s">
        <v>9616</v>
      </c>
      <c r="C903" t="s">
        <v>9617</v>
      </c>
      <c r="D903" t="str">
        <f>"591920"</f>
        <v>591920</v>
      </c>
      <c r="E903" t="s">
        <v>10136</v>
      </c>
      <c r="F903" s="1">
        <v>44187</v>
      </c>
      <c r="G903" t="str">
        <f>"300101"</f>
        <v>300101</v>
      </c>
      <c r="H903" t="s">
        <v>2926</v>
      </c>
      <c r="I903">
        <v>3519.82</v>
      </c>
    </row>
    <row r="904" spans="1:9" x14ac:dyDescent="0.25">
      <c r="A904" t="s">
        <v>9616</v>
      </c>
      <c r="C904" t="s">
        <v>9617</v>
      </c>
      <c r="D904" t="str">
        <f>"592020"</f>
        <v>592020</v>
      </c>
      <c r="E904" t="s">
        <v>10135</v>
      </c>
      <c r="F904" s="1">
        <v>44187</v>
      </c>
      <c r="G904" t="str">
        <f>"300101"</f>
        <v>300101</v>
      </c>
      <c r="H904" t="s">
        <v>2926</v>
      </c>
      <c r="I904">
        <v>3679.07</v>
      </c>
    </row>
    <row r="905" spans="1:9" x14ac:dyDescent="0.25">
      <c r="A905" t="s">
        <v>9616</v>
      </c>
      <c r="C905" t="s">
        <v>9617</v>
      </c>
      <c r="D905" t="str">
        <f>"10128069"</f>
        <v>10128069</v>
      </c>
      <c r="E905" t="s">
        <v>2430</v>
      </c>
      <c r="F905" s="1">
        <v>44187</v>
      </c>
      <c r="G905" t="str">
        <f>"300115"</f>
        <v>300115</v>
      </c>
      <c r="H905" t="s">
        <v>2938</v>
      </c>
      <c r="I905">
        <v>143323.62880000001</v>
      </c>
    </row>
    <row r="906" spans="1:9" x14ac:dyDescent="0.25">
      <c r="A906" t="s">
        <v>9616</v>
      </c>
      <c r="C906" t="s">
        <v>9617</v>
      </c>
      <c r="D906" t="str">
        <f>"58183"</f>
        <v>58183</v>
      </c>
      <c r="E906" t="s">
        <v>10137</v>
      </c>
      <c r="F906" s="1">
        <v>44189</v>
      </c>
      <c r="G906" t="str">
        <f>"300043"</f>
        <v>300043</v>
      </c>
      <c r="H906" t="s">
        <v>2876</v>
      </c>
      <c r="I906">
        <v>641</v>
      </c>
    </row>
    <row r="907" spans="1:9" x14ac:dyDescent="0.25">
      <c r="A907" t="s">
        <v>9616</v>
      </c>
      <c r="C907" t="s">
        <v>9617</v>
      </c>
      <c r="D907" t="str">
        <f>"596220"</f>
        <v>596220</v>
      </c>
      <c r="E907" t="s">
        <v>10137</v>
      </c>
      <c r="F907" s="1">
        <v>44189</v>
      </c>
      <c r="G907" t="str">
        <f>"300101"</f>
        <v>300101</v>
      </c>
      <c r="H907" t="s">
        <v>2926</v>
      </c>
      <c r="I907">
        <v>3359.91</v>
      </c>
    </row>
    <row r="908" spans="1:9" x14ac:dyDescent="0.25">
      <c r="A908" t="s">
        <v>9616</v>
      </c>
      <c r="C908" t="s">
        <v>9617</v>
      </c>
      <c r="D908" t="str">
        <f>"202009274"</f>
        <v>202009274</v>
      </c>
      <c r="E908" t="s">
        <v>10131</v>
      </c>
      <c r="F908" s="1">
        <v>44193</v>
      </c>
      <c r="G908" t="str">
        <f>"300191"</f>
        <v>300191</v>
      </c>
      <c r="H908" t="s">
        <v>3008</v>
      </c>
      <c r="I908">
        <v>3171.95</v>
      </c>
    </row>
    <row r="909" spans="1:9" x14ac:dyDescent="0.25">
      <c r="A909" t="s">
        <v>9616</v>
      </c>
      <c r="C909" t="s">
        <v>9617</v>
      </c>
      <c r="D909" t="str">
        <f>"10128101"</f>
        <v>10128101</v>
      </c>
      <c r="E909" t="s">
        <v>9249</v>
      </c>
      <c r="F909" s="1">
        <v>44194</v>
      </c>
      <c r="G909" t="str">
        <f>"300115"</f>
        <v>300115</v>
      </c>
      <c r="H909" t="s">
        <v>2938</v>
      </c>
      <c r="I909">
        <v>150602.1</v>
      </c>
    </row>
    <row r="910" spans="1:9" x14ac:dyDescent="0.25">
      <c r="A910" t="s">
        <v>9616</v>
      </c>
      <c r="C910" t="s">
        <v>9617</v>
      </c>
      <c r="D910" t="str">
        <f>"202009328"</f>
        <v>202009328</v>
      </c>
      <c r="E910" t="s">
        <v>10133</v>
      </c>
      <c r="F910" s="1">
        <v>44194</v>
      </c>
      <c r="G910" t="str">
        <f>"300191"</f>
        <v>300191</v>
      </c>
      <c r="H910" t="s">
        <v>3008</v>
      </c>
      <c r="I910">
        <v>3332.7</v>
      </c>
    </row>
    <row r="911" spans="1:9" x14ac:dyDescent="0.25">
      <c r="A911" t="s">
        <v>9616</v>
      </c>
      <c r="C911" t="s">
        <v>9617</v>
      </c>
      <c r="D911" t="str">
        <f>"59077"</f>
        <v>59077</v>
      </c>
      <c r="E911" t="s">
        <v>10138</v>
      </c>
      <c r="F911" s="1">
        <v>44195</v>
      </c>
      <c r="G911" t="str">
        <f>"300043"</f>
        <v>300043</v>
      </c>
      <c r="H911" t="s">
        <v>2876</v>
      </c>
      <c r="I911">
        <v>664</v>
      </c>
    </row>
    <row r="912" spans="1:9" x14ac:dyDescent="0.25">
      <c r="A912" t="s">
        <v>9616</v>
      </c>
      <c r="C912" t="s">
        <v>9617</v>
      </c>
      <c r="D912" t="str">
        <f>"601020"</f>
        <v>601020</v>
      </c>
      <c r="E912" t="s">
        <v>10137</v>
      </c>
      <c r="F912" s="1">
        <v>44195</v>
      </c>
      <c r="G912" t="str">
        <f>"300101"</f>
        <v>300101</v>
      </c>
      <c r="H912" t="s">
        <v>2926</v>
      </c>
      <c r="I912">
        <v>477.63</v>
      </c>
    </row>
    <row r="913" spans="1:9" x14ac:dyDescent="0.25">
      <c r="A913" t="s">
        <v>9616</v>
      </c>
      <c r="C913" t="s">
        <v>9617</v>
      </c>
      <c r="D913" t="str">
        <f>"607620"</f>
        <v>607620</v>
      </c>
      <c r="E913" t="s">
        <v>10138</v>
      </c>
      <c r="F913" s="1">
        <v>44195</v>
      </c>
      <c r="G913" t="str">
        <f>"300101"</f>
        <v>300101</v>
      </c>
      <c r="H913" t="s">
        <v>2926</v>
      </c>
      <c r="I913">
        <v>3201.41</v>
      </c>
    </row>
    <row r="914" spans="1:9" x14ac:dyDescent="0.25">
      <c r="A914" t="s">
        <v>9616</v>
      </c>
      <c r="C914" t="s">
        <v>9617</v>
      </c>
      <c r="D914" t="str">
        <f>"10128105"</f>
        <v>10128105</v>
      </c>
      <c r="E914" t="s">
        <v>9183</v>
      </c>
      <c r="F914" s="1">
        <v>44195</v>
      </c>
      <c r="G914" t="str">
        <f>"300115"</f>
        <v>300115</v>
      </c>
      <c r="H914" t="s">
        <v>2938</v>
      </c>
      <c r="I914">
        <v>137380.4289</v>
      </c>
    </row>
    <row r="915" spans="1:9" x14ac:dyDescent="0.25">
      <c r="A915" t="s">
        <v>9616</v>
      </c>
      <c r="C915" t="s">
        <v>9617</v>
      </c>
      <c r="D915" t="str">
        <f>"019120"</f>
        <v>019120</v>
      </c>
      <c r="E915" t="s">
        <v>10123</v>
      </c>
      <c r="F915" s="1">
        <v>44196</v>
      </c>
      <c r="G915" t="str">
        <f>"300192"</f>
        <v>300192</v>
      </c>
      <c r="H915" t="s">
        <v>3009</v>
      </c>
      <c r="I915">
        <v>12500</v>
      </c>
    </row>
    <row r="916" spans="1:9" x14ac:dyDescent="0.25">
      <c r="A916" t="s">
        <v>9616</v>
      </c>
      <c r="C916" t="s">
        <v>9617</v>
      </c>
      <c r="D916" t="str">
        <f>"019220"</f>
        <v>019220</v>
      </c>
      <c r="E916" t="s">
        <v>10131</v>
      </c>
      <c r="F916" s="1">
        <v>44196</v>
      </c>
      <c r="G916" t="str">
        <f>"300192"</f>
        <v>300192</v>
      </c>
      <c r="H916" t="s">
        <v>3009</v>
      </c>
      <c r="I916">
        <v>12500</v>
      </c>
    </row>
    <row r="917" spans="1:9" x14ac:dyDescent="0.25">
      <c r="A917" t="s">
        <v>9616</v>
      </c>
      <c r="C917" t="s">
        <v>9617</v>
      </c>
      <c r="D917" t="str">
        <f>"019320"</f>
        <v>019320</v>
      </c>
      <c r="E917" t="s">
        <v>10133</v>
      </c>
      <c r="F917" s="1">
        <v>44196</v>
      </c>
      <c r="G917" t="str">
        <f>"300192"</f>
        <v>300192</v>
      </c>
      <c r="H917" t="s">
        <v>3009</v>
      </c>
      <c r="I917">
        <v>12500</v>
      </c>
    </row>
    <row r="918" spans="1:9" x14ac:dyDescent="0.25">
      <c r="A918" t="s">
        <v>9616</v>
      </c>
      <c r="C918" t="s">
        <v>9617</v>
      </c>
      <c r="D918" t="str">
        <f>"00146"</f>
        <v>00146</v>
      </c>
      <c r="E918" s="4">
        <v>44197</v>
      </c>
      <c r="F918" s="1">
        <v>44200</v>
      </c>
      <c r="G918" t="str">
        <f>"300043"</f>
        <v>300043</v>
      </c>
      <c r="H918" t="s">
        <v>2876</v>
      </c>
      <c r="I918">
        <v>621</v>
      </c>
    </row>
    <row r="919" spans="1:9" x14ac:dyDescent="0.25">
      <c r="A919" t="s">
        <v>9616</v>
      </c>
      <c r="C919" t="s">
        <v>9617</v>
      </c>
      <c r="D919" t="str">
        <f>"0621"</f>
        <v>0621</v>
      </c>
      <c r="E919" s="4">
        <v>44197</v>
      </c>
      <c r="F919" s="1">
        <v>44200</v>
      </c>
      <c r="G919" t="str">
        <f>"300101"</f>
        <v>300101</v>
      </c>
      <c r="H919" t="s">
        <v>2926</v>
      </c>
      <c r="I919">
        <v>3678.43</v>
      </c>
    </row>
    <row r="920" spans="1:9" x14ac:dyDescent="0.25">
      <c r="A920" t="s">
        <v>9616</v>
      </c>
      <c r="C920" t="s">
        <v>9617</v>
      </c>
      <c r="D920" t="str">
        <f>"10128131"</f>
        <v>10128131</v>
      </c>
      <c r="E920" t="s">
        <v>9189</v>
      </c>
      <c r="F920" s="1">
        <v>44201</v>
      </c>
      <c r="G920" t="str">
        <f>"300115"</f>
        <v>300115</v>
      </c>
      <c r="H920" t="s">
        <v>2938</v>
      </c>
      <c r="I920">
        <v>278418.712</v>
      </c>
    </row>
    <row r="921" spans="1:9" x14ac:dyDescent="0.25">
      <c r="A921" t="s">
        <v>9616</v>
      </c>
      <c r="C921" t="s">
        <v>9617</v>
      </c>
      <c r="D921" t="s">
        <v>10139</v>
      </c>
      <c r="E921" t="s">
        <v>10140</v>
      </c>
      <c r="F921" s="1">
        <v>44201</v>
      </c>
      <c r="G921" t="str">
        <f>"300133"</f>
        <v>300133</v>
      </c>
      <c r="H921" t="s">
        <v>2955</v>
      </c>
      <c r="I921">
        <v>48828</v>
      </c>
    </row>
    <row r="922" spans="1:9" x14ac:dyDescent="0.25">
      <c r="A922" t="s">
        <v>9616</v>
      </c>
      <c r="C922" t="s">
        <v>9617</v>
      </c>
      <c r="D922" t="s">
        <v>10141</v>
      </c>
      <c r="E922" t="s">
        <v>9579</v>
      </c>
      <c r="F922" s="1">
        <v>44201</v>
      </c>
      <c r="G922" t="str">
        <f>"300133"</f>
        <v>300133</v>
      </c>
      <c r="H922" t="s">
        <v>2955</v>
      </c>
      <c r="I922">
        <v>27756</v>
      </c>
    </row>
    <row r="923" spans="1:9" x14ac:dyDescent="0.25">
      <c r="A923" t="s">
        <v>9616</v>
      </c>
      <c r="C923" t="s">
        <v>9617</v>
      </c>
      <c r="D923" t="s">
        <v>10142</v>
      </c>
      <c r="E923" t="s">
        <v>10126</v>
      </c>
      <c r="F923" s="1">
        <v>44201</v>
      </c>
      <c r="G923" t="str">
        <f>"300133"</f>
        <v>300133</v>
      </c>
      <c r="H923" t="s">
        <v>2955</v>
      </c>
      <c r="I923">
        <v>20936</v>
      </c>
    </row>
    <row r="924" spans="1:9" x14ac:dyDescent="0.25">
      <c r="A924" t="s">
        <v>9616</v>
      </c>
      <c r="C924" t="s">
        <v>9617</v>
      </c>
      <c r="D924" t="str">
        <f>"00611"</f>
        <v>00611</v>
      </c>
      <c r="E924" t="s">
        <v>10143</v>
      </c>
      <c r="F924" s="1">
        <v>44202</v>
      </c>
      <c r="G924" t="str">
        <f>"300043"</f>
        <v>300043</v>
      </c>
      <c r="H924" t="s">
        <v>2876</v>
      </c>
      <c r="I924">
        <v>1113</v>
      </c>
    </row>
    <row r="925" spans="1:9" x14ac:dyDescent="0.25">
      <c r="A925" t="s">
        <v>9616</v>
      </c>
      <c r="C925" t="s">
        <v>9617</v>
      </c>
      <c r="D925" t="str">
        <f>"10128132"</f>
        <v>10128132</v>
      </c>
      <c r="E925" t="s">
        <v>9360</v>
      </c>
      <c r="F925" s="1">
        <v>44203</v>
      </c>
      <c r="G925" t="str">
        <f>"300115"</f>
        <v>300115</v>
      </c>
      <c r="H925" t="s">
        <v>2938</v>
      </c>
      <c r="I925">
        <v>249728.4768</v>
      </c>
    </row>
    <row r="926" spans="1:9" x14ac:dyDescent="0.25">
      <c r="A926" t="s">
        <v>9616</v>
      </c>
      <c r="C926" t="s">
        <v>9617</v>
      </c>
      <c r="D926" t="str">
        <f>"00994"</f>
        <v>00994</v>
      </c>
      <c r="E926" t="s">
        <v>10144</v>
      </c>
      <c r="F926" s="1">
        <v>44204</v>
      </c>
      <c r="G926" t="str">
        <f>"300043"</f>
        <v>300043</v>
      </c>
      <c r="H926" t="s">
        <v>2876</v>
      </c>
      <c r="I926">
        <v>1016</v>
      </c>
    </row>
    <row r="927" spans="1:9" x14ac:dyDescent="0.25">
      <c r="A927" t="s">
        <v>9616</v>
      </c>
      <c r="C927" t="s">
        <v>9617</v>
      </c>
      <c r="D927" t="s">
        <v>10145</v>
      </c>
      <c r="E927" t="s">
        <v>10146</v>
      </c>
      <c r="F927" s="1">
        <v>44204</v>
      </c>
      <c r="G927" t="str">
        <f>"300133"</f>
        <v>300133</v>
      </c>
      <c r="H927" t="s">
        <v>2955</v>
      </c>
      <c r="I927">
        <v>5940</v>
      </c>
    </row>
    <row r="928" spans="1:9" x14ac:dyDescent="0.25">
      <c r="A928" t="s">
        <v>9616</v>
      </c>
      <c r="C928" t="s">
        <v>9617</v>
      </c>
      <c r="D928" t="str">
        <f>"10128223"</f>
        <v>10128223</v>
      </c>
      <c r="E928" t="s">
        <v>10147</v>
      </c>
      <c r="F928" s="1">
        <v>44208</v>
      </c>
      <c r="G928" t="str">
        <f>"300115"</f>
        <v>300115</v>
      </c>
      <c r="H928" t="s">
        <v>2938</v>
      </c>
      <c r="I928">
        <v>259692.74100000001</v>
      </c>
    </row>
    <row r="929" spans="1:9" x14ac:dyDescent="0.25">
      <c r="A929" t="s">
        <v>9616</v>
      </c>
      <c r="C929" t="s">
        <v>9617</v>
      </c>
      <c r="D929" t="str">
        <f>"10128224"</f>
        <v>10128224</v>
      </c>
      <c r="E929" t="s">
        <v>10147</v>
      </c>
      <c r="F929" s="1">
        <v>44208</v>
      </c>
      <c r="G929" t="str">
        <f>"300115"</f>
        <v>300115</v>
      </c>
      <c r="H929" t="s">
        <v>2938</v>
      </c>
      <c r="I929">
        <v>259692.74100000001</v>
      </c>
    </row>
    <row r="930" spans="1:9" x14ac:dyDescent="0.25">
      <c r="A930" t="s">
        <v>9616</v>
      </c>
      <c r="C930" t="s">
        <v>9617</v>
      </c>
      <c r="D930" t="str">
        <f>"210038"</f>
        <v>210038</v>
      </c>
      <c r="E930" t="str">
        <f>"210038"</f>
        <v>210038</v>
      </c>
      <c r="F930" s="1">
        <v>44209</v>
      </c>
      <c r="G930" t="str">
        <f>"300092"</f>
        <v>300092</v>
      </c>
      <c r="H930" t="s">
        <v>2160</v>
      </c>
      <c r="I930">
        <v>41548</v>
      </c>
    </row>
    <row r="931" spans="1:9" x14ac:dyDescent="0.25">
      <c r="A931" t="s">
        <v>9616</v>
      </c>
      <c r="C931" t="s">
        <v>9617</v>
      </c>
      <c r="D931" t="str">
        <f>"10128250"</f>
        <v>10128250</v>
      </c>
      <c r="E931" t="s">
        <v>9191</v>
      </c>
      <c r="F931" s="1">
        <v>44209</v>
      </c>
      <c r="G931" t="str">
        <f>"300115"</f>
        <v>300115</v>
      </c>
      <c r="H931" t="s">
        <v>2938</v>
      </c>
      <c r="I931">
        <v>126182.463</v>
      </c>
    </row>
    <row r="932" spans="1:9" x14ac:dyDescent="0.25">
      <c r="A932" t="s">
        <v>9616</v>
      </c>
      <c r="C932" t="s">
        <v>9617</v>
      </c>
      <c r="D932" t="str">
        <f>"10128251"</f>
        <v>10128251</v>
      </c>
      <c r="E932" t="s">
        <v>8852</v>
      </c>
      <c r="F932" s="1">
        <v>44209</v>
      </c>
      <c r="G932" t="str">
        <f>"300115"</f>
        <v>300115</v>
      </c>
      <c r="H932" t="s">
        <v>2938</v>
      </c>
      <c r="I932">
        <v>155691.52830000001</v>
      </c>
    </row>
    <row r="933" spans="1:9" x14ac:dyDescent="0.25">
      <c r="A933" t="s">
        <v>9616</v>
      </c>
      <c r="C933" t="s">
        <v>9617</v>
      </c>
      <c r="D933" t="str">
        <f>"01846"</f>
        <v>01846</v>
      </c>
      <c r="E933" t="s">
        <v>10148</v>
      </c>
      <c r="F933" s="1">
        <v>44210</v>
      </c>
      <c r="G933" t="str">
        <f>"300043"</f>
        <v>300043</v>
      </c>
      <c r="H933" t="s">
        <v>2876</v>
      </c>
      <c r="I933">
        <v>1047</v>
      </c>
    </row>
    <row r="934" spans="1:9" x14ac:dyDescent="0.25">
      <c r="A934" t="s">
        <v>9616</v>
      </c>
      <c r="C934" t="s">
        <v>9617</v>
      </c>
      <c r="D934" t="str">
        <f>"01867"</f>
        <v>01867</v>
      </c>
      <c r="E934" t="s">
        <v>10149</v>
      </c>
      <c r="F934" s="1">
        <v>44210</v>
      </c>
      <c r="G934" t="str">
        <f>"300043"</f>
        <v>300043</v>
      </c>
      <c r="H934" t="s">
        <v>2876</v>
      </c>
      <c r="I934">
        <v>1047</v>
      </c>
    </row>
    <row r="935" spans="1:9" x14ac:dyDescent="0.25">
      <c r="A935" t="s">
        <v>9616</v>
      </c>
      <c r="C935" t="s">
        <v>9617</v>
      </c>
      <c r="D935" t="str">
        <f>"121310029"</f>
        <v>121310029</v>
      </c>
      <c r="E935" t="s">
        <v>9714</v>
      </c>
      <c r="F935" s="1">
        <v>44210</v>
      </c>
      <c r="G935" t="str">
        <f>"300080"</f>
        <v>300080</v>
      </c>
      <c r="H935" t="s">
        <v>2907</v>
      </c>
      <c r="I935">
        <v>64702.637999999999</v>
      </c>
    </row>
    <row r="936" spans="1:9" x14ac:dyDescent="0.25">
      <c r="A936" t="s">
        <v>9616</v>
      </c>
      <c r="C936" t="s">
        <v>9617</v>
      </c>
      <c r="D936" t="s">
        <v>10150</v>
      </c>
      <c r="E936" t="s">
        <v>10151</v>
      </c>
      <c r="F936" s="1">
        <v>44210</v>
      </c>
      <c r="G936" t="str">
        <f>"300092"</f>
        <v>300092</v>
      </c>
      <c r="H936" t="s">
        <v>2160</v>
      </c>
      <c r="I936">
        <v>56037.8</v>
      </c>
    </row>
    <row r="937" spans="1:9" x14ac:dyDescent="0.25">
      <c r="A937" t="s">
        <v>9616</v>
      </c>
      <c r="C937" t="s">
        <v>9617</v>
      </c>
      <c r="D937" t="str">
        <f>"10128282"</f>
        <v>10128282</v>
      </c>
      <c r="E937" t="s">
        <v>9183</v>
      </c>
      <c r="F937" s="1">
        <v>44210</v>
      </c>
      <c r="G937" t="str">
        <f>"300115"</f>
        <v>300115</v>
      </c>
      <c r="H937" t="s">
        <v>2938</v>
      </c>
      <c r="I937">
        <v>137382.03599999999</v>
      </c>
    </row>
    <row r="938" spans="1:9" x14ac:dyDescent="0.25">
      <c r="A938" t="s">
        <v>9616</v>
      </c>
      <c r="C938" t="s">
        <v>9617</v>
      </c>
      <c r="D938" t="str">
        <f>"100036762"</f>
        <v>100036762</v>
      </c>
      <c r="E938" t="s">
        <v>10152</v>
      </c>
      <c r="F938" s="1">
        <v>44210</v>
      </c>
      <c r="G938" t="str">
        <f>"300226"</f>
        <v>300226</v>
      </c>
      <c r="H938" t="s">
        <v>3025</v>
      </c>
      <c r="I938">
        <v>97259</v>
      </c>
    </row>
    <row r="939" spans="1:9" x14ac:dyDescent="0.25">
      <c r="A939" t="s">
        <v>9616</v>
      </c>
      <c r="C939" t="s">
        <v>9617</v>
      </c>
      <c r="D939" t="s">
        <v>10153</v>
      </c>
      <c r="E939" t="s">
        <v>10154</v>
      </c>
      <c r="F939" s="1">
        <v>44211</v>
      </c>
      <c r="G939" t="str">
        <f>"300133"</f>
        <v>300133</v>
      </c>
      <c r="H939" t="s">
        <v>2955</v>
      </c>
      <c r="I939">
        <v>5108.3999999999996</v>
      </c>
    </row>
    <row r="940" spans="1:9" x14ac:dyDescent="0.25">
      <c r="A940" t="s">
        <v>9616</v>
      </c>
      <c r="C940" t="s">
        <v>9617</v>
      </c>
      <c r="D940" t="s">
        <v>10155</v>
      </c>
      <c r="E940" t="s">
        <v>9565</v>
      </c>
      <c r="F940" s="1">
        <v>44211</v>
      </c>
      <c r="G940" t="str">
        <f>"300133"</f>
        <v>300133</v>
      </c>
      <c r="H940" t="s">
        <v>2955</v>
      </c>
      <c r="I940">
        <v>22243</v>
      </c>
    </row>
    <row r="941" spans="1:9" x14ac:dyDescent="0.25">
      <c r="A941" t="s">
        <v>9616</v>
      </c>
      <c r="C941" t="s">
        <v>9617</v>
      </c>
      <c r="D941" t="str">
        <f>"202100228"</f>
        <v>202100228</v>
      </c>
      <c r="E941" t="s">
        <v>10144</v>
      </c>
      <c r="F941" s="1">
        <v>44211</v>
      </c>
      <c r="G941" t="str">
        <f>"300191"</f>
        <v>300191</v>
      </c>
      <c r="H941" t="s">
        <v>3008</v>
      </c>
      <c r="I941">
        <v>3178.17</v>
      </c>
    </row>
    <row r="942" spans="1:9" x14ac:dyDescent="0.25">
      <c r="A942" t="s">
        <v>9616</v>
      </c>
      <c r="C942" t="s">
        <v>9617</v>
      </c>
      <c r="D942" t="str">
        <f>"202100230"</f>
        <v>202100230</v>
      </c>
      <c r="E942" t="s">
        <v>10143</v>
      </c>
      <c r="F942" s="1">
        <v>44211</v>
      </c>
      <c r="G942" t="str">
        <f>"300191"</f>
        <v>300191</v>
      </c>
      <c r="H942" t="s">
        <v>3008</v>
      </c>
      <c r="I942">
        <v>3162.21</v>
      </c>
    </row>
    <row r="943" spans="1:9" x14ac:dyDescent="0.25">
      <c r="A943" t="s">
        <v>9616</v>
      </c>
      <c r="C943" t="s">
        <v>9617</v>
      </c>
      <c r="D943" t="str">
        <f>"02432"</f>
        <v>02432</v>
      </c>
      <c r="E943" s="4">
        <v>44256</v>
      </c>
      <c r="F943" s="1">
        <v>44214</v>
      </c>
      <c r="G943" t="str">
        <f>"300043"</f>
        <v>300043</v>
      </c>
      <c r="H943" t="s">
        <v>2876</v>
      </c>
      <c r="I943">
        <v>614</v>
      </c>
    </row>
    <row r="944" spans="1:9" x14ac:dyDescent="0.25">
      <c r="A944" t="s">
        <v>9616</v>
      </c>
      <c r="C944" t="s">
        <v>9617</v>
      </c>
      <c r="D944" t="str">
        <f>"18535"</f>
        <v>18535</v>
      </c>
      <c r="E944" s="4">
        <v>44228</v>
      </c>
      <c r="F944" s="1">
        <v>44214</v>
      </c>
      <c r="G944" t="str">
        <f>"300043"</f>
        <v>300043</v>
      </c>
      <c r="H944" t="s">
        <v>2876</v>
      </c>
      <c r="I944">
        <v>1089</v>
      </c>
    </row>
    <row r="945" spans="1:9" x14ac:dyDescent="0.25">
      <c r="A945" t="s">
        <v>9616</v>
      </c>
      <c r="C945" t="s">
        <v>9617</v>
      </c>
      <c r="D945" t="str">
        <f>"17121"</f>
        <v>17121</v>
      </c>
      <c r="E945" s="4">
        <v>44228</v>
      </c>
      <c r="F945" s="1">
        <v>44214</v>
      </c>
      <c r="G945" t="str">
        <f>"300101"</f>
        <v>300101</v>
      </c>
      <c r="H945" t="s">
        <v>2926</v>
      </c>
      <c r="I945">
        <v>3488.21</v>
      </c>
    </row>
    <row r="946" spans="1:9" x14ac:dyDescent="0.25">
      <c r="A946" t="s">
        <v>9616</v>
      </c>
      <c r="C946" t="s">
        <v>9617</v>
      </c>
      <c r="D946" t="str">
        <f>"23721"</f>
        <v>23721</v>
      </c>
      <c r="E946" s="4">
        <v>44256</v>
      </c>
      <c r="F946" s="1">
        <v>44214</v>
      </c>
      <c r="G946" t="str">
        <f>"300101"</f>
        <v>300101</v>
      </c>
      <c r="H946" t="s">
        <v>2926</v>
      </c>
      <c r="I946">
        <v>3488.42</v>
      </c>
    </row>
    <row r="947" spans="1:9" x14ac:dyDescent="0.25">
      <c r="A947" t="s">
        <v>9616</v>
      </c>
      <c r="C947" t="s">
        <v>9617</v>
      </c>
      <c r="D947" t="str">
        <f>"202100278"</f>
        <v>202100278</v>
      </c>
      <c r="E947" t="s">
        <v>10149</v>
      </c>
      <c r="F947" s="1">
        <v>44214</v>
      </c>
      <c r="G947" t="str">
        <f>"300191"</f>
        <v>300191</v>
      </c>
      <c r="H947" t="s">
        <v>3008</v>
      </c>
      <c r="I947">
        <v>3153.77</v>
      </c>
    </row>
    <row r="948" spans="1:9" x14ac:dyDescent="0.25">
      <c r="A948" t="s">
        <v>9616</v>
      </c>
      <c r="C948" t="s">
        <v>9617</v>
      </c>
      <c r="D948" t="str">
        <f>"202100279"</f>
        <v>202100279</v>
      </c>
      <c r="E948" t="s">
        <v>10148</v>
      </c>
      <c r="F948" s="1">
        <v>44214</v>
      </c>
      <c r="G948" t="str">
        <f>"300191"</f>
        <v>300191</v>
      </c>
      <c r="H948" t="s">
        <v>3008</v>
      </c>
      <c r="I948">
        <v>3153.77</v>
      </c>
    </row>
    <row r="949" spans="1:9" x14ac:dyDescent="0.25">
      <c r="A949" t="s">
        <v>9616</v>
      </c>
      <c r="C949" t="s">
        <v>9617</v>
      </c>
      <c r="D949" t="s">
        <v>10156</v>
      </c>
      <c r="E949" t="s">
        <v>10157</v>
      </c>
      <c r="F949" s="1">
        <v>44216</v>
      </c>
      <c r="G949" t="str">
        <f>"300133"</f>
        <v>300133</v>
      </c>
      <c r="H949" t="s">
        <v>2955</v>
      </c>
      <c r="I949">
        <v>10448.34</v>
      </c>
    </row>
    <row r="950" spans="1:9" x14ac:dyDescent="0.25">
      <c r="A950" t="s">
        <v>9616</v>
      </c>
      <c r="C950" t="s">
        <v>9617</v>
      </c>
      <c r="D950" t="s">
        <v>10158</v>
      </c>
      <c r="E950" t="s">
        <v>9565</v>
      </c>
      <c r="F950" s="1">
        <v>44216</v>
      </c>
      <c r="G950" t="str">
        <f>"300133"</f>
        <v>300133</v>
      </c>
      <c r="H950" t="s">
        <v>2955</v>
      </c>
      <c r="I950">
        <v>11583</v>
      </c>
    </row>
    <row r="951" spans="1:9" x14ac:dyDescent="0.25">
      <c r="A951" t="s">
        <v>9616</v>
      </c>
      <c r="C951" t="s">
        <v>9617</v>
      </c>
      <c r="D951" t="str">
        <f>"20012416"</f>
        <v>20012416</v>
      </c>
      <c r="E951" t="s">
        <v>10159</v>
      </c>
      <c r="F951" s="1">
        <v>44217</v>
      </c>
      <c r="G951" t="str">
        <f>"300115"</f>
        <v>300115</v>
      </c>
      <c r="H951" t="s">
        <v>2938</v>
      </c>
      <c r="I951">
        <v>693492.03</v>
      </c>
    </row>
    <row r="952" spans="1:9" x14ac:dyDescent="0.25">
      <c r="A952" t="s">
        <v>9616</v>
      </c>
      <c r="C952" t="s">
        <v>9617</v>
      </c>
      <c r="D952" t="str">
        <f>"2100387"</f>
        <v>2100387</v>
      </c>
      <c r="E952" t="str">
        <f>"2100387"</f>
        <v>2100387</v>
      </c>
      <c r="F952" s="1">
        <v>44218</v>
      </c>
      <c r="G952" t="str">
        <f>"300064"</f>
        <v>300064</v>
      </c>
      <c r="H952" t="s">
        <v>2896</v>
      </c>
      <c r="I952">
        <v>56986.8</v>
      </c>
    </row>
    <row r="953" spans="1:9" x14ac:dyDescent="0.25">
      <c r="A953" t="s">
        <v>9616</v>
      </c>
      <c r="C953" t="s">
        <v>9617</v>
      </c>
      <c r="D953" t="str">
        <f>"2100388"</f>
        <v>2100388</v>
      </c>
      <c r="E953" t="str">
        <f>"2100388"</f>
        <v>2100388</v>
      </c>
      <c r="F953" s="1">
        <v>44218</v>
      </c>
      <c r="G953" t="str">
        <f>"300064"</f>
        <v>300064</v>
      </c>
      <c r="H953" t="s">
        <v>2896</v>
      </c>
      <c r="I953">
        <v>5319.12</v>
      </c>
    </row>
    <row r="954" spans="1:9" x14ac:dyDescent="0.25">
      <c r="A954" t="s">
        <v>9616</v>
      </c>
      <c r="C954" t="s">
        <v>9617</v>
      </c>
      <c r="D954" t="str">
        <f>"67163"</f>
        <v>67163</v>
      </c>
      <c r="E954" t="s">
        <v>9191</v>
      </c>
      <c r="F954" s="1">
        <v>44218</v>
      </c>
      <c r="G954" t="str">
        <f>"300093"</f>
        <v>300093</v>
      </c>
      <c r="H954" t="s">
        <v>2918</v>
      </c>
      <c r="I954">
        <v>172605.31200000001</v>
      </c>
    </row>
    <row r="955" spans="1:9" x14ac:dyDescent="0.25">
      <c r="A955" t="s">
        <v>9616</v>
      </c>
      <c r="C955" t="s">
        <v>9617</v>
      </c>
      <c r="D955" t="str">
        <f>"2100482"</f>
        <v>2100482</v>
      </c>
      <c r="E955" t="str">
        <f>"2100482"</f>
        <v>2100482</v>
      </c>
      <c r="F955" s="1">
        <v>44222</v>
      </c>
      <c r="G955" t="str">
        <f>"300064"</f>
        <v>300064</v>
      </c>
      <c r="H955" t="s">
        <v>2896</v>
      </c>
      <c r="I955">
        <v>81234</v>
      </c>
    </row>
    <row r="956" spans="1:9" x14ac:dyDescent="0.25">
      <c r="A956" t="s">
        <v>9616</v>
      </c>
      <c r="C956" t="s">
        <v>9617</v>
      </c>
      <c r="D956" t="str">
        <f>"221310020"</f>
        <v>221310020</v>
      </c>
      <c r="E956" t="str">
        <f>"221310020"</f>
        <v>221310020</v>
      </c>
      <c r="F956" s="1">
        <v>44223</v>
      </c>
      <c r="G956" t="str">
        <f>"300080"</f>
        <v>300080</v>
      </c>
      <c r="H956" t="s">
        <v>2907</v>
      </c>
      <c r="I956">
        <v>11320</v>
      </c>
    </row>
    <row r="957" spans="1:9" x14ac:dyDescent="0.25">
      <c r="A957" t="s">
        <v>9616</v>
      </c>
      <c r="C957" t="s">
        <v>9617</v>
      </c>
      <c r="D957" t="s">
        <v>10160</v>
      </c>
      <c r="E957" t="s">
        <v>10151</v>
      </c>
      <c r="F957" s="1">
        <v>44223</v>
      </c>
      <c r="G957" t="str">
        <f>"300092"</f>
        <v>300092</v>
      </c>
      <c r="H957" t="s">
        <v>2160</v>
      </c>
      <c r="I957">
        <v>42138.5</v>
      </c>
    </row>
    <row r="958" spans="1:9" x14ac:dyDescent="0.25">
      <c r="A958" t="s">
        <v>9616</v>
      </c>
      <c r="C958" t="s">
        <v>9617</v>
      </c>
      <c r="D958" t="str">
        <f>"10128545"</f>
        <v>10128545</v>
      </c>
      <c r="E958" t="s">
        <v>9249</v>
      </c>
      <c r="F958" s="1">
        <v>44223</v>
      </c>
      <c r="G958" t="str">
        <f>"300115"</f>
        <v>300115</v>
      </c>
      <c r="H958" t="s">
        <v>2938</v>
      </c>
      <c r="I958">
        <v>156200.4664</v>
      </c>
    </row>
    <row r="959" spans="1:9" x14ac:dyDescent="0.25">
      <c r="A959" t="s">
        <v>9616</v>
      </c>
      <c r="C959" t="s">
        <v>9617</v>
      </c>
      <c r="D959" t="str">
        <f>"10128592"</f>
        <v>10128592</v>
      </c>
      <c r="E959" t="s">
        <v>9189</v>
      </c>
      <c r="F959" s="1">
        <v>44224</v>
      </c>
      <c r="G959" t="str">
        <f>"300115"</f>
        <v>300115</v>
      </c>
      <c r="H959" t="s">
        <v>2938</v>
      </c>
      <c r="I959">
        <v>277741.66749999998</v>
      </c>
    </row>
    <row r="960" spans="1:9" x14ac:dyDescent="0.25">
      <c r="A960" t="s">
        <v>9616</v>
      </c>
      <c r="C960" t="s">
        <v>9617</v>
      </c>
      <c r="D960" t="s">
        <v>10161</v>
      </c>
      <c r="E960" t="s">
        <v>10162</v>
      </c>
      <c r="F960" s="1">
        <v>44224</v>
      </c>
      <c r="G960" t="str">
        <f>"300133"</f>
        <v>300133</v>
      </c>
      <c r="H960" t="s">
        <v>2955</v>
      </c>
      <c r="I960">
        <v>28986</v>
      </c>
    </row>
    <row r="961" spans="1:9" x14ac:dyDescent="0.25">
      <c r="A961" t="s">
        <v>9616</v>
      </c>
      <c r="C961" t="s">
        <v>9617</v>
      </c>
      <c r="D961" t="str">
        <f>"210117"</f>
        <v>210117</v>
      </c>
      <c r="E961" t="str">
        <f>"210117"</f>
        <v>210117</v>
      </c>
      <c r="F961" s="1">
        <v>44225</v>
      </c>
      <c r="G961" t="str">
        <f>"300092"</f>
        <v>300092</v>
      </c>
      <c r="H961" t="s">
        <v>2160</v>
      </c>
      <c r="I961">
        <v>79131.3</v>
      </c>
    </row>
    <row r="962" spans="1:9" x14ac:dyDescent="0.25">
      <c r="A962" t="s">
        <v>9616</v>
      </c>
      <c r="C962" t="s">
        <v>9617</v>
      </c>
      <c r="D962" t="s">
        <v>10163</v>
      </c>
      <c r="E962" t="s">
        <v>9971</v>
      </c>
      <c r="F962" s="1">
        <v>44225</v>
      </c>
      <c r="G962" t="str">
        <f>"300133"</f>
        <v>300133</v>
      </c>
      <c r="H962" t="s">
        <v>2955</v>
      </c>
      <c r="I962">
        <v>15990</v>
      </c>
    </row>
    <row r="963" spans="1:9" x14ac:dyDescent="0.25">
      <c r="A963" t="s">
        <v>9616</v>
      </c>
      <c r="C963" t="s">
        <v>9617</v>
      </c>
      <c r="D963" t="str">
        <f>"005517"</f>
        <v>005517</v>
      </c>
      <c r="E963" t="s">
        <v>10164</v>
      </c>
      <c r="F963" s="1">
        <v>44228</v>
      </c>
      <c r="G963" t="str">
        <f>"300043"</f>
        <v>300043</v>
      </c>
      <c r="H963" t="s">
        <v>2876</v>
      </c>
      <c r="I963">
        <v>1114</v>
      </c>
    </row>
    <row r="964" spans="1:9" x14ac:dyDescent="0.25">
      <c r="A964" t="s">
        <v>9616</v>
      </c>
      <c r="C964" t="s">
        <v>9617</v>
      </c>
      <c r="D964" t="s">
        <v>10165</v>
      </c>
      <c r="E964" t="s">
        <v>10166</v>
      </c>
      <c r="F964" s="1">
        <v>44228</v>
      </c>
      <c r="G964" t="str">
        <f>"300092"</f>
        <v>300092</v>
      </c>
      <c r="H964" t="s">
        <v>2160</v>
      </c>
      <c r="I964">
        <v>28080.5</v>
      </c>
    </row>
    <row r="965" spans="1:9" x14ac:dyDescent="0.25">
      <c r="A965" t="s">
        <v>9616</v>
      </c>
      <c r="C965" t="s">
        <v>9617</v>
      </c>
      <c r="D965" t="str">
        <f>"10128663"</f>
        <v>10128663</v>
      </c>
      <c r="E965" t="s">
        <v>2172</v>
      </c>
      <c r="F965" s="1">
        <v>44228</v>
      </c>
      <c r="G965" t="str">
        <f t="shared" ref="G965:G973" si="4">"300115"</f>
        <v>300115</v>
      </c>
      <c r="H965" t="s">
        <v>2938</v>
      </c>
      <c r="I965">
        <v>184563.1029</v>
      </c>
    </row>
    <row r="966" spans="1:9" x14ac:dyDescent="0.25">
      <c r="A966" t="s">
        <v>9616</v>
      </c>
      <c r="C966" t="s">
        <v>9617</v>
      </c>
      <c r="D966" t="str">
        <f>"10128697"</f>
        <v>10128697</v>
      </c>
      <c r="E966" t="s">
        <v>9223</v>
      </c>
      <c r="F966" s="1">
        <v>44229</v>
      </c>
      <c r="G966" t="str">
        <f t="shared" si="4"/>
        <v>300115</v>
      </c>
      <c r="H966" t="s">
        <v>2938</v>
      </c>
      <c r="I966">
        <v>306352.89299999998</v>
      </c>
    </row>
    <row r="967" spans="1:9" x14ac:dyDescent="0.25">
      <c r="A967" t="s">
        <v>9616</v>
      </c>
      <c r="C967" t="s">
        <v>9617</v>
      </c>
      <c r="D967" t="str">
        <f>"10128698"</f>
        <v>10128698</v>
      </c>
      <c r="E967" t="s">
        <v>2172</v>
      </c>
      <c r="F967" s="1">
        <v>44229</v>
      </c>
      <c r="G967" t="str">
        <f t="shared" si="4"/>
        <v>300115</v>
      </c>
      <c r="H967" t="s">
        <v>2938</v>
      </c>
      <c r="I967">
        <v>249728.4768</v>
      </c>
    </row>
    <row r="968" spans="1:9" x14ac:dyDescent="0.25">
      <c r="A968" t="s">
        <v>9616</v>
      </c>
      <c r="C968" t="s">
        <v>9617</v>
      </c>
      <c r="D968" t="str">
        <f>"10128699"</f>
        <v>10128699</v>
      </c>
      <c r="E968" t="s">
        <v>9183</v>
      </c>
      <c r="F968" s="1">
        <v>44229</v>
      </c>
      <c r="G968" t="str">
        <f t="shared" si="4"/>
        <v>300115</v>
      </c>
      <c r="H968" t="s">
        <v>2938</v>
      </c>
      <c r="I968">
        <v>133517.87899999999</v>
      </c>
    </row>
    <row r="969" spans="1:9" x14ac:dyDescent="0.25">
      <c r="A969" t="s">
        <v>9616</v>
      </c>
      <c r="C969" t="s">
        <v>9617</v>
      </c>
      <c r="D969" t="str">
        <f>"10128700"</f>
        <v>10128700</v>
      </c>
      <c r="E969" t="s">
        <v>9191</v>
      </c>
      <c r="F969" s="1">
        <v>44229</v>
      </c>
      <c r="G969" t="str">
        <f t="shared" si="4"/>
        <v>300115</v>
      </c>
      <c r="H969" t="s">
        <v>2938</v>
      </c>
      <c r="I969">
        <v>248414.573</v>
      </c>
    </row>
    <row r="970" spans="1:9" x14ac:dyDescent="0.25">
      <c r="A970" t="s">
        <v>9616</v>
      </c>
      <c r="C970" t="s">
        <v>9617</v>
      </c>
      <c r="D970" t="str">
        <f>"10128701"</f>
        <v>10128701</v>
      </c>
      <c r="E970" t="s">
        <v>9183</v>
      </c>
      <c r="F970" s="1">
        <v>44229</v>
      </c>
      <c r="G970" t="str">
        <f t="shared" si="4"/>
        <v>300115</v>
      </c>
      <c r="H970" t="s">
        <v>2938</v>
      </c>
      <c r="I970">
        <v>133517.87899999999</v>
      </c>
    </row>
    <row r="971" spans="1:9" x14ac:dyDescent="0.25">
      <c r="A971" t="s">
        <v>9616</v>
      </c>
      <c r="C971" t="s">
        <v>9617</v>
      </c>
      <c r="D971" t="str">
        <f>"10128705"</f>
        <v>10128705</v>
      </c>
      <c r="E971" t="s">
        <v>9223</v>
      </c>
      <c r="F971" s="1">
        <v>44229</v>
      </c>
      <c r="G971" t="str">
        <f t="shared" si="4"/>
        <v>300115</v>
      </c>
      <c r="H971" t="s">
        <v>2938</v>
      </c>
      <c r="I971">
        <v>306352.89299999998</v>
      </c>
    </row>
    <row r="972" spans="1:9" x14ac:dyDescent="0.25">
      <c r="A972" t="s">
        <v>9616</v>
      </c>
      <c r="C972" t="s">
        <v>9617</v>
      </c>
      <c r="D972" t="str">
        <f>"10128706"</f>
        <v>10128706</v>
      </c>
      <c r="E972" t="s">
        <v>9189</v>
      </c>
      <c r="F972" s="1">
        <v>44229</v>
      </c>
      <c r="G972" t="str">
        <f t="shared" si="4"/>
        <v>300115</v>
      </c>
      <c r="H972" t="s">
        <v>2938</v>
      </c>
      <c r="I972">
        <v>243450.0552</v>
      </c>
    </row>
    <row r="973" spans="1:9" x14ac:dyDescent="0.25">
      <c r="A973" t="s">
        <v>9616</v>
      </c>
      <c r="C973" t="s">
        <v>9617</v>
      </c>
      <c r="D973" t="str">
        <f>"10128733"</f>
        <v>10128733</v>
      </c>
      <c r="E973" t="s">
        <v>9189</v>
      </c>
      <c r="F973" s="1">
        <v>44229</v>
      </c>
      <c r="G973" t="str">
        <f t="shared" si="4"/>
        <v>300115</v>
      </c>
      <c r="H973" t="s">
        <v>2938</v>
      </c>
      <c r="I973">
        <v>249446.60399999999</v>
      </c>
    </row>
    <row r="974" spans="1:9" x14ac:dyDescent="0.25">
      <c r="A974" t="s">
        <v>9616</v>
      </c>
      <c r="C974" t="s">
        <v>9617</v>
      </c>
      <c r="D974" t="str">
        <f>"000821"</f>
        <v>000821</v>
      </c>
      <c r="E974" t="s">
        <v>10143</v>
      </c>
      <c r="F974" s="1">
        <v>44229</v>
      </c>
      <c r="G974" t="str">
        <f>"300192"</f>
        <v>300192</v>
      </c>
      <c r="H974" t="s">
        <v>3009</v>
      </c>
      <c r="I974">
        <v>12500</v>
      </c>
    </row>
    <row r="975" spans="1:9" x14ac:dyDescent="0.25">
      <c r="A975" t="s">
        <v>9616</v>
      </c>
      <c r="C975" t="s">
        <v>9617</v>
      </c>
      <c r="D975" t="str">
        <f>"000921"</f>
        <v>000921</v>
      </c>
      <c r="E975" t="s">
        <v>10144</v>
      </c>
      <c r="F975" s="1">
        <v>44229</v>
      </c>
      <c r="G975" t="str">
        <f>"300192"</f>
        <v>300192</v>
      </c>
      <c r="H975" t="s">
        <v>3009</v>
      </c>
      <c r="I975">
        <v>12500</v>
      </c>
    </row>
    <row r="976" spans="1:9" x14ac:dyDescent="0.25">
      <c r="A976" t="s">
        <v>9616</v>
      </c>
      <c r="C976" t="s">
        <v>9617</v>
      </c>
      <c r="D976" t="str">
        <f>"001021"</f>
        <v>001021</v>
      </c>
      <c r="E976" t="s">
        <v>10149</v>
      </c>
      <c r="F976" s="1">
        <v>44229</v>
      </c>
      <c r="G976" t="str">
        <f>"300192"</f>
        <v>300192</v>
      </c>
      <c r="H976" t="s">
        <v>3009</v>
      </c>
      <c r="I976">
        <v>11000</v>
      </c>
    </row>
    <row r="977" spans="1:9" x14ac:dyDescent="0.25">
      <c r="A977" t="s">
        <v>9616</v>
      </c>
      <c r="C977" t="s">
        <v>9617</v>
      </c>
      <c r="D977" t="str">
        <f>"001121"</f>
        <v>001121</v>
      </c>
      <c r="E977" t="s">
        <v>10148</v>
      </c>
      <c r="F977" s="1">
        <v>44229</v>
      </c>
      <c r="G977" t="str">
        <f>"300192"</f>
        <v>300192</v>
      </c>
      <c r="H977" t="s">
        <v>3009</v>
      </c>
      <c r="I977">
        <v>11000</v>
      </c>
    </row>
    <row r="978" spans="1:9" x14ac:dyDescent="0.25">
      <c r="A978" t="s">
        <v>9616</v>
      </c>
      <c r="C978" t="s">
        <v>9617</v>
      </c>
      <c r="D978" t="str">
        <f>"001221"</f>
        <v>001221</v>
      </c>
      <c r="E978" t="s">
        <v>10164</v>
      </c>
      <c r="F978" s="1">
        <v>44229</v>
      </c>
      <c r="G978" t="str">
        <f>"300192"</f>
        <v>300192</v>
      </c>
      <c r="H978" t="s">
        <v>3009</v>
      </c>
      <c r="I978">
        <v>12500</v>
      </c>
    </row>
    <row r="979" spans="1:9" x14ac:dyDescent="0.25">
      <c r="A979" t="s">
        <v>9616</v>
      </c>
      <c r="C979" t="s">
        <v>9617</v>
      </c>
      <c r="D979" t="str">
        <f>"06156"</f>
        <v>06156</v>
      </c>
      <c r="E979" s="4">
        <v>44409</v>
      </c>
      <c r="F979" s="1">
        <v>44230</v>
      </c>
      <c r="G979" t="str">
        <f>"300043"</f>
        <v>300043</v>
      </c>
      <c r="H979" t="s">
        <v>2876</v>
      </c>
      <c r="I979">
        <v>680</v>
      </c>
    </row>
    <row r="980" spans="1:9" x14ac:dyDescent="0.25">
      <c r="A980" t="s">
        <v>9616</v>
      </c>
      <c r="C980" t="s">
        <v>9617</v>
      </c>
      <c r="D980" t="str">
        <f>"006280"</f>
        <v>006280</v>
      </c>
      <c r="E980" t="s">
        <v>10167</v>
      </c>
      <c r="F980" s="1">
        <v>44230</v>
      </c>
      <c r="G980" t="str">
        <f>"300043"</f>
        <v>300043</v>
      </c>
      <c r="H980" t="s">
        <v>2876</v>
      </c>
      <c r="I980">
        <v>1016</v>
      </c>
    </row>
    <row r="981" spans="1:9" x14ac:dyDescent="0.25">
      <c r="A981" t="s">
        <v>9616</v>
      </c>
      <c r="C981" t="s">
        <v>9617</v>
      </c>
      <c r="D981" t="str">
        <f>"006283"</f>
        <v>006283</v>
      </c>
      <c r="E981" t="s">
        <v>10168</v>
      </c>
      <c r="F981" s="1">
        <v>44230</v>
      </c>
      <c r="G981" t="str">
        <f>"300043"</f>
        <v>300043</v>
      </c>
      <c r="H981" t="s">
        <v>2876</v>
      </c>
      <c r="I981">
        <v>1014</v>
      </c>
    </row>
    <row r="982" spans="1:9" x14ac:dyDescent="0.25">
      <c r="A982" t="s">
        <v>9616</v>
      </c>
      <c r="C982" t="s">
        <v>9617</v>
      </c>
      <c r="D982" t="str">
        <f>"2100728"</f>
        <v>2100728</v>
      </c>
      <c r="E982" t="str">
        <f>"2100728"</f>
        <v>2100728</v>
      </c>
      <c r="F982" s="1">
        <v>44230</v>
      </c>
      <c r="G982" t="str">
        <f>"300064"</f>
        <v>300064</v>
      </c>
      <c r="H982" t="s">
        <v>2896</v>
      </c>
      <c r="I982">
        <v>91140</v>
      </c>
    </row>
    <row r="983" spans="1:9" x14ac:dyDescent="0.25">
      <c r="A983" t="s">
        <v>9616</v>
      </c>
      <c r="C983" t="s">
        <v>9617</v>
      </c>
      <c r="D983" t="str">
        <f>"73621"</f>
        <v>73621</v>
      </c>
      <c r="E983" s="4">
        <v>44409</v>
      </c>
      <c r="F983" s="1">
        <v>44230</v>
      </c>
      <c r="G983" t="str">
        <f>"300101"</f>
        <v>300101</v>
      </c>
      <c r="H983" t="s">
        <v>2926</v>
      </c>
      <c r="I983">
        <v>3963.75</v>
      </c>
    </row>
    <row r="984" spans="1:9" x14ac:dyDescent="0.25">
      <c r="A984" t="s">
        <v>9616</v>
      </c>
      <c r="C984" t="s">
        <v>9617</v>
      </c>
      <c r="D984" t="str">
        <f>"06504"</f>
        <v>06504</v>
      </c>
      <c r="E984" t="s">
        <v>10169</v>
      </c>
      <c r="F984" s="1">
        <v>44231</v>
      </c>
      <c r="G984" t="str">
        <f>"300043"</f>
        <v>300043</v>
      </c>
      <c r="H984" t="s">
        <v>2876</v>
      </c>
      <c r="I984">
        <v>771</v>
      </c>
    </row>
    <row r="985" spans="1:9" x14ac:dyDescent="0.25">
      <c r="A985" t="s">
        <v>9616</v>
      </c>
      <c r="C985" t="s">
        <v>9617</v>
      </c>
      <c r="D985" t="str">
        <f>"06505"</f>
        <v>06505</v>
      </c>
      <c r="E985" s="4">
        <v>44348</v>
      </c>
      <c r="F985" s="1">
        <v>44231</v>
      </c>
      <c r="G985" t="str">
        <f>"300043"</f>
        <v>300043</v>
      </c>
      <c r="H985" t="s">
        <v>2876</v>
      </c>
      <c r="I985">
        <v>612</v>
      </c>
    </row>
    <row r="986" spans="1:9" x14ac:dyDescent="0.25">
      <c r="A986" t="s">
        <v>9616</v>
      </c>
      <c r="C986" t="s">
        <v>9617</v>
      </c>
      <c r="D986" t="str">
        <f>"14894"</f>
        <v>14894</v>
      </c>
      <c r="E986" t="s">
        <v>10170</v>
      </c>
      <c r="F986" s="1">
        <v>44231</v>
      </c>
      <c r="G986" t="str">
        <f>"300043"</f>
        <v>300043</v>
      </c>
      <c r="H986" t="s">
        <v>2876</v>
      </c>
      <c r="I986">
        <v>381</v>
      </c>
    </row>
    <row r="987" spans="1:9" x14ac:dyDescent="0.25">
      <c r="A987" t="s">
        <v>9616</v>
      </c>
      <c r="C987" t="s">
        <v>9617</v>
      </c>
      <c r="D987" t="str">
        <f>"006534"</f>
        <v>006534</v>
      </c>
      <c r="E987" t="s">
        <v>10171</v>
      </c>
      <c r="F987" s="1">
        <v>44231</v>
      </c>
      <c r="G987" t="str">
        <f>"300043"</f>
        <v>300043</v>
      </c>
      <c r="H987" t="s">
        <v>2876</v>
      </c>
      <c r="I987">
        <v>1015</v>
      </c>
    </row>
    <row r="988" spans="1:9" x14ac:dyDescent="0.25">
      <c r="A988" t="s">
        <v>9616</v>
      </c>
      <c r="C988" t="s">
        <v>9617</v>
      </c>
      <c r="D988" t="str">
        <f>"73421"</f>
        <v>73421</v>
      </c>
      <c r="E988" s="4">
        <v>44348</v>
      </c>
      <c r="F988" s="1">
        <v>44231</v>
      </c>
      <c r="G988" t="str">
        <f>"300101"</f>
        <v>300101</v>
      </c>
      <c r="H988" t="s">
        <v>2926</v>
      </c>
      <c r="I988">
        <v>3486.01</v>
      </c>
    </row>
    <row r="989" spans="1:9" x14ac:dyDescent="0.25">
      <c r="A989" t="s">
        <v>9616</v>
      </c>
      <c r="C989" t="s">
        <v>9617</v>
      </c>
      <c r="D989" t="str">
        <f>"74121"</f>
        <v>74121</v>
      </c>
      <c r="E989" t="s">
        <v>10169</v>
      </c>
      <c r="F989" s="1">
        <v>44231</v>
      </c>
      <c r="G989" t="str">
        <f>"300101"</f>
        <v>300101</v>
      </c>
      <c r="H989" t="s">
        <v>2926</v>
      </c>
      <c r="I989">
        <v>3485.84</v>
      </c>
    </row>
    <row r="990" spans="1:9" x14ac:dyDescent="0.25">
      <c r="A990" t="s">
        <v>9616</v>
      </c>
      <c r="C990" t="s">
        <v>9617</v>
      </c>
      <c r="D990" t="str">
        <f>"10128763"</f>
        <v>10128763</v>
      </c>
      <c r="E990" t="s">
        <v>9189</v>
      </c>
      <c r="F990" s="1">
        <v>44231</v>
      </c>
      <c r="G990" t="str">
        <f>"300115"</f>
        <v>300115</v>
      </c>
      <c r="H990" t="s">
        <v>2938</v>
      </c>
      <c r="I990">
        <v>235038.56640000001</v>
      </c>
    </row>
    <row r="991" spans="1:9" x14ac:dyDescent="0.25">
      <c r="A991" t="s">
        <v>9616</v>
      </c>
      <c r="C991" t="s">
        <v>9617</v>
      </c>
      <c r="D991" t="str">
        <f>"06689"</f>
        <v>06689</v>
      </c>
      <c r="E991" s="4">
        <v>44501</v>
      </c>
      <c r="F991" s="1">
        <v>44232</v>
      </c>
      <c r="G991" t="str">
        <f>"300043"</f>
        <v>300043</v>
      </c>
      <c r="H991" t="s">
        <v>2876</v>
      </c>
      <c r="I991">
        <v>1167</v>
      </c>
    </row>
    <row r="992" spans="1:9" x14ac:dyDescent="0.25">
      <c r="A992" t="s">
        <v>9616</v>
      </c>
      <c r="C992" t="s">
        <v>9617</v>
      </c>
      <c r="D992" t="str">
        <f>"567920"</f>
        <v>567920</v>
      </c>
      <c r="E992" s="4">
        <v>44317</v>
      </c>
      <c r="F992" s="1">
        <v>44232</v>
      </c>
      <c r="G992" t="str">
        <f>"300043"</f>
        <v>300043</v>
      </c>
      <c r="H992" t="s">
        <v>2876</v>
      </c>
      <c r="I992">
        <v>613</v>
      </c>
    </row>
    <row r="993" spans="1:9" x14ac:dyDescent="0.25">
      <c r="A993" t="s">
        <v>9616</v>
      </c>
      <c r="C993" t="s">
        <v>9617</v>
      </c>
      <c r="D993" t="str">
        <f>"73921"</f>
        <v>73921</v>
      </c>
      <c r="E993" s="4">
        <v>44501</v>
      </c>
      <c r="F993" s="1">
        <v>44232</v>
      </c>
      <c r="G993" t="str">
        <f>"300101"</f>
        <v>300101</v>
      </c>
      <c r="H993" t="s">
        <v>2926</v>
      </c>
      <c r="I993">
        <v>3486.01</v>
      </c>
    </row>
    <row r="994" spans="1:9" x14ac:dyDescent="0.25">
      <c r="A994" t="s">
        <v>9616</v>
      </c>
      <c r="C994" t="s">
        <v>9617</v>
      </c>
      <c r="D994" t="str">
        <f>"74221"</f>
        <v>74221</v>
      </c>
      <c r="E994" t="s">
        <v>10172</v>
      </c>
      <c r="F994" s="1">
        <v>44232</v>
      </c>
      <c r="G994" t="str">
        <f>"300101"</f>
        <v>300101</v>
      </c>
      <c r="H994" t="s">
        <v>2926</v>
      </c>
      <c r="I994">
        <v>3957.54</v>
      </c>
    </row>
    <row r="995" spans="1:9" x14ac:dyDescent="0.25">
      <c r="A995" t="s">
        <v>9616</v>
      </c>
      <c r="C995" t="s">
        <v>9617</v>
      </c>
      <c r="D995" t="str">
        <f>"10128812"</f>
        <v>10128812</v>
      </c>
      <c r="E995" t="s">
        <v>9191</v>
      </c>
      <c r="F995" s="1">
        <v>44232</v>
      </c>
      <c r="G995" t="str">
        <f>"300115"</f>
        <v>300115</v>
      </c>
      <c r="H995" t="s">
        <v>2938</v>
      </c>
      <c r="I995">
        <v>94215.018700000001</v>
      </c>
    </row>
    <row r="996" spans="1:9" x14ac:dyDescent="0.25">
      <c r="A996" t="s">
        <v>9616</v>
      </c>
      <c r="C996" t="s">
        <v>9617</v>
      </c>
      <c r="D996" t="str">
        <f>"202100837"</f>
        <v>202100837</v>
      </c>
      <c r="E996" t="s">
        <v>10164</v>
      </c>
      <c r="F996" s="1">
        <v>44232</v>
      </c>
      <c r="G996" t="str">
        <f>"300191"</f>
        <v>300191</v>
      </c>
      <c r="H996" t="s">
        <v>3008</v>
      </c>
      <c r="I996">
        <v>3349.15</v>
      </c>
    </row>
    <row r="997" spans="1:9" x14ac:dyDescent="0.25">
      <c r="A997" t="s">
        <v>9616</v>
      </c>
      <c r="C997" t="s">
        <v>9617</v>
      </c>
      <c r="D997" t="str">
        <f>"06692"</f>
        <v>06692</v>
      </c>
      <c r="E997" t="s">
        <v>10172</v>
      </c>
      <c r="F997" s="1">
        <v>44235</v>
      </c>
      <c r="G997" t="str">
        <f>"300043"</f>
        <v>300043</v>
      </c>
      <c r="H997" t="s">
        <v>2876</v>
      </c>
      <c r="I997">
        <v>1170</v>
      </c>
    </row>
    <row r="998" spans="1:9" x14ac:dyDescent="0.25">
      <c r="A998" t="s">
        <v>9616</v>
      </c>
      <c r="C998" t="s">
        <v>9617</v>
      </c>
      <c r="D998" t="str">
        <f>"006533"</f>
        <v>006533</v>
      </c>
      <c r="E998" t="s">
        <v>10173</v>
      </c>
      <c r="F998" s="1">
        <v>44235</v>
      </c>
      <c r="G998" t="str">
        <f>"300043"</f>
        <v>300043</v>
      </c>
      <c r="H998" t="s">
        <v>2876</v>
      </c>
      <c r="I998">
        <v>1013</v>
      </c>
    </row>
    <row r="999" spans="1:9" x14ac:dyDescent="0.25">
      <c r="A999" t="s">
        <v>9616</v>
      </c>
      <c r="C999" t="s">
        <v>9617</v>
      </c>
      <c r="D999" t="str">
        <f>"006842"</f>
        <v>006842</v>
      </c>
      <c r="E999" t="s">
        <v>10174</v>
      </c>
      <c r="F999" s="1">
        <v>44235</v>
      </c>
      <c r="G999" t="str">
        <f>"300043"</f>
        <v>300043</v>
      </c>
      <c r="H999" t="s">
        <v>2876</v>
      </c>
      <c r="I999">
        <v>968</v>
      </c>
    </row>
    <row r="1000" spans="1:9" x14ac:dyDescent="0.25">
      <c r="A1000" t="s">
        <v>9616</v>
      </c>
      <c r="C1000" t="s">
        <v>9617</v>
      </c>
      <c r="D1000" t="str">
        <f>"73321"</f>
        <v>73321</v>
      </c>
      <c r="E1000" s="4">
        <v>44317</v>
      </c>
      <c r="F1000" s="1">
        <v>44235</v>
      </c>
      <c r="G1000" t="str">
        <f>"300101"</f>
        <v>300101</v>
      </c>
      <c r="H1000" t="s">
        <v>2926</v>
      </c>
      <c r="I1000">
        <v>3958.91</v>
      </c>
    </row>
    <row r="1001" spans="1:9" x14ac:dyDescent="0.25">
      <c r="A1001" t="s">
        <v>9616</v>
      </c>
      <c r="C1001" t="s">
        <v>9617</v>
      </c>
      <c r="D1001" t="str">
        <f>"10128810"</f>
        <v>10128810</v>
      </c>
      <c r="E1001" t="s">
        <v>2172</v>
      </c>
      <c r="F1001" s="1">
        <v>44235</v>
      </c>
      <c r="G1001" t="str">
        <f>"300115"</f>
        <v>300115</v>
      </c>
      <c r="H1001" t="s">
        <v>2938</v>
      </c>
      <c r="I1001">
        <v>259692.74100000001</v>
      </c>
    </row>
    <row r="1002" spans="1:9" x14ac:dyDescent="0.25">
      <c r="A1002" t="s">
        <v>9616</v>
      </c>
      <c r="C1002" t="s">
        <v>9617</v>
      </c>
      <c r="D1002" t="str">
        <f>"7982021"</f>
        <v>7982021</v>
      </c>
      <c r="E1002" t="s">
        <v>10175</v>
      </c>
      <c r="F1002" s="1">
        <v>44235</v>
      </c>
      <c r="G1002" t="str">
        <f>"300198"</f>
        <v>300198</v>
      </c>
      <c r="H1002" t="s">
        <v>3013</v>
      </c>
      <c r="I1002">
        <v>11000</v>
      </c>
    </row>
    <row r="1003" spans="1:9" x14ac:dyDescent="0.25">
      <c r="A1003" t="s">
        <v>9616</v>
      </c>
      <c r="C1003" t="s">
        <v>9617</v>
      </c>
      <c r="D1003" t="str">
        <f>"007364"</f>
        <v>007364</v>
      </c>
      <c r="E1003" t="s">
        <v>10175</v>
      </c>
      <c r="F1003" s="1">
        <v>44236</v>
      </c>
      <c r="G1003" t="str">
        <f>"300043"</f>
        <v>300043</v>
      </c>
      <c r="H1003" t="s">
        <v>2876</v>
      </c>
      <c r="I1003">
        <v>1048</v>
      </c>
    </row>
    <row r="1004" spans="1:9" x14ac:dyDescent="0.25">
      <c r="A1004" t="s">
        <v>9616</v>
      </c>
      <c r="C1004" t="s">
        <v>9617</v>
      </c>
      <c r="D1004" t="str">
        <f>"001331"</f>
        <v>001331</v>
      </c>
      <c r="E1004" t="s">
        <v>10176</v>
      </c>
      <c r="F1004" s="1">
        <v>44236</v>
      </c>
      <c r="G1004" t="str">
        <f>"300087"</f>
        <v>300087</v>
      </c>
      <c r="H1004" t="s">
        <v>2913</v>
      </c>
      <c r="I1004">
        <v>4232.28</v>
      </c>
    </row>
    <row r="1005" spans="1:9" x14ac:dyDescent="0.25">
      <c r="A1005" t="s">
        <v>9616</v>
      </c>
      <c r="C1005" t="s">
        <v>9617</v>
      </c>
      <c r="D1005" t="str">
        <f>"10128875"</f>
        <v>10128875</v>
      </c>
      <c r="E1005" t="s">
        <v>9249</v>
      </c>
      <c r="F1005" s="1">
        <v>44237</v>
      </c>
      <c r="G1005" t="str">
        <f>"300115"</f>
        <v>300115</v>
      </c>
      <c r="H1005" t="s">
        <v>2938</v>
      </c>
      <c r="I1005">
        <v>57202.103199999998</v>
      </c>
    </row>
    <row r="1006" spans="1:9" x14ac:dyDescent="0.25">
      <c r="A1006" t="s">
        <v>9616</v>
      </c>
      <c r="C1006" t="s">
        <v>9617</v>
      </c>
      <c r="D1006" t="str">
        <f>"10128876"</f>
        <v>10128876</v>
      </c>
      <c r="E1006" t="s">
        <v>9237</v>
      </c>
      <c r="F1006" s="1">
        <v>44237</v>
      </c>
      <c r="G1006" t="str">
        <f>"300115"</f>
        <v>300115</v>
      </c>
      <c r="H1006" t="s">
        <v>2938</v>
      </c>
      <c r="I1006">
        <v>108274.32</v>
      </c>
    </row>
    <row r="1007" spans="1:9" x14ac:dyDescent="0.25">
      <c r="A1007" t="s">
        <v>9616</v>
      </c>
      <c r="C1007" t="s">
        <v>9617</v>
      </c>
      <c r="D1007" t="s">
        <v>10177</v>
      </c>
      <c r="E1007" t="s">
        <v>10178</v>
      </c>
      <c r="F1007" s="1">
        <v>44237</v>
      </c>
      <c r="G1007" t="str">
        <f>"300133"</f>
        <v>300133</v>
      </c>
      <c r="H1007" t="s">
        <v>2955</v>
      </c>
      <c r="I1007">
        <v>66490</v>
      </c>
    </row>
    <row r="1008" spans="1:9" x14ac:dyDescent="0.25">
      <c r="A1008" t="s">
        <v>9616</v>
      </c>
      <c r="C1008" t="s">
        <v>9617</v>
      </c>
      <c r="D1008" t="str">
        <f>"42825"</f>
        <v>42825</v>
      </c>
      <c r="E1008" s="4">
        <v>44531</v>
      </c>
      <c r="F1008" s="1">
        <v>44238</v>
      </c>
      <c r="G1008" t="str">
        <f>"300043"</f>
        <v>300043</v>
      </c>
      <c r="H1008" t="s">
        <v>2876</v>
      </c>
      <c r="I1008">
        <v>473</v>
      </c>
    </row>
    <row r="1009" spans="1:9" x14ac:dyDescent="0.25">
      <c r="A1009" t="s">
        <v>9616</v>
      </c>
      <c r="C1009" t="s">
        <v>9617</v>
      </c>
      <c r="D1009" t="str">
        <f>"74021"</f>
        <v>74021</v>
      </c>
      <c r="E1009" s="4">
        <v>44531</v>
      </c>
      <c r="F1009" s="1">
        <v>44238</v>
      </c>
      <c r="G1009" t="str">
        <f>"300101"</f>
        <v>300101</v>
      </c>
      <c r="H1009" t="s">
        <v>2926</v>
      </c>
      <c r="I1009">
        <v>3813.02</v>
      </c>
    </row>
    <row r="1010" spans="1:9" x14ac:dyDescent="0.25">
      <c r="A1010" t="s">
        <v>9616</v>
      </c>
      <c r="C1010" t="s">
        <v>9617</v>
      </c>
      <c r="D1010" t="s">
        <v>10179</v>
      </c>
      <c r="E1010" t="s">
        <v>10178</v>
      </c>
      <c r="F1010" s="1">
        <v>44238</v>
      </c>
      <c r="G1010" t="str">
        <f>"300133"</f>
        <v>300133</v>
      </c>
      <c r="H1010" t="s">
        <v>2955</v>
      </c>
      <c r="I1010">
        <v>21042</v>
      </c>
    </row>
    <row r="1011" spans="1:9" x14ac:dyDescent="0.25">
      <c r="A1011" t="s">
        <v>9616</v>
      </c>
      <c r="C1011" t="s">
        <v>9617</v>
      </c>
      <c r="D1011" t="str">
        <f>"67369"</f>
        <v>67369</v>
      </c>
      <c r="E1011" t="s">
        <v>9191</v>
      </c>
      <c r="F1011" s="1">
        <v>44239</v>
      </c>
      <c r="G1011" t="str">
        <f>"300093"</f>
        <v>300093</v>
      </c>
      <c r="H1011" t="s">
        <v>2918</v>
      </c>
      <c r="I1011">
        <v>167409.77220000001</v>
      </c>
    </row>
    <row r="1012" spans="1:9" x14ac:dyDescent="0.25">
      <c r="A1012" t="s">
        <v>9616</v>
      </c>
      <c r="C1012" t="s">
        <v>9617</v>
      </c>
      <c r="D1012" t="str">
        <f>"10128900"</f>
        <v>10128900</v>
      </c>
      <c r="E1012" t="s">
        <v>9189</v>
      </c>
      <c r="F1012" s="1">
        <v>44239</v>
      </c>
      <c r="G1012" t="str">
        <f>"300115"</f>
        <v>300115</v>
      </c>
      <c r="H1012" t="s">
        <v>2938</v>
      </c>
      <c r="I1012">
        <v>252644.44260000001</v>
      </c>
    </row>
    <row r="1013" spans="1:9" x14ac:dyDescent="0.25">
      <c r="A1013" t="s">
        <v>9616</v>
      </c>
      <c r="C1013" t="s">
        <v>9617</v>
      </c>
      <c r="D1013" t="str">
        <f>"10128901"</f>
        <v>10128901</v>
      </c>
      <c r="E1013" t="s">
        <v>9189</v>
      </c>
      <c r="F1013" s="1">
        <v>44239</v>
      </c>
      <c r="G1013" t="str">
        <f>"300115"</f>
        <v>300115</v>
      </c>
      <c r="H1013" t="s">
        <v>2938</v>
      </c>
      <c r="I1013">
        <v>259274.565</v>
      </c>
    </row>
    <row r="1014" spans="1:9" x14ac:dyDescent="0.25">
      <c r="A1014" t="s">
        <v>9616</v>
      </c>
      <c r="C1014" t="s">
        <v>9617</v>
      </c>
      <c r="D1014" t="str">
        <f>"202101023"</f>
        <v>202101023</v>
      </c>
      <c r="E1014" t="s">
        <v>10175</v>
      </c>
      <c r="F1014" s="1">
        <v>44239</v>
      </c>
      <c r="G1014" t="str">
        <f t="shared" ref="G1014:G1019" si="5">"300191"</f>
        <v>300191</v>
      </c>
      <c r="H1014" t="s">
        <v>3008</v>
      </c>
      <c r="I1014">
        <v>3332.83</v>
      </c>
    </row>
    <row r="1015" spans="1:9" x14ac:dyDescent="0.25">
      <c r="A1015" t="s">
        <v>9616</v>
      </c>
      <c r="C1015" t="s">
        <v>9617</v>
      </c>
      <c r="D1015" t="str">
        <f>"202101024"</f>
        <v>202101024</v>
      </c>
      <c r="E1015" t="s">
        <v>10173</v>
      </c>
      <c r="F1015" s="1">
        <v>44239</v>
      </c>
      <c r="G1015" t="str">
        <f t="shared" si="5"/>
        <v>300191</v>
      </c>
      <c r="H1015" t="s">
        <v>3008</v>
      </c>
      <c r="I1015">
        <v>3677.04</v>
      </c>
    </row>
    <row r="1016" spans="1:9" x14ac:dyDescent="0.25">
      <c r="A1016" t="s">
        <v>9616</v>
      </c>
      <c r="C1016" t="s">
        <v>9617</v>
      </c>
      <c r="D1016" t="str">
        <f>"202101025"</f>
        <v>202101025</v>
      </c>
      <c r="E1016" t="s">
        <v>10174</v>
      </c>
      <c r="F1016" s="1">
        <v>44239</v>
      </c>
      <c r="G1016" t="str">
        <f t="shared" si="5"/>
        <v>300191</v>
      </c>
      <c r="H1016" t="s">
        <v>3008</v>
      </c>
      <c r="I1016">
        <v>3465.31</v>
      </c>
    </row>
    <row r="1017" spans="1:9" x14ac:dyDescent="0.25">
      <c r="A1017" t="s">
        <v>9616</v>
      </c>
      <c r="C1017" t="s">
        <v>9617</v>
      </c>
      <c r="D1017" t="str">
        <f>"202101034"</f>
        <v>202101034</v>
      </c>
      <c r="E1017" t="s">
        <v>10168</v>
      </c>
      <c r="F1017" s="1">
        <v>44240</v>
      </c>
      <c r="G1017" t="str">
        <f t="shared" si="5"/>
        <v>300191</v>
      </c>
      <c r="H1017" t="s">
        <v>3008</v>
      </c>
      <c r="I1017">
        <v>3158.34</v>
      </c>
    </row>
    <row r="1018" spans="1:9" x14ac:dyDescent="0.25">
      <c r="A1018" t="s">
        <v>9616</v>
      </c>
      <c r="C1018" t="s">
        <v>9617</v>
      </c>
      <c r="D1018" t="str">
        <f>"202101035"</f>
        <v>202101035</v>
      </c>
      <c r="E1018" t="s">
        <v>10167</v>
      </c>
      <c r="F1018" s="1">
        <v>44240</v>
      </c>
      <c r="G1018" t="str">
        <f t="shared" si="5"/>
        <v>300191</v>
      </c>
      <c r="H1018" t="s">
        <v>3008</v>
      </c>
      <c r="I1018">
        <v>3158.34</v>
      </c>
    </row>
    <row r="1019" spans="1:9" x14ac:dyDescent="0.25">
      <c r="A1019" t="s">
        <v>9616</v>
      </c>
      <c r="C1019" t="s">
        <v>9617</v>
      </c>
      <c r="D1019" t="str">
        <f>"202101037"</f>
        <v>202101037</v>
      </c>
      <c r="E1019" t="s">
        <v>10171</v>
      </c>
      <c r="F1019" s="1">
        <v>44240</v>
      </c>
      <c r="G1019" t="str">
        <f t="shared" si="5"/>
        <v>300191</v>
      </c>
      <c r="H1019" t="s">
        <v>3008</v>
      </c>
      <c r="I1019">
        <v>3156.26</v>
      </c>
    </row>
    <row r="1020" spans="1:9" x14ac:dyDescent="0.25">
      <c r="A1020" t="s">
        <v>9616</v>
      </c>
      <c r="C1020" t="s">
        <v>9617</v>
      </c>
      <c r="D1020" t="str">
        <f>"20673"</f>
        <v>20673</v>
      </c>
      <c r="E1020" s="4">
        <v>44228</v>
      </c>
      <c r="F1020" s="1">
        <v>44242</v>
      </c>
      <c r="G1020" t="str">
        <f>"300043"</f>
        <v>300043</v>
      </c>
      <c r="H1020" t="s">
        <v>2876</v>
      </c>
      <c r="I1020">
        <v>584</v>
      </c>
    </row>
    <row r="1021" spans="1:9" x14ac:dyDescent="0.25">
      <c r="A1021" t="s">
        <v>9616</v>
      </c>
      <c r="C1021" t="s">
        <v>9617</v>
      </c>
      <c r="D1021" t="str">
        <f>"008455"</f>
        <v>008455</v>
      </c>
      <c r="E1021" t="s">
        <v>10180</v>
      </c>
      <c r="F1021" s="1">
        <v>44242</v>
      </c>
      <c r="G1021" t="str">
        <f>"300043"</f>
        <v>300043</v>
      </c>
      <c r="H1021" t="s">
        <v>2876</v>
      </c>
      <c r="I1021">
        <v>1029</v>
      </c>
    </row>
    <row r="1022" spans="1:9" x14ac:dyDescent="0.25">
      <c r="A1022" t="s">
        <v>9616</v>
      </c>
      <c r="C1022" t="s">
        <v>9617</v>
      </c>
      <c r="D1022" t="str">
        <f>"008579"</f>
        <v>008579</v>
      </c>
      <c r="E1022" t="s">
        <v>10181</v>
      </c>
      <c r="F1022" s="1">
        <v>44242</v>
      </c>
      <c r="G1022" t="str">
        <f>"300043"</f>
        <v>300043</v>
      </c>
      <c r="H1022" t="s">
        <v>2876</v>
      </c>
      <c r="I1022">
        <v>1052</v>
      </c>
    </row>
    <row r="1023" spans="1:9" x14ac:dyDescent="0.25">
      <c r="A1023" t="s">
        <v>9616</v>
      </c>
      <c r="C1023" t="s">
        <v>9617</v>
      </c>
      <c r="D1023" t="str">
        <f>"10128959"</f>
        <v>10128959</v>
      </c>
      <c r="E1023" t="s">
        <v>2172</v>
      </c>
      <c r="F1023" s="1">
        <v>44242</v>
      </c>
      <c r="G1023" t="str">
        <f>"300115"</f>
        <v>300115</v>
      </c>
      <c r="H1023" t="s">
        <v>2938</v>
      </c>
      <c r="I1023">
        <v>301558.44400000002</v>
      </c>
    </row>
    <row r="1024" spans="1:9" x14ac:dyDescent="0.25">
      <c r="A1024" t="s">
        <v>9616</v>
      </c>
      <c r="C1024" t="s">
        <v>9617</v>
      </c>
      <c r="D1024" t="s">
        <v>10182</v>
      </c>
      <c r="E1024" t="s">
        <v>9955</v>
      </c>
      <c r="F1024" s="1">
        <v>44243</v>
      </c>
      <c r="G1024" t="str">
        <f>"300092"</f>
        <v>300092</v>
      </c>
      <c r="H1024" t="s">
        <v>2160</v>
      </c>
      <c r="I1024">
        <v>21373</v>
      </c>
    </row>
    <row r="1025" spans="1:9" x14ac:dyDescent="0.25">
      <c r="A1025" t="s">
        <v>9616</v>
      </c>
      <c r="C1025" t="s">
        <v>9617</v>
      </c>
      <c r="D1025" t="s">
        <v>10183</v>
      </c>
      <c r="E1025" t="s">
        <v>9674</v>
      </c>
      <c r="F1025" s="1">
        <v>44243</v>
      </c>
      <c r="G1025" t="str">
        <f>"300092"</f>
        <v>300092</v>
      </c>
      <c r="H1025" t="s">
        <v>2160</v>
      </c>
      <c r="I1025">
        <v>24500</v>
      </c>
    </row>
    <row r="1026" spans="1:9" x14ac:dyDescent="0.25">
      <c r="A1026" t="s">
        <v>9616</v>
      </c>
      <c r="C1026" t="s">
        <v>9617</v>
      </c>
      <c r="D1026" t="str">
        <f>"10129001"</f>
        <v>10129001</v>
      </c>
      <c r="E1026" t="s">
        <v>2172</v>
      </c>
      <c r="F1026" s="1">
        <v>44243</v>
      </c>
      <c r="G1026" t="str">
        <f>"300115"</f>
        <v>300115</v>
      </c>
      <c r="H1026" t="s">
        <v>2938</v>
      </c>
      <c r="I1026">
        <v>301558.44400000002</v>
      </c>
    </row>
    <row r="1027" spans="1:9" x14ac:dyDescent="0.25">
      <c r="A1027" t="s">
        <v>9616</v>
      </c>
      <c r="C1027" t="s">
        <v>9617</v>
      </c>
      <c r="D1027" t="str">
        <f>"09171"</f>
        <v>09171</v>
      </c>
      <c r="E1027" s="4">
        <v>44287</v>
      </c>
      <c r="F1027" s="1">
        <v>44244</v>
      </c>
      <c r="G1027" t="str">
        <f>"300043"</f>
        <v>300043</v>
      </c>
      <c r="H1027" t="s">
        <v>2876</v>
      </c>
      <c r="I1027">
        <v>1158</v>
      </c>
    </row>
    <row r="1028" spans="1:9" x14ac:dyDescent="0.25">
      <c r="A1028" t="s">
        <v>9616</v>
      </c>
      <c r="C1028" t="s">
        <v>9617</v>
      </c>
      <c r="D1028" t="str">
        <f>"73221"</f>
        <v>73221</v>
      </c>
      <c r="E1028" s="4">
        <v>44287</v>
      </c>
      <c r="F1028" s="1">
        <v>44244</v>
      </c>
      <c r="G1028" t="str">
        <f>"300101"</f>
        <v>300101</v>
      </c>
      <c r="H1028" t="s">
        <v>2926</v>
      </c>
      <c r="I1028">
        <v>3331.76</v>
      </c>
    </row>
    <row r="1029" spans="1:9" x14ac:dyDescent="0.25">
      <c r="A1029" t="s">
        <v>9616</v>
      </c>
      <c r="C1029" t="s">
        <v>9617</v>
      </c>
      <c r="D1029" t="str">
        <f>"10129040"</f>
        <v>10129040</v>
      </c>
      <c r="E1029" t="s">
        <v>9249</v>
      </c>
      <c r="F1029" s="1">
        <v>44244</v>
      </c>
      <c r="G1029" t="str">
        <f>"300115"</f>
        <v>300115</v>
      </c>
      <c r="H1029" t="s">
        <v>2938</v>
      </c>
      <c r="I1029">
        <v>150602.1</v>
      </c>
    </row>
    <row r="1030" spans="1:9" x14ac:dyDescent="0.25">
      <c r="A1030" t="s">
        <v>9616</v>
      </c>
      <c r="C1030" t="s">
        <v>9617</v>
      </c>
      <c r="D1030" t="str">
        <f>"10129041"</f>
        <v>10129041</v>
      </c>
      <c r="E1030" t="s">
        <v>9249</v>
      </c>
      <c r="F1030" s="1">
        <v>44244</v>
      </c>
      <c r="G1030" t="str">
        <f>"300115"</f>
        <v>300115</v>
      </c>
      <c r="H1030" t="s">
        <v>2938</v>
      </c>
      <c r="I1030">
        <v>150602.1</v>
      </c>
    </row>
    <row r="1031" spans="1:9" x14ac:dyDescent="0.25">
      <c r="A1031" t="s">
        <v>9616</v>
      </c>
      <c r="C1031" t="s">
        <v>9617</v>
      </c>
      <c r="D1031" t="str">
        <f>"290338"</f>
        <v>290338</v>
      </c>
      <c r="E1031" s="4">
        <v>44378</v>
      </c>
      <c r="F1031" s="1">
        <v>44245</v>
      </c>
      <c r="G1031" t="str">
        <f>"300043"</f>
        <v>300043</v>
      </c>
      <c r="H1031" t="s">
        <v>2876</v>
      </c>
      <c r="I1031">
        <v>1145</v>
      </c>
    </row>
    <row r="1032" spans="1:9" x14ac:dyDescent="0.25">
      <c r="A1032" t="s">
        <v>9616</v>
      </c>
      <c r="C1032" t="s">
        <v>9617</v>
      </c>
      <c r="D1032" t="str">
        <f>"73521"</f>
        <v>73521</v>
      </c>
      <c r="E1032" s="4">
        <v>44378</v>
      </c>
      <c r="F1032" s="1">
        <v>44245</v>
      </c>
      <c r="G1032" t="str">
        <f>"300101"</f>
        <v>300101</v>
      </c>
      <c r="H1032" t="s">
        <v>2926</v>
      </c>
      <c r="I1032">
        <v>3174.48</v>
      </c>
    </row>
    <row r="1033" spans="1:9" x14ac:dyDescent="0.25">
      <c r="A1033" t="s">
        <v>9616</v>
      </c>
      <c r="C1033" t="s">
        <v>9617</v>
      </c>
      <c r="D1033" t="str">
        <f>"10129074"</f>
        <v>10129074</v>
      </c>
      <c r="E1033" t="s">
        <v>9249</v>
      </c>
      <c r="F1033" s="1">
        <v>44245</v>
      </c>
      <c r="G1033" t="str">
        <f>"300115"</f>
        <v>300115</v>
      </c>
      <c r="H1033" t="s">
        <v>2938</v>
      </c>
      <c r="I1033">
        <v>174156.99840000001</v>
      </c>
    </row>
    <row r="1034" spans="1:9" x14ac:dyDescent="0.25">
      <c r="A1034" t="s">
        <v>9616</v>
      </c>
      <c r="C1034" t="s">
        <v>9617</v>
      </c>
      <c r="D1034" t="str">
        <f>"202101181"</f>
        <v>202101181</v>
      </c>
      <c r="E1034" t="s">
        <v>10181</v>
      </c>
      <c r="F1034" s="1">
        <v>44245</v>
      </c>
      <c r="G1034" t="str">
        <f>"300191"</f>
        <v>300191</v>
      </c>
      <c r="H1034" t="s">
        <v>3008</v>
      </c>
      <c r="I1034">
        <v>3345.56</v>
      </c>
    </row>
    <row r="1035" spans="1:9" x14ac:dyDescent="0.25">
      <c r="A1035" t="s">
        <v>9616</v>
      </c>
      <c r="C1035" t="s">
        <v>9617</v>
      </c>
      <c r="D1035" t="str">
        <f>"202101182"</f>
        <v>202101182</v>
      </c>
      <c r="E1035" t="s">
        <v>10184</v>
      </c>
      <c r="F1035" s="1">
        <v>44245</v>
      </c>
      <c r="G1035" t="str">
        <f>"300191"</f>
        <v>300191</v>
      </c>
      <c r="H1035" t="s">
        <v>3008</v>
      </c>
      <c r="I1035">
        <v>3503.55</v>
      </c>
    </row>
    <row r="1036" spans="1:9" x14ac:dyDescent="0.25">
      <c r="A1036" t="s">
        <v>9616</v>
      </c>
      <c r="C1036" t="s">
        <v>9617</v>
      </c>
      <c r="D1036" t="str">
        <f>"09793"</f>
        <v>09793</v>
      </c>
      <c r="E1036" t="s">
        <v>10185</v>
      </c>
      <c r="F1036" s="1">
        <v>44246</v>
      </c>
      <c r="G1036" t="str">
        <f>"300043"</f>
        <v>300043</v>
      </c>
      <c r="H1036" t="s">
        <v>2876</v>
      </c>
      <c r="I1036">
        <v>649</v>
      </c>
    </row>
    <row r="1037" spans="1:9" x14ac:dyDescent="0.25">
      <c r="A1037" t="s">
        <v>9616</v>
      </c>
      <c r="C1037" t="s">
        <v>9617</v>
      </c>
      <c r="D1037" t="str">
        <f>"09795"</f>
        <v>09795</v>
      </c>
      <c r="E1037" s="4">
        <v>44440</v>
      </c>
      <c r="F1037" s="1">
        <v>44246</v>
      </c>
      <c r="G1037" t="str">
        <f>"300043"</f>
        <v>300043</v>
      </c>
      <c r="H1037" t="s">
        <v>2876</v>
      </c>
      <c r="I1037">
        <v>657</v>
      </c>
    </row>
    <row r="1038" spans="1:9" x14ac:dyDescent="0.25">
      <c r="A1038" t="s">
        <v>9616</v>
      </c>
      <c r="C1038" t="s">
        <v>9617</v>
      </c>
      <c r="D1038" t="str">
        <f>"09916"</f>
        <v>09916</v>
      </c>
      <c r="E1038" s="4">
        <v>44470</v>
      </c>
      <c r="F1038" s="1">
        <v>44246</v>
      </c>
      <c r="G1038" t="str">
        <f>"300043"</f>
        <v>300043</v>
      </c>
      <c r="H1038" t="s">
        <v>2876</v>
      </c>
      <c r="I1038">
        <v>709</v>
      </c>
    </row>
    <row r="1039" spans="1:9" x14ac:dyDescent="0.25">
      <c r="A1039" t="s">
        <v>9616</v>
      </c>
      <c r="C1039" t="s">
        <v>9617</v>
      </c>
      <c r="D1039" t="str">
        <f>"73721"</f>
        <v>73721</v>
      </c>
      <c r="E1039" s="4">
        <v>44440</v>
      </c>
      <c r="F1039" s="1">
        <v>44246</v>
      </c>
      <c r="G1039" t="str">
        <f>"300101"</f>
        <v>300101</v>
      </c>
      <c r="H1039" t="s">
        <v>2926</v>
      </c>
      <c r="I1039">
        <v>3640.7</v>
      </c>
    </row>
    <row r="1040" spans="1:9" x14ac:dyDescent="0.25">
      <c r="A1040" t="s">
        <v>9616</v>
      </c>
      <c r="C1040" t="s">
        <v>9617</v>
      </c>
      <c r="D1040" t="str">
        <f>"73821"</f>
        <v>73821</v>
      </c>
      <c r="E1040" s="4">
        <v>44470</v>
      </c>
      <c r="F1040" s="1">
        <v>44246</v>
      </c>
      <c r="G1040" t="str">
        <f>"300101"</f>
        <v>300101</v>
      </c>
      <c r="H1040" t="s">
        <v>2926</v>
      </c>
      <c r="I1040">
        <v>4426.93</v>
      </c>
    </row>
    <row r="1041" spans="1:9" x14ac:dyDescent="0.25">
      <c r="A1041" t="s">
        <v>9616</v>
      </c>
      <c r="C1041" t="s">
        <v>9617</v>
      </c>
      <c r="D1041" t="str">
        <f>"74421"</f>
        <v>74421</v>
      </c>
      <c r="E1041" t="s">
        <v>10185</v>
      </c>
      <c r="F1041" s="1">
        <v>44246</v>
      </c>
      <c r="G1041" t="str">
        <f>"300101"</f>
        <v>300101</v>
      </c>
      <c r="H1041" t="s">
        <v>2926</v>
      </c>
      <c r="I1041">
        <v>3977.84</v>
      </c>
    </row>
    <row r="1042" spans="1:9" x14ac:dyDescent="0.25">
      <c r="A1042" t="s">
        <v>9616</v>
      </c>
      <c r="C1042" t="s">
        <v>9617</v>
      </c>
      <c r="D1042" t="str">
        <f>"10129135"</f>
        <v>10129135</v>
      </c>
      <c r="E1042" t="s">
        <v>9189</v>
      </c>
      <c r="F1042" s="1">
        <v>44249</v>
      </c>
      <c r="G1042" t="str">
        <f>"300115"</f>
        <v>300115</v>
      </c>
      <c r="H1042" t="s">
        <v>2938</v>
      </c>
      <c r="I1042">
        <v>249728.4768</v>
      </c>
    </row>
    <row r="1043" spans="1:9" x14ac:dyDescent="0.25">
      <c r="A1043" t="s">
        <v>9616</v>
      </c>
      <c r="C1043" t="s">
        <v>9617</v>
      </c>
      <c r="D1043" t="str">
        <f>"10129136"</f>
        <v>10129136</v>
      </c>
      <c r="E1043" t="s">
        <v>9189</v>
      </c>
      <c r="F1043" s="1">
        <v>44249</v>
      </c>
      <c r="G1043" t="str">
        <f>"300115"</f>
        <v>300115</v>
      </c>
      <c r="H1043" t="s">
        <v>2938</v>
      </c>
      <c r="I1043">
        <v>275007.74400000001</v>
      </c>
    </row>
    <row r="1044" spans="1:9" x14ac:dyDescent="0.25">
      <c r="A1044" t="s">
        <v>9616</v>
      </c>
      <c r="C1044" t="s">
        <v>9617</v>
      </c>
      <c r="D1044" t="str">
        <f>"10129140"</f>
        <v>10129140</v>
      </c>
      <c r="E1044" t="s">
        <v>9249</v>
      </c>
      <c r="F1044" s="1">
        <v>44249</v>
      </c>
      <c r="G1044" t="str">
        <f>"300115"</f>
        <v>300115</v>
      </c>
      <c r="H1044" t="s">
        <v>2938</v>
      </c>
      <c r="I1044">
        <v>142253.54879999999</v>
      </c>
    </row>
    <row r="1045" spans="1:9" x14ac:dyDescent="0.25">
      <c r="A1045" t="s">
        <v>9616</v>
      </c>
      <c r="C1045" t="s">
        <v>9617</v>
      </c>
      <c r="D1045" t="str">
        <f>"10129141"</f>
        <v>10129141</v>
      </c>
      <c r="E1045" t="s">
        <v>9191</v>
      </c>
      <c r="F1045" s="1">
        <v>44249</v>
      </c>
      <c r="G1045" t="str">
        <f>"300115"</f>
        <v>300115</v>
      </c>
      <c r="H1045" t="s">
        <v>2938</v>
      </c>
      <c r="I1045">
        <v>23343.108800000002</v>
      </c>
    </row>
    <row r="1046" spans="1:9" x14ac:dyDescent="0.25">
      <c r="A1046" t="s">
        <v>9616</v>
      </c>
      <c r="C1046" t="s">
        <v>9617</v>
      </c>
      <c r="D1046" t="str">
        <f>"10129144"</f>
        <v>10129144</v>
      </c>
      <c r="E1046" t="s">
        <v>9940</v>
      </c>
      <c r="F1046" s="1">
        <v>44249</v>
      </c>
      <c r="G1046" t="str">
        <f>"300115"</f>
        <v>300115</v>
      </c>
      <c r="H1046" t="s">
        <v>2938</v>
      </c>
      <c r="I1046">
        <v>305922.04499999998</v>
      </c>
    </row>
    <row r="1047" spans="1:9" x14ac:dyDescent="0.25">
      <c r="A1047" t="s">
        <v>9616</v>
      </c>
      <c r="C1047" t="s">
        <v>9617</v>
      </c>
      <c r="D1047" t="s">
        <v>10186</v>
      </c>
      <c r="E1047" t="s">
        <v>10187</v>
      </c>
      <c r="F1047" s="1">
        <v>44249</v>
      </c>
      <c r="G1047" t="str">
        <f>"300133"</f>
        <v>300133</v>
      </c>
      <c r="H1047" t="s">
        <v>2955</v>
      </c>
      <c r="I1047">
        <v>43194</v>
      </c>
    </row>
    <row r="1048" spans="1:9" x14ac:dyDescent="0.25">
      <c r="A1048" t="s">
        <v>9616</v>
      </c>
      <c r="C1048" t="s">
        <v>9617</v>
      </c>
      <c r="D1048" t="str">
        <f>"10530"</f>
        <v>10530</v>
      </c>
      <c r="E1048" t="s">
        <v>10188</v>
      </c>
      <c r="F1048" s="1">
        <v>44250</v>
      </c>
      <c r="G1048" t="str">
        <f>"300043"</f>
        <v>300043</v>
      </c>
      <c r="H1048" t="s">
        <v>2876</v>
      </c>
      <c r="I1048">
        <v>736</v>
      </c>
    </row>
    <row r="1049" spans="1:9" x14ac:dyDescent="0.25">
      <c r="A1049" t="s">
        <v>9616</v>
      </c>
      <c r="C1049" t="s">
        <v>9617</v>
      </c>
      <c r="D1049" t="str">
        <f>"10531"</f>
        <v>10531</v>
      </c>
      <c r="E1049" t="s">
        <v>10189</v>
      </c>
      <c r="F1049" s="1">
        <v>44250</v>
      </c>
      <c r="G1049" t="str">
        <f>"300043"</f>
        <v>300043</v>
      </c>
      <c r="H1049" t="s">
        <v>2876</v>
      </c>
      <c r="I1049">
        <v>1017</v>
      </c>
    </row>
    <row r="1050" spans="1:9" x14ac:dyDescent="0.25">
      <c r="A1050" t="s">
        <v>9616</v>
      </c>
      <c r="C1050" t="s">
        <v>9617</v>
      </c>
      <c r="D1050" t="str">
        <f>"010540"</f>
        <v>010540</v>
      </c>
      <c r="E1050" t="s">
        <v>10190</v>
      </c>
      <c r="F1050" s="1">
        <v>44250</v>
      </c>
      <c r="G1050" t="str">
        <f>"300043"</f>
        <v>300043</v>
      </c>
      <c r="H1050" t="s">
        <v>2876</v>
      </c>
      <c r="I1050">
        <v>1099</v>
      </c>
    </row>
    <row r="1051" spans="1:9" x14ac:dyDescent="0.25">
      <c r="A1051" t="s">
        <v>9616</v>
      </c>
      <c r="C1051" t="s">
        <v>9617</v>
      </c>
      <c r="D1051" t="str">
        <f>"76521"</f>
        <v>76521</v>
      </c>
      <c r="E1051" t="s">
        <v>10188</v>
      </c>
      <c r="F1051" s="1">
        <v>44250</v>
      </c>
      <c r="G1051" t="str">
        <f>"300101"</f>
        <v>300101</v>
      </c>
      <c r="H1051" t="s">
        <v>2926</v>
      </c>
      <c r="I1051">
        <v>3963.82</v>
      </c>
    </row>
    <row r="1052" spans="1:9" x14ac:dyDescent="0.25">
      <c r="A1052" t="s">
        <v>9616</v>
      </c>
      <c r="C1052" t="s">
        <v>9617</v>
      </c>
      <c r="D1052" t="str">
        <f>"10129169"</f>
        <v>10129169</v>
      </c>
      <c r="E1052" t="s">
        <v>2172</v>
      </c>
      <c r="F1052" s="1">
        <v>44250</v>
      </c>
      <c r="G1052" t="str">
        <f>"300115"</f>
        <v>300115</v>
      </c>
      <c r="H1052" t="s">
        <v>2938</v>
      </c>
      <c r="I1052">
        <v>301558.44400000002</v>
      </c>
    </row>
    <row r="1053" spans="1:9" x14ac:dyDescent="0.25">
      <c r="A1053" t="s">
        <v>9616</v>
      </c>
      <c r="C1053" t="s">
        <v>9617</v>
      </c>
      <c r="D1053" t="str">
        <f>"10129171"</f>
        <v>10129171</v>
      </c>
      <c r="E1053" t="s">
        <v>9189</v>
      </c>
      <c r="F1053" s="1">
        <v>44250</v>
      </c>
      <c r="G1053" t="str">
        <f>"300115"</f>
        <v>300115</v>
      </c>
      <c r="H1053" t="s">
        <v>2938</v>
      </c>
      <c r="I1053">
        <v>259274.565</v>
      </c>
    </row>
    <row r="1054" spans="1:9" x14ac:dyDescent="0.25">
      <c r="A1054" t="s">
        <v>9616</v>
      </c>
      <c r="C1054" t="s">
        <v>9617</v>
      </c>
      <c r="D1054" t="str">
        <f>"10129191"</f>
        <v>10129191</v>
      </c>
      <c r="E1054" t="s">
        <v>2172</v>
      </c>
      <c r="F1054" s="1">
        <v>44251</v>
      </c>
      <c r="G1054" t="str">
        <f>"300115"</f>
        <v>300115</v>
      </c>
      <c r="H1054" t="s">
        <v>2938</v>
      </c>
      <c r="I1054">
        <v>292319.65399999998</v>
      </c>
    </row>
    <row r="1055" spans="1:9" x14ac:dyDescent="0.25">
      <c r="A1055" t="s">
        <v>9616</v>
      </c>
      <c r="C1055" t="s">
        <v>9617</v>
      </c>
      <c r="D1055" t="str">
        <f>"1613105"</f>
        <v>1613105</v>
      </c>
      <c r="E1055" t="s">
        <v>10191</v>
      </c>
      <c r="F1055" s="1">
        <v>44251</v>
      </c>
      <c r="G1055" t="str">
        <f>"300133"</f>
        <v>300133</v>
      </c>
      <c r="H1055" t="s">
        <v>2955</v>
      </c>
      <c r="I1055">
        <v>7068</v>
      </c>
    </row>
    <row r="1056" spans="1:9" x14ac:dyDescent="0.25">
      <c r="A1056" t="s">
        <v>9616</v>
      </c>
      <c r="C1056" t="s">
        <v>9617</v>
      </c>
      <c r="D1056" t="str">
        <f>"10968"</f>
        <v>10968</v>
      </c>
      <c r="E1056" t="s">
        <v>10192</v>
      </c>
      <c r="F1056" s="1">
        <v>44252</v>
      </c>
      <c r="G1056" t="str">
        <f>"300043"</f>
        <v>300043</v>
      </c>
      <c r="H1056" t="s">
        <v>2876</v>
      </c>
      <c r="I1056">
        <v>1051</v>
      </c>
    </row>
    <row r="1057" spans="1:9" x14ac:dyDescent="0.25">
      <c r="A1057" t="s">
        <v>9616</v>
      </c>
      <c r="C1057" t="s">
        <v>9617</v>
      </c>
      <c r="D1057" t="str">
        <f>"11014"</f>
        <v>11014</v>
      </c>
      <c r="E1057" t="s">
        <v>10193</v>
      </c>
      <c r="F1057" s="1">
        <v>44252</v>
      </c>
      <c r="G1057" t="str">
        <f>"300043"</f>
        <v>300043</v>
      </c>
      <c r="H1057" t="s">
        <v>2876</v>
      </c>
      <c r="I1057">
        <v>1170</v>
      </c>
    </row>
    <row r="1058" spans="1:9" x14ac:dyDescent="0.25">
      <c r="A1058" t="s">
        <v>9616</v>
      </c>
      <c r="C1058" t="s">
        <v>9617</v>
      </c>
      <c r="D1058" t="str">
        <f>"11021"</f>
        <v>11021</v>
      </c>
      <c r="E1058" t="s">
        <v>10194</v>
      </c>
      <c r="F1058" s="1">
        <v>44252</v>
      </c>
      <c r="G1058" t="str">
        <f>"300043"</f>
        <v>300043</v>
      </c>
      <c r="H1058" t="s">
        <v>2876</v>
      </c>
      <c r="I1058">
        <v>697</v>
      </c>
    </row>
    <row r="1059" spans="1:9" x14ac:dyDescent="0.25">
      <c r="A1059" t="s">
        <v>9616</v>
      </c>
      <c r="C1059" t="s">
        <v>9617</v>
      </c>
      <c r="D1059" t="str">
        <f>"11038"</f>
        <v>11038</v>
      </c>
      <c r="E1059" t="s">
        <v>10195</v>
      </c>
      <c r="F1059" s="1">
        <v>44252</v>
      </c>
      <c r="G1059" t="str">
        <f>"300043"</f>
        <v>300043</v>
      </c>
      <c r="H1059" t="s">
        <v>2876</v>
      </c>
      <c r="I1059">
        <v>1157</v>
      </c>
    </row>
    <row r="1060" spans="1:9" x14ac:dyDescent="0.25">
      <c r="A1060" t="s">
        <v>9616</v>
      </c>
      <c r="C1060" t="s">
        <v>9617</v>
      </c>
      <c r="D1060" t="str">
        <f>"109821"</f>
        <v>109821</v>
      </c>
      <c r="E1060" t="s">
        <v>10193</v>
      </c>
      <c r="F1060" s="1">
        <v>44252</v>
      </c>
      <c r="G1060" t="str">
        <f>"300101"</f>
        <v>300101</v>
      </c>
      <c r="H1060" t="s">
        <v>2926</v>
      </c>
      <c r="I1060">
        <v>3497.56</v>
      </c>
    </row>
    <row r="1061" spans="1:9" x14ac:dyDescent="0.25">
      <c r="A1061" t="s">
        <v>9616</v>
      </c>
      <c r="C1061" t="s">
        <v>9617</v>
      </c>
      <c r="D1061" t="str">
        <f>"109921"</f>
        <v>109921</v>
      </c>
      <c r="E1061" t="s">
        <v>10194</v>
      </c>
      <c r="F1061" s="1">
        <v>44252</v>
      </c>
      <c r="G1061" t="str">
        <f>"300101"</f>
        <v>300101</v>
      </c>
      <c r="H1061" t="s">
        <v>2926</v>
      </c>
      <c r="I1061">
        <v>3655.2</v>
      </c>
    </row>
    <row r="1062" spans="1:9" x14ac:dyDescent="0.25">
      <c r="A1062" t="s">
        <v>9616</v>
      </c>
      <c r="C1062" t="s">
        <v>9617</v>
      </c>
      <c r="D1062" t="str">
        <f>"110021"</f>
        <v>110021</v>
      </c>
      <c r="E1062" t="s">
        <v>10195</v>
      </c>
      <c r="F1062" s="1">
        <v>44252</v>
      </c>
      <c r="G1062" t="str">
        <f>"300101"</f>
        <v>300101</v>
      </c>
      <c r="H1062" t="s">
        <v>2926</v>
      </c>
      <c r="I1062">
        <v>3339.42</v>
      </c>
    </row>
    <row r="1063" spans="1:9" x14ac:dyDescent="0.25">
      <c r="A1063" t="s">
        <v>9616</v>
      </c>
      <c r="C1063" t="s">
        <v>9617</v>
      </c>
      <c r="D1063" t="s">
        <v>10196</v>
      </c>
      <c r="E1063" t="s">
        <v>9858</v>
      </c>
      <c r="F1063" s="1">
        <v>44253</v>
      </c>
      <c r="G1063" t="str">
        <f>"300092"</f>
        <v>300092</v>
      </c>
      <c r="H1063" t="s">
        <v>2160</v>
      </c>
      <c r="I1063">
        <v>32175</v>
      </c>
    </row>
    <row r="1064" spans="1:9" x14ac:dyDescent="0.25">
      <c r="A1064" t="s">
        <v>9616</v>
      </c>
      <c r="C1064" t="s">
        <v>9617</v>
      </c>
      <c r="D1064" t="str">
        <f>"10129223"</f>
        <v>10129223</v>
      </c>
      <c r="E1064" t="s">
        <v>9183</v>
      </c>
      <c r="F1064" s="1">
        <v>44253</v>
      </c>
      <c r="G1064" t="str">
        <f>"300115"</f>
        <v>300115</v>
      </c>
      <c r="H1064" t="s">
        <v>2938</v>
      </c>
      <c r="I1064">
        <v>102744.477</v>
      </c>
    </row>
    <row r="1065" spans="1:9" x14ac:dyDescent="0.25">
      <c r="A1065" t="s">
        <v>9616</v>
      </c>
      <c r="C1065" t="s">
        <v>9617</v>
      </c>
      <c r="D1065" t="str">
        <f>"10129244"</f>
        <v>10129244</v>
      </c>
      <c r="E1065" t="s">
        <v>9216</v>
      </c>
      <c r="F1065" s="1">
        <v>44253</v>
      </c>
      <c r="G1065" t="str">
        <f>"300115"</f>
        <v>300115</v>
      </c>
      <c r="H1065" t="s">
        <v>2938</v>
      </c>
      <c r="I1065">
        <v>143720.6232</v>
      </c>
    </row>
    <row r="1066" spans="1:9" x14ac:dyDescent="0.25">
      <c r="A1066" t="s">
        <v>9616</v>
      </c>
      <c r="C1066" t="s">
        <v>9617</v>
      </c>
      <c r="D1066" t="str">
        <f>"10129286"</f>
        <v>10129286</v>
      </c>
      <c r="E1066" t="s">
        <v>9189</v>
      </c>
      <c r="F1066" s="1">
        <v>44253</v>
      </c>
      <c r="G1066" t="str">
        <f>"300115"</f>
        <v>300115</v>
      </c>
      <c r="H1066" t="s">
        <v>2938</v>
      </c>
      <c r="I1066">
        <v>184563.32620000001</v>
      </c>
    </row>
    <row r="1067" spans="1:9" x14ac:dyDescent="0.25">
      <c r="A1067" t="s">
        <v>9616</v>
      </c>
      <c r="C1067" t="s">
        <v>9617</v>
      </c>
      <c r="D1067" t="str">
        <f>"210284"</f>
        <v>210284</v>
      </c>
      <c r="E1067" t="s">
        <v>10170</v>
      </c>
      <c r="F1067" s="1">
        <v>44253</v>
      </c>
      <c r="G1067" t="str">
        <f>"300301"</f>
        <v>300301</v>
      </c>
      <c r="H1067" t="s">
        <v>3043</v>
      </c>
      <c r="I1067">
        <v>8478.8799999999992</v>
      </c>
    </row>
    <row r="1068" spans="1:9" x14ac:dyDescent="0.25">
      <c r="A1068" t="s">
        <v>9616</v>
      </c>
      <c r="C1068" t="s">
        <v>9617</v>
      </c>
      <c r="D1068" t="str">
        <f>"210286"</f>
        <v>210286</v>
      </c>
      <c r="E1068" t="s">
        <v>10176</v>
      </c>
      <c r="F1068" s="1">
        <v>44253</v>
      </c>
      <c r="G1068" t="str">
        <f>"300301"</f>
        <v>300301</v>
      </c>
      <c r="H1068" t="s">
        <v>3043</v>
      </c>
      <c r="I1068">
        <v>2107.5</v>
      </c>
    </row>
    <row r="1069" spans="1:9" x14ac:dyDescent="0.25">
      <c r="A1069" t="s">
        <v>9616</v>
      </c>
      <c r="C1069" t="s">
        <v>9617</v>
      </c>
      <c r="D1069" t="str">
        <f>"005822"</f>
        <v>005822</v>
      </c>
      <c r="E1069" t="s">
        <v>10189</v>
      </c>
      <c r="F1069" s="1">
        <v>44254</v>
      </c>
      <c r="G1069" t="str">
        <f>"300191"</f>
        <v>300191</v>
      </c>
      <c r="H1069" t="s">
        <v>3008</v>
      </c>
      <c r="I1069">
        <v>3179.64</v>
      </c>
    </row>
    <row r="1070" spans="1:9" x14ac:dyDescent="0.25">
      <c r="A1070" t="s">
        <v>9616</v>
      </c>
      <c r="C1070" t="s">
        <v>9617</v>
      </c>
      <c r="D1070" t="str">
        <f>"202101479"</f>
        <v>202101479</v>
      </c>
      <c r="E1070" t="s">
        <v>10190</v>
      </c>
      <c r="F1070" s="1">
        <v>44254</v>
      </c>
      <c r="G1070" t="str">
        <f>"300191"</f>
        <v>300191</v>
      </c>
      <c r="H1070" t="s">
        <v>3008</v>
      </c>
      <c r="I1070">
        <v>3179.64</v>
      </c>
    </row>
    <row r="1071" spans="1:9" x14ac:dyDescent="0.25">
      <c r="A1071" t="s">
        <v>9616</v>
      </c>
      <c r="C1071" t="s">
        <v>9617</v>
      </c>
      <c r="D1071" t="str">
        <f>"202101484"</f>
        <v>202101484</v>
      </c>
      <c r="E1071" t="s">
        <v>10192</v>
      </c>
      <c r="F1071" s="1">
        <v>44254</v>
      </c>
      <c r="G1071" t="str">
        <f>"300191"</f>
        <v>300191</v>
      </c>
      <c r="H1071" t="s">
        <v>3008</v>
      </c>
      <c r="I1071">
        <v>3163.02</v>
      </c>
    </row>
    <row r="1072" spans="1:9" x14ac:dyDescent="0.25">
      <c r="A1072" t="s">
        <v>9616</v>
      </c>
      <c r="C1072" t="s">
        <v>9617</v>
      </c>
      <c r="D1072" t="s">
        <v>10197</v>
      </c>
      <c r="E1072" t="s">
        <v>10198</v>
      </c>
      <c r="F1072" s="1">
        <v>44256</v>
      </c>
      <c r="G1072" t="str">
        <f>"300133"</f>
        <v>300133</v>
      </c>
      <c r="H1072" t="s">
        <v>2955</v>
      </c>
      <c r="I1072">
        <v>87231.6</v>
      </c>
    </row>
    <row r="1073" spans="1:9" x14ac:dyDescent="0.25">
      <c r="A1073" t="s">
        <v>9616</v>
      </c>
      <c r="C1073" t="s">
        <v>9617</v>
      </c>
      <c r="D1073" t="str">
        <f>"11759"</f>
        <v>11759</v>
      </c>
      <c r="E1073" t="s">
        <v>10199</v>
      </c>
      <c r="F1073" s="1">
        <v>44257</v>
      </c>
      <c r="G1073" t="str">
        <f>"300043"</f>
        <v>300043</v>
      </c>
      <c r="H1073" t="s">
        <v>2876</v>
      </c>
      <c r="I1073">
        <v>1121</v>
      </c>
    </row>
    <row r="1074" spans="1:9" x14ac:dyDescent="0.25">
      <c r="A1074" t="s">
        <v>9616</v>
      </c>
      <c r="C1074" t="s">
        <v>9617</v>
      </c>
      <c r="D1074" t="str">
        <f>"2101442"</f>
        <v>2101442</v>
      </c>
      <c r="E1074" t="s">
        <v>9243</v>
      </c>
      <c r="F1074" s="1">
        <v>44257</v>
      </c>
      <c r="G1074" t="str">
        <f>"300064"</f>
        <v>300064</v>
      </c>
      <c r="H1074" t="s">
        <v>2896</v>
      </c>
      <c r="I1074">
        <v>91140</v>
      </c>
    </row>
    <row r="1075" spans="1:9" x14ac:dyDescent="0.25">
      <c r="A1075" t="s">
        <v>9616</v>
      </c>
      <c r="C1075" t="s">
        <v>9617</v>
      </c>
      <c r="D1075" t="str">
        <f>"110221"</f>
        <v>110221</v>
      </c>
      <c r="E1075" t="s">
        <v>10199</v>
      </c>
      <c r="F1075" s="1">
        <v>44257</v>
      </c>
      <c r="G1075" t="str">
        <f>"300101"</f>
        <v>300101</v>
      </c>
      <c r="H1075" t="s">
        <v>2926</v>
      </c>
      <c r="I1075">
        <v>3951.32</v>
      </c>
    </row>
    <row r="1076" spans="1:9" x14ac:dyDescent="0.25">
      <c r="A1076" t="s">
        <v>9616</v>
      </c>
      <c r="C1076" t="s">
        <v>9617</v>
      </c>
      <c r="D1076" t="str">
        <f>"12021"</f>
        <v>12021</v>
      </c>
      <c r="E1076" t="s">
        <v>10200</v>
      </c>
      <c r="F1076" s="1">
        <v>44258</v>
      </c>
      <c r="G1076" t="str">
        <f>"300043"</f>
        <v>300043</v>
      </c>
      <c r="H1076" t="s">
        <v>2876</v>
      </c>
      <c r="I1076">
        <v>503</v>
      </c>
    </row>
    <row r="1077" spans="1:9" x14ac:dyDescent="0.25">
      <c r="A1077" t="s">
        <v>9616</v>
      </c>
      <c r="C1077" t="s">
        <v>9617</v>
      </c>
      <c r="D1077" t="str">
        <f>"12078"</f>
        <v>12078</v>
      </c>
      <c r="E1077" t="s">
        <v>10201</v>
      </c>
      <c r="F1077" s="1">
        <v>44258</v>
      </c>
      <c r="G1077" t="str">
        <f>"300043"</f>
        <v>300043</v>
      </c>
      <c r="H1077" t="s">
        <v>2876</v>
      </c>
      <c r="I1077">
        <v>637</v>
      </c>
    </row>
    <row r="1078" spans="1:9" x14ac:dyDescent="0.25">
      <c r="A1078" t="s">
        <v>9616</v>
      </c>
      <c r="C1078" t="s">
        <v>9617</v>
      </c>
      <c r="D1078" t="str">
        <f>"12275"</f>
        <v>12275</v>
      </c>
      <c r="E1078" t="s">
        <v>10202</v>
      </c>
      <c r="F1078" s="1">
        <v>44258</v>
      </c>
      <c r="G1078" t="str">
        <f>"300043"</f>
        <v>300043</v>
      </c>
      <c r="H1078" t="s">
        <v>2876</v>
      </c>
      <c r="I1078">
        <v>768</v>
      </c>
    </row>
    <row r="1079" spans="1:9" x14ac:dyDescent="0.25">
      <c r="A1079" t="s">
        <v>9616</v>
      </c>
      <c r="C1079" t="s">
        <v>9617</v>
      </c>
      <c r="D1079" t="str">
        <f>"108921"</f>
        <v>108921</v>
      </c>
      <c r="E1079" t="s">
        <v>10201</v>
      </c>
      <c r="F1079" s="1">
        <v>44258</v>
      </c>
      <c r="G1079" t="str">
        <f>"300101"</f>
        <v>300101</v>
      </c>
      <c r="H1079" t="s">
        <v>2926</v>
      </c>
      <c r="I1079">
        <v>3635.13</v>
      </c>
    </row>
    <row r="1080" spans="1:9" x14ac:dyDescent="0.25">
      <c r="A1080" t="s">
        <v>9616</v>
      </c>
      <c r="C1080" t="s">
        <v>9617</v>
      </c>
      <c r="D1080" t="str">
        <f>"109021"</f>
        <v>109021</v>
      </c>
      <c r="E1080" t="s">
        <v>10202</v>
      </c>
      <c r="F1080" s="1">
        <v>44258</v>
      </c>
      <c r="G1080" t="str">
        <f>"300101"</f>
        <v>300101</v>
      </c>
      <c r="H1080" t="s">
        <v>2926</v>
      </c>
      <c r="I1080">
        <v>3321.97</v>
      </c>
    </row>
    <row r="1081" spans="1:9" x14ac:dyDescent="0.25">
      <c r="A1081" t="s">
        <v>9616</v>
      </c>
      <c r="C1081" t="s">
        <v>9617</v>
      </c>
      <c r="D1081" t="str">
        <f>"110321"</f>
        <v>110321</v>
      </c>
      <c r="E1081" t="s">
        <v>10200</v>
      </c>
      <c r="F1081" s="1">
        <v>44258</v>
      </c>
      <c r="G1081" t="str">
        <f>"300101"</f>
        <v>300101</v>
      </c>
      <c r="H1081" t="s">
        <v>2926</v>
      </c>
      <c r="I1081">
        <v>3792.92</v>
      </c>
    </row>
    <row r="1082" spans="1:9" x14ac:dyDescent="0.25">
      <c r="A1082" t="s">
        <v>9616</v>
      </c>
      <c r="C1082" t="s">
        <v>9617</v>
      </c>
      <c r="D1082" t="str">
        <f>"30008"</f>
        <v>30008</v>
      </c>
      <c r="E1082" s="4">
        <v>44256</v>
      </c>
      <c r="F1082" s="1">
        <v>44259</v>
      </c>
      <c r="G1082" t="str">
        <f>"300043"</f>
        <v>300043</v>
      </c>
      <c r="H1082" t="s">
        <v>2876</v>
      </c>
      <c r="I1082">
        <v>569</v>
      </c>
    </row>
    <row r="1083" spans="1:9" x14ac:dyDescent="0.25">
      <c r="A1083" t="s">
        <v>9616</v>
      </c>
      <c r="C1083" t="s">
        <v>9617</v>
      </c>
      <c r="D1083" t="str">
        <f>"10129380"</f>
        <v>10129380</v>
      </c>
      <c r="E1083" t="s">
        <v>9189</v>
      </c>
      <c r="F1083" s="1">
        <v>44259</v>
      </c>
      <c r="G1083" t="str">
        <f>"300115"</f>
        <v>300115</v>
      </c>
      <c r="H1083" t="s">
        <v>2938</v>
      </c>
      <c r="I1083">
        <v>270565.54800000001</v>
      </c>
    </row>
    <row r="1084" spans="1:9" x14ac:dyDescent="0.25">
      <c r="A1084" t="s">
        <v>9616</v>
      </c>
      <c r="C1084" t="s">
        <v>9617</v>
      </c>
      <c r="D1084" t="str">
        <f>"005021"</f>
        <v>005021</v>
      </c>
      <c r="E1084" t="s">
        <v>10173</v>
      </c>
      <c r="F1084" s="1">
        <v>44259</v>
      </c>
      <c r="G1084" t="str">
        <f t="shared" ref="G1084:G1093" si="6">"300192"</f>
        <v>300192</v>
      </c>
      <c r="H1084" t="s">
        <v>3009</v>
      </c>
      <c r="I1084">
        <v>12500</v>
      </c>
    </row>
    <row r="1085" spans="1:9" x14ac:dyDescent="0.25">
      <c r="A1085" t="s">
        <v>9616</v>
      </c>
      <c r="C1085" t="s">
        <v>9617</v>
      </c>
      <c r="D1085" t="str">
        <f>"005121"</f>
        <v>005121</v>
      </c>
      <c r="E1085" t="s">
        <v>10167</v>
      </c>
      <c r="F1085" s="1">
        <v>44259</v>
      </c>
      <c r="G1085" t="str">
        <f t="shared" si="6"/>
        <v>300192</v>
      </c>
      <c r="H1085" t="s">
        <v>3009</v>
      </c>
      <c r="I1085">
        <v>11000</v>
      </c>
    </row>
    <row r="1086" spans="1:9" x14ac:dyDescent="0.25">
      <c r="A1086" t="s">
        <v>9616</v>
      </c>
      <c r="C1086" t="s">
        <v>9617</v>
      </c>
      <c r="D1086" t="str">
        <f>"005221"</f>
        <v>005221</v>
      </c>
      <c r="E1086" t="s">
        <v>10171</v>
      </c>
      <c r="F1086" s="1">
        <v>44259</v>
      </c>
      <c r="G1086" t="str">
        <f t="shared" si="6"/>
        <v>300192</v>
      </c>
      <c r="H1086" t="s">
        <v>3009</v>
      </c>
      <c r="I1086">
        <v>12500</v>
      </c>
    </row>
    <row r="1087" spans="1:9" x14ac:dyDescent="0.25">
      <c r="A1087" t="s">
        <v>9616</v>
      </c>
      <c r="C1087" t="s">
        <v>9617</v>
      </c>
      <c r="D1087" t="str">
        <f>"005321"</f>
        <v>005321</v>
      </c>
      <c r="E1087" t="s">
        <v>10168</v>
      </c>
      <c r="F1087" s="1">
        <v>44259</v>
      </c>
      <c r="G1087" t="str">
        <f t="shared" si="6"/>
        <v>300192</v>
      </c>
      <c r="H1087" t="s">
        <v>3009</v>
      </c>
      <c r="I1087">
        <v>11000</v>
      </c>
    </row>
    <row r="1088" spans="1:9" x14ac:dyDescent="0.25">
      <c r="A1088" t="s">
        <v>9616</v>
      </c>
      <c r="C1088" t="s">
        <v>9617</v>
      </c>
      <c r="D1088" t="str">
        <f>"005421"</f>
        <v>005421</v>
      </c>
      <c r="E1088" t="s">
        <v>10174</v>
      </c>
      <c r="F1088" s="1">
        <v>44259</v>
      </c>
      <c r="G1088" t="str">
        <f t="shared" si="6"/>
        <v>300192</v>
      </c>
      <c r="H1088" t="s">
        <v>3009</v>
      </c>
      <c r="I1088">
        <v>12500</v>
      </c>
    </row>
    <row r="1089" spans="1:9" x14ac:dyDescent="0.25">
      <c r="A1089" t="s">
        <v>9616</v>
      </c>
      <c r="C1089" t="s">
        <v>9617</v>
      </c>
      <c r="D1089" t="str">
        <f>"005521"</f>
        <v>005521</v>
      </c>
      <c r="E1089" t="s">
        <v>10181</v>
      </c>
      <c r="F1089" s="1">
        <v>44259</v>
      </c>
      <c r="G1089" t="str">
        <f t="shared" si="6"/>
        <v>300192</v>
      </c>
      <c r="H1089" t="s">
        <v>3009</v>
      </c>
      <c r="I1089">
        <v>11000</v>
      </c>
    </row>
    <row r="1090" spans="1:9" x14ac:dyDescent="0.25">
      <c r="A1090" t="s">
        <v>9616</v>
      </c>
      <c r="C1090" t="s">
        <v>9617</v>
      </c>
      <c r="D1090" t="str">
        <f>"005621"</f>
        <v>005621</v>
      </c>
      <c r="E1090" t="s">
        <v>10184</v>
      </c>
      <c r="F1090" s="1">
        <v>44259</v>
      </c>
      <c r="G1090" t="str">
        <f t="shared" si="6"/>
        <v>300192</v>
      </c>
      <c r="H1090" t="s">
        <v>3009</v>
      </c>
      <c r="I1090">
        <v>11000</v>
      </c>
    </row>
    <row r="1091" spans="1:9" x14ac:dyDescent="0.25">
      <c r="A1091" t="s">
        <v>9616</v>
      </c>
      <c r="C1091" t="s">
        <v>9617</v>
      </c>
      <c r="D1091" t="str">
        <f>"005721"</f>
        <v>005721</v>
      </c>
      <c r="E1091" t="s">
        <v>10189</v>
      </c>
      <c r="F1091" s="1">
        <v>44259</v>
      </c>
      <c r="G1091" t="str">
        <f t="shared" si="6"/>
        <v>300192</v>
      </c>
      <c r="H1091" t="s">
        <v>3009</v>
      </c>
      <c r="I1091">
        <v>12500</v>
      </c>
    </row>
    <row r="1092" spans="1:9" x14ac:dyDescent="0.25">
      <c r="A1092" t="s">
        <v>9616</v>
      </c>
      <c r="C1092" t="s">
        <v>9617</v>
      </c>
      <c r="D1092" t="str">
        <f>"005821"</f>
        <v>005821</v>
      </c>
      <c r="E1092" t="s">
        <v>10190</v>
      </c>
      <c r="F1092" s="1">
        <v>44259</v>
      </c>
      <c r="G1092" t="str">
        <f t="shared" si="6"/>
        <v>300192</v>
      </c>
      <c r="H1092" t="s">
        <v>3009</v>
      </c>
      <c r="I1092">
        <v>12500</v>
      </c>
    </row>
    <row r="1093" spans="1:9" x14ac:dyDescent="0.25">
      <c r="A1093" t="s">
        <v>9616</v>
      </c>
      <c r="C1093" t="s">
        <v>9617</v>
      </c>
      <c r="D1093" t="str">
        <f>"005921"</f>
        <v>005921</v>
      </c>
      <c r="E1093" t="s">
        <v>10192</v>
      </c>
      <c r="F1093" s="1">
        <v>44259</v>
      </c>
      <c r="G1093" t="str">
        <f t="shared" si="6"/>
        <v>300192</v>
      </c>
      <c r="H1093" t="s">
        <v>3009</v>
      </c>
      <c r="I1093">
        <v>12500</v>
      </c>
    </row>
    <row r="1094" spans="1:9" x14ac:dyDescent="0.25">
      <c r="A1094" t="s">
        <v>9616</v>
      </c>
      <c r="C1094" t="s">
        <v>9617</v>
      </c>
      <c r="D1094" t="str">
        <f>"12910"</f>
        <v>12910</v>
      </c>
      <c r="E1094" t="s">
        <v>10203</v>
      </c>
      <c r="F1094" s="1">
        <v>44260</v>
      </c>
      <c r="G1094" t="str">
        <f>"300043"</f>
        <v>300043</v>
      </c>
      <c r="H1094" t="s">
        <v>2876</v>
      </c>
      <c r="I1094">
        <v>1082</v>
      </c>
    </row>
    <row r="1095" spans="1:9" x14ac:dyDescent="0.25">
      <c r="A1095" t="s">
        <v>9616</v>
      </c>
      <c r="C1095" t="s">
        <v>9617</v>
      </c>
      <c r="D1095" t="str">
        <f>"10129382"</f>
        <v>10129382</v>
      </c>
      <c r="E1095" t="s">
        <v>9189</v>
      </c>
      <c r="F1095" s="1">
        <v>44260</v>
      </c>
      <c r="G1095" t="str">
        <f>"300115"</f>
        <v>300115</v>
      </c>
      <c r="H1095" t="s">
        <v>2938</v>
      </c>
      <c r="I1095">
        <v>270565.54800000001</v>
      </c>
    </row>
    <row r="1096" spans="1:9" x14ac:dyDescent="0.25">
      <c r="A1096" t="s">
        <v>9616</v>
      </c>
      <c r="C1096" t="s">
        <v>9617</v>
      </c>
      <c r="D1096" t="str">
        <f>"10129384"</f>
        <v>10129384</v>
      </c>
      <c r="E1096" t="s">
        <v>2172</v>
      </c>
      <c r="F1096" s="1">
        <v>44260</v>
      </c>
      <c r="G1096" t="str">
        <f>"300115"</f>
        <v>300115</v>
      </c>
      <c r="H1096" t="s">
        <v>2938</v>
      </c>
      <c r="I1096">
        <v>301558.44400000002</v>
      </c>
    </row>
    <row r="1097" spans="1:9" x14ac:dyDescent="0.25">
      <c r="A1097" t="s">
        <v>9616</v>
      </c>
      <c r="C1097" t="s">
        <v>9617</v>
      </c>
      <c r="D1097" t="str">
        <f>"10129390"</f>
        <v>10129390</v>
      </c>
      <c r="E1097" t="s">
        <v>9189</v>
      </c>
      <c r="F1097" s="1">
        <v>44260</v>
      </c>
      <c r="G1097" t="str">
        <f>"300115"</f>
        <v>300115</v>
      </c>
      <c r="H1097" t="s">
        <v>2938</v>
      </c>
      <c r="I1097">
        <v>270565.54800000001</v>
      </c>
    </row>
    <row r="1098" spans="1:9" x14ac:dyDescent="0.25">
      <c r="A1098" t="s">
        <v>9616</v>
      </c>
      <c r="C1098" t="s">
        <v>9617</v>
      </c>
      <c r="D1098" t="str">
        <f>"202101898"</f>
        <v>202101898</v>
      </c>
      <c r="E1098" t="s">
        <v>10204</v>
      </c>
      <c r="F1098" s="1">
        <v>44261</v>
      </c>
      <c r="G1098" t="str">
        <f>"300191"</f>
        <v>300191</v>
      </c>
      <c r="H1098" t="s">
        <v>3008</v>
      </c>
      <c r="I1098">
        <v>3163.53</v>
      </c>
    </row>
    <row r="1099" spans="1:9" x14ac:dyDescent="0.25">
      <c r="A1099" t="s">
        <v>9616</v>
      </c>
      <c r="C1099" t="s">
        <v>9617</v>
      </c>
      <c r="D1099" t="str">
        <f>"13227"</f>
        <v>13227</v>
      </c>
      <c r="E1099" t="s">
        <v>10205</v>
      </c>
      <c r="F1099" s="1">
        <v>44263</v>
      </c>
      <c r="G1099" t="str">
        <f>"300043"</f>
        <v>300043</v>
      </c>
      <c r="H1099" t="s">
        <v>2876</v>
      </c>
      <c r="I1099">
        <v>1080</v>
      </c>
    </row>
    <row r="1100" spans="1:9" x14ac:dyDescent="0.25">
      <c r="A1100" t="s">
        <v>9616</v>
      </c>
      <c r="C1100" t="s">
        <v>9617</v>
      </c>
      <c r="D1100" t="str">
        <f>"13349"</f>
        <v>13349</v>
      </c>
      <c r="E1100" t="s">
        <v>10206</v>
      </c>
      <c r="F1100" s="1">
        <v>44263</v>
      </c>
      <c r="G1100" t="str">
        <f>"300043"</f>
        <v>300043</v>
      </c>
      <c r="H1100" t="s">
        <v>2876</v>
      </c>
      <c r="I1100">
        <v>1080</v>
      </c>
    </row>
    <row r="1101" spans="1:9" x14ac:dyDescent="0.25">
      <c r="A1101" t="s">
        <v>9616</v>
      </c>
      <c r="C1101" t="s">
        <v>9617</v>
      </c>
      <c r="D1101" t="str">
        <f>"10129455"</f>
        <v>10129455</v>
      </c>
      <c r="E1101" t="s">
        <v>9189</v>
      </c>
      <c r="F1101" s="1">
        <v>44263</v>
      </c>
      <c r="G1101" t="str">
        <f>"300115"</f>
        <v>300115</v>
      </c>
      <c r="H1101" t="s">
        <v>2938</v>
      </c>
      <c r="I1101">
        <v>270565.54800000001</v>
      </c>
    </row>
    <row r="1102" spans="1:9" x14ac:dyDescent="0.25">
      <c r="A1102" t="s">
        <v>9616</v>
      </c>
      <c r="C1102" t="s">
        <v>9617</v>
      </c>
      <c r="D1102" t="str">
        <f>"10129456"</f>
        <v>10129456</v>
      </c>
      <c r="E1102" t="s">
        <v>9239</v>
      </c>
      <c r="F1102" s="1">
        <v>44263</v>
      </c>
      <c r="G1102" t="str">
        <f>"300115"</f>
        <v>300115</v>
      </c>
      <c r="H1102" t="s">
        <v>2938</v>
      </c>
      <c r="I1102">
        <v>260408.72</v>
      </c>
    </row>
    <row r="1103" spans="1:9" x14ac:dyDescent="0.25">
      <c r="A1103" t="s">
        <v>9616</v>
      </c>
      <c r="C1103" t="s">
        <v>9617</v>
      </c>
      <c r="D1103" t="str">
        <f>"13625"</f>
        <v>13625</v>
      </c>
      <c r="E1103" t="s">
        <v>10204</v>
      </c>
      <c r="F1103" s="1">
        <v>44264</v>
      </c>
      <c r="G1103" t="str">
        <f>"300043"</f>
        <v>300043</v>
      </c>
      <c r="H1103" t="s">
        <v>2876</v>
      </c>
      <c r="I1103">
        <v>1079</v>
      </c>
    </row>
    <row r="1104" spans="1:9" x14ac:dyDescent="0.25">
      <c r="A1104" t="s">
        <v>9616</v>
      </c>
      <c r="C1104" t="s">
        <v>9617</v>
      </c>
      <c r="D1104" t="str">
        <f>"13626"</f>
        <v>13626</v>
      </c>
      <c r="E1104" t="s">
        <v>10207</v>
      </c>
      <c r="F1104" s="1">
        <v>44264</v>
      </c>
      <c r="G1104" t="str">
        <f>"300043"</f>
        <v>300043</v>
      </c>
      <c r="H1104" t="s">
        <v>2876</v>
      </c>
      <c r="I1104">
        <v>1045</v>
      </c>
    </row>
    <row r="1105" spans="1:9" x14ac:dyDescent="0.25">
      <c r="A1105" t="s">
        <v>9616</v>
      </c>
      <c r="C1105" t="s">
        <v>9617</v>
      </c>
      <c r="D1105" t="str">
        <f>"13953"</f>
        <v>13953</v>
      </c>
      <c r="E1105" t="s">
        <v>10208</v>
      </c>
      <c r="F1105" s="1">
        <v>44265</v>
      </c>
      <c r="G1105" t="str">
        <f>"300043"</f>
        <v>300043</v>
      </c>
      <c r="H1105" t="s">
        <v>2876</v>
      </c>
      <c r="I1105">
        <v>1148</v>
      </c>
    </row>
    <row r="1106" spans="1:9" x14ac:dyDescent="0.25">
      <c r="A1106" t="s">
        <v>9616</v>
      </c>
      <c r="C1106" t="s">
        <v>9617</v>
      </c>
      <c r="D1106" t="str">
        <f>"109521"</f>
        <v>109521</v>
      </c>
      <c r="E1106" t="s">
        <v>10208</v>
      </c>
      <c r="F1106" s="1">
        <v>44265</v>
      </c>
      <c r="G1106" t="str">
        <f>"300101"</f>
        <v>300101</v>
      </c>
      <c r="H1106" t="s">
        <v>2926</v>
      </c>
      <c r="I1106">
        <v>3787.64</v>
      </c>
    </row>
    <row r="1107" spans="1:9" x14ac:dyDescent="0.25">
      <c r="A1107" t="s">
        <v>9616</v>
      </c>
      <c r="C1107" t="s">
        <v>9617</v>
      </c>
      <c r="D1107" t="str">
        <f>"10129520"</f>
        <v>10129520</v>
      </c>
      <c r="E1107" t="s">
        <v>2172</v>
      </c>
      <c r="F1107" s="1">
        <v>44265</v>
      </c>
      <c r="G1107" t="str">
        <f>"300115"</f>
        <v>300115</v>
      </c>
      <c r="H1107" t="s">
        <v>2938</v>
      </c>
      <c r="I1107">
        <v>301558.44400000002</v>
      </c>
    </row>
    <row r="1108" spans="1:9" x14ac:dyDescent="0.25">
      <c r="A1108" t="s">
        <v>9616</v>
      </c>
      <c r="C1108" t="s">
        <v>9617</v>
      </c>
      <c r="D1108" t="str">
        <f>"10129526"</f>
        <v>10129526</v>
      </c>
      <c r="E1108" t="s">
        <v>2172</v>
      </c>
      <c r="F1108" s="1">
        <v>44265</v>
      </c>
      <c r="G1108" t="str">
        <f>"300115"</f>
        <v>300115</v>
      </c>
      <c r="H1108" t="s">
        <v>2938</v>
      </c>
      <c r="I1108">
        <v>301558.44400000002</v>
      </c>
    </row>
    <row r="1109" spans="1:9" x14ac:dyDescent="0.25">
      <c r="A1109" t="s">
        <v>9616</v>
      </c>
      <c r="C1109" t="s">
        <v>9617</v>
      </c>
      <c r="D1109" t="str">
        <f>"502021"</f>
        <v>502021</v>
      </c>
      <c r="E1109" t="s">
        <v>10205</v>
      </c>
      <c r="F1109" s="1">
        <v>44265</v>
      </c>
      <c r="G1109" t="str">
        <f>"300304"</f>
        <v>300304</v>
      </c>
      <c r="H1109" t="s">
        <v>3045</v>
      </c>
      <c r="I1109">
        <v>12000</v>
      </c>
    </row>
    <row r="1110" spans="1:9" x14ac:dyDescent="0.25">
      <c r="A1110" t="s">
        <v>9616</v>
      </c>
      <c r="C1110" t="s">
        <v>9617</v>
      </c>
      <c r="D1110" t="str">
        <f>"14293"</f>
        <v>14293</v>
      </c>
      <c r="E1110" t="s">
        <v>10209</v>
      </c>
      <c r="F1110" s="1">
        <v>44266</v>
      </c>
      <c r="G1110" t="str">
        <f>"300043"</f>
        <v>300043</v>
      </c>
      <c r="H1110" t="s">
        <v>2876</v>
      </c>
      <c r="I1110">
        <v>1148</v>
      </c>
    </row>
    <row r="1111" spans="1:9" x14ac:dyDescent="0.25">
      <c r="A1111" t="s">
        <v>9616</v>
      </c>
      <c r="C1111" t="s">
        <v>9617</v>
      </c>
      <c r="D1111" t="str">
        <f>"109221"</f>
        <v>109221</v>
      </c>
      <c r="E1111" t="s">
        <v>10209</v>
      </c>
      <c r="F1111" s="1">
        <v>44266</v>
      </c>
      <c r="G1111" t="str">
        <f>"300101"</f>
        <v>300101</v>
      </c>
      <c r="H1111" t="s">
        <v>2926</v>
      </c>
      <c r="I1111">
        <v>3161.89</v>
      </c>
    </row>
    <row r="1112" spans="1:9" x14ac:dyDescent="0.25">
      <c r="A1112" t="s">
        <v>9616</v>
      </c>
      <c r="C1112" t="s">
        <v>9617</v>
      </c>
      <c r="D1112" t="str">
        <f>"10129550"</f>
        <v>10129550</v>
      </c>
      <c r="E1112" t="s">
        <v>10210</v>
      </c>
      <c r="F1112" s="1">
        <v>44266</v>
      </c>
      <c r="G1112" t="str">
        <f>"300115"</f>
        <v>300115</v>
      </c>
      <c r="H1112" t="s">
        <v>2938</v>
      </c>
      <c r="I1112">
        <v>270565.54800000001</v>
      </c>
    </row>
    <row r="1113" spans="1:9" x14ac:dyDescent="0.25">
      <c r="A1113" t="s">
        <v>9616</v>
      </c>
      <c r="C1113" t="s">
        <v>9617</v>
      </c>
      <c r="D1113" t="str">
        <f>"10129553"</f>
        <v>10129553</v>
      </c>
      <c r="E1113" t="s">
        <v>2172</v>
      </c>
      <c r="F1113" s="1">
        <v>44266</v>
      </c>
      <c r="G1113" t="str">
        <f>"300115"</f>
        <v>300115</v>
      </c>
      <c r="H1113" t="s">
        <v>2938</v>
      </c>
      <c r="I1113">
        <v>270565.54800000001</v>
      </c>
    </row>
    <row r="1114" spans="1:9" x14ac:dyDescent="0.25">
      <c r="A1114" t="s">
        <v>9616</v>
      </c>
      <c r="C1114" t="s">
        <v>9617</v>
      </c>
      <c r="D1114" t="str">
        <f>"202101778"</f>
        <v>202101778</v>
      </c>
      <c r="E1114" t="s">
        <v>10205</v>
      </c>
      <c r="F1114" s="1">
        <v>44266</v>
      </c>
      <c r="G1114" t="str">
        <f>"300191"</f>
        <v>300191</v>
      </c>
      <c r="H1114" t="s">
        <v>3008</v>
      </c>
      <c r="I1114">
        <v>3457.18</v>
      </c>
    </row>
    <row r="1115" spans="1:9" x14ac:dyDescent="0.25">
      <c r="A1115" t="s">
        <v>9616</v>
      </c>
      <c r="C1115" t="s">
        <v>9617</v>
      </c>
      <c r="D1115" t="str">
        <f>"202101784"</f>
        <v>202101784</v>
      </c>
      <c r="E1115" t="s">
        <v>10206</v>
      </c>
      <c r="F1115" s="1">
        <v>44266</v>
      </c>
      <c r="G1115" t="str">
        <f>"300191"</f>
        <v>300191</v>
      </c>
      <c r="H1115" t="s">
        <v>3008</v>
      </c>
      <c r="I1115">
        <v>3300.97</v>
      </c>
    </row>
    <row r="1116" spans="1:9" x14ac:dyDescent="0.25">
      <c r="A1116" t="s">
        <v>9616</v>
      </c>
      <c r="C1116" t="s">
        <v>9617</v>
      </c>
      <c r="D1116" t="str">
        <f>"202101787"</f>
        <v>202101787</v>
      </c>
      <c r="E1116" t="s">
        <v>10203</v>
      </c>
      <c r="F1116" s="1">
        <v>44266</v>
      </c>
      <c r="G1116" t="str">
        <f>"300191"</f>
        <v>300191</v>
      </c>
      <c r="H1116" t="s">
        <v>3008</v>
      </c>
      <c r="I1116">
        <v>3150.63</v>
      </c>
    </row>
    <row r="1117" spans="1:9" x14ac:dyDescent="0.25">
      <c r="A1117" t="s">
        <v>9616</v>
      </c>
      <c r="C1117" t="s">
        <v>9617</v>
      </c>
      <c r="D1117" t="str">
        <f>"8552021"</f>
        <v>8552021</v>
      </c>
      <c r="E1117" t="s">
        <v>10211</v>
      </c>
      <c r="F1117" s="1">
        <v>44266</v>
      </c>
      <c r="G1117" t="str">
        <f>"300198"</f>
        <v>300198</v>
      </c>
      <c r="H1117" t="s">
        <v>3013</v>
      </c>
      <c r="I1117">
        <v>11000</v>
      </c>
    </row>
    <row r="1118" spans="1:9" x14ac:dyDescent="0.25">
      <c r="A1118" t="s">
        <v>9616</v>
      </c>
      <c r="C1118" t="s">
        <v>9617</v>
      </c>
      <c r="D1118" t="str">
        <f>"14455"</f>
        <v>14455</v>
      </c>
      <c r="E1118" t="s">
        <v>10212</v>
      </c>
      <c r="F1118" s="1">
        <v>44267</v>
      </c>
      <c r="G1118" t="str">
        <f>"300043"</f>
        <v>300043</v>
      </c>
      <c r="H1118" t="s">
        <v>2876</v>
      </c>
      <c r="I1118">
        <v>1081</v>
      </c>
    </row>
    <row r="1119" spans="1:9" x14ac:dyDescent="0.25">
      <c r="A1119" t="s">
        <v>9616</v>
      </c>
      <c r="C1119" t="s">
        <v>9617</v>
      </c>
      <c r="D1119" t="str">
        <f>"10129556"</f>
        <v>10129556</v>
      </c>
      <c r="E1119" t="s">
        <v>2172</v>
      </c>
      <c r="F1119" s="1">
        <v>44267</v>
      </c>
      <c r="G1119" t="str">
        <f>"300115"</f>
        <v>300115</v>
      </c>
      <c r="H1119" t="s">
        <v>2938</v>
      </c>
      <c r="I1119">
        <v>270565.54800000001</v>
      </c>
    </row>
    <row r="1120" spans="1:9" x14ac:dyDescent="0.25">
      <c r="A1120" t="s">
        <v>9616</v>
      </c>
      <c r="C1120" t="s">
        <v>9617</v>
      </c>
      <c r="D1120" t="str">
        <f>"10129608"</f>
        <v>10129608</v>
      </c>
      <c r="E1120" t="s">
        <v>9194</v>
      </c>
      <c r="F1120" s="1">
        <v>44267</v>
      </c>
      <c r="G1120" t="str">
        <f>"300115"</f>
        <v>300115</v>
      </c>
      <c r="H1120" t="s">
        <v>2938</v>
      </c>
      <c r="I1120">
        <v>152678.46</v>
      </c>
    </row>
    <row r="1121" spans="1:9" x14ac:dyDescent="0.25">
      <c r="A1121" t="s">
        <v>9616</v>
      </c>
      <c r="C1121" t="s">
        <v>9617</v>
      </c>
      <c r="D1121" t="str">
        <f>"8582021"</f>
        <v>8582021</v>
      </c>
      <c r="E1121" t="s">
        <v>10213</v>
      </c>
      <c r="F1121" s="1">
        <v>44267</v>
      </c>
      <c r="G1121" t="str">
        <f>"300198"</f>
        <v>300198</v>
      </c>
      <c r="H1121" t="s">
        <v>3013</v>
      </c>
      <c r="I1121">
        <v>11000</v>
      </c>
    </row>
    <row r="1122" spans="1:9" x14ac:dyDescent="0.25">
      <c r="A1122" t="s">
        <v>9616</v>
      </c>
      <c r="C1122" t="s">
        <v>9617</v>
      </c>
      <c r="D1122" t="str">
        <f>"14706"</f>
        <v>14706</v>
      </c>
      <c r="E1122" t="s">
        <v>10211</v>
      </c>
      <c r="F1122" s="1">
        <v>44270</v>
      </c>
      <c r="G1122" t="str">
        <f>"300043"</f>
        <v>300043</v>
      </c>
      <c r="H1122" t="s">
        <v>2876</v>
      </c>
      <c r="I1122">
        <v>1076</v>
      </c>
    </row>
    <row r="1123" spans="1:9" x14ac:dyDescent="0.25">
      <c r="A1123" t="s">
        <v>9616</v>
      </c>
      <c r="C1123" t="s">
        <v>9617</v>
      </c>
      <c r="D1123" t="str">
        <f>"10129616"</f>
        <v>10129616</v>
      </c>
      <c r="E1123" t="s">
        <v>10214</v>
      </c>
      <c r="F1123" s="1">
        <v>44270</v>
      </c>
      <c r="G1123" t="str">
        <f>"300115"</f>
        <v>300115</v>
      </c>
      <c r="H1123" t="s">
        <v>2938</v>
      </c>
      <c r="I1123">
        <v>87018.623999999996</v>
      </c>
    </row>
    <row r="1124" spans="1:9" x14ac:dyDescent="0.25">
      <c r="A1124" t="s">
        <v>9616</v>
      </c>
      <c r="C1124" t="s">
        <v>9617</v>
      </c>
      <c r="D1124" t="str">
        <f>"10129617"</f>
        <v>10129617</v>
      </c>
      <c r="E1124" t="s">
        <v>9189</v>
      </c>
      <c r="F1124" s="1">
        <v>44270</v>
      </c>
      <c r="G1124" t="str">
        <f>"300115"</f>
        <v>300115</v>
      </c>
      <c r="H1124" t="s">
        <v>2938</v>
      </c>
      <c r="I1124">
        <v>86436.810899999997</v>
      </c>
    </row>
    <row r="1125" spans="1:9" x14ac:dyDescent="0.25">
      <c r="A1125" t="s">
        <v>9616</v>
      </c>
      <c r="C1125" t="s">
        <v>9617</v>
      </c>
      <c r="D1125" t="str">
        <f>"14587"</f>
        <v>14587</v>
      </c>
      <c r="E1125" t="s">
        <v>10215</v>
      </c>
      <c r="F1125" s="1">
        <v>44271</v>
      </c>
      <c r="G1125" t="str">
        <f>"300043"</f>
        <v>300043</v>
      </c>
      <c r="H1125" t="s">
        <v>2876</v>
      </c>
      <c r="I1125">
        <v>1148</v>
      </c>
    </row>
    <row r="1126" spans="1:9" x14ac:dyDescent="0.25">
      <c r="A1126" t="s">
        <v>9616</v>
      </c>
      <c r="C1126" t="s">
        <v>9617</v>
      </c>
      <c r="D1126" t="str">
        <f>"15203"</f>
        <v>15203</v>
      </c>
      <c r="E1126" t="s">
        <v>10216</v>
      </c>
      <c r="F1126" s="1">
        <v>44271</v>
      </c>
      <c r="G1126" t="str">
        <f>"300043"</f>
        <v>300043</v>
      </c>
      <c r="H1126" t="s">
        <v>2876</v>
      </c>
      <c r="I1126">
        <v>1079</v>
      </c>
    </row>
    <row r="1127" spans="1:9" x14ac:dyDescent="0.25">
      <c r="A1127" t="s">
        <v>9616</v>
      </c>
      <c r="C1127" t="s">
        <v>9617</v>
      </c>
      <c r="D1127" t="str">
        <f>"121310215"</f>
        <v>121310215</v>
      </c>
      <c r="E1127" t="s">
        <v>9326</v>
      </c>
      <c r="F1127" s="1">
        <v>44271</v>
      </c>
      <c r="G1127" t="str">
        <f>"300080"</f>
        <v>300080</v>
      </c>
      <c r="H1127" t="s">
        <v>2907</v>
      </c>
      <c r="I1127">
        <v>41978.858200000002</v>
      </c>
    </row>
    <row r="1128" spans="1:9" x14ac:dyDescent="0.25">
      <c r="A1128" t="s">
        <v>9616</v>
      </c>
      <c r="C1128" t="s">
        <v>9617</v>
      </c>
      <c r="D1128" t="str">
        <f>"110721"</f>
        <v>110721</v>
      </c>
      <c r="E1128" t="s">
        <v>10215</v>
      </c>
      <c r="F1128" s="1">
        <v>44271</v>
      </c>
      <c r="G1128" t="str">
        <f>"300101"</f>
        <v>300101</v>
      </c>
      <c r="H1128" t="s">
        <v>2926</v>
      </c>
      <c r="I1128">
        <v>3787.31</v>
      </c>
    </row>
    <row r="1129" spans="1:9" x14ac:dyDescent="0.25">
      <c r="A1129" t="s">
        <v>9616</v>
      </c>
      <c r="C1129" t="s">
        <v>9617</v>
      </c>
      <c r="D1129" t="str">
        <f>"10129646"</f>
        <v>10129646</v>
      </c>
      <c r="E1129" t="s">
        <v>2172</v>
      </c>
      <c r="F1129" s="1">
        <v>44271</v>
      </c>
      <c r="G1129" t="str">
        <f>"300115"</f>
        <v>300115</v>
      </c>
      <c r="H1129" t="s">
        <v>2938</v>
      </c>
      <c r="I1129">
        <v>301558.44400000002</v>
      </c>
    </row>
    <row r="1130" spans="1:9" x14ac:dyDescent="0.25">
      <c r="A1130" t="s">
        <v>9616</v>
      </c>
      <c r="C1130" t="s">
        <v>9617</v>
      </c>
      <c r="D1130" t="str">
        <f>"202101899"</f>
        <v>202101899</v>
      </c>
      <c r="E1130" t="s">
        <v>10212</v>
      </c>
      <c r="F1130" s="1">
        <v>44271</v>
      </c>
      <c r="G1130" t="str">
        <f>"300191"</f>
        <v>300191</v>
      </c>
      <c r="H1130" t="s">
        <v>3008</v>
      </c>
      <c r="I1130">
        <v>3169.18</v>
      </c>
    </row>
    <row r="1131" spans="1:9" x14ac:dyDescent="0.25">
      <c r="A1131" t="s">
        <v>9616</v>
      </c>
      <c r="C1131" t="s">
        <v>9617</v>
      </c>
      <c r="D1131" t="str">
        <f>"202101900"</f>
        <v>202101900</v>
      </c>
      <c r="E1131" t="s">
        <v>10207</v>
      </c>
      <c r="F1131" s="1">
        <v>44271</v>
      </c>
      <c r="G1131" t="str">
        <f>"300191"</f>
        <v>300191</v>
      </c>
      <c r="H1131" t="s">
        <v>3008</v>
      </c>
      <c r="I1131">
        <v>3163.53</v>
      </c>
    </row>
    <row r="1132" spans="1:9" x14ac:dyDescent="0.25">
      <c r="A1132" t="s">
        <v>9616</v>
      </c>
      <c r="C1132" t="s">
        <v>9617</v>
      </c>
      <c r="D1132" t="str">
        <f>"15556"</f>
        <v>15556</v>
      </c>
      <c r="E1132" t="s">
        <v>10217</v>
      </c>
      <c r="F1132" s="1">
        <v>44272</v>
      </c>
      <c r="G1132" t="str">
        <f>"300043"</f>
        <v>300043</v>
      </c>
      <c r="H1132" t="s">
        <v>2876</v>
      </c>
      <c r="I1132">
        <v>1148</v>
      </c>
    </row>
    <row r="1133" spans="1:9" x14ac:dyDescent="0.25">
      <c r="A1133" t="s">
        <v>9616</v>
      </c>
      <c r="C1133" t="s">
        <v>9617</v>
      </c>
      <c r="D1133" t="str">
        <f>"151621"</f>
        <v>151621</v>
      </c>
      <c r="E1133" t="s">
        <v>10217</v>
      </c>
      <c r="F1133" s="1">
        <v>44272</v>
      </c>
      <c r="G1133" t="str">
        <f>"300101"</f>
        <v>300101</v>
      </c>
      <c r="H1133" t="s">
        <v>2926</v>
      </c>
      <c r="I1133">
        <v>3158.85</v>
      </c>
    </row>
    <row r="1134" spans="1:9" x14ac:dyDescent="0.25">
      <c r="A1134" t="s">
        <v>9616</v>
      </c>
      <c r="C1134" t="s">
        <v>9617</v>
      </c>
      <c r="D1134" t="str">
        <f>"10129671"</f>
        <v>10129671</v>
      </c>
      <c r="E1134" t="s">
        <v>9189</v>
      </c>
      <c r="F1134" s="1">
        <v>44272</v>
      </c>
      <c r="G1134" t="str">
        <f>"300115"</f>
        <v>300115</v>
      </c>
      <c r="H1134" t="s">
        <v>2938</v>
      </c>
      <c r="I1134">
        <v>276399.17359999998</v>
      </c>
    </row>
    <row r="1135" spans="1:9" x14ac:dyDescent="0.25">
      <c r="A1135" t="s">
        <v>9616</v>
      </c>
      <c r="C1135" t="s">
        <v>9617</v>
      </c>
      <c r="D1135" t="str">
        <f>"15598"</f>
        <v>15598</v>
      </c>
      <c r="E1135" t="s">
        <v>10218</v>
      </c>
      <c r="F1135" s="1">
        <v>44273</v>
      </c>
      <c r="G1135" t="str">
        <f>"300043"</f>
        <v>300043</v>
      </c>
      <c r="H1135" t="s">
        <v>2876</v>
      </c>
      <c r="I1135">
        <v>448</v>
      </c>
    </row>
    <row r="1136" spans="1:9" x14ac:dyDescent="0.25">
      <c r="A1136" t="s">
        <v>9616</v>
      </c>
      <c r="C1136" t="s">
        <v>9617</v>
      </c>
      <c r="D1136" t="str">
        <f>"15640"</f>
        <v>15640</v>
      </c>
      <c r="E1136" t="s">
        <v>10219</v>
      </c>
      <c r="F1136" s="1">
        <v>44273</v>
      </c>
      <c r="G1136" t="str">
        <f>"300043"</f>
        <v>300043</v>
      </c>
      <c r="H1136" t="s">
        <v>2876</v>
      </c>
      <c r="I1136">
        <v>663</v>
      </c>
    </row>
    <row r="1137" spans="1:9" x14ac:dyDescent="0.25">
      <c r="A1137" t="s">
        <v>9616</v>
      </c>
      <c r="C1137" t="s">
        <v>9617</v>
      </c>
      <c r="D1137" t="str">
        <f>"15737"</f>
        <v>15737</v>
      </c>
      <c r="E1137" t="s">
        <v>10220</v>
      </c>
      <c r="F1137" s="1">
        <v>44273</v>
      </c>
      <c r="G1137" t="str">
        <f>"300043"</f>
        <v>300043</v>
      </c>
      <c r="H1137" t="s">
        <v>2876</v>
      </c>
      <c r="I1137">
        <v>446</v>
      </c>
    </row>
    <row r="1138" spans="1:9" x14ac:dyDescent="0.25">
      <c r="A1138" t="s">
        <v>9616</v>
      </c>
      <c r="C1138" t="s">
        <v>9617</v>
      </c>
      <c r="D1138" t="s">
        <v>10221</v>
      </c>
      <c r="E1138" t="s">
        <v>9858</v>
      </c>
      <c r="F1138" s="1">
        <v>44273</v>
      </c>
      <c r="G1138" t="str">
        <f>"300092"</f>
        <v>300092</v>
      </c>
      <c r="H1138" t="s">
        <v>2160</v>
      </c>
      <c r="I1138">
        <v>60227.25</v>
      </c>
    </row>
    <row r="1139" spans="1:9" x14ac:dyDescent="0.25">
      <c r="A1139" t="s">
        <v>9616</v>
      </c>
      <c r="C1139" t="s">
        <v>9617</v>
      </c>
      <c r="D1139" t="str">
        <f>"150121"</f>
        <v>150121</v>
      </c>
      <c r="E1139" t="s">
        <v>10218</v>
      </c>
      <c r="F1139" s="1">
        <v>44273</v>
      </c>
      <c r="G1139" t="str">
        <f>"300101"</f>
        <v>300101</v>
      </c>
      <c r="H1139" t="s">
        <v>2926</v>
      </c>
      <c r="I1139">
        <v>3314.98</v>
      </c>
    </row>
    <row r="1140" spans="1:9" x14ac:dyDescent="0.25">
      <c r="A1140" t="s">
        <v>9616</v>
      </c>
      <c r="C1140" t="s">
        <v>9617</v>
      </c>
      <c r="D1140" t="str">
        <f>"150221"</f>
        <v>150221</v>
      </c>
      <c r="E1140" t="s">
        <v>10220</v>
      </c>
      <c r="F1140" s="1">
        <v>44273</v>
      </c>
      <c r="G1140" t="str">
        <f>"300101"</f>
        <v>300101</v>
      </c>
      <c r="H1140" t="s">
        <v>2926</v>
      </c>
      <c r="I1140">
        <v>3318.33</v>
      </c>
    </row>
    <row r="1141" spans="1:9" x14ac:dyDescent="0.25">
      <c r="A1141" t="s">
        <v>9616</v>
      </c>
      <c r="C1141" t="s">
        <v>9617</v>
      </c>
      <c r="D1141" t="str">
        <f>"151521"</f>
        <v>151521</v>
      </c>
      <c r="E1141" t="s">
        <v>10219</v>
      </c>
      <c r="F1141" s="1">
        <v>44273</v>
      </c>
      <c r="G1141" t="str">
        <f>"300101"</f>
        <v>300101</v>
      </c>
      <c r="H1141" t="s">
        <v>2926</v>
      </c>
      <c r="I1141">
        <v>3471.56</v>
      </c>
    </row>
    <row r="1142" spans="1:9" x14ac:dyDescent="0.25">
      <c r="A1142" t="s">
        <v>9616</v>
      </c>
      <c r="C1142" t="s">
        <v>9617</v>
      </c>
      <c r="D1142" t="s">
        <v>10222</v>
      </c>
      <c r="E1142" t="str">
        <f>"5500"</f>
        <v>5500</v>
      </c>
      <c r="F1142" s="1">
        <v>44273</v>
      </c>
      <c r="G1142" t="str">
        <f>"300133"</f>
        <v>300133</v>
      </c>
      <c r="H1142" t="s">
        <v>2955</v>
      </c>
      <c r="I1142">
        <v>26856</v>
      </c>
    </row>
    <row r="1143" spans="1:9" x14ac:dyDescent="0.25">
      <c r="A1143" t="s">
        <v>9616</v>
      </c>
      <c r="C1143" t="s">
        <v>9617</v>
      </c>
      <c r="D1143" t="str">
        <f>"16016"</f>
        <v>16016</v>
      </c>
      <c r="E1143" t="s">
        <v>10223</v>
      </c>
      <c r="F1143" s="1">
        <v>44274</v>
      </c>
      <c r="G1143" t="str">
        <f>"300043"</f>
        <v>300043</v>
      </c>
      <c r="H1143" t="s">
        <v>2876</v>
      </c>
      <c r="I1143">
        <v>1098</v>
      </c>
    </row>
    <row r="1144" spans="1:9" x14ac:dyDescent="0.25">
      <c r="A1144" t="s">
        <v>9616</v>
      </c>
      <c r="C1144" t="s">
        <v>9617</v>
      </c>
      <c r="D1144" t="str">
        <f>"612021"</f>
        <v>612021</v>
      </c>
      <c r="E1144" t="s">
        <v>10223</v>
      </c>
      <c r="F1144" s="1">
        <v>44275</v>
      </c>
      <c r="G1144" t="str">
        <f>"300304"</f>
        <v>300304</v>
      </c>
      <c r="H1144" t="s">
        <v>3045</v>
      </c>
      <c r="I1144">
        <v>12000</v>
      </c>
    </row>
    <row r="1145" spans="1:9" x14ac:dyDescent="0.25">
      <c r="A1145" t="s">
        <v>9616</v>
      </c>
      <c r="C1145" t="s">
        <v>9617</v>
      </c>
      <c r="D1145" t="str">
        <f>"10129780"</f>
        <v>10129780</v>
      </c>
      <c r="E1145" t="s">
        <v>9194</v>
      </c>
      <c r="F1145" s="1">
        <v>44277</v>
      </c>
      <c r="G1145" t="str">
        <f>"300115"</f>
        <v>300115</v>
      </c>
      <c r="H1145" t="s">
        <v>2938</v>
      </c>
      <c r="I1145">
        <v>154548.24</v>
      </c>
    </row>
    <row r="1146" spans="1:9" x14ac:dyDescent="0.25">
      <c r="A1146" t="s">
        <v>9616</v>
      </c>
      <c r="C1146" t="s">
        <v>9617</v>
      </c>
      <c r="D1146" t="str">
        <f>"10129779"</f>
        <v>10129779</v>
      </c>
      <c r="E1146" t="s">
        <v>2172</v>
      </c>
      <c r="F1146" s="1">
        <v>44278</v>
      </c>
      <c r="G1146" t="str">
        <f>"300115"</f>
        <v>300115</v>
      </c>
      <c r="H1146" t="s">
        <v>2938</v>
      </c>
      <c r="I1146">
        <v>301558.44400000002</v>
      </c>
    </row>
    <row r="1147" spans="1:9" x14ac:dyDescent="0.25">
      <c r="A1147" t="s">
        <v>9616</v>
      </c>
      <c r="C1147" t="s">
        <v>9617</v>
      </c>
      <c r="D1147" t="str">
        <f>"10129782"</f>
        <v>10129782</v>
      </c>
      <c r="E1147" t="s">
        <v>2172</v>
      </c>
      <c r="F1147" s="1">
        <v>44278</v>
      </c>
      <c r="G1147" t="str">
        <f>"300115"</f>
        <v>300115</v>
      </c>
      <c r="H1147" t="s">
        <v>2938</v>
      </c>
      <c r="I1147">
        <v>301558.44400000002</v>
      </c>
    </row>
    <row r="1148" spans="1:9" x14ac:dyDescent="0.25">
      <c r="A1148" t="s">
        <v>9616</v>
      </c>
      <c r="C1148" t="s">
        <v>9617</v>
      </c>
      <c r="D1148" t="str">
        <f>"10129811"</f>
        <v>10129811</v>
      </c>
      <c r="E1148" t="s">
        <v>9194</v>
      </c>
      <c r="F1148" s="1">
        <v>44278</v>
      </c>
      <c r="G1148" t="str">
        <f>"300115"</f>
        <v>300115</v>
      </c>
      <c r="H1148" t="s">
        <v>2938</v>
      </c>
      <c r="I1148">
        <v>158079.636</v>
      </c>
    </row>
    <row r="1149" spans="1:9" x14ac:dyDescent="0.25">
      <c r="A1149" t="s">
        <v>9616</v>
      </c>
      <c r="C1149" t="s">
        <v>9617</v>
      </c>
      <c r="D1149" t="str">
        <f>"202102071"</f>
        <v>202102071</v>
      </c>
      <c r="E1149" t="s">
        <v>10211</v>
      </c>
      <c r="F1149" s="1">
        <v>44278</v>
      </c>
      <c r="G1149" t="str">
        <f>"300191"</f>
        <v>300191</v>
      </c>
      <c r="H1149" t="s">
        <v>3008</v>
      </c>
      <c r="I1149">
        <v>3478.38</v>
      </c>
    </row>
    <row r="1150" spans="1:9" x14ac:dyDescent="0.25">
      <c r="A1150" t="s">
        <v>9616</v>
      </c>
      <c r="C1150" t="s">
        <v>9617</v>
      </c>
      <c r="D1150" t="str">
        <f>"202102072"</f>
        <v>202102072</v>
      </c>
      <c r="E1150" t="s">
        <v>10213</v>
      </c>
      <c r="F1150" s="1">
        <v>44278</v>
      </c>
      <c r="G1150" t="str">
        <f>"300191"</f>
        <v>300191</v>
      </c>
      <c r="H1150" t="s">
        <v>3008</v>
      </c>
      <c r="I1150">
        <v>3299.16</v>
      </c>
    </row>
    <row r="1151" spans="1:9" x14ac:dyDescent="0.25">
      <c r="A1151" t="s">
        <v>9616</v>
      </c>
      <c r="C1151" t="s">
        <v>9617</v>
      </c>
      <c r="D1151" t="str">
        <f>"202102074"</f>
        <v>202102074</v>
      </c>
      <c r="E1151" t="s">
        <v>10223</v>
      </c>
      <c r="F1151" s="1">
        <v>44278</v>
      </c>
      <c r="G1151" t="str">
        <f>"300191"</f>
        <v>300191</v>
      </c>
      <c r="H1151" t="s">
        <v>3008</v>
      </c>
      <c r="I1151">
        <v>3143.72</v>
      </c>
    </row>
    <row r="1152" spans="1:9" x14ac:dyDescent="0.25">
      <c r="A1152" t="s">
        <v>9616</v>
      </c>
      <c r="C1152" t="s">
        <v>9617</v>
      </c>
      <c r="D1152" t="str">
        <f>"10129815"</f>
        <v>10129815</v>
      </c>
      <c r="E1152" t="s">
        <v>2172</v>
      </c>
      <c r="F1152" s="1">
        <v>44279</v>
      </c>
      <c r="G1152" t="str">
        <f>"300115"</f>
        <v>300115</v>
      </c>
      <c r="H1152" t="s">
        <v>2938</v>
      </c>
      <c r="I1152">
        <v>270565.54800000001</v>
      </c>
    </row>
    <row r="1153" spans="1:9" x14ac:dyDescent="0.25">
      <c r="A1153" t="s">
        <v>9616</v>
      </c>
      <c r="C1153" t="s">
        <v>9617</v>
      </c>
      <c r="D1153" t="str">
        <f>"10129819"</f>
        <v>10129819</v>
      </c>
      <c r="E1153" t="s">
        <v>2172</v>
      </c>
      <c r="F1153" s="1">
        <v>44279</v>
      </c>
      <c r="G1153" t="str">
        <f>"300115"</f>
        <v>300115</v>
      </c>
      <c r="H1153" t="s">
        <v>2938</v>
      </c>
      <c r="I1153">
        <v>270565.54800000001</v>
      </c>
    </row>
    <row r="1154" spans="1:9" x14ac:dyDescent="0.25">
      <c r="A1154" t="s">
        <v>9616</v>
      </c>
      <c r="C1154" t="s">
        <v>9617</v>
      </c>
      <c r="D1154" t="str">
        <f>"10129830"</f>
        <v>10129830</v>
      </c>
      <c r="E1154" t="s">
        <v>2172</v>
      </c>
      <c r="F1154" s="1">
        <v>44279</v>
      </c>
      <c r="G1154" t="str">
        <f>"300115"</f>
        <v>300115</v>
      </c>
      <c r="H1154" t="s">
        <v>2938</v>
      </c>
      <c r="I1154">
        <v>193812.3847</v>
      </c>
    </row>
    <row r="1155" spans="1:9" x14ac:dyDescent="0.25">
      <c r="A1155" t="s">
        <v>9616</v>
      </c>
      <c r="C1155" t="s">
        <v>9617</v>
      </c>
      <c r="D1155" t="str">
        <f>"17365"</f>
        <v>17365</v>
      </c>
      <c r="E1155" t="s">
        <v>10224</v>
      </c>
      <c r="F1155" s="1">
        <v>44280</v>
      </c>
      <c r="G1155" t="str">
        <f>"300043"</f>
        <v>300043</v>
      </c>
      <c r="H1155" t="s">
        <v>2876</v>
      </c>
      <c r="I1155">
        <v>1069</v>
      </c>
    </row>
    <row r="1156" spans="1:9" x14ac:dyDescent="0.25">
      <c r="A1156" t="s">
        <v>9616</v>
      </c>
      <c r="C1156" t="s">
        <v>9617</v>
      </c>
      <c r="D1156" t="str">
        <f>"17378"</f>
        <v>17378</v>
      </c>
      <c r="E1156" t="s">
        <v>10225</v>
      </c>
      <c r="F1156" s="1">
        <v>44280</v>
      </c>
      <c r="G1156" t="str">
        <f>"300043"</f>
        <v>300043</v>
      </c>
      <c r="H1156" t="s">
        <v>2876</v>
      </c>
      <c r="I1156">
        <v>1066</v>
      </c>
    </row>
    <row r="1157" spans="1:9" x14ac:dyDescent="0.25">
      <c r="A1157" t="s">
        <v>9616</v>
      </c>
      <c r="C1157" t="s">
        <v>9617</v>
      </c>
      <c r="D1157" t="str">
        <f>"121310235"</f>
        <v>121310235</v>
      </c>
      <c r="E1157" t="s">
        <v>9714</v>
      </c>
      <c r="F1157" s="1">
        <v>44280</v>
      </c>
      <c r="G1157" t="str">
        <f>"300080"</f>
        <v>300080</v>
      </c>
      <c r="H1157" t="s">
        <v>2907</v>
      </c>
      <c r="I1157">
        <v>192100.12770000001</v>
      </c>
    </row>
    <row r="1158" spans="1:9" x14ac:dyDescent="0.25">
      <c r="A1158" t="s">
        <v>9616</v>
      </c>
      <c r="C1158" t="s">
        <v>9617</v>
      </c>
      <c r="D1158" t="s">
        <v>10226</v>
      </c>
      <c r="E1158" t="s">
        <v>9858</v>
      </c>
      <c r="F1158" s="1">
        <v>44280</v>
      </c>
      <c r="G1158" t="str">
        <f>"300092"</f>
        <v>300092</v>
      </c>
      <c r="H1158" t="s">
        <v>2160</v>
      </c>
      <c r="I1158">
        <v>59295</v>
      </c>
    </row>
    <row r="1159" spans="1:9" x14ac:dyDescent="0.25">
      <c r="A1159" t="s">
        <v>9616</v>
      </c>
      <c r="C1159" t="s">
        <v>9617</v>
      </c>
      <c r="D1159" t="str">
        <f>"10129860"</f>
        <v>10129860</v>
      </c>
      <c r="E1159" t="s">
        <v>9191</v>
      </c>
      <c r="F1159" s="1">
        <v>44280</v>
      </c>
      <c r="G1159" t="str">
        <f>"300115"</f>
        <v>300115</v>
      </c>
      <c r="H1159" t="s">
        <v>2938</v>
      </c>
      <c r="I1159">
        <v>269621.52799999999</v>
      </c>
    </row>
    <row r="1160" spans="1:9" x14ac:dyDescent="0.25">
      <c r="A1160" t="s">
        <v>9616</v>
      </c>
      <c r="C1160" t="s">
        <v>9617</v>
      </c>
      <c r="D1160" t="str">
        <f>"10129861"</f>
        <v>10129861</v>
      </c>
      <c r="E1160" t="s">
        <v>10214</v>
      </c>
      <c r="F1160" s="1">
        <v>44280</v>
      </c>
      <c r="G1160" t="str">
        <f>"300115"</f>
        <v>300115</v>
      </c>
      <c r="H1160" t="s">
        <v>2938</v>
      </c>
      <c r="I1160">
        <v>87163.56</v>
      </c>
    </row>
    <row r="1161" spans="1:9" x14ac:dyDescent="0.25">
      <c r="A1161" t="s">
        <v>9616</v>
      </c>
      <c r="C1161" t="s">
        <v>9617</v>
      </c>
      <c r="D1161" t="str">
        <f>"17746"</f>
        <v>17746</v>
      </c>
      <c r="E1161" t="s">
        <v>10227</v>
      </c>
      <c r="F1161" s="1">
        <v>44281</v>
      </c>
      <c r="G1161" t="str">
        <f>"300043"</f>
        <v>300043</v>
      </c>
      <c r="H1161" t="s">
        <v>2876</v>
      </c>
      <c r="I1161">
        <v>1144</v>
      </c>
    </row>
    <row r="1162" spans="1:9" x14ac:dyDescent="0.25">
      <c r="A1162" t="s">
        <v>9616</v>
      </c>
      <c r="C1162" t="s">
        <v>9617</v>
      </c>
      <c r="D1162" t="str">
        <f>"2101975"</f>
        <v>2101975</v>
      </c>
      <c r="E1162" t="s">
        <v>10228</v>
      </c>
      <c r="F1162" s="1">
        <v>44281</v>
      </c>
      <c r="G1162" t="str">
        <f>"300064"</f>
        <v>300064</v>
      </c>
      <c r="H1162" t="s">
        <v>2896</v>
      </c>
      <c r="I1162">
        <v>55230</v>
      </c>
    </row>
    <row r="1163" spans="1:9" x14ac:dyDescent="0.25">
      <c r="A1163" t="s">
        <v>9616</v>
      </c>
      <c r="C1163" t="s">
        <v>9617</v>
      </c>
      <c r="D1163" t="str">
        <f>"150321"</f>
        <v>150321</v>
      </c>
      <c r="E1163" t="s">
        <v>10227</v>
      </c>
      <c r="F1163" s="1">
        <v>44281</v>
      </c>
      <c r="G1163" t="str">
        <f>"300101"</f>
        <v>300101</v>
      </c>
      <c r="H1163" t="s">
        <v>2926</v>
      </c>
      <c r="I1163">
        <v>3306.63</v>
      </c>
    </row>
    <row r="1164" spans="1:9" x14ac:dyDescent="0.25">
      <c r="A1164" t="s">
        <v>9616</v>
      </c>
      <c r="C1164" t="s">
        <v>9617</v>
      </c>
      <c r="D1164" t="str">
        <f>"10129915"</f>
        <v>10129915</v>
      </c>
      <c r="E1164" t="s">
        <v>9223</v>
      </c>
      <c r="F1164" s="1">
        <v>44281</v>
      </c>
      <c r="G1164" t="str">
        <f>"300115"</f>
        <v>300115</v>
      </c>
      <c r="H1164" t="s">
        <v>2938</v>
      </c>
      <c r="I1164">
        <v>297328.58100000001</v>
      </c>
    </row>
    <row r="1165" spans="1:9" x14ac:dyDescent="0.25">
      <c r="A1165" t="s">
        <v>9616</v>
      </c>
      <c r="C1165" t="s">
        <v>9617</v>
      </c>
      <c r="D1165" t="str">
        <f>"712021"</f>
        <v>712021</v>
      </c>
      <c r="E1165" t="s">
        <v>10225</v>
      </c>
      <c r="F1165" s="1">
        <v>44281</v>
      </c>
      <c r="G1165" t="str">
        <f>"300304"</f>
        <v>300304</v>
      </c>
      <c r="H1165" t="s">
        <v>3045</v>
      </c>
      <c r="I1165">
        <v>10000</v>
      </c>
    </row>
    <row r="1166" spans="1:9" x14ac:dyDescent="0.25">
      <c r="A1166" t="s">
        <v>9616</v>
      </c>
      <c r="C1166" t="s">
        <v>9617</v>
      </c>
      <c r="D1166" t="str">
        <f>"17784"</f>
        <v>17784</v>
      </c>
      <c r="E1166" t="s">
        <v>10229</v>
      </c>
      <c r="F1166" s="1">
        <v>44282</v>
      </c>
      <c r="G1166" t="str">
        <f>"300043"</f>
        <v>300043</v>
      </c>
      <c r="H1166" t="s">
        <v>2876</v>
      </c>
      <c r="I1166">
        <v>536</v>
      </c>
    </row>
    <row r="1167" spans="1:9" x14ac:dyDescent="0.25">
      <c r="A1167" t="s">
        <v>9616</v>
      </c>
      <c r="C1167" t="s">
        <v>9617</v>
      </c>
      <c r="D1167" t="str">
        <f>"150521"</f>
        <v>150521</v>
      </c>
      <c r="E1167" t="s">
        <v>10229</v>
      </c>
      <c r="F1167" s="1">
        <v>44282</v>
      </c>
      <c r="G1167" t="str">
        <f>"300101"</f>
        <v>300101</v>
      </c>
      <c r="H1167" t="s">
        <v>2926</v>
      </c>
      <c r="I1167">
        <v>3769.2</v>
      </c>
    </row>
    <row r="1168" spans="1:9" x14ac:dyDescent="0.25">
      <c r="A1168" t="s">
        <v>9616</v>
      </c>
      <c r="C1168" t="s">
        <v>9617</v>
      </c>
      <c r="D1168" t="str">
        <f>"10129917"</f>
        <v>10129917</v>
      </c>
      <c r="E1168" t="s">
        <v>10230</v>
      </c>
      <c r="F1168" s="1">
        <v>44282</v>
      </c>
      <c r="G1168" t="str">
        <f>"300115"</f>
        <v>300115</v>
      </c>
      <c r="H1168" t="s">
        <v>2938</v>
      </c>
      <c r="I1168">
        <v>146433.76</v>
      </c>
    </row>
    <row r="1169" spans="1:9" x14ac:dyDescent="0.25">
      <c r="A1169" t="s">
        <v>9616</v>
      </c>
      <c r="C1169" t="s">
        <v>9617</v>
      </c>
      <c r="D1169" t="str">
        <f>"10129919"</f>
        <v>10129919</v>
      </c>
      <c r="E1169" t="s">
        <v>10214</v>
      </c>
      <c r="F1169" s="1">
        <v>44282</v>
      </c>
      <c r="G1169" t="str">
        <f>"300115"</f>
        <v>300115</v>
      </c>
      <c r="H1169" t="s">
        <v>2938</v>
      </c>
      <c r="I1169">
        <v>87163.56</v>
      </c>
    </row>
    <row r="1170" spans="1:9" x14ac:dyDescent="0.25">
      <c r="A1170" t="s">
        <v>9616</v>
      </c>
      <c r="C1170" t="s">
        <v>9617</v>
      </c>
      <c r="D1170" t="str">
        <f>"17759"</f>
        <v>17759</v>
      </c>
      <c r="E1170" t="s">
        <v>10231</v>
      </c>
      <c r="F1170" s="1">
        <v>44284</v>
      </c>
      <c r="G1170" t="str">
        <f>"300043"</f>
        <v>300043</v>
      </c>
      <c r="H1170" t="s">
        <v>2876</v>
      </c>
      <c r="I1170">
        <v>676</v>
      </c>
    </row>
    <row r="1171" spans="1:9" x14ac:dyDescent="0.25">
      <c r="A1171" t="s">
        <v>9616</v>
      </c>
      <c r="C1171" t="s">
        <v>9617</v>
      </c>
      <c r="D1171" t="str">
        <f>"17785"</f>
        <v>17785</v>
      </c>
      <c r="E1171" t="s">
        <v>10232</v>
      </c>
      <c r="F1171" s="1">
        <v>44284</v>
      </c>
      <c r="G1171" t="str">
        <f>"300043"</f>
        <v>300043</v>
      </c>
      <c r="H1171" t="s">
        <v>2876</v>
      </c>
      <c r="I1171">
        <v>1142</v>
      </c>
    </row>
    <row r="1172" spans="1:9" x14ac:dyDescent="0.25">
      <c r="A1172" t="s">
        <v>9616</v>
      </c>
      <c r="C1172" t="s">
        <v>9617</v>
      </c>
      <c r="D1172" t="str">
        <f>"17831"</f>
        <v>17831</v>
      </c>
      <c r="E1172" t="s">
        <v>10233</v>
      </c>
      <c r="F1172" s="1">
        <v>44284</v>
      </c>
      <c r="G1172" t="str">
        <f>"300043"</f>
        <v>300043</v>
      </c>
      <c r="H1172" t="s">
        <v>2876</v>
      </c>
      <c r="I1172">
        <v>1068</v>
      </c>
    </row>
    <row r="1173" spans="1:9" x14ac:dyDescent="0.25">
      <c r="A1173" t="s">
        <v>9616</v>
      </c>
      <c r="C1173" t="s">
        <v>9617</v>
      </c>
      <c r="D1173" t="str">
        <f>"18162"</f>
        <v>18162</v>
      </c>
      <c r="E1173" t="s">
        <v>10234</v>
      </c>
      <c r="F1173" s="1">
        <v>44284</v>
      </c>
      <c r="G1173" t="str">
        <f>"300043"</f>
        <v>300043</v>
      </c>
      <c r="H1173" t="s">
        <v>2876</v>
      </c>
      <c r="I1173">
        <v>792</v>
      </c>
    </row>
    <row r="1174" spans="1:9" x14ac:dyDescent="0.25">
      <c r="A1174" t="s">
        <v>9616</v>
      </c>
      <c r="C1174" t="s">
        <v>9617</v>
      </c>
      <c r="D1174" t="str">
        <f>"150421"</f>
        <v>150421</v>
      </c>
      <c r="E1174" t="s">
        <v>10231</v>
      </c>
      <c r="F1174" s="1">
        <v>44284</v>
      </c>
      <c r="G1174" t="str">
        <f>"300101"</f>
        <v>300101</v>
      </c>
      <c r="H1174" t="s">
        <v>2926</v>
      </c>
      <c r="I1174">
        <v>3613.88</v>
      </c>
    </row>
    <row r="1175" spans="1:9" x14ac:dyDescent="0.25">
      <c r="A1175" t="s">
        <v>9616</v>
      </c>
      <c r="C1175" t="s">
        <v>9617</v>
      </c>
      <c r="D1175" t="str">
        <f>"150921"</f>
        <v>150921</v>
      </c>
      <c r="E1175" t="s">
        <v>10232</v>
      </c>
      <c r="F1175" s="1">
        <v>44284</v>
      </c>
      <c r="G1175" t="str">
        <f>"300101"</f>
        <v>300101</v>
      </c>
      <c r="H1175" t="s">
        <v>2926</v>
      </c>
      <c r="I1175">
        <v>3769.2</v>
      </c>
    </row>
    <row r="1176" spans="1:9" x14ac:dyDescent="0.25">
      <c r="A1176" t="s">
        <v>9616</v>
      </c>
      <c r="C1176" t="s">
        <v>9617</v>
      </c>
      <c r="D1176" t="str">
        <f>"151221"</f>
        <v>151221</v>
      </c>
      <c r="E1176" t="s">
        <v>10234</v>
      </c>
      <c r="F1176" s="1">
        <v>44284</v>
      </c>
      <c r="G1176" t="str">
        <f>"300101"</f>
        <v>300101</v>
      </c>
      <c r="H1176" t="s">
        <v>2926</v>
      </c>
      <c r="I1176">
        <v>3613.88</v>
      </c>
    </row>
    <row r="1177" spans="1:9" x14ac:dyDescent="0.25">
      <c r="A1177" t="s">
        <v>9616</v>
      </c>
      <c r="C1177" t="s">
        <v>9617</v>
      </c>
      <c r="D1177" t="str">
        <f>"10129918"</f>
        <v>10129918</v>
      </c>
      <c r="E1177" t="s">
        <v>2172</v>
      </c>
      <c r="F1177" s="1">
        <v>44284</v>
      </c>
      <c r="G1177" t="str">
        <f>"300115"</f>
        <v>300115</v>
      </c>
      <c r="H1177" t="s">
        <v>2938</v>
      </c>
      <c r="I1177">
        <v>301558.44400000002</v>
      </c>
    </row>
    <row r="1178" spans="1:9" x14ac:dyDescent="0.25">
      <c r="A1178" t="s">
        <v>9616</v>
      </c>
      <c r="C1178" t="s">
        <v>9617</v>
      </c>
      <c r="D1178" t="str">
        <f>"10129921"</f>
        <v>10129921</v>
      </c>
      <c r="E1178" t="s">
        <v>10235</v>
      </c>
      <c r="F1178" s="1">
        <v>44284</v>
      </c>
      <c r="G1178" t="str">
        <f>"300115"</f>
        <v>300115</v>
      </c>
      <c r="H1178" t="s">
        <v>2938</v>
      </c>
      <c r="I1178">
        <v>178104.03599999999</v>
      </c>
    </row>
    <row r="1179" spans="1:9" x14ac:dyDescent="0.25">
      <c r="A1179" t="s">
        <v>9616</v>
      </c>
      <c r="C1179" t="s">
        <v>9617</v>
      </c>
      <c r="D1179" t="str">
        <f>"10129922"</f>
        <v>10129922</v>
      </c>
      <c r="E1179" t="s">
        <v>8852</v>
      </c>
      <c r="F1179" s="1">
        <v>44284</v>
      </c>
      <c r="G1179" t="str">
        <f>"300115"</f>
        <v>300115</v>
      </c>
      <c r="H1179" t="s">
        <v>2938</v>
      </c>
      <c r="I1179">
        <v>45651.813900000001</v>
      </c>
    </row>
    <row r="1180" spans="1:9" x14ac:dyDescent="0.25">
      <c r="A1180" t="s">
        <v>9616</v>
      </c>
      <c r="C1180" t="s">
        <v>9617</v>
      </c>
      <c r="D1180" t="str">
        <f>"10129923"</f>
        <v>10129923</v>
      </c>
      <c r="E1180" t="s">
        <v>2172</v>
      </c>
      <c r="F1180" s="1">
        <v>44284</v>
      </c>
      <c r="G1180" t="str">
        <f>"300115"</f>
        <v>300115</v>
      </c>
      <c r="H1180" t="s">
        <v>2938</v>
      </c>
      <c r="I1180">
        <v>301558.44400000002</v>
      </c>
    </row>
    <row r="1181" spans="1:9" x14ac:dyDescent="0.25">
      <c r="A1181" t="s">
        <v>9616</v>
      </c>
      <c r="C1181" t="s">
        <v>9617</v>
      </c>
      <c r="D1181" t="s">
        <v>10236</v>
      </c>
      <c r="E1181" t="s">
        <v>9565</v>
      </c>
      <c r="F1181" s="1">
        <v>44284</v>
      </c>
      <c r="G1181" t="str">
        <f>"300133"</f>
        <v>300133</v>
      </c>
      <c r="H1181" t="s">
        <v>2955</v>
      </c>
      <c r="I1181">
        <v>44012.43</v>
      </c>
    </row>
    <row r="1182" spans="1:9" x14ac:dyDescent="0.25">
      <c r="A1182" t="s">
        <v>9616</v>
      </c>
      <c r="C1182" t="s">
        <v>9617</v>
      </c>
      <c r="D1182" t="s">
        <v>10237</v>
      </c>
      <c r="E1182" t="s">
        <v>10238</v>
      </c>
      <c r="F1182" s="1">
        <v>44284</v>
      </c>
      <c r="G1182" t="str">
        <f>"300133"</f>
        <v>300133</v>
      </c>
      <c r="H1182" t="s">
        <v>2955</v>
      </c>
      <c r="I1182">
        <v>34765.919999999998</v>
      </c>
    </row>
    <row r="1183" spans="1:9" x14ac:dyDescent="0.25">
      <c r="A1183" t="s">
        <v>9616</v>
      </c>
      <c r="C1183" t="s">
        <v>9617</v>
      </c>
      <c r="D1183" t="str">
        <f>"18305"</f>
        <v>18305</v>
      </c>
      <c r="E1183" t="s">
        <v>10239</v>
      </c>
      <c r="F1183" s="1">
        <v>44285</v>
      </c>
      <c r="G1183" t="str">
        <f>"300043"</f>
        <v>300043</v>
      </c>
      <c r="H1183" t="s">
        <v>2876</v>
      </c>
      <c r="I1183">
        <v>1496</v>
      </c>
    </row>
    <row r="1184" spans="1:9" x14ac:dyDescent="0.25">
      <c r="A1184" t="s">
        <v>9616</v>
      </c>
      <c r="C1184" t="s">
        <v>9617</v>
      </c>
      <c r="D1184" t="str">
        <f>"150821"</f>
        <v>150821</v>
      </c>
      <c r="E1184" t="s">
        <v>10239</v>
      </c>
      <c r="F1184" s="1">
        <v>44285</v>
      </c>
      <c r="G1184" t="str">
        <f>"300101"</f>
        <v>300101</v>
      </c>
      <c r="H1184" t="s">
        <v>2926</v>
      </c>
      <c r="I1184">
        <v>3761.49</v>
      </c>
    </row>
    <row r="1185" spans="1:9" x14ac:dyDescent="0.25">
      <c r="A1185" t="s">
        <v>9616</v>
      </c>
      <c r="C1185" t="s">
        <v>9617</v>
      </c>
      <c r="D1185" t="str">
        <f>"10129955"</f>
        <v>10129955</v>
      </c>
      <c r="E1185" t="s">
        <v>10214</v>
      </c>
      <c r="F1185" s="1">
        <v>44285</v>
      </c>
      <c r="G1185" t="str">
        <f>"300115"</f>
        <v>300115</v>
      </c>
      <c r="H1185" t="s">
        <v>2938</v>
      </c>
      <c r="I1185">
        <v>87163.56</v>
      </c>
    </row>
    <row r="1186" spans="1:9" x14ac:dyDescent="0.25">
      <c r="A1186" t="s">
        <v>9616</v>
      </c>
      <c r="C1186" t="s">
        <v>9617</v>
      </c>
      <c r="D1186" t="str">
        <f>"10129956"</f>
        <v>10129956</v>
      </c>
      <c r="E1186" t="s">
        <v>9223</v>
      </c>
      <c r="F1186" s="1">
        <v>44285</v>
      </c>
      <c r="G1186" t="str">
        <f>"300115"</f>
        <v>300115</v>
      </c>
      <c r="H1186" t="s">
        <v>2938</v>
      </c>
      <c r="I1186">
        <v>272823.88099999999</v>
      </c>
    </row>
    <row r="1187" spans="1:9" x14ac:dyDescent="0.25">
      <c r="A1187" t="s">
        <v>9616</v>
      </c>
      <c r="C1187" t="s">
        <v>9617</v>
      </c>
      <c r="D1187" t="str">
        <f>"202102283"</f>
        <v>202102283</v>
      </c>
      <c r="E1187" t="s">
        <v>10224</v>
      </c>
      <c r="F1187" s="1">
        <v>44285</v>
      </c>
      <c r="G1187" t="str">
        <f>"300191"</f>
        <v>300191</v>
      </c>
      <c r="H1187" t="s">
        <v>3008</v>
      </c>
      <c r="I1187">
        <v>3150.41</v>
      </c>
    </row>
    <row r="1188" spans="1:9" x14ac:dyDescent="0.25">
      <c r="A1188" t="s">
        <v>9616</v>
      </c>
      <c r="C1188" t="s">
        <v>9617</v>
      </c>
      <c r="D1188" t="str">
        <f>"18468"</f>
        <v>18468</v>
      </c>
      <c r="E1188" t="s">
        <v>10240</v>
      </c>
      <c r="F1188" s="1">
        <v>44286</v>
      </c>
      <c r="G1188" t="str">
        <f>"300043"</f>
        <v>300043</v>
      </c>
      <c r="H1188" t="s">
        <v>2876</v>
      </c>
      <c r="I1188">
        <v>1127</v>
      </c>
    </row>
    <row r="1189" spans="1:9" x14ac:dyDescent="0.25">
      <c r="A1189" t="s">
        <v>9616</v>
      </c>
      <c r="C1189" t="s">
        <v>9617</v>
      </c>
      <c r="D1189" t="str">
        <f>"18690"</f>
        <v>18690</v>
      </c>
      <c r="E1189" t="s">
        <v>10241</v>
      </c>
      <c r="F1189" s="1">
        <v>44286</v>
      </c>
      <c r="G1189" t="str">
        <f>"300043"</f>
        <v>300043</v>
      </c>
      <c r="H1189" t="s">
        <v>2876</v>
      </c>
      <c r="I1189">
        <v>445</v>
      </c>
    </row>
    <row r="1190" spans="1:9" x14ac:dyDescent="0.25">
      <c r="A1190" t="s">
        <v>9616</v>
      </c>
      <c r="C1190" t="s">
        <v>9617</v>
      </c>
      <c r="D1190" t="str">
        <f>"18707"</f>
        <v>18707</v>
      </c>
      <c r="E1190" t="s">
        <v>10242</v>
      </c>
      <c r="F1190" s="1">
        <v>44286</v>
      </c>
      <c r="G1190" t="str">
        <f>"300043"</f>
        <v>300043</v>
      </c>
      <c r="H1190" t="s">
        <v>2876</v>
      </c>
      <c r="I1190">
        <v>639</v>
      </c>
    </row>
    <row r="1191" spans="1:9" x14ac:dyDescent="0.25">
      <c r="A1191" t="s">
        <v>9616</v>
      </c>
      <c r="C1191" t="s">
        <v>9617</v>
      </c>
      <c r="D1191" t="str">
        <f>"18724"</f>
        <v>18724</v>
      </c>
      <c r="E1191" t="s">
        <v>10243</v>
      </c>
      <c r="F1191" s="1">
        <v>44286</v>
      </c>
      <c r="G1191" t="str">
        <f>"300043"</f>
        <v>300043</v>
      </c>
      <c r="H1191" t="s">
        <v>2876</v>
      </c>
      <c r="I1191">
        <v>1141</v>
      </c>
    </row>
    <row r="1192" spans="1:9" x14ac:dyDescent="0.25">
      <c r="A1192" t="s">
        <v>9616</v>
      </c>
      <c r="C1192" t="s">
        <v>9617</v>
      </c>
      <c r="D1192" t="str">
        <f>"150621"</f>
        <v>150621</v>
      </c>
      <c r="E1192" t="s">
        <v>10242</v>
      </c>
      <c r="F1192" s="1">
        <v>44286</v>
      </c>
      <c r="G1192" t="str">
        <f>"300101"</f>
        <v>300101</v>
      </c>
      <c r="H1192" t="s">
        <v>2926</v>
      </c>
      <c r="I1192">
        <v>3296.84</v>
      </c>
    </row>
    <row r="1193" spans="1:9" x14ac:dyDescent="0.25">
      <c r="A1193" t="s">
        <v>9616</v>
      </c>
      <c r="C1193" t="s">
        <v>9617</v>
      </c>
      <c r="D1193" t="str">
        <f>"150721"</f>
        <v>150721</v>
      </c>
      <c r="E1193" t="s">
        <v>10241</v>
      </c>
      <c r="F1193" s="1">
        <v>44286</v>
      </c>
      <c r="G1193" t="str">
        <f>"300101"</f>
        <v>300101</v>
      </c>
      <c r="H1193" t="s">
        <v>2926</v>
      </c>
      <c r="I1193">
        <v>3296.84</v>
      </c>
    </row>
    <row r="1194" spans="1:9" x14ac:dyDescent="0.25">
      <c r="A1194" t="s">
        <v>9616</v>
      </c>
      <c r="C1194" t="s">
        <v>9617</v>
      </c>
      <c r="D1194" t="str">
        <f>"151421"</f>
        <v>151421</v>
      </c>
      <c r="E1194" t="s">
        <v>10240</v>
      </c>
      <c r="F1194" s="1">
        <v>44286</v>
      </c>
      <c r="G1194" t="str">
        <f>"300101"</f>
        <v>300101</v>
      </c>
      <c r="H1194" t="s">
        <v>2926</v>
      </c>
      <c r="I1194">
        <v>3296.87</v>
      </c>
    </row>
    <row r="1195" spans="1:9" x14ac:dyDescent="0.25">
      <c r="A1195" t="s">
        <v>9616</v>
      </c>
      <c r="C1195" t="s">
        <v>9617</v>
      </c>
      <c r="D1195" t="str">
        <f>"153121"</f>
        <v>153121</v>
      </c>
      <c r="E1195" t="s">
        <v>10243</v>
      </c>
      <c r="F1195" s="1">
        <v>44286</v>
      </c>
      <c r="G1195" t="str">
        <f>"300101"</f>
        <v>300101</v>
      </c>
      <c r="H1195" t="s">
        <v>2926</v>
      </c>
      <c r="I1195">
        <v>3296.84</v>
      </c>
    </row>
    <row r="1196" spans="1:9" x14ac:dyDescent="0.25">
      <c r="A1196" t="s">
        <v>9616</v>
      </c>
      <c r="C1196" t="s">
        <v>9617</v>
      </c>
      <c r="D1196" t="str">
        <f>"202102301"</f>
        <v>202102301</v>
      </c>
      <c r="E1196" t="s">
        <v>10225</v>
      </c>
      <c r="F1196" s="1">
        <v>44286</v>
      </c>
      <c r="G1196" t="str">
        <f>"300191"</f>
        <v>300191</v>
      </c>
      <c r="H1196" t="s">
        <v>3008</v>
      </c>
      <c r="I1196">
        <v>3128.66</v>
      </c>
    </row>
    <row r="1197" spans="1:9" x14ac:dyDescent="0.25">
      <c r="A1197" t="s">
        <v>9616</v>
      </c>
      <c r="C1197" t="s">
        <v>9617</v>
      </c>
      <c r="D1197" t="str">
        <f>"7021"</f>
        <v>7021</v>
      </c>
      <c r="E1197" t="s">
        <v>10244</v>
      </c>
      <c r="F1197" s="1">
        <v>44286</v>
      </c>
      <c r="G1197" t="str">
        <f t="shared" ref="G1197:G1204" si="7">"300192"</f>
        <v>300192</v>
      </c>
      <c r="H1197" t="s">
        <v>3009</v>
      </c>
      <c r="I1197">
        <v>12500</v>
      </c>
    </row>
    <row r="1198" spans="1:9" x14ac:dyDescent="0.25">
      <c r="A1198" t="s">
        <v>9616</v>
      </c>
      <c r="C1198" t="s">
        <v>9617</v>
      </c>
      <c r="D1198" t="str">
        <f>"7121"</f>
        <v>7121</v>
      </c>
      <c r="E1198" t="s">
        <v>10206</v>
      </c>
      <c r="F1198" s="1">
        <v>44286</v>
      </c>
      <c r="G1198" t="str">
        <f t="shared" si="7"/>
        <v>300192</v>
      </c>
      <c r="H1198" t="s">
        <v>3009</v>
      </c>
      <c r="I1198">
        <v>12500</v>
      </c>
    </row>
    <row r="1199" spans="1:9" x14ac:dyDescent="0.25">
      <c r="A1199" t="s">
        <v>9616</v>
      </c>
      <c r="C1199" t="s">
        <v>9617</v>
      </c>
      <c r="D1199" t="str">
        <f>"7221"</f>
        <v>7221</v>
      </c>
      <c r="E1199" t="s">
        <v>10207</v>
      </c>
      <c r="F1199" s="1">
        <v>44286</v>
      </c>
      <c r="G1199" t="str">
        <f t="shared" si="7"/>
        <v>300192</v>
      </c>
      <c r="H1199" t="s">
        <v>3009</v>
      </c>
      <c r="I1199">
        <v>12500</v>
      </c>
    </row>
    <row r="1200" spans="1:9" x14ac:dyDescent="0.25">
      <c r="A1200" t="s">
        <v>9616</v>
      </c>
      <c r="C1200" t="s">
        <v>9617</v>
      </c>
      <c r="D1200" t="str">
        <f>"7321"</f>
        <v>7321</v>
      </c>
      <c r="E1200" t="s">
        <v>10233</v>
      </c>
      <c r="F1200" s="1">
        <v>44286</v>
      </c>
      <c r="G1200" t="str">
        <f t="shared" si="7"/>
        <v>300192</v>
      </c>
      <c r="H1200" t="s">
        <v>3009</v>
      </c>
      <c r="I1200">
        <v>12500</v>
      </c>
    </row>
    <row r="1201" spans="1:9" x14ac:dyDescent="0.25">
      <c r="A1201" t="s">
        <v>9616</v>
      </c>
      <c r="C1201" t="s">
        <v>9617</v>
      </c>
      <c r="D1201" t="str">
        <f>"7421"</f>
        <v>7421</v>
      </c>
      <c r="E1201" t="s">
        <v>10212</v>
      </c>
      <c r="F1201" s="1">
        <v>44286</v>
      </c>
      <c r="G1201" t="str">
        <f t="shared" si="7"/>
        <v>300192</v>
      </c>
      <c r="H1201" t="s">
        <v>3009</v>
      </c>
      <c r="I1201">
        <v>12500</v>
      </c>
    </row>
    <row r="1202" spans="1:9" x14ac:dyDescent="0.25">
      <c r="A1202" t="s">
        <v>9616</v>
      </c>
      <c r="C1202" t="s">
        <v>9617</v>
      </c>
      <c r="D1202" t="str">
        <f>"7521"</f>
        <v>7521</v>
      </c>
      <c r="E1202" t="s">
        <v>10224</v>
      </c>
      <c r="F1202" s="1">
        <v>44286</v>
      </c>
      <c r="G1202" t="str">
        <f t="shared" si="7"/>
        <v>300192</v>
      </c>
      <c r="H1202" t="s">
        <v>3009</v>
      </c>
      <c r="I1202">
        <v>11000</v>
      </c>
    </row>
    <row r="1203" spans="1:9" x14ac:dyDescent="0.25">
      <c r="A1203" t="s">
        <v>9616</v>
      </c>
      <c r="C1203" t="s">
        <v>9617</v>
      </c>
      <c r="D1203" t="str">
        <f>"7621"</f>
        <v>7621</v>
      </c>
      <c r="E1203" t="s">
        <v>10204</v>
      </c>
      <c r="F1203" s="1">
        <v>44286</v>
      </c>
      <c r="G1203" t="str">
        <f t="shared" si="7"/>
        <v>300192</v>
      </c>
      <c r="H1203" t="s">
        <v>3009</v>
      </c>
      <c r="I1203">
        <v>11000</v>
      </c>
    </row>
    <row r="1204" spans="1:9" x14ac:dyDescent="0.25">
      <c r="A1204" t="s">
        <v>9616</v>
      </c>
      <c r="C1204" t="s">
        <v>9617</v>
      </c>
      <c r="D1204" t="str">
        <f>"7721"</f>
        <v>7721</v>
      </c>
      <c r="E1204" t="s">
        <v>10203</v>
      </c>
      <c r="F1204" s="1">
        <v>44286</v>
      </c>
      <c r="G1204" t="str">
        <f t="shared" si="7"/>
        <v>300192</v>
      </c>
      <c r="H1204" t="s">
        <v>3009</v>
      </c>
      <c r="I1204">
        <v>11000</v>
      </c>
    </row>
    <row r="1205" spans="1:9" x14ac:dyDescent="0.25">
      <c r="A1205" t="s">
        <v>9616</v>
      </c>
      <c r="C1205" t="s">
        <v>9617</v>
      </c>
      <c r="D1205" t="str">
        <f>"18851"</f>
        <v>18851</v>
      </c>
      <c r="E1205" t="s">
        <v>10244</v>
      </c>
      <c r="F1205" s="1">
        <v>44287</v>
      </c>
      <c r="G1205" t="str">
        <f>"300043"</f>
        <v>300043</v>
      </c>
      <c r="H1205" t="s">
        <v>2876</v>
      </c>
      <c r="I1205">
        <v>1076</v>
      </c>
    </row>
    <row r="1206" spans="1:9" x14ac:dyDescent="0.25">
      <c r="A1206" t="s">
        <v>9616</v>
      </c>
      <c r="C1206" t="s">
        <v>9617</v>
      </c>
      <c r="D1206" t="str">
        <f>"18883"</f>
        <v>18883</v>
      </c>
      <c r="E1206" t="s">
        <v>10245</v>
      </c>
      <c r="F1206" s="1">
        <v>44287</v>
      </c>
      <c r="G1206" t="str">
        <f>"300043"</f>
        <v>300043</v>
      </c>
      <c r="H1206" t="s">
        <v>2876</v>
      </c>
      <c r="I1206">
        <v>1141</v>
      </c>
    </row>
    <row r="1207" spans="1:9" x14ac:dyDescent="0.25">
      <c r="A1207" t="s">
        <v>9616</v>
      </c>
      <c r="C1207" t="s">
        <v>9617</v>
      </c>
      <c r="D1207" t="str">
        <f>"18998"</f>
        <v>18998</v>
      </c>
      <c r="E1207" t="s">
        <v>10246</v>
      </c>
      <c r="F1207" s="1">
        <v>44287</v>
      </c>
      <c r="G1207" t="str">
        <f>"300043"</f>
        <v>300043</v>
      </c>
      <c r="H1207" t="s">
        <v>2876</v>
      </c>
      <c r="I1207">
        <v>445</v>
      </c>
    </row>
    <row r="1208" spans="1:9" x14ac:dyDescent="0.25">
      <c r="A1208" t="s">
        <v>9616</v>
      </c>
      <c r="C1208" t="s">
        <v>9617</v>
      </c>
      <c r="D1208" t="str">
        <f>"151021"</f>
        <v>151021</v>
      </c>
      <c r="E1208" t="s">
        <v>10245</v>
      </c>
      <c r="F1208" s="1">
        <v>44287</v>
      </c>
      <c r="G1208" t="str">
        <f>"300101"</f>
        <v>300101</v>
      </c>
      <c r="H1208" t="s">
        <v>2926</v>
      </c>
      <c r="I1208">
        <v>3296.39</v>
      </c>
    </row>
    <row r="1209" spans="1:9" x14ac:dyDescent="0.25">
      <c r="A1209" t="s">
        <v>9616</v>
      </c>
      <c r="C1209" t="s">
        <v>9617</v>
      </c>
      <c r="D1209" t="str">
        <f>"151121"</f>
        <v>151121</v>
      </c>
      <c r="E1209" t="s">
        <v>10246</v>
      </c>
      <c r="F1209" s="1">
        <v>44287</v>
      </c>
      <c r="G1209" t="str">
        <f>"300101"</f>
        <v>300101</v>
      </c>
      <c r="H1209" t="s">
        <v>2926</v>
      </c>
      <c r="I1209">
        <v>3296.4</v>
      </c>
    </row>
    <row r="1210" spans="1:9" x14ac:dyDescent="0.25">
      <c r="A1210" t="s">
        <v>9616</v>
      </c>
      <c r="C1210" t="s">
        <v>9617</v>
      </c>
      <c r="D1210" t="s">
        <v>10247</v>
      </c>
      <c r="E1210" t="s">
        <v>10198</v>
      </c>
      <c r="F1210" s="1">
        <v>44287</v>
      </c>
      <c r="G1210" t="str">
        <f>"300133"</f>
        <v>300133</v>
      </c>
      <c r="H1210" t="s">
        <v>2955</v>
      </c>
      <c r="I1210">
        <v>12724.8</v>
      </c>
    </row>
    <row r="1211" spans="1:9" x14ac:dyDescent="0.25">
      <c r="A1211" t="s">
        <v>9616</v>
      </c>
      <c r="C1211" t="s">
        <v>9617</v>
      </c>
      <c r="D1211" t="s">
        <v>10248</v>
      </c>
      <c r="E1211" t="s">
        <v>10249</v>
      </c>
      <c r="F1211" s="1">
        <v>44287</v>
      </c>
      <c r="G1211" t="str">
        <f>"300133"</f>
        <v>300133</v>
      </c>
      <c r="H1211" t="s">
        <v>2955</v>
      </c>
      <c r="I1211">
        <v>480.7</v>
      </c>
    </row>
    <row r="1212" spans="1:9" x14ac:dyDescent="0.25">
      <c r="A1212" t="s">
        <v>9616</v>
      </c>
      <c r="C1212" t="s">
        <v>9617</v>
      </c>
      <c r="D1212" t="s">
        <v>10250</v>
      </c>
      <c r="E1212" t="s">
        <v>10251</v>
      </c>
      <c r="F1212" s="1">
        <v>44288</v>
      </c>
      <c r="G1212" t="str">
        <f>"300133"</f>
        <v>300133</v>
      </c>
      <c r="H1212" t="s">
        <v>2955</v>
      </c>
      <c r="I1212">
        <v>480.7</v>
      </c>
    </row>
    <row r="1213" spans="1:9" x14ac:dyDescent="0.25">
      <c r="A1213" t="s">
        <v>9616</v>
      </c>
      <c r="C1213" t="s">
        <v>9617</v>
      </c>
      <c r="D1213" t="str">
        <f>"202102554"</f>
        <v>202102554</v>
      </c>
      <c r="E1213" t="s">
        <v>10233</v>
      </c>
      <c r="F1213" s="1">
        <v>44290</v>
      </c>
      <c r="G1213" t="str">
        <f>"300191"</f>
        <v>300191</v>
      </c>
      <c r="H1213" t="s">
        <v>3008</v>
      </c>
      <c r="I1213">
        <v>3462.06</v>
      </c>
    </row>
    <row r="1214" spans="1:9" x14ac:dyDescent="0.25">
      <c r="A1214" t="s">
        <v>9616</v>
      </c>
      <c r="C1214" t="s">
        <v>9617</v>
      </c>
      <c r="D1214" t="s">
        <v>10252</v>
      </c>
      <c r="E1214" t="s">
        <v>9729</v>
      </c>
      <c r="F1214" s="1">
        <v>44291</v>
      </c>
      <c r="G1214" t="str">
        <f>"300092"</f>
        <v>300092</v>
      </c>
      <c r="H1214" t="s">
        <v>2160</v>
      </c>
      <c r="I1214">
        <v>9003.2999999999993</v>
      </c>
    </row>
    <row r="1215" spans="1:9" x14ac:dyDescent="0.25">
      <c r="A1215" t="s">
        <v>9616</v>
      </c>
      <c r="C1215" t="s">
        <v>9617</v>
      </c>
      <c r="D1215" t="str">
        <f>"10130020"</f>
        <v>10130020</v>
      </c>
      <c r="E1215" t="s">
        <v>2172</v>
      </c>
      <c r="F1215" s="1">
        <v>44291</v>
      </c>
      <c r="G1215" t="str">
        <f>"300115"</f>
        <v>300115</v>
      </c>
      <c r="H1215" t="s">
        <v>2938</v>
      </c>
      <c r="I1215">
        <v>301558.44400000002</v>
      </c>
    </row>
    <row r="1216" spans="1:9" x14ac:dyDescent="0.25">
      <c r="A1216" t="s">
        <v>9616</v>
      </c>
      <c r="C1216" t="s">
        <v>9617</v>
      </c>
      <c r="D1216" t="str">
        <f>"10130021"</f>
        <v>10130021</v>
      </c>
      <c r="E1216" t="s">
        <v>10214</v>
      </c>
      <c r="F1216" s="1">
        <v>44291</v>
      </c>
      <c r="G1216" t="str">
        <f>"300115"</f>
        <v>300115</v>
      </c>
      <c r="H1216" t="s">
        <v>2938</v>
      </c>
      <c r="I1216">
        <v>87125.543999999994</v>
      </c>
    </row>
    <row r="1217" spans="1:9" x14ac:dyDescent="0.25">
      <c r="A1217" t="s">
        <v>9616</v>
      </c>
      <c r="C1217" t="s">
        <v>9617</v>
      </c>
      <c r="D1217" t="str">
        <f>"20066"</f>
        <v>20066</v>
      </c>
      <c r="E1217" t="s">
        <v>10253</v>
      </c>
      <c r="F1217" s="1">
        <v>44293</v>
      </c>
      <c r="G1217" t="str">
        <f>"300043"</f>
        <v>300043</v>
      </c>
      <c r="H1217" t="s">
        <v>2876</v>
      </c>
      <c r="I1217">
        <v>1140</v>
      </c>
    </row>
    <row r="1218" spans="1:9" x14ac:dyDescent="0.25">
      <c r="A1218" t="s">
        <v>9616</v>
      </c>
      <c r="C1218" t="s">
        <v>9617</v>
      </c>
      <c r="D1218" t="str">
        <f>"20290960"</f>
        <v>20290960</v>
      </c>
      <c r="E1218" t="s">
        <v>10254</v>
      </c>
      <c r="F1218" s="1">
        <v>44293</v>
      </c>
      <c r="G1218" t="str">
        <f>"300043"</f>
        <v>300043</v>
      </c>
      <c r="H1218" t="s">
        <v>2876</v>
      </c>
      <c r="I1218">
        <v>889</v>
      </c>
    </row>
    <row r="1219" spans="1:9" x14ac:dyDescent="0.25">
      <c r="A1219" t="s">
        <v>9616</v>
      </c>
      <c r="C1219" t="s">
        <v>9617</v>
      </c>
      <c r="D1219" t="str">
        <f>"168521"</f>
        <v>168521</v>
      </c>
      <c r="E1219" t="s">
        <v>10254</v>
      </c>
      <c r="F1219" s="1">
        <v>44293</v>
      </c>
      <c r="G1219" t="str">
        <f>"300101"</f>
        <v>300101</v>
      </c>
      <c r="H1219" t="s">
        <v>2926</v>
      </c>
      <c r="I1219">
        <v>4392.29</v>
      </c>
    </row>
    <row r="1220" spans="1:9" x14ac:dyDescent="0.25">
      <c r="A1220" t="s">
        <v>9616</v>
      </c>
      <c r="C1220" t="s">
        <v>9617</v>
      </c>
      <c r="D1220" t="str">
        <f>"168621"</f>
        <v>168621</v>
      </c>
      <c r="E1220" t="s">
        <v>10253</v>
      </c>
      <c r="F1220" s="1">
        <v>44293</v>
      </c>
      <c r="G1220" t="str">
        <f>"300101"</f>
        <v>300101</v>
      </c>
      <c r="H1220" t="s">
        <v>2926</v>
      </c>
      <c r="I1220">
        <v>3147.32</v>
      </c>
    </row>
    <row r="1221" spans="1:9" x14ac:dyDescent="0.25">
      <c r="A1221" t="s">
        <v>9616</v>
      </c>
      <c r="C1221" t="s">
        <v>9617</v>
      </c>
      <c r="D1221" t="str">
        <f>"202102551"</f>
        <v>202102551</v>
      </c>
      <c r="E1221" t="s">
        <v>10244</v>
      </c>
      <c r="F1221" s="1">
        <v>44293</v>
      </c>
      <c r="G1221" t="str">
        <f>"300191"</f>
        <v>300191</v>
      </c>
      <c r="H1221" t="s">
        <v>3008</v>
      </c>
      <c r="I1221">
        <v>3145.04</v>
      </c>
    </row>
    <row r="1222" spans="1:9" x14ac:dyDescent="0.25">
      <c r="A1222" t="s">
        <v>9616</v>
      </c>
      <c r="C1222" t="s">
        <v>9617</v>
      </c>
      <c r="D1222" t="str">
        <f>"20351"</f>
        <v>20351</v>
      </c>
      <c r="E1222" t="s">
        <v>10255</v>
      </c>
      <c r="F1222" s="1">
        <v>44294</v>
      </c>
      <c r="G1222" t="str">
        <f>"300043"</f>
        <v>300043</v>
      </c>
      <c r="H1222" t="s">
        <v>2876</v>
      </c>
      <c r="I1222">
        <v>446</v>
      </c>
    </row>
    <row r="1223" spans="1:9" x14ac:dyDescent="0.25">
      <c r="A1223" t="s">
        <v>9616</v>
      </c>
      <c r="C1223" t="s">
        <v>9617</v>
      </c>
      <c r="D1223" t="str">
        <f>"168421"</f>
        <v>168421</v>
      </c>
      <c r="E1223" t="s">
        <v>10255</v>
      </c>
      <c r="F1223" s="1">
        <v>44294</v>
      </c>
      <c r="G1223" t="str">
        <f>"300101"</f>
        <v>300101</v>
      </c>
      <c r="H1223" t="s">
        <v>2926</v>
      </c>
      <c r="I1223">
        <v>3302.04</v>
      </c>
    </row>
    <row r="1224" spans="1:9" x14ac:dyDescent="0.25">
      <c r="A1224" t="s">
        <v>9616</v>
      </c>
      <c r="C1224" t="s">
        <v>9617</v>
      </c>
      <c r="D1224" t="str">
        <f>"10130121"</f>
        <v>10130121</v>
      </c>
      <c r="E1224" t="s">
        <v>9191</v>
      </c>
      <c r="F1224" s="1">
        <v>44294</v>
      </c>
      <c r="G1224" t="str">
        <f>"300115"</f>
        <v>300115</v>
      </c>
      <c r="H1224" t="s">
        <v>2938</v>
      </c>
      <c r="I1224">
        <v>258407.204</v>
      </c>
    </row>
    <row r="1225" spans="1:9" x14ac:dyDescent="0.25">
      <c r="A1225" t="s">
        <v>9616</v>
      </c>
      <c r="C1225" t="s">
        <v>9617</v>
      </c>
      <c r="D1225" t="str">
        <f>"121310303"</f>
        <v>121310303</v>
      </c>
      <c r="E1225" t="s">
        <v>8903</v>
      </c>
      <c r="F1225" s="1">
        <v>44295</v>
      </c>
      <c r="G1225" t="str">
        <f>"300080"</f>
        <v>300080</v>
      </c>
      <c r="H1225" t="s">
        <v>2907</v>
      </c>
      <c r="I1225">
        <v>159138</v>
      </c>
    </row>
    <row r="1226" spans="1:9" x14ac:dyDescent="0.25">
      <c r="A1226" t="s">
        <v>9616</v>
      </c>
      <c r="C1226" t="s">
        <v>9617</v>
      </c>
      <c r="D1226" t="str">
        <f>"20744"</f>
        <v>20744</v>
      </c>
      <c r="E1226" t="s">
        <v>10256</v>
      </c>
      <c r="F1226" s="1">
        <v>44298</v>
      </c>
      <c r="G1226" t="str">
        <f>"300043"</f>
        <v>300043</v>
      </c>
      <c r="H1226" t="s">
        <v>2876</v>
      </c>
      <c r="I1226">
        <v>1031</v>
      </c>
    </row>
    <row r="1227" spans="1:9" x14ac:dyDescent="0.25">
      <c r="A1227" t="s">
        <v>9616</v>
      </c>
      <c r="C1227" t="s">
        <v>9617</v>
      </c>
      <c r="D1227" t="str">
        <f>"10130187"</f>
        <v>10130187</v>
      </c>
      <c r="E1227" t="s">
        <v>9189</v>
      </c>
      <c r="F1227" s="1">
        <v>44298</v>
      </c>
      <c r="G1227" t="str">
        <f>"300115"</f>
        <v>300115</v>
      </c>
      <c r="H1227" t="s">
        <v>2938</v>
      </c>
      <c r="I1227">
        <v>270565.54800000001</v>
      </c>
    </row>
    <row r="1228" spans="1:9" x14ac:dyDescent="0.25">
      <c r="A1228" t="s">
        <v>9616</v>
      </c>
      <c r="C1228" t="s">
        <v>9617</v>
      </c>
      <c r="D1228" t="s">
        <v>10257</v>
      </c>
      <c r="E1228" t="s">
        <v>10258</v>
      </c>
      <c r="F1228" s="1">
        <v>44299</v>
      </c>
      <c r="G1228" t="str">
        <f>"300133"</f>
        <v>300133</v>
      </c>
      <c r="H1228" t="s">
        <v>2955</v>
      </c>
      <c r="I1228">
        <v>5544</v>
      </c>
    </row>
    <row r="1229" spans="1:9" x14ac:dyDescent="0.25">
      <c r="A1229" t="s">
        <v>9616</v>
      </c>
      <c r="C1229" t="s">
        <v>9617</v>
      </c>
      <c r="D1229" t="s">
        <v>10259</v>
      </c>
      <c r="E1229" t="str">
        <f>"2300"</f>
        <v>2300</v>
      </c>
      <c r="F1229" s="1">
        <v>44299</v>
      </c>
      <c r="G1229" t="str">
        <f>"300133"</f>
        <v>300133</v>
      </c>
      <c r="H1229" t="s">
        <v>2955</v>
      </c>
      <c r="I1229">
        <v>5068.8</v>
      </c>
    </row>
    <row r="1230" spans="1:9" x14ac:dyDescent="0.25">
      <c r="A1230" t="s">
        <v>9616</v>
      </c>
      <c r="C1230" t="s">
        <v>9617</v>
      </c>
      <c r="D1230" t="str">
        <f>"21444"</f>
        <v>21444</v>
      </c>
      <c r="E1230" t="s">
        <v>10260</v>
      </c>
      <c r="F1230" s="1">
        <v>44300</v>
      </c>
      <c r="G1230" t="str">
        <f>"300043"</f>
        <v>300043</v>
      </c>
      <c r="H1230" t="s">
        <v>2876</v>
      </c>
      <c r="I1230">
        <v>1076</v>
      </c>
    </row>
    <row r="1231" spans="1:9" x14ac:dyDescent="0.25">
      <c r="A1231" t="s">
        <v>9616</v>
      </c>
      <c r="C1231" t="s">
        <v>9617</v>
      </c>
      <c r="D1231" t="str">
        <f>"10130259"</f>
        <v>10130259</v>
      </c>
      <c r="E1231" t="s">
        <v>9189</v>
      </c>
      <c r="F1231" s="1">
        <v>44300</v>
      </c>
      <c r="G1231" t="str">
        <f>"300115"</f>
        <v>300115</v>
      </c>
      <c r="H1231" t="s">
        <v>2938</v>
      </c>
      <c r="I1231">
        <v>270565.54800000001</v>
      </c>
    </row>
    <row r="1232" spans="1:9" x14ac:dyDescent="0.25">
      <c r="A1232" t="s">
        <v>9616</v>
      </c>
      <c r="C1232" t="s">
        <v>9617</v>
      </c>
      <c r="D1232" t="s">
        <v>10261</v>
      </c>
      <c r="E1232" t="s">
        <v>9562</v>
      </c>
      <c r="F1232" s="1">
        <v>44300</v>
      </c>
      <c r="G1232" t="str">
        <f>"300133"</f>
        <v>300133</v>
      </c>
      <c r="H1232" t="s">
        <v>2955</v>
      </c>
      <c r="I1232">
        <v>10687.2</v>
      </c>
    </row>
    <row r="1233" spans="1:9" x14ac:dyDescent="0.25">
      <c r="A1233" t="s">
        <v>9616</v>
      </c>
      <c r="C1233" t="s">
        <v>9617</v>
      </c>
      <c r="D1233" t="s">
        <v>10262</v>
      </c>
      <c r="E1233" t="s">
        <v>10263</v>
      </c>
      <c r="F1233" s="1">
        <v>44300</v>
      </c>
      <c r="G1233" t="str">
        <f>"300133"</f>
        <v>300133</v>
      </c>
      <c r="H1233" t="s">
        <v>2955</v>
      </c>
      <c r="I1233">
        <v>22182.6</v>
      </c>
    </row>
    <row r="1234" spans="1:9" x14ac:dyDescent="0.25">
      <c r="A1234" t="s">
        <v>9616</v>
      </c>
      <c r="C1234" t="s">
        <v>9617</v>
      </c>
      <c r="D1234" t="str">
        <f>"210636"</f>
        <v>210636</v>
      </c>
      <c r="E1234" t="s">
        <v>10264</v>
      </c>
      <c r="F1234" s="1">
        <v>44300</v>
      </c>
      <c r="G1234" t="str">
        <f>"300301"</f>
        <v>300301</v>
      </c>
      <c r="H1234" t="s">
        <v>3043</v>
      </c>
      <c r="I1234">
        <v>7691.23</v>
      </c>
    </row>
    <row r="1235" spans="1:9" x14ac:dyDescent="0.25">
      <c r="A1235" t="s">
        <v>9616</v>
      </c>
      <c r="C1235" t="s">
        <v>9617</v>
      </c>
      <c r="D1235" t="s">
        <v>10265</v>
      </c>
      <c r="E1235" t="s">
        <v>10266</v>
      </c>
      <c r="F1235" s="1">
        <v>44301</v>
      </c>
      <c r="G1235" t="str">
        <f>"300133"</f>
        <v>300133</v>
      </c>
      <c r="H1235" t="s">
        <v>2955</v>
      </c>
      <c r="I1235">
        <v>9256.7999999999993</v>
      </c>
    </row>
    <row r="1236" spans="1:9" x14ac:dyDescent="0.25">
      <c r="A1236" t="s">
        <v>9616</v>
      </c>
      <c r="C1236" t="s">
        <v>9617</v>
      </c>
      <c r="D1236" t="str">
        <f>"202102798"</f>
        <v>202102798</v>
      </c>
      <c r="E1236" t="s">
        <v>10256</v>
      </c>
      <c r="F1236" s="1">
        <v>44301</v>
      </c>
      <c r="G1236" t="str">
        <f>"300191"</f>
        <v>300191</v>
      </c>
      <c r="H1236" t="s">
        <v>3008</v>
      </c>
      <c r="I1236">
        <v>3285.65</v>
      </c>
    </row>
    <row r="1237" spans="1:9" x14ac:dyDescent="0.25">
      <c r="A1237" t="s">
        <v>9616</v>
      </c>
      <c r="C1237" t="s">
        <v>9617</v>
      </c>
      <c r="D1237" t="str">
        <f>"21950"</f>
        <v>21950</v>
      </c>
      <c r="E1237" t="s">
        <v>10267</v>
      </c>
      <c r="F1237" s="1">
        <v>44302</v>
      </c>
      <c r="G1237" t="str">
        <f>"300043"</f>
        <v>300043</v>
      </c>
      <c r="H1237" t="s">
        <v>2876</v>
      </c>
      <c r="I1237">
        <v>1076</v>
      </c>
    </row>
    <row r="1238" spans="1:9" x14ac:dyDescent="0.25">
      <c r="A1238" t="s">
        <v>9616</v>
      </c>
      <c r="C1238" t="s">
        <v>9617</v>
      </c>
      <c r="D1238" t="str">
        <f>"2102306"</f>
        <v>2102306</v>
      </c>
      <c r="E1238" s="2">
        <v>46116</v>
      </c>
      <c r="F1238" s="1">
        <v>44302</v>
      </c>
      <c r="G1238" t="str">
        <f>"300064"</f>
        <v>300064</v>
      </c>
      <c r="H1238" t="s">
        <v>2896</v>
      </c>
      <c r="I1238">
        <v>4443.0720000000001</v>
      </c>
    </row>
    <row r="1239" spans="1:9" x14ac:dyDescent="0.25">
      <c r="A1239" t="s">
        <v>9616</v>
      </c>
      <c r="C1239" t="s">
        <v>9617</v>
      </c>
      <c r="D1239" t="str">
        <f>"67935"</f>
        <v>67935</v>
      </c>
      <c r="E1239" t="s">
        <v>8967</v>
      </c>
      <c r="F1239" s="1">
        <v>44302</v>
      </c>
      <c r="G1239" t="str">
        <f>"300093"</f>
        <v>300093</v>
      </c>
      <c r="H1239" t="s">
        <v>2918</v>
      </c>
      <c r="I1239">
        <v>184572.54199999999</v>
      </c>
    </row>
    <row r="1240" spans="1:9" x14ac:dyDescent="0.25">
      <c r="A1240" t="s">
        <v>9616</v>
      </c>
      <c r="C1240" t="s">
        <v>9617</v>
      </c>
      <c r="D1240" t="str">
        <f>"169921"</f>
        <v>169921</v>
      </c>
      <c r="E1240" t="s">
        <v>10255</v>
      </c>
      <c r="F1240" s="1">
        <v>44302</v>
      </c>
      <c r="G1240" t="str">
        <f>"300101"</f>
        <v>300101</v>
      </c>
      <c r="H1240" t="s">
        <v>2926</v>
      </c>
      <c r="I1240">
        <v>155.22999999999999</v>
      </c>
    </row>
    <row r="1241" spans="1:9" x14ac:dyDescent="0.25">
      <c r="A1241" t="s">
        <v>9616</v>
      </c>
      <c r="C1241" t="s">
        <v>9617</v>
      </c>
      <c r="D1241" t="str">
        <f>"10130357"</f>
        <v>10130357</v>
      </c>
      <c r="E1241" t="s">
        <v>10268</v>
      </c>
      <c r="F1241" s="1">
        <v>44302</v>
      </c>
      <c r="G1241" t="str">
        <f>"300115"</f>
        <v>300115</v>
      </c>
      <c r="H1241" t="s">
        <v>2938</v>
      </c>
      <c r="I1241">
        <v>96989.322100000005</v>
      </c>
    </row>
    <row r="1242" spans="1:9" x14ac:dyDescent="0.25">
      <c r="A1242" t="s">
        <v>9616</v>
      </c>
      <c r="C1242" t="s">
        <v>9617</v>
      </c>
      <c r="D1242" t="str">
        <f>"10130358"</f>
        <v>10130358</v>
      </c>
      <c r="E1242" t="s">
        <v>2172</v>
      </c>
      <c r="F1242" s="1">
        <v>44302</v>
      </c>
      <c r="G1242" t="str">
        <f>"300115"</f>
        <v>300115</v>
      </c>
      <c r="H1242" t="s">
        <v>2938</v>
      </c>
      <c r="I1242">
        <v>95956.270300000004</v>
      </c>
    </row>
    <row r="1243" spans="1:9" x14ac:dyDescent="0.25">
      <c r="A1243" t="s">
        <v>9616</v>
      </c>
      <c r="C1243" t="s">
        <v>9617</v>
      </c>
      <c r="D1243" t="str">
        <f>"952021"</f>
        <v>952021</v>
      </c>
      <c r="E1243" t="s">
        <v>10267</v>
      </c>
      <c r="F1243" s="1">
        <v>44303</v>
      </c>
      <c r="G1243" t="str">
        <f>"300304"</f>
        <v>300304</v>
      </c>
      <c r="H1243" t="s">
        <v>3045</v>
      </c>
      <c r="I1243">
        <v>12000</v>
      </c>
    </row>
    <row r="1244" spans="1:9" x14ac:dyDescent="0.25">
      <c r="A1244" t="s">
        <v>9616</v>
      </c>
      <c r="C1244" t="s">
        <v>9617</v>
      </c>
      <c r="D1244" t="str">
        <f>"10130356"</f>
        <v>10130356</v>
      </c>
      <c r="E1244" t="s">
        <v>9189</v>
      </c>
      <c r="F1244" s="1">
        <v>44305</v>
      </c>
      <c r="G1244" t="str">
        <f>"300115"</f>
        <v>300115</v>
      </c>
      <c r="H1244" t="s">
        <v>2938</v>
      </c>
      <c r="I1244">
        <v>270565.54800000001</v>
      </c>
    </row>
    <row r="1245" spans="1:9" x14ac:dyDescent="0.25">
      <c r="A1245" t="s">
        <v>9616</v>
      </c>
      <c r="C1245" t="s">
        <v>9617</v>
      </c>
      <c r="D1245" t="str">
        <f>"22760"</f>
        <v>22760</v>
      </c>
      <c r="E1245" t="s">
        <v>10269</v>
      </c>
      <c r="F1245" s="1">
        <v>44306</v>
      </c>
      <c r="G1245" t="str">
        <f>"300043"</f>
        <v>300043</v>
      </c>
      <c r="H1245" t="s">
        <v>2876</v>
      </c>
      <c r="I1245">
        <v>1081</v>
      </c>
    </row>
    <row r="1246" spans="1:9" x14ac:dyDescent="0.25">
      <c r="A1246" t="s">
        <v>9616</v>
      </c>
      <c r="C1246" t="s">
        <v>9617</v>
      </c>
      <c r="D1246" t="str">
        <f>"23005"</f>
        <v>23005</v>
      </c>
      <c r="E1246" t="s">
        <v>10270</v>
      </c>
      <c r="F1246" s="1">
        <v>44307</v>
      </c>
      <c r="G1246" t="str">
        <f>"300043"</f>
        <v>300043</v>
      </c>
      <c r="H1246" t="s">
        <v>2876</v>
      </c>
      <c r="I1246">
        <v>792</v>
      </c>
    </row>
    <row r="1247" spans="1:9" x14ac:dyDescent="0.25">
      <c r="A1247" t="s">
        <v>9616</v>
      </c>
      <c r="C1247" t="s">
        <v>9617</v>
      </c>
      <c r="D1247" t="str">
        <f>"2102380"</f>
        <v>2102380</v>
      </c>
      <c r="E1247" t="s">
        <v>10271</v>
      </c>
      <c r="F1247" s="1">
        <v>44307</v>
      </c>
      <c r="G1247" t="str">
        <f>"300064"</f>
        <v>300064</v>
      </c>
      <c r="H1247" t="s">
        <v>2896</v>
      </c>
      <c r="I1247">
        <v>52350</v>
      </c>
    </row>
    <row r="1248" spans="1:9" x14ac:dyDescent="0.25">
      <c r="A1248" t="s">
        <v>9616</v>
      </c>
      <c r="C1248" t="s">
        <v>9617</v>
      </c>
      <c r="D1248" t="str">
        <f>"211621"</f>
        <v>211621</v>
      </c>
      <c r="E1248" t="s">
        <v>10270</v>
      </c>
      <c r="F1248" s="1">
        <v>44307</v>
      </c>
      <c r="G1248" t="str">
        <f>"300101"</f>
        <v>300101</v>
      </c>
      <c r="H1248" t="s">
        <v>2926</v>
      </c>
      <c r="I1248">
        <v>3475.03</v>
      </c>
    </row>
    <row r="1249" spans="1:9" x14ac:dyDescent="0.25">
      <c r="A1249" t="s">
        <v>9616</v>
      </c>
      <c r="C1249" t="s">
        <v>9617</v>
      </c>
      <c r="D1249" t="str">
        <f>"10130433"</f>
        <v>10130433</v>
      </c>
      <c r="E1249" t="s">
        <v>9189</v>
      </c>
      <c r="F1249" s="1">
        <v>44307</v>
      </c>
      <c r="G1249" t="str">
        <f>"300115"</f>
        <v>300115</v>
      </c>
      <c r="H1249" t="s">
        <v>2938</v>
      </c>
      <c r="I1249">
        <v>270565.54800000001</v>
      </c>
    </row>
    <row r="1250" spans="1:9" x14ac:dyDescent="0.25">
      <c r="A1250" t="s">
        <v>9616</v>
      </c>
      <c r="C1250" t="s">
        <v>9617</v>
      </c>
      <c r="D1250" t="str">
        <f>"202102980"</f>
        <v>202102980</v>
      </c>
      <c r="E1250" t="s">
        <v>10260</v>
      </c>
      <c r="F1250" s="1">
        <v>44307</v>
      </c>
      <c r="G1250" t="str">
        <f>"300191"</f>
        <v>300191</v>
      </c>
      <c r="H1250" t="s">
        <v>3008</v>
      </c>
      <c r="I1250">
        <v>3285.78</v>
      </c>
    </row>
    <row r="1251" spans="1:9" x14ac:dyDescent="0.25">
      <c r="A1251" t="s">
        <v>9616</v>
      </c>
      <c r="C1251" t="s">
        <v>9617</v>
      </c>
      <c r="D1251" t="str">
        <f>"632021"</f>
        <v>632021</v>
      </c>
      <c r="E1251" t="s">
        <v>10272</v>
      </c>
      <c r="F1251" s="1">
        <v>44307</v>
      </c>
      <c r="G1251" t="str">
        <f>"300307"</f>
        <v>300307</v>
      </c>
      <c r="H1251" t="s">
        <v>3048</v>
      </c>
      <c r="I1251">
        <v>12000</v>
      </c>
    </row>
    <row r="1252" spans="1:9" x14ac:dyDescent="0.25">
      <c r="A1252" t="s">
        <v>9616</v>
      </c>
      <c r="C1252" t="s">
        <v>9617</v>
      </c>
      <c r="D1252" t="s">
        <v>10273</v>
      </c>
      <c r="E1252" t="s">
        <v>9565</v>
      </c>
      <c r="F1252" s="1">
        <v>44308</v>
      </c>
      <c r="G1252" t="str">
        <f>"300133"</f>
        <v>300133</v>
      </c>
      <c r="H1252" t="s">
        <v>2955</v>
      </c>
      <c r="I1252">
        <v>36382.5</v>
      </c>
    </row>
    <row r="1253" spans="1:9" x14ac:dyDescent="0.25">
      <c r="A1253" t="s">
        <v>9616</v>
      </c>
      <c r="C1253" t="s">
        <v>9617</v>
      </c>
      <c r="D1253" t="str">
        <f>"202102989"</f>
        <v>202102989</v>
      </c>
      <c r="E1253" t="s">
        <v>10267</v>
      </c>
      <c r="F1253" s="1">
        <v>44308</v>
      </c>
      <c r="G1253" t="str">
        <f>"300191"</f>
        <v>300191</v>
      </c>
      <c r="H1253" t="s">
        <v>3008</v>
      </c>
      <c r="I1253">
        <v>3135.48</v>
      </c>
    </row>
    <row r="1254" spans="1:9" x14ac:dyDescent="0.25">
      <c r="A1254" t="s">
        <v>9616</v>
      </c>
      <c r="C1254" t="s">
        <v>9617</v>
      </c>
      <c r="D1254" t="str">
        <f>"23572"</f>
        <v>23572</v>
      </c>
      <c r="E1254" t="s">
        <v>10274</v>
      </c>
      <c r="F1254" s="1">
        <v>44309</v>
      </c>
      <c r="G1254" t="str">
        <f>"300043"</f>
        <v>300043</v>
      </c>
      <c r="H1254" t="s">
        <v>2876</v>
      </c>
      <c r="I1254">
        <v>1079</v>
      </c>
    </row>
    <row r="1255" spans="1:9" x14ac:dyDescent="0.25">
      <c r="A1255" t="s">
        <v>9616</v>
      </c>
      <c r="C1255" t="s">
        <v>9617</v>
      </c>
      <c r="D1255" t="str">
        <f>"2102418"</f>
        <v>2102418</v>
      </c>
      <c r="E1255" t="s">
        <v>9297</v>
      </c>
      <c r="F1255" s="1">
        <v>44309</v>
      </c>
      <c r="G1255" t="str">
        <f>"300064"</f>
        <v>300064</v>
      </c>
      <c r="H1255" t="s">
        <v>2896</v>
      </c>
      <c r="I1255">
        <v>79996.800000000003</v>
      </c>
    </row>
    <row r="1256" spans="1:9" x14ac:dyDescent="0.25">
      <c r="A1256" t="s">
        <v>9616</v>
      </c>
      <c r="C1256" t="s">
        <v>9617</v>
      </c>
      <c r="D1256" t="str">
        <f>"4883"</f>
        <v>4883</v>
      </c>
      <c r="E1256" t="s">
        <v>10275</v>
      </c>
      <c r="F1256" s="1">
        <v>44309</v>
      </c>
      <c r="G1256" t="str">
        <f>"300087"</f>
        <v>300087</v>
      </c>
      <c r="H1256" t="s">
        <v>2913</v>
      </c>
      <c r="I1256">
        <v>4232.28</v>
      </c>
    </row>
    <row r="1257" spans="1:9" x14ac:dyDescent="0.25">
      <c r="A1257" t="s">
        <v>9616</v>
      </c>
      <c r="C1257" t="s">
        <v>9617</v>
      </c>
      <c r="D1257" t="str">
        <f>"10130466"</f>
        <v>10130466</v>
      </c>
      <c r="E1257" t="s">
        <v>9189</v>
      </c>
      <c r="F1257" s="1">
        <v>44309</v>
      </c>
      <c r="G1257" t="str">
        <f>"300115"</f>
        <v>300115</v>
      </c>
      <c r="H1257" t="s">
        <v>2938</v>
      </c>
      <c r="I1257">
        <v>270565.54800000001</v>
      </c>
    </row>
    <row r="1258" spans="1:9" x14ac:dyDescent="0.25">
      <c r="A1258" t="s">
        <v>9616</v>
      </c>
      <c r="C1258" t="s">
        <v>9617</v>
      </c>
      <c r="D1258" t="str">
        <f>"10130467"</f>
        <v>10130467</v>
      </c>
      <c r="E1258" t="s">
        <v>2172</v>
      </c>
      <c r="F1258" s="1">
        <v>44309</v>
      </c>
      <c r="G1258" t="str">
        <f>"300115"</f>
        <v>300115</v>
      </c>
      <c r="H1258" t="s">
        <v>2938</v>
      </c>
      <c r="I1258">
        <v>301558.44400000002</v>
      </c>
    </row>
    <row r="1259" spans="1:9" x14ac:dyDescent="0.25">
      <c r="A1259" t="s">
        <v>9616</v>
      </c>
      <c r="C1259" t="s">
        <v>9617</v>
      </c>
      <c r="D1259" t="str">
        <f>"10130468"</f>
        <v>10130468</v>
      </c>
      <c r="E1259" t="s">
        <v>2172</v>
      </c>
      <c r="F1259" s="1">
        <v>44309</v>
      </c>
      <c r="G1259" t="str">
        <f>"300115"</f>
        <v>300115</v>
      </c>
      <c r="H1259" t="s">
        <v>2938</v>
      </c>
      <c r="I1259">
        <v>301558.44400000002</v>
      </c>
    </row>
    <row r="1260" spans="1:9" x14ac:dyDescent="0.25">
      <c r="A1260" t="s">
        <v>9616</v>
      </c>
      <c r="C1260" t="s">
        <v>9617</v>
      </c>
      <c r="D1260" t="str">
        <f>"24041"</f>
        <v>24041</v>
      </c>
      <c r="E1260" t="s">
        <v>10276</v>
      </c>
      <c r="F1260" s="1">
        <v>44312</v>
      </c>
      <c r="G1260" t="str">
        <f>"300043"</f>
        <v>300043</v>
      </c>
      <c r="H1260" t="s">
        <v>2876</v>
      </c>
      <c r="I1260">
        <v>1081</v>
      </c>
    </row>
    <row r="1261" spans="1:9" x14ac:dyDescent="0.25">
      <c r="A1261" t="s">
        <v>9616</v>
      </c>
      <c r="C1261" t="s">
        <v>9617</v>
      </c>
      <c r="D1261" t="str">
        <f>"56628"</f>
        <v>56628</v>
      </c>
      <c r="E1261" t="s">
        <v>10275</v>
      </c>
      <c r="F1261" s="1">
        <v>44313</v>
      </c>
      <c r="G1261" t="str">
        <f>"300043"</f>
        <v>300043</v>
      </c>
      <c r="H1261" t="s">
        <v>2876</v>
      </c>
      <c r="I1261">
        <v>610</v>
      </c>
    </row>
    <row r="1262" spans="1:9" x14ac:dyDescent="0.25">
      <c r="A1262" t="s">
        <v>9616</v>
      </c>
      <c r="C1262" t="s">
        <v>9617</v>
      </c>
      <c r="D1262" t="s">
        <v>10277</v>
      </c>
      <c r="E1262" t="s">
        <v>10278</v>
      </c>
      <c r="F1262" s="1">
        <v>44313</v>
      </c>
      <c r="G1262" t="str">
        <f>"300064"</f>
        <v>300064</v>
      </c>
      <c r="H1262" t="s">
        <v>2896</v>
      </c>
      <c r="I1262">
        <v>4443.0720000000001</v>
      </c>
    </row>
    <row r="1263" spans="1:9" x14ac:dyDescent="0.25">
      <c r="A1263" t="s">
        <v>9616</v>
      </c>
      <c r="C1263" t="s">
        <v>9617</v>
      </c>
      <c r="D1263" t="str">
        <f>"10130591"</f>
        <v>10130591</v>
      </c>
      <c r="E1263" t="s">
        <v>1313</v>
      </c>
      <c r="F1263" s="1">
        <v>44313</v>
      </c>
      <c r="G1263" t="str">
        <f>"300115"</f>
        <v>300115</v>
      </c>
      <c r="H1263" t="s">
        <v>2938</v>
      </c>
      <c r="I1263">
        <v>305922.04499999998</v>
      </c>
    </row>
    <row r="1264" spans="1:9" x14ac:dyDescent="0.25">
      <c r="A1264" t="s">
        <v>9616</v>
      </c>
      <c r="C1264" t="s">
        <v>9617</v>
      </c>
      <c r="D1264" t="str">
        <f>"202103116"</f>
        <v>202103116</v>
      </c>
      <c r="E1264" t="s">
        <v>10269</v>
      </c>
      <c r="F1264" s="1">
        <v>44313</v>
      </c>
      <c r="G1264" t="str">
        <f>"300191"</f>
        <v>300191</v>
      </c>
      <c r="H1264" t="s">
        <v>3008</v>
      </c>
      <c r="I1264">
        <v>3164.2</v>
      </c>
    </row>
    <row r="1265" spans="1:9" x14ac:dyDescent="0.25">
      <c r="A1265" t="s">
        <v>9616</v>
      </c>
      <c r="C1265" t="s">
        <v>9617</v>
      </c>
      <c r="D1265" t="str">
        <f>"20292284"</f>
        <v>20292284</v>
      </c>
      <c r="E1265" t="s">
        <v>10279</v>
      </c>
      <c r="F1265" s="1">
        <v>44314</v>
      </c>
      <c r="G1265" t="str">
        <f>"300043"</f>
        <v>300043</v>
      </c>
      <c r="H1265" t="s">
        <v>2876</v>
      </c>
      <c r="I1265">
        <v>1148</v>
      </c>
    </row>
    <row r="1266" spans="1:9" x14ac:dyDescent="0.25">
      <c r="A1266" t="s">
        <v>9616</v>
      </c>
      <c r="C1266" t="s">
        <v>9617</v>
      </c>
      <c r="D1266" t="str">
        <f>"20292285"</f>
        <v>20292285</v>
      </c>
      <c r="E1266" t="s">
        <v>10280</v>
      </c>
      <c r="F1266" s="1">
        <v>44314</v>
      </c>
      <c r="G1266" t="str">
        <f>"300043"</f>
        <v>300043</v>
      </c>
      <c r="H1266" t="s">
        <v>2876</v>
      </c>
      <c r="I1266">
        <v>1148</v>
      </c>
    </row>
    <row r="1267" spans="1:9" x14ac:dyDescent="0.25">
      <c r="A1267" t="s">
        <v>9616</v>
      </c>
      <c r="C1267" t="s">
        <v>9617</v>
      </c>
      <c r="D1267" t="str">
        <f>"211721"</f>
        <v>211721</v>
      </c>
      <c r="E1267" t="s">
        <v>10279</v>
      </c>
      <c r="F1267" s="1">
        <v>44314</v>
      </c>
      <c r="G1267" t="str">
        <f>"300101"</f>
        <v>300101</v>
      </c>
      <c r="H1267" t="s">
        <v>2926</v>
      </c>
      <c r="I1267">
        <v>5602.62</v>
      </c>
    </row>
    <row r="1268" spans="1:9" x14ac:dyDescent="0.25">
      <c r="A1268" t="s">
        <v>9616</v>
      </c>
      <c r="C1268" t="s">
        <v>9617</v>
      </c>
      <c r="D1268" t="str">
        <f>"212021"</f>
        <v>212021</v>
      </c>
      <c r="E1268" t="s">
        <v>10280</v>
      </c>
      <c r="F1268" s="1">
        <v>44314</v>
      </c>
      <c r="G1268" t="str">
        <f>"300101"</f>
        <v>300101</v>
      </c>
      <c r="H1268" t="s">
        <v>2926</v>
      </c>
      <c r="I1268">
        <v>3321.46</v>
      </c>
    </row>
    <row r="1269" spans="1:9" x14ac:dyDescent="0.25">
      <c r="A1269" t="s">
        <v>9616</v>
      </c>
      <c r="C1269" t="s">
        <v>9617</v>
      </c>
      <c r="D1269" t="s">
        <v>10281</v>
      </c>
      <c r="E1269" t="s">
        <v>10096</v>
      </c>
      <c r="F1269" s="1">
        <v>44315</v>
      </c>
      <c r="G1269" t="str">
        <f>"300092"</f>
        <v>300092</v>
      </c>
      <c r="H1269" t="s">
        <v>2160</v>
      </c>
      <c r="I1269">
        <v>38200</v>
      </c>
    </row>
    <row r="1270" spans="1:9" x14ac:dyDescent="0.25">
      <c r="A1270" t="s">
        <v>9616</v>
      </c>
      <c r="C1270" t="s">
        <v>9617</v>
      </c>
      <c r="D1270" t="str">
        <f>"10130639"</f>
        <v>10130639</v>
      </c>
      <c r="E1270" t="s">
        <v>10282</v>
      </c>
      <c r="F1270" s="1">
        <v>44315</v>
      </c>
      <c r="G1270" t="str">
        <f>"300115"</f>
        <v>300115</v>
      </c>
      <c r="H1270" t="s">
        <v>2938</v>
      </c>
      <c r="I1270">
        <v>260094.56</v>
      </c>
    </row>
    <row r="1271" spans="1:9" x14ac:dyDescent="0.25">
      <c r="A1271" t="s">
        <v>9616</v>
      </c>
      <c r="C1271" t="s">
        <v>9617</v>
      </c>
      <c r="D1271" t="s">
        <v>10283</v>
      </c>
      <c r="E1271" t="s">
        <v>9971</v>
      </c>
      <c r="F1271" s="1">
        <v>44315</v>
      </c>
      <c r="G1271" t="str">
        <f>"300133"</f>
        <v>300133</v>
      </c>
      <c r="H1271" t="s">
        <v>2955</v>
      </c>
      <c r="I1271">
        <v>26117</v>
      </c>
    </row>
    <row r="1272" spans="1:9" x14ac:dyDescent="0.25">
      <c r="A1272" t="s">
        <v>9616</v>
      </c>
      <c r="C1272" t="s">
        <v>9617</v>
      </c>
      <c r="D1272" t="str">
        <f>"25132"</f>
        <v>25132</v>
      </c>
      <c r="E1272" t="s">
        <v>10284</v>
      </c>
      <c r="F1272" s="1">
        <v>44316</v>
      </c>
      <c r="G1272" t="str">
        <f>"300043"</f>
        <v>300043</v>
      </c>
      <c r="H1272" t="s">
        <v>2876</v>
      </c>
      <c r="I1272">
        <v>1049</v>
      </c>
    </row>
    <row r="1273" spans="1:9" x14ac:dyDescent="0.25">
      <c r="A1273" t="s">
        <v>9616</v>
      </c>
      <c r="C1273" t="s">
        <v>9617</v>
      </c>
      <c r="D1273" t="str">
        <f>"121310354"</f>
        <v>121310354</v>
      </c>
      <c r="E1273" t="s">
        <v>8903</v>
      </c>
      <c r="F1273" s="1">
        <v>44316</v>
      </c>
      <c r="G1273" t="str">
        <f>"300080"</f>
        <v>300080</v>
      </c>
      <c r="H1273" t="s">
        <v>2907</v>
      </c>
      <c r="I1273">
        <v>93297.600000000006</v>
      </c>
    </row>
    <row r="1274" spans="1:9" x14ac:dyDescent="0.25">
      <c r="A1274" t="s">
        <v>9616</v>
      </c>
      <c r="C1274" t="s">
        <v>9617</v>
      </c>
      <c r="D1274" t="str">
        <f>"10130711"</f>
        <v>10130711</v>
      </c>
      <c r="E1274" t="s">
        <v>9633</v>
      </c>
      <c r="F1274" s="1">
        <v>44316</v>
      </c>
      <c r="G1274" t="str">
        <f>"300115"</f>
        <v>300115</v>
      </c>
      <c r="H1274" t="s">
        <v>2938</v>
      </c>
      <c r="I1274">
        <v>177735.23240000001</v>
      </c>
    </row>
    <row r="1275" spans="1:9" x14ac:dyDescent="0.25">
      <c r="A1275" t="s">
        <v>9616</v>
      </c>
      <c r="C1275" t="s">
        <v>9617</v>
      </c>
      <c r="D1275" t="str">
        <f>"10130712"</f>
        <v>10130712</v>
      </c>
      <c r="E1275" t="s">
        <v>10285</v>
      </c>
      <c r="F1275" s="1">
        <v>44316</v>
      </c>
      <c r="G1275" t="str">
        <f>"300115"</f>
        <v>300115</v>
      </c>
      <c r="H1275" t="s">
        <v>2938</v>
      </c>
      <c r="I1275">
        <v>107382.52800000001</v>
      </c>
    </row>
    <row r="1276" spans="1:9" x14ac:dyDescent="0.25">
      <c r="A1276" t="s">
        <v>9616</v>
      </c>
      <c r="C1276" t="s">
        <v>9617</v>
      </c>
      <c r="D1276" t="str">
        <f>"202103301"</f>
        <v>202103301</v>
      </c>
      <c r="E1276" t="s">
        <v>10276</v>
      </c>
      <c r="F1276" s="1">
        <v>44316</v>
      </c>
      <c r="G1276" t="str">
        <f>"300191"</f>
        <v>300191</v>
      </c>
      <c r="H1276" t="s">
        <v>3008</v>
      </c>
      <c r="I1276">
        <v>3166.12</v>
      </c>
    </row>
    <row r="1277" spans="1:9" x14ac:dyDescent="0.25">
      <c r="A1277" t="s">
        <v>9616</v>
      </c>
      <c r="C1277" t="s">
        <v>9617</v>
      </c>
      <c r="D1277" t="str">
        <f>"202103304"</f>
        <v>202103304</v>
      </c>
      <c r="E1277" t="s">
        <v>10274</v>
      </c>
      <c r="F1277" s="1">
        <v>44316</v>
      </c>
      <c r="G1277" t="str">
        <f>"300191"</f>
        <v>300191</v>
      </c>
      <c r="H1277" t="s">
        <v>3008</v>
      </c>
      <c r="I1277">
        <v>3143.99</v>
      </c>
    </row>
    <row r="1278" spans="1:9" x14ac:dyDescent="0.25">
      <c r="A1278" t="s">
        <v>9616</v>
      </c>
      <c r="C1278" t="s">
        <v>9617</v>
      </c>
      <c r="D1278" t="str">
        <f>"20292406"</f>
        <v>20292406</v>
      </c>
      <c r="E1278" t="s">
        <v>10286</v>
      </c>
      <c r="F1278" s="1">
        <v>44319</v>
      </c>
      <c r="G1278" t="str">
        <f>"300043"</f>
        <v>300043</v>
      </c>
      <c r="H1278" t="s">
        <v>2876</v>
      </c>
      <c r="I1278">
        <v>2009</v>
      </c>
    </row>
    <row r="1279" spans="1:9" x14ac:dyDescent="0.25">
      <c r="A1279" t="s">
        <v>9616</v>
      </c>
      <c r="C1279" t="s">
        <v>9617</v>
      </c>
      <c r="D1279" t="str">
        <f>"211921"</f>
        <v>211921</v>
      </c>
      <c r="E1279" t="s">
        <v>10286</v>
      </c>
      <c r="F1279" s="1">
        <v>44319</v>
      </c>
      <c r="G1279" t="str">
        <f>"300101"</f>
        <v>300101</v>
      </c>
      <c r="H1279" t="s">
        <v>2926</v>
      </c>
      <c r="I1279">
        <v>3796.16</v>
      </c>
    </row>
    <row r="1280" spans="1:9" x14ac:dyDescent="0.25">
      <c r="A1280" t="s">
        <v>9616</v>
      </c>
      <c r="C1280" t="s">
        <v>9617</v>
      </c>
      <c r="D1280" t="s">
        <v>10287</v>
      </c>
      <c r="E1280" t="s">
        <v>10126</v>
      </c>
      <c r="F1280" s="1">
        <v>44319</v>
      </c>
      <c r="G1280" t="str">
        <f>"300133"</f>
        <v>300133</v>
      </c>
      <c r="H1280" t="s">
        <v>2955</v>
      </c>
      <c r="I1280">
        <v>13800</v>
      </c>
    </row>
    <row r="1281" spans="1:9" x14ac:dyDescent="0.25">
      <c r="A1281" t="s">
        <v>9616</v>
      </c>
      <c r="C1281" t="s">
        <v>9617</v>
      </c>
      <c r="D1281" t="str">
        <f>"10130752"</f>
        <v>10130752</v>
      </c>
      <c r="E1281" t="s">
        <v>2172</v>
      </c>
      <c r="F1281" s="1">
        <v>44320</v>
      </c>
      <c r="G1281" t="str">
        <f>"300115"</f>
        <v>300115</v>
      </c>
      <c r="H1281" t="s">
        <v>2938</v>
      </c>
      <c r="I1281">
        <v>270565.54800000001</v>
      </c>
    </row>
    <row r="1282" spans="1:9" x14ac:dyDescent="0.25">
      <c r="A1282" t="s">
        <v>9616</v>
      </c>
      <c r="C1282" t="s">
        <v>9617</v>
      </c>
      <c r="D1282" t="s">
        <v>10288</v>
      </c>
      <c r="E1282" t="s">
        <v>10289</v>
      </c>
      <c r="F1282" s="1">
        <v>44320</v>
      </c>
      <c r="G1282" t="str">
        <f>"300133"</f>
        <v>300133</v>
      </c>
      <c r="H1282" t="s">
        <v>2955</v>
      </c>
      <c r="I1282">
        <v>32083.85</v>
      </c>
    </row>
    <row r="1283" spans="1:9" x14ac:dyDescent="0.25">
      <c r="A1283" t="s">
        <v>9616</v>
      </c>
      <c r="C1283" t="s">
        <v>9617</v>
      </c>
      <c r="D1283" t="str">
        <f>"722021"</f>
        <v>722021</v>
      </c>
      <c r="E1283" t="s">
        <v>10290</v>
      </c>
      <c r="F1283" s="1">
        <v>44320</v>
      </c>
      <c r="G1283" t="str">
        <f>"300307"</f>
        <v>300307</v>
      </c>
      <c r="H1283" t="s">
        <v>3048</v>
      </c>
      <c r="I1283">
        <v>10000</v>
      </c>
    </row>
    <row r="1284" spans="1:9" x14ac:dyDescent="0.25">
      <c r="A1284" t="s">
        <v>9616</v>
      </c>
      <c r="C1284" t="s">
        <v>9617</v>
      </c>
      <c r="D1284" t="str">
        <f>"26144"</f>
        <v>26144</v>
      </c>
      <c r="E1284" t="s">
        <v>10291</v>
      </c>
      <c r="F1284" s="1">
        <v>44321</v>
      </c>
      <c r="G1284" t="str">
        <f>"300043"</f>
        <v>300043</v>
      </c>
      <c r="H1284" t="s">
        <v>2876</v>
      </c>
      <c r="I1284">
        <v>1093</v>
      </c>
    </row>
    <row r="1285" spans="1:9" x14ac:dyDescent="0.25">
      <c r="A1285" t="s">
        <v>9616</v>
      </c>
      <c r="C1285" t="s">
        <v>9617</v>
      </c>
      <c r="D1285" t="str">
        <f>"26266"</f>
        <v>26266</v>
      </c>
      <c r="E1285" t="s">
        <v>10290</v>
      </c>
      <c r="F1285" s="1">
        <v>44321</v>
      </c>
      <c r="G1285" t="str">
        <f>"300043"</f>
        <v>300043</v>
      </c>
      <c r="H1285" t="s">
        <v>2876</v>
      </c>
      <c r="I1285">
        <v>1072</v>
      </c>
    </row>
    <row r="1286" spans="1:9" x14ac:dyDescent="0.25">
      <c r="A1286" t="s">
        <v>9616</v>
      </c>
      <c r="C1286" t="s">
        <v>9617</v>
      </c>
      <c r="D1286" t="str">
        <f>"2102627"</f>
        <v>2102627</v>
      </c>
      <c r="E1286" s="2">
        <v>46027</v>
      </c>
      <c r="F1286" s="1">
        <v>44321</v>
      </c>
      <c r="G1286" t="str">
        <f>"300064"</f>
        <v>300064</v>
      </c>
      <c r="H1286" t="s">
        <v>2896</v>
      </c>
      <c r="I1286">
        <v>96079.2</v>
      </c>
    </row>
    <row r="1287" spans="1:9" x14ac:dyDescent="0.25">
      <c r="A1287" t="s">
        <v>9616</v>
      </c>
      <c r="C1287" t="s">
        <v>9617</v>
      </c>
      <c r="D1287" t="str">
        <f>"227821"</f>
        <v>227821</v>
      </c>
      <c r="E1287" t="s">
        <v>10291</v>
      </c>
      <c r="F1287" s="1">
        <v>44321</v>
      </c>
      <c r="G1287" t="str">
        <f>"300101"</f>
        <v>300101</v>
      </c>
      <c r="H1287" t="s">
        <v>2926</v>
      </c>
      <c r="I1287">
        <v>3471.83</v>
      </c>
    </row>
    <row r="1288" spans="1:9" x14ac:dyDescent="0.25">
      <c r="A1288" t="s">
        <v>9616</v>
      </c>
      <c r="C1288" t="s">
        <v>9617</v>
      </c>
      <c r="D1288" t="str">
        <f>"10130787"</f>
        <v>10130787</v>
      </c>
      <c r="E1288" t="s">
        <v>2172</v>
      </c>
      <c r="F1288" s="1">
        <v>44321</v>
      </c>
      <c r="G1288" t="str">
        <f>"300115"</f>
        <v>300115</v>
      </c>
      <c r="H1288" t="s">
        <v>2938</v>
      </c>
      <c r="I1288">
        <v>301558.44400000002</v>
      </c>
    </row>
    <row r="1289" spans="1:9" x14ac:dyDescent="0.25">
      <c r="A1289" t="s">
        <v>9616</v>
      </c>
      <c r="C1289" t="s">
        <v>9617</v>
      </c>
      <c r="D1289" t="str">
        <f>"202103348"</f>
        <v>202103348</v>
      </c>
      <c r="E1289" t="s">
        <v>10284</v>
      </c>
      <c r="F1289" s="1">
        <v>44321</v>
      </c>
      <c r="G1289" t="str">
        <f>"300191"</f>
        <v>300191</v>
      </c>
      <c r="H1289" t="s">
        <v>3008</v>
      </c>
      <c r="I1289">
        <v>3178.84</v>
      </c>
    </row>
    <row r="1290" spans="1:9" x14ac:dyDescent="0.25">
      <c r="A1290" t="s">
        <v>9616</v>
      </c>
      <c r="C1290" t="s">
        <v>9617</v>
      </c>
      <c r="D1290" t="str">
        <f>"10821"</f>
        <v>10821</v>
      </c>
      <c r="E1290" t="s">
        <v>10256</v>
      </c>
      <c r="F1290" s="1">
        <v>44321</v>
      </c>
      <c r="G1290" t="str">
        <f>"300192"</f>
        <v>300192</v>
      </c>
      <c r="H1290" t="s">
        <v>3009</v>
      </c>
      <c r="I1290">
        <v>11000</v>
      </c>
    </row>
    <row r="1291" spans="1:9" x14ac:dyDescent="0.25">
      <c r="A1291" t="s">
        <v>9616</v>
      </c>
      <c r="C1291" t="s">
        <v>9617</v>
      </c>
      <c r="D1291" t="str">
        <f>"10921"</f>
        <v>10921</v>
      </c>
      <c r="E1291" t="s">
        <v>10260</v>
      </c>
      <c r="F1291" s="1">
        <v>44321</v>
      </c>
      <c r="G1291" t="str">
        <f>"300192"</f>
        <v>300192</v>
      </c>
      <c r="H1291" t="s">
        <v>3009</v>
      </c>
      <c r="I1291">
        <v>12500</v>
      </c>
    </row>
    <row r="1292" spans="1:9" x14ac:dyDescent="0.25">
      <c r="A1292" t="s">
        <v>9616</v>
      </c>
      <c r="C1292" t="s">
        <v>9617</v>
      </c>
      <c r="D1292" t="str">
        <f>"11121"</f>
        <v>11121</v>
      </c>
      <c r="E1292" t="s">
        <v>10276</v>
      </c>
      <c r="F1292" s="1">
        <v>44321</v>
      </c>
      <c r="G1292" t="str">
        <f>"300192"</f>
        <v>300192</v>
      </c>
      <c r="H1292" t="s">
        <v>3009</v>
      </c>
      <c r="I1292">
        <v>12500</v>
      </c>
    </row>
    <row r="1293" spans="1:9" x14ac:dyDescent="0.25">
      <c r="A1293" t="s">
        <v>9616</v>
      </c>
      <c r="C1293" t="s">
        <v>9617</v>
      </c>
      <c r="D1293" t="str">
        <f>"11221"</f>
        <v>11221</v>
      </c>
      <c r="E1293" t="s">
        <v>10284</v>
      </c>
      <c r="F1293" s="1">
        <v>44321</v>
      </c>
      <c r="G1293" t="str">
        <f>"300192"</f>
        <v>300192</v>
      </c>
      <c r="H1293" t="s">
        <v>3009</v>
      </c>
      <c r="I1293">
        <v>13000</v>
      </c>
    </row>
    <row r="1294" spans="1:9" x14ac:dyDescent="0.25">
      <c r="A1294" t="s">
        <v>9616</v>
      </c>
      <c r="C1294" t="s">
        <v>9617</v>
      </c>
      <c r="D1294" t="str">
        <f>"26839"</f>
        <v>26839</v>
      </c>
      <c r="E1294" t="s">
        <v>10269</v>
      </c>
      <c r="F1294" s="1">
        <v>44321</v>
      </c>
      <c r="G1294" t="str">
        <f>"300192"</f>
        <v>300192</v>
      </c>
      <c r="H1294" t="s">
        <v>3009</v>
      </c>
      <c r="I1294">
        <v>12500</v>
      </c>
    </row>
    <row r="1295" spans="1:9" x14ac:dyDescent="0.25">
      <c r="A1295" t="s">
        <v>9616</v>
      </c>
      <c r="C1295" t="s">
        <v>9617</v>
      </c>
      <c r="D1295" t="str">
        <f>"26545"</f>
        <v>26545</v>
      </c>
      <c r="E1295" t="s">
        <v>10292</v>
      </c>
      <c r="F1295" s="1">
        <v>44322</v>
      </c>
      <c r="G1295" t="str">
        <f>"300043"</f>
        <v>300043</v>
      </c>
      <c r="H1295" t="s">
        <v>2876</v>
      </c>
      <c r="I1295">
        <v>1145</v>
      </c>
    </row>
    <row r="1296" spans="1:9" x14ac:dyDescent="0.25">
      <c r="A1296" t="s">
        <v>9616</v>
      </c>
      <c r="C1296" t="s">
        <v>9617</v>
      </c>
      <c r="D1296" t="str">
        <f>"227721"</f>
        <v>227721</v>
      </c>
      <c r="E1296" t="s">
        <v>10292</v>
      </c>
      <c r="F1296" s="1">
        <v>44322</v>
      </c>
      <c r="G1296" t="str">
        <f>"300101"</f>
        <v>300101</v>
      </c>
      <c r="H1296" t="s">
        <v>2926</v>
      </c>
      <c r="I1296">
        <v>3155.8</v>
      </c>
    </row>
    <row r="1297" spans="1:9" x14ac:dyDescent="0.25">
      <c r="A1297" t="s">
        <v>9616</v>
      </c>
      <c r="C1297" t="s">
        <v>9617</v>
      </c>
      <c r="D1297" t="str">
        <f>"10130814"</f>
        <v>10130814</v>
      </c>
      <c r="E1297" t="s">
        <v>9189</v>
      </c>
      <c r="F1297" s="1">
        <v>44322</v>
      </c>
      <c r="G1297" t="str">
        <f>"300115"</f>
        <v>300115</v>
      </c>
      <c r="H1297" t="s">
        <v>2938</v>
      </c>
      <c r="I1297">
        <v>270565.54800000001</v>
      </c>
    </row>
    <row r="1298" spans="1:9" x14ac:dyDescent="0.25">
      <c r="A1298" t="s">
        <v>9616</v>
      </c>
      <c r="C1298" t="s">
        <v>9617</v>
      </c>
      <c r="D1298" t="str">
        <f>"10130819"</f>
        <v>10130819</v>
      </c>
      <c r="E1298" t="s">
        <v>9191</v>
      </c>
      <c r="F1298" s="1">
        <v>44322</v>
      </c>
      <c r="G1298" t="str">
        <f>"300115"</f>
        <v>300115</v>
      </c>
      <c r="H1298" t="s">
        <v>2938</v>
      </c>
      <c r="I1298">
        <v>96989.322100000005</v>
      </c>
    </row>
    <row r="1299" spans="1:9" x14ac:dyDescent="0.25">
      <c r="A1299" t="s">
        <v>9616</v>
      </c>
      <c r="C1299" t="s">
        <v>9617</v>
      </c>
      <c r="D1299" t="str">
        <f>"10130820"</f>
        <v>10130820</v>
      </c>
      <c r="E1299" t="s">
        <v>9191</v>
      </c>
      <c r="F1299" s="1">
        <v>44322</v>
      </c>
      <c r="G1299" t="str">
        <f>"300115"</f>
        <v>300115</v>
      </c>
      <c r="H1299" t="s">
        <v>2938</v>
      </c>
      <c r="I1299">
        <v>96989.322100000005</v>
      </c>
    </row>
    <row r="1300" spans="1:9" x14ac:dyDescent="0.25">
      <c r="A1300" t="s">
        <v>9616</v>
      </c>
      <c r="C1300" t="s">
        <v>9617</v>
      </c>
      <c r="D1300" t="str">
        <f>"26838"</f>
        <v>26838</v>
      </c>
      <c r="E1300" t="s">
        <v>10293</v>
      </c>
      <c r="F1300" s="1">
        <v>44323</v>
      </c>
      <c r="G1300" t="str">
        <f>"300043"</f>
        <v>300043</v>
      </c>
      <c r="H1300" t="s">
        <v>2876</v>
      </c>
      <c r="I1300">
        <v>1078</v>
      </c>
    </row>
    <row r="1301" spans="1:9" x14ac:dyDescent="0.25">
      <c r="A1301" t="s">
        <v>9616</v>
      </c>
      <c r="C1301" t="s">
        <v>9617</v>
      </c>
      <c r="D1301" t="str">
        <f>"10130849"</f>
        <v>10130849</v>
      </c>
      <c r="E1301" t="s">
        <v>9633</v>
      </c>
      <c r="F1301" s="1">
        <v>44323</v>
      </c>
      <c r="G1301" t="str">
        <f>"300115"</f>
        <v>300115</v>
      </c>
      <c r="H1301" t="s">
        <v>2938</v>
      </c>
      <c r="I1301">
        <v>96989.322100000005</v>
      </c>
    </row>
    <row r="1302" spans="1:9" x14ac:dyDescent="0.25">
      <c r="A1302" t="s">
        <v>9616</v>
      </c>
      <c r="C1302" t="s">
        <v>9617</v>
      </c>
      <c r="D1302" t="str">
        <f>"10130871"</f>
        <v>10130871</v>
      </c>
      <c r="E1302" t="s">
        <v>9252</v>
      </c>
      <c r="F1302" s="1">
        <v>44323</v>
      </c>
      <c r="G1302" t="str">
        <f>"300115"</f>
        <v>300115</v>
      </c>
      <c r="H1302" t="s">
        <v>2938</v>
      </c>
      <c r="I1302">
        <v>96989.322100000005</v>
      </c>
    </row>
    <row r="1303" spans="1:9" x14ac:dyDescent="0.25">
      <c r="A1303" t="s">
        <v>9616</v>
      </c>
      <c r="C1303" t="s">
        <v>9617</v>
      </c>
      <c r="D1303" t="str">
        <f>"27329"</f>
        <v>27329</v>
      </c>
      <c r="E1303" t="s">
        <v>10294</v>
      </c>
      <c r="F1303" s="1">
        <v>44326</v>
      </c>
      <c r="G1303" t="str">
        <f>"300043"</f>
        <v>300043</v>
      </c>
      <c r="H1303" t="s">
        <v>2876</v>
      </c>
      <c r="I1303">
        <v>796</v>
      </c>
    </row>
    <row r="1304" spans="1:9" x14ac:dyDescent="0.25">
      <c r="A1304" t="s">
        <v>9616</v>
      </c>
      <c r="C1304" t="s">
        <v>9617</v>
      </c>
      <c r="D1304" t="str">
        <f>"227421"</f>
        <v>227421</v>
      </c>
      <c r="E1304" t="s">
        <v>10294</v>
      </c>
      <c r="F1304" s="1">
        <v>44326</v>
      </c>
      <c r="G1304" t="str">
        <f>"300101"</f>
        <v>300101</v>
      </c>
      <c r="H1304" t="s">
        <v>2926</v>
      </c>
      <c r="I1304">
        <v>3626.79</v>
      </c>
    </row>
    <row r="1305" spans="1:9" x14ac:dyDescent="0.25">
      <c r="A1305" t="s">
        <v>9616</v>
      </c>
      <c r="C1305" t="s">
        <v>9617</v>
      </c>
      <c r="D1305" t="str">
        <f>"10130890"</f>
        <v>10130890</v>
      </c>
      <c r="E1305" t="s">
        <v>9189</v>
      </c>
      <c r="F1305" s="1">
        <v>44326</v>
      </c>
      <c r="G1305" t="str">
        <f>"300115"</f>
        <v>300115</v>
      </c>
      <c r="H1305" t="s">
        <v>2938</v>
      </c>
      <c r="I1305">
        <v>260094.56</v>
      </c>
    </row>
    <row r="1306" spans="1:9" x14ac:dyDescent="0.25">
      <c r="A1306" t="s">
        <v>9616</v>
      </c>
      <c r="C1306" t="s">
        <v>9617</v>
      </c>
      <c r="D1306" t="str">
        <f>"10130892"</f>
        <v>10130892</v>
      </c>
      <c r="E1306" t="s">
        <v>2172</v>
      </c>
      <c r="F1306" s="1">
        <v>44326</v>
      </c>
      <c r="G1306" t="str">
        <f>"300115"</f>
        <v>300115</v>
      </c>
      <c r="H1306" t="s">
        <v>2938</v>
      </c>
      <c r="I1306">
        <v>219575.70800000001</v>
      </c>
    </row>
    <row r="1307" spans="1:9" x14ac:dyDescent="0.25">
      <c r="A1307" t="s">
        <v>9616</v>
      </c>
      <c r="C1307" t="s">
        <v>9617</v>
      </c>
      <c r="D1307" t="str">
        <f>"202103473"</f>
        <v>202103473</v>
      </c>
      <c r="E1307" t="s">
        <v>10290</v>
      </c>
      <c r="F1307" s="1">
        <v>44326</v>
      </c>
      <c r="G1307" t="str">
        <f>"300191"</f>
        <v>300191</v>
      </c>
      <c r="H1307" t="s">
        <v>3008</v>
      </c>
      <c r="I1307">
        <v>3141.54</v>
      </c>
    </row>
    <row r="1308" spans="1:9" x14ac:dyDescent="0.25">
      <c r="A1308" t="s">
        <v>9616</v>
      </c>
      <c r="C1308" t="s">
        <v>9617</v>
      </c>
      <c r="D1308" t="s">
        <v>10295</v>
      </c>
      <c r="E1308" t="s">
        <v>10264</v>
      </c>
      <c r="F1308" s="1">
        <v>44326</v>
      </c>
      <c r="G1308" t="str">
        <f>"300301"</f>
        <v>300301</v>
      </c>
      <c r="H1308" t="s">
        <v>3043</v>
      </c>
      <c r="I1308">
        <v>63.75</v>
      </c>
    </row>
    <row r="1309" spans="1:9" x14ac:dyDescent="0.25">
      <c r="A1309" t="s">
        <v>9616</v>
      </c>
      <c r="C1309" t="s">
        <v>9617</v>
      </c>
      <c r="D1309" t="str">
        <f>"772021"</f>
        <v>772021</v>
      </c>
      <c r="E1309" t="s">
        <v>10274</v>
      </c>
      <c r="F1309" s="1">
        <v>44326</v>
      </c>
      <c r="G1309" t="str">
        <f>"300307"</f>
        <v>300307</v>
      </c>
      <c r="H1309" t="s">
        <v>3048</v>
      </c>
      <c r="I1309">
        <v>5000</v>
      </c>
    </row>
    <row r="1310" spans="1:9" x14ac:dyDescent="0.25">
      <c r="A1310" t="s">
        <v>9616</v>
      </c>
      <c r="C1310" t="s">
        <v>9617</v>
      </c>
      <c r="D1310" t="str">
        <f>"27612"</f>
        <v>27612</v>
      </c>
      <c r="E1310" t="s">
        <v>10272</v>
      </c>
      <c r="F1310" s="1">
        <v>44327</v>
      </c>
      <c r="G1310" t="str">
        <f>"300043"</f>
        <v>300043</v>
      </c>
      <c r="H1310" t="s">
        <v>2876</v>
      </c>
      <c r="I1310">
        <v>907</v>
      </c>
    </row>
    <row r="1311" spans="1:9" x14ac:dyDescent="0.25">
      <c r="A1311" t="s">
        <v>9616</v>
      </c>
      <c r="C1311" t="s">
        <v>9617</v>
      </c>
      <c r="D1311" t="str">
        <f>"27630"</f>
        <v>27630</v>
      </c>
      <c r="E1311" t="s">
        <v>10296</v>
      </c>
      <c r="F1311" s="1">
        <v>44327</v>
      </c>
      <c r="G1311" t="str">
        <f>"300043"</f>
        <v>300043</v>
      </c>
      <c r="H1311" t="s">
        <v>2876</v>
      </c>
      <c r="I1311">
        <v>1048</v>
      </c>
    </row>
    <row r="1312" spans="1:9" x14ac:dyDescent="0.25">
      <c r="A1312" t="s">
        <v>9616</v>
      </c>
      <c r="C1312" t="s">
        <v>9617</v>
      </c>
      <c r="D1312" t="str">
        <f>"27637"</f>
        <v>27637</v>
      </c>
      <c r="E1312" t="s">
        <v>10297</v>
      </c>
      <c r="F1312" s="1">
        <v>44327</v>
      </c>
      <c r="G1312" t="str">
        <f>"300043"</f>
        <v>300043</v>
      </c>
      <c r="H1312" t="s">
        <v>2876</v>
      </c>
      <c r="I1312">
        <v>796</v>
      </c>
    </row>
    <row r="1313" spans="1:9" x14ac:dyDescent="0.25">
      <c r="A1313" t="s">
        <v>9616</v>
      </c>
      <c r="C1313" t="s">
        <v>9617</v>
      </c>
      <c r="D1313" t="str">
        <f>"231321"</f>
        <v>231321</v>
      </c>
      <c r="E1313" t="s">
        <v>10297</v>
      </c>
      <c r="F1313" s="1">
        <v>44327</v>
      </c>
      <c r="G1313" t="str">
        <f>"300101"</f>
        <v>300101</v>
      </c>
      <c r="H1313" t="s">
        <v>2926</v>
      </c>
      <c r="I1313">
        <v>3163.17</v>
      </c>
    </row>
    <row r="1314" spans="1:9" x14ac:dyDescent="0.25">
      <c r="A1314" t="s">
        <v>9616</v>
      </c>
      <c r="C1314" t="s">
        <v>9617</v>
      </c>
      <c r="D1314" t="str">
        <f>"10130929"</f>
        <v>10130929</v>
      </c>
      <c r="E1314" t="s">
        <v>10298</v>
      </c>
      <c r="F1314" s="1">
        <v>44327</v>
      </c>
      <c r="G1314" t="str">
        <f>"300115"</f>
        <v>300115</v>
      </c>
      <c r="H1314" t="s">
        <v>2938</v>
      </c>
      <c r="I1314">
        <v>50786.559999999998</v>
      </c>
    </row>
    <row r="1315" spans="1:9" x14ac:dyDescent="0.25">
      <c r="A1315" t="s">
        <v>9616</v>
      </c>
      <c r="C1315" t="s">
        <v>9617</v>
      </c>
      <c r="D1315" t="str">
        <f>"10130930"</f>
        <v>10130930</v>
      </c>
      <c r="E1315" t="s">
        <v>9760</v>
      </c>
      <c r="F1315" s="1">
        <v>44327</v>
      </c>
      <c r="G1315" t="str">
        <f>"300115"</f>
        <v>300115</v>
      </c>
      <c r="H1315" t="s">
        <v>2938</v>
      </c>
      <c r="I1315">
        <v>188590.95199999999</v>
      </c>
    </row>
    <row r="1316" spans="1:9" x14ac:dyDescent="0.25">
      <c r="A1316" t="s">
        <v>9616</v>
      </c>
      <c r="C1316" t="s">
        <v>9617</v>
      </c>
      <c r="D1316" t="str">
        <f>"782021"</f>
        <v>782021</v>
      </c>
      <c r="E1316" t="s">
        <v>10299</v>
      </c>
      <c r="F1316" s="1">
        <v>44327</v>
      </c>
      <c r="G1316" t="str">
        <f>"300307"</f>
        <v>300307</v>
      </c>
      <c r="H1316" t="s">
        <v>3048</v>
      </c>
      <c r="I1316">
        <v>5000</v>
      </c>
    </row>
    <row r="1317" spans="1:9" x14ac:dyDescent="0.25">
      <c r="A1317" t="s">
        <v>9616</v>
      </c>
      <c r="C1317" t="s">
        <v>9617</v>
      </c>
      <c r="D1317" t="str">
        <f>"27906"</f>
        <v>27906</v>
      </c>
      <c r="E1317" t="s">
        <v>10299</v>
      </c>
      <c r="F1317" s="1">
        <v>44328</v>
      </c>
      <c r="G1317" t="str">
        <f>"300043"</f>
        <v>300043</v>
      </c>
      <c r="H1317" t="s">
        <v>2876</v>
      </c>
      <c r="I1317">
        <v>972</v>
      </c>
    </row>
    <row r="1318" spans="1:9" x14ac:dyDescent="0.25">
      <c r="A1318" t="s">
        <v>9616</v>
      </c>
      <c r="C1318" t="s">
        <v>9617</v>
      </c>
      <c r="D1318" t="str">
        <f>"202103573"</f>
        <v>202103573</v>
      </c>
      <c r="E1318" t="s">
        <v>10293</v>
      </c>
      <c r="F1318" s="1">
        <v>44328</v>
      </c>
      <c r="G1318" t="str">
        <f>"300191"</f>
        <v>300191</v>
      </c>
      <c r="H1318" t="s">
        <v>3008</v>
      </c>
      <c r="I1318">
        <v>3159.3</v>
      </c>
    </row>
    <row r="1319" spans="1:9" x14ac:dyDescent="0.25">
      <c r="A1319" t="s">
        <v>9616</v>
      </c>
      <c r="C1319" t="s">
        <v>9617</v>
      </c>
      <c r="D1319" t="str">
        <f>"10131069"</f>
        <v>10131069</v>
      </c>
      <c r="E1319" t="s">
        <v>10300</v>
      </c>
      <c r="F1319" s="1">
        <v>44333</v>
      </c>
      <c r="G1319" t="str">
        <f>"300115"</f>
        <v>300115</v>
      </c>
      <c r="H1319" t="s">
        <v>2938</v>
      </c>
      <c r="I1319">
        <v>248181.85920000001</v>
      </c>
    </row>
    <row r="1320" spans="1:9" x14ac:dyDescent="0.25">
      <c r="A1320" t="s">
        <v>9616</v>
      </c>
      <c r="C1320" t="s">
        <v>9617</v>
      </c>
      <c r="D1320" t="str">
        <f>"10131070"</f>
        <v>10131070</v>
      </c>
      <c r="E1320" t="s">
        <v>10301</v>
      </c>
      <c r="F1320" s="1">
        <v>44333</v>
      </c>
      <c r="G1320" t="str">
        <f>"300115"</f>
        <v>300115</v>
      </c>
      <c r="H1320" t="s">
        <v>2938</v>
      </c>
      <c r="I1320">
        <v>195474.9797</v>
      </c>
    </row>
    <row r="1321" spans="1:9" x14ac:dyDescent="0.25">
      <c r="A1321" t="s">
        <v>9616</v>
      </c>
      <c r="C1321" t="s">
        <v>9617</v>
      </c>
      <c r="D1321" t="str">
        <f>"28688"</f>
        <v>28688</v>
      </c>
      <c r="E1321" t="s">
        <v>10302</v>
      </c>
      <c r="F1321" s="1">
        <v>44334</v>
      </c>
      <c r="G1321" t="str">
        <f>"300043"</f>
        <v>300043</v>
      </c>
      <c r="H1321" t="s">
        <v>2876</v>
      </c>
      <c r="I1321">
        <v>1004</v>
      </c>
    </row>
    <row r="1322" spans="1:9" x14ac:dyDescent="0.25">
      <c r="A1322" t="s">
        <v>9616</v>
      </c>
      <c r="C1322" t="s">
        <v>9617</v>
      </c>
      <c r="D1322" t="str">
        <f>"10131108"</f>
        <v>10131108</v>
      </c>
      <c r="E1322" t="s">
        <v>2172</v>
      </c>
      <c r="F1322" s="1">
        <v>44334</v>
      </c>
      <c r="G1322" t="str">
        <f>"300115"</f>
        <v>300115</v>
      </c>
      <c r="H1322" t="s">
        <v>2938</v>
      </c>
      <c r="I1322">
        <v>299482.48</v>
      </c>
    </row>
    <row r="1323" spans="1:9" x14ac:dyDescent="0.25">
      <c r="A1323" t="s">
        <v>9616</v>
      </c>
      <c r="C1323" t="s">
        <v>9617</v>
      </c>
      <c r="D1323" t="s">
        <v>10303</v>
      </c>
      <c r="E1323" t="s">
        <v>9921</v>
      </c>
      <c r="F1323" s="1">
        <v>44334</v>
      </c>
      <c r="G1323" t="str">
        <f>"300133"</f>
        <v>300133</v>
      </c>
      <c r="H1323" t="s">
        <v>2955</v>
      </c>
      <c r="I1323">
        <v>15516</v>
      </c>
    </row>
    <row r="1324" spans="1:9" x14ac:dyDescent="0.25">
      <c r="A1324" t="s">
        <v>9616</v>
      </c>
      <c r="C1324" t="s">
        <v>9617</v>
      </c>
      <c r="D1324" t="str">
        <f>"210797"</f>
        <v>210797</v>
      </c>
      <c r="E1324" t="s">
        <v>10275</v>
      </c>
      <c r="F1324" s="1">
        <v>44334</v>
      </c>
      <c r="G1324" t="str">
        <f>"300301"</f>
        <v>300301</v>
      </c>
      <c r="H1324" t="s">
        <v>3043</v>
      </c>
      <c r="I1324">
        <v>2622.5</v>
      </c>
    </row>
    <row r="1325" spans="1:9" x14ac:dyDescent="0.25">
      <c r="A1325" t="s">
        <v>9616</v>
      </c>
      <c r="C1325" t="s">
        <v>9617</v>
      </c>
      <c r="D1325" t="str">
        <f>"29199"</f>
        <v>29199</v>
      </c>
      <c r="E1325" t="s">
        <v>10304</v>
      </c>
      <c r="F1325" s="1">
        <v>44335</v>
      </c>
      <c r="G1325" t="str">
        <f>"300043"</f>
        <v>300043</v>
      </c>
      <c r="H1325" t="s">
        <v>2876</v>
      </c>
      <c r="I1325">
        <v>803</v>
      </c>
    </row>
    <row r="1326" spans="1:9" x14ac:dyDescent="0.25">
      <c r="A1326" t="s">
        <v>9616</v>
      </c>
      <c r="C1326" t="s">
        <v>9617</v>
      </c>
      <c r="D1326" t="str">
        <f>"121310391"</f>
        <v>121310391</v>
      </c>
      <c r="E1326" t="s">
        <v>8985</v>
      </c>
      <c r="F1326" s="1">
        <v>44335</v>
      </c>
      <c r="G1326" t="str">
        <f>"300080"</f>
        <v>300080</v>
      </c>
      <c r="H1326" t="s">
        <v>2907</v>
      </c>
      <c r="I1326">
        <v>12712.175999999999</v>
      </c>
    </row>
    <row r="1327" spans="1:9" x14ac:dyDescent="0.25">
      <c r="A1327" t="s">
        <v>9616</v>
      </c>
      <c r="C1327" t="s">
        <v>9617</v>
      </c>
      <c r="D1327" t="s">
        <v>10305</v>
      </c>
      <c r="E1327" t="s">
        <v>10306</v>
      </c>
      <c r="F1327" s="1">
        <v>44335</v>
      </c>
      <c r="G1327" t="str">
        <f>"300092"</f>
        <v>300092</v>
      </c>
      <c r="H1327" t="s">
        <v>2160</v>
      </c>
      <c r="I1327">
        <v>10140.464</v>
      </c>
    </row>
    <row r="1328" spans="1:9" x14ac:dyDescent="0.25">
      <c r="A1328" t="s">
        <v>9616</v>
      </c>
      <c r="C1328" t="s">
        <v>9617</v>
      </c>
      <c r="D1328" t="s">
        <v>10307</v>
      </c>
      <c r="E1328" t="s">
        <v>10308</v>
      </c>
      <c r="F1328" s="1">
        <v>44335</v>
      </c>
      <c r="G1328" t="str">
        <f>"300092"</f>
        <v>300092</v>
      </c>
      <c r="H1328" t="s">
        <v>2160</v>
      </c>
      <c r="I1328">
        <v>1430</v>
      </c>
    </row>
    <row r="1329" spans="1:9" x14ac:dyDescent="0.25">
      <c r="A1329" t="s">
        <v>9616</v>
      </c>
      <c r="C1329" t="s">
        <v>9617</v>
      </c>
      <c r="D1329" t="str">
        <f>"233321"</f>
        <v>233321</v>
      </c>
      <c r="E1329" t="s">
        <v>10297</v>
      </c>
      <c r="F1329" s="1">
        <v>44335</v>
      </c>
      <c r="G1329" t="str">
        <f>"300101"</f>
        <v>300101</v>
      </c>
      <c r="H1329" t="s">
        <v>2926</v>
      </c>
      <c r="I1329">
        <v>312.89</v>
      </c>
    </row>
    <row r="1330" spans="1:9" x14ac:dyDescent="0.25">
      <c r="A1330" t="s">
        <v>9616</v>
      </c>
      <c r="C1330" t="s">
        <v>9617</v>
      </c>
      <c r="D1330" t="str">
        <f>"235321"</f>
        <v>235321</v>
      </c>
      <c r="E1330" t="s">
        <v>10304</v>
      </c>
      <c r="F1330" s="1">
        <v>44335</v>
      </c>
      <c r="G1330" t="str">
        <f>"300101"</f>
        <v>300101</v>
      </c>
      <c r="H1330" t="s">
        <v>2926</v>
      </c>
      <c r="I1330">
        <v>3323.09</v>
      </c>
    </row>
    <row r="1331" spans="1:9" x14ac:dyDescent="0.25">
      <c r="A1331" t="s">
        <v>9616</v>
      </c>
      <c r="C1331" t="s">
        <v>9617</v>
      </c>
      <c r="D1331" t="s">
        <v>10309</v>
      </c>
      <c r="E1331" t="s">
        <v>10289</v>
      </c>
      <c r="F1331" s="1">
        <v>44335</v>
      </c>
      <c r="G1331" t="str">
        <f>"300133"</f>
        <v>300133</v>
      </c>
      <c r="H1331" t="s">
        <v>2955</v>
      </c>
      <c r="I1331">
        <v>11520</v>
      </c>
    </row>
    <row r="1332" spans="1:9" x14ac:dyDescent="0.25">
      <c r="A1332" t="s">
        <v>9616</v>
      </c>
      <c r="C1332" t="s">
        <v>9617</v>
      </c>
      <c r="D1332" t="str">
        <f>"29451"</f>
        <v>29451</v>
      </c>
      <c r="E1332" t="s">
        <v>10310</v>
      </c>
      <c r="F1332" s="1">
        <v>44336</v>
      </c>
      <c r="G1332" t="str">
        <f>"300043"</f>
        <v>300043</v>
      </c>
      <c r="H1332" t="s">
        <v>2876</v>
      </c>
      <c r="I1332">
        <v>1144</v>
      </c>
    </row>
    <row r="1333" spans="1:9" x14ac:dyDescent="0.25">
      <c r="A1333" t="s">
        <v>9616</v>
      </c>
      <c r="C1333" t="s">
        <v>9617</v>
      </c>
      <c r="D1333" t="str">
        <f>"271221"</f>
        <v>271221</v>
      </c>
      <c r="E1333" t="s">
        <v>10310</v>
      </c>
      <c r="F1333" s="1">
        <v>44336</v>
      </c>
      <c r="G1333" t="str">
        <f>"300101"</f>
        <v>300101</v>
      </c>
      <c r="H1333" t="s">
        <v>2926</v>
      </c>
      <c r="I1333">
        <v>3324.16</v>
      </c>
    </row>
    <row r="1334" spans="1:9" x14ac:dyDescent="0.25">
      <c r="A1334" t="s">
        <v>9616</v>
      </c>
      <c r="C1334" t="s">
        <v>9617</v>
      </c>
      <c r="D1334" t="str">
        <f>"10131141"</f>
        <v>10131141</v>
      </c>
      <c r="E1334" t="s">
        <v>9189</v>
      </c>
      <c r="F1334" s="1">
        <v>44336</v>
      </c>
      <c r="G1334" t="str">
        <f>"300115"</f>
        <v>300115</v>
      </c>
      <c r="H1334" t="s">
        <v>2938</v>
      </c>
      <c r="I1334">
        <v>270565.54800000001</v>
      </c>
    </row>
    <row r="1335" spans="1:9" x14ac:dyDescent="0.25">
      <c r="A1335" t="s">
        <v>9616</v>
      </c>
      <c r="C1335" t="s">
        <v>9617</v>
      </c>
      <c r="D1335" t="str">
        <f>"202103702"</f>
        <v>202103702</v>
      </c>
      <c r="E1335" t="s">
        <v>10299</v>
      </c>
      <c r="F1335" s="1">
        <v>44336</v>
      </c>
      <c r="G1335" t="str">
        <f>"300191"</f>
        <v>300191</v>
      </c>
      <c r="H1335" t="s">
        <v>3008</v>
      </c>
      <c r="I1335">
        <v>3146.17</v>
      </c>
    </row>
    <row r="1336" spans="1:9" x14ac:dyDescent="0.25">
      <c r="A1336" t="s">
        <v>9616</v>
      </c>
      <c r="C1336" t="s">
        <v>9617</v>
      </c>
      <c r="D1336" t="str">
        <f>"202103704"</f>
        <v>202103704</v>
      </c>
      <c r="E1336" t="s">
        <v>10272</v>
      </c>
      <c r="F1336" s="1">
        <v>44336</v>
      </c>
      <c r="G1336" t="str">
        <f>"300191"</f>
        <v>300191</v>
      </c>
      <c r="H1336" t="s">
        <v>3008</v>
      </c>
      <c r="I1336">
        <v>3144.92</v>
      </c>
    </row>
    <row r="1337" spans="1:9" x14ac:dyDescent="0.25">
      <c r="A1337" t="s">
        <v>9616</v>
      </c>
      <c r="C1337" t="s">
        <v>9617</v>
      </c>
      <c r="D1337" t="str">
        <f>"202103705"</f>
        <v>202103705</v>
      </c>
      <c r="E1337" t="s">
        <v>10296</v>
      </c>
      <c r="F1337" s="1">
        <v>44336</v>
      </c>
      <c r="G1337" t="str">
        <f>"300191"</f>
        <v>300191</v>
      </c>
      <c r="H1337" t="s">
        <v>3008</v>
      </c>
      <c r="I1337">
        <v>3166.67</v>
      </c>
    </row>
    <row r="1338" spans="1:9" x14ac:dyDescent="0.25">
      <c r="A1338" t="s">
        <v>9616</v>
      </c>
      <c r="C1338" t="s">
        <v>9617</v>
      </c>
      <c r="D1338" t="str">
        <f>"832021"</f>
        <v>832021</v>
      </c>
      <c r="E1338" t="s">
        <v>10311</v>
      </c>
      <c r="F1338" s="1">
        <v>44336</v>
      </c>
      <c r="G1338" t="str">
        <f>"300307"</f>
        <v>300307</v>
      </c>
      <c r="H1338" t="s">
        <v>3048</v>
      </c>
      <c r="I1338">
        <v>12000</v>
      </c>
    </row>
    <row r="1339" spans="1:9" x14ac:dyDescent="0.25">
      <c r="A1339" t="s">
        <v>9616</v>
      </c>
      <c r="C1339" t="s">
        <v>9617</v>
      </c>
      <c r="D1339" t="str">
        <f>"29672"</f>
        <v>29672</v>
      </c>
      <c r="E1339" t="s">
        <v>10311</v>
      </c>
      <c r="F1339" s="1">
        <v>44337</v>
      </c>
      <c r="G1339" t="str">
        <f>"300043"</f>
        <v>300043</v>
      </c>
      <c r="H1339" t="s">
        <v>2876</v>
      </c>
      <c r="I1339">
        <v>1081</v>
      </c>
    </row>
    <row r="1340" spans="1:9" x14ac:dyDescent="0.25">
      <c r="A1340" t="s">
        <v>9616</v>
      </c>
      <c r="C1340" t="s">
        <v>9617</v>
      </c>
      <c r="D1340" t="s">
        <v>10312</v>
      </c>
      <c r="E1340" t="s">
        <v>9615</v>
      </c>
      <c r="F1340" s="1">
        <v>44337</v>
      </c>
      <c r="G1340" t="str">
        <f>"300133"</f>
        <v>300133</v>
      </c>
      <c r="H1340" t="s">
        <v>2955</v>
      </c>
      <c r="I1340">
        <v>12790.8</v>
      </c>
    </row>
    <row r="1341" spans="1:9" x14ac:dyDescent="0.25">
      <c r="A1341" t="s">
        <v>9616</v>
      </c>
      <c r="C1341" t="s">
        <v>9617</v>
      </c>
      <c r="D1341" t="str">
        <f>"202103778"</f>
        <v>202103778</v>
      </c>
      <c r="E1341" t="s">
        <v>10302</v>
      </c>
      <c r="F1341" s="1">
        <v>44337</v>
      </c>
      <c r="G1341" t="str">
        <f>"300191"</f>
        <v>300191</v>
      </c>
      <c r="H1341" t="s">
        <v>3008</v>
      </c>
      <c r="I1341">
        <v>3148.12</v>
      </c>
    </row>
    <row r="1342" spans="1:9" x14ac:dyDescent="0.25">
      <c r="A1342" t="s">
        <v>9616</v>
      </c>
      <c r="C1342" t="s">
        <v>9617</v>
      </c>
      <c r="D1342" t="str">
        <f>"10131258"</f>
        <v>10131258</v>
      </c>
      <c r="E1342" t="s">
        <v>9189</v>
      </c>
      <c r="F1342" s="1">
        <v>44340</v>
      </c>
      <c r="G1342" t="str">
        <f>"300115"</f>
        <v>300115</v>
      </c>
      <c r="H1342" t="s">
        <v>2938</v>
      </c>
      <c r="I1342">
        <v>212881.9</v>
      </c>
    </row>
    <row r="1343" spans="1:9" x14ac:dyDescent="0.25">
      <c r="A1343" t="s">
        <v>9616</v>
      </c>
      <c r="C1343" t="s">
        <v>9617</v>
      </c>
      <c r="D1343" t="str">
        <f>"10131259"</f>
        <v>10131259</v>
      </c>
      <c r="E1343" t="s">
        <v>9191</v>
      </c>
      <c r="F1343" s="1">
        <v>44340</v>
      </c>
      <c r="G1343" t="str">
        <f>"300115"</f>
        <v>300115</v>
      </c>
      <c r="H1343" t="s">
        <v>2938</v>
      </c>
      <c r="I1343">
        <v>53777.944000000003</v>
      </c>
    </row>
    <row r="1344" spans="1:9" x14ac:dyDescent="0.25">
      <c r="A1344" t="s">
        <v>9616</v>
      </c>
      <c r="C1344" t="s">
        <v>9617</v>
      </c>
      <c r="D1344" t="str">
        <f>"2102939"</f>
        <v>2102939</v>
      </c>
      <c r="E1344" t="s">
        <v>9279</v>
      </c>
      <c r="F1344" s="1">
        <v>44341</v>
      </c>
      <c r="G1344" t="str">
        <f>"300064"</f>
        <v>300064</v>
      </c>
      <c r="H1344" t="s">
        <v>2896</v>
      </c>
      <c r="I1344">
        <v>79996.800000000003</v>
      </c>
    </row>
    <row r="1345" spans="1:9" x14ac:dyDescent="0.25">
      <c r="A1345" t="s">
        <v>9616</v>
      </c>
      <c r="C1345" t="s">
        <v>9617</v>
      </c>
      <c r="D1345" t="str">
        <f>"10131279"</f>
        <v>10131279</v>
      </c>
      <c r="E1345" t="s">
        <v>9233</v>
      </c>
      <c r="F1345" s="1">
        <v>44341</v>
      </c>
      <c r="G1345" t="str">
        <f>"300115"</f>
        <v>300115</v>
      </c>
      <c r="H1345" t="s">
        <v>2938</v>
      </c>
      <c r="I1345">
        <v>145917.93040000001</v>
      </c>
    </row>
    <row r="1346" spans="1:9" x14ac:dyDescent="0.25">
      <c r="A1346" t="s">
        <v>9616</v>
      </c>
      <c r="C1346" t="s">
        <v>9617</v>
      </c>
      <c r="D1346" t="str">
        <f>"10131281"</f>
        <v>10131281</v>
      </c>
      <c r="E1346" t="s">
        <v>9189</v>
      </c>
      <c r="F1346" s="1">
        <v>44341</v>
      </c>
      <c r="G1346" t="str">
        <f>"300115"</f>
        <v>300115</v>
      </c>
      <c r="H1346" t="s">
        <v>2938</v>
      </c>
      <c r="I1346">
        <v>270565.54800000001</v>
      </c>
    </row>
    <row r="1347" spans="1:9" x14ac:dyDescent="0.25">
      <c r="A1347" t="s">
        <v>9616</v>
      </c>
      <c r="C1347" t="s">
        <v>9617</v>
      </c>
      <c r="D1347" t="str">
        <f>"20012613"</f>
        <v>20012613</v>
      </c>
      <c r="E1347" t="s">
        <v>10313</v>
      </c>
      <c r="F1347" s="1">
        <v>44341</v>
      </c>
      <c r="G1347" t="str">
        <f>"300115"</f>
        <v>300115</v>
      </c>
      <c r="H1347" t="s">
        <v>2938</v>
      </c>
      <c r="I1347">
        <v>2143.3191999999999</v>
      </c>
    </row>
    <row r="1348" spans="1:9" x14ac:dyDescent="0.25">
      <c r="A1348" t="s">
        <v>9616</v>
      </c>
      <c r="C1348" t="s">
        <v>9617</v>
      </c>
      <c r="D1348" t="s">
        <v>10314</v>
      </c>
      <c r="E1348" t="s">
        <v>9579</v>
      </c>
      <c r="F1348" s="1">
        <v>44341</v>
      </c>
      <c r="G1348" t="str">
        <f>"300133"</f>
        <v>300133</v>
      </c>
      <c r="H1348" t="s">
        <v>2955</v>
      </c>
      <c r="I1348">
        <v>14904</v>
      </c>
    </row>
    <row r="1349" spans="1:9" x14ac:dyDescent="0.25">
      <c r="A1349" t="s">
        <v>9616</v>
      </c>
      <c r="C1349" t="s">
        <v>9617</v>
      </c>
      <c r="D1349" t="str">
        <f>"30612"</f>
        <v>30612</v>
      </c>
      <c r="E1349" t="s">
        <v>10315</v>
      </c>
      <c r="F1349" s="1">
        <v>44342</v>
      </c>
      <c r="G1349" t="str">
        <f>"300043"</f>
        <v>300043</v>
      </c>
      <c r="H1349" t="s">
        <v>2876</v>
      </c>
      <c r="I1349">
        <v>1073</v>
      </c>
    </row>
    <row r="1350" spans="1:9" x14ac:dyDescent="0.25">
      <c r="A1350" t="s">
        <v>9616</v>
      </c>
      <c r="C1350" t="s">
        <v>9617</v>
      </c>
      <c r="D1350" t="str">
        <f>"30647"</f>
        <v>30647</v>
      </c>
      <c r="E1350" t="s">
        <v>10316</v>
      </c>
      <c r="F1350" s="1">
        <v>44342</v>
      </c>
      <c r="G1350" t="str">
        <f>"300043"</f>
        <v>300043</v>
      </c>
      <c r="H1350" t="s">
        <v>2876</v>
      </c>
      <c r="I1350">
        <v>641</v>
      </c>
    </row>
    <row r="1351" spans="1:9" x14ac:dyDescent="0.25">
      <c r="A1351" t="s">
        <v>9616</v>
      </c>
      <c r="C1351" t="s">
        <v>9617</v>
      </c>
      <c r="D1351" t="str">
        <f>"30675"</f>
        <v>30675</v>
      </c>
      <c r="E1351" t="s">
        <v>10317</v>
      </c>
      <c r="F1351" s="1">
        <v>44342</v>
      </c>
      <c r="G1351" t="str">
        <f>"300043"</f>
        <v>300043</v>
      </c>
      <c r="H1351" t="s">
        <v>2876</v>
      </c>
      <c r="I1351">
        <v>1084</v>
      </c>
    </row>
    <row r="1352" spans="1:9" x14ac:dyDescent="0.25">
      <c r="A1352" t="s">
        <v>9616</v>
      </c>
      <c r="C1352" t="s">
        <v>9617</v>
      </c>
      <c r="D1352" t="str">
        <f>"271121"</f>
        <v>271121</v>
      </c>
      <c r="E1352" t="s">
        <v>10316</v>
      </c>
      <c r="F1352" s="1">
        <v>44342</v>
      </c>
      <c r="G1352" t="str">
        <f>"300101"</f>
        <v>300101</v>
      </c>
      <c r="H1352" t="s">
        <v>2926</v>
      </c>
      <c r="I1352">
        <v>3328.17</v>
      </c>
    </row>
    <row r="1353" spans="1:9" x14ac:dyDescent="0.25">
      <c r="A1353" t="s">
        <v>9616</v>
      </c>
      <c r="C1353" t="s">
        <v>9617</v>
      </c>
      <c r="D1353" t="str">
        <f>"10131323"</f>
        <v>10131323</v>
      </c>
      <c r="E1353" t="s">
        <v>2172</v>
      </c>
      <c r="F1353" s="1">
        <v>44342</v>
      </c>
      <c r="G1353" t="str">
        <f>"300115"</f>
        <v>300115</v>
      </c>
      <c r="H1353" t="s">
        <v>2938</v>
      </c>
      <c r="I1353">
        <v>270565.54800000001</v>
      </c>
    </row>
    <row r="1354" spans="1:9" x14ac:dyDescent="0.25">
      <c r="A1354" t="s">
        <v>9616</v>
      </c>
      <c r="C1354" t="s">
        <v>9617</v>
      </c>
      <c r="D1354" t="str">
        <f>"10131324"</f>
        <v>10131324</v>
      </c>
      <c r="E1354" t="s">
        <v>2172</v>
      </c>
      <c r="F1354" s="1">
        <v>44342</v>
      </c>
      <c r="G1354" t="str">
        <f>"300115"</f>
        <v>300115</v>
      </c>
      <c r="H1354" t="s">
        <v>2938</v>
      </c>
      <c r="I1354">
        <v>207492.736</v>
      </c>
    </row>
    <row r="1355" spans="1:9" x14ac:dyDescent="0.25">
      <c r="A1355" t="s">
        <v>9616</v>
      </c>
      <c r="C1355" t="s">
        <v>9617</v>
      </c>
      <c r="D1355" t="str">
        <f>"10131325"</f>
        <v>10131325</v>
      </c>
      <c r="E1355" t="s">
        <v>272</v>
      </c>
      <c r="F1355" s="1">
        <v>44342</v>
      </c>
      <c r="G1355" t="str">
        <f>"300115"</f>
        <v>300115</v>
      </c>
      <c r="H1355" t="s">
        <v>2938</v>
      </c>
      <c r="I1355">
        <v>87072.084000000003</v>
      </c>
    </row>
    <row r="1356" spans="1:9" x14ac:dyDescent="0.25">
      <c r="A1356" t="s">
        <v>9616</v>
      </c>
      <c r="C1356" t="s">
        <v>9617</v>
      </c>
      <c r="D1356" t="str">
        <f>"892021"</f>
        <v>892021</v>
      </c>
      <c r="E1356" t="s">
        <v>10318</v>
      </c>
      <c r="F1356" s="1">
        <v>44342</v>
      </c>
      <c r="G1356" t="str">
        <f>"300307"</f>
        <v>300307</v>
      </c>
      <c r="H1356" t="s">
        <v>3048</v>
      </c>
      <c r="I1356">
        <v>10000</v>
      </c>
    </row>
    <row r="1357" spans="1:9" x14ac:dyDescent="0.25">
      <c r="A1357" t="s">
        <v>9616</v>
      </c>
      <c r="C1357" t="s">
        <v>9617</v>
      </c>
      <c r="D1357" t="str">
        <f>"31051"</f>
        <v>31051</v>
      </c>
      <c r="E1357" t="s">
        <v>10318</v>
      </c>
      <c r="F1357" s="1">
        <v>44343</v>
      </c>
      <c r="G1357" t="str">
        <f>"300043"</f>
        <v>300043</v>
      </c>
      <c r="H1357" t="s">
        <v>2876</v>
      </c>
      <c r="I1357">
        <v>1077</v>
      </c>
    </row>
    <row r="1358" spans="1:9" x14ac:dyDescent="0.25">
      <c r="A1358" t="s">
        <v>9616</v>
      </c>
      <c r="C1358" t="s">
        <v>9617</v>
      </c>
      <c r="D1358" t="s">
        <v>10319</v>
      </c>
      <c r="E1358" t="s">
        <v>9729</v>
      </c>
      <c r="F1358" s="1">
        <v>44343</v>
      </c>
      <c r="G1358" t="str">
        <f>"300092"</f>
        <v>300092</v>
      </c>
      <c r="H1358" t="s">
        <v>2160</v>
      </c>
      <c r="I1358">
        <v>54672.3</v>
      </c>
    </row>
    <row r="1359" spans="1:9" x14ac:dyDescent="0.25">
      <c r="A1359" t="s">
        <v>9616</v>
      </c>
      <c r="C1359" t="s">
        <v>9617</v>
      </c>
      <c r="D1359" t="str">
        <f>"10131357"</f>
        <v>10131357</v>
      </c>
      <c r="E1359" t="s">
        <v>9223</v>
      </c>
      <c r="F1359" s="1">
        <v>44343</v>
      </c>
      <c r="G1359" t="str">
        <f>"300115"</f>
        <v>300115</v>
      </c>
      <c r="H1359" t="s">
        <v>2938</v>
      </c>
      <c r="I1359">
        <v>305922.04499999998</v>
      </c>
    </row>
    <row r="1360" spans="1:9" x14ac:dyDescent="0.25">
      <c r="A1360" t="s">
        <v>9616</v>
      </c>
      <c r="C1360" t="s">
        <v>9617</v>
      </c>
      <c r="D1360" t="str">
        <f>"10131358"</f>
        <v>10131358</v>
      </c>
      <c r="E1360" t="s">
        <v>9189</v>
      </c>
      <c r="F1360" s="1">
        <v>44343</v>
      </c>
      <c r="G1360" t="str">
        <f>"300115"</f>
        <v>300115</v>
      </c>
      <c r="H1360" t="s">
        <v>2938</v>
      </c>
      <c r="I1360">
        <v>270565.54800000001</v>
      </c>
    </row>
    <row r="1361" spans="1:9" x14ac:dyDescent="0.25">
      <c r="A1361" t="s">
        <v>9616</v>
      </c>
      <c r="C1361" t="s">
        <v>9617</v>
      </c>
      <c r="D1361" t="s">
        <v>10320</v>
      </c>
      <c r="E1361" t="s">
        <v>9615</v>
      </c>
      <c r="F1361" s="1">
        <v>44343</v>
      </c>
      <c r="G1361" t="str">
        <f>"300133"</f>
        <v>300133</v>
      </c>
      <c r="H1361" t="s">
        <v>2955</v>
      </c>
      <c r="I1361">
        <v>80602.2</v>
      </c>
    </row>
    <row r="1362" spans="1:9" x14ac:dyDescent="0.25">
      <c r="A1362" t="s">
        <v>9616</v>
      </c>
      <c r="C1362" t="s">
        <v>9617</v>
      </c>
      <c r="D1362" t="str">
        <f>"902021"</f>
        <v>902021</v>
      </c>
      <c r="E1362" t="s">
        <v>10321</v>
      </c>
      <c r="F1362" s="1">
        <v>44343</v>
      </c>
      <c r="G1362" t="str">
        <f>"300307"</f>
        <v>300307</v>
      </c>
      <c r="H1362" t="s">
        <v>3048</v>
      </c>
      <c r="I1362">
        <v>10000</v>
      </c>
    </row>
    <row r="1363" spans="1:9" x14ac:dyDescent="0.25">
      <c r="A1363" t="s">
        <v>9616</v>
      </c>
      <c r="C1363" t="s">
        <v>9617</v>
      </c>
      <c r="D1363" t="str">
        <f>"31180"</f>
        <v>31180</v>
      </c>
      <c r="E1363" t="s">
        <v>10321</v>
      </c>
      <c r="F1363" s="1">
        <v>44344</v>
      </c>
      <c r="G1363" t="str">
        <f>"300043"</f>
        <v>300043</v>
      </c>
      <c r="H1363" t="s">
        <v>2876</v>
      </c>
      <c r="I1363">
        <v>869</v>
      </c>
    </row>
    <row r="1364" spans="1:9" x14ac:dyDescent="0.25">
      <c r="A1364" t="s">
        <v>9616</v>
      </c>
      <c r="C1364" t="s">
        <v>9617</v>
      </c>
      <c r="D1364" t="str">
        <f>"31282"</f>
        <v>31282</v>
      </c>
      <c r="E1364" t="s">
        <v>10322</v>
      </c>
      <c r="F1364" s="1">
        <v>44344</v>
      </c>
      <c r="G1364" t="str">
        <f>"300043"</f>
        <v>300043</v>
      </c>
      <c r="H1364" t="s">
        <v>2876</v>
      </c>
      <c r="I1364">
        <v>449</v>
      </c>
    </row>
    <row r="1365" spans="1:9" x14ac:dyDescent="0.25">
      <c r="A1365" t="s">
        <v>9616</v>
      </c>
      <c r="C1365" t="s">
        <v>9617</v>
      </c>
      <c r="D1365" t="str">
        <f>"31292"</f>
        <v>31292</v>
      </c>
      <c r="E1365" t="s">
        <v>10323</v>
      </c>
      <c r="F1365" s="1">
        <v>44344</v>
      </c>
      <c r="G1365" t="str">
        <f>"300043"</f>
        <v>300043</v>
      </c>
      <c r="H1365" t="s">
        <v>2876</v>
      </c>
      <c r="I1365">
        <v>1085</v>
      </c>
    </row>
    <row r="1366" spans="1:9" x14ac:dyDescent="0.25">
      <c r="A1366" t="s">
        <v>9616</v>
      </c>
      <c r="C1366" t="s">
        <v>9617</v>
      </c>
      <c r="D1366" t="str">
        <f>"271021"</f>
        <v>271021</v>
      </c>
      <c r="E1366" t="s">
        <v>10322</v>
      </c>
      <c r="F1366" s="1">
        <v>44344</v>
      </c>
      <c r="G1366" t="str">
        <f>"300101"</f>
        <v>300101</v>
      </c>
      <c r="H1366" t="s">
        <v>2926</v>
      </c>
      <c r="I1366">
        <v>3171.51</v>
      </c>
    </row>
    <row r="1367" spans="1:9" x14ac:dyDescent="0.25">
      <c r="A1367" t="s">
        <v>9616</v>
      </c>
      <c r="C1367" t="s">
        <v>9617</v>
      </c>
      <c r="D1367" t="s">
        <v>10324</v>
      </c>
      <c r="E1367" t="s">
        <v>9568</v>
      </c>
      <c r="F1367" s="1">
        <v>44344</v>
      </c>
      <c r="G1367" t="str">
        <f>"300133"</f>
        <v>300133</v>
      </c>
      <c r="H1367" t="s">
        <v>2955</v>
      </c>
      <c r="I1367">
        <v>7209</v>
      </c>
    </row>
    <row r="1368" spans="1:9" x14ac:dyDescent="0.25">
      <c r="A1368" t="s">
        <v>9616</v>
      </c>
      <c r="C1368" t="s">
        <v>9617</v>
      </c>
      <c r="D1368" t="str">
        <f>"31736"</f>
        <v>31736</v>
      </c>
      <c r="E1368" t="s">
        <v>10325</v>
      </c>
      <c r="F1368" s="1">
        <v>44347</v>
      </c>
      <c r="G1368" t="str">
        <f>"300043"</f>
        <v>300043</v>
      </c>
      <c r="H1368" t="s">
        <v>2876</v>
      </c>
      <c r="I1368">
        <v>1167</v>
      </c>
    </row>
    <row r="1369" spans="1:9" x14ac:dyDescent="0.25">
      <c r="A1369" t="s">
        <v>9616</v>
      </c>
      <c r="C1369" t="s">
        <v>9617</v>
      </c>
      <c r="D1369" t="s">
        <v>10326</v>
      </c>
      <c r="E1369" t="s">
        <v>8967</v>
      </c>
      <c r="F1369" s="1">
        <v>44347</v>
      </c>
      <c r="G1369" t="str">
        <f>"300092"</f>
        <v>300092</v>
      </c>
      <c r="H1369" t="s">
        <v>2160</v>
      </c>
      <c r="I1369">
        <v>84000</v>
      </c>
    </row>
    <row r="1370" spans="1:9" x14ac:dyDescent="0.25">
      <c r="A1370" t="s">
        <v>9616</v>
      </c>
      <c r="C1370" t="s">
        <v>9617</v>
      </c>
      <c r="D1370" t="str">
        <f>"270921"</f>
        <v>270921</v>
      </c>
      <c r="E1370" t="s">
        <v>10325</v>
      </c>
      <c r="F1370" s="1">
        <v>44347</v>
      </c>
      <c r="G1370" t="str">
        <f>"300101"</f>
        <v>300101</v>
      </c>
      <c r="H1370" t="s">
        <v>2926</v>
      </c>
      <c r="I1370">
        <v>3327.46</v>
      </c>
    </row>
    <row r="1371" spans="1:9" x14ac:dyDescent="0.25">
      <c r="A1371" t="s">
        <v>9616</v>
      </c>
      <c r="C1371" t="s">
        <v>9617</v>
      </c>
      <c r="D1371" t="str">
        <f>"202104012"</f>
        <v>202104012</v>
      </c>
      <c r="E1371" t="s">
        <v>10311</v>
      </c>
      <c r="F1371" s="1">
        <v>44347</v>
      </c>
      <c r="G1371" t="str">
        <f t="shared" ref="G1371:G1376" si="8">"300191"</f>
        <v>300191</v>
      </c>
      <c r="H1371" t="s">
        <v>3008</v>
      </c>
      <c r="I1371">
        <v>3149.15</v>
      </c>
    </row>
    <row r="1372" spans="1:9" x14ac:dyDescent="0.25">
      <c r="A1372" t="s">
        <v>9616</v>
      </c>
      <c r="C1372" t="s">
        <v>9617</v>
      </c>
      <c r="D1372" t="str">
        <f>"202104131"</f>
        <v>202104131</v>
      </c>
      <c r="E1372" t="s">
        <v>10317</v>
      </c>
      <c r="F1372" s="1">
        <v>44347</v>
      </c>
      <c r="G1372" t="str">
        <f t="shared" si="8"/>
        <v>300191</v>
      </c>
      <c r="H1372" t="s">
        <v>3008</v>
      </c>
      <c r="I1372">
        <v>3152.87</v>
      </c>
    </row>
    <row r="1373" spans="1:9" x14ac:dyDescent="0.25">
      <c r="A1373" t="s">
        <v>9616</v>
      </c>
      <c r="C1373" t="s">
        <v>9617</v>
      </c>
      <c r="D1373" t="str">
        <f>"202104132"</f>
        <v>202104132</v>
      </c>
      <c r="E1373" t="s">
        <v>10315</v>
      </c>
      <c r="F1373" s="1">
        <v>44347</v>
      </c>
      <c r="G1373" t="str">
        <f t="shared" si="8"/>
        <v>300191</v>
      </c>
      <c r="H1373" t="s">
        <v>3008</v>
      </c>
      <c r="I1373">
        <v>3152.87</v>
      </c>
    </row>
    <row r="1374" spans="1:9" x14ac:dyDescent="0.25">
      <c r="A1374" t="s">
        <v>9616</v>
      </c>
      <c r="C1374" t="s">
        <v>9617</v>
      </c>
      <c r="D1374" t="str">
        <f>"202104133"</f>
        <v>202104133</v>
      </c>
      <c r="E1374" t="s">
        <v>10321</v>
      </c>
      <c r="F1374" s="1">
        <v>44347</v>
      </c>
      <c r="G1374" t="str">
        <f t="shared" si="8"/>
        <v>300191</v>
      </c>
      <c r="H1374" t="s">
        <v>3008</v>
      </c>
      <c r="I1374">
        <v>3153.26</v>
      </c>
    </row>
    <row r="1375" spans="1:9" x14ac:dyDescent="0.25">
      <c r="A1375" t="s">
        <v>9616</v>
      </c>
      <c r="C1375" t="s">
        <v>9617</v>
      </c>
      <c r="D1375" t="str">
        <f>"202104134"</f>
        <v>202104134</v>
      </c>
      <c r="E1375" t="s">
        <v>10323</v>
      </c>
      <c r="F1375" s="1">
        <v>44347</v>
      </c>
      <c r="G1375" t="str">
        <f t="shared" si="8"/>
        <v>300191</v>
      </c>
      <c r="H1375" t="s">
        <v>3008</v>
      </c>
      <c r="I1375">
        <v>3175.01</v>
      </c>
    </row>
    <row r="1376" spans="1:9" x14ac:dyDescent="0.25">
      <c r="A1376" t="s">
        <v>9616</v>
      </c>
      <c r="C1376" t="s">
        <v>9617</v>
      </c>
      <c r="D1376" t="str">
        <f>"202104135"</f>
        <v>202104135</v>
      </c>
      <c r="E1376" t="s">
        <v>10318</v>
      </c>
      <c r="F1376" s="1">
        <v>44347</v>
      </c>
      <c r="G1376" t="str">
        <f t="shared" si="8"/>
        <v>300191</v>
      </c>
      <c r="H1376" t="s">
        <v>3008</v>
      </c>
      <c r="I1376">
        <v>3153.1</v>
      </c>
    </row>
    <row r="1377" spans="1:9" x14ac:dyDescent="0.25">
      <c r="A1377" t="s">
        <v>9616</v>
      </c>
      <c r="C1377" t="s">
        <v>9617</v>
      </c>
      <c r="D1377" t="str">
        <f>"10131455"</f>
        <v>10131455</v>
      </c>
      <c r="E1377" t="s">
        <v>9189</v>
      </c>
      <c r="F1377" s="1">
        <v>44348</v>
      </c>
      <c r="G1377" t="str">
        <f>"300115"</f>
        <v>300115</v>
      </c>
      <c r="H1377" t="s">
        <v>2938</v>
      </c>
      <c r="I1377">
        <v>270565.54800000001</v>
      </c>
    </row>
    <row r="1378" spans="1:9" x14ac:dyDescent="0.25">
      <c r="A1378" t="s">
        <v>9616</v>
      </c>
      <c r="C1378" t="s">
        <v>9617</v>
      </c>
      <c r="D1378" t="str">
        <f>"10131493"</f>
        <v>10131493</v>
      </c>
      <c r="E1378" t="s">
        <v>9191</v>
      </c>
      <c r="F1378" s="1">
        <v>44348</v>
      </c>
      <c r="G1378" t="str">
        <f>"300115"</f>
        <v>300115</v>
      </c>
      <c r="H1378" t="s">
        <v>2938</v>
      </c>
      <c r="I1378">
        <v>142799.272</v>
      </c>
    </row>
    <row r="1379" spans="1:9" x14ac:dyDescent="0.25">
      <c r="A1379" t="s">
        <v>9616</v>
      </c>
      <c r="C1379" t="s">
        <v>9617</v>
      </c>
      <c r="D1379" t="str">
        <f>"13821"</f>
        <v>13821</v>
      </c>
      <c r="E1379" t="s">
        <v>10296</v>
      </c>
      <c r="F1379" s="1">
        <v>44348</v>
      </c>
      <c r="G1379" t="str">
        <f t="shared" ref="G1379:G1384" si="9">"300192"</f>
        <v>300192</v>
      </c>
      <c r="H1379" t="s">
        <v>3009</v>
      </c>
      <c r="I1379">
        <v>12500</v>
      </c>
    </row>
    <row r="1380" spans="1:9" x14ac:dyDescent="0.25">
      <c r="A1380" t="s">
        <v>9616</v>
      </c>
      <c r="C1380" t="s">
        <v>9617</v>
      </c>
      <c r="D1380" t="str">
        <f>"013721"</f>
        <v>013721</v>
      </c>
      <c r="E1380" t="s">
        <v>10293</v>
      </c>
      <c r="F1380" s="1">
        <v>44348</v>
      </c>
      <c r="G1380" t="str">
        <f t="shared" si="9"/>
        <v>300192</v>
      </c>
      <c r="H1380" t="s">
        <v>3009</v>
      </c>
      <c r="I1380">
        <v>12500</v>
      </c>
    </row>
    <row r="1381" spans="1:9" x14ac:dyDescent="0.25">
      <c r="A1381" t="s">
        <v>9616</v>
      </c>
      <c r="C1381" t="s">
        <v>9617</v>
      </c>
      <c r="D1381" t="str">
        <f>"013921"</f>
        <v>013921</v>
      </c>
      <c r="E1381" t="s">
        <v>10302</v>
      </c>
      <c r="F1381" s="1">
        <v>44348</v>
      </c>
      <c r="G1381" t="str">
        <f t="shared" si="9"/>
        <v>300192</v>
      </c>
      <c r="H1381" t="s">
        <v>3009</v>
      </c>
      <c r="I1381">
        <v>11000</v>
      </c>
    </row>
    <row r="1382" spans="1:9" x14ac:dyDescent="0.25">
      <c r="A1382" t="s">
        <v>9616</v>
      </c>
      <c r="C1382" t="s">
        <v>9617</v>
      </c>
      <c r="D1382" t="str">
        <f>"014021"</f>
        <v>014021</v>
      </c>
      <c r="E1382" t="s">
        <v>10315</v>
      </c>
      <c r="F1382" s="1">
        <v>44348</v>
      </c>
      <c r="G1382" t="str">
        <f t="shared" si="9"/>
        <v>300192</v>
      </c>
      <c r="H1382" t="s">
        <v>3009</v>
      </c>
      <c r="I1382">
        <v>13000</v>
      </c>
    </row>
    <row r="1383" spans="1:9" x14ac:dyDescent="0.25">
      <c r="A1383" t="s">
        <v>9616</v>
      </c>
      <c r="C1383" t="s">
        <v>9617</v>
      </c>
      <c r="D1383" t="str">
        <f>"014121"</f>
        <v>014121</v>
      </c>
      <c r="E1383" t="s">
        <v>10317</v>
      </c>
      <c r="F1383" s="1">
        <v>44348</v>
      </c>
      <c r="G1383" t="str">
        <f t="shared" si="9"/>
        <v>300192</v>
      </c>
      <c r="H1383" t="s">
        <v>3009</v>
      </c>
      <c r="I1383">
        <v>12500</v>
      </c>
    </row>
    <row r="1384" spans="1:9" x14ac:dyDescent="0.25">
      <c r="A1384" t="s">
        <v>9616</v>
      </c>
      <c r="C1384" t="s">
        <v>9617</v>
      </c>
      <c r="D1384" t="str">
        <f>"014221"</f>
        <v>014221</v>
      </c>
      <c r="E1384" t="s">
        <v>10323</v>
      </c>
      <c r="F1384" s="1">
        <v>44348</v>
      </c>
      <c r="G1384" t="str">
        <f t="shared" si="9"/>
        <v>300192</v>
      </c>
      <c r="H1384" t="s">
        <v>3009</v>
      </c>
      <c r="I1384">
        <v>12500</v>
      </c>
    </row>
    <row r="1385" spans="1:9" x14ac:dyDescent="0.25">
      <c r="A1385" t="s">
        <v>9616</v>
      </c>
      <c r="C1385" t="s">
        <v>9617</v>
      </c>
      <c r="D1385" t="str">
        <f>"32292"</f>
        <v>32292</v>
      </c>
      <c r="E1385" t="s">
        <v>10327</v>
      </c>
      <c r="F1385" s="1">
        <v>44349</v>
      </c>
      <c r="G1385" t="str">
        <f>"300043"</f>
        <v>300043</v>
      </c>
      <c r="H1385" t="s">
        <v>2876</v>
      </c>
      <c r="I1385">
        <v>1084</v>
      </c>
    </row>
    <row r="1386" spans="1:9" x14ac:dyDescent="0.25">
      <c r="A1386" t="s">
        <v>9616</v>
      </c>
      <c r="C1386" t="s">
        <v>9617</v>
      </c>
      <c r="D1386" t="str">
        <f>"10131497"</f>
        <v>10131497</v>
      </c>
      <c r="E1386" t="s">
        <v>9191</v>
      </c>
      <c r="F1386" s="1">
        <v>44349</v>
      </c>
      <c r="G1386" t="str">
        <f>"300115"</f>
        <v>300115</v>
      </c>
      <c r="H1386" t="s">
        <v>2938</v>
      </c>
      <c r="I1386">
        <v>214443.9</v>
      </c>
    </row>
    <row r="1387" spans="1:9" x14ac:dyDescent="0.25">
      <c r="A1387" t="s">
        <v>9616</v>
      </c>
      <c r="C1387" t="s">
        <v>9617</v>
      </c>
      <c r="D1387" t="str">
        <f>"10131498"</f>
        <v>10131498</v>
      </c>
      <c r="E1387" t="s">
        <v>9189</v>
      </c>
      <c r="F1387" s="1">
        <v>44349</v>
      </c>
      <c r="G1387" t="str">
        <f>"300115"</f>
        <v>300115</v>
      </c>
      <c r="H1387" t="s">
        <v>2938</v>
      </c>
      <c r="I1387">
        <v>76010.263999999996</v>
      </c>
    </row>
    <row r="1388" spans="1:9" x14ac:dyDescent="0.25">
      <c r="A1388" t="s">
        <v>9616</v>
      </c>
      <c r="C1388" t="s">
        <v>9617</v>
      </c>
      <c r="D1388" t="str">
        <f>"32621"</f>
        <v>32621</v>
      </c>
      <c r="E1388" t="s">
        <v>10328</v>
      </c>
      <c r="F1388" s="1">
        <v>44350</v>
      </c>
      <c r="G1388" t="str">
        <f>"300043"</f>
        <v>300043</v>
      </c>
      <c r="H1388" t="s">
        <v>2876</v>
      </c>
      <c r="I1388">
        <v>1149</v>
      </c>
    </row>
    <row r="1389" spans="1:9" x14ac:dyDescent="0.25">
      <c r="A1389" t="s">
        <v>9616</v>
      </c>
      <c r="C1389" t="s">
        <v>9617</v>
      </c>
      <c r="D1389" t="str">
        <f>"32743"</f>
        <v>32743</v>
      </c>
      <c r="E1389" t="s">
        <v>10329</v>
      </c>
      <c r="F1389" s="1">
        <v>44351</v>
      </c>
      <c r="G1389" t="str">
        <f>"300043"</f>
        <v>300043</v>
      </c>
      <c r="H1389" t="s">
        <v>2876</v>
      </c>
      <c r="I1389">
        <v>633</v>
      </c>
    </row>
    <row r="1390" spans="1:9" x14ac:dyDescent="0.25">
      <c r="A1390" t="s">
        <v>9616</v>
      </c>
      <c r="C1390" t="s">
        <v>9617</v>
      </c>
      <c r="D1390" t="str">
        <f>"271321"</f>
        <v>271321</v>
      </c>
      <c r="E1390" t="s">
        <v>10329</v>
      </c>
      <c r="F1390" s="1">
        <v>44351</v>
      </c>
      <c r="G1390" t="str">
        <f>"300101"</f>
        <v>300101</v>
      </c>
      <c r="H1390" t="s">
        <v>2926</v>
      </c>
      <c r="I1390">
        <v>3322.96</v>
      </c>
    </row>
    <row r="1391" spans="1:9" x14ac:dyDescent="0.25">
      <c r="A1391" t="s">
        <v>9616</v>
      </c>
      <c r="C1391" t="s">
        <v>9617</v>
      </c>
      <c r="D1391" t="str">
        <f>"10131527"</f>
        <v>10131527</v>
      </c>
      <c r="E1391" t="s">
        <v>272</v>
      </c>
      <c r="F1391" s="1">
        <v>44351</v>
      </c>
      <c r="G1391" t="str">
        <f>"300115"</f>
        <v>300115</v>
      </c>
      <c r="H1391" t="s">
        <v>2938</v>
      </c>
      <c r="I1391">
        <v>116433.9264</v>
      </c>
    </row>
    <row r="1392" spans="1:9" x14ac:dyDescent="0.25">
      <c r="A1392" t="s">
        <v>9616</v>
      </c>
      <c r="C1392" t="s">
        <v>9617</v>
      </c>
      <c r="D1392" t="str">
        <f>"10131530"</f>
        <v>10131530</v>
      </c>
      <c r="E1392" t="s">
        <v>10330</v>
      </c>
      <c r="F1392" s="1">
        <v>44351</v>
      </c>
      <c r="G1392" t="str">
        <f>"300115"</f>
        <v>300115</v>
      </c>
      <c r="H1392" t="s">
        <v>2938</v>
      </c>
      <c r="I1392">
        <v>270565.54800000001</v>
      </c>
    </row>
    <row r="1393" spans="1:9" x14ac:dyDescent="0.25">
      <c r="A1393" t="s">
        <v>9616</v>
      </c>
      <c r="C1393" t="s">
        <v>9617</v>
      </c>
      <c r="D1393" t="str">
        <f>"10131535"</f>
        <v>10131535</v>
      </c>
      <c r="E1393" t="s">
        <v>9189</v>
      </c>
      <c r="F1393" s="1">
        <v>44351</v>
      </c>
      <c r="G1393" t="str">
        <f>"300115"</f>
        <v>300115</v>
      </c>
      <c r="H1393" t="s">
        <v>2938</v>
      </c>
      <c r="I1393">
        <v>270565.54800000001</v>
      </c>
    </row>
    <row r="1394" spans="1:9" x14ac:dyDescent="0.25">
      <c r="A1394" t="s">
        <v>9616</v>
      </c>
      <c r="C1394" t="s">
        <v>9617</v>
      </c>
      <c r="D1394" t="str">
        <f>"962021"</f>
        <v>962021</v>
      </c>
      <c r="E1394" t="s">
        <v>10331</v>
      </c>
      <c r="F1394" s="1">
        <v>44351</v>
      </c>
      <c r="G1394" t="str">
        <f>"300307"</f>
        <v>300307</v>
      </c>
      <c r="H1394" t="s">
        <v>3048</v>
      </c>
      <c r="I1394">
        <v>12000</v>
      </c>
    </row>
    <row r="1395" spans="1:9" x14ac:dyDescent="0.25">
      <c r="A1395" t="s">
        <v>9616</v>
      </c>
      <c r="C1395" t="s">
        <v>9617</v>
      </c>
      <c r="D1395" t="str">
        <f>"9552021"</f>
        <v>9552021</v>
      </c>
      <c r="E1395" t="s">
        <v>10332</v>
      </c>
      <c r="F1395" s="1">
        <v>44351</v>
      </c>
      <c r="G1395" t="str">
        <f>"300307"</f>
        <v>300307</v>
      </c>
      <c r="H1395" t="s">
        <v>3048</v>
      </c>
      <c r="I1395">
        <v>10000</v>
      </c>
    </row>
    <row r="1396" spans="1:9" x14ac:dyDescent="0.25">
      <c r="A1396" t="s">
        <v>9616</v>
      </c>
      <c r="C1396" t="s">
        <v>9617</v>
      </c>
      <c r="D1396" t="str">
        <f>"33069"</f>
        <v>33069</v>
      </c>
      <c r="E1396" t="s">
        <v>10331</v>
      </c>
      <c r="F1396" s="1">
        <v>44354</v>
      </c>
      <c r="G1396" t="str">
        <f>"300043"</f>
        <v>300043</v>
      </c>
      <c r="H1396" t="s">
        <v>2876</v>
      </c>
      <c r="I1396">
        <v>1079</v>
      </c>
    </row>
    <row r="1397" spans="1:9" x14ac:dyDescent="0.25">
      <c r="A1397" t="s">
        <v>9616</v>
      </c>
      <c r="C1397" t="s">
        <v>9617</v>
      </c>
      <c r="D1397" t="str">
        <f>"33101"</f>
        <v>33101</v>
      </c>
      <c r="E1397" t="s">
        <v>10332</v>
      </c>
      <c r="F1397" s="1">
        <v>44354</v>
      </c>
      <c r="G1397" t="str">
        <f>"300043"</f>
        <v>300043</v>
      </c>
      <c r="H1397" t="s">
        <v>2876</v>
      </c>
      <c r="I1397">
        <v>1072</v>
      </c>
    </row>
    <row r="1398" spans="1:9" x14ac:dyDescent="0.25">
      <c r="A1398" t="s">
        <v>9616</v>
      </c>
      <c r="C1398" t="s">
        <v>9617</v>
      </c>
      <c r="D1398" t="str">
        <f>"33203"</f>
        <v>33203</v>
      </c>
      <c r="E1398" t="s">
        <v>10333</v>
      </c>
      <c r="F1398" s="1">
        <v>44354</v>
      </c>
      <c r="G1398" t="str">
        <f>"300043"</f>
        <v>300043</v>
      </c>
      <c r="H1398" t="s">
        <v>2876</v>
      </c>
      <c r="I1398">
        <v>544</v>
      </c>
    </row>
    <row r="1399" spans="1:9" x14ac:dyDescent="0.25">
      <c r="A1399" t="s">
        <v>9616</v>
      </c>
      <c r="C1399" t="s">
        <v>9617</v>
      </c>
      <c r="D1399" t="str">
        <f>"271421"</f>
        <v>271421</v>
      </c>
      <c r="E1399" t="s">
        <v>10333</v>
      </c>
      <c r="F1399" s="1">
        <v>44354</v>
      </c>
      <c r="G1399" t="str">
        <f>"300101"</f>
        <v>300101</v>
      </c>
      <c r="H1399" t="s">
        <v>2926</v>
      </c>
      <c r="I1399">
        <v>3317.01</v>
      </c>
    </row>
    <row r="1400" spans="1:9" x14ac:dyDescent="0.25">
      <c r="A1400" t="s">
        <v>9616</v>
      </c>
      <c r="C1400" t="s">
        <v>9617</v>
      </c>
      <c r="D1400" t="s">
        <v>10334</v>
      </c>
      <c r="E1400" t="s">
        <v>10033</v>
      </c>
      <c r="F1400" s="1">
        <v>44356</v>
      </c>
      <c r="G1400" t="str">
        <f>"300092"</f>
        <v>300092</v>
      </c>
      <c r="H1400" t="s">
        <v>2160</v>
      </c>
      <c r="I1400">
        <v>53353.8</v>
      </c>
    </row>
    <row r="1401" spans="1:9" x14ac:dyDescent="0.25">
      <c r="A1401" t="s">
        <v>9616</v>
      </c>
      <c r="C1401" t="s">
        <v>9617</v>
      </c>
      <c r="D1401" t="str">
        <f>"2103385"</f>
        <v>2103385</v>
      </c>
      <c r="E1401" t="s">
        <v>9297</v>
      </c>
      <c r="F1401" s="1">
        <v>44357</v>
      </c>
      <c r="G1401" t="str">
        <f>"300064"</f>
        <v>300064</v>
      </c>
      <c r="H1401" t="s">
        <v>2896</v>
      </c>
      <c r="I1401">
        <v>79996.800000000003</v>
      </c>
    </row>
    <row r="1402" spans="1:9" x14ac:dyDescent="0.25">
      <c r="A1402" t="s">
        <v>9616</v>
      </c>
      <c r="C1402" t="s">
        <v>9617</v>
      </c>
      <c r="D1402" t="s">
        <v>10335</v>
      </c>
      <c r="E1402" t="s">
        <v>9565</v>
      </c>
      <c r="F1402" s="1">
        <v>44357</v>
      </c>
      <c r="G1402" t="str">
        <f>"300133"</f>
        <v>300133</v>
      </c>
      <c r="H1402" t="s">
        <v>2955</v>
      </c>
      <c r="I1402">
        <v>50935.5</v>
      </c>
    </row>
    <row r="1403" spans="1:9" x14ac:dyDescent="0.25">
      <c r="A1403" t="s">
        <v>9616</v>
      </c>
      <c r="C1403" t="s">
        <v>9617</v>
      </c>
      <c r="D1403" t="str">
        <f>"202104408"</f>
        <v>202104408</v>
      </c>
      <c r="E1403" t="s">
        <v>10327</v>
      </c>
      <c r="F1403" s="1">
        <v>44357</v>
      </c>
      <c r="G1403" t="str">
        <f>"300191"</f>
        <v>300191</v>
      </c>
      <c r="H1403" t="s">
        <v>3008</v>
      </c>
      <c r="I1403">
        <v>3173.35</v>
      </c>
    </row>
    <row r="1404" spans="1:9" x14ac:dyDescent="0.25">
      <c r="A1404" t="s">
        <v>9616</v>
      </c>
      <c r="C1404" t="s">
        <v>9617</v>
      </c>
      <c r="D1404" t="str">
        <f>"202104409"</f>
        <v>202104409</v>
      </c>
      <c r="E1404" t="s">
        <v>10331</v>
      </c>
      <c r="F1404" s="1">
        <v>44357</v>
      </c>
      <c r="G1404" t="str">
        <f>"300191"</f>
        <v>300191</v>
      </c>
      <c r="H1404" t="s">
        <v>3008</v>
      </c>
      <c r="I1404">
        <v>3320.51</v>
      </c>
    </row>
    <row r="1405" spans="1:9" x14ac:dyDescent="0.25">
      <c r="A1405" t="s">
        <v>9616</v>
      </c>
      <c r="C1405" t="s">
        <v>9617</v>
      </c>
      <c r="D1405" t="str">
        <f>"202104411"</f>
        <v>202104411</v>
      </c>
      <c r="E1405" t="s">
        <v>10332</v>
      </c>
      <c r="F1405" s="1">
        <v>44357</v>
      </c>
      <c r="G1405" t="str">
        <f>"300191"</f>
        <v>300191</v>
      </c>
      <c r="H1405" t="s">
        <v>3008</v>
      </c>
      <c r="I1405">
        <v>3320.51</v>
      </c>
    </row>
    <row r="1406" spans="1:9" x14ac:dyDescent="0.25">
      <c r="A1406" t="s">
        <v>9616</v>
      </c>
      <c r="C1406" t="s">
        <v>9617</v>
      </c>
      <c r="D1406" t="str">
        <f>"10131755"</f>
        <v>10131755</v>
      </c>
      <c r="E1406" t="s">
        <v>2172</v>
      </c>
      <c r="F1406" s="1">
        <v>44361</v>
      </c>
      <c r="G1406" t="str">
        <f>"300115"</f>
        <v>300115</v>
      </c>
      <c r="H1406" t="s">
        <v>2938</v>
      </c>
      <c r="I1406">
        <v>270565.54800000001</v>
      </c>
    </row>
    <row r="1407" spans="1:9" x14ac:dyDescent="0.25">
      <c r="A1407" t="s">
        <v>9616</v>
      </c>
      <c r="C1407" t="s">
        <v>9617</v>
      </c>
      <c r="D1407" t="str">
        <f>"10131759"</f>
        <v>10131759</v>
      </c>
      <c r="E1407" t="s">
        <v>9189</v>
      </c>
      <c r="F1407" s="1">
        <v>44361</v>
      </c>
      <c r="G1407" t="str">
        <f>"300115"</f>
        <v>300115</v>
      </c>
      <c r="H1407" t="s">
        <v>2938</v>
      </c>
      <c r="I1407">
        <v>270565.54800000001</v>
      </c>
    </row>
    <row r="1408" spans="1:9" x14ac:dyDescent="0.25">
      <c r="A1408" t="s">
        <v>9616</v>
      </c>
      <c r="C1408" t="s">
        <v>9617</v>
      </c>
      <c r="D1408" t="str">
        <f>"202104496"</f>
        <v>202104496</v>
      </c>
      <c r="E1408" t="s">
        <v>10328</v>
      </c>
      <c r="F1408" s="1">
        <v>44361</v>
      </c>
      <c r="G1408" t="str">
        <f>"300191"</f>
        <v>300191</v>
      </c>
      <c r="H1408" t="s">
        <v>3008</v>
      </c>
      <c r="I1408">
        <v>3147.99</v>
      </c>
    </row>
    <row r="1409" spans="1:9" x14ac:dyDescent="0.25">
      <c r="A1409" t="s">
        <v>9616</v>
      </c>
      <c r="C1409" t="s">
        <v>9617</v>
      </c>
      <c r="D1409" t="str">
        <f>"1042021"</f>
        <v>1042021</v>
      </c>
      <c r="E1409" t="s">
        <v>10336</v>
      </c>
      <c r="F1409" s="1">
        <v>44361</v>
      </c>
      <c r="G1409" t="str">
        <f>"300307"</f>
        <v>300307</v>
      </c>
      <c r="H1409" t="s">
        <v>3048</v>
      </c>
      <c r="I1409">
        <v>10000</v>
      </c>
    </row>
    <row r="1410" spans="1:9" x14ac:dyDescent="0.25">
      <c r="A1410" t="s">
        <v>9616</v>
      </c>
      <c r="C1410" t="s">
        <v>9617</v>
      </c>
      <c r="D1410" t="str">
        <f>"35195"</f>
        <v>35195</v>
      </c>
      <c r="E1410" t="s">
        <v>10337</v>
      </c>
      <c r="F1410" s="1">
        <v>44362</v>
      </c>
      <c r="G1410" t="str">
        <f>"300043"</f>
        <v>300043</v>
      </c>
      <c r="H1410" t="s">
        <v>2876</v>
      </c>
      <c r="I1410">
        <v>1079</v>
      </c>
    </row>
    <row r="1411" spans="1:9" x14ac:dyDescent="0.25">
      <c r="A1411" t="s">
        <v>9616</v>
      </c>
      <c r="C1411" t="s">
        <v>9617</v>
      </c>
      <c r="D1411" t="str">
        <f>"10131798"</f>
        <v>10131798</v>
      </c>
      <c r="E1411" t="s">
        <v>9640</v>
      </c>
      <c r="F1411" s="1">
        <v>44362</v>
      </c>
      <c r="G1411" t="str">
        <f>"300115"</f>
        <v>300115</v>
      </c>
      <c r="H1411" t="s">
        <v>2938</v>
      </c>
      <c r="I1411">
        <v>198577.8432</v>
      </c>
    </row>
    <row r="1412" spans="1:9" x14ac:dyDescent="0.25">
      <c r="A1412" t="s">
        <v>9616</v>
      </c>
      <c r="C1412" t="s">
        <v>9617</v>
      </c>
      <c r="D1412" t="str">
        <f>"10131833"</f>
        <v>10131833</v>
      </c>
      <c r="E1412" t="s">
        <v>9640</v>
      </c>
      <c r="F1412" s="1">
        <v>44363</v>
      </c>
      <c r="G1412" t="str">
        <f>"300115"</f>
        <v>300115</v>
      </c>
      <c r="H1412" t="s">
        <v>2938</v>
      </c>
      <c r="I1412">
        <v>195929.3952</v>
      </c>
    </row>
    <row r="1413" spans="1:9" x14ac:dyDescent="0.25">
      <c r="A1413" t="s">
        <v>9616</v>
      </c>
      <c r="C1413" t="s">
        <v>9617</v>
      </c>
      <c r="D1413" t="str">
        <f>"10131836"</f>
        <v>10131836</v>
      </c>
      <c r="E1413" t="s">
        <v>9189</v>
      </c>
      <c r="F1413" s="1">
        <v>44363</v>
      </c>
      <c r="G1413" t="str">
        <f>"300115"</f>
        <v>300115</v>
      </c>
      <c r="H1413" t="s">
        <v>2938</v>
      </c>
      <c r="I1413">
        <v>96332.002800000002</v>
      </c>
    </row>
    <row r="1414" spans="1:9" x14ac:dyDescent="0.25">
      <c r="A1414" t="s">
        <v>9616</v>
      </c>
      <c r="C1414" t="s">
        <v>9617</v>
      </c>
      <c r="D1414" t="str">
        <f>"10131837"</f>
        <v>10131837</v>
      </c>
      <c r="E1414" t="s">
        <v>2172</v>
      </c>
      <c r="F1414" s="1">
        <v>44363</v>
      </c>
      <c r="G1414" t="str">
        <f>"300115"</f>
        <v>300115</v>
      </c>
      <c r="H1414" t="s">
        <v>2938</v>
      </c>
      <c r="I1414">
        <v>161828.601</v>
      </c>
    </row>
    <row r="1415" spans="1:9" x14ac:dyDescent="0.25">
      <c r="A1415" t="s">
        <v>9616</v>
      </c>
      <c r="C1415" t="s">
        <v>9617</v>
      </c>
      <c r="D1415" t="s">
        <v>10338</v>
      </c>
      <c r="E1415" t="s">
        <v>10339</v>
      </c>
      <c r="F1415" s="1">
        <v>44364</v>
      </c>
      <c r="G1415" t="str">
        <f>"300133"</f>
        <v>300133</v>
      </c>
      <c r="H1415" t="s">
        <v>2955</v>
      </c>
      <c r="I1415">
        <v>60480</v>
      </c>
    </row>
    <row r="1416" spans="1:9" x14ac:dyDescent="0.25">
      <c r="A1416" t="s">
        <v>9616</v>
      </c>
      <c r="C1416" t="s">
        <v>9617</v>
      </c>
      <c r="D1416" t="str">
        <f>"35285"</f>
        <v>35285</v>
      </c>
      <c r="E1416" t="s">
        <v>10336</v>
      </c>
      <c r="F1416" s="1">
        <v>44365</v>
      </c>
      <c r="G1416" t="str">
        <f>"300043"</f>
        <v>300043</v>
      </c>
      <c r="H1416" t="s">
        <v>2876</v>
      </c>
      <c r="I1416">
        <v>1069</v>
      </c>
    </row>
    <row r="1417" spans="1:9" x14ac:dyDescent="0.25">
      <c r="A1417" t="s">
        <v>9616</v>
      </c>
      <c r="C1417" t="s">
        <v>9617</v>
      </c>
      <c r="D1417" t="str">
        <f>"35975"</f>
        <v>35975</v>
      </c>
      <c r="E1417" t="s">
        <v>10340</v>
      </c>
      <c r="F1417" s="1">
        <v>44365</v>
      </c>
      <c r="G1417" t="str">
        <f>"300043"</f>
        <v>300043</v>
      </c>
      <c r="H1417" t="s">
        <v>2876</v>
      </c>
      <c r="I1417">
        <v>804</v>
      </c>
    </row>
    <row r="1418" spans="1:9" x14ac:dyDescent="0.25">
      <c r="A1418" t="s">
        <v>9616</v>
      </c>
      <c r="C1418" t="s">
        <v>9617</v>
      </c>
      <c r="D1418" t="str">
        <f>"36078"</f>
        <v>36078</v>
      </c>
      <c r="E1418" t="s">
        <v>10341</v>
      </c>
      <c r="F1418" s="1">
        <v>44365</v>
      </c>
      <c r="G1418" t="str">
        <f>"300043"</f>
        <v>300043</v>
      </c>
      <c r="H1418" t="s">
        <v>2876</v>
      </c>
      <c r="I1418">
        <v>807</v>
      </c>
    </row>
    <row r="1419" spans="1:9" x14ac:dyDescent="0.25">
      <c r="A1419" t="s">
        <v>9616</v>
      </c>
      <c r="C1419" t="s">
        <v>9617</v>
      </c>
      <c r="D1419" t="str">
        <f>"331421"</f>
        <v>331421</v>
      </c>
      <c r="E1419" t="s">
        <v>10341</v>
      </c>
      <c r="F1419" s="1">
        <v>44365</v>
      </c>
      <c r="G1419" t="str">
        <f>"300101"</f>
        <v>300101</v>
      </c>
      <c r="H1419" t="s">
        <v>2926</v>
      </c>
      <c r="I1419">
        <v>3293.41</v>
      </c>
    </row>
    <row r="1420" spans="1:9" x14ac:dyDescent="0.25">
      <c r="A1420" t="s">
        <v>9616</v>
      </c>
      <c r="C1420" t="s">
        <v>9617</v>
      </c>
      <c r="D1420" t="str">
        <f>"331621"</f>
        <v>331621</v>
      </c>
      <c r="E1420" t="s">
        <v>10340</v>
      </c>
      <c r="F1420" s="1">
        <v>44365</v>
      </c>
      <c r="G1420" t="str">
        <f>"300101"</f>
        <v>300101</v>
      </c>
      <c r="H1420" t="s">
        <v>2926</v>
      </c>
      <c r="I1420">
        <v>3138.77</v>
      </c>
    </row>
    <row r="1421" spans="1:9" x14ac:dyDescent="0.25">
      <c r="A1421" t="s">
        <v>9616</v>
      </c>
      <c r="C1421" t="s">
        <v>9617</v>
      </c>
      <c r="D1421" t="s">
        <v>10342</v>
      </c>
      <c r="E1421" t="str">
        <f>"2300"</f>
        <v>2300</v>
      </c>
      <c r="F1421" s="1">
        <v>44365</v>
      </c>
      <c r="G1421" t="str">
        <f>"300133"</f>
        <v>300133</v>
      </c>
      <c r="H1421" t="s">
        <v>2955</v>
      </c>
      <c r="I1421">
        <v>60480</v>
      </c>
    </row>
    <row r="1422" spans="1:9" x14ac:dyDescent="0.25">
      <c r="A1422" t="s">
        <v>9616</v>
      </c>
      <c r="C1422" t="s">
        <v>9617</v>
      </c>
      <c r="D1422" t="str">
        <f>"36560"</f>
        <v>36560</v>
      </c>
      <c r="E1422" t="s">
        <v>10343</v>
      </c>
      <c r="F1422" s="1">
        <v>44368</v>
      </c>
      <c r="G1422" t="str">
        <f>"300043"</f>
        <v>300043</v>
      </c>
      <c r="H1422" t="s">
        <v>2876</v>
      </c>
      <c r="I1422">
        <v>997</v>
      </c>
    </row>
    <row r="1423" spans="1:9" x14ac:dyDescent="0.25">
      <c r="A1423" t="s">
        <v>9616</v>
      </c>
      <c r="C1423" t="s">
        <v>9617</v>
      </c>
      <c r="D1423" t="str">
        <f>"2100625"</f>
        <v>2100625</v>
      </c>
      <c r="E1423" t="s">
        <v>10344</v>
      </c>
      <c r="F1423" s="1">
        <v>44368</v>
      </c>
      <c r="G1423" t="str">
        <f>"300064"</f>
        <v>300064</v>
      </c>
      <c r="H1423" t="s">
        <v>2896</v>
      </c>
      <c r="I1423">
        <v>25050</v>
      </c>
    </row>
    <row r="1424" spans="1:9" x14ac:dyDescent="0.25">
      <c r="A1424" t="s">
        <v>9616</v>
      </c>
      <c r="C1424" t="s">
        <v>9617</v>
      </c>
      <c r="D1424" t="str">
        <f>"331321"</f>
        <v>331321</v>
      </c>
      <c r="E1424" t="s">
        <v>10343</v>
      </c>
      <c r="F1424" s="1">
        <v>44368</v>
      </c>
      <c r="G1424" t="str">
        <f>"300101"</f>
        <v>300101</v>
      </c>
      <c r="H1424" t="s">
        <v>2926</v>
      </c>
      <c r="I1424">
        <v>3602.37</v>
      </c>
    </row>
    <row r="1425" spans="1:9" x14ac:dyDescent="0.25">
      <c r="A1425" t="s">
        <v>9616</v>
      </c>
      <c r="C1425" t="s">
        <v>9617</v>
      </c>
      <c r="D1425" t="str">
        <f>"202104712"</f>
        <v>202104712</v>
      </c>
      <c r="E1425" t="s">
        <v>10337</v>
      </c>
      <c r="F1425" s="1">
        <v>44368</v>
      </c>
      <c r="G1425" t="str">
        <f>"300191"</f>
        <v>300191</v>
      </c>
      <c r="H1425" t="s">
        <v>3008</v>
      </c>
      <c r="I1425">
        <v>3160.49</v>
      </c>
    </row>
    <row r="1426" spans="1:9" x14ac:dyDescent="0.25">
      <c r="A1426" t="s">
        <v>9616</v>
      </c>
      <c r="C1426" t="s">
        <v>9617</v>
      </c>
      <c r="D1426" t="str">
        <f>"2103658"</f>
        <v>2103658</v>
      </c>
      <c r="E1426" t="s">
        <v>10024</v>
      </c>
      <c r="F1426" s="1">
        <v>44369</v>
      </c>
      <c r="G1426" t="str">
        <f>"300064"</f>
        <v>300064</v>
      </c>
      <c r="H1426" t="s">
        <v>2896</v>
      </c>
      <c r="I1426">
        <v>23846.400000000001</v>
      </c>
    </row>
    <row r="1427" spans="1:9" x14ac:dyDescent="0.25">
      <c r="A1427" t="s">
        <v>9616</v>
      </c>
      <c r="C1427" t="s">
        <v>9617</v>
      </c>
      <c r="D1427" t="str">
        <f>"2103659"</f>
        <v>2103659</v>
      </c>
      <c r="E1427" t="s">
        <v>9852</v>
      </c>
      <c r="F1427" s="1">
        <v>44369</v>
      </c>
      <c r="G1427" t="str">
        <f>"300064"</f>
        <v>300064</v>
      </c>
      <c r="H1427" t="s">
        <v>2896</v>
      </c>
      <c r="I1427">
        <v>21066</v>
      </c>
    </row>
    <row r="1428" spans="1:9" x14ac:dyDescent="0.25">
      <c r="A1428" t="s">
        <v>9616</v>
      </c>
      <c r="C1428" t="s">
        <v>9617</v>
      </c>
      <c r="D1428" t="str">
        <f>"68560"</f>
        <v>68560</v>
      </c>
      <c r="E1428" t="s">
        <v>9191</v>
      </c>
      <c r="F1428" s="1">
        <v>44369</v>
      </c>
      <c r="G1428" t="str">
        <f>"300093"</f>
        <v>300093</v>
      </c>
      <c r="H1428" t="s">
        <v>2918</v>
      </c>
      <c r="I1428">
        <v>127498.1202</v>
      </c>
    </row>
    <row r="1429" spans="1:9" x14ac:dyDescent="0.25">
      <c r="A1429" t="s">
        <v>9616</v>
      </c>
      <c r="C1429" t="s">
        <v>9617</v>
      </c>
      <c r="D1429" t="str">
        <f>"10131952"</f>
        <v>10131952</v>
      </c>
      <c r="E1429" t="s">
        <v>2566</v>
      </c>
      <c r="F1429" s="1">
        <v>44369</v>
      </c>
      <c r="G1429" t="str">
        <f>"300115"</f>
        <v>300115</v>
      </c>
      <c r="H1429" t="s">
        <v>2938</v>
      </c>
      <c r="I1429">
        <v>206479.5128</v>
      </c>
    </row>
    <row r="1430" spans="1:9" x14ac:dyDescent="0.25">
      <c r="A1430" t="s">
        <v>9616</v>
      </c>
      <c r="C1430" t="s">
        <v>9617</v>
      </c>
      <c r="D1430" t="str">
        <f>"100039726"</f>
        <v>100039726</v>
      </c>
      <c r="E1430" t="s">
        <v>9191</v>
      </c>
      <c r="F1430" s="1">
        <v>44369</v>
      </c>
      <c r="G1430" t="str">
        <f>"300226"</f>
        <v>300226</v>
      </c>
      <c r="H1430" t="s">
        <v>3025</v>
      </c>
      <c r="I1430">
        <v>605643.5</v>
      </c>
    </row>
    <row r="1431" spans="1:9" x14ac:dyDescent="0.25">
      <c r="A1431" t="s">
        <v>9616</v>
      </c>
      <c r="C1431" t="s">
        <v>9617</v>
      </c>
      <c r="D1431" t="str">
        <f>"10132016"</f>
        <v>10132016</v>
      </c>
      <c r="E1431" t="s">
        <v>10345</v>
      </c>
      <c r="F1431" s="1">
        <v>44370</v>
      </c>
      <c r="G1431" t="str">
        <f>"300115"</f>
        <v>300115</v>
      </c>
      <c r="H1431" t="s">
        <v>2938</v>
      </c>
      <c r="I1431">
        <v>139417.16800000001</v>
      </c>
    </row>
    <row r="1432" spans="1:9" x14ac:dyDescent="0.25">
      <c r="A1432" t="s">
        <v>9616</v>
      </c>
      <c r="C1432" t="s">
        <v>9617</v>
      </c>
      <c r="D1432" t="str">
        <f>"10132017"</f>
        <v>10132017</v>
      </c>
      <c r="E1432" t="s">
        <v>9189</v>
      </c>
      <c r="F1432" s="1">
        <v>44370</v>
      </c>
      <c r="G1432" t="str">
        <f>"300115"</f>
        <v>300115</v>
      </c>
      <c r="H1432" t="s">
        <v>2938</v>
      </c>
      <c r="I1432">
        <v>101184.072</v>
      </c>
    </row>
    <row r="1433" spans="1:9" x14ac:dyDescent="0.25">
      <c r="A1433" t="s">
        <v>9616</v>
      </c>
      <c r="C1433" t="s">
        <v>9617</v>
      </c>
      <c r="D1433" t="str">
        <f>"1092021"</f>
        <v>1092021</v>
      </c>
      <c r="E1433" t="s">
        <v>10346</v>
      </c>
      <c r="F1433" s="1">
        <v>44370</v>
      </c>
      <c r="G1433" t="str">
        <f>"300307"</f>
        <v>300307</v>
      </c>
      <c r="H1433" t="s">
        <v>3048</v>
      </c>
      <c r="I1433">
        <v>10000</v>
      </c>
    </row>
    <row r="1434" spans="1:9" x14ac:dyDescent="0.25">
      <c r="A1434" t="s">
        <v>9616</v>
      </c>
      <c r="C1434" t="s">
        <v>9617</v>
      </c>
      <c r="D1434" t="str">
        <f>"37575"</f>
        <v>37575</v>
      </c>
      <c r="E1434" t="s">
        <v>10347</v>
      </c>
      <c r="F1434" s="1">
        <v>44371</v>
      </c>
      <c r="G1434" t="str">
        <f>"300043"</f>
        <v>300043</v>
      </c>
      <c r="H1434" t="s">
        <v>2876</v>
      </c>
      <c r="I1434">
        <v>831</v>
      </c>
    </row>
    <row r="1435" spans="1:9" x14ac:dyDescent="0.25">
      <c r="A1435" t="s">
        <v>9616</v>
      </c>
      <c r="C1435" t="s">
        <v>9617</v>
      </c>
      <c r="D1435" t="str">
        <f>"331521"</f>
        <v>331521</v>
      </c>
      <c r="E1435" t="s">
        <v>10347</v>
      </c>
      <c r="F1435" s="1">
        <v>44371</v>
      </c>
      <c r="G1435" t="str">
        <f>"300101"</f>
        <v>300101</v>
      </c>
      <c r="H1435" t="s">
        <v>2926</v>
      </c>
      <c r="I1435">
        <v>3293.98</v>
      </c>
    </row>
    <row r="1436" spans="1:9" x14ac:dyDescent="0.25">
      <c r="A1436" t="s">
        <v>9616</v>
      </c>
      <c r="C1436" t="s">
        <v>9617</v>
      </c>
      <c r="D1436" t="str">
        <f>"10132043"</f>
        <v>10132043</v>
      </c>
      <c r="E1436" t="s">
        <v>9335</v>
      </c>
      <c r="F1436" s="1">
        <v>44371</v>
      </c>
      <c r="G1436" t="str">
        <f>"300115"</f>
        <v>300115</v>
      </c>
      <c r="H1436" t="s">
        <v>2938</v>
      </c>
      <c r="I1436">
        <v>270565.54800000001</v>
      </c>
    </row>
    <row r="1437" spans="1:9" x14ac:dyDescent="0.25">
      <c r="A1437" t="s">
        <v>9616</v>
      </c>
      <c r="C1437" t="s">
        <v>9617</v>
      </c>
      <c r="D1437" t="str">
        <f>"1102021"</f>
        <v>1102021</v>
      </c>
      <c r="E1437" t="s">
        <v>10348</v>
      </c>
      <c r="F1437" s="1">
        <v>44371</v>
      </c>
      <c r="G1437" t="str">
        <f>"300307"</f>
        <v>300307</v>
      </c>
      <c r="H1437" t="s">
        <v>3048</v>
      </c>
      <c r="I1437">
        <v>12000</v>
      </c>
    </row>
    <row r="1438" spans="1:9" x14ac:dyDescent="0.25">
      <c r="A1438" t="s">
        <v>9616</v>
      </c>
      <c r="C1438" t="s">
        <v>9617</v>
      </c>
      <c r="D1438" t="str">
        <f>"37895"</f>
        <v>37895</v>
      </c>
      <c r="E1438" t="s">
        <v>10348</v>
      </c>
      <c r="F1438" s="1">
        <v>44372</v>
      </c>
      <c r="G1438" t="str">
        <f>"300043"</f>
        <v>300043</v>
      </c>
      <c r="H1438" t="s">
        <v>2876</v>
      </c>
      <c r="I1438">
        <v>973</v>
      </c>
    </row>
    <row r="1439" spans="1:9" x14ac:dyDescent="0.25">
      <c r="A1439" t="s">
        <v>9616</v>
      </c>
      <c r="C1439" t="s">
        <v>9617</v>
      </c>
      <c r="D1439" t="str">
        <f>"37906"</f>
        <v>37906</v>
      </c>
      <c r="E1439" t="s">
        <v>10346</v>
      </c>
      <c r="F1439" s="1">
        <v>44372</v>
      </c>
      <c r="G1439" t="str">
        <f>"300043"</f>
        <v>300043</v>
      </c>
      <c r="H1439" t="s">
        <v>2876</v>
      </c>
      <c r="I1439">
        <v>1064</v>
      </c>
    </row>
    <row r="1440" spans="1:9" x14ac:dyDescent="0.25">
      <c r="A1440" t="s">
        <v>9616</v>
      </c>
      <c r="C1440" t="s">
        <v>9617</v>
      </c>
      <c r="D1440" t="str">
        <f>"2103752"</f>
        <v>2103752</v>
      </c>
      <c r="E1440" t="s">
        <v>8903</v>
      </c>
      <c r="F1440" s="1">
        <v>44372</v>
      </c>
      <c r="G1440" t="str">
        <f>"300064"</f>
        <v>300064</v>
      </c>
      <c r="H1440" t="s">
        <v>2896</v>
      </c>
      <c r="I1440">
        <v>95954.16</v>
      </c>
    </row>
    <row r="1441" spans="1:9" x14ac:dyDescent="0.25">
      <c r="A1441" t="s">
        <v>9616</v>
      </c>
      <c r="C1441" t="s">
        <v>9617</v>
      </c>
      <c r="D1441" t="s">
        <v>10349</v>
      </c>
      <c r="E1441" t="s">
        <v>10350</v>
      </c>
      <c r="F1441" s="1">
        <v>44372</v>
      </c>
      <c r="G1441" t="str">
        <f>"300133"</f>
        <v>300133</v>
      </c>
      <c r="H1441" t="s">
        <v>2955</v>
      </c>
      <c r="I1441">
        <v>60480</v>
      </c>
    </row>
    <row r="1442" spans="1:9" x14ac:dyDescent="0.25">
      <c r="A1442" t="s">
        <v>9616</v>
      </c>
      <c r="C1442" t="s">
        <v>9617</v>
      </c>
      <c r="D1442" t="str">
        <f>"2103792"</f>
        <v>2103792</v>
      </c>
      <c r="E1442" t="s">
        <v>10351</v>
      </c>
      <c r="F1442" s="1">
        <v>44375</v>
      </c>
      <c r="G1442" t="str">
        <f>"300064"</f>
        <v>300064</v>
      </c>
      <c r="H1442" t="s">
        <v>2896</v>
      </c>
      <c r="I1442">
        <v>1051.6500000000001</v>
      </c>
    </row>
    <row r="1443" spans="1:9" x14ac:dyDescent="0.25">
      <c r="A1443" t="s">
        <v>9616</v>
      </c>
      <c r="C1443" t="s">
        <v>9617</v>
      </c>
      <c r="D1443" t="s">
        <v>10352</v>
      </c>
      <c r="E1443" t="s">
        <v>9858</v>
      </c>
      <c r="F1443" s="1">
        <v>44375</v>
      </c>
      <c r="G1443" t="str">
        <f>"300092"</f>
        <v>300092</v>
      </c>
      <c r="H1443" t="s">
        <v>2160</v>
      </c>
      <c r="I1443">
        <v>63906.19</v>
      </c>
    </row>
    <row r="1444" spans="1:9" x14ac:dyDescent="0.25">
      <c r="A1444" t="s">
        <v>9616</v>
      </c>
      <c r="C1444" t="s">
        <v>9617</v>
      </c>
      <c r="D1444" t="str">
        <f>"10132114"</f>
        <v>10132114</v>
      </c>
      <c r="E1444" t="s">
        <v>9189</v>
      </c>
      <c r="F1444" s="1">
        <v>44375</v>
      </c>
      <c r="G1444" t="str">
        <f>"300115"</f>
        <v>300115</v>
      </c>
      <c r="H1444" t="s">
        <v>2938</v>
      </c>
      <c r="I1444">
        <v>294874.62400000001</v>
      </c>
    </row>
    <row r="1445" spans="1:9" x14ac:dyDescent="0.25">
      <c r="A1445" t="s">
        <v>9616</v>
      </c>
      <c r="C1445" t="s">
        <v>9617</v>
      </c>
      <c r="D1445" t="str">
        <f>"10132118"</f>
        <v>10132118</v>
      </c>
      <c r="E1445" t="s">
        <v>1313</v>
      </c>
      <c r="F1445" s="1">
        <v>44375</v>
      </c>
      <c r="G1445" t="str">
        <f>"300115"</f>
        <v>300115</v>
      </c>
      <c r="H1445" t="s">
        <v>2938</v>
      </c>
      <c r="I1445">
        <v>296910.40500000003</v>
      </c>
    </row>
    <row r="1446" spans="1:9" x14ac:dyDescent="0.25">
      <c r="A1446" t="s">
        <v>9616</v>
      </c>
      <c r="C1446" t="s">
        <v>9617</v>
      </c>
      <c r="D1446" t="str">
        <f>"202104924"</f>
        <v>202104924</v>
      </c>
      <c r="E1446" t="s">
        <v>10336</v>
      </c>
      <c r="F1446" s="1">
        <v>44375</v>
      </c>
      <c r="G1446" t="str">
        <f>"300191"</f>
        <v>300191</v>
      </c>
      <c r="H1446" t="s">
        <v>3008</v>
      </c>
      <c r="I1446">
        <v>3622.51</v>
      </c>
    </row>
    <row r="1447" spans="1:9" x14ac:dyDescent="0.25">
      <c r="A1447" t="s">
        <v>9616</v>
      </c>
      <c r="C1447" t="s">
        <v>9617</v>
      </c>
      <c r="D1447" t="str">
        <f>"38557"</f>
        <v>38557</v>
      </c>
      <c r="E1447" t="s">
        <v>10353</v>
      </c>
      <c r="F1447" s="1">
        <v>44376</v>
      </c>
      <c r="G1447" t="str">
        <f>"300043"</f>
        <v>300043</v>
      </c>
      <c r="H1447" t="s">
        <v>2876</v>
      </c>
      <c r="I1447">
        <v>1149</v>
      </c>
    </row>
    <row r="1448" spans="1:9" x14ac:dyDescent="0.25">
      <c r="A1448" t="s">
        <v>9616</v>
      </c>
      <c r="C1448" t="s">
        <v>9617</v>
      </c>
      <c r="D1448" t="str">
        <f>"10132152"</f>
        <v>10132152</v>
      </c>
      <c r="E1448" t="s">
        <v>9633</v>
      </c>
      <c r="F1448" s="1">
        <v>44376</v>
      </c>
      <c r="G1448" t="str">
        <f>"300115"</f>
        <v>300115</v>
      </c>
      <c r="H1448" t="s">
        <v>2938</v>
      </c>
      <c r="I1448">
        <v>59722.904999999999</v>
      </c>
    </row>
    <row r="1449" spans="1:9" x14ac:dyDescent="0.25">
      <c r="A1449" t="s">
        <v>9616</v>
      </c>
      <c r="C1449" t="s">
        <v>9617</v>
      </c>
      <c r="D1449" t="str">
        <f>"10132155"</f>
        <v>10132155</v>
      </c>
      <c r="E1449" t="s">
        <v>10354</v>
      </c>
      <c r="F1449" s="1">
        <v>44376</v>
      </c>
      <c r="G1449" t="str">
        <f>"300115"</f>
        <v>300115</v>
      </c>
      <c r="H1449" t="s">
        <v>2938</v>
      </c>
      <c r="I1449">
        <v>122651.0208</v>
      </c>
    </row>
    <row r="1450" spans="1:9" x14ac:dyDescent="0.25">
      <c r="A1450" t="s">
        <v>9616</v>
      </c>
      <c r="C1450" t="s">
        <v>9617</v>
      </c>
      <c r="D1450" t="str">
        <f>"38970"</f>
        <v>38970</v>
      </c>
      <c r="E1450" t="s">
        <v>10355</v>
      </c>
      <c r="F1450" s="1">
        <v>44377</v>
      </c>
      <c r="G1450" t="str">
        <f>"300043"</f>
        <v>300043</v>
      </c>
      <c r="H1450" t="s">
        <v>2876</v>
      </c>
      <c r="I1450">
        <v>1122</v>
      </c>
    </row>
    <row r="1451" spans="1:9" x14ac:dyDescent="0.25">
      <c r="A1451" t="s">
        <v>9616</v>
      </c>
      <c r="C1451" t="s">
        <v>9617</v>
      </c>
      <c r="D1451" t="str">
        <f>"2100706"</f>
        <v>2100706</v>
      </c>
      <c r="E1451" t="s">
        <v>10356</v>
      </c>
      <c r="F1451" s="1">
        <v>44377</v>
      </c>
      <c r="G1451" t="str">
        <f>"300064"</f>
        <v>300064</v>
      </c>
      <c r="H1451" t="s">
        <v>2896</v>
      </c>
      <c r="I1451">
        <v>14190</v>
      </c>
    </row>
    <row r="1452" spans="1:9" x14ac:dyDescent="0.25">
      <c r="A1452" t="s">
        <v>9616</v>
      </c>
      <c r="C1452" t="s">
        <v>9617</v>
      </c>
      <c r="D1452" t="str">
        <f>"331221"</f>
        <v>331221</v>
      </c>
      <c r="E1452" t="s">
        <v>10355</v>
      </c>
      <c r="F1452" s="1">
        <v>44377</v>
      </c>
      <c r="G1452" t="str">
        <f>"300101"</f>
        <v>300101</v>
      </c>
      <c r="H1452" t="s">
        <v>2926</v>
      </c>
      <c r="I1452">
        <v>3288.47</v>
      </c>
    </row>
    <row r="1453" spans="1:9" x14ac:dyDescent="0.25">
      <c r="A1453" t="s">
        <v>9616</v>
      </c>
      <c r="C1453" t="s">
        <v>9617</v>
      </c>
      <c r="D1453" t="str">
        <f>"10132190"</f>
        <v>10132190</v>
      </c>
      <c r="E1453" t="s">
        <v>9633</v>
      </c>
      <c r="F1453" s="1">
        <v>44377</v>
      </c>
      <c r="G1453" t="str">
        <f>"300115"</f>
        <v>300115</v>
      </c>
      <c r="H1453" t="s">
        <v>2938</v>
      </c>
      <c r="I1453">
        <v>115938.427</v>
      </c>
    </row>
    <row r="1454" spans="1:9" x14ac:dyDescent="0.25">
      <c r="A1454" t="s">
        <v>9616</v>
      </c>
      <c r="C1454" t="s">
        <v>9617</v>
      </c>
      <c r="D1454" t="str">
        <f>"10132191"</f>
        <v>10132191</v>
      </c>
      <c r="E1454" t="s">
        <v>10357</v>
      </c>
      <c r="F1454" s="1">
        <v>44377</v>
      </c>
      <c r="G1454" t="str">
        <f>"300115"</f>
        <v>300115</v>
      </c>
      <c r="H1454" t="s">
        <v>2938</v>
      </c>
      <c r="I1454">
        <v>93472.335000000006</v>
      </c>
    </row>
    <row r="1455" spans="1:9" x14ac:dyDescent="0.25">
      <c r="A1455" t="s">
        <v>9616</v>
      </c>
      <c r="C1455" t="s">
        <v>9617</v>
      </c>
      <c r="D1455" t="str">
        <f>"202105061"</f>
        <v>202105061</v>
      </c>
      <c r="E1455" t="s">
        <v>10348</v>
      </c>
      <c r="F1455" s="1">
        <v>44377</v>
      </c>
      <c r="G1455" t="str">
        <f>"300191"</f>
        <v>300191</v>
      </c>
      <c r="H1455" t="s">
        <v>3008</v>
      </c>
      <c r="I1455">
        <v>3121.82</v>
      </c>
    </row>
    <row r="1456" spans="1:9" x14ac:dyDescent="0.25">
      <c r="A1456" t="s">
        <v>9616</v>
      </c>
      <c r="C1456" t="s">
        <v>9617</v>
      </c>
      <c r="D1456" t="str">
        <f>"202105064"</f>
        <v>202105064</v>
      </c>
      <c r="E1456" t="s">
        <v>10346</v>
      </c>
      <c r="F1456" s="1">
        <v>44377</v>
      </c>
      <c r="G1456" t="str">
        <f>"300191"</f>
        <v>300191</v>
      </c>
      <c r="H1456" t="s">
        <v>3008</v>
      </c>
      <c r="I1456">
        <v>3121.82</v>
      </c>
    </row>
    <row r="1457" spans="1:9" x14ac:dyDescent="0.25">
      <c r="A1457" t="s">
        <v>9616</v>
      </c>
      <c r="C1457" t="s">
        <v>9617</v>
      </c>
      <c r="D1457" t="str">
        <f>"016121"</f>
        <v>016121</v>
      </c>
      <c r="E1457" t="s">
        <v>10327</v>
      </c>
      <c r="F1457" s="1">
        <v>44377</v>
      </c>
      <c r="G1457" t="str">
        <f>"300192"</f>
        <v>300192</v>
      </c>
      <c r="H1457" t="s">
        <v>3009</v>
      </c>
      <c r="I1457">
        <v>12500</v>
      </c>
    </row>
    <row r="1458" spans="1:9" x14ac:dyDescent="0.25">
      <c r="A1458" t="s">
        <v>9616</v>
      </c>
      <c r="C1458" t="s">
        <v>9617</v>
      </c>
      <c r="D1458" t="str">
        <f>"016221"</f>
        <v>016221</v>
      </c>
      <c r="E1458" t="s">
        <v>10328</v>
      </c>
      <c r="F1458" s="1">
        <v>44377</v>
      </c>
      <c r="G1458" t="str">
        <f>"300192"</f>
        <v>300192</v>
      </c>
      <c r="H1458" t="s">
        <v>3009</v>
      </c>
      <c r="I1458">
        <v>13000</v>
      </c>
    </row>
    <row r="1459" spans="1:9" x14ac:dyDescent="0.25">
      <c r="A1459" t="s">
        <v>9616</v>
      </c>
      <c r="C1459" t="s">
        <v>9617</v>
      </c>
      <c r="D1459" t="str">
        <f>"016321"</f>
        <v>016321</v>
      </c>
      <c r="E1459" t="s">
        <v>10337</v>
      </c>
      <c r="F1459" s="1">
        <v>44377</v>
      </c>
      <c r="G1459" t="str">
        <f>"300192"</f>
        <v>300192</v>
      </c>
      <c r="H1459" t="s">
        <v>3009</v>
      </c>
      <c r="I1459">
        <v>12500</v>
      </c>
    </row>
    <row r="1460" spans="1:9" x14ac:dyDescent="0.25">
      <c r="A1460" t="s">
        <v>9616</v>
      </c>
      <c r="C1460" t="s">
        <v>9617</v>
      </c>
      <c r="D1460" t="str">
        <f>"016421"</f>
        <v>016421</v>
      </c>
      <c r="E1460" t="s">
        <v>10353</v>
      </c>
      <c r="F1460" s="1">
        <v>44377</v>
      </c>
      <c r="G1460" t="str">
        <f>"300192"</f>
        <v>300192</v>
      </c>
      <c r="H1460" t="s">
        <v>3009</v>
      </c>
      <c r="I1460">
        <v>12500</v>
      </c>
    </row>
    <row r="1461" spans="1:9" x14ac:dyDescent="0.25">
      <c r="A1461" t="s">
        <v>9616</v>
      </c>
      <c r="C1461" t="s">
        <v>9617</v>
      </c>
      <c r="D1461" t="s">
        <v>10358</v>
      </c>
      <c r="E1461" t="s">
        <v>9629</v>
      </c>
      <c r="F1461" s="1">
        <v>44378</v>
      </c>
      <c r="G1461" t="str">
        <f>"300133"</f>
        <v>300133</v>
      </c>
      <c r="H1461" t="s">
        <v>2955</v>
      </c>
      <c r="I1461">
        <v>58180.800000000003</v>
      </c>
    </row>
    <row r="1462" spans="1:9" x14ac:dyDescent="0.25">
      <c r="A1462" t="s">
        <v>9616</v>
      </c>
      <c r="C1462" t="s">
        <v>9617</v>
      </c>
      <c r="D1462" t="str">
        <f>"10132283"</f>
        <v>10132283</v>
      </c>
      <c r="E1462" t="s">
        <v>1332</v>
      </c>
      <c r="F1462" s="1">
        <v>44379</v>
      </c>
      <c r="G1462" t="str">
        <f>"300115"</f>
        <v>300115</v>
      </c>
      <c r="H1462" t="s">
        <v>2938</v>
      </c>
      <c r="I1462">
        <v>87125.543999999994</v>
      </c>
    </row>
    <row r="1463" spans="1:9" x14ac:dyDescent="0.25">
      <c r="A1463" t="s">
        <v>9616</v>
      </c>
      <c r="C1463" t="s">
        <v>9617</v>
      </c>
      <c r="D1463" t="str">
        <f>"10132284"</f>
        <v>10132284</v>
      </c>
      <c r="E1463" t="s">
        <v>1332</v>
      </c>
      <c r="F1463" s="1">
        <v>44379</v>
      </c>
      <c r="G1463" t="str">
        <f>"300115"</f>
        <v>300115</v>
      </c>
      <c r="H1463" t="s">
        <v>2938</v>
      </c>
      <c r="I1463">
        <v>87125.543999999994</v>
      </c>
    </row>
    <row r="1464" spans="1:9" x14ac:dyDescent="0.25">
      <c r="A1464" t="s">
        <v>9616</v>
      </c>
      <c r="C1464" t="s">
        <v>9617</v>
      </c>
      <c r="D1464" t="str">
        <f>"39763"</f>
        <v>39763</v>
      </c>
      <c r="E1464" t="s">
        <v>10359</v>
      </c>
      <c r="F1464" s="1">
        <v>44382</v>
      </c>
      <c r="G1464" t="str">
        <f>"300043"</f>
        <v>300043</v>
      </c>
      <c r="H1464" t="s">
        <v>2876</v>
      </c>
      <c r="I1464">
        <v>838</v>
      </c>
    </row>
    <row r="1465" spans="1:9" x14ac:dyDescent="0.25">
      <c r="A1465" t="s">
        <v>9616</v>
      </c>
      <c r="C1465" t="s">
        <v>9617</v>
      </c>
      <c r="D1465" t="str">
        <f>"332021"</f>
        <v>332021</v>
      </c>
      <c r="E1465" t="s">
        <v>10359</v>
      </c>
      <c r="F1465" s="1">
        <v>44382</v>
      </c>
      <c r="G1465" t="str">
        <f>"300101"</f>
        <v>300101</v>
      </c>
      <c r="H1465" t="s">
        <v>2926</v>
      </c>
      <c r="I1465">
        <v>3751.14</v>
      </c>
    </row>
    <row r="1466" spans="1:9" x14ac:dyDescent="0.25">
      <c r="A1466" t="s">
        <v>9616</v>
      </c>
      <c r="C1466" t="s">
        <v>9617</v>
      </c>
      <c r="D1466" t="str">
        <f>"10132285"</f>
        <v>10132285</v>
      </c>
      <c r="E1466" t="s">
        <v>2172</v>
      </c>
      <c r="F1466" s="1">
        <v>44382</v>
      </c>
      <c r="G1466" t="str">
        <f>"300115"</f>
        <v>300115</v>
      </c>
      <c r="H1466" t="s">
        <v>2938</v>
      </c>
      <c r="I1466">
        <v>176584.1</v>
      </c>
    </row>
    <row r="1467" spans="1:9" x14ac:dyDescent="0.25">
      <c r="A1467" t="s">
        <v>9616</v>
      </c>
      <c r="C1467" t="s">
        <v>9617</v>
      </c>
      <c r="D1467" t="str">
        <f>"10132286"</f>
        <v>10132286</v>
      </c>
      <c r="E1467" t="s">
        <v>1332</v>
      </c>
      <c r="F1467" s="1">
        <v>44382</v>
      </c>
      <c r="G1467" t="str">
        <f>"300115"</f>
        <v>300115</v>
      </c>
      <c r="H1467" t="s">
        <v>2938</v>
      </c>
      <c r="I1467">
        <v>87125.543999999994</v>
      </c>
    </row>
    <row r="1468" spans="1:9" x14ac:dyDescent="0.25">
      <c r="A1468" t="s">
        <v>9616</v>
      </c>
      <c r="C1468" t="s">
        <v>9617</v>
      </c>
      <c r="D1468" t="str">
        <f>"202105182"</f>
        <v>202105182</v>
      </c>
      <c r="E1468" t="s">
        <v>10353</v>
      </c>
      <c r="F1468" s="1">
        <v>44382</v>
      </c>
      <c r="G1468" t="str">
        <f>"300191"</f>
        <v>300191</v>
      </c>
      <c r="H1468" t="s">
        <v>3008</v>
      </c>
      <c r="I1468">
        <v>3140.27</v>
      </c>
    </row>
    <row r="1469" spans="1:9" x14ac:dyDescent="0.25">
      <c r="A1469" t="s">
        <v>9616</v>
      </c>
      <c r="C1469" t="s">
        <v>9617</v>
      </c>
      <c r="D1469" t="str">
        <f>"1172021"</f>
        <v>1172021</v>
      </c>
      <c r="E1469" t="s">
        <v>10360</v>
      </c>
      <c r="F1469" s="1">
        <v>44382</v>
      </c>
      <c r="G1469" t="str">
        <f>"300307"</f>
        <v>300307</v>
      </c>
      <c r="H1469" t="s">
        <v>3048</v>
      </c>
      <c r="I1469">
        <v>10000</v>
      </c>
    </row>
    <row r="1470" spans="1:9" x14ac:dyDescent="0.25">
      <c r="A1470" t="s">
        <v>9616</v>
      </c>
      <c r="C1470" t="s">
        <v>9617</v>
      </c>
      <c r="D1470" t="str">
        <f>"40283"</f>
        <v>40283</v>
      </c>
      <c r="E1470" t="s">
        <v>10361</v>
      </c>
      <c r="F1470" s="1">
        <v>44383</v>
      </c>
      <c r="G1470" t="str">
        <f>"300043"</f>
        <v>300043</v>
      </c>
      <c r="H1470" t="s">
        <v>2876</v>
      </c>
      <c r="I1470">
        <v>727</v>
      </c>
    </row>
    <row r="1471" spans="1:9" x14ac:dyDescent="0.25">
      <c r="A1471" t="s">
        <v>9616</v>
      </c>
      <c r="C1471" t="s">
        <v>9617</v>
      </c>
      <c r="D1471" t="str">
        <f>"5321"</f>
        <v>5321</v>
      </c>
      <c r="E1471" t="s">
        <v>10362</v>
      </c>
      <c r="F1471" s="1">
        <v>44383</v>
      </c>
      <c r="G1471" t="str">
        <f>"300101"</f>
        <v>300101</v>
      </c>
      <c r="H1471" t="s">
        <v>2926</v>
      </c>
      <c r="I1471">
        <v>2124.91</v>
      </c>
    </row>
    <row r="1472" spans="1:9" x14ac:dyDescent="0.25">
      <c r="A1472" t="s">
        <v>9616</v>
      </c>
      <c r="C1472" t="s">
        <v>9617</v>
      </c>
      <c r="D1472" t="str">
        <f>"331921"</f>
        <v>331921</v>
      </c>
      <c r="E1472" t="s">
        <v>10361</v>
      </c>
      <c r="F1472" s="1">
        <v>44383</v>
      </c>
      <c r="G1472" t="str">
        <f>"300101"</f>
        <v>300101</v>
      </c>
      <c r="H1472" t="s">
        <v>2926</v>
      </c>
      <c r="I1472">
        <v>5536.14</v>
      </c>
    </row>
    <row r="1473" spans="1:9" x14ac:dyDescent="0.25">
      <c r="A1473" t="s">
        <v>9616</v>
      </c>
      <c r="C1473" t="s">
        <v>9617</v>
      </c>
      <c r="D1473" t="str">
        <f>"40339"</f>
        <v>40339</v>
      </c>
      <c r="E1473" t="s">
        <v>10363</v>
      </c>
      <c r="F1473" s="1">
        <v>44384</v>
      </c>
      <c r="G1473" t="str">
        <f>"300043"</f>
        <v>300043</v>
      </c>
      <c r="H1473" t="s">
        <v>2876</v>
      </c>
      <c r="I1473">
        <v>752</v>
      </c>
    </row>
    <row r="1474" spans="1:9" x14ac:dyDescent="0.25">
      <c r="A1474" t="s">
        <v>9616</v>
      </c>
      <c r="C1474" t="s">
        <v>9617</v>
      </c>
      <c r="D1474" t="str">
        <f>"40562"</f>
        <v>40562</v>
      </c>
      <c r="E1474" t="s">
        <v>10360</v>
      </c>
      <c r="F1474" s="1">
        <v>44384</v>
      </c>
      <c r="G1474" t="str">
        <f>"300043"</f>
        <v>300043</v>
      </c>
      <c r="H1474" t="s">
        <v>2876</v>
      </c>
      <c r="I1474">
        <v>759</v>
      </c>
    </row>
    <row r="1475" spans="1:9" x14ac:dyDescent="0.25">
      <c r="A1475" t="s">
        <v>9616</v>
      </c>
      <c r="C1475" t="s">
        <v>9617</v>
      </c>
      <c r="D1475" t="str">
        <f>"40601"</f>
        <v>40601</v>
      </c>
      <c r="E1475" t="s">
        <v>10364</v>
      </c>
      <c r="F1475" s="1">
        <v>44384</v>
      </c>
      <c r="G1475" t="str">
        <f>"300043"</f>
        <v>300043</v>
      </c>
      <c r="H1475" t="s">
        <v>2876</v>
      </c>
      <c r="I1475">
        <v>444</v>
      </c>
    </row>
    <row r="1476" spans="1:9" x14ac:dyDescent="0.25">
      <c r="A1476" t="s">
        <v>9616</v>
      </c>
      <c r="C1476" t="s">
        <v>9617</v>
      </c>
      <c r="D1476" t="str">
        <f>"362821"</f>
        <v>362821</v>
      </c>
      <c r="E1476" t="s">
        <v>10364</v>
      </c>
      <c r="F1476" s="1">
        <v>44384</v>
      </c>
      <c r="G1476" t="str">
        <f>"300101"</f>
        <v>300101</v>
      </c>
      <c r="H1476" t="s">
        <v>2926</v>
      </c>
      <c r="I1476">
        <v>3284.08</v>
      </c>
    </row>
    <row r="1477" spans="1:9" x14ac:dyDescent="0.25">
      <c r="A1477" t="s">
        <v>9616</v>
      </c>
      <c r="C1477" t="s">
        <v>9617</v>
      </c>
      <c r="D1477" t="str">
        <f>"364421"</f>
        <v>364421</v>
      </c>
      <c r="E1477" t="s">
        <v>10363</v>
      </c>
      <c r="F1477" s="1">
        <v>44384</v>
      </c>
      <c r="G1477" t="str">
        <f>"300101"</f>
        <v>300101</v>
      </c>
      <c r="H1477" t="s">
        <v>2926</v>
      </c>
      <c r="I1477">
        <v>4055.93</v>
      </c>
    </row>
    <row r="1478" spans="1:9" x14ac:dyDescent="0.25">
      <c r="A1478" t="s">
        <v>9616</v>
      </c>
      <c r="C1478" t="s">
        <v>9617</v>
      </c>
      <c r="D1478" t="str">
        <f>"90553"</f>
        <v>90553</v>
      </c>
      <c r="E1478" t="s">
        <v>10164</v>
      </c>
      <c r="F1478" s="1">
        <v>44386</v>
      </c>
      <c r="G1478" t="str">
        <f>"300043"</f>
        <v>300043</v>
      </c>
      <c r="H1478" t="s">
        <v>2876</v>
      </c>
      <c r="I1478">
        <v>464</v>
      </c>
    </row>
    <row r="1479" spans="1:9" x14ac:dyDescent="0.25">
      <c r="A1479" t="s">
        <v>9616</v>
      </c>
      <c r="C1479" t="s">
        <v>9617</v>
      </c>
      <c r="D1479" t="s">
        <v>10365</v>
      </c>
      <c r="E1479" t="s">
        <v>10366</v>
      </c>
      <c r="F1479" s="1">
        <v>44386</v>
      </c>
      <c r="G1479" t="str">
        <f>"300092"</f>
        <v>300092</v>
      </c>
      <c r="H1479" t="s">
        <v>2160</v>
      </c>
      <c r="I1479">
        <v>34073.919999999998</v>
      </c>
    </row>
    <row r="1480" spans="1:9" x14ac:dyDescent="0.25">
      <c r="A1480" t="s">
        <v>9616</v>
      </c>
      <c r="C1480" t="s">
        <v>9617</v>
      </c>
      <c r="D1480" t="str">
        <f>"202105359"</f>
        <v>202105359</v>
      </c>
      <c r="E1480" t="s">
        <v>10360</v>
      </c>
      <c r="F1480" s="1">
        <v>44389</v>
      </c>
      <c r="G1480" t="str">
        <f>"300191"</f>
        <v>300191</v>
      </c>
      <c r="H1480" t="s">
        <v>3008</v>
      </c>
      <c r="I1480">
        <v>3113.09</v>
      </c>
    </row>
    <row r="1481" spans="1:9" x14ac:dyDescent="0.25">
      <c r="A1481" t="s">
        <v>9616</v>
      </c>
      <c r="C1481" t="s">
        <v>9617</v>
      </c>
      <c r="D1481" t="str">
        <f>"10132523"</f>
        <v>10132523</v>
      </c>
      <c r="E1481" t="s">
        <v>9189</v>
      </c>
      <c r="F1481" s="1">
        <v>44390</v>
      </c>
      <c r="G1481" t="str">
        <f>"300115"</f>
        <v>300115</v>
      </c>
      <c r="H1481" t="s">
        <v>2938</v>
      </c>
      <c r="I1481">
        <v>270565.54800000001</v>
      </c>
    </row>
    <row r="1482" spans="1:9" x14ac:dyDescent="0.25">
      <c r="A1482" t="s">
        <v>9616</v>
      </c>
      <c r="C1482" t="s">
        <v>9617</v>
      </c>
      <c r="D1482" t="str">
        <f>"10132560"</f>
        <v>10132560</v>
      </c>
      <c r="E1482" t="s">
        <v>9189</v>
      </c>
      <c r="F1482" s="1">
        <v>44390</v>
      </c>
      <c r="G1482" t="str">
        <f>"300115"</f>
        <v>300115</v>
      </c>
      <c r="H1482" t="s">
        <v>2938</v>
      </c>
      <c r="I1482">
        <v>262406.49599999998</v>
      </c>
    </row>
    <row r="1483" spans="1:9" x14ac:dyDescent="0.25">
      <c r="A1483" t="s">
        <v>9616</v>
      </c>
      <c r="C1483" t="s">
        <v>9617</v>
      </c>
      <c r="D1483" t="str">
        <f>"42297"</f>
        <v>42297</v>
      </c>
      <c r="E1483" t="s">
        <v>10367</v>
      </c>
      <c r="F1483" s="1">
        <v>44391</v>
      </c>
      <c r="G1483" t="str">
        <f>"300043"</f>
        <v>300043</v>
      </c>
      <c r="H1483" t="s">
        <v>2876</v>
      </c>
      <c r="I1483">
        <v>1068</v>
      </c>
    </row>
    <row r="1484" spans="1:9" x14ac:dyDescent="0.25">
      <c r="A1484" t="s">
        <v>9616</v>
      </c>
      <c r="C1484" t="s">
        <v>9617</v>
      </c>
      <c r="D1484" t="str">
        <f>"42523"</f>
        <v>42523</v>
      </c>
      <c r="E1484" t="s">
        <v>10368</v>
      </c>
      <c r="F1484" s="1">
        <v>44392</v>
      </c>
      <c r="G1484" t="str">
        <f>"300043"</f>
        <v>300043</v>
      </c>
      <c r="H1484" t="s">
        <v>2876</v>
      </c>
      <c r="I1484">
        <v>1095</v>
      </c>
    </row>
    <row r="1485" spans="1:9" x14ac:dyDescent="0.25">
      <c r="A1485" t="s">
        <v>9616</v>
      </c>
      <c r="C1485" t="s">
        <v>9617</v>
      </c>
      <c r="D1485" t="str">
        <f>"94300"</f>
        <v>94300</v>
      </c>
      <c r="E1485" t="s">
        <v>10369</v>
      </c>
      <c r="F1485" s="1">
        <v>44393</v>
      </c>
      <c r="G1485" t="str">
        <f>"300043"</f>
        <v>300043</v>
      </c>
      <c r="H1485" t="s">
        <v>2876</v>
      </c>
      <c r="I1485">
        <v>1980</v>
      </c>
    </row>
    <row r="1486" spans="1:9" x14ac:dyDescent="0.25">
      <c r="A1486" t="s">
        <v>9616</v>
      </c>
      <c r="C1486" t="s">
        <v>9617</v>
      </c>
      <c r="D1486" t="str">
        <f>"221310156"</f>
        <v>221310156</v>
      </c>
      <c r="E1486" t="s">
        <v>9714</v>
      </c>
      <c r="F1486" s="1">
        <v>44397</v>
      </c>
      <c r="G1486" t="str">
        <f>"300080"</f>
        <v>300080</v>
      </c>
      <c r="H1486" t="s">
        <v>2907</v>
      </c>
      <c r="I1486">
        <v>192100.12770000001</v>
      </c>
    </row>
    <row r="1487" spans="1:9" x14ac:dyDescent="0.25">
      <c r="A1487" t="s">
        <v>9616</v>
      </c>
      <c r="C1487" t="s">
        <v>9617</v>
      </c>
      <c r="D1487" t="str">
        <f>"202105552"</f>
        <v>202105552</v>
      </c>
      <c r="E1487" t="s">
        <v>10367</v>
      </c>
      <c r="F1487" s="1">
        <v>44397</v>
      </c>
      <c r="G1487" t="str">
        <f>"300191"</f>
        <v>300191</v>
      </c>
      <c r="H1487" t="s">
        <v>3008</v>
      </c>
      <c r="I1487">
        <v>3135.02</v>
      </c>
    </row>
    <row r="1488" spans="1:9" x14ac:dyDescent="0.25">
      <c r="A1488" t="s">
        <v>9616</v>
      </c>
      <c r="C1488" t="s">
        <v>9617</v>
      </c>
      <c r="D1488" t="str">
        <f>"202105554"</f>
        <v>202105554</v>
      </c>
      <c r="E1488" t="s">
        <v>10368</v>
      </c>
      <c r="F1488" s="1">
        <v>44397</v>
      </c>
      <c r="G1488" t="str">
        <f>"300191"</f>
        <v>300191</v>
      </c>
      <c r="H1488" t="s">
        <v>3008</v>
      </c>
      <c r="I1488">
        <v>3132.19</v>
      </c>
    </row>
    <row r="1489" spans="1:9" x14ac:dyDescent="0.25">
      <c r="A1489" t="s">
        <v>9616</v>
      </c>
      <c r="C1489" t="s">
        <v>9617</v>
      </c>
      <c r="D1489" t="str">
        <f>"2100778"</f>
        <v>2100778</v>
      </c>
      <c r="E1489" t="s">
        <v>10370</v>
      </c>
      <c r="F1489" s="1">
        <v>44403</v>
      </c>
      <c r="G1489" t="str">
        <f>"300064"</f>
        <v>300064</v>
      </c>
      <c r="H1489" t="s">
        <v>2896</v>
      </c>
      <c r="I1489">
        <v>29610</v>
      </c>
    </row>
    <row r="1490" spans="1:9" x14ac:dyDescent="0.25">
      <c r="A1490" t="s">
        <v>9616</v>
      </c>
      <c r="C1490" t="s">
        <v>9617</v>
      </c>
      <c r="D1490" t="str">
        <f>"10132836"</f>
        <v>10132836</v>
      </c>
      <c r="E1490" t="s">
        <v>9249</v>
      </c>
      <c r="F1490" s="1">
        <v>44403</v>
      </c>
      <c r="G1490" t="str">
        <f>"300115"</f>
        <v>300115</v>
      </c>
      <c r="H1490" t="s">
        <v>2938</v>
      </c>
      <c r="I1490">
        <v>158079.636</v>
      </c>
    </row>
    <row r="1491" spans="1:9" x14ac:dyDescent="0.25">
      <c r="A1491" t="s">
        <v>9616</v>
      </c>
      <c r="C1491" t="s">
        <v>9617</v>
      </c>
      <c r="D1491" t="str">
        <f>"211398"</f>
        <v>211398</v>
      </c>
      <c r="E1491" t="s">
        <v>10371</v>
      </c>
      <c r="F1491" s="1">
        <v>44404</v>
      </c>
      <c r="G1491" t="str">
        <f>"300301"</f>
        <v>300301</v>
      </c>
      <c r="H1491" t="s">
        <v>3043</v>
      </c>
      <c r="I1491">
        <v>7176.25</v>
      </c>
    </row>
    <row r="1492" spans="1:9" x14ac:dyDescent="0.25">
      <c r="A1492" t="s">
        <v>9616</v>
      </c>
      <c r="C1492" t="s">
        <v>9617</v>
      </c>
      <c r="D1492" t="str">
        <f>"44697"</f>
        <v>44697</v>
      </c>
      <c r="E1492" t="s">
        <v>10372</v>
      </c>
      <c r="F1492" s="1">
        <v>44405</v>
      </c>
      <c r="G1492" t="str">
        <f>"300043"</f>
        <v>300043</v>
      </c>
      <c r="H1492" t="s">
        <v>2876</v>
      </c>
      <c r="I1492">
        <v>672</v>
      </c>
    </row>
    <row r="1493" spans="1:9" x14ac:dyDescent="0.25">
      <c r="A1493" t="s">
        <v>9616</v>
      </c>
      <c r="C1493" t="s">
        <v>9617</v>
      </c>
      <c r="D1493" t="str">
        <f>"368421"</f>
        <v>368421</v>
      </c>
      <c r="E1493" t="s">
        <v>10372</v>
      </c>
      <c r="F1493" s="1">
        <v>44405</v>
      </c>
      <c r="G1493" t="str">
        <f>"300101"</f>
        <v>300101</v>
      </c>
      <c r="H1493" t="s">
        <v>2926</v>
      </c>
      <c r="I1493">
        <v>3435.45</v>
      </c>
    </row>
    <row r="1494" spans="1:9" x14ac:dyDescent="0.25">
      <c r="A1494" t="s">
        <v>9616</v>
      </c>
      <c r="C1494" t="s">
        <v>9617</v>
      </c>
      <c r="D1494" t="str">
        <f>"10132906"</f>
        <v>10132906</v>
      </c>
      <c r="E1494" t="s">
        <v>1313</v>
      </c>
      <c r="F1494" s="1">
        <v>44405</v>
      </c>
      <c r="G1494" t="str">
        <f>"300115"</f>
        <v>300115</v>
      </c>
      <c r="H1494" t="s">
        <v>2938</v>
      </c>
      <c r="I1494">
        <v>321433.54100000003</v>
      </c>
    </row>
    <row r="1495" spans="1:9" x14ac:dyDescent="0.25">
      <c r="A1495" t="s">
        <v>9616</v>
      </c>
      <c r="C1495" t="s">
        <v>9617</v>
      </c>
      <c r="D1495" t="str">
        <f>"10132908"</f>
        <v>10132908</v>
      </c>
      <c r="E1495" t="s">
        <v>9189</v>
      </c>
      <c r="F1495" s="1">
        <v>44405</v>
      </c>
      <c r="G1495" t="str">
        <f>"300115"</f>
        <v>300115</v>
      </c>
      <c r="H1495" t="s">
        <v>2938</v>
      </c>
      <c r="I1495">
        <v>270565.54800000001</v>
      </c>
    </row>
    <row r="1496" spans="1:9" x14ac:dyDescent="0.25">
      <c r="A1496" t="s">
        <v>9616</v>
      </c>
      <c r="C1496" t="s">
        <v>9617</v>
      </c>
      <c r="D1496" t="str">
        <f>"10132910"</f>
        <v>10132910</v>
      </c>
      <c r="E1496" t="s">
        <v>1313</v>
      </c>
      <c r="F1496" s="1">
        <v>44405</v>
      </c>
      <c r="G1496" t="str">
        <f>"300115"</f>
        <v>300115</v>
      </c>
      <c r="H1496" t="s">
        <v>2938</v>
      </c>
      <c r="I1496">
        <v>321435.44400000002</v>
      </c>
    </row>
    <row r="1497" spans="1:9" x14ac:dyDescent="0.25">
      <c r="A1497" t="s">
        <v>9616</v>
      </c>
      <c r="C1497" t="s">
        <v>9617</v>
      </c>
      <c r="D1497" t="s">
        <v>10373</v>
      </c>
      <c r="E1497" t="s">
        <v>10374</v>
      </c>
      <c r="F1497" s="1">
        <v>44406</v>
      </c>
      <c r="G1497" t="str">
        <f>"300133"</f>
        <v>300133</v>
      </c>
      <c r="H1497" t="s">
        <v>2955</v>
      </c>
      <c r="I1497">
        <v>14040</v>
      </c>
    </row>
    <row r="1498" spans="1:9" x14ac:dyDescent="0.25">
      <c r="A1498" t="s">
        <v>9616</v>
      </c>
      <c r="C1498" t="s">
        <v>9617</v>
      </c>
      <c r="D1498" t="str">
        <f>"10133024"</f>
        <v>10133024</v>
      </c>
      <c r="E1498" t="s">
        <v>10375</v>
      </c>
      <c r="F1498" s="1">
        <v>44407</v>
      </c>
      <c r="G1498" t="str">
        <f>"300115"</f>
        <v>300115</v>
      </c>
      <c r="H1498" t="s">
        <v>2938</v>
      </c>
      <c r="I1498">
        <v>293849.68800000002</v>
      </c>
    </row>
    <row r="1499" spans="1:9" x14ac:dyDescent="0.25">
      <c r="A1499" t="s">
        <v>9616</v>
      </c>
      <c r="C1499" t="s">
        <v>9617</v>
      </c>
      <c r="D1499" t="str">
        <f>"45273"</f>
        <v>45273</v>
      </c>
      <c r="E1499" t="s">
        <v>10376</v>
      </c>
      <c r="F1499" s="1">
        <v>44410</v>
      </c>
      <c r="G1499" t="str">
        <f>"300043"</f>
        <v>300043</v>
      </c>
      <c r="H1499" t="s">
        <v>2876</v>
      </c>
      <c r="I1499">
        <v>1077</v>
      </c>
    </row>
    <row r="1500" spans="1:9" x14ac:dyDescent="0.25">
      <c r="A1500" t="s">
        <v>9616</v>
      </c>
      <c r="C1500" t="s">
        <v>9617</v>
      </c>
      <c r="D1500" t="str">
        <f>"45390"</f>
        <v>45390</v>
      </c>
      <c r="E1500" t="s">
        <v>10377</v>
      </c>
      <c r="F1500" s="1">
        <v>44410</v>
      </c>
      <c r="G1500" t="str">
        <f>"300043"</f>
        <v>300043</v>
      </c>
      <c r="H1500" t="s">
        <v>2876</v>
      </c>
      <c r="I1500">
        <v>1200</v>
      </c>
    </row>
    <row r="1501" spans="1:9" x14ac:dyDescent="0.25">
      <c r="A1501" t="s">
        <v>9616</v>
      </c>
      <c r="C1501" t="s">
        <v>9617</v>
      </c>
      <c r="D1501" t="str">
        <f>"45421"</f>
        <v>45421</v>
      </c>
      <c r="E1501" t="s">
        <v>10378</v>
      </c>
      <c r="F1501" s="1">
        <v>44411</v>
      </c>
      <c r="G1501" t="str">
        <f>"300043"</f>
        <v>300043</v>
      </c>
      <c r="H1501" t="s">
        <v>2876</v>
      </c>
      <c r="I1501">
        <v>1200</v>
      </c>
    </row>
    <row r="1502" spans="1:9" x14ac:dyDescent="0.25">
      <c r="A1502" t="s">
        <v>9616</v>
      </c>
      <c r="C1502" t="s">
        <v>9617</v>
      </c>
      <c r="D1502" t="str">
        <f>"45680"</f>
        <v>45680</v>
      </c>
      <c r="E1502" t="s">
        <v>10379</v>
      </c>
      <c r="F1502" s="1">
        <v>44411</v>
      </c>
      <c r="G1502" t="str">
        <f>"300043"</f>
        <v>300043</v>
      </c>
      <c r="H1502" t="s">
        <v>2876</v>
      </c>
      <c r="I1502">
        <v>1110</v>
      </c>
    </row>
    <row r="1503" spans="1:9" x14ac:dyDescent="0.25">
      <c r="A1503" t="s">
        <v>9616</v>
      </c>
      <c r="C1503" t="s">
        <v>9617</v>
      </c>
      <c r="D1503" t="str">
        <f>"368621"</f>
        <v>368621</v>
      </c>
      <c r="E1503" t="s">
        <v>10378</v>
      </c>
      <c r="F1503" s="1">
        <v>44411</v>
      </c>
      <c r="G1503" t="str">
        <f>"300101"</f>
        <v>300101</v>
      </c>
      <c r="H1503" t="s">
        <v>2926</v>
      </c>
      <c r="I1503">
        <v>3133.02</v>
      </c>
    </row>
    <row r="1504" spans="1:9" x14ac:dyDescent="0.25">
      <c r="A1504" t="s">
        <v>9616</v>
      </c>
      <c r="C1504" t="s">
        <v>9617</v>
      </c>
      <c r="D1504" t="str">
        <f>"368721"</f>
        <v>368721</v>
      </c>
      <c r="E1504" t="s">
        <v>10377</v>
      </c>
      <c r="F1504" s="1">
        <v>44411</v>
      </c>
      <c r="G1504" t="str">
        <f>"300101"</f>
        <v>300101</v>
      </c>
      <c r="H1504" t="s">
        <v>2926</v>
      </c>
      <c r="I1504">
        <v>3133.02</v>
      </c>
    </row>
    <row r="1505" spans="1:9" x14ac:dyDescent="0.25">
      <c r="A1505" t="s">
        <v>9616</v>
      </c>
      <c r="C1505" t="s">
        <v>9617</v>
      </c>
      <c r="D1505" t="str">
        <f>"370221"</f>
        <v>370221</v>
      </c>
      <c r="E1505" t="s">
        <v>10379</v>
      </c>
      <c r="F1505" s="1">
        <v>44411</v>
      </c>
      <c r="G1505" t="str">
        <f>"300101"</f>
        <v>300101</v>
      </c>
      <c r="H1505" t="s">
        <v>2926</v>
      </c>
      <c r="I1505">
        <v>3134.16</v>
      </c>
    </row>
    <row r="1506" spans="1:9" x14ac:dyDescent="0.25">
      <c r="A1506" t="s">
        <v>9616</v>
      </c>
      <c r="C1506" t="s">
        <v>9617</v>
      </c>
      <c r="D1506" t="str">
        <f>"369421"</f>
        <v>369421</v>
      </c>
      <c r="E1506" t="s">
        <v>10378</v>
      </c>
      <c r="F1506" s="1">
        <v>44412</v>
      </c>
      <c r="G1506" t="str">
        <f>"300101"</f>
        <v>300101</v>
      </c>
      <c r="H1506" t="s">
        <v>2926</v>
      </c>
      <c r="I1506">
        <v>462.92</v>
      </c>
    </row>
    <row r="1507" spans="1:9" x14ac:dyDescent="0.25">
      <c r="A1507" t="s">
        <v>9616</v>
      </c>
      <c r="C1507" t="s">
        <v>9617</v>
      </c>
      <c r="D1507" t="str">
        <f>"369521"</f>
        <v>369521</v>
      </c>
      <c r="E1507" t="s">
        <v>10377</v>
      </c>
      <c r="F1507" s="1">
        <v>44412</v>
      </c>
      <c r="G1507" t="str">
        <f>"300101"</f>
        <v>300101</v>
      </c>
      <c r="H1507" t="s">
        <v>2926</v>
      </c>
      <c r="I1507">
        <v>617.23</v>
      </c>
    </row>
    <row r="1508" spans="1:9" x14ac:dyDescent="0.25">
      <c r="A1508" t="s">
        <v>9616</v>
      </c>
      <c r="C1508" t="s">
        <v>9617</v>
      </c>
      <c r="D1508" t="str">
        <f>"018221"</f>
        <v>018221</v>
      </c>
      <c r="E1508" t="s">
        <v>10368</v>
      </c>
      <c r="F1508" s="1">
        <v>44412</v>
      </c>
      <c r="G1508" t="str">
        <f>"300192"</f>
        <v>300192</v>
      </c>
      <c r="H1508" t="s">
        <v>3009</v>
      </c>
      <c r="I1508">
        <v>15000</v>
      </c>
    </row>
    <row r="1509" spans="1:9" x14ac:dyDescent="0.25">
      <c r="A1509" t="s">
        <v>9616</v>
      </c>
      <c r="C1509" t="s">
        <v>9617</v>
      </c>
      <c r="D1509" t="str">
        <f>"018321"</f>
        <v>018321</v>
      </c>
      <c r="E1509" t="s">
        <v>10367</v>
      </c>
      <c r="F1509" s="1">
        <v>44412</v>
      </c>
      <c r="G1509" t="str">
        <f>"300192"</f>
        <v>300192</v>
      </c>
      <c r="H1509" t="s">
        <v>3009</v>
      </c>
      <c r="I1509">
        <v>15000</v>
      </c>
    </row>
    <row r="1510" spans="1:9" x14ac:dyDescent="0.25">
      <c r="A1510" t="s">
        <v>9616</v>
      </c>
      <c r="C1510" t="s">
        <v>9617</v>
      </c>
      <c r="D1510" t="str">
        <f>"018421"</f>
        <v>018421</v>
      </c>
      <c r="E1510" t="s">
        <v>10376</v>
      </c>
      <c r="F1510" s="1">
        <v>44412</v>
      </c>
      <c r="G1510" t="str">
        <f>"300192"</f>
        <v>300192</v>
      </c>
      <c r="H1510" t="s">
        <v>3009</v>
      </c>
      <c r="I1510">
        <v>15000</v>
      </c>
    </row>
    <row r="1511" spans="1:9" x14ac:dyDescent="0.25">
      <c r="A1511" t="s">
        <v>9616</v>
      </c>
      <c r="C1511" t="s">
        <v>9617</v>
      </c>
      <c r="D1511" t="str">
        <f>"370321"</f>
        <v>370321</v>
      </c>
      <c r="E1511" t="s">
        <v>10377</v>
      </c>
      <c r="F1511" s="1">
        <v>44413</v>
      </c>
      <c r="G1511" t="str">
        <f>"300101"</f>
        <v>300101</v>
      </c>
      <c r="H1511" t="s">
        <v>2926</v>
      </c>
      <c r="I1511">
        <v>154.32</v>
      </c>
    </row>
    <row r="1512" spans="1:9" x14ac:dyDescent="0.25">
      <c r="A1512" t="s">
        <v>9616</v>
      </c>
      <c r="C1512" t="s">
        <v>9617</v>
      </c>
      <c r="D1512" t="str">
        <f>"370421"</f>
        <v>370421</v>
      </c>
      <c r="E1512" t="s">
        <v>10378</v>
      </c>
      <c r="F1512" s="1">
        <v>44413</v>
      </c>
      <c r="G1512" t="str">
        <f>"300101"</f>
        <v>300101</v>
      </c>
      <c r="H1512" t="s">
        <v>2926</v>
      </c>
      <c r="I1512">
        <v>154.32</v>
      </c>
    </row>
    <row r="1513" spans="1:9" x14ac:dyDescent="0.25">
      <c r="A1513" t="s">
        <v>9616</v>
      </c>
      <c r="C1513" t="s">
        <v>9617</v>
      </c>
      <c r="D1513" t="str">
        <f>"211445"</f>
        <v>211445</v>
      </c>
      <c r="E1513" t="s">
        <v>10175</v>
      </c>
      <c r="F1513" s="1">
        <v>44413</v>
      </c>
      <c r="G1513" t="str">
        <f>"300301"</f>
        <v>300301</v>
      </c>
      <c r="H1513" t="s">
        <v>3043</v>
      </c>
      <c r="I1513">
        <v>15360.62</v>
      </c>
    </row>
    <row r="1514" spans="1:9" x14ac:dyDescent="0.25">
      <c r="A1514" t="s">
        <v>9616</v>
      </c>
      <c r="C1514" t="s">
        <v>9617</v>
      </c>
      <c r="D1514" t="str">
        <f>"10133195"</f>
        <v>10133195</v>
      </c>
      <c r="E1514" t="s">
        <v>9189</v>
      </c>
      <c r="F1514" s="1">
        <v>44417</v>
      </c>
      <c r="G1514" t="str">
        <f>"300115"</f>
        <v>300115</v>
      </c>
      <c r="H1514" t="s">
        <v>2938</v>
      </c>
      <c r="I1514">
        <v>285201.70799999998</v>
      </c>
    </row>
    <row r="1515" spans="1:9" x14ac:dyDescent="0.25">
      <c r="A1515" t="s">
        <v>9616</v>
      </c>
      <c r="C1515" t="s">
        <v>9617</v>
      </c>
      <c r="D1515" t="str">
        <f>"10133197"</f>
        <v>10133197</v>
      </c>
      <c r="E1515" t="s">
        <v>10380</v>
      </c>
      <c r="F1515" s="1">
        <v>44417</v>
      </c>
      <c r="G1515" t="str">
        <f>"300115"</f>
        <v>300115</v>
      </c>
      <c r="H1515" t="s">
        <v>2938</v>
      </c>
      <c r="I1515">
        <v>281138.2684</v>
      </c>
    </row>
    <row r="1516" spans="1:9" x14ac:dyDescent="0.25">
      <c r="A1516" t="s">
        <v>9616</v>
      </c>
      <c r="C1516" t="s">
        <v>9617</v>
      </c>
      <c r="D1516" t="str">
        <f>"10133198"</f>
        <v>10133198</v>
      </c>
      <c r="E1516" t="s">
        <v>9191</v>
      </c>
      <c r="F1516" s="1">
        <v>44417</v>
      </c>
      <c r="G1516" t="str">
        <f>"300115"</f>
        <v>300115</v>
      </c>
      <c r="H1516" t="s">
        <v>2938</v>
      </c>
      <c r="I1516">
        <v>172897.62599999999</v>
      </c>
    </row>
    <row r="1517" spans="1:9" x14ac:dyDescent="0.25">
      <c r="A1517" t="s">
        <v>9616</v>
      </c>
      <c r="C1517" t="s">
        <v>9617</v>
      </c>
      <c r="D1517" t="str">
        <f>"10133202"</f>
        <v>10133202</v>
      </c>
      <c r="E1517" t="s">
        <v>9191</v>
      </c>
      <c r="F1517" s="1">
        <v>44417</v>
      </c>
      <c r="G1517" t="str">
        <f>"300115"</f>
        <v>300115</v>
      </c>
      <c r="H1517" t="s">
        <v>2938</v>
      </c>
      <c r="I1517">
        <v>144277.628</v>
      </c>
    </row>
    <row r="1518" spans="1:9" x14ac:dyDescent="0.25">
      <c r="A1518" t="s">
        <v>9616</v>
      </c>
      <c r="C1518" t="s">
        <v>9617</v>
      </c>
      <c r="D1518" t="s">
        <v>10381</v>
      </c>
      <c r="E1518" t="s">
        <v>10381</v>
      </c>
      <c r="F1518" s="1">
        <v>44419</v>
      </c>
      <c r="G1518" t="str">
        <f>"300092"</f>
        <v>300092</v>
      </c>
      <c r="H1518" t="s">
        <v>2160</v>
      </c>
      <c r="I1518">
        <v>1120</v>
      </c>
    </row>
    <row r="1519" spans="1:9" x14ac:dyDescent="0.25">
      <c r="A1519" t="s">
        <v>9616</v>
      </c>
      <c r="C1519" t="s">
        <v>9617</v>
      </c>
      <c r="D1519" t="str">
        <f>"379421"</f>
        <v>379421</v>
      </c>
      <c r="E1519" t="s">
        <v>10379</v>
      </c>
      <c r="F1519" s="1">
        <v>44419</v>
      </c>
      <c r="G1519" t="str">
        <f>"300101"</f>
        <v>300101</v>
      </c>
      <c r="H1519" t="s">
        <v>2926</v>
      </c>
      <c r="I1519">
        <v>154.13999999999999</v>
      </c>
    </row>
    <row r="1520" spans="1:9" x14ac:dyDescent="0.25">
      <c r="A1520" t="s">
        <v>9616</v>
      </c>
      <c r="C1520" t="s">
        <v>9617</v>
      </c>
      <c r="D1520" t="str">
        <f>"379521"</f>
        <v>379521</v>
      </c>
      <c r="E1520" t="s">
        <v>10377</v>
      </c>
      <c r="F1520" s="1">
        <v>44419</v>
      </c>
      <c r="G1520" t="str">
        <f>"300101"</f>
        <v>300101</v>
      </c>
      <c r="H1520" t="s">
        <v>2926</v>
      </c>
      <c r="I1520">
        <v>2094.38</v>
      </c>
    </row>
    <row r="1521" spans="1:9" x14ac:dyDescent="0.25">
      <c r="A1521" t="s">
        <v>9616</v>
      </c>
      <c r="C1521" t="s">
        <v>9617</v>
      </c>
      <c r="D1521" t="str">
        <f>"47413"</f>
        <v>47413</v>
      </c>
      <c r="E1521" t="s">
        <v>10382</v>
      </c>
      <c r="F1521" s="1">
        <v>44420</v>
      </c>
      <c r="G1521" t="str">
        <f>"300043"</f>
        <v>300043</v>
      </c>
      <c r="H1521" t="s">
        <v>2876</v>
      </c>
      <c r="I1521">
        <v>1068</v>
      </c>
    </row>
    <row r="1522" spans="1:9" x14ac:dyDescent="0.25">
      <c r="A1522" t="s">
        <v>9616</v>
      </c>
      <c r="C1522" t="s">
        <v>9617</v>
      </c>
      <c r="D1522" t="str">
        <f>"47503"</f>
        <v>47503</v>
      </c>
      <c r="E1522" t="s">
        <v>10383</v>
      </c>
      <c r="F1522" s="1">
        <v>44420</v>
      </c>
      <c r="G1522" t="str">
        <f>"300043"</f>
        <v>300043</v>
      </c>
      <c r="H1522" t="s">
        <v>2876</v>
      </c>
      <c r="I1522">
        <v>627</v>
      </c>
    </row>
    <row r="1523" spans="1:9" x14ac:dyDescent="0.25">
      <c r="A1523" t="s">
        <v>9616</v>
      </c>
      <c r="C1523" t="s">
        <v>9617</v>
      </c>
      <c r="D1523" t="str">
        <f>"47504"</f>
        <v>47504</v>
      </c>
      <c r="E1523" t="s">
        <v>10384</v>
      </c>
      <c r="F1523" s="1">
        <v>44420</v>
      </c>
      <c r="G1523" t="str">
        <f>"300043"</f>
        <v>300043</v>
      </c>
      <c r="H1523" t="s">
        <v>2876</v>
      </c>
      <c r="I1523">
        <v>720</v>
      </c>
    </row>
    <row r="1524" spans="1:9" x14ac:dyDescent="0.25">
      <c r="A1524" t="s">
        <v>9616</v>
      </c>
      <c r="C1524" t="s">
        <v>9617</v>
      </c>
      <c r="D1524" t="str">
        <f>"47528"</f>
        <v>47528</v>
      </c>
      <c r="E1524" t="s">
        <v>10385</v>
      </c>
      <c r="F1524" s="1">
        <v>44420</v>
      </c>
      <c r="G1524" t="str">
        <f>"300043"</f>
        <v>300043</v>
      </c>
      <c r="H1524" t="s">
        <v>2876</v>
      </c>
      <c r="I1524">
        <v>1080</v>
      </c>
    </row>
    <row r="1525" spans="1:9" x14ac:dyDescent="0.25">
      <c r="A1525" t="s">
        <v>9616</v>
      </c>
      <c r="C1525" t="s">
        <v>9617</v>
      </c>
      <c r="D1525" t="s">
        <v>10386</v>
      </c>
      <c r="E1525" t="s">
        <v>9949</v>
      </c>
      <c r="F1525" s="1">
        <v>44420</v>
      </c>
      <c r="G1525" t="str">
        <f>"300092"</f>
        <v>300092</v>
      </c>
      <c r="H1525" t="s">
        <v>2160</v>
      </c>
      <c r="I1525">
        <v>52018.2</v>
      </c>
    </row>
    <row r="1526" spans="1:9" x14ac:dyDescent="0.25">
      <c r="A1526" t="s">
        <v>9616</v>
      </c>
      <c r="C1526" t="s">
        <v>9617</v>
      </c>
      <c r="D1526" t="str">
        <f>"387721"</f>
        <v>387721</v>
      </c>
      <c r="E1526" t="s">
        <v>10384</v>
      </c>
      <c r="F1526" s="1">
        <v>44420</v>
      </c>
      <c r="G1526" t="str">
        <f>"300101"</f>
        <v>300101</v>
      </c>
      <c r="H1526" t="s">
        <v>2926</v>
      </c>
      <c r="I1526">
        <v>3277.44</v>
      </c>
    </row>
    <row r="1527" spans="1:9" x14ac:dyDescent="0.25">
      <c r="A1527" t="s">
        <v>9616</v>
      </c>
      <c r="C1527" t="s">
        <v>9617</v>
      </c>
      <c r="D1527" t="str">
        <f>"387821"</f>
        <v>387821</v>
      </c>
      <c r="E1527" t="s">
        <v>10387</v>
      </c>
      <c r="F1527" s="1">
        <v>44420</v>
      </c>
      <c r="G1527" t="str">
        <f>"300101"</f>
        <v>300101</v>
      </c>
      <c r="H1527" t="s">
        <v>2926</v>
      </c>
      <c r="I1527">
        <v>3430.99</v>
      </c>
    </row>
    <row r="1528" spans="1:9" x14ac:dyDescent="0.25">
      <c r="A1528" t="s">
        <v>9616</v>
      </c>
      <c r="C1528" t="s">
        <v>9617</v>
      </c>
      <c r="D1528" t="str">
        <f>"387921"</f>
        <v>387921</v>
      </c>
      <c r="E1528" t="s">
        <v>10385</v>
      </c>
      <c r="F1528" s="1">
        <v>44420</v>
      </c>
      <c r="G1528" t="str">
        <f>"300101"</f>
        <v>300101</v>
      </c>
      <c r="H1528" t="s">
        <v>2926</v>
      </c>
      <c r="I1528">
        <v>3430.99</v>
      </c>
    </row>
    <row r="1529" spans="1:9" x14ac:dyDescent="0.25">
      <c r="A1529" t="s">
        <v>9616</v>
      </c>
      <c r="C1529" t="s">
        <v>9617</v>
      </c>
      <c r="D1529" t="str">
        <f>"388021"</f>
        <v>388021</v>
      </c>
      <c r="E1529" t="s">
        <v>10383</v>
      </c>
      <c r="F1529" s="1">
        <v>44420</v>
      </c>
      <c r="G1529" t="str">
        <f>"300101"</f>
        <v>300101</v>
      </c>
      <c r="H1529" t="s">
        <v>2926</v>
      </c>
      <c r="I1529">
        <v>3277.44</v>
      </c>
    </row>
    <row r="1530" spans="1:9" x14ac:dyDescent="0.25">
      <c r="A1530" t="s">
        <v>9616</v>
      </c>
      <c r="C1530" t="s">
        <v>9617</v>
      </c>
      <c r="D1530" t="str">
        <f>"1013394"</f>
        <v>1013394</v>
      </c>
      <c r="E1530" t="s">
        <v>10049</v>
      </c>
      <c r="F1530" s="1">
        <v>44420</v>
      </c>
      <c r="G1530" t="str">
        <f>"300115"</f>
        <v>300115</v>
      </c>
      <c r="H1530" t="s">
        <v>2938</v>
      </c>
      <c r="I1530">
        <v>145411.20000000001</v>
      </c>
    </row>
    <row r="1531" spans="1:9" x14ac:dyDescent="0.25">
      <c r="A1531" t="s">
        <v>9616</v>
      </c>
      <c r="C1531" t="s">
        <v>9617</v>
      </c>
      <c r="D1531" t="str">
        <f>"10133293"</f>
        <v>10133293</v>
      </c>
      <c r="E1531" t="s">
        <v>9633</v>
      </c>
      <c r="F1531" s="1">
        <v>44420</v>
      </c>
      <c r="G1531" t="str">
        <f>"300115"</f>
        <v>300115</v>
      </c>
      <c r="H1531" t="s">
        <v>2938</v>
      </c>
      <c r="I1531">
        <v>146957.008</v>
      </c>
    </row>
    <row r="1532" spans="1:9" x14ac:dyDescent="0.25">
      <c r="A1532" t="s">
        <v>9616</v>
      </c>
      <c r="C1532" t="s">
        <v>9617</v>
      </c>
      <c r="D1532" t="str">
        <f>"202106082"</f>
        <v>202106082</v>
      </c>
      <c r="E1532" t="s">
        <v>10376</v>
      </c>
      <c r="F1532" s="1">
        <v>44420</v>
      </c>
      <c r="G1532" t="str">
        <f>"300191"</f>
        <v>300191</v>
      </c>
      <c r="H1532" t="s">
        <v>3008</v>
      </c>
      <c r="I1532">
        <v>3577.44</v>
      </c>
    </row>
    <row r="1533" spans="1:9" x14ac:dyDescent="0.25">
      <c r="A1533" t="s">
        <v>9616</v>
      </c>
      <c r="C1533" t="s">
        <v>9617</v>
      </c>
      <c r="D1533" t="str">
        <f>"2104481"</f>
        <v>2104481</v>
      </c>
      <c r="E1533" t="s">
        <v>9925</v>
      </c>
      <c r="F1533" s="1">
        <v>44421</v>
      </c>
      <c r="G1533" t="str">
        <f>"300064"</f>
        <v>300064</v>
      </c>
      <c r="H1533" t="s">
        <v>2896</v>
      </c>
      <c r="I1533">
        <v>122080</v>
      </c>
    </row>
    <row r="1534" spans="1:9" x14ac:dyDescent="0.25">
      <c r="A1534" t="s">
        <v>9616</v>
      </c>
      <c r="C1534" t="s">
        <v>9617</v>
      </c>
      <c r="D1534" t="str">
        <f>"48171"</f>
        <v>48171</v>
      </c>
      <c r="E1534" t="s">
        <v>10388</v>
      </c>
      <c r="F1534" s="1">
        <v>44424</v>
      </c>
      <c r="G1534" t="str">
        <f>"300043"</f>
        <v>300043</v>
      </c>
      <c r="H1534" t="s">
        <v>2876</v>
      </c>
      <c r="I1534">
        <v>1105</v>
      </c>
    </row>
    <row r="1535" spans="1:9" x14ac:dyDescent="0.25">
      <c r="A1535" t="s">
        <v>9616</v>
      </c>
      <c r="C1535" t="s">
        <v>9617</v>
      </c>
      <c r="D1535" t="str">
        <f>"406021"</f>
        <v>406021</v>
      </c>
      <c r="E1535" t="s">
        <v>10388</v>
      </c>
      <c r="F1535" s="1">
        <v>44424</v>
      </c>
      <c r="G1535" t="str">
        <f>"300101"</f>
        <v>300101</v>
      </c>
      <c r="H1535" t="s">
        <v>2926</v>
      </c>
      <c r="I1535">
        <v>3433.94</v>
      </c>
    </row>
    <row r="1536" spans="1:9" x14ac:dyDescent="0.25">
      <c r="A1536" t="s">
        <v>9616</v>
      </c>
      <c r="C1536" t="s">
        <v>9617</v>
      </c>
      <c r="D1536" t="str">
        <f>"10133357"</f>
        <v>10133357</v>
      </c>
      <c r="E1536" t="s">
        <v>10389</v>
      </c>
      <c r="F1536" s="1">
        <v>44424</v>
      </c>
      <c r="G1536" t="str">
        <f>"300115"</f>
        <v>300115</v>
      </c>
      <c r="H1536" t="s">
        <v>2938</v>
      </c>
      <c r="I1536">
        <v>94923.476999999999</v>
      </c>
    </row>
    <row r="1537" spans="1:9" x14ac:dyDescent="0.25">
      <c r="A1537" t="s">
        <v>9616</v>
      </c>
      <c r="C1537" t="s">
        <v>9617</v>
      </c>
      <c r="D1537" t="str">
        <f>"2104535"</f>
        <v>2104535</v>
      </c>
      <c r="E1537" t="s">
        <v>10024</v>
      </c>
      <c r="F1537" s="1">
        <v>44426</v>
      </c>
      <c r="G1537" t="str">
        <f>"300064"</f>
        <v>300064</v>
      </c>
      <c r="H1537" t="s">
        <v>2896</v>
      </c>
      <c r="I1537">
        <v>119442</v>
      </c>
    </row>
    <row r="1538" spans="1:9" x14ac:dyDescent="0.25">
      <c r="A1538" t="s">
        <v>9616</v>
      </c>
      <c r="C1538" t="s">
        <v>9617</v>
      </c>
      <c r="D1538" t="str">
        <f>"2104536"</f>
        <v>2104536</v>
      </c>
      <c r="E1538" t="s">
        <v>10390</v>
      </c>
      <c r="F1538" s="1">
        <v>44426</v>
      </c>
      <c r="G1538" t="str">
        <f>"300064"</f>
        <v>300064</v>
      </c>
      <c r="H1538" t="s">
        <v>2896</v>
      </c>
      <c r="I1538">
        <v>21486.48</v>
      </c>
    </row>
    <row r="1539" spans="1:9" x14ac:dyDescent="0.25">
      <c r="A1539" t="s">
        <v>9616</v>
      </c>
      <c r="C1539" t="s">
        <v>9617</v>
      </c>
      <c r="D1539" t="s">
        <v>10391</v>
      </c>
      <c r="E1539" t="s">
        <v>10392</v>
      </c>
      <c r="F1539" s="1">
        <v>44426</v>
      </c>
      <c r="G1539" t="str">
        <f>"300092"</f>
        <v>300092</v>
      </c>
      <c r="H1539" t="s">
        <v>2160</v>
      </c>
      <c r="I1539">
        <v>52842.18</v>
      </c>
    </row>
    <row r="1540" spans="1:9" x14ac:dyDescent="0.25">
      <c r="A1540" t="s">
        <v>9616</v>
      </c>
      <c r="C1540" t="s">
        <v>9617</v>
      </c>
      <c r="D1540" t="s">
        <v>10393</v>
      </c>
      <c r="E1540" t="s">
        <v>10394</v>
      </c>
      <c r="F1540" s="1">
        <v>44427</v>
      </c>
      <c r="G1540" t="str">
        <f>"300092"</f>
        <v>300092</v>
      </c>
      <c r="H1540" t="s">
        <v>2160</v>
      </c>
      <c r="I1540">
        <v>64444.47</v>
      </c>
    </row>
    <row r="1541" spans="1:9" x14ac:dyDescent="0.25">
      <c r="A1541" t="s">
        <v>9616</v>
      </c>
      <c r="C1541" t="s">
        <v>9617</v>
      </c>
      <c r="D1541" t="str">
        <f>"10133476"</f>
        <v>10133476</v>
      </c>
      <c r="E1541" t="s">
        <v>10395</v>
      </c>
      <c r="F1541" s="1">
        <v>44428</v>
      </c>
      <c r="G1541" t="str">
        <f>"300115"</f>
        <v>300115</v>
      </c>
      <c r="H1541" t="s">
        <v>2938</v>
      </c>
      <c r="I1541">
        <v>296596.3</v>
      </c>
    </row>
    <row r="1542" spans="1:9" x14ac:dyDescent="0.25">
      <c r="A1542" t="s">
        <v>9616</v>
      </c>
      <c r="C1542" t="s">
        <v>9617</v>
      </c>
      <c r="D1542" t="str">
        <f>"48852"</f>
        <v>48852</v>
      </c>
      <c r="E1542" t="s">
        <v>10396</v>
      </c>
      <c r="F1542" s="1">
        <v>44431</v>
      </c>
      <c r="G1542" t="str">
        <f>"300043"</f>
        <v>300043</v>
      </c>
      <c r="H1542" t="s">
        <v>2876</v>
      </c>
      <c r="I1542">
        <v>468</v>
      </c>
    </row>
    <row r="1543" spans="1:9" x14ac:dyDescent="0.25">
      <c r="A1543" t="s">
        <v>9616</v>
      </c>
      <c r="C1543" t="s">
        <v>9617</v>
      </c>
      <c r="D1543" t="str">
        <f>"49267"</f>
        <v>49267</v>
      </c>
      <c r="E1543" t="s">
        <v>10397</v>
      </c>
      <c r="F1543" s="1">
        <v>44431</v>
      </c>
      <c r="G1543" t="str">
        <f>"300043"</f>
        <v>300043</v>
      </c>
      <c r="H1543" t="s">
        <v>2876</v>
      </c>
      <c r="I1543">
        <v>1157</v>
      </c>
    </row>
    <row r="1544" spans="1:9" x14ac:dyDescent="0.25">
      <c r="A1544" t="s">
        <v>9616</v>
      </c>
      <c r="C1544" t="s">
        <v>9617</v>
      </c>
      <c r="D1544" t="str">
        <f>"454121"</f>
        <v>454121</v>
      </c>
      <c r="E1544" t="s">
        <v>10396</v>
      </c>
      <c r="F1544" s="1">
        <v>44431</v>
      </c>
      <c r="G1544" t="str">
        <f>"300101"</f>
        <v>300101</v>
      </c>
      <c r="H1544" t="s">
        <v>2926</v>
      </c>
      <c r="I1544">
        <v>3888.45</v>
      </c>
    </row>
    <row r="1545" spans="1:9" x14ac:dyDescent="0.25">
      <c r="A1545" t="s">
        <v>9616</v>
      </c>
      <c r="C1545" t="s">
        <v>9617</v>
      </c>
      <c r="D1545" t="str">
        <f>"10133514"</f>
        <v>10133514</v>
      </c>
      <c r="E1545" t="s">
        <v>10398</v>
      </c>
      <c r="F1545" s="1">
        <v>44431</v>
      </c>
      <c r="G1545" t="str">
        <f>"300115"</f>
        <v>300115</v>
      </c>
      <c r="H1545" t="s">
        <v>2938</v>
      </c>
      <c r="I1545">
        <v>311965.005</v>
      </c>
    </row>
    <row r="1546" spans="1:9" x14ac:dyDescent="0.25">
      <c r="A1546" t="s">
        <v>9616</v>
      </c>
      <c r="C1546" t="s">
        <v>9617</v>
      </c>
      <c r="D1546" t="s">
        <v>10399</v>
      </c>
      <c r="E1546" t="s">
        <v>10400</v>
      </c>
      <c r="F1546" s="1">
        <v>44432</v>
      </c>
      <c r="G1546" t="str">
        <f>"300092"</f>
        <v>300092</v>
      </c>
      <c r="H1546" t="s">
        <v>2160</v>
      </c>
      <c r="I1546">
        <v>90016.26</v>
      </c>
    </row>
    <row r="1547" spans="1:9" x14ac:dyDescent="0.25">
      <c r="A1547" t="s">
        <v>9616</v>
      </c>
      <c r="C1547" t="s">
        <v>9617</v>
      </c>
      <c r="D1547" t="s">
        <v>10401</v>
      </c>
      <c r="E1547" t="s">
        <v>9629</v>
      </c>
      <c r="F1547" s="1">
        <v>44432</v>
      </c>
      <c r="G1547" t="str">
        <f>"300133"</f>
        <v>300133</v>
      </c>
      <c r="H1547" t="s">
        <v>2955</v>
      </c>
      <c r="I1547">
        <v>41950.65</v>
      </c>
    </row>
    <row r="1548" spans="1:9" x14ac:dyDescent="0.25">
      <c r="A1548" t="s">
        <v>9616</v>
      </c>
      <c r="C1548" t="s">
        <v>9617</v>
      </c>
      <c r="D1548" t="s">
        <v>10402</v>
      </c>
      <c r="E1548" t="s">
        <v>9629</v>
      </c>
      <c r="F1548" s="1">
        <v>44432</v>
      </c>
      <c r="G1548" t="str">
        <f>"300133"</f>
        <v>300133</v>
      </c>
      <c r="H1548" t="s">
        <v>2955</v>
      </c>
      <c r="I1548">
        <v>54072.4</v>
      </c>
    </row>
    <row r="1549" spans="1:9" x14ac:dyDescent="0.25">
      <c r="A1549" t="s">
        <v>9616</v>
      </c>
      <c r="C1549" t="s">
        <v>9617</v>
      </c>
      <c r="D1549" t="str">
        <f>"49708"</f>
        <v>49708</v>
      </c>
      <c r="E1549" t="s">
        <v>10403</v>
      </c>
      <c r="F1549" s="1">
        <v>44433</v>
      </c>
      <c r="G1549" t="str">
        <f>"300043"</f>
        <v>300043</v>
      </c>
      <c r="H1549" t="s">
        <v>2876</v>
      </c>
      <c r="I1549">
        <v>1164</v>
      </c>
    </row>
    <row r="1550" spans="1:9" x14ac:dyDescent="0.25">
      <c r="A1550" t="s">
        <v>9616</v>
      </c>
      <c r="C1550" t="s">
        <v>9617</v>
      </c>
      <c r="D1550" t="str">
        <f>"454521"</f>
        <v>454521</v>
      </c>
      <c r="E1550" t="s">
        <v>10403</v>
      </c>
      <c r="F1550" s="1">
        <v>44433</v>
      </c>
      <c r="G1550" t="str">
        <f>"300101"</f>
        <v>300101</v>
      </c>
      <c r="H1550" t="s">
        <v>2926</v>
      </c>
      <c r="I1550">
        <v>3124.54</v>
      </c>
    </row>
    <row r="1551" spans="1:9" x14ac:dyDescent="0.25">
      <c r="A1551" t="s">
        <v>9616</v>
      </c>
      <c r="C1551" t="s">
        <v>9617</v>
      </c>
      <c r="D1551" t="str">
        <f>"10133575"</f>
        <v>10133575</v>
      </c>
      <c r="E1551" t="s">
        <v>9189</v>
      </c>
      <c r="F1551" s="1">
        <v>44433</v>
      </c>
      <c r="G1551" t="str">
        <f>"300115"</f>
        <v>300115</v>
      </c>
      <c r="H1551" t="s">
        <v>2938</v>
      </c>
      <c r="I1551">
        <v>265787.35149999999</v>
      </c>
    </row>
    <row r="1552" spans="1:9" x14ac:dyDescent="0.25">
      <c r="A1552" t="s">
        <v>9616</v>
      </c>
      <c r="C1552" t="s">
        <v>9617</v>
      </c>
      <c r="D1552" t="str">
        <f>"10133607"</f>
        <v>10133607</v>
      </c>
      <c r="E1552" t="s">
        <v>272</v>
      </c>
      <c r="F1552" s="1">
        <v>44434</v>
      </c>
      <c r="G1552" t="str">
        <f>"300115"</f>
        <v>300115</v>
      </c>
      <c r="H1552" t="s">
        <v>2938</v>
      </c>
      <c r="I1552">
        <v>90673.502699999997</v>
      </c>
    </row>
    <row r="1553" spans="1:9" x14ac:dyDescent="0.25">
      <c r="A1553" t="s">
        <v>9616</v>
      </c>
      <c r="C1553" t="s">
        <v>9617</v>
      </c>
      <c r="D1553" t="str">
        <f>"202106507"</f>
        <v>202106507</v>
      </c>
      <c r="E1553" t="s">
        <v>10397</v>
      </c>
      <c r="F1553" s="1">
        <v>44435</v>
      </c>
      <c r="G1553" t="str">
        <f>"300191"</f>
        <v>300191</v>
      </c>
      <c r="H1553" t="s">
        <v>3008</v>
      </c>
      <c r="I1553">
        <v>3278.44</v>
      </c>
    </row>
    <row r="1554" spans="1:9" x14ac:dyDescent="0.25">
      <c r="A1554" t="s">
        <v>9616</v>
      </c>
      <c r="C1554" t="s">
        <v>9617</v>
      </c>
      <c r="D1554" t="str">
        <f>"50676"</f>
        <v>50676</v>
      </c>
      <c r="E1554" t="s">
        <v>10404</v>
      </c>
      <c r="F1554" s="1">
        <v>44438</v>
      </c>
      <c r="G1554" t="str">
        <f>"300043"</f>
        <v>300043</v>
      </c>
      <c r="H1554" t="s">
        <v>2876</v>
      </c>
      <c r="I1554">
        <v>455</v>
      </c>
    </row>
    <row r="1555" spans="1:9" x14ac:dyDescent="0.25">
      <c r="A1555" t="s">
        <v>9616</v>
      </c>
      <c r="C1555" t="s">
        <v>9617</v>
      </c>
      <c r="D1555" t="str">
        <f>"454821"</f>
        <v>454821</v>
      </c>
      <c r="E1555" t="s">
        <v>10404</v>
      </c>
      <c r="F1555" s="1">
        <v>44438</v>
      </c>
      <c r="G1555" t="str">
        <f>"300101"</f>
        <v>300101</v>
      </c>
      <c r="H1555" t="s">
        <v>2926</v>
      </c>
      <c r="I1555">
        <v>3432.73</v>
      </c>
    </row>
    <row r="1556" spans="1:9" x14ac:dyDescent="0.25">
      <c r="A1556" t="s">
        <v>9616</v>
      </c>
      <c r="C1556" t="s">
        <v>9617</v>
      </c>
      <c r="D1556" t="str">
        <f>"10133688"</f>
        <v>10133688</v>
      </c>
      <c r="E1556" t="s">
        <v>9191</v>
      </c>
      <c r="F1556" s="1">
        <v>44438</v>
      </c>
      <c r="G1556" t="str">
        <f>"300115"</f>
        <v>300115</v>
      </c>
      <c r="H1556" t="s">
        <v>2938</v>
      </c>
      <c r="I1556">
        <v>281733.56640000001</v>
      </c>
    </row>
    <row r="1557" spans="1:9" x14ac:dyDescent="0.25">
      <c r="A1557" t="s">
        <v>9616</v>
      </c>
      <c r="C1557" t="s">
        <v>9617</v>
      </c>
      <c r="D1557" t="str">
        <f>"10133689"</f>
        <v>10133689</v>
      </c>
      <c r="E1557" t="s">
        <v>8907</v>
      </c>
      <c r="F1557" s="1">
        <v>44438</v>
      </c>
      <c r="G1557" t="str">
        <f>"300115"</f>
        <v>300115</v>
      </c>
      <c r="H1557" t="s">
        <v>2938</v>
      </c>
      <c r="I1557">
        <v>293859.14799999999</v>
      </c>
    </row>
    <row r="1558" spans="1:9" x14ac:dyDescent="0.25">
      <c r="A1558" t="s">
        <v>9616</v>
      </c>
      <c r="C1558" t="s">
        <v>9617</v>
      </c>
      <c r="D1558" t="str">
        <f>"50768"</f>
        <v>50768</v>
      </c>
      <c r="E1558" t="s">
        <v>10405</v>
      </c>
      <c r="F1558" s="1">
        <v>44439</v>
      </c>
      <c r="G1558" t="str">
        <f>"300043"</f>
        <v>300043</v>
      </c>
      <c r="H1558" t="s">
        <v>2876</v>
      </c>
      <c r="I1558">
        <v>1017</v>
      </c>
    </row>
    <row r="1559" spans="1:9" x14ac:dyDescent="0.25">
      <c r="A1559" t="s">
        <v>9616</v>
      </c>
      <c r="C1559" t="s">
        <v>9617</v>
      </c>
      <c r="D1559" t="str">
        <f>"455021"</f>
        <v>455021</v>
      </c>
      <c r="E1559" t="s">
        <v>10405</v>
      </c>
      <c r="F1559" s="1">
        <v>44439</v>
      </c>
      <c r="G1559" t="str">
        <f>"300101"</f>
        <v>300101</v>
      </c>
      <c r="H1559" t="s">
        <v>2926</v>
      </c>
      <c r="I1559">
        <v>3743</v>
      </c>
    </row>
    <row r="1560" spans="1:9" x14ac:dyDescent="0.25">
      <c r="A1560" t="s">
        <v>9616</v>
      </c>
      <c r="C1560" t="s">
        <v>9617</v>
      </c>
      <c r="D1560" t="str">
        <f>"10133728"</f>
        <v>10133728</v>
      </c>
      <c r="E1560" t="s">
        <v>9189</v>
      </c>
      <c r="F1560" s="1">
        <v>44439</v>
      </c>
      <c r="G1560" t="str">
        <f>"300115"</f>
        <v>300115</v>
      </c>
      <c r="H1560" t="s">
        <v>2938</v>
      </c>
      <c r="I1560">
        <v>281766.51360000001</v>
      </c>
    </row>
    <row r="1561" spans="1:9" x14ac:dyDescent="0.25">
      <c r="A1561" t="s">
        <v>9616</v>
      </c>
      <c r="C1561" t="s">
        <v>9617</v>
      </c>
      <c r="D1561" t="str">
        <f>"51121"</f>
        <v>51121</v>
      </c>
      <c r="E1561" t="s">
        <v>10406</v>
      </c>
      <c r="F1561" s="1">
        <v>44440</v>
      </c>
      <c r="G1561" t="str">
        <f>"300043"</f>
        <v>300043</v>
      </c>
      <c r="H1561" t="s">
        <v>2876</v>
      </c>
      <c r="I1561">
        <v>1110</v>
      </c>
    </row>
    <row r="1562" spans="1:9" x14ac:dyDescent="0.25">
      <c r="A1562" t="s">
        <v>9616</v>
      </c>
      <c r="C1562" t="s">
        <v>9617</v>
      </c>
      <c r="D1562" t="str">
        <f>"51140"</f>
        <v>51140</v>
      </c>
      <c r="E1562" t="s">
        <v>10407</v>
      </c>
      <c r="F1562" s="1">
        <v>44440</v>
      </c>
      <c r="G1562" t="str">
        <f>"300043"</f>
        <v>300043</v>
      </c>
      <c r="H1562" t="s">
        <v>2876</v>
      </c>
      <c r="I1562">
        <v>1068</v>
      </c>
    </row>
    <row r="1563" spans="1:9" x14ac:dyDescent="0.25">
      <c r="A1563" t="s">
        <v>9616</v>
      </c>
      <c r="C1563" t="s">
        <v>9617</v>
      </c>
      <c r="D1563" t="str">
        <f>"006021"</f>
        <v>006021</v>
      </c>
      <c r="E1563" t="s">
        <v>10377</v>
      </c>
      <c r="F1563" s="1">
        <v>44440</v>
      </c>
      <c r="G1563" t="str">
        <f>"300101"</f>
        <v>300101</v>
      </c>
      <c r="H1563" t="s">
        <v>2926</v>
      </c>
      <c r="I1563">
        <v>2093.02</v>
      </c>
    </row>
    <row r="1564" spans="1:9" x14ac:dyDescent="0.25">
      <c r="A1564" t="s">
        <v>9616</v>
      </c>
      <c r="C1564" t="s">
        <v>9617</v>
      </c>
      <c r="D1564" t="str">
        <f>"454621"</f>
        <v>454621</v>
      </c>
      <c r="E1564" t="s">
        <v>10406</v>
      </c>
      <c r="F1564" s="1">
        <v>44440</v>
      </c>
      <c r="G1564" t="str">
        <f>"300101"</f>
        <v>300101</v>
      </c>
      <c r="H1564" t="s">
        <v>2926</v>
      </c>
      <c r="I1564">
        <v>3286.09</v>
      </c>
    </row>
    <row r="1565" spans="1:9" x14ac:dyDescent="0.25">
      <c r="A1565" t="s">
        <v>9616</v>
      </c>
      <c r="C1565" t="s">
        <v>9617</v>
      </c>
      <c r="D1565" t="str">
        <f>"454721"</f>
        <v>454721</v>
      </c>
      <c r="E1565" t="s">
        <v>10407</v>
      </c>
      <c r="F1565" s="1">
        <v>44440</v>
      </c>
      <c r="G1565" t="str">
        <f>"300101"</f>
        <v>300101</v>
      </c>
      <c r="H1565" t="s">
        <v>2926</v>
      </c>
      <c r="I1565">
        <v>3132.11</v>
      </c>
    </row>
    <row r="1566" spans="1:9" x14ac:dyDescent="0.25">
      <c r="A1566" t="s">
        <v>9616</v>
      </c>
      <c r="C1566" t="s">
        <v>9617</v>
      </c>
      <c r="D1566" t="str">
        <f>"01962021"</f>
        <v>01962021</v>
      </c>
      <c r="E1566" t="s">
        <v>10397</v>
      </c>
      <c r="F1566" s="1">
        <v>44440</v>
      </c>
      <c r="G1566" t="str">
        <f>"300192"</f>
        <v>300192</v>
      </c>
      <c r="H1566" t="s">
        <v>3009</v>
      </c>
      <c r="I1566">
        <v>15000</v>
      </c>
    </row>
    <row r="1567" spans="1:9" x14ac:dyDescent="0.25">
      <c r="A1567" t="s">
        <v>9616</v>
      </c>
      <c r="C1567" t="s">
        <v>9617</v>
      </c>
      <c r="D1567" t="str">
        <f>"51329"</f>
        <v>51329</v>
      </c>
      <c r="E1567" t="s">
        <v>10408</v>
      </c>
      <c r="F1567" s="1">
        <v>44441</v>
      </c>
      <c r="G1567" t="str">
        <f>"300043"</f>
        <v>300043</v>
      </c>
      <c r="H1567" t="s">
        <v>2876</v>
      </c>
      <c r="I1567">
        <v>1069</v>
      </c>
    </row>
    <row r="1568" spans="1:9" x14ac:dyDescent="0.25">
      <c r="A1568" t="s">
        <v>9616</v>
      </c>
      <c r="C1568" t="s">
        <v>9617</v>
      </c>
      <c r="D1568" t="str">
        <f>"454921"</f>
        <v>454921</v>
      </c>
      <c r="E1568" t="s">
        <v>10408</v>
      </c>
      <c r="F1568" s="1">
        <v>44441</v>
      </c>
      <c r="G1568" t="str">
        <f>"300101"</f>
        <v>300101</v>
      </c>
      <c r="H1568" t="s">
        <v>2926</v>
      </c>
      <c r="I1568">
        <v>3129.78</v>
      </c>
    </row>
    <row r="1569" spans="1:9" x14ac:dyDescent="0.25">
      <c r="A1569" t="s">
        <v>9616</v>
      </c>
      <c r="C1569" t="s">
        <v>9617</v>
      </c>
      <c r="D1569" t="str">
        <f>"10133813"</f>
        <v>10133813</v>
      </c>
      <c r="E1569" t="s">
        <v>9189</v>
      </c>
      <c r="F1569" s="1">
        <v>44441</v>
      </c>
      <c r="G1569" t="str">
        <f>"300115"</f>
        <v>300115</v>
      </c>
      <c r="H1569" t="s">
        <v>2938</v>
      </c>
      <c r="I1569">
        <v>293859.14799999999</v>
      </c>
    </row>
    <row r="1570" spans="1:9" x14ac:dyDescent="0.25">
      <c r="A1570" t="s">
        <v>9616</v>
      </c>
      <c r="C1570" t="s">
        <v>9617</v>
      </c>
      <c r="D1570" t="str">
        <f>"10133893"</f>
        <v>10133893</v>
      </c>
      <c r="E1570" t="s">
        <v>9189</v>
      </c>
      <c r="F1570" s="1">
        <v>44442</v>
      </c>
      <c r="G1570" t="str">
        <f>"300115"</f>
        <v>300115</v>
      </c>
      <c r="H1570" t="s">
        <v>2938</v>
      </c>
      <c r="I1570">
        <v>293859.14799999999</v>
      </c>
    </row>
    <row r="1571" spans="1:9" x14ac:dyDescent="0.25">
      <c r="A1571" t="s">
        <v>9616</v>
      </c>
      <c r="C1571" t="s">
        <v>9617</v>
      </c>
      <c r="D1571" t="str">
        <f>"51864"</f>
        <v>51864</v>
      </c>
      <c r="E1571" t="s">
        <v>10409</v>
      </c>
      <c r="F1571" s="1">
        <v>44445</v>
      </c>
      <c r="G1571" t="str">
        <f>"300043"</f>
        <v>300043</v>
      </c>
      <c r="H1571" t="s">
        <v>2876</v>
      </c>
      <c r="I1571">
        <v>1110</v>
      </c>
    </row>
    <row r="1572" spans="1:9" x14ac:dyDescent="0.25">
      <c r="A1572" t="s">
        <v>9616</v>
      </c>
      <c r="C1572" t="s">
        <v>9617</v>
      </c>
      <c r="D1572" t="str">
        <f>"455121"</f>
        <v>455121</v>
      </c>
      <c r="E1572" t="s">
        <v>10409</v>
      </c>
      <c r="F1572" s="1">
        <v>44445</v>
      </c>
      <c r="G1572" t="str">
        <f>"300101"</f>
        <v>300101</v>
      </c>
      <c r="H1572" t="s">
        <v>2926</v>
      </c>
      <c r="I1572">
        <v>3287.01</v>
      </c>
    </row>
    <row r="1573" spans="1:9" x14ac:dyDescent="0.25">
      <c r="A1573" t="s">
        <v>9616</v>
      </c>
      <c r="C1573" t="s">
        <v>9617</v>
      </c>
      <c r="D1573" t="str">
        <f>"10133906"</f>
        <v>10133906</v>
      </c>
      <c r="E1573" t="s">
        <v>9189</v>
      </c>
      <c r="F1573" s="1">
        <v>44445</v>
      </c>
      <c r="G1573" t="str">
        <f>"300115"</f>
        <v>300115</v>
      </c>
      <c r="H1573" t="s">
        <v>2938</v>
      </c>
      <c r="I1573">
        <v>281452.35359999997</v>
      </c>
    </row>
    <row r="1574" spans="1:9" x14ac:dyDescent="0.25">
      <c r="A1574" t="s">
        <v>9616</v>
      </c>
      <c r="C1574" t="s">
        <v>9617</v>
      </c>
      <c r="D1574" t="str">
        <f>"10133953"</f>
        <v>10133953</v>
      </c>
      <c r="E1574" t="s">
        <v>9189</v>
      </c>
      <c r="F1574" s="1">
        <v>44446</v>
      </c>
      <c r="G1574" t="str">
        <f>"300115"</f>
        <v>300115</v>
      </c>
      <c r="H1574" t="s">
        <v>2938</v>
      </c>
      <c r="I1574">
        <v>287333.64</v>
      </c>
    </row>
    <row r="1575" spans="1:9" x14ac:dyDescent="0.25">
      <c r="A1575" t="s">
        <v>9616</v>
      </c>
      <c r="C1575" t="s">
        <v>9617</v>
      </c>
      <c r="D1575" t="str">
        <f>"52342"</f>
        <v>52342</v>
      </c>
      <c r="E1575" t="s">
        <v>10410</v>
      </c>
      <c r="F1575" s="1">
        <v>44447</v>
      </c>
      <c r="G1575" t="str">
        <f>"300043"</f>
        <v>300043</v>
      </c>
      <c r="H1575" t="s">
        <v>2876</v>
      </c>
      <c r="I1575">
        <v>1070</v>
      </c>
    </row>
    <row r="1576" spans="1:9" x14ac:dyDescent="0.25">
      <c r="A1576" t="s">
        <v>9616</v>
      </c>
      <c r="C1576" t="s">
        <v>9617</v>
      </c>
      <c r="D1576" t="str">
        <f>"52346"</f>
        <v>52346</v>
      </c>
      <c r="E1576" t="s">
        <v>10411</v>
      </c>
      <c r="F1576" s="1">
        <v>44447</v>
      </c>
      <c r="G1576" t="str">
        <f>"300043"</f>
        <v>300043</v>
      </c>
      <c r="H1576" t="s">
        <v>2876</v>
      </c>
      <c r="I1576">
        <v>1110</v>
      </c>
    </row>
    <row r="1577" spans="1:9" x14ac:dyDescent="0.25">
      <c r="A1577" t="s">
        <v>9616</v>
      </c>
      <c r="C1577" t="s">
        <v>9617</v>
      </c>
      <c r="D1577" t="str">
        <f>"454221"</f>
        <v>454221</v>
      </c>
      <c r="E1577" t="s">
        <v>10411</v>
      </c>
      <c r="F1577" s="1">
        <v>44447</v>
      </c>
      <c r="G1577" t="str">
        <f>"300101"</f>
        <v>300101</v>
      </c>
      <c r="H1577" t="s">
        <v>2926</v>
      </c>
      <c r="I1577">
        <v>3286.9</v>
      </c>
    </row>
    <row r="1578" spans="1:9" x14ac:dyDescent="0.25">
      <c r="A1578" t="s">
        <v>9616</v>
      </c>
      <c r="C1578" t="s">
        <v>9617</v>
      </c>
      <c r="D1578" t="str">
        <f>"454321"</f>
        <v>454321</v>
      </c>
      <c r="E1578" t="s">
        <v>10410</v>
      </c>
      <c r="F1578" s="1">
        <v>44447</v>
      </c>
      <c r="G1578" t="str">
        <f>"300101"</f>
        <v>300101</v>
      </c>
      <c r="H1578" t="s">
        <v>2926</v>
      </c>
      <c r="I1578">
        <v>3102.7</v>
      </c>
    </row>
    <row r="1579" spans="1:9" x14ac:dyDescent="0.25">
      <c r="A1579" t="s">
        <v>9616</v>
      </c>
      <c r="C1579" t="s">
        <v>9617</v>
      </c>
      <c r="D1579" t="str">
        <f>"10133983"</f>
        <v>10133983</v>
      </c>
      <c r="E1579" t="s">
        <v>10300</v>
      </c>
      <c r="F1579" s="1">
        <v>44447</v>
      </c>
      <c r="G1579" t="str">
        <f>"300115"</f>
        <v>300115</v>
      </c>
      <c r="H1579" t="s">
        <v>2938</v>
      </c>
      <c r="I1579">
        <v>293879.96000000002</v>
      </c>
    </row>
    <row r="1580" spans="1:9" x14ac:dyDescent="0.25">
      <c r="A1580" t="s">
        <v>9616</v>
      </c>
      <c r="C1580" t="s">
        <v>9617</v>
      </c>
      <c r="D1580" t="str">
        <f>"52474"</f>
        <v>52474</v>
      </c>
      <c r="E1580" t="s">
        <v>10412</v>
      </c>
      <c r="F1580" s="1">
        <v>44448</v>
      </c>
      <c r="G1580" t="str">
        <f>"300043"</f>
        <v>300043</v>
      </c>
      <c r="H1580" t="s">
        <v>2876</v>
      </c>
      <c r="I1580">
        <v>1089</v>
      </c>
    </row>
    <row r="1581" spans="1:9" x14ac:dyDescent="0.25">
      <c r="A1581" t="s">
        <v>9616</v>
      </c>
      <c r="C1581" t="s">
        <v>9617</v>
      </c>
      <c r="D1581" t="s">
        <v>10413</v>
      </c>
      <c r="E1581" t="s">
        <v>9700</v>
      </c>
      <c r="F1581" s="1">
        <v>44448</v>
      </c>
      <c r="G1581" t="str">
        <f>"300092"</f>
        <v>300092</v>
      </c>
      <c r="H1581" t="s">
        <v>2160</v>
      </c>
      <c r="I1581">
        <v>88000</v>
      </c>
    </row>
    <row r="1582" spans="1:9" x14ac:dyDescent="0.25">
      <c r="A1582" t="s">
        <v>9616</v>
      </c>
      <c r="C1582" t="s">
        <v>9617</v>
      </c>
      <c r="D1582" t="str">
        <f>"454421"</f>
        <v>454421</v>
      </c>
      <c r="E1582" t="s">
        <v>10412</v>
      </c>
      <c r="F1582" s="1">
        <v>44448</v>
      </c>
      <c r="G1582" t="str">
        <f>"300101"</f>
        <v>300101</v>
      </c>
      <c r="H1582" t="s">
        <v>2926</v>
      </c>
      <c r="I1582">
        <v>3129.7</v>
      </c>
    </row>
    <row r="1583" spans="1:9" x14ac:dyDescent="0.25">
      <c r="A1583" t="s">
        <v>9616</v>
      </c>
      <c r="C1583" t="s">
        <v>9617</v>
      </c>
      <c r="D1583" t="str">
        <f>"52822"</f>
        <v>52822</v>
      </c>
      <c r="E1583" t="s">
        <v>10414</v>
      </c>
      <c r="F1583" s="1">
        <v>44449</v>
      </c>
      <c r="G1583" t="str">
        <f>"300043"</f>
        <v>300043</v>
      </c>
      <c r="H1583" t="s">
        <v>2876</v>
      </c>
      <c r="I1583">
        <v>1110</v>
      </c>
    </row>
    <row r="1584" spans="1:9" x14ac:dyDescent="0.25">
      <c r="A1584" t="s">
        <v>9616</v>
      </c>
      <c r="C1584" t="s">
        <v>9617</v>
      </c>
      <c r="D1584" t="s">
        <v>10415</v>
      </c>
      <c r="E1584" t="s">
        <v>9700</v>
      </c>
      <c r="F1584" s="1">
        <v>44449</v>
      </c>
      <c r="G1584" t="str">
        <f>"300092"</f>
        <v>300092</v>
      </c>
      <c r="H1584" t="s">
        <v>2160</v>
      </c>
      <c r="I1584">
        <v>64267.5</v>
      </c>
    </row>
    <row r="1585" spans="1:9" x14ac:dyDescent="0.25">
      <c r="A1585" t="s">
        <v>9616</v>
      </c>
      <c r="C1585" t="s">
        <v>9617</v>
      </c>
      <c r="D1585" t="str">
        <f>"454021"</f>
        <v>454021</v>
      </c>
      <c r="E1585" t="s">
        <v>10414</v>
      </c>
      <c r="F1585" s="1">
        <v>44449</v>
      </c>
      <c r="G1585" t="str">
        <f>"300101"</f>
        <v>300101</v>
      </c>
      <c r="H1585" t="s">
        <v>2926</v>
      </c>
      <c r="I1585">
        <v>3284.17</v>
      </c>
    </row>
    <row r="1586" spans="1:9" x14ac:dyDescent="0.25">
      <c r="A1586" t="s">
        <v>9616</v>
      </c>
      <c r="C1586" t="s">
        <v>9617</v>
      </c>
      <c r="D1586" t="str">
        <f>"10134066"</f>
        <v>10134066</v>
      </c>
      <c r="E1586" t="s">
        <v>9191</v>
      </c>
      <c r="F1586" s="1">
        <v>44449</v>
      </c>
      <c r="G1586" t="str">
        <f>"300115"</f>
        <v>300115</v>
      </c>
      <c r="H1586" t="s">
        <v>2938</v>
      </c>
      <c r="I1586">
        <v>86965.164000000004</v>
      </c>
    </row>
    <row r="1587" spans="1:9" x14ac:dyDescent="0.25">
      <c r="A1587" t="s">
        <v>9616</v>
      </c>
      <c r="C1587" t="s">
        <v>9617</v>
      </c>
      <c r="D1587" t="str">
        <f>"10134122"</f>
        <v>10134122</v>
      </c>
      <c r="E1587" t="s">
        <v>9191</v>
      </c>
      <c r="F1587" s="1">
        <v>44452</v>
      </c>
      <c r="G1587" t="str">
        <f>"300115"</f>
        <v>300115</v>
      </c>
      <c r="H1587" t="s">
        <v>2938</v>
      </c>
      <c r="I1587">
        <v>285249.00799999997</v>
      </c>
    </row>
    <row r="1588" spans="1:9" x14ac:dyDescent="0.25">
      <c r="A1588" t="s">
        <v>9616</v>
      </c>
      <c r="C1588" t="s">
        <v>9617</v>
      </c>
      <c r="D1588" t="str">
        <f>"10134166"</f>
        <v>10134166</v>
      </c>
      <c r="E1588" t="s">
        <v>9277</v>
      </c>
      <c r="F1588" s="1">
        <v>44452</v>
      </c>
      <c r="G1588" t="str">
        <f>"300115"</f>
        <v>300115</v>
      </c>
      <c r="H1588" t="s">
        <v>2938</v>
      </c>
      <c r="I1588">
        <v>148064.62</v>
      </c>
    </row>
    <row r="1589" spans="1:9" x14ac:dyDescent="0.25">
      <c r="A1589" t="s">
        <v>9616</v>
      </c>
      <c r="C1589" t="s">
        <v>9617</v>
      </c>
      <c r="D1589" t="str">
        <f>"53110"</f>
        <v>53110</v>
      </c>
      <c r="E1589" t="s">
        <v>10416</v>
      </c>
      <c r="F1589" s="1">
        <v>44453</v>
      </c>
      <c r="G1589" t="str">
        <f>"300043"</f>
        <v>300043</v>
      </c>
      <c r="H1589" t="s">
        <v>2876</v>
      </c>
      <c r="I1589">
        <v>444</v>
      </c>
    </row>
    <row r="1590" spans="1:9" x14ac:dyDescent="0.25">
      <c r="A1590" t="s">
        <v>9616</v>
      </c>
      <c r="C1590" t="s">
        <v>9617</v>
      </c>
      <c r="D1590" t="str">
        <f>"2105188"</f>
        <v>2105188</v>
      </c>
      <c r="E1590" t="s">
        <v>9925</v>
      </c>
      <c r="F1590" s="1">
        <v>44453</v>
      </c>
      <c r="G1590" t="str">
        <f>"300064"</f>
        <v>300064</v>
      </c>
      <c r="H1590" t="s">
        <v>2896</v>
      </c>
      <c r="I1590">
        <v>62778</v>
      </c>
    </row>
    <row r="1591" spans="1:9" x14ac:dyDescent="0.25">
      <c r="A1591" t="s">
        <v>9616</v>
      </c>
      <c r="C1591" t="s">
        <v>9617</v>
      </c>
      <c r="D1591" t="str">
        <f>"2105189"</f>
        <v>2105189</v>
      </c>
      <c r="E1591" t="s">
        <v>10024</v>
      </c>
      <c r="F1591" s="1">
        <v>44453</v>
      </c>
      <c r="G1591" t="str">
        <f>"300064"</f>
        <v>300064</v>
      </c>
      <c r="H1591" t="s">
        <v>2896</v>
      </c>
      <c r="I1591">
        <v>67774.8</v>
      </c>
    </row>
    <row r="1592" spans="1:9" x14ac:dyDescent="0.25">
      <c r="A1592" t="s">
        <v>9616</v>
      </c>
      <c r="C1592" t="s">
        <v>9617</v>
      </c>
      <c r="D1592" t="str">
        <f>"453921"</f>
        <v>453921</v>
      </c>
      <c r="E1592" t="s">
        <v>10416</v>
      </c>
      <c r="F1592" s="1">
        <v>44453</v>
      </c>
      <c r="G1592" t="str">
        <f>"300101"</f>
        <v>300101</v>
      </c>
      <c r="H1592" t="s">
        <v>2926</v>
      </c>
      <c r="I1592">
        <v>3284.05</v>
      </c>
    </row>
    <row r="1593" spans="1:9" x14ac:dyDescent="0.25">
      <c r="A1593" t="s">
        <v>9616</v>
      </c>
      <c r="C1593" t="s">
        <v>9617</v>
      </c>
      <c r="D1593" t="str">
        <f>"2105215"</f>
        <v>2105215</v>
      </c>
      <c r="E1593" t="s">
        <v>9279</v>
      </c>
      <c r="F1593" s="1">
        <v>44454</v>
      </c>
      <c r="G1593" t="str">
        <f>"300064"</f>
        <v>300064</v>
      </c>
      <c r="H1593" t="s">
        <v>2896</v>
      </c>
      <c r="I1593">
        <v>79996.800000000003</v>
      </c>
    </row>
    <row r="1594" spans="1:9" x14ac:dyDescent="0.25">
      <c r="A1594" t="s">
        <v>9616</v>
      </c>
      <c r="C1594" t="s">
        <v>9617</v>
      </c>
      <c r="D1594" t="str">
        <f>"121310783"</f>
        <v>121310783</v>
      </c>
      <c r="E1594" t="s">
        <v>9714</v>
      </c>
      <c r="F1594" s="1">
        <v>44454</v>
      </c>
      <c r="G1594" t="str">
        <f>"300080"</f>
        <v>300080</v>
      </c>
      <c r="H1594" t="s">
        <v>2907</v>
      </c>
      <c r="I1594">
        <v>131898.68640000001</v>
      </c>
    </row>
    <row r="1595" spans="1:9" x14ac:dyDescent="0.25">
      <c r="A1595" t="s">
        <v>9616</v>
      </c>
      <c r="C1595" t="s">
        <v>9617</v>
      </c>
      <c r="D1595" t="str">
        <f>"10134211"</f>
        <v>10134211</v>
      </c>
      <c r="E1595" t="s">
        <v>10417</v>
      </c>
      <c r="F1595" s="1">
        <v>44454</v>
      </c>
      <c r="G1595" t="str">
        <f>"300115"</f>
        <v>300115</v>
      </c>
      <c r="H1595" t="s">
        <v>2938</v>
      </c>
      <c r="I1595">
        <v>281766.51360000001</v>
      </c>
    </row>
    <row r="1596" spans="1:9" x14ac:dyDescent="0.25">
      <c r="A1596" t="s">
        <v>9616</v>
      </c>
      <c r="C1596" t="s">
        <v>9617</v>
      </c>
      <c r="D1596" t="str">
        <f>"53969"</f>
        <v>53969</v>
      </c>
      <c r="E1596" t="s">
        <v>10418</v>
      </c>
      <c r="F1596" s="1">
        <v>44455</v>
      </c>
      <c r="G1596" t="str">
        <f>"300043"</f>
        <v>300043</v>
      </c>
      <c r="H1596" t="s">
        <v>2876</v>
      </c>
      <c r="I1596">
        <v>1081</v>
      </c>
    </row>
    <row r="1597" spans="1:9" x14ac:dyDescent="0.25">
      <c r="A1597" t="s">
        <v>9616</v>
      </c>
      <c r="C1597" t="s">
        <v>9617</v>
      </c>
      <c r="D1597" t="str">
        <f>"53971"</f>
        <v>53971</v>
      </c>
      <c r="E1597" t="s">
        <v>10419</v>
      </c>
      <c r="F1597" s="1">
        <v>44455</v>
      </c>
      <c r="G1597" t="str">
        <f>"300043"</f>
        <v>300043</v>
      </c>
      <c r="H1597" t="s">
        <v>2876</v>
      </c>
      <c r="I1597">
        <v>640</v>
      </c>
    </row>
    <row r="1598" spans="1:9" x14ac:dyDescent="0.25">
      <c r="A1598" t="s">
        <v>9616</v>
      </c>
      <c r="C1598" t="s">
        <v>9617</v>
      </c>
      <c r="D1598" t="str">
        <f>"484321"</f>
        <v>484321</v>
      </c>
      <c r="E1598" t="s">
        <v>10419</v>
      </c>
      <c r="F1598" s="1">
        <v>44455</v>
      </c>
      <c r="G1598" t="str">
        <f>"300101"</f>
        <v>300101</v>
      </c>
      <c r="H1598" t="s">
        <v>2926</v>
      </c>
      <c r="I1598">
        <v>3283.99</v>
      </c>
    </row>
    <row r="1599" spans="1:9" x14ac:dyDescent="0.25">
      <c r="A1599" t="s">
        <v>9616</v>
      </c>
      <c r="C1599" t="s">
        <v>9617</v>
      </c>
      <c r="D1599" t="str">
        <f>"484721"</f>
        <v>484721</v>
      </c>
      <c r="E1599" t="s">
        <v>10418</v>
      </c>
      <c r="F1599" s="1">
        <v>44455</v>
      </c>
      <c r="G1599" t="str">
        <f>"300101"</f>
        <v>300101</v>
      </c>
      <c r="H1599" t="s">
        <v>2926</v>
      </c>
      <c r="I1599">
        <v>3130.27</v>
      </c>
    </row>
    <row r="1600" spans="1:9" x14ac:dyDescent="0.25">
      <c r="A1600" t="s">
        <v>9616</v>
      </c>
      <c r="C1600" t="s">
        <v>9617</v>
      </c>
      <c r="D1600" t="str">
        <f>"10134256"</f>
        <v>10134256</v>
      </c>
      <c r="E1600" t="s">
        <v>10420</v>
      </c>
      <c r="F1600" s="1">
        <v>44455</v>
      </c>
      <c r="G1600" t="str">
        <f>"300115"</f>
        <v>300115</v>
      </c>
      <c r="H1600" t="s">
        <v>2938</v>
      </c>
      <c r="I1600">
        <v>215852.84049999999</v>
      </c>
    </row>
    <row r="1601" spans="1:9" x14ac:dyDescent="0.25">
      <c r="A1601" t="s">
        <v>9616</v>
      </c>
      <c r="C1601" t="s">
        <v>9617</v>
      </c>
      <c r="D1601" t="str">
        <f>"10134257"</f>
        <v>10134257</v>
      </c>
      <c r="E1601" t="s">
        <v>10420</v>
      </c>
      <c r="F1601" s="1">
        <v>44455</v>
      </c>
      <c r="G1601" t="str">
        <f>"300115"</f>
        <v>300115</v>
      </c>
      <c r="H1601" t="s">
        <v>2938</v>
      </c>
      <c r="I1601">
        <v>92324.506999999998</v>
      </c>
    </row>
    <row r="1602" spans="1:9" x14ac:dyDescent="0.25">
      <c r="A1602" t="s">
        <v>9616</v>
      </c>
      <c r="C1602" t="s">
        <v>9617</v>
      </c>
      <c r="D1602" t="str">
        <f>"2105281"</f>
        <v>2105281</v>
      </c>
      <c r="E1602" t="s">
        <v>10390</v>
      </c>
      <c r="F1602" s="1">
        <v>44456</v>
      </c>
      <c r="G1602" t="str">
        <f>"300064"</f>
        <v>300064</v>
      </c>
      <c r="H1602" t="s">
        <v>2896</v>
      </c>
      <c r="I1602">
        <v>79996.800000000003</v>
      </c>
    </row>
    <row r="1603" spans="1:9" x14ac:dyDescent="0.25">
      <c r="A1603" t="s">
        <v>9616</v>
      </c>
      <c r="C1603" t="s">
        <v>9617</v>
      </c>
      <c r="D1603" t="str">
        <f>"2105282"</f>
        <v>2105282</v>
      </c>
      <c r="E1603" t="s">
        <v>10024</v>
      </c>
      <c r="F1603" s="1">
        <v>44456</v>
      </c>
      <c r="G1603" t="str">
        <f>"300064"</f>
        <v>300064</v>
      </c>
      <c r="H1603" t="s">
        <v>2896</v>
      </c>
      <c r="I1603">
        <v>28030.799999999999</v>
      </c>
    </row>
    <row r="1604" spans="1:9" x14ac:dyDescent="0.25">
      <c r="A1604" t="s">
        <v>9616</v>
      </c>
      <c r="C1604" t="s">
        <v>9617</v>
      </c>
      <c r="D1604" t="s">
        <v>10421</v>
      </c>
      <c r="E1604" t="s">
        <v>9565</v>
      </c>
      <c r="F1604" s="1">
        <v>44456</v>
      </c>
      <c r="G1604" t="str">
        <f>"300133"</f>
        <v>300133</v>
      </c>
      <c r="H1604" t="s">
        <v>2955</v>
      </c>
      <c r="I1604">
        <v>19777.05</v>
      </c>
    </row>
    <row r="1605" spans="1:9" x14ac:dyDescent="0.25">
      <c r="A1605" t="s">
        <v>9616</v>
      </c>
      <c r="C1605" t="s">
        <v>9617</v>
      </c>
      <c r="D1605" t="str">
        <f>"54236"</f>
        <v>54236</v>
      </c>
      <c r="E1605" t="s">
        <v>10422</v>
      </c>
      <c r="F1605" s="1">
        <v>44457</v>
      </c>
      <c r="G1605" t="str">
        <f>"300043"</f>
        <v>300043</v>
      </c>
      <c r="H1605" t="s">
        <v>2876</v>
      </c>
      <c r="I1605">
        <v>1068</v>
      </c>
    </row>
    <row r="1606" spans="1:9" x14ac:dyDescent="0.25">
      <c r="A1606" t="s">
        <v>9616</v>
      </c>
      <c r="C1606" t="s">
        <v>9617</v>
      </c>
      <c r="D1606" t="str">
        <f>"54554"</f>
        <v>54554</v>
      </c>
      <c r="E1606" t="s">
        <v>10423</v>
      </c>
      <c r="F1606" s="1">
        <v>44459</v>
      </c>
      <c r="G1606" t="str">
        <f>"300043"</f>
        <v>300043</v>
      </c>
      <c r="H1606" t="s">
        <v>2876</v>
      </c>
      <c r="I1606">
        <v>1155</v>
      </c>
    </row>
    <row r="1607" spans="1:9" x14ac:dyDescent="0.25">
      <c r="A1607" t="s">
        <v>9616</v>
      </c>
      <c r="C1607" t="s">
        <v>9617</v>
      </c>
      <c r="D1607" t="s">
        <v>10424</v>
      </c>
      <c r="E1607" t="s">
        <v>9998</v>
      </c>
      <c r="F1607" s="1">
        <v>44459</v>
      </c>
      <c r="G1607" t="str">
        <f>"300092"</f>
        <v>300092</v>
      </c>
      <c r="H1607" t="s">
        <v>2160</v>
      </c>
      <c r="I1607">
        <v>28820.880000000001</v>
      </c>
    </row>
    <row r="1608" spans="1:9" x14ac:dyDescent="0.25">
      <c r="A1608" t="s">
        <v>9616</v>
      </c>
      <c r="C1608" t="s">
        <v>9617</v>
      </c>
      <c r="D1608" t="str">
        <f>"484421"</f>
        <v>484421</v>
      </c>
      <c r="E1608" t="s">
        <v>10423</v>
      </c>
      <c r="F1608" s="1">
        <v>44459</v>
      </c>
      <c r="G1608" t="str">
        <f>"300101"</f>
        <v>300101</v>
      </c>
      <c r="H1608" t="s">
        <v>2926</v>
      </c>
      <c r="I1608">
        <v>3587.59</v>
      </c>
    </row>
    <row r="1609" spans="1:9" x14ac:dyDescent="0.25">
      <c r="A1609" t="s">
        <v>9616</v>
      </c>
      <c r="C1609" t="s">
        <v>9617</v>
      </c>
      <c r="D1609" t="str">
        <f>"10134380"</f>
        <v>10134380</v>
      </c>
      <c r="E1609" t="s">
        <v>9191</v>
      </c>
      <c r="F1609" s="1">
        <v>44459</v>
      </c>
      <c r="G1609" t="str">
        <f>"300115"</f>
        <v>300115</v>
      </c>
      <c r="H1609" t="s">
        <v>2938</v>
      </c>
      <c r="I1609">
        <v>293859.14799999999</v>
      </c>
    </row>
    <row r="1610" spans="1:9" x14ac:dyDescent="0.25">
      <c r="A1610" t="s">
        <v>9616</v>
      </c>
      <c r="C1610" t="s">
        <v>9617</v>
      </c>
      <c r="D1610" t="str">
        <f>"10134381"</f>
        <v>10134381</v>
      </c>
      <c r="E1610" t="s">
        <v>9191</v>
      </c>
      <c r="F1610" s="1">
        <v>44459</v>
      </c>
      <c r="G1610" t="str">
        <f>"300115"</f>
        <v>300115</v>
      </c>
      <c r="H1610" t="s">
        <v>2938</v>
      </c>
      <c r="I1610">
        <v>177965.52840000001</v>
      </c>
    </row>
    <row r="1611" spans="1:9" x14ac:dyDescent="0.25">
      <c r="A1611" t="s">
        <v>9616</v>
      </c>
      <c r="C1611" t="s">
        <v>9617</v>
      </c>
      <c r="D1611" t="str">
        <f>"10134382"</f>
        <v>10134382</v>
      </c>
      <c r="E1611" t="s">
        <v>9189</v>
      </c>
      <c r="F1611" s="1">
        <v>44459</v>
      </c>
      <c r="G1611" t="str">
        <f>"300115"</f>
        <v>300115</v>
      </c>
      <c r="H1611" t="s">
        <v>2938</v>
      </c>
      <c r="I1611">
        <v>281766.51360000001</v>
      </c>
    </row>
    <row r="1612" spans="1:9" x14ac:dyDescent="0.25">
      <c r="A1612" t="s">
        <v>9616</v>
      </c>
      <c r="C1612" t="s">
        <v>9617</v>
      </c>
      <c r="D1612" t="str">
        <f>"10134383"</f>
        <v>10134383</v>
      </c>
      <c r="E1612" t="s">
        <v>9189</v>
      </c>
      <c r="F1612" s="1">
        <v>44459</v>
      </c>
      <c r="G1612" t="str">
        <f>"300115"</f>
        <v>300115</v>
      </c>
      <c r="H1612" t="s">
        <v>2938</v>
      </c>
      <c r="I1612">
        <v>285201.70799999998</v>
      </c>
    </row>
    <row r="1613" spans="1:9" x14ac:dyDescent="0.25">
      <c r="A1613" t="s">
        <v>9616</v>
      </c>
      <c r="C1613" t="s">
        <v>9617</v>
      </c>
      <c r="D1613" t="s">
        <v>10425</v>
      </c>
      <c r="E1613" t="s">
        <v>9579</v>
      </c>
      <c r="F1613" s="1">
        <v>44459</v>
      </c>
      <c r="G1613" t="str">
        <f>"300133"</f>
        <v>300133</v>
      </c>
      <c r="H1613" t="s">
        <v>2955</v>
      </c>
      <c r="I1613">
        <v>43689.599999999999</v>
      </c>
    </row>
    <row r="1614" spans="1:9" x14ac:dyDescent="0.25">
      <c r="A1614" t="s">
        <v>9616</v>
      </c>
      <c r="C1614" t="s">
        <v>9617</v>
      </c>
      <c r="D1614" t="str">
        <f>"484221"</f>
        <v>484221</v>
      </c>
      <c r="E1614" t="s">
        <v>10422</v>
      </c>
      <c r="F1614" s="1">
        <v>44460</v>
      </c>
      <c r="G1614" t="str">
        <f>"300101"</f>
        <v>300101</v>
      </c>
      <c r="H1614" t="s">
        <v>2926</v>
      </c>
      <c r="I1614">
        <v>3587.95</v>
      </c>
    </row>
    <row r="1615" spans="1:9" x14ac:dyDescent="0.25">
      <c r="A1615" t="s">
        <v>9616</v>
      </c>
      <c r="C1615" t="s">
        <v>9617</v>
      </c>
      <c r="D1615" t="str">
        <f>"55052"</f>
        <v>55052</v>
      </c>
      <c r="E1615" t="s">
        <v>10426</v>
      </c>
      <c r="F1615" s="1">
        <v>44461</v>
      </c>
      <c r="G1615" t="str">
        <f>"300043"</f>
        <v>300043</v>
      </c>
      <c r="H1615" t="s">
        <v>2876</v>
      </c>
      <c r="I1615">
        <v>1065</v>
      </c>
    </row>
    <row r="1616" spans="1:9" x14ac:dyDescent="0.25">
      <c r="A1616" t="s">
        <v>9616</v>
      </c>
      <c r="C1616" t="s">
        <v>9617</v>
      </c>
      <c r="D1616" t="str">
        <f>"55062"</f>
        <v>55062</v>
      </c>
      <c r="E1616" t="s">
        <v>10427</v>
      </c>
      <c r="F1616" s="1">
        <v>44461</v>
      </c>
      <c r="G1616" t="str">
        <f>"300043"</f>
        <v>300043</v>
      </c>
      <c r="H1616" t="s">
        <v>2876</v>
      </c>
      <c r="I1616">
        <v>1078</v>
      </c>
    </row>
    <row r="1617" spans="1:9" x14ac:dyDescent="0.25">
      <c r="A1617" t="s">
        <v>9616</v>
      </c>
      <c r="C1617" t="s">
        <v>9617</v>
      </c>
      <c r="D1617" t="str">
        <f>"55067"</f>
        <v>55067</v>
      </c>
      <c r="E1617" t="s">
        <v>10428</v>
      </c>
      <c r="F1617" s="1">
        <v>44461</v>
      </c>
      <c r="G1617" t="str">
        <f>"300043"</f>
        <v>300043</v>
      </c>
      <c r="H1617" t="s">
        <v>2876</v>
      </c>
      <c r="I1617">
        <v>734</v>
      </c>
    </row>
    <row r="1618" spans="1:9" x14ac:dyDescent="0.25">
      <c r="A1618" t="s">
        <v>9616</v>
      </c>
      <c r="C1618" t="s">
        <v>9617</v>
      </c>
      <c r="D1618" t="str">
        <f>"55072"</f>
        <v>55072</v>
      </c>
      <c r="E1618" t="s">
        <v>10429</v>
      </c>
      <c r="F1618" s="1">
        <v>44461</v>
      </c>
      <c r="G1618" t="str">
        <f>"300043"</f>
        <v>300043</v>
      </c>
      <c r="H1618" t="s">
        <v>2876</v>
      </c>
      <c r="I1618">
        <v>1105</v>
      </c>
    </row>
    <row r="1619" spans="1:9" x14ac:dyDescent="0.25">
      <c r="A1619" t="s">
        <v>9616</v>
      </c>
      <c r="C1619" t="s">
        <v>9617</v>
      </c>
      <c r="D1619" t="str">
        <f>"484521"</f>
        <v>484521</v>
      </c>
      <c r="E1619" t="s">
        <v>10429</v>
      </c>
      <c r="F1619" s="1">
        <v>44461</v>
      </c>
      <c r="G1619" t="str">
        <f>"300101"</f>
        <v>300101</v>
      </c>
      <c r="H1619" t="s">
        <v>2926</v>
      </c>
      <c r="I1619">
        <v>3277.37</v>
      </c>
    </row>
    <row r="1620" spans="1:9" x14ac:dyDescent="0.25">
      <c r="A1620" t="s">
        <v>9616</v>
      </c>
      <c r="C1620" t="s">
        <v>9617</v>
      </c>
      <c r="D1620" t="str">
        <f>"484621"</f>
        <v>484621</v>
      </c>
      <c r="E1620" t="s">
        <v>10427</v>
      </c>
      <c r="F1620" s="1">
        <v>44461</v>
      </c>
      <c r="G1620" t="str">
        <f>"300101"</f>
        <v>300101</v>
      </c>
      <c r="H1620" t="s">
        <v>2926</v>
      </c>
      <c r="I1620">
        <v>3277.37</v>
      </c>
    </row>
    <row r="1621" spans="1:9" x14ac:dyDescent="0.25">
      <c r="A1621" t="s">
        <v>9616</v>
      </c>
      <c r="C1621" t="s">
        <v>9617</v>
      </c>
      <c r="D1621" t="str">
        <f>"484821"</f>
        <v>484821</v>
      </c>
      <c r="E1621" t="s">
        <v>10426</v>
      </c>
      <c r="F1621" s="1">
        <v>44461</v>
      </c>
      <c r="G1621" t="str">
        <f>"300101"</f>
        <v>300101</v>
      </c>
      <c r="H1621" t="s">
        <v>2926</v>
      </c>
      <c r="I1621">
        <v>3277.37</v>
      </c>
    </row>
    <row r="1622" spans="1:9" x14ac:dyDescent="0.25">
      <c r="A1622" t="s">
        <v>9616</v>
      </c>
      <c r="C1622" t="s">
        <v>9617</v>
      </c>
      <c r="D1622" t="str">
        <f>"484921"</f>
        <v>484921</v>
      </c>
      <c r="E1622" t="s">
        <v>10428</v>
      </c>
      <c r="F1622" s="1">
        <v>44461</v>
      </c>
      <c r="G1622" t="str">
        <f>"300101"</f>
        <v>300101</v>
      </c>
      <c r="H1622" t="s">
        <v>2926</v>
      </c>
      <c r="I1622">
        <v>3277.37</v>
      </c>
    </row>
    <row r="1623" spans="1:9" x14ac:dyDescent="0.25">
      <c r="A1623" t="s">
        <v>9616</v>
      </c>
      <c r="C1623" t="s">
        <v>9617</v>
      </c>
      <c r="D1623" t="s">
        <v>10430</v>
      </c>
      <c r="E1623" t="s">
        <v>9921</v>
      </c>
      <c r="F1623" s="1">
        <v>44462</v>
      </c>
      <c r="G1623" t="str">
        <f>"300133"</f>
        <v>300133</v>
      </c>
      <c r="H1623" t="s">
        <v>2955</v>
      </c>
      <c r="I1623">
        <v>23400</v>
      </c>
    </row>
    <row r="1624" spans="1:9" x14ac:dyDescent="0.25">
      <c r="A1624" t="s">
        <v>9616</v>
      </c>
      <c r="C1624" t="s">
        <v>9617</v>
      </c>
      <c r="D1624" t="str">
        <f>"469921"</f>
        <v>469921</v>
      </c>
      <c r="E1624" t="s">
        <v>10409</v>
      </c>
      <c r="F1624" s="1">
        <v>44466</v>
      </c>
      <c r="G1624" t="str">
        <f>"300101"</f>
        <v>300101</v>
      </c>
      <c r="H1624" t="s">
        <v>2926</v>
      </c>
      <c r="I1624">
        <v>154.21</v>
      </c>
    </row>
    <row r="1625" spans="1:9" x14ac:dyDescent="0.25">
      <c r="A1625" t="s">
        <v>9616</v>
      </c>
      <c r="C1625" t="s">
        <v>9617</v>
      </c>
      <c r="D1625" t="str">
        <f>"10134589"</f>
        <v>10134589</v>
      </c>
      <c r="E1625" t="s">
        <v>9189</v>
      </c>
      <c r="F1625" s="1">
        <v>44466</v>
      </c>
      <c r="G1625" t="str">
        <f>"300115"</f>
        <v>300115</v>
      </c>
      <c r="H1625" t="s">
        <v>2938</v>
      </c>
      <c r="I1625">
        <v>278235.815</v>
      </c>
    </row>
    <row r="1626" spans="1:9" x14ac:dyDescent="0.25">
      <c r="A1626" t="s">
        <v>9616</v>
      </c>
      <c r="C1626" t="s">
        <v>9617</v>
      </c>
      <c r="D1626" t="s">
        <v>10431</v>
      </c>
      <c r="E1626" t="s">
        <v>10432</v>
      </c>
      <c r="F1626" s="1">
        <v>44466</v>
      </c>
      <c r="G1626" t="str">
        <f>"300133"</f>
        <v>300133</v>
      </c>
      <c r="H1626" t="s">
        <v>2955</v>
      </c>
      <c r="I1626">
        <v>12780</v>
      </c>
    </row>
    <row r="1627" spans="1:9" x14ac:dyDescent="0.25">
      <c r="A1627" t="s">
        <v>9616</v>
      </c>
      <c r="C1627" t="s">
        <v>9617</v>
      </c>
      <c r="D1627" t="str">
        <f>"2101033"</f>
        <v>2101033</v>
      </c>
      <c r="E1627" t="s">
        <v>10433</v>
      </c>
      <c r="F1627" s="1">
        <v>44467</v>
      </c>
      <c r="G1627" t="str">
        <f>"300064"</f>
        <v>300064</v>
      </c>
      <c r="H1627" t="s">
        <v>2896</v>
      </c>
      <c r="I1627">
        <v>7800</v>
      </c>
    </row>
    <row r="1628" spans="1:9" x14ac:dyDescent="0.25">
      <c r="A1628" t="s">
        <v>9616</v>
      </c>
      <c r="C1628" t="s">
        <v>9617</v>
      </c>
      <c r="D1628" t="str">
        <f>"2105561"</f>
        <v>2105561</v>
      </c>
      <c r="E1628" t="s">
        <v>10024</v>
      </c>
      <c r="F1628" s="1">
        <v>44467</v>
      </c>
      <c r="G1628" t="str">
        <f>"300064"</f>
        <v>300064</v>
      </c>
      <c r="H1628" t="s">
        <v>2896</v>
      </c>
      <c r="I1628">
        <v>6952</v>
      </c>
    </row>
    <row r="1629" spans="1:9" x14ac:dyDescent="0.25">
      <c r="A1629" t="s">
        <v>9616</v>
      </c>
      <c r="C1629" t="s">
        <v>9617</v>
      </c>
      <c r="D1629" t="str">
        <f>"10134592"</f>
        <v>10134592</v>
      </c>
      <c r="E1629" t="s">
        <v>9191</v>
      </c>
      <c r="F1629" s="1">
        <v>44467</v>
      </c>
      <c r="G1629" t="str">
        <f>"300115"</f>
        <v>300115</v>
      </c>
      <c r="H1629" t="s">
        <v>2938</v>
      </c>
      <c r="I1629">
        <v>226478.85920000001</v>
      </c>
    </row>
    <row r="1630" spans="1:9" x14ac:dyDescent="0.25">
      <c r="A1630" t="s">
        <v>9616</v>
      </c>
      <c r="C1630" t="s">
        <v>9617</v>
      </c>
      <c r="D1630" t="str">
        <f>"56463"</f>
        <v>56463</v>
      </c>
      <c r="E1630" t="s">
        <v>10434</v>
      </c>
      <c r="F1630" s="1">
        <v>44468</v>
      </c>
      <c r="G1630" t="str">
        <f>"300043"</f>
        <v>300043</v>
      </c>
      <c r="H1630" t="s">
        <v>2876</v>
      </c>
      <c r="I1630">
        <v>1096</v>
      </c>
    </row>
    <row r="1631" spans="1:9" x14ac:dyDescent="0.25">
      <c r="A1631" t="s">
        <v>9616</v>
      </c>
      <c r="C1631" t="s">
        <v>9617</v>
      </c>
      <c r="D1631" t="str">
        <f>"10134723"</f>
        <v>10134723</v>
      </c>
      <c r="E1631" t="s">
        <v>9189</v>
      </c>
      <c r="F1631" s="1">
        <v>44468</v>
      </c>
      <c r="G1631" t="str">
        <f>"300115"</f>
        <v>300115</v>
      </c>
      <c r="H1631" t="s">
        <v>2938</v>
      </c>
      <c r="I1631">
        <v>270605.28000000003</v>
      </c>
    </row>
    <row r="1632" spans="1:9" x14ac:dyDescent="0.25">
      <c r="A1632" t="s">
        <v>9616</v>
      </c>
      <c r="C1632" t="s">
        <v>9617</v>
      </c>
      <c r="D1632" t="str">
        <f>"2101109"</f>
        <v>2101109</v>
      </c>
      <c r="E1632" t="s">
        <v>10435</v>
      </c>
      <c r="F1632" s="1">
        <v>44469</v>
      </c>
      <c r="G1632" t="str">
        <f>"300064"</f>
        <v>300064</v>
      </c>
      <c r="H1632" t="s">
        <v>2896</v>
      </c>
      <c r="I1632">
        <v>29610</v>
      </c>
    </row>
    <row r="1633" spans="1:9" x14ac:dyDescent="0.25">
      <c r="A1633" t="s">
        <v>9616</v>
      </c>
      <c r="C1633" t="s">
        <v>9617</v>
      </c>
      <c r="D1633" t="s">
        <v>10436</v>
      </c>
      <c r="E1633" t="s">
        <v>10436</v>
      </c>
      <c r="F1633" s="1">
        <v>44469</v>
      </c>
      <c r="G1633" t="str">
        <f>"300092"</f>
        <v>300092</v>
      </c>
      <c r="H1633" t="s">
        <v>2160</v>
      </c>
      <c r="I1633">
        <v>2779.32</v>
      </c>
    </row>
    <row r="1634" spans="1:9" x14ac:dyDescent="0.25">
      <c r="A1634" t="s">
        <v>9616</v>
      </c>
      <c r="C1634" t="s">
        <v>9617</v>
      </c>
      <c r="D1634" t="str">
        <f>"10134765"</f>
        <v>10134765</v>
      </c>
      <c r="E1634" t="s">
        <v>1313</v>
      </c>
      <c r="F1634" s="1">
        <v>44469</v>
      </c>
      <c r="G1634" t="str">
        <f>"300115"</f>
        <v>300115</v>
      </c>
      <c r="H1634" t="s">
        <v>2938</v>
      </c>
      <c r="I1634">
        <v>294859.75199999998</v>
      </c>
    </row>
    <row r="1635" spans="1:9" x14ac:dyDescent="0.25">
      <c r="A1635" t="s">
        <v>9616</v>
      </c>
      <c r="C1635" t="s">
        <v>9617</v>
      </c>
      <c r="D1635" t="str">
        <f>"2105842"</f>
        <v>2105842</v>
      </c>
      <c r="E1635" t="s">
        <v>10437</v>
      </c>
      <c r="F1635" s="1">
        <v>44469</v>
      </c>
      <c r="G1635" t="str">
        <f>"300235"</f>
        <v>300235</v>
      </c>
      <c r="H1635" t="s">
        <v>3034</v>
      </c>
      <c r="I1635">
        <v>1502</v>
      </c>
    </row>
    <row r="1636" spans="1:9" x14ac:dyDescent="0.25">
      <c r="A1636" t="s">
        <v>9616</v>
      </c>
      <c r="C1636" t="s">
        <v>9617</v>
      </c>
      <c r="D1636" t="str">
        <f>"57021"</f>
        <v>57021</v>
      </c>
      <c r="E1636" t="s">
        <v>10438</v>
      </c>
      <c r="F1636" s="1">
        <v>44470</v>
      </c>
      <c r="G1636" t="str">
        <f>"300043"</f>
        <v>300043</v>
      </c>
      <c r="H1636" t="s">
        <v>2876</v>
      </c>
      <c r="I1636">
        <v>1066</v>
      </c>
    </row>
    <row r="1637" spans="1:9" x14ac:dyDescent="0.25">
      <c r="A1637" t="s">
        <v>9616</v>
      </c>
      <c r="C1637" t="s">
        <v>9617</v>
      </c>
      <c r="D1637" t="str">
        <f>"57033"</f>
        <v>57033</v>
      </c>
      <c r="E1637" t="s">
        <v>10439</v>
      </c>
      <c r="F1637" s="1">
        <v>44470</v>
      </c>
      <c r="G1637" t="str">
        <f>"300043"</f>
        <v>300043</v>
      </c>
      <c r="H1637" t="s">
        <v>2876</v>
      </c>
      <c r="I1637">
        <v>886</v>
      </c>
    </row>
    <row r="1638" spans="1:9" x14ac:dyDescent="0.25">
      <c r="A1638" t="s">
        <v>9616</v>
      </c>
      <c r="C1638" t="s">
        <v>9617</v>
      </c>
      <c r="D1638" t="str">
        <f>"2105685"</f>
        <v>2105685</v>
      </c>
      <c r="E1638" t="s">
        <v>9925</v>
      </c>
      <c r="F1638" s="1">
        <v>44470</v>
      </c>
      <c r="G1638" t="str">
        <f>"300064"</f>
        <v>300064</v>
      </c>
      <c r="H1638" t="s">
        <v>2896</v>
      </c>
      <c r="I1638">
        <v>6952</v>
      </c>
    </row>
    <row r="1639" spans="1:9" x14ac:dyDescent="0.25">
      <c r="A1639" t="s">
        <v>9616</v>
      </c>
      <c r="C1639" t="s">
        <v>9617</v>
      </c>
      <c r="D1639" t="str">
        <f>"484121"</f>
        <v>484121</v>
      </c>
      <c r="E1639" t="s">
        <v>10439</v>
      </c>
      <c r="F1639" s="1">
        <v>44470</v>
      </c>
      <c r="G1639" t="str">
        <f>"300101"</f>
        <v>300101</v>
      </c>
      <c r="H1639" t="s">
        <v>2926</v>
      </c>
      <c r="I1639">
        <v>3112.96</v>
      </c>
    </row>
    <row r="1640" spans="1:9" x14ac:dyDescent="0.25">
      <c r="A1640" t="s">
        <v>9616</v>
      </c>
      <c r="C1640" t="s">
        <v>9617</v>
      </c>
      <c r="D1640" t="str">
        <f>"10134850"</f>
        <v>10134850</v>
      </c>
      <c r="E1640" t="s">
        <v>1313</v>
      </c>
      <c r="F1640" s="1">
        <v>44470</v>
      </c>
      <c r="G1640" t="str">
        <f>"300115"</f>
        <v>300115</v>
      </c>
      <c r="H1640" t="s">
        <v>2938</v>
      </c>
      <c r="I1640">
        <v>321435.44400000002</v>
      </c>
    </row>
    <row r="1641" spans="1:9" x14ac:dyDescent="0.25">
      <c r="A1641" t="s">
        <v>9616</v>
      </c>
      <c r="C1641" t="s">
        <v>9617</v>
      </c>
      <c r="D1641" t="s">
        <v>10440</v>
      </c>
      <c r="E1641" t="s">
        <v>9565</v>
      </c>
      <c r="F1641" s="1">
        <v>44471</v>
      </c>
      <c r="G1641" t="str">
        <f>"300133"</f>
        <v>300133</v>
      </c>
      <c r="H1641" t="s">
        <v>2955</v>
      </c>
      <c r="I1641">
        <v>27561.599999999999</v>
      </c>
    </row>
    <row r="1642" spans="1:9" x14ac:dyDescent="0.25">
      <c r="A1642" t="s">
        <v>9616</v>
      </c>
      <c r="C1642" t="s">
        <v>9617</v>
      </c>
      <c r="D1642" t="str">
        <f>"10134896"</f>
        <v>10134896</v>
      </c>
      <c r="E1642" t="s">
        <v>9191</v>
      </c>
      <c r="F1642" s="1">
        <v>44473</v>
      </c>
      <c r="G1642" t="str">
        <f>"300115"</f>
        <v>300115</v>
      </c>
      <c r="H1642" t="s">
        <v>2938</v>
      </c>
      <c r="I1642">
        <v>245985.96</v>
      </c>
    </row>
    <row r="1643" spans="1:9" x14ac:dyDescent="0.25">
      <c r="A1643" t="s">
        <v>9616</v>
      </c>
      <c r="C1643" t="s">
        <v>9617</v>
      </c>
      <c r="D1643" t="str">
        <f>"57474"</f>
        <v>57474</v>
      </c>
      <c r="E1643" t="s">
        <v>10441</v>
      </c>
      <c r="F1643" s="1">
        <v>44473</v>
      </c>
      <c r="G1643" t="str">
        <f>"300191"</f>
        <v>300191</v>
      </c>
      <c r="H1643" t="s">
        <v>3008</v>
      </c>
      <c r="I1643">
        <v>1143</v>
      </c>
    </row>
    <row r="1644" spans="1:9" x14ac:dyDescent="0.25">
      <c r="A1644" t="s">
        <v>9616</v>
      </c>
      <c r="C1644" t="s">
        <v>9617</v>
      </c>
      <c r="D1644" t="str">
        <f>"021321"</f>
        <v>021321</v>
      </c>
      <c r="E1644" t="s">
        <v>10434</v>
      </c>
      <c r="F1644" s="1">
        <v>44473</v>
      </c>
      <c r="G1644" t="str">
        <f>"300192"</f>
        <v>300192</v>
      </c>
      <c r="H1644" t="s">
        <v>3009</v>
      </c>
      <c r="I1644">
        <v>15000</v>
      </c>
    </row>
    <row r="1645" spans="1:9" x14ac:dyDescent="0.25">
      <c r="A1645" t="s">
        <v>9616</v>
      </c>
      <c r="C1645" t="s">
        <v>9617</v>
      </c>
      <c r="D1645" t="str">
        <f>"021421"</f>
        <v>021421</v>
      </c>
      <c r="E1645" t="s">
        <v>10438</v>
      </c>
      <c r="F1645" s="1">
        <v>44473</v>
      </c>
      <c r="G1645" t="str">
        <f>"300192"</f>
        <v>300192</v>
      </c>
      <c r="H1645" t="s">
        <v>3009</v>
      </c>
      <c r="I1645">
        <v>15000</v>
      </c>
    </row>
    <row r="1646" spans="1:9" x14ac:dyDescent="0.25">
      <c r="A1646" t="s">
        <v>9616</v>
      </c>
      <c r="C1646" t="s">
        <v>9617</v>
      </c>
      <c r="D1646" t="str">
        <f>"021521"</f>
        <v>021521</v>
      </c>
      <c r="E1646" t="s">
        <v>10441</v>
      </c>
      <c r="F1646" s="1">
        <v>44473</v>
      </c>
      <c r="G1646" t="str">
        <f>"300192"</f>
        <v>300192</v>
      </c>
      <c r="H1646" t="s">
        <v>3009</v>
      </c>
      <c r="I1646">
        <v>14000</v>
      </c>
    </row>
    <row r="1647" spans="1:9" x14ac:dyDescent="0.25">
      <c r="A1647" t="s">
        <v>9616</v>
      </c>
      <c r="C1647" t="s">
        <v>9617</v>
      </c>
      <c r="D1647" t="str">
        <f>"57882"</f>
        <v>57882</v>
      </c>
      <c r="E1647" t="s">
        <v>10442</v>
      </c>
      <c r="F1647" s="1">
        <v>44475</v>
      </c>
      <c r="G1647" t="str">
        <f>"300043"</f>
        <v>300043</v>
      </c>
      <c r="H1647" t="s">
        <v>2876</v>
      </c>
      <c r="I1647">
        <v>1189</v>
      </c>
    </row>
    <row r="1648" spans="1:9" x14ac:dyDescent="0.25">
      <c r="A1648" t="s">
        <v>9616</v>
      </c>
      <c r="C1648" t="s">
        <v>9617</v>
      </c>
      <c r="D1648" t="str">
        <f>"57936"</f>
        <v>57936</v>
      </c>
      <c r="E1648" t="s">
        <v>10443</v>
      </c>
      <c r="F1648" s="1">
        <v>44475</v>
      </c>
      <c r="G1648" t="str">
        <f>"300043"</f>
        <v>300043</v>
      </c>
      <c r="H1648" t="s">
        <v>2876</v>
      </c>
      <c r="I1648">
        <v>989</v>
      </c>
    </row>
    <row r="1649" spans="1:9" x14ac:dyDescent="0.25">
      <c r="A1649" t="s">
        <v>9616</v>
      </c>
      <c r="C1649" t="s">
        <v>9617</v>
      </c>
      <c r="D1649" t="str">
        <f>"510221"</f>
        <v>510221</v>
      </c>
      <c r="E1649" t="s">
        <v>10442</v>
      </c>
      <c r="F1649" s="1">
        <v>44475</v>
      </c>
      <c r="G1649" t="str">
        <f>"300101"</f>
        <v>300101</v>
      </c>
      <c r="H1649" t="s">
        <v>2926</v>
      </c>
      <c r="I1649">
        <v>3268.27</v>
      </c>
    </row>
    <row r="1650" spans="1:9" x14ac:dyDescent="0.25">
      <c r="A1650" t="s">
        <v>9616</v>
      </c>
      <c r="C1650" t="s">
        <v>9617</v>
      </c>
      <c r="D1650" t="str">
        <f>"2105865"</f>
        <v>2105865</v>
      </c>
      <c r="E1650" t="s">
        <v>9925</v>
      </c>
      <c r="F1650" s="1">
        <v>44476</v>
      </c>
      <c r="G1650" t="str">
        <f>"300064"</f>
        <v>300064</v>
      </c>
      <c r="H1650" t="s">
        <v>2896</v>
      </c>
      <c r="I1650">
        <v>34970</v>
      </c>
    </row>
    <row r="1651" spans="1:9" x14ac:dyDescent="0.25">
      <c r="A1651" t="s">
        <v>9616</v>
      </c>
      <c r="C1651" t="s">
        <v>9617</v>
      </c>
      <c r="D1651" t="str">
        <f>"2105866"</f>
        <v>2105866</v>
      </c>
      <c r="E1651" t="s">
        <v>10024</v>
      </c>
      <c r="F1651" s="1">
        <v>44476</v>
      </c>
      <c r="G1651" t="str">
        <f>"300064"</f>
        <v>300064</v>
      </c>
      <c r="H1651" t="s">
        <v>2896</v>
      </c>
      <c r="I1651">
        <v>11923.2</v>
      </c>
    </row>
    <row r="1652" spans="1:9" x14ac:dyDescent="0.25">
      <c r="A1652" t="s">
        <v>9616</v>
      </c>
      <c r="C1652" t="s">
        <v>9617</v>
      </c>
      <c r="D1652" t="str">
        <f>"202107852"</f>
        <v>202107852</v>
      </c>
      <c r="E1652" t="s">
        <v>10434</v>
      </c>
      <c r="F1652" s="1">
        <v>44476</v>
      </c>
      <c r="G1652" t="str">
        <f>"300191"</f>
        <v>300191</v>
      </c>
      <c r="H1652" t="s">
        <v>3008</v>
      </c>
      <c r="I1652">
        <v>3123.89</v>
      </c>
    </row>
    <row r="1653" spans="1:9" x14ac:dyDescent="0.25">
      <c r="A1653" t="s">
        <v>9616</v>
      </c>
      <c r="C1653" t="s">
        <v>9617</v>
      </c>
      <c r="D1653" t="str">
        <f>"202107854"</f>
        <v>202107854</v>
      </c>
      <c r="E1653" t="s">
        <v>10438</v>
      </c>
      <c r="F1653" s="1">
        <v>44476</v>
      </c>
      <c r="G1653" t="str">
        <f>"300191"</f>
        <v>300191</v>
      </c>
      <c r="H1653" t="s">
        <v>3008</v>
      </c>
      <c r="I1653">
        <v>3116.46</v>
      </c>
    </row>
    <row r="1654" spans="1:9" x14ac:dyDescent="0.25">
      <c r="A1654" t="s">
        <v>9616</v>
      </c>
      <c r="C1654" t="s">
        <v>9617</v>
      </c>
      <c r="D1654" t="str">
        <f>"10135108"</f>
        <v>10135108</v>
      </c>
      <c r="E1654" t="str">
        <f>"10135108"</f>
        <v>10135108</v>
      </c>
      <c r="F1654" s="1">
        <v>44480</v>
      </c>
      <c r="G1654" t="str">
        <f>"300115"</f>
        <v>300115</v>
      </c>
      <c r="H1654" t="s">
        <v>2938</v>
      </c>
      <c r="I1654">
        <v>314123.87160000001</v>
      </c>
    </row>
    <row r="1655" spans="1:9" x14ac:dyDescent="0.25">
      <c r="A1655" t="s">
        <v>9616</v>
      </c>
      <c r="C1655" t="s">
        <v>9617</v>
      </c>
      <c r="D1655" t="str">
        <f>"10135109"</f>
        <v>10135109</v>
      </c>
      <c r="E1655" t="str">
        <f>"10135109"</f>
        <v>10135109</v>
      </c>
      <c r="F1655" s="1">
        <v>44480</v>
      </c>
      <c r="G1655" t="str">
        <f>"300115"</f>
        <v>300115</v>
      </c>
      <c r="H1655" t="s">
        <v>2938</v>
      </c>
      <c r="I1655">
        <v>314123.87160000001</v>
      </c>
    </row>
    <row r="1656" spans="1:9" x14ac:dyDescent="0.25">
      <c r="A1656" t="s">
        <v>9616</v>
      </c>
      <c r="C1656" t="s">
        <v>9617</v>
      </c>
      <c r="D1656" t="str">
        <f>"202108047"</f>
        <v>202108047</v>
      </c>
      <c r="E1656" t="s">
        <v>10441</v>
      </c>
      <c r="F1656" s="1">
        <v>44482</v>
      </c>
      <c r="G1656" t="str">
        <f>"300191"</f>
        <v>300191</v>
      </c>
      <c r="H1656" t="s">
        <v>3008</v>
      </c>
      <c r="I1656">
        <v>3270.63</v>
      </c>
    </row>
    <row r="1657" spans="1:9" x14ac:dyDescent="0.25">
      <c r="A1657" t="s">
        <v>9616</v>
      </c>
      <c r="C1657" t="s">
        <v>9617</v>
      </c>
      <c r="D1657" t="str">
        <f>"202108056"</f>
        <v>202108056</v>
      </c>
      <c r="E1657" t="s">
        <v>10443</v>
      </c>
      <c r="F1657" s="1">
        <v>44482</v>
      </c>
      <c r="G1657" t="str">
        <f>"300191"</f>
        <v>300191</v>
      </c>
      <c r="H1657" t="s">
        <v>3008</v>
      </c>
      <c r="I1657">
        <v>3118.85</v>
      </c>
    </row>
    <row r="1658" spans="1:9" x14ac:dyDescent="0.25">
      <c r="A1658" t="s">
        <v>9616</v>
      </c>
      <c r="C1658" t="s">
        <v>9617</v>
      </c>
      <c r="D1658" t="str">
        <f>"59631"</f>
        <v>59631</v>
      </c>
      <c r="E1658" t="s">
        <v>10444</v>
      </c>
      <c r="F1658" s="1">
        <v>44483</v>
      </c>
      <c r="G1658" t="str">
        <f>"300043"</f>
        <v>300043</v>
      </c>
      <c r="H1658" t="s">
        <v>2876</v>
      </c>
      <c r="I1658">
        <v>1165</v>
      </c>
    </row>
    <row r="1659" spans="1:9" x14ac:dyDescent="0.25">
      <c r="A1659" t="s">
        <v>9616</v>
      </c>
      <c r="C1659" t="s">
        <v>9617</v>
      </c>
      <c r="D1659" t="str">
        <f>"80373"</f>
        <v>80373</v>
      </c>
      <c r="E1659" t="s">
        <v>10437</v>
      </c>
      <c r="F1659" s="1">
        <v>44483</v>
      </c>
      <c r="G1659" t="str">
        <f>"300043"</f>
        <v>300043</v>
      </c>
      <c r="H1659" t="s">
        <v>2876</v>
      </c>
      <c r="I1659">
        <v>2110</v>
      </c>
    </row>
    <row r="1660" spans="1:9" x14ac:dyDescent="0.25">
      <c r="A1660" t="s">
        <v>9616</v>
      </c>
      <c r="C1660" t="s">
        <v>9617</v>
      </c>
      <c r="D1660" t="str">
        <f>"510121"</f>
        <v>510121</v>
      </c>
      <c r="E1660" t="s">
        <v>10445</v>
      </c>
      <c r="F1660" s="1">
        <v>44483</v>
      </c>
      <c r="G1660" t="str">
        <f>"300101"</f>
        <v>300101</v>
      </c>
      <c r="H1660" t="s">
        <v>2926</v>
      </c>
      <c r="I1660">
        <v>3111.8</v>
      </c>
    </row>
    <row r="1661" spans="1:9" x14ac:dyDescent="0.25">
      <c r="A1661" t="s">
        <v>9616</v>
      </c>
      <c r="C1661" t="s">
        <v>9617</v>
      </c>
      <c r="D1661" t="str">
        <f>"10135217"</f>
        <v>10135217</v>
      </c>
      <c r="E1661" t="s">
        <v>2172</v>
      </c>
      <c r="F1661" s="1">
        <v>44483</v>
      </c>
      <c r="G1661" t="str">
        <f>"300115"</f>
        <v>300115</v>
      </c>
      <c r="H1661" t="s">
        <v>2938</v>
      </c>
      <c r="I1661">
        <v>314438.03159999999</v>
      </c>
    </row>
    <row r="1662" spans="1:9" x14ac:dyDescent="0.25">
      <c r="A1662" t="s">
        <v>9616</v>
      </c>
      <c r="C1662" t="s">
        <v>9617</v>
      </c>
      <c r="D1662" t="str">
        <f>"202108072"</f>
        <v>202108072</v>
      </c>
      <c r="E1662" t="s">
        <v>10437</v>
      </c>
      <c r="F1662" s="1">
        <v>44483</v>
      </c>
      <c r="G1662" t="str">
        <f>"300191"</f>
        <v>300191</v>
      </c>
      <c r="H1662" t="s">
        <v>3008</v>
      </c>
      <c r="I1662">
        <v>1780.3</v>
      </c>
    </row>
    <row r="1663" spans="1:9" x14ac:dyDescent="0.25">
      <c r="A1663" t="s">
        <v>9616</v>
      </c>
      <c r="C1663" t="s">
        <v>9617</v>
      </c>
      <c r="D1663" t="str">
        <f>"59968"</f>
        <v>59968</v>
      </c>
      <c r="E1663" t="s">
        <v>10446</v>
      </c>
      <c r="F1663" s="1">
        <v>44484</v>
      </c>
      <c r="G1663" t="str">
        <f>"300043"</f>
        <v>300043</v>
      </c>
      <c r="H1663" t="s">
        <v>2876</v>
      </c>
      <c r="I1663">
        <v>1165</v>
      </c>
    </row>
    <row r="1664" spans="1:9" x14ac:dyDescent="0.25">
      <c r="A1664" t="s">
        <v>9616</v>
      </c>
      <c r="C1664" t="s">
        <v>9617</v>
      </c>
      <c r="D1664" t="str">
        <f>"510021"</f>
        <v>510021</v>
      </c>
      <c r="E1664" t="s">
        <v>10446</v>
      </c>
      <c r="F1664" s="1">
        <v>44484</v>
      </c>
      <c r="G1664" t="str">
        <f>"300101"</f>
        <v>300101</v>
      </c>
      <c r="H1664" t="s">
        <v>2926</v>
      </c>
      <c r="I1664">
        <v>3116.03</v>
      </c>
    </row>
    <row r="1665" spans="1:9" x14ac:dyDescent="0.25">
      <c r="A1665" t="s">
        <v>9616</v>
      </c>
      <c r="C1665" t="s">
        <v>9617</v>
      </c>
      <c r="D1665" t="str">
        <f>"10135268"</f>
        <v>10135268</v>
      </c>
      <c r="E1665" t="s">
        <v>10447</v>
      </c>
      <c r="F1665" s="1">
        <v>44484</v>
      </c>
      <c r="G1665" t="str">
        <f>"300115"</f>
        <v>300115</v>
      </c>
      <c r="H1665" t="s">
        <v>2938</v>
      </c>
      <c r="I1665">
        <v>287698.35600000003</v>
      </c>
    </row>
    <row r="1666" spans="1:9" x14ac:dyDescent="0.25">
      <c r="A1666" t="s">
        <v>9616</v>
      </c>
      <c r="C1666" t="s">
        <v>9617</v>
      </c>
      <c r="D1666" t="s">
        <v>10448</v>
      </c>
      <c r="E1666" t="s">
        <v>10449</v>
      </c>
      <c r="F1666" s="1">
        <v>44484</v>
      </c>
      <c r="G1666" t="str">
        <f>"300133"</f>
        <v>300133</v>
      </c>
      <c r="H1666" t="s">
        <v>2955</v>
      </c>
      <c r="I1666">
        <v>8162.4</v>
      </c>
    </row>
    <row r="1667" spans="1:9" x14ac:dyDescent="0.25">
      <c r="A1667" t="s">
        <v>9616</v>
      </c>
      <c r="C1667" t="s">
        <v>9617</v>
      </c>
      <c r="D1667" t="s">
        <v>10450</v>
      </c>
      <c r="E1667" t="s">
        <v>10451</v>
      </c>
      <c r="F1667" s="1">
        <v>44484</v>
      </c>
      <c r="G1667" t="str">
        <f>"300133"</f>
        <v>300133</v>
      </c>
      <c r="H1667" t="s">
        <v>2955</v>
      </c>
      <c r="I1667">
        <v>58608</v>
      </c>
    </row>
    <row r="1668" spans="1:9" x14ac:dyDescent="0.25">
      <c r="A1668" t="s">
        <v>9616</v>
      </c>
      <c r="C1668" t="s">
        <v>9617</v>
      </c>
      <c r="D1668" t="s">
        <v>10452</v>
      </c>
      <c r="E1668" t="s">
        <v>10453</v>
      </c>
      <c r="F1668" s="1">
        <v>44484</v>
      </c>
      <c r="G1668" t="str">
        <f>"300133"</f>
        <v>300133</v>
      </c>
      <c r="H1668" t="s">
        <v>2955</v>
      </c>
      <c r="I1668">
        <v>49545</v>
      </c>
    </row>
    <row r="1669" spans="1:9" x14ac:dyDescent="0.25">
      <c r="A1669" t="s">
        <v>9616</v>
      </c>
      <c r="C1669" t="s">
        <v>9617</v>
      </c>
      <c r="D1669" t="str">
        <f>"60435"</f>
        <v>60435</v>
      </c>
      <c r="E1669" t="s">
        <v>10454</v>
      </c>
      <c r="F1669" s="1">
        <v>44487</v>
      </c>
      <c r="G1669" t="str">
        <f>"300043"</f>
        <v>300043</v>
      </c>
      <c r="H1669" t="s">
        <v>2876</v>
      </c>
      <c r="I1669">
        <v>1168</v>
      </c>
    </row>
    <row r="1670" spans="1:9" x14ac:dyDescent="0.25">
      <c r="A1670" t="s">
        <v>9616</v>
      </c>
      <c r="C1670" t="s">
        <v>9617</v>
      </c>
      <c r="D1670" t="str">
        <f>"541121"</f>
        <v>541121</v>
      </c>
      <c r="E1670" t="s">
        <v>10454</v>
      </c>
      <c r="F1670" s="1">
        <v>44487</v>
      </c>
      <c r="G1670" t="str">
        <f>"300101"</f>
        <v>300101</v>
      </c>
      <c r="H1670" t="s">
        <v>2926</v>
      </c>
      <c r="I1670">
        <v>3726.74</v>
      </c>
    </row>
    <row r="1671" spans="1:9" x14ac:dyDescent="0.25">
      <c r="A1671" t="s">
        <v>9616</v>
      </c>
      <c r="C1671" t="s">
        <v>9617</v>
      </c>
      <c r="D1671" t="str">
        <f>"10135272"</f>
        <v>10135272</v>
      </c>
      <c r="E1671" t="s">
        <v>2172</v>
      </c>
      <c r="F1671" s="1">
        <v>44487</v>
      </c>
      <c r="G1671" t="str">
        <f t="shared" ref="G1671:G1676" si="10">"300115"</f>
        <v>300115</v>
      </c>
      <c r="H1671" t="s">
        <v>2938</v>
      </c>
      <c r="I1671">
        <v>285201.70799999998</v>
      </c>
    </row>
    <row r="1672" spans="1:9" x14ac:dyDescent="0.25">
      <c r="A1672" t="s">
        <v>9616</v>
      </c>
      <c r="C1672" t="s">
        <v>9617</v>
      </c>
      <c r="D1672" t="str">
        <f>"10135273"</f>
        <v>10135273</v>
      </c>
      <c r="E1672" t="s">
        <v>9189</v>
      </c>
      <c r="F1672" s="1">
        <v>44487</v>
      </c>
      <c r="G1672" t="str">
        <f t="shared" si="10"/>
        <v>300115</v>
      </c>
      <c r="H1672" t="s">
        <v>2938</v>
      </c>
      <c r="I1672">
        <v>312019.84000000003</v>
      </c>
    </row>
    <row r="1673" spans="1:9" x14ac:dyDescent="0.25">
      <c r="A1673" t="s">
        <v>9616</v>
      </c>
      <c r="C1673" t="s">
        <v>9617</v>
      </c>
      <c r="D1673" t="str">
        <f>"10135315"</f>
        <v>10135315</v>
      </c>
      <c r="E1673" t="s">
        <v>9191</v>
      </c>
      <c r="F1673" s="1">
        <v>44487</v>
      </c>
      <c r="G1673" t="str">
        <f t="shared" si="10"/>
        <v>300115</v>
      </c>
      <c r="H1673" t="s">
        <v>2938</v>
      </c>
      <c r="I1673">
        <v>319334.04800000001</v>
      </c>
    </row>
    <row r="1674" spans="1:9" x14ac:dyDescent="0.25">
      <c r="A1674" t="s">
        <v>9616</v>
      </c>
      <c r="C1674" t="s">
        <v>9617</v>
      </c>
      <c r="D1674" t="str">
        <f>"10135316"</f>
        <v>10135316</v>
      </c>
      <c r="E1674" t="s">
        <v>9189</v>
      </c>
      <c r="F1674" s="1">
        <v>44487</v>
      </c>
      <c r="G1674" t="str">
        <f t="shared" si="10"/>
        <v>300115</v>
      </c>
      <c r="H1674" t="s">
        <v>2938</v>
      </c>
      <c r="I1674">
        <v>293859.14799999999</v>
      </c>
    </row>
    <row r="1675" spans="1:9" x14ac:dyDescent="0.25">
      <c r="A1675" t="s">
        <v>9616</v>
      </c>
      <c r="C1675" t="s">
        <v>9617</v>
      </c>
      <c r="D1675" t="str">
        <f>"10135369"</f>
        <v>10135369</v>
      </c>
      <c r="E1675" t="s">
        <v>9189</v>
      </c>
      <c r="F1675" s="1">
        <v>44489</v>
      </c>
      <c r="G1675" t="str">
        <f t="shared" si="10"/>
        <v>300115</v>
      </c>
      <c r="H1675" t="s">
        <v>2938</v>
      </c>
      <c r="I1675">
        <v>177965.52840000001</v>
      </c>
    </row>
    <row r="1676" spans="1:9" x14ac:dyDescent="0.25">
      <c r="A1676" t="s">
        <v>9616</v>
      </c>
      <c r="C1676" t="s">
        <v>9617</v>
      </c>
      <c r="D1676" t="str">
        <f>"10135374"</f>
        <v>10135374</v>
      </c>
      <c r="E1676" t="s">
        <v>9189</v>
      </c>
      <c r="F1676" s="1">
        <v>44489</v>
      </c>
      <c r="G1676" t="str">
        <f t="shared" si="10"/>
        <v>300115</v>
      </c>
      <c r="H1676" t="s">
        <v>2938</v>
      </c>
      <c r="I1676">
        <v>177840.07560000001</v>
      </c>
    </row>
    <row r="1677" spans="1:9" x14ac:dyDescent="0.25">
      <c r="A1677" t="s">
        <v>9616</v>
      </c>
      <c r="C1677" t="s">
        <v>9617</v>
      </c>
      <c r="D1677" t="s">
        <v>10455</v>
      </c>
      <c r="E1677" t="s">
        <v>9629</v>
      </c>
      <c r="F1677" s="1">
        <v>44489</v>
      </c>
      <c r="G1677" t="str">
        <f>"300133"</f>
        <v>300133</v>
      </c>
      <c r="H1677" t="s">
        <v>2955</v>
      </c>
      <c r="I1677">
        <v>37903.199999999997</v>
      </c>
    </row>
    <row r="1678" spans="1:9" x14ac:dyDescent="0.25">
      <c r="A1678" t="s">
        <v>9616</v>
      </c>
      <c r="C1678" t="s">
        <v>9617</v>
      </c>
      <c r="D1678" t="s">
        <v>10456</v>
      </c>
      <c r="E1678" t="s">
        <v>10457</v>
      </c>
      <c r="F1678" s="1">
        <v>44489</v>
      </c>
      <c r="G1678" t="str">
        <f>"300133"</f>
        <v>300133</v>
      </c>
      <c r="H1678" t="s">
        <v>2955</v>
      </c>
      <c r="I1678">
        <v>23400</v>
      </c>
    </row>
    <row r="1679" spans="1:9" x14ac:dyDescent="0.25">
      <c r="A1679" t="s">
        <v>9616</v>
      </c>
      <c r="C1679" t="s">
        <v>9617</v>
      </c>
      <c r="D1679" t="s">
        <v>10458</v>
      </c>
      <c r="E1679" t="s">
        <v>10126</v>
      </c>
      <c r="F1679" s="1">
        <v>44489</v>
      </c>
      <c r="G1679" t="str">
        <f>"300133"</f>
        <v>300133</v>
      </c>
      <c r="H1679" t="s">
        <v>2955</v>
      </c>
      <c r="I1679">
        <v>31200</v>
      </c>
    </row>
    <row r="1680" spans="1:9" x14ac:dyDescent="0.25">
      <c r="A1680" t="s">
        <v>9616</v>
      </c>
      <c r="C1680" t="s">
        <v>9617</v>
      </c>
      <c r="D1680" t="str">
        <f>"61038"</f>
        <v>61038</v>
      </c>
      <c r="E1680" t="s">
        <v>10459</v>
      </c>
      <c r="F1680" s="1">
        <v>44490</v>
      </c>
      <c r="G1680" t="str">
        <f>"300043"</f>
        <v>300043</v>
      </c>
      <c r="H1680" t="s">
        <v>2876</v>
      </c>
      <c r="I1680">
        <v>1160</v>
      </c>
    </row>
    <row r="1681" spans="1:9" x14ac:dyDescent="0.25">
      <c r="A1681" t="s">
        <v>9616</v>
      </c>
      <c r="C1681" t="s">
        <v>9617</v>
      </c>
      <c r="D1681" t="str">
        <f>"2106209"</f>
        <v>2106209</v>
      </c>
      <c r="E1681" t="s">
        <v>10007</v>
      </c>
      <c r="F1681" s="1">
        <v>44490</v>
      </c>
      <c r="G1681" t="str">
        <f>"300064"</f>
        <v>300064</v>
      </c>
      <c r="H1681" t="s">
        <v>2896</v>
      </c>
      <c r="I1681">
        <v>24332</v>
      </c>
    </row>
    <row r="1682" spans="1:9" x14ac:dyDescent="0.25">
      <c r="A1682" t="s">
        <v>9616</v>
      </c>
      <c r="C1682" t="s">
        <v>9617</v>
      </c>
      <c r="D1682" t="str">
        <f>"2106210"</f>
        <v>2106210</v>
      </c>
      <c r="E1682" t="s">
        <v>10024</v>
      </c>
      <c r="F1682" s="1">
        <v>44490</v>
      </c>
      <c r="G1682" t="str">
        <f>"300064"</f>
        <v>300064</v>
      </c>
      <c r="H1682" t="s">
        <v>2896</v>
      </c>
      <c r="I1682">
        <v>32005.200000000001</v>
      </c>
    </row>
    <row r="1683" spans="1:9" x14ac:dyDescent="0.25">
      <c r="A1683" t="s">
        <v>9616</v>
      </c>
      <c r="C1683" t="s">
        <v>9617</v>
      </c>
      <c r="D1683" t="str">
        <f>"541021"</f>
        <v>541021</v>
      </c>
      <c r="E1683" t="s">
        <v>10459</v>
      </c>
      <c r="F1683" s="1">
        <v>44490</v>
      </c>
      <c r="G1683" t="str">
        <f>"300101"</f>
        <v>300101</v>
      </c>
      <c r="H1683" t="s">
        <v>2926</v>
      </c>
      <c r="I1683">
        <v>3420.66</v>
      </c>
    </row>
    <row r="1684" spans="1:9" x14ac:dyDescent="0.25">
      <c r="A1684" t="s">
        <v>9616</v>
      </c>
      <c r="C1684" t="s">
        <v>9617</v>
      </c>
      <c r="D1684" t="str">
        <f>"10135373"</f>
        <v>10135373</v>
      </c>
      <c r="E1684" t="s">
        <v>9189</v>
      </c>
      <c r="F1684" s="1">
        <v>44490</v>
      </c>
      <c r="G1684" t="str">
        <f>"300115"</f>
        <v>300115</v>
      </c>
      <c r="H1684" t="s">
        <v>2938</v>
      </c>
      <c r="I1684">
        <v>246899.84</v>
      </c>
    </row>
    <row r="1685" spans="1:9" x14ac:dyDescent="0.25">
      <c r="A1685" t="s">
        <v>9616</v>
      </c>
      <c r="C1685" t="s">
        <v>9617</v>
      </c>
      <c r="D1685" t="str">
        <f>"10135375"</f>
        <v>10135375</v>
      </c>
      <c r="E1685" t="s">
        <v>9189</v>
      </c>
      <c r="F1685" s="1">
        <v>44490</v>
      </c>
      <c r="G1685" t="str">
        <f>"300115"</f>
        <v>300115</v>
      </c>
      <c r="H1685" t="s">
        <v>2938</v>
      </c>
      <c r="I1685">
        <v>246899.84</v>
      </c>
    </row>
    <row r="1686" spans="1:9" x14ac:dyDescent="0.25">
      <c r="A1686" t="s">
        <v>9616</v>
      </c>
      <c r="C1686" t="s">
        <v>9617</v>
      </c>
      <c r="D1686" t="str">
        <f>"10135376"</f>
        <v>10135376</v>
      </c>
      <c r="E1686" t="s">
        <v>9191</v>
      </c>
      <c r="F1686" s="1">
        <v>44490</v>
      </c>
      <c r="G1686" t="str">
        <f>"300115"</f>
        <v>300115</v>
      </c>
      <c r="H1686" t="s">
        <v>2938</v>
      </c>
      <c r="I1686">
        <v>268257.6336</v>
      </c>
    </row>
    <row r="1687" spans="1:9" x14ac:dyDescent="0.25">
      <c r="A1687" t="s">
        <v>9616</v>
      </c>
      <c r="C1687" t="s">
        <v>9617</v>
      </c>
      <c r="D1687" t="str">
        <f>"10135455"</f>
        <v>10135455</v>
      </c>
      <c r="E1687" t="s">
        <v>10460</v>
      </c>
      <c r="F1687" s="1">
        <v>44490</v>
      </c>
      <c r="G1687" t="str">
        <f>"300115"</f>
        <v>300115</v>
      </c>
      <c r="H1687" t="s">
        <v>2938</v>
      </c>
      <c r="I1687">
        <v>260515.64</v>
      </c>
    </row>
    <row r="1688" spans="1:9" x14ac:dyDescent="0.25">
      <c r="A1688" t="s">
        <v>9616</v>
      </c>
      <c r="C1688" t="s">
        <v>9617</v>
      </c>
      <c r="D1688" t="str">
        <f>"60853"</f>
        <v>60853</v>
      </c>
      <c r="E1688" t="s">
        <v>10461</v>
      </c>
      <c r="F1688" s="1">
        <v>44491</v>
      </c>
      <c r="G1688" t="str">
        <f>"300043"</f>
        <v>300043</v>
      </c>
      <c r="H1688" t="s">
        <v>2876</v>
      </c>
      <c r="I1688">
        <v>1082</v>
      </c>
    </row>
    <row r="1689" spans="1:9" x14ac:dyDescent="0.25">
      <c r="A1689" t="s">
        <v>9616</v>
      </c>
      <c r="C1689" t="s">
        <v>9617</v>
      </c>
      <c r="D1689" t="str">
        <f>"61269"</f>
        <v>61269</v>
      </c>
      <c r="E1689" t="s">
        <v>10462</v>
      </c>
      <c r="F1689" s="1">
        <v>44491</v>
      </c>
      <c r="G1689" t="str">
        <f>"300043"</f>
        <v>300043</v>
      </c>
      <c r="H1689" t="s">
        <v>2876</v>
      </c>
      <c r="I1689">
        <v>1104</v>
      </c>
    </row>
    <row r="1690" spans="1:9" x14ac:dyDescent="0.25">
      <c r="A1690" t="s">
        <v>9616</v>
      </c>
      <c r="C1690" t="s">
        <v>9617</v>
      </c>
      <c r="D1690" t="str">
        <f>"61385"</f>
        <v>61385</v>
      </c>
      <c r="E1690" t="s">
        <v>10463</v>
      </c>
      <c r="F1690" s="1">
        <v>44491</v>
      </c>
      <c r="G1690" t="str">
        <f>"300043"</f>
        <v>300043</v>
      </c>
      <c r="H1690" t="s">
        <v>2876</v>
      </c>
      <c r="I1690">
        <v>996</v>
      </c>
    </row>
    <row r="1691" spans="1:9" x14ac:dyDescent="0.25">
      <c r="A1691" t="s">
        <v>9616</v>
      </c>
      <c r="C1691" t="s">
        <v>9617</v>
      </c>
      <c r="D1691" t="str">
        <f>"61391"</f>
        <v>61391</v>
      </c>
      <c r="E1691" t="s">
        <v>10464</v>
      </c>
      <c r="F1691" s="1">
        <v>44491</v>
      </c>
      <c r="G1691" t="str">
        <f>"300043"</f>
        <v>300043</v>
      </c>
      <c r="H1691" t="s">
        <v>2876</v>
      </c>
      <c r="I1691">
        <v>996</v>
      </c>
    </row>
    <row r="1692" spans="1:9" x14ac:dyDescent="0.25">
      <c r="A1692" t="s">
        <v>9616</v>
      </c>
      <c r="C1692" t="s">
        <v>9617</v>
      </c>
      <c r="D1692" t="str">
        <f>"541221"</f>
        <v>541221</v>
      </c>
      <c r="E1692" t="s">
        <v>10461</v>
      </c>
      <c r="F1692" s="1">
        <v>44491</v>
      </c>
      <c r="G1692" t="str">
        <f>"300101"</f>
        <v>300101</v>
      </c>
      <c r="H1692" t="s">
        <v>2926</v>
      </c>
      <c r="I1692">
        <v>3573.1</v>
      </c>
    </row>
    <row r="1693" spans="1:9" x14ac:dyDescent="0.25">
      <c r="A1693" t="s">
        <v>9616</v>
      </c>
      <c r="C1693" t="s">
        <v>9617</v>
      </c>
      <c r="D1693" t="str">
        <f>"541321"</f>
        <v>541321</v>
      </c>
      <c r="E1693" t="s">
        <v>10462</v>
      </c>
      <c r="F1693" s="1">
        <v>44491</v>
      </c>
      <c r="G1693" t="str">
        <f>"300101"</f>
        <v>300101</v>
      </c>
      <c r="H1693" t="s">
        <v>2926</v>
      </c>
      <c r="I1693">
        <v>3272.92</v>
      </c>
    </row>
    <row r="1694" spans="1:9" x14ac:dyDescent="0.25">
      <c r="A1694" t="s">
        <v>9616</v>
      </c>
      <c r="C1694" t="s">
        <v>9617</v>
      </c>
      <c r="D1694" t="str">
        <f>"10135464"</f>
        <v>10135464</v>
      </c>
      <c r="E1694" t="s">
        <v>10465</v>
      </c>
      <c r="F1694" s="1">
        <v>44491</v>
      </c>
      <c r="G1694" t="str">
        <f>"300115"</f>
        <v>300115</v>
      </c>
      <c r="H1694" t="s">
        <v>2938</v>
      </c>
      <c r="I1694">
        <v>270565.54800000001</v>
      </c>
    </row>
    <row r="1695" spans="1:9" x14ac:dyDescent="0.25">
      <c r="A1695" t="s">
        <v>9616</v>
      </c>
      <c r="C1695" t="s">
        <v>9617</v>
      </c>
      <c r="D1695" t="str">
        <f>"10135512"</f>
        <v>10135512</v>
      </c>
      <c r="E1695" t="s">
        <v>1313</v>
      </c>
      <c r="F1695" s="1">
        <v>44491</v>
      </c>
      <c r="G1695" t="str">
        <f>"300115"</f>
        <v>300115</v>
      </c>
      <c r="H1695" t="s">
        <v>2938</v>
      </c>
      <c r="I1695">
        <v>311965.005</v>
      </c>
    </row>
    <row r="1696" spans="1:9" x14ac:dyDescent="0.25">
      <c r="A1696" t="s">
        <v>9616</v>
      </c>
      <c r="C1696" t="s">
        <v>9617</v>
      </c>
      <c r="D1696" t="str">
        <f>"61721"</f>
        <v>61721</v>
      </c>
      <c r="E1696" t="s">
        <v>10466</v>
      </c>
      <c r="F1696" s="1">
        <v>44494</v>
      </c>
      <c r="G1696" t="str">
        <f>"300043"</f>
        <v>300043</v>
      </c>
      <c r="H1696" t="s">
        <v>2876</v>
      </c>
      <c r="I1696">
        <v>1069</v>
      </c>
    </row>
    <row r="1697" spans="1:9" x14ac:dyDescent="0.25">
      <c r="A1697" t="s">
        <v>9616</v>
      </c>
      <c r="C1697" t="s">
        <v>9617</v>
      </c>
      <c r="D1697" t="str">
        <f>"61742"</f>
        <v>61742</v>
      </c>
      <c r="E1697" t="s">
        <v>10467</v>
      </c>
      <c r="F1697" s="1">
        <v>44494</v>
      </c>
      <c r="G1697" t="str">
        <f>"300043"</f>
        <v>300043</v>
      </c>
      <c r="H1697" t="s">
        <v>2876</v>
      </c>
      <c r="I1697">
        <v>1023</v>
      </c>
    </row>
    <row r="1698" spans="1:9" x14ac:dyDescent="0.25">
      <c r="A1698" t="s">
        <v>9616</v>
      </c>
      <c r="C1698" t="s">
        <v>9617</v>
      </c>
      <c r="D1698" t="str">
        <f>"61747"</f>
        <v>61747</v>
      </c>
      <c r="E1698" t="s">
        <v>10468</v>
      </c>
      <c r="F1698" s="1">
        <v>44494</v>
      </c>
      <c r="G1698" t="str">
        <f>"300043"</f>
        <v>300043</v>
      </c>
      <c r="H1698" t="s">
        <v>2876</v>
      </c>
      <c r="I1698">
        <v>997</v>
      </c>
    </row>
    <row r="1699" spans="1:9" x14ac:dyDescent="0.25">
      <c r="A1699" t="s">
        <v>9616</v>
      </c>
      <c r="C1699" t="s">
        <v>9617</v>
      </c>
      <c r="D1699" t="str">
        <f>"61751"</f>
        <v>61751</v>
      </c>
      <c r="E1699" t="s">
        <v>10469</v>
      </c>
      <c r="F1699" s="1">
        <v>44494</v>
      </c>
      <c r="G1699" t="str">
        <f>"300043"</f>
        <v>300043</v>
      </c>
      <c r="H1699" t="s">
        <v>2876</v>
      </c>
      <c r="I1699">
        <v>1182</v>
      </c>
    </row>
    <row r="1700" spans="1:9" x14ac:dyDescent="0.25">
      <c r="A1700" t="s">
        <v>9616</v>
      </c>
      <c r="C1700" t="s">
        <v>9617</v>
      </c>
      <c r="D1700" t="str">
        <f>"540621"</f>
        <v>540621</v>
      </c>
      <c r="E1700" t="s">
        <v>10470</v>
      </c>
      <c r="F1700" s="1">
        <v>44494</v>
      </c>
      <c r="G1700" t="str">
        <f>"300101"</f>
        <v>300101</v>
      </c>
      <c r="H1700" t="s">
        <v>2926</v>
      </c>
      <c r="I1700">
        <v>3582.83</v>
      </c>
    </row>
    <row r="1701" spans="1:9" x14ac:dyDescent="0.25">
      <c r="A1701" t="s">
        <v>9616</v>
      </c>
      <c r="C1701" t="s">
        <v>9617</v>
      </c>
      <c r="D1701" t="str">
        <f>"540721"</f>
        <v>540721</v>
      </c>
      <c r="E1701" t="s">
        <v>10471</v>
      </c>
      <c r="F1701" s="1">
        <v>44494</v>
      </c>
      <c r="G1701" t="str">
        <f>"300101"</f>
        <v>300101</v>
      </c>
      <c r="H1701" t="s">
        <v>2926</v>
      </c>
      <c r="I1701">
        <v>3582.96</v>
      </c>
    </row>
    <row r="1702" spans="1:9" x14ac:dyDescent="0.25">
      <c r="A1702" t="s">
        <v>9616</v>
      </c>
      <c r="C1702" t="s">
        <v>9617</v>
      </c>
      <c r="D1702" t="str">
        <f>"540821"</f>
        <v>540821</v>
      </c>
      <c r="E1702" t="s">
        <v>10468</v>
      </c>
      <c r="F1702" s="1">
        <v>44494</v>
      </c>
      <c r="G1702" t="str">
        <f>"300101"</f>
        <v>300101</v>
      </c>
      <c r="H1702" t="s">
        <v>2926</v>
      </c>
      <c r="I1702">
        <v>3582</v>
      </c>
    </row>
    <row r="1703" spans="1:9" x14ac:dyDescent="0.25">
      <c r="A1703" t="s">
        <v>9616</v>
      </c>
      <c r="C1703" t="s">
        <v>9617</v>
      </c>
      <c r="D1703" t="str">
        <f>"540921"</f>
        <v>540921</v>
      </c>
      <c r="E1703" t="s">
        <v>10472</v>
      </c>
      <c r="F1703" s="1">
        <v>44494</v>
      </c>
      <c r="G1703" t="str">
        <f>"300101"</f>
        <v>300101</v>
      </c>
      <c r="H1703" t="s">
        <v>2926</v>
      </c>
      <c r="I1703">
        <v>3889.93</v>
      </c>
    </row>
    <row r="1704" spans="1:9" x14ac:dyDescent="0.25">
      <c r="A1704" t="s">
        <v>9616</v>
      </c>
      <c r="C1704" t="s">
        <v>9617</v>
      </c>
      <c r="D1704" t="str">
        <f>"541521"</f>
        <v>541521</v>
      </c>
      <c r="E1704" t="s">
        <v>10467</v>
      </c>
      <c r="F1704" s="1">
        <v>44494</v>
      </c>
      <c r="G1704" t="str">
        <f>"300101"</f>
        <v>300101</v>
      </c>
      <c r="H1704" t="s">
        <v>2926</v>
      </c>
      <c r="I1704">
        <v>3582.96</v>
      </c>
    </row>
    <row r="1705" spans="1:9" x14ac:dyDescent="0.25">
      <c r="A1705" t="s">
        <v>9616</v>
      </c>
      <c r="C1705" t="s">
        <v>9617</v>
      </c>
      <c r="D1705" t="str">
        <f>"10135568"</f>
        <v>10135568</v>
      </c>
      <c r="E1705" t="s">
        <v>9189</v>
      </c>
      <c r="F1705" s="1">
        <v>44494</v>
      </c>
      <c r="G1705" t="str">
        <f>"300115"</f>
        <v>300115</v>
      </c>
      <c r="H1705" t="s">
        <v>2938</v>
      </c>
      <c r="I1705">
        <v>285201.70799999998</v>
      </c>
    </row>
    <row r="1706" spans="1:9" x14ac:dyDescent="0.25">
      <c r="A1706" t="s">
        <v>9616</v>
      </c>
      <c r="C1706" t="s">
        <v>9617</v>
      </c>
      <c r="D1706" t="str">
        <f>"61897"</f>
        <v>61897</v>
      </c>
      <c r="E1706" t="s">
        <v>10470</v>
      </c>
      <c r="F1706" s="1">
        <v>44495</v>
      </c>
      <c r="G1706" t="str">
        <f>"300043"</f>
        <v>300043</v>
      </c>
      <c r="H1706" t="s">
        <v>2876</v>
      </c>
      <c r="I1706">
        <v>731</v>
      </c>
    </row>
    <row r="1707" spans="1:9" x14ac:dyDescent="0.25">
      <c r="A1707" t="s">
        <v>9616</v>
      </c>
      <c r="C1707" t="s">
        <v>9617</v>
      </c>
      <c r="D1707" t="str">
        <f>"61904"</f>
        <v>61904</v>
      </c>
      <c r="E1707" t="s">
        <v>10471</v>
      </c>
      <c r="F1707" s="1">
        <v>44495</v>
      </c>
      <c r="G1707" t="str">
        <f>"300043"</f>
        <v>300043</v>
      </c>
      <c r="H1707" t="s">
        <v>2876</v>
      </c>
      <c r="I1707">
        <v>734</v>
      </c>
    </row>
    <row r="1708" spans="1:9" x14ac:dyDescent="0.25">
      <c r="A1708" t="s">
        <v>9616</v>
      </c>
      <c r="C1708" t="s">
        <v>9617</v>
      </c>
      <c r="D1708" t="str">
        <f>"2106368"</f>
        <v>2106368</v>
      </c>
      <c r="E1708" t="s">
        <v>10024</v>
      </c>
      <c r="F1708" s="1">
        <v>44495</v>
      </c>
      <c r="G1708" t="str">
        <f>"300064"</f>
        <v>300064</v>
      </c>
      <c r="H1708" t="s">
        <v>2896</v>
      </c>
      <c r="I1708">
        <v>15897.6</v>
      </c>
    </row>
    <row r="1709" spans="1:9" x14ac:dyDescent="0.25">
      <c r="A1709" t="s">
        <v>9616</v>
      </c>
      <c r="C1709" t="s">
        <v>9617</v>
      </c>
      <c r="D1709" t="str">
        <f>"62420"</f>
        <v>62420</v>
      </c>
      <c r="E1709" t="s">
        <v>10473</v>
      </c>
      <c r="F1709" s="1">
        <v>44496</v>
      </c>
      <c r="G1709" t="str">
        <f>"300043"</f>
        <v>300043</v>
      </c>
      <c r="H1709" t="s">
        <v>2876</v>
      </c>
      <c r="I1709">
        <v>1074</v>
      </c>
    </row>
    <row r="1710" spans="1:9" x14ac:dyDescent="0.25">
      <c r="A1710" t="s">
        <v>9616</v>
      </c>
      <c r="C1710" t="s">
        <v>9617</v>
      </c>
      <c r="D1710" t="str">
        <f>"62484"</f>
        <v>62484</v>
      </c>
      <c r="E1710" t="s">
        <v>10474</v>
      </c>
      <c r="F1710" s="1">
        <v>44496</v>
      </c>
      <c r="G1710" t="str">
        <f>"300043"</f>
        <v>300043</v>
      </c>
      <c r="H1710" t="s">
        <v>2876</v>
      </c>
      <c r="I1710">
        <v>1164</v>
      </c>
    </row>
    <row r="1711" spans="1:9" x14ac:dyDescent="0.25">
      <c r="A1711" t="s">
        <v>9616</v>
      </c>
      <c r="C1711" t="s">
        <v>9617</v>
      </c>
      <c r="D1711" t="str">
        <f>"540321"</f>
        <v>540321</v>
      </c>
      <c r="E1711" t="s">
        <v>10473</v>
      </c>
      <c r="F1711" s="1">
        <v>44496</v>
      </c>
      <c r="G1711" t="str">
        <f>"300101"</f>
        <v>300101</v>
      </c>
      <c r="H1711" t="s">
        <v>2926</v>
      </c>
      <c r="I1711">
        <v>4348.75</v>
      </c>
    </row>
    <row r="1712" spans="1:9" x14ac:dyDescent="0.25">
      <c r="A1712" t="s">
        <v>9616</v>
      </c>
      <c r="C1712" t="s">
        <v>9617</v>
      </c>
      <c r="D1712" t="str">
        <f>"540421"</f>
        <v>540421</v>
      </c>
      <c r="E1712" t="s">
        <v>10475</v>
      </c>
      <c r="F1712" s="1">
        <v>44496</v>
      </c>
      <c r="G1712" t="str">
        <f>"300101"</f>
        <v>300101</v>
      </c>
      <c r="H1712" t="s">
        <v>2926</v>
      </c>
      <c r="I1712">
        <v>3274.97</v>
      </c>
    </row>
    <row r="1713" spans="1:9" x14ac:dyDescent="0.25">
      <c r="A1713" t="s">
        <v>9616</v>
      </c>
      <c r="C1713" t="s">
        <v>9617</v>
      </c>
      <c r="D1713" t="str">
        <f>"540521"</f>
        <v>540521</v>
      </c>
      <c r="E1713" t="s">
        <v>10474</v>
      </c>
      <c r="F1713" s="1">
        <v>44496</v>
      </c>
      <c r="G1713" t="str">
        <f>"300101"</f>
        <v>300101</v>
      </c>
      <c r="H1713" t="s">
        <v>2926</v>
      </c>
      <c r="I1713">
        <v>3274.97</v>
      </c>
    </row>
    <row r="1714" spans="1:9" x14ac:dyDescent="0.25">
      <c r="A1714" t="s">
        <v>9616</v>
      </c>
      <c r="C1714" t="s">
        <v>9617</v>
      </c>
      <c r="D1714" t="str">
        <f>"202108384"</f>
        <v>202108384</v>
      </c>
      <c r="E1714" t="s">
        <v>10463</v>
      </c>
      <c r="F1714" s="1">
        <v>44496</v>
      </c>
      <c r="G1714" t="str">
        <f>"300191"</f>
        <v>300191</v>
      </c>
      <c r="H1714" t="s">
        <v>3008</v>
      </c>
      <c r="I1714">
        <v>3122.96</v>
      </c>
    </row>
    <row r="1715" spans="1:9" x14ac:dyDescent="0.25">
      <c r="A1715" t="s">
        <v>9616</v>
      </c>
      <c r="C1715" t="s">
        <v>9617</v>
      </c>
      <c r="D1715" t="str">
        <f>"202108385"</f>
        <v>202108385</v>
      </c>
      <c r="E1715" t="s">
        <v>10466</v>
      </c>
      <c r="F1715" s="1">
        <v>44496</v>
      </c>
      <c r="G1715" t="str">
        <f>"300191"</f>
        <v>300191</v>
      </c>
      <c r="H1715" t="s">
        <v>3008</v>
      </c>
      <c r="I1715">
        <v>3279.6</v>
      </c>
    </row>
    <row r="1716" spans="1:9" x14ac:dyDescent="0.25">
      <c r="A1716" t="s">
        <v>9616</v>
      </c>
      <c r="C1716" t="s">
        <v>9617</v>
      </c>
      <c r="D1716" t="str">
        <f>"202108390"</f>
        <v>202108390</v>
      </c>
      <c r="E1716" t="s">
        <v>10464</v>
      </c>
      <c r="F1716" s="1">
        <v>44496</v>
      </c>
      <c r="G1716" t="str">
        <f>"300191"</f>
        <v>300191</v>
      </c>
      <c r="H1716" t="s">
        <v>3008</v>
      </c>
      <c r="I1716">
        <v>3122.96</v>
      </c>
    </row>
    <row r="1717" spans="1:9" x14ac:dyDescent="0.25">
      <c r="A1717" t="s">
        <v>9616</v>
      </c>
      <c r="C1717" t="s">
        <v>9617</v>
      </c>
      <c r="D1717" t="str">
        <f>"62452"</f>
        <v>62452</v>
      </c>
      <c r="E1717" t="s">
        <v>10475</v>
      </c>
      <c r="F1717" s="1">
        <v>44497</v>
      </c>
      <c r="G1717" t="str">
        <f>"300043"</f>
        <v>300043</v>
      </c>
      <c r="H1717" t="s">
        <v>2876</v>
      </c>
      <c r="I1717">
        <v>1078</v>
      </c>
    </row>
    <row r="1718" spans="1:9" x14ac:dyDescent="0.25">
      <c r="A1718" t="s">
        <v>9616</v>
      </c>
      <c r="C1718" t="s">
        <v>9617</v>
      </c>
      <c r="D1718" t="str">
        <f>"2106490"</f>
        <v>2106490</v>
      </c>
      <c r="E1718" t="s">
        <v>10024</v>
      </c>
      <c r="F1718" s="1">
        <v>44497</v>
      </c>
      <c r="G1718" t="str">
        <f>"300064"</f>
        <v>300064</v>
      </c>
      <c r="H1718" t="s">
        <v>2896</v>
      </c>
      <c r="I1718">
        <v>39954</v>
      </c>
    </row>
    <row r="1719" spans="1:9" x14ac:dyDescent="0.25">
      <c r="A1719" t="s">
        <v>9616</v>
      </c>
      <c r="C1719" t="s">
        <v>9617</v>
      </c>
      <c r="D1719" t="str">
        <f>"10135660"</f>
        <v>10135660</v>
      </c>
      <c r="E1719" t="s">
        <v>272</v>
      </c>
      <c r="F1719" s="1">
        <v>44497</v>
      </c>
      <c r="G1719" t="str">
        <f>"300115"</f>
        <v>300115</v>
      </c>
      <c r="H1719" t="s">
        <v>2938</v>
      </c>
      <c r="I1719">
        <v>88993.555200000003</v>
      </c>
    </row>
    <row r="1720" spans="1:9" x14ac:dyDescent="0.25">
      <c r="A1720" t="s">
        <v>9616</v>
      </c>
      <c r="C1720" t="s">
        <v>9617</v>
      </c>
      <c r="D1720" t="str">
        <f>"023021"</f>
        <v>023021</v>
      </c>
      <c r="E1720" t="s">
        <v>10443</v>
      </c>
      <c r="F1720" s="1">
        <v>44501</v>
      </c>
      <c r="G1720" t="str">
        <f>"300192"</f>
        <v>300192</v>
      </c>
      <c r="H1720" t="s">
        <v>3009</v>
      </c>
      <c r="I1720">
        <v>14000</v>
      </c>
    </row>
    <row r="1721" spans="1:9" x14ac:dyDescent="0.25">
      <c r="A1721" t="s">
        <v>9616</v>
      </c>
      <c r="C1721" t="s">
        <v>9617</v>
      </c>
      <c r="D1721" t="str">
        <f>"023121"</f>
        <v>023121</v>
      </c>
      <c r="E1721" t="s">
        <v>10463</v>
      </c>
      <c r="F1721" s="1">
        <v>44501</v>
      </c>
      <c r="G1721" t="str">
        <f>"300192"</f>
        <v>300192</v>
      </c>
      <c r="H1721" t="s">
        <v>3009</v>
      </c>
      <c r="I1721">
        <v>15000</v>
      </c>
    </row>
    <row r="1722" spans="1:9" x14ac:dyDescent="0.25">
      <c r="A1722" t="s">
        <v>9616</v>
      </c>
      <c r="C1722" t="s">
        <v>9617</v>
      </c>
      <c r="D1722" t="str">
        <f>"023221"</f>
        <v>023221</v>
      </c>
      <c r="E1722" t="s">
        <v>10464</v>
      </c>
      <c r="F1722" s="1">
        <v>44501</v>
      </c>
      <c r="G1722" t="str">
        <f>"300192"</f>
        <v>300192</v>
      </c>
      <c r="H1722" t="s">
        <v>3009</v>
      </c>
      <c r="I1722">
        <v>15000</v>
      </c>
    </row>
    <row r="1723" spans="1:9" x14ac:dyDescent="0.25">
      <c r="A1723" t="s">
        <v>9616</v>
      </c>
      <c r="C1723" t="s">
        <v>9617</v>
      </c>
      <c r="D1723" t="str">
        <f>"023321"</f>
        <v>023321</v>
      </c>
      <c r="E1723" t="s">
        <v>10466</v>
      </c>
      <c r="F1723" s="1">
        <v>44501</v>
      </c>
      <c r="G1723" t="str">
        <f>"300192"</f>
        <v>300192</v>
      </c>
      <c r="H1723" t="s">
        <v>3009</v>
      </c>
      <c r="I1723">
        <v>14000</v>
      </c>
    </row>
    <row r="1724" spans="1:9" x14ac:dyDescent="0.25">
      <c r="A1724" t="s">
        <v>9616</v>
      </c>
      <c r="C1724" t="s">
        <v>9617</v>
      </c>
      <c r="D1724" t="str">
        <f>"63794"</f>
        <v>63794</v>
      </c>
      <c r="E1724" t="s">
        <v>10476</v>
      </c>
      <c r="F1724" s="1">
        <v>44502</v>
      </c>
      <c r="G1724" t="str">
        <f>"300043"</f>
        <v>300043</v>
      </c>
      <c r="H1724" t="s">
        <v>2876</v>
      </c>
      <c r="I1724">
        <v>448</v>
      </c>
    </row>
    <row r="1725" spans="1:9" x14ac:dyDescent="0.25">
      <c r="A1725" t="s">
        <v>9616</v>
      </c>
      <c r="C1725" t="s">
        <v>9617</v>
      </c>
      <c r="D1725" t="str">
        <f>"576921"</f>
        <v>576921</v>
      </c>
      <c r="E1725" t="s">
        <v>10476</v>
      </c>
      <c r="F1725" s="1">
        <v>44502</v>
      </c>
      <c r="G1725" t="str">
        <f>"300101"</f>
        <v>300101</v>
      </c>
      <c r="H1725" t="s">
        <v>2926</v>
      </c>
      <c r="I1725">
        <v>3882.1</v>
      </c>
    </row>
    <row r="1726" spans="1:9" x14ac:dyDescent="0.25">
      <c r="A1726" t="s">
        <v>9616</v>
      </c>
      <c r="C1726" t="s">
        <v>9617</v>
      </c>
      <c r="D1726" t="str">
        <f>"10135756"</f>
        <v>10135756</v>
      </c>
      <c r="E1726" t="s">
        <v>1313</v>
      </c>
      <c r="F1726" s="1">
        <v>44502</v>
      </c>
      <c r="G1726" t="str">
        <f>"300115"</f>
        <v>300115</v>
      </c>
      <c r="H1726" t="s">
        <v>2938</v>
      </c>
      <c r="I1726">
        <v>311965.005</v>
      </c>
    </row>
    <row r="1727" spans="1:9" x14ac:dyDescent="0.25">
      <c r="A1727" t="s">
        <v>9616</v>
      </c>
      <c r="C1727" t="s">
        <v>9617</v>
      </c>
      <c r="D1727" t="str">
        <f>"10135798"</f>
        <v>10135798</v>
      </c>
      <c r="E1727" t="s">
        <v>9189</v>
      </c>
      <c r="F1727" s="1">
        <v>44502</v>
      </c>
      <c r="G1727" t="str">
        <f>"300115"</f>
        <v>300115</v>
      </c>
      <c r="H1727" t="s">
        <v>2938</v>
      </c>
      <c r="I1727">
        <v>204663.11360000001</v>
      </c>
    </row>
    <row r="1728" spans="1:9" x14ac:dyDescent="0.25">
      <c r="A1728" t="s">
        <v>9616</v>
      </c>
      <c r="C1728" t="s">
        <v>9617</v>
      </c>
      <c r="D1728" t="str">
        <f>"64099"</f>
        <v>64099</v>
      </c>
      <c r="E1728" t="s">
        <v>10477</v>
      </c>
      <c r="F1728" s="1">
        <v>44503</v>
      </c>
      <c r="G1728" t="str">
        <f>"300043"</f>
        <v>300043</v>
      </c>
      <c r="H1728" t="s">
        <v>2876</v>
      </c>
      <c r="I1728">
        <v>1160</v>
      </c>
    </row>
    <row r="1729" spans="1:9" x14ac:dyDescent="0.25">
      <c r="A1729" t="s">
        <v>9616</v>
      </c>
      <c r="C1729" t="s">
        <v>9617</v>
      </c>
      <c r="D1729" t="str">
        <f>"541921"</f>
        <v>541921</v>
      </c>
      <c r="E1729" t="s">
        <v>10477</v>
      </c>
      <c r="F1729" s="1">
        <v>44503</v>
      </c>
      <c r="G1729" t="str">
        <f>"300101"</f>
        <v>300101</v>
      </c>
      <c r="H1729" t="s">
        <v>2926</v>
      </c>
      <c r="I1729">
        <v>3078.75</v>
      </c>
    </row>
    <row r="1730" spans="1:9" x14ac:dyDescent="0.25">
      <c r="A1730" t="s">
        <v>9616</v>
      </c>
      <c r="C1730" t="s">
        <v>9617</v>
      </c>
      <c r="D1730" t="str">
        <f>"10135799"</f>
        <v>10135799</v>
      </c>
      <c r="E1730" t="s">
        <v>9191</v>
      </c>
      <c r="F1730" s="1">
        <v>44503</v>
      </c>
      <c r="G1730" t="str">
        <f>"300115"</f>
        <v>300115</v>
      </c>
      <c r="H1730" t="s">
        <v>2938</v>
      </c>
      <c r="I1730">
        <v>87163.56</v>
      </c>
    </row>
    <row r="1731" spans="1:9" x14ac:dyDescent="0.25">
      <c r="A1731" t="s">
        <v>9616</v>
      </c>
      <c r="C1731" t="s">
        <v>9617</v>
      </c>
      <c r="D1731" t="str">
        <f>"10135805"</f>
        <v>10135805</v>
      </c>
      <c r="E1731" t="s">
        <v>9269</v>
      </c>
      <c r="F1731" s="1">
        <v>44503</v>
      </c>
      <c r="G1731" t="str">
        <f>"300115"</f>
        <v>300115</v>
      </c>
      <c r="H1731" t="s">
        <v>2938</v>
      </c>
      <c r="I1731">
        <v>270565.54800000001</v>
      </c>
    </row>
    <row r="1732" spans="1:9" x14ac:dyDescent="0.25">
      <c r="A1732" t="s">
        <v>9616</v>
      </c>
      <c r="C1732" t="s">
        <v>9617</v>
      </c>
      <c r="D1732" t="s">
        <v>10478</v>
      </c>
      <c r="E1732" t="s">
        <v>10289</v>
      </c>
      <c r="F1732" s="1">
        <v>44503</v>
      </c>
      <c r="G1732" t="str">
        <f>"300133"</f>
        <v>300133</v>
      </c>
      <c r="H1732" t="s">
        <v>2955</v>
      </c>
      <c r="I1732">
        <v>44370</v>
      </c>
    </row>
    <row r="1733" spans="1:9" x14ac:dyDescent="0.25">
      <c r="A1733" t="s">
        <v>9616</v>
      </c>
      <c r="C1733" t="s">
        <v>9617</v>
      </c>
      <c r="D1733" t="str">
        <f>"012021"</f>
        <v>012021</v>
      </c>
      <c r="E1733" t="s">
        <v>10479</v>
      </c>
      <c r="F1733" s="1">
        <v>44503</v>
      </c>
      <c r="G1733" t="str">
        <f>"300321"</f>
        <v>300321</v>
      </c>
      <c r="H1733" t="s">
        <v>2706</v>
      </c>
      <c r="I1733">
        <v>13500</v>
      </c>
    </row>
    <row r="1734" spans="1:9" x14ac:dyDescent="0.25">
      <c r="A1734" t="s">
        <v>9616</v>
      </c>
      <c r="C1734" t="s">
        <v>9617</v>
      </c>
      <c r="D1734" t="str">
        <f>"10135845"</f>
        <v>10135845</v>
      </c>
      <c r="E1734" t="s">
        <v>9189</v>
      </c>
      <c r="F1734" s="1">
        <v>44504</v>
      </c>
      <c r="G1734" t="str">
        <f>"300115"</f>
        <v>300115</v>
      </c>
      <c r="H1734" t="s">
        <v>2938</v>
      </c>
      <c r="I1734">
        <v>285201.70799999998</v>
      </c>
    </row>
    <row r="1735" spans="1:9" x14ac:dyDescent="0.25">
      <c r="A1735" t="s">
        <v>9616</v>
      </c>
      <c r="C1735" t="s">
        <v>9617</v>
      </c>
      <c r="D1735" t="str">
        <f>"64744"</f>
        <v>64744</v>
      </c>
      <c r="E1735" t="s">
        <v>10479</v>
      </c>
      <c r="F1735" s="1">
        <v>44505</v>
      </c>
      <c r="G1735" t="str">
        <f>"300043"</f>
        <v>300043</v>
      </c>
      <c r="H1735" t="s">
        <v>2876</v>
      </c>
      <c r="I1735">
        <v>1054</v>
      </c>
    </row>
    <row r="1736" spans="1:9" x14ac:dyDescent="0.25">
      <c r="A1736" t="s">
        <v>9616</v>
      </c>
      <c r="C1736" t="s">
        <v>9617</v>
      </c>
      <c r="D1736" t="s">
        <v>10480</v>
      </c>
      <c r="E1736" t="s">
        <v>9579</v>
      </c>
      <c r="F1736" s="1">
        <v>44505</v>
      </c>
      <c r="G1736" t="str">
        <f>"300133"</f>
        <v>300133</v>
      </c>
      <c r="H1736" t="s">
        <v>2955</v>
      </c>
      <c r="I1736">
        <v>46418.400000000001</v>
      </c>
    </row>
    <row r="1737" spans="1:9" x14ac:dyDescent="0.25">
      <c r="A1737" t="s">
        <v>9616</v>
      </c>
      <c r="C1737" t="s">
        <v>9617</v>
      </c>
      <c r="D1737" t="s">
        <v>10481</v>
      </c>
      <c r="E1737" t="s">
        <v>9565</v>
      </c>
      <c r="F1737" s="1">
        <v>44505</v>
      </c>
      <c r="G1737" t="str">
        <f>"300133"</f>
        <v>300133</v>
      </c>
      <c r="H1737" t="s">
        <v>2955</v>
      </c>
      <c r="I1737">
        <v>27561.599999999999</v>
      </c>
    </row>
    <row r="1738" spans="1:9" x14ac:dyDescent="0.25">
      <c r="A1738" t="s">
        <v>9616</v>
      </c>
      <c r="C1738" t="s">
        <v>9617</v>
      </c>
      <c r="D1738" t="str">
        <f>"64642"</f>
        <v>64642</v>
      </c>
      <c r="E1738" t="s">
        <v>10482</v>
      </c>
      <c r="F1738" s="1">
        <v>44508</v>
      </c>
      <c r="G1738" t="str">
        <f>"300043"</f>
        <v>300043</v>
      </c>
      <c r="H1738" t="s">
        <v>2876</v>
      </c>
      <c r="I1738">
        <v>819</v>
      </c>
    </row>
    <row r="1739" spans="1:9" x14ac:dyDescent="0.25">
      <c r="A1739" t="s">
        <v>9616</v>
      </c>
      <c r="C1739" t="s">
        <v>9617</v>
      </c>
      <c r="D1739" t="str">
        <f>"65234"</f>
        <v>65234</v>
      </c>
      <c r="E1739" t="s">
        <v>10483</v>
      </c>
      <c r="F1739" s="1">
        <v>44508</v>
      </c>
      <c r="G1739" t="str">
        <f>"300043"</f>
        <v>300043</v>
      </c>
      <c r="H1739" t="s">
        <v>2876</v>
      </c>
      <c r="I1739">
        <v>1074</v>
      </c>
    </row>
    <row r="1740" spans="1:9" x14ac:dyDescent="0.25">
      <c r="A1740" t="s">
        <v>9616</v>
      </c>
      <c r="C1740" t="s">
        <v>9617</v>
      </c>
      <c r="D1740" t="str">
        <f>"576821"</f>
        <v>576821</v>
      </c>
      <c r="E1740" t="s">
        <v>10482</v>
      </c>
      <c r="F1740" s="1">
        <v>44508</v>
      </c>
      <c r="G1740" t="str">
        <f>"300101"</f>
        <v>300101</v>
      </c>
      <c r="H1740" t="s">
        <v>2926</v>
      </c>
      <c r="I1740">
        <v>3876.6</v>
      </c>
    </row>
    <row r="1741" spans="1:9" x14ac:dyDescent="0.25">
      <c r="A1741" t="s">
        <v>9616</v>
      </c>
      <c r="C1741" t="s">
        <v>9617</v>
      </c>
      <c r="D1741" t="str">
        <f>"577021"</f>
        <v>577021</v>
      </c>
      <c r="E1741" t="s">
        <v>10483</v>
      </c>
      <c r="F1741" s="1">
        <v>44508</v>
      </c>
      <c r="G1741" t="str">
        <f>"300101"</f>
        <v>300101</v>
      </c>
      <c r="H1741" t="s">
        <v>2926</v>
      </c>
      <c r="I1741">
        <v>3418.44</v>
      </c>
    </row>
    <row r="1742" spans="1:9" x14ac:dyDescent="0.25">
      <c r="A1742" t="s">
        <v>9616</v>
      </c>
      <c r="C1742" t="s">
        <v>9617</v>
      </c>
      <c r="D1742" t="str">
        <f>"10135931"</f>
        <v>10135931</v>
      </c>
      <c r="E1742" t="s">
        <v>2172</v>
      </c>
      <c r="F1742" s="1">
        <v>44508</v>
      </c>
      <c r="G1742" t="str">
        <f>"300115"</f>
        <v>300115</v>
      </c>
      <c r="H1742" t="s">
        <v>2938</v>
      </c>
      <c r="I1742">
        <v>193812.3847</v>
      </c>
    </row>
    <row r="1743" spans="1:9" x14ac:dyDescent="0.25">
      <c r="A1743" t="s">
        <v>9616</v>
      </c>
      <c r="C1743" t="s">
        <v>9617</v>
      </c>
      <c r="D1743" t="str">
        <f>"64645"</f>
        <v>64645</v>
      </c>
      <c r="E1743" t="s">
        <v>10484</v>
      </c>
      <c r="F1743" s="1">
        <v>44509</v>
      </c>
      <c r="G1743" t="str">
        <f>"300043"</f>
        <v>300043</v>
      </c>
      <c r="H1743" t="s">
        <v>2876</v>
      </c>
      <c r="I1743">
        <v>443</v>
      </c>
    </row>
    <row r="1744" spans="1:9" x14ac:dyDescent="0.25">
      <c r="A1744" t="s">
        <v>9616</v>
      </c>
      <c r="C1744" t="s">
        <v>9617</v>
      </c>
      <c r="D1744" t="str">
        <f>"576721"</f>
        <v>576721</v>
      </c>
      <c r="E1744" t="s">
        <v>10484</v>
      </c>
      <c r="F1744" s="1">
        <v>44509</v>
      </c>
      <c r="G1744" t="str">
        <f>"300101"</f>
        <v>300101</v>
      </c>
      <c r="H1744" t="s">
        <v>2926</v>
      </c>
      <c r="I1744">
        <v>3877.53</v>
      </c>
    </row>
    <row r="1745" spans="1:9" x14ac:dyDescent="0.25">
      <c r="A1745" t="s">
        <v>9616</v>
      </c>
      <c r="C1745" t="s">
        <v>9617</v>
      </c>
      <c r="D1745" t="str">
        <f>"65871"</f>
        <v>65871</v>
      </c>
      <c r="E1745" t="s">
        <v>10485</v>
      </c>
      <c r="F1745" s="1">
        <v>44510</v>
      </c>
      <c r="G1745" t="str">
        <f>"300043"</f>
        <v>300043</v>
      </c>
      <c r="H1745" t="s">
        <v>2876</v>
      </c>
      <c r="I1745">
        <v>782</v>
      </c>
    </row>
    <row r="1746" spans="1:9" x14ac:dyDescent="0.25">
      <c r="A1746" t="s">
        <v>9616</v>
      </c>
      <c r="C1746" t="s">
        <v>9617</v>
      </c>
      <c r="D1746" t="str">
        <f>"577121"</f>
        <v>577121</v>
      </c>
      <c r="E1746" t="s">
        <v>10485</v>
      </c>
      <c r="F1746" s="1">
        <v>44510</v>
      </c>
      <c r="G1746" t="str">
        <f>"300101"</f>
        <v>300101</v>
      </c>
      <c r="H1746" t="s">
        <v>2926</v>
      </c>
      <c r="I1746">
        <v>3266.68</v>
      </c>
    </row>
    <row r="1747" spans="1:9" x14ac:dyDescent="0.25">
      <c r="A1747" t="s">
        <v>9616</v>
      </c>
      <c r="C1747" t="s">
        <v>9617</v>
      </c>
      <c r="D1747" t="str">
        <f>"202108858"</f>
        <v>202108858</v>
      </c>
      <c r="E1747" t="s">
        <v>10479</v>
      </c>
      <c r="F1747" s="1">
        <v>44511</v>
      </c>
      <c r="G1747" t="str">
        <f>"300191"</f>
        <v>300191</v>
      </c>
      <c r="H1747" t="s">
        <v>3008</v>
      </c>
      <c r="I1747">
        <v>3117.61</v>
      </c>
    </row>
    <row r="1748" spans="1:9" x14ac:dyDescent="0.25">
      <c r="A1748" t="s">
        <v>9616</v>
      </c>
      <c r="C1748" t="s">
        <v>9617</v>
      </c>
      <c r="D1748" t="str">
        <f>"121310989"</f>
        <v>121310989</v>
      </c>
      <c r="E1748" t="s">
        <v>10486</v>
      </c>
      <c r="F1748" s="1">
        <v>44512</v>
      </c>
      <c r="G1748" t="str">
        <f>"300080"</f>
        <v>300080</v>
      </c>
      <c r="H1748" t="s">
        <v>2907</v>
      </c>
      <c r="I1748">
        <v>112266</v>
      </c>
    </row>
    <row r="1749" spans="1:9" x14ac:dyDescent="0.25">
      <c r="A1749" t="s">
        <v>9616</v>
      </c>
      <c r="C1749" t="s">
        <v>9617</v>
      </c>
      <c r="D1749" t="str">
        <f>"10136106"</f>
        <v>10136106</v>
      </c>
      <c r="E1749" t="s">
        <v>9189</v>
      </c>
      <c r="F1749" s="1">
        <v>44512</v>
      </c>
      <c r="G1749" t="str">
        <f>"300115"</f>
        <v>300115</v>
      </c>
      <c r="H1749" t="s">
        <v>2938</v>
      </c>
      <c r="I1749">
        <v>270565.54800000001</v>
      </c>
    </row>
    <row r="1750" spans="1:9" x14ac:dyDescent="0.25">
      <c r="A1750" t="s">
        <v>9616</v>
      </c>
      <c r="C1750" t="s">
        <v>9617</v>
      </c>
      <c r="D1750" t="str">
        <f>"022021"</f>
        <v>022021</v>
      </c>
      <c r="E1750" t="s">
        <v>10487</v>
      </c>
      <c r="F1750" s="1">
        <v>44512</v>
      </c>
      <c r="G1750" t="str">
        <f>"300321"</f>
        <v>300321</v>
      </c>
      <c r="H1750" t="s">
        <v>2706</v>
      </c>
      <c r="I1750">
        <v>15500</v>
      </c>
    </row>
    <row r="1751" spans="1:9" x14ac:dyDescent="0.25">
      <c r="A1751" t="s">
        <v>9616</v>
      </c>
      <c r="C1751" t="s">
        <v>9617</v>
      </c>
      <c r="D1751" t="str">
        <f>"66830"</f>
        <v>66830</v>
      </c>
      <c r="E1751" t="s">
        <v>10487</v>
      </c>
      <c r="F1751" s="1">
        <v>44515</v>
      </c>
      <c r="G1751" t="str">
        <f>"300043"</f>
        <v>300043</v>
      </c>
      <c r="H1751" t="s">
        <v>2876</v>
      </c>
      <c r="I1751">
        <v>1057</v>
      </c>
    </row>
    <row r="1752" spans="1:9" x14ac:dyDescent="0.25">
      <c r="A1752" t="s">
        <v>9616</v>
      </c>
      <c r="C1752" t="s">
        <v>9617</v>
      </c>
      <c r="D1752" t="str">
        <f>"10136146"</f>
        <v>10136146</v>
      </c>
      <c r="E1752" t="s">
        <v>10488</v>
      </c>
      <c r="F1752" s="1">
        <v>44515</v>
      </c>
      <c r="G1752" t="str">
        <f>"300115"</f>
        <v>300115</v>
      </c>
      <c r="H1752" t="s">
        <v>2938</v>
      </c>
      <c r="I1752">
        <v>87125.543999999994</v>
      </c>
    </row>
    <row r="1753" spans="1:9" x14ac:dyDescent="0.25">
      <c r="A1753" t="s">
        <v>9616</v>
      </c>
      <c r="C1753" t="s">
        <v>9617</v>
      </c>
      <c r="D1753" t="str">
        <f>"10136147"</f>
        <v>10136147</v>
      </c>
      <c r="E1753" t="s">
        <v>2172</v>
      </c>
      <c r="F1753" s="1">
        <v>44515</v>
      </c>
      <c r="G1753" t="str">
        <f>"300115"</f>
        <v>300115</v>
      </c>
      <c r="H1753" t="s">
        <v>2938</v>
      </c>
      <c r="I1753">
        <v>270565.54800000001</v>
      </c>
    </row>
    <row r="1754" spans="1:9" x14ac:dyDescent="0.25">
      <c r="A1754" t="s">
        <v>9616</v>
      </c>
      <c r="C1754" t="s">
        <v>9617</v>
      </c>
      <c r="D1754" t="str">
        <f>"032021"</f>
        <v>032021</v>
      </c>
      <c r="E1754" t="s">
        <v>10489</v>
      </c>
      <c r="F1754" s="1">
        <v>44516</v>
      </c>
      <c r="G1754" t="str">
        <f>"300321"</f>
        <v>300321</v>
      </c>
      <c r="H1754" t="s">
        <v>2706</v>
      </c>
      <c r="I1754">
        <v>13500</v>
      </c>
    </row>
    <row r="1755" spans="1:9" x14ac:dyDescent="0.25">
      <c r="A1755" t="s">
        <v>9616</v>
      </c>
      <c r="C1755" t="s">
        <v>9617</v>
      </c>
      <c r="D1755" t="str">
        <f>"67628"</f>
        <v>67628</v>
      </c>
      <c r="E1755" t="s">
        <v>10489</v>
      </c>
      <c r="F1755" s="1">
        <v>44517</v>
      </c>
      <c r="G1755" t="str">
        <f>"300043"</f>
        <v>300043</v>
      </c>
      <c r="H1755" t="s">
        <v>2876</v>
      </c>
      <c r="I1755">
        <v>1049</v>
      </c>
    </row>
    <row r="1756" spans="1:9" x14ac:dyDescent="0.25">
      <c r="A1756" t="s">
        <v>9616</v>
      </c>
      <c r="C1756" t="s">
        <v>9617</v>
      </c>
      <c r="D1756" t="str">
        <f>"67703"</f>
        <v>67703</v>
      </c>
      <c r="E1756" t="s">
        <v>10490</v>
      </c>
      <c r="F1756" s="1">
        <v>44517</v>
      </c>
      <c r="G1756" t="str">
        <f>"300043"</f>
        <v>300043</v>
      </c>
      <c r="H1756" t="s">
        <v>2876</v>
      </c>
      <c r="I1756">
        <v>441</v>
      </c>
    </row>
    <row r="1757" spans="1:9" x14ac:dyDescent="0.25">
      <c r="A1757" t="s">
        <v>9616</v>
      </c>
      <c r="C1757" t="s">
        <v>9617</v>
      </c>
      <c r="D1757" t="s">
        <v>10491</v>
      </c>
      <c r="E1757" t="s">
        <v>9858</v>
      </c>
      <c r="F1757" s="1">
        <v>44517</v>
      </c>
      <c r="G1757" t="str">
        <f>"300092"</f>
        <v>300092</v>
      </c>
      <c r="H1757" t="s">
        <v>2160</v>
      </c>
      <c r="I1757">
        <v>32585</v>
      </c>
    </row>
    <row r="1758" spans="1:9" x14ac:dyDescent="0.25">
      <c r="A1758" t="s">
        <v>9616</v>
      </c>
      <c r="C1758" t="s">
        <v>9617</v>
      </c>
      <c r="D1758" t="str">
        <f>"576621"</f>
        <v>576621</v>
      </c>
      <c r="E1758" t="s">
        <v>10490</v>
      </c>
      <c r="F1758" s="1">
        <v>44517</v>
      </c>
      <c r="G1758" t="str">
        <f>"300101"</f>
        <v>300101</v>
      </c>
      <c r="H1758" t="s">
        <v>2926</v>
      </c>
      <c r="I1758">
        <v>3401.66</v>
      </c>
    </row>
    <row r="1759" spans="1:9" x14ac:dyDescent="0.25">
      <c r="A1759" t="s">
        <v>9616</v>
      </c>
      <c r="C1759" t="s">
        <v>9617</v>
      </c>
      <c r="D1759" t="str">
        <f>"10136284"</f>
        <v>10136284</v>
      </c>
      <c r="E1759" t="s">
        <v>9189</v>
      </c>
      <c r="F1759" s="1">
        <v>44519</v>
      </c>
      <c r="G1759" t="str">
        <f>"300115"</f>
        <v>300115</v>
      </c>
      <c r="H1759" t="s">
        <v>2938</v>
      </c>
      <c r="I1759">
        <v>271627.95</v>
      </c>
    </row>
    <row r="1760" spans="1:9" x14ac:dyDescent="0.25">
      <c r="A1760" t="s">
        <v>9616</v>
      </c>
      <c r="C1760" t="s">
        <v>9617</v>
      </c>
      <c r="D1760" t="str">
        <f>"10136285"</f>
        <v>10136285</v>
      </c>
      <c r="E1760" t="s">
        <v>8852</v>
      </c>
      <c r="F1760" s="1">
        <v>44519</v>
      </c>
      <c r="G1760" t="str">
        <f>"300115"</f>
        <v>300115</v>
      </c>
      <c r="H1760" t="s">
        <v>2938</v>
      </c>
      <c r="I1760">
        <v>270565.54800000001</v>
      </c>
    </row>
    <row r="1761" spans="1:9" x14ac:dyDescent="0.25">
      <c r="A1761" t="s">
        <v>9616</v>
      </c>
      <c r="C1761" t="s">
        <v>9617</v>
      </c>
      <c r="D1761" t="str">
        <f>"042021"</f>
        <v>042021</v>
      </c>
      <c r="E1761" t="s">
        <v>10492</v>
      </c>
      <c r="F1761" s="1">
        <v>44519</v>
      </c>
      <c r="G1761" t="str">
        <f>"300321"</f>
        <v>300321</v>
      </c>
      <c r="H1761" t="s">
        <v>2706</v>
      </c>
      <c r="I1761">
        <v>13500</v>
      </c>
    </row>
    <row r="1762" spans="1:9" x14ac:dyDescent="0.25">
      <c r="A1762" t="s">
        <v>9616</v>
      </c>
      <c r="C1762" t="s">
        <v>9617</v>
      </c>
      <c r="D1762" t="str">
        <f>"052021"</f>
        <v>052021</v>
      </c>
      <c r="E1762" t="s">
        <v>10493</v>
      </c>
      <c r="F1762" s="1">
        <v>44519</v>
      </c>
      <c r="G1762" t="str">
        <f>"300321"</f>
        <v>300321</v>
      </c>
      <c r="H1762" t="s">
        <v>2706</v>
      </c>
      <c r="I1762">
        <v>15500</v>
      </c>
    </row>
    <row r="1763" spans="1:9" x14ac:dyDescent="0.25">
      <c r="A1763" t="s">
        <v>9616</v>
      </c>
      <c r="C1763" t="s">
        <v>9617</v>
      </c>
      <c r="D1763" t="str">
        <f>"68362"</f>
        <v>68362</v>
      </c>
      <c r="E1763" t="s">
        <v>10492</v>
      </c>
      <c r="F1763" s="1">
        <v>44522</v>
      </c>
      <c r="G1763" t="str">
        <f>"300043"</f>
        <v>300043</v>
      </c>
      <c r="H1763" t="s">
        <v>2876</v>
      </c>
      <c r="I1763">
        <v>1048</v>
      </c>
    </row>
    <row r="1764" spans="1:9" x14ac:dyDescent="0.25">
      <c r="A1764" t="s">
        <v>9616</v>
      </c>
      <c r="C1764" t="s">
        <v>9617</v>
      </c>
      <c r="D1764" t="str">
        <f>"68377"</f>
        <v>68377</v>
      </c>
      <c r="E1764" t="s">
        <v>10493</v>
      </c>
      <c r="F1764" s="1">
        <v>44522</v>
      </c>
      <c r="G1764" t="str">
        <f>"300043"</f>
        <v>300043</v>
      </c>
      <c r="H1764" t="s">
        <v>2876</v>
      </c>
      <c r="I1764">
        <v>1056</v>
      </c>
    </row>
    <row r="1765" spans="1:9" x14ac:dyDescent="0.25">
      <c r="A1765" t="s">
        <v>9616</v>
      </c>
      <c r="C1765" t="s">
        <v>9617</v>
      </c>
      <c r="D1765" t="str">
        <f>"10136385"</f>
        <v>10136385</v>
      </c>
      <c r="E1765" t="s">
        <v>9189</v>
      </c>
      <c r="F1765" s="1">
        <v>44522</v>
      </c>
      <c r="G1765" t="str">
        <f>"300115"</f>
        <v>300115</v>
      </c>
      <c r="H1765" t="s">
        <v>2938</v>
      </c>
      <c r="I1765">
        <v>260408.72</v>
      </c>
    </row>
    <row r="1766" spans="1:9" x14ac:dyDescent="0.25">
      <c r="A1766" t="s">
        <v>9616</v>
      </c>
      <c r="C1766" t="s">
        <v>9617</v>
      </c>
      <c r="D1766" t="str">
        <f>"202109097"</f>
        <v>202109097</v>
      </c>
      <c r="E1766" t="s">
        <v>10487</v>
      </c>
      <c r="F1766" s="1">
        <v>44522</v>
      </c>
      <c r="G1766" t="str">
        <f>"300191"</f>
        <v>300191</v>
      </c>
      <c r="H1766" t="s">
        <v>3008</v>
      </c>
      <c r="I1766">
        <v>3260.89</v>
      </c>
    </row>
    <row r="1767" spans="1:9" x14ac:dyDescent="0.25">
      <c r="A1767" t="s">
        <v>9616</v>
      </c>
      <c r="C1767" t="s">
        <v>9617</v>
      </c>
      <c r="D1767" t="str">
        <f>"062021"</f>
        <v>062021</v>
      </c>
      <c r="E1767" t="s">
        <v>10494</v>
      </c>
      <c r="F1767" s="1">
        <v>44522</v>
      </c>
      <c r="G1767" t="str">
        <f>"300321"</f>
        <v>300321</v>
      </c>
      <c r="H1767" t="s">
        <v>2706</v>
      </c>
      <c r="I1767">
        <v>15500</v>
      </c>
    </row>
    <row r="1768" spans="1:9" x14ac:dyDescent="0.25">
      <c r="A1768" t="s">
        <v>9616</v>
      </c>
      <c r="C1768" t="s">
        <v>9617</v>
      </c>
      <c r="D1768" t="str">
        <f>"69038"</f>
        <v>69038</v>
      </c>
      <c r="E1768" t="s">
        <v>10494</v>
      </c>
      <c r="F1768" s="1">
        <v>44523</v>
      </c>
      <c r="G1768" t="str">
        <f>"300043"</f>
        <v>300043</v>
      </c>
      <c r="H1768" t="s">
        <v>2876</v>
      </c>
      <c r="I1768">
        <v>1017</v>
      </c>
    </row>
    <row r="1769" spans="1:9" x14ac:dyDescent="0.25">
      <c r="A1769" t="s">
        <v>9616</v>
      </c>
      <c r="C1769" t="s">
        <v>9617</v>
      </c>
      <c r="D1769" t="str">
        <f>"10136422"</f>
        <v>10136422</v>
      </c>
      <c r="E1769" t="s">
        <v>10495</v>
      </c>
      <c r="F1769" s="1">
        <v>44523</v>
      </c>
      <c r="G1769" t="str">
        <f>"300115"</f>
        <v>300115</v>
      </c>
      <c r="H1769" t="s">
        <v>2938</v>
      </c>
      <c r="I1769">
        <v>260408.72</v>
      </c>
    </row>
    <row r="1770" spans="1:9" x14ac:dyDescent="0.25">
      <c r="A1770" t="s">
        <v>9616</v>
      </c>
      <c r="C1770" t="s">
        <v>9617</v>
      </c>
      <c r="D1770" t="str">
        <f>"10136425"</f>
        <v>10136425</v>
      </c>
      <c r="E1770" t="s">
        <v>9189</v>
      </c>
      <c r="F1770" s="1">
        <v>44523</v>
      </c>
      <c r="G1770" t="str">
        <f>"300115"</f>
        <v>300115</v>
      </c>
      <c r="H1770" t="s">
        <v>2938</v>
      </c>
      <c r="I1770">
        <v>252730.764</v>
      </c>
    </row>
    <row r="1771" spans="1:9" x14ac:dyDescent="0.25">
      <c r="A1771" t="s">
        <v>9616</v>
      </c>
      <c r="C1771" t="s">
        <v>9617</v>
      </c>
      <c r="D1771" t="str">
        <f>"10136461"</f>
        <v>10136461</v>
      </c>
      <c r="E1771" t="s">
        <v>9189</v>
      </c>
      <c r="F1771" s="1">
        <v>44523</v>
      </c>
      <c r="G1771" t="str">
        <f>"300115"</f>
        <v>300115</v>
      </c>
      <c r="H1771" t="s">
        <v>2938</v>
      </c>
      <c r="I1771">
        <v>270696.27860000002</v>
      </c>
    </row>
    <row r="1772" spans="1:9" x14ac:dyDescent="0.25">
      <c r="A1772" t="s">
        <v>9616</v>
      </c>
      <c r="C1772" t="s">
        <v>9617</v>
      </c>
      <c r="D1772" t="str">
        <f>"072021"</f>
        <v>072021</v>
      </c>
      <c r="E1772" t="s">
        <v>10496</v>
      </c>
      <c r="F1772" s="1">
        <v>44523</v>
      </c>
      <c r="G1772" t="str">
        <f>"300321"</f>
        <v>300321</v>
      </c>
      <c r="H1772" t="s">
        <v>2706</v>
      </c>
      <c r="I1772">
        <v>15500</v>
      </c>
    </row>
    <row r="1773" spans="1:9" x14ac:dyDescent="0.25">
      <c r="A1773" t="s">
        <v>9616</v>
      </c>
      <c r="C1773" t="s">
        <v>9617</v>
      </c>
      <c r="D1773" t="str">
        <f>"082021"</f>
        <v>082021</v>
      </c>
      <c r="E1773" t="s">
        <v>10497</v>
      </c>
      <c r="F1773" s="1">
        <v>44523</v>
      </c>
      <c r="G1773" t="str">
        <f>"300321"</f>
        <v>300321</v>
      </c>
      <c r="H1773" t="s">
        <v>2706</v>
      </c>
      <c r="I1773">
        <v>15500</v>
      </c>
    </row>
    <row r="1774" spans="1:9" x14ac:dyDescent="0.25">
      <c r="A1774" t="s">
        <v>9616</v>
      </c>
      <c r="C1774" t="s">
        <v>9617</v>
      </c>
      <c r="D1774" t="str">
        <f>"092021"</f>
        <v>092021</v>
      </c>
      <c r="E1774" t="s">
        <v>10498</v>
      </c>
      <c r="F1774" s="1">
        <v>44523</v>
      </c>
      <c r="G1774" t="str">
        <f>"300321"</f>
        <v>300321</v>
      </c>
      <c r="H1774" t="s">
        <v>2706</v>
      </c>
      <c r="I1774">
        <v>15500</v>
      </c>
    </row>
    <row r="1775" spans="1:9" x14ac:dyDescent="0.25">
      <c r="A1775" t="s">
        <v>9616</v>
      </c>
      <c r="C1775" t="s">
        <v>9617</v>
      </c>
      <c r="D1775" t="str">
        <f>"69370"</f>
        <v>69370</v>
      </c>
      <c r="E1775" t="s">
        <v>10496</v>
      </c>
      <c r="F1775" s="1">
        <v>44524</v>
      </c>
      <c r="G1775" t="str">
        <f>"300043"</f>
        <v>300043</v>
      </c>
      <c r="H1775" t="s">
        <v>2876</v>
      </c>
      <c r="I1775">
        <v>1020</v>
      </c>
    </row>
    <row r="1776" spans="1:9" x14ac:dyDescent="0.25">
      <c r="A1776" t="s">
        <v>9616</v>
      </c>
      <c r="C1776" t="s">
        <v>9617</v>
      </c>
      <c r="D1776" t="str">
        <f>"10136466"</f>
        <v>10136466</v>
      </c>
      <c r="E1776" t="s">
        <v>8852</v>
      </c>
      <c r="F1776" s="1">
        <v>44524</v>
      </c>
      <c r="G1776" t="str">
        <f>"300115"</f>
        <v>300115</v>
      </c>
      <c r="H1776" t="s">
        <v>2938</v>
      </c>
      <c r="I1776">
        <v>221555.7971</v>
      </c>
    </row>
    <row r="1777" spans="1:9" x14ac:dyDescent="0.25">
      <c r="A1777" t="s">
        <v>9616</v>
      </c>
      <c r="C1777" t="s">
        <v>9617</v>
      </c>
      <c r="D1777" t="str">
        <f>"69539"</f>
        <v>69539</v>
      </c>
      <c r="E1777" t="s">
        <v>10497</v>
      </c>
      <c r="F1777" s="1">
        <v>44525</v>
      </c>
      <c r="G1777" t="str">
        <f>"300043"</f>
        <v>300043</v>
      </c>
      <c r="H1777" t="s">
        <v>2876</v>
      </c>
      <c r="I1777">
        <v>993</v>
      </c>
    </row>
    <row r="1778" spans="1:9" x14ac:dyDescent="0.25">
      <c r="A1778" t="s">
        <v>9616</v>
      </c>
      <c r="C1778" t="s">
        <v>9617</v>
      </c>
      <c r="D1778" t="str">
        <f>"69550"</f>
        <v>69550</v>
      </c>
      <c r="E1778" t="s">
        <v>10498</v>
      </c>
      <c r="F1778" s="1">
        <v>44525</v>
      </c>
      <c r="G1778" t="str">
        <f>"300043"</f>
        <v>300043</v>
      </c>
      <c r="H1778" t="s">
        <v>2876</v>
      </c>
      <c r="I1778">
        <v>1055</v>
      </c>
    </row>
    <row r="1779" spans="1:9" x14ac:dyDescent="0.25">
      <c r="A1779" t="s">
        <v>9616</v>
      </c>
      <c r="C1779" t="s">
        <v>9617</v>
      </c>
      <c r="D1779" t="str">
        <f>"10136577"</f>
        <v>10136577</v>
      </c>
      <c r="E1779" t="s">
        <v>9183</v>
      </c>
      <c r="F1779" s="1">
        <v>44526</v>
      </c>
      <c r="G1779" t="str">
        <f>"300115"</f>
        <v>300115</v>
      </c>
      <c r="H1779" t="s">
        <v>2938</v>
      </c>
      <c r="I1779">
        <v>88427.592000000004</v>
      </c>
    </row>
    <row r="1780" spans="1:9" x14ac:dyDescent="0.25">
      <c r="A1780" t="s">
        <v>9616</v>
      </c>
      <c r="C1780" t="s">
        <v>9617</v>
      </c>
      <c r="D1780" t="str">
        <f>"10136578"</f>
        <v>10136578</v>
      </c>
      <c r="E1780" t="s">
        <v>2566</v>
      </c>
      <c r="F1780" s="1">
        <v>44526</v>
      </c>
      <c r="G1780" t="str">
        <f>"300115"</f>
        <v>300115</v>
      </c>
      <c r="H1780" t="s">
        <v>2938</v>
      </c>
      <c r="I1780">
        <v>145138.92800000001</v>
      </c>
    </row>
    <row r="1781" spans="1:9" x14ac:dyDescent="0.25">
      <c r="A1781" t="s">
        <v>9616</v>
      </c>
      <c r="C1781" t="s">
        <v>9617</v>
      </c>
      <c r="D1781" t="s">
        <v>10499</v>
      </c>
      <c r="E1781" t="s">
        <v>9615</v>
      </c>
      <c r="F1781" s="1">
        <v>44526</v>
      </c>
      <c r="G1781" t="str">
        <f>"300133"</f>
        <v>300133</v>
      </c>
      <c r="H1781" t="s">
        <v>2955</v>
      </c>
      <c r="I1781">
        <v>48028.800000000003</v>
      </c>
    </row>
    <row r="1782" spans="1:9" x14ac:dyDescent="0.25">
      <c r="A1782" t="s">
        <v>9616</v>
      </c>
      <c r="C1782" t="s">
        <v>9617</v>
      </c>
      <c r="D1782" t="s">
        <v>10500</v>
      </c>
      <c r="E1782" t="s">
        <v>9921</v>
      </c>
      <c r="F1782" s="1">
        <v>44526</v>
      </c>
      <c r="G1782" t="str">
        <f>"300133"</f>
        <v>300133</v>
      </c>
      <c r="H1782" t="s">
        <v>2955</v>
      </c>
      <c r="I1782">
        <v>49864</v>
      </c>
    </row>
    <row r="1783" spans="1:9" x14ac:dyDescent="0.25">
      <c r="A1783" t="s">
        <v>9616</v>
      </c>
      <c r="C1783" t="s">
        <v>9617</v>
      </c>
      <c r="D1783" t="str">
        <f>"202109280"</f>
        <v>202109280</v>
      </c>
      <c r="E1783" t="s">
        <v>10492</v>
      </c>
      <c r="F1783" s="1">
        <v>44526</v>
      </c>
      <c r="G1783" t="str">
        <f>"300191"</f>
        <v>300191</v>
      </c>
      <c r="H1783" t="s">
        <v>3008</v>
      </c>
      <c r="I1783">
        <v>3250.6</v>
      </c>
    </row>
    <row r="1784" spans="1:9" x14ac:dyDescent="0.25">
      <c r="A1784" t="s">
        <v>9616</v>
      </c>
      <c r="C1784" t="s">
        <v>9617</v>
      </c>
      <c r="D1784" t="str">
        <f>"202109299"</f>
        <v>202109299</v>
      </c>
      <c r="E1784" t="s">
        <v>10489</v>
      </c>
      <c r="F1784" s="1">
        <v>44526</v>
      </c>
      <c r="G1784" t="str">
        <f>"300191"</f>
        <v>300191</v>
      </c>
      <c r="H1784" t="s">
        <v>3008</v>
      </c>
      <c r="I1784">
        <v>3102.29</v>
      </c>
    </row>
    <row r="1785" spans="1:9" x14ac:dyDescent="0.25">
      <c r="A1785" t="s">
        <v>9616</v>
      </c>
      <c r="C1785" t="s">
        <v>9617</v>
      </c>
      <c r="D1785" t="str">
        <f>"202109300"</f>
        <v>202109300</v>
      </c>
      <c r="E1785" t="s">
        <v>10493</v>
      </c>
      <c r="F1785" s="1">
        <v>44526</v>
      </c>
      <c r="G1785" t="str">
        <f>"300191"</f>
        <v>300191</v>
      </c>
      <c r="H1785" t="s">
        <v>3008</v>
      </c>
      <c r="I1785">
        <v>3250.6</v>
      </c>
    </row>
    <row r="1786" spans="1:9" x14ac:dyDescent="0.25">
      <c r="A1786" t="s">
        <v>9616</v>
      </c>
      <c r="C1786" t="s">
        <v>9617</v>
      </c>
      <c r="D1786" t="str">
        <f>"70339"</f>
        <v>70339</v>
      </c>
      <c r="E1786" t="s">
        <v>10501</v>
      </c>
      <c r="F1786" s="1">
        <v>44529</v>
      </c>
      <c r="G1786" t="str">
        <f>"300043"</f>
        <v>300043</v>
      </c>
      <c r="H1786" t="s">
        <v>2876</v>
      </c>
      <c r="I1786">
        <v>866</v>
      </c>
    </row>
    <row r="1787" spans="1:9" x14ac:dyDescent="0.25">
      <c r="A1787" t="s">
        <v>9616</v>
      </c>
      <c r="C1787" t="s">
        <v>9617</v>
      </c>
      <c r="D1787" t="str">
        <f>"633621"</f>
        <v>633621</v>
      </c>
      <c r="E1787" t="s">
        <v>10501</v>
      </c>
      <c r="F1787" s="1">
        <v>44529</v>
      </c>
      <c r="G1787" t="str">
        <f>"300101"</f>
        <v>300101</v>
      </c>
      <c r="H1787" t="s">
        <v>2926</v>
      </c>
      <c r="I1787">
        <v>3557.37</v>
      </c>
    </row>
    <row r="1788" spans="1:9" x14ac:dyDescent="0.25">
      <c r="A1788" t="s">
        <v>9616</v>
      </c>
      <c r="C1788" t="s">
        <v>9617</v>
      </c>
      <c r="D1788" t="str">
        <f>"10136620"</f>
        <v>10136620</v>
      </c>
      <c r="E1788" t="s">
        <v>1313</v>
      </c>
      <c r="F1788" s="1">
        <v>44530</v>
      </c>
      <c r="G1788" t="str">
        <f>"300115"</f>
        <v>300115</v>
      </c>
      <c r="H1788" t="s">
        <v>2938</v>
      </c>
      <c r="I1788">
        <v>297917.48800000001</v>
      </c>
    </row>
    <row r="1789" spans="1:9" x14ac:dyDescent="0.25">
      <c r="A1789" t="s">
        <v>9616</v>
      </c>
      <c r="C1789" t="s">
        <v>9617</v>
      </c>
      <c r="D1789" t="str">
        <f>"71238"</f>
        <v>71238</v>
      </c>
      <c r="E1789" t="s">
        <v>10502</v>
      </c>
      <c r="F1789" s="1">
        <v>44532</v>
      </c>
      <c r="G1789" t="str">
        <f>"300043"</f>
        <v>300043</v>
      </c>
      <c r="H1789" t="s">
        <v>2876</v>
      </c>
      <c r="I1789">
        <v>445</v>
      </c>
    </row>
    <row r="1790" spans="1:9" x14ac:dyDescent="0.25">
      <c r="A1790" t="s">
        <v>9616</v>
      </c>
      <c r="C1790" t="s">
        <v>9617</v>
      </c>
      <c r="D1790" t="str">
        <f>"71253"</f>
        <v>71253</v>
      </c>
      <c r="E1790" t="s">
        <v>10503</v>
      </c>
      <c r="F1790" s="1">
        <v>44532</v>
      </c>
      <c r="G1790" t="str">
        <f>"300043"</f>
        <v>300043</v>
      </c>
      <c r="H1790" t="s">
        <v>2876</v>
      </c>
      <c r="I1790">
        <v>626</v>
      </c>
    </row>
    <row r="1791" spans="1:9" x14ac:dyDescent="0.25">
      <c r="A1791" t="s">
        <v>9616</v>
      </c>
      <c r="C1791" t="s">
        <v>9617</v>
      </c>
      <c r="D1791" t="str">
        <f>"71321"</f>
        <v>71321</v>
      </c>
      <c r="E1791" t="s">
        <v>10504</v>
      </c>
      <c r="F1791" s="1">
        <v>44532</v>
      </c>
      <c r="G1791" t="str">
        <f>"300043"</f>
        <v>300043</v>
      </c>
      <c r="H1791" t="s">
        <v>2876</v>
      </c>
      <c r="I1791">
        <v>1113</v>
      </c>
    </row>
    <row r="1792" spans="1:9" x14ac:dyDescent="0.25">
      <c r="A1792" t="s">
        <v>9616</v>
      </c>
      <c r="C1792" t="s">
        <v>9617</v>
      </c>
      <c r="D1792" t="str">
        <f>"634021"</f>
        <v>634021</v>
      </c>
      <c r="E1792" t="s">
        <v>10502</v>
      </c>
      <c r="F1792" s="1">
        <v>44532</v>
      </c>
      <c r="G1792" t="str">
        <f>"300101"</f>
        <v>300101</v>
      </c>
      <c r="H1792" t="s">
        <v>2926</v>
      </c>
      <c r="I1792">
        <v>3408.85</v>
      </c>
    </row>
    <row r="1793" spans="1:9" x14ac:dyDescent="0.25">
      <c r="A1793" t="s">
        <v>9616</v>
      </c>
      <c r="C1793" t="s">
        <v>9617</v>
      </c>
      <c r="D1793" t="str">
        <f>"634121"</f>
        <v>634121</v>
      </c>
      <c r="E1793" t="s">
        <v>10504</v>
      </c>
      <c r="F1793" s="1">
        <v>44532</v>
      </c>
      <c r="G1793" t="str">
        <f>"300101"</f>
        <v>300101</v>
      </c>
      <c r="H1793" t="s">
        <v>2926</v>
      </c>
      <c r="I1793">
        <v>3256.88</v>
      </c>
    </row>
    <row r="1794" spans="1:9" x14ac:dyDescent="0.25">
      <c r="A1794" t="s">
        <v>9616</v>
      </c>
      <c r="C1794" t="s">
        <v>9617</v>
      </c>
      <c r="D1794" t="str">
        <f>"634221"</f>
        <v>634221</v>
      </c>
      <c r="E1794" t="s">
        <v>10503</v>
      </c>
      <c r="F1794" s="1">
        <v>44532</v>
      </c>
      <c r="G1794" t="str">
        <f>"300101"</f>
        <v>300101</v>
      </c>
      <c r="H1794" t="s">
        <v>2926</v>
      </c>
      <c r="I1794">
        <v>3409.03</v>
      </c>
    </row>
    <row r="1795" spans="1:9" x14ac:dyDescent="0.25">
      <c r="A1795" t="s">
        <v>9616</v>
      </c>
      <c r="C1795" t="s">
        <v>9617</v>
      </c>
      <c r="D1795" t="str">
        <f>"10136777"</f>
        <v>10136777</v>
      </c>
      <c r="E1795" t="s">
        <v>2566</v>
      </c>
      <c r="F1795" s="1">
        <v>44533</v>
      </c>
      <c r="G1795" t="str">
        <f>"300115"</f>
        <v>300115</v>
      </c>
      <c r="H1795" t="s">
        <v>2938</v>
      </c>
      <c r="I1795">
        <v>143489.5484</v>
      </c>
    </row>
    <row r="1796" spans="1:9" x14ac:dyDescent="0.25">
      <c r="A1796" t="s">
        <v>9616</v>
      </c>
      <c r="C1796" t="s">
        <v>9617</v>
      </c>
      <c r="D1796" t="str">
        <f>"202109560"</f>
        <v>202109560</v>
      </c>
      <c r="E1796" t="s">
        <v>10494</v>
      </c>
      <c r="F1796" s="1">
        <v>44533</v>
      </c>
      <c r="G1796" t="str">
        <f>"300191"</f>
        <v>300191</v>
      </c>
      <c r="H1796" t="s">
        <v>3008</v>
      </c>
      <c r="I1796">
        <v>3098.52</v>
      </c>
    </row>
    <row r="1797" spans="1:9" x14ac:dyDescent="0.25">
      <c r="A1797" t="s">
        <v>9616</v>
      </c>
      <c r="C1797" t="s">
        <v>9617</v>
      </c>
      <c r="D1797" t="str">
        <f>"202109562"</f>
        <v>202109562</v>
      </c>
      <c r="E1797" t="s">
        <v>10497</v>
      </c>
      <c r="F1797" s="1">
        <v>44533</v>
      </c>
      <c r="G1797" t="str">
        <f>"300191"</f>
        <v>300191</v>
      </c>
      <c r="H1797" t="s">
        <v>3008</v>
      </c>
      <c r="I1797">
        <v>3094.35</v>
      </c>
    </row>
    <row r="1798" spans="1:9" x14ac:dyDescent="0.25">
      <c r="A1798" t="s">
        <v>9616</v>
      </c>
      <c r="C1798" t="s">
        <v>9617</v>
      </c>
      <c r="D1798" t="str">
        <f>"202109568"</f>
        <v>202109568</v>
      </c>
      <c r="E1798" t="s">
        <v>10493</v>
      </c>
      <c r="F1798" s="1">
        <v>44533</v>
      </c>
      <c r="G1798" t="str">
        <f>"300191"</f>
        <v>300191</v>
      </c>
      <c r="H1798" t="s">
        <v>3008</v>
      </c>
      <c r="I1798">
        <v>151.41999999999999</v>
      </c>
    </row>
    <row r="1799" spans="1:9" x14ac:dyDescent="0.25">
      <c r="A1799" t="s">
        <v>9616</v>
      </c>
      <c r="C1799" t="s">
        <v>9617</v>
      </c>
      <c r="D1799" t="str">
        <f>"202109571"</f>
        <v>202109571</v>
      </c>
      <c r="E1799" t="s">
        <v>10496</v>
      </c>
      <c r="F1799" s="1">
        <v>44533</v>
      </c>
      <c r="G1799" t="str">
        <f>"300191"</f>
        <v>300191</v>
      </c>
      <c r="H1799" t="s">
        <v>3008</v>
      </c>
      <c r="I1799">
        <v>3096.6</v>
      </c>
    </row>
    <row r="1800" spans="1:9" x14ac:dyDescent="0.25">
      <c r="A1800" t="s">
        <v>9616</v>
      </c>
      <c r="C1800" t="s">
        <v>9617</v>
      </c>
      <c r="D1800" t="str">
        <f>"202109572"</f>
        <v>202109572</v>
      </c>
      <c r="E1800" t="s">
        <v>10498</v>
      </c>
      <c r="F1800" s="1">
        <v>44533</v>
      </c>
      <c r="G1800" t="str">
        <f>"300191"</f>
        <v>300191</v>
      </c>
      <c r="H1800" t="s">
        <v>3008</v>
      </c>
      <c r="I1800">
        <v>3094.35</v>
      </c>
    </row>
    <row r="1801" spans="1:9" x14ac:dyDescent="0.25">
      <c r="A1801" t="s">
        <v>9616</v>
      </c>
      <c r="C1801" t="s">
        <v>9617</v>
      </c>
      <c r="D1801" t="str">
        <f>"396929"</f>
        <v>396929</v>
      </c>
      <c r="E1801" t="s">
        <v>10505</v>
      </c>
      <c r="F1801" s="1">
        <v>44533</v>
      </c>
      <c r="G1801" t="str">
        <f>"300220"</f>
        <v>300220</v>
      </c>
      <c r="H1801" t="s">
        <v>2170</v>
      </c>
      <c r="I1801">
        <v>1303045.392</v>
      </c>
    </row>
    <row r="1802" spans="1:9" x14ac:dyDescent="0.25">
      <c r="A1802" t="s">
        <v>9616</v>
      </c>
      <c r="C1802" t="s">
        <v>9617</v>
      </c>
      <c r="D1802" t="str">
        <f>"112021"</f>
        <v>112021</v>
      </c>
      <c r="E1802" t="s">
        <v>10506</v>
      </c>
      <c r="F1802" s="1">
        <v>44533</v>
      </c>
      <c r="G1802" t="str">
        <f>"300321"</f>
        <v>300321</v>
      </c>
      <c r="H1802" t="s">
        <v>2706</v>
      </c>
      <c r="I1802">
        <v>48000</v>
      </c>
    </row>
    <row r="1803" spans="1:9" x14ac:dyDescent="0.25">
      <c r="A1803" t="s">
        <v>9616</v>
      </c>
      <c r="C1803" t="s">
        <v>9617</v>
      </c>
      <c r="D1803" t="str">
        <f>"72094"</f>
        <v>72094</v>
      </c>
      <c r="E1803" t="s">
        <v>10507</v>
      </c>
      <c r="F1803" s="1">
        <v>44536</v>
      </c>
      <c r="G1803" t="str">
        <f>"300043"</f>
        <v>300043</v>
      </c>
      <c r="H1803" t="s">
        <v>2876</v>
      </c>
      <c r="I1803">
        <v>620</v>
      </c>
    </row>
    <row r="1804" spans="1:9" x14ac:dyDescent="0.25">
      <c r="A1804" t="s">
        <v>9616</v>
      </c>
      <c r="C1804" t="s">
        <v>9617</v>
      </c>
      <c r="D1804" t="str">
        <f>"634321"</f>
        <v>634321</v>
      </c>
      <c r="E1804" t="s">
        <v>10507</v>
      </c>
      <c r="F1804" s="1">
        <v>44536</v>
      </c>
      <c r="G1804" t="str">
        <f>"300101"</f>
        <v>300101</v>
      </c>
      <c r="H1804" t="s">
        <v>2926</v>
      </c>
      <c r="I1804">
        <v>3398.14</v>
      </c>
    </row>
    <row r="1805" spans="1:9" x14ac:dyDescent="0.25">
      <c r="A1805" t="s">
        <v>9616</v>
      </c>
      <c r="C1805" t="s">
        <v>9617</v>
      </c>
      <c r="D1805" t="s">
        <v>10508</v>
      </c>
      <c r="E1805" t="s">
        <v>9579</v>
      </c>
      <c r="F1805" s="1">
        <v>44537</v>
      </c>
      <c r="G1805" t="str">
        <f>"300133"</f>
        <v>300133</v>
      </c>
      <c r="H1805" t="s">
        <v>2955</v>
      </c>
      <c r="I1805">
        <v>50349.599999999999</v>
      </c>
    </row>
    <row r="1806" spans="1:9" x14ac:dyDescent="0.25">
      <c r="A1806" t="s">
        <v>9616</v>
      </c>
      <c r="C1806" t="s">
        <v>9617</v>
      </c>
      <c r="D1806" t="s">
        <v>10509</v>
      </c>
      <c r="E1806" t="s">
        <v>9565</v>
      </c>
      <c r="F1806" s="1">
        <v>44537</v>
      </c>
      <c r="G1806" t="str">
        <f>"300133"</f>
        <v>300133</v>
      </c>
      <c r="H1806" t="s">
        <v>2955</v>
      </c>
      <c r="I1806">
        <v>48232.800000000003</v>
      </c>
    </row>
    <row r="1807" spans="1:9" x14ac:dyDescent="0.25">
      <c r="A1807" t="s">
        <v>9616</v>
      </c>
      <c r="C1807" t="s">
        <v>9617</v>
      </c>
      <c r="D1807" t="str">
        <f>"72575"</f>
        <v>72575</v>
      </c>
      <c r="E1807" t="s">
        <v>10506</v>
      </c>
      <c r="F1807" s="1">
        <v>44538</v>
      </c>
      <c r="G1807" t="str">
        <f>"300043"</f>
        <v>300043</v>
      </c>
      <c r="H1807" t="s">
        <v>2876</v>
      </c>
      <c r="I1807">
        <v>5127</v>
      </c>
    </row>
    <row r="1808" spans="1:9" x14ac:dyDescent="0.25">
      <c r="A1808" t="s">
        <v>9616</v>
      </c>
      <c r="C1808" t="s">
        <v>9617</v>
      </c>
      <c r="D1808" t="s">
        <v>10510</v>
      </c>
      <c r="E1808" t="str">
        <f>"2300"</f>
        <v>2300</v>
      </c>
      <c r="F1808" s="1">
        <v>44539</v>
      </c>
      <c r="G1808" t="str">
        <f>"300133"</f>
        <v>300133</v>
      </c>
      <c r="H1808" t="s">
        <v>2955</v>
      </c>
      <c r="I1808">
        <v>58260</v>
      </c>
    </row>
    <row r="1809" spans="1:9" x14ac:dyDescent="0.25">
      <c r="A1809" t="s">
        <v>9616</v>
      </c>
      <c r="C1809" t="s">
        <v>9617</v>
      </c>
      <c r="D1809" t="s">
        <v>10511</v>
      </c>
      <c r="E1809" t="str">
        <f>"2300"</f>
        <v>2300</v>
      </c>
      <c r="F1809" s="1">
        <v>44539</v>
      </c>
      <c r="G1809" t="str">
        <f>"300133"</f>
        <v>300133</v>
      </c>
      <c r="H1809" t="s">
        <v>2955</v>
      </c>
      <c r="I1809">
        <v>49680</v>
      </c>
    </row>
    <row r="1810" spans="1:9" x14ac:dyDescent="0.25">
      <c r="A1810" t="s">
        <v>9616</v>
      </c>
      <c r="C1810" t="s">
        <v>9617</v>
      </c>
      <c r="D1810" t="str">
        <f>"10136882"</f>
        <v>10136882</v>
      </c>
      <c r="E1810" t="s">
        <v>10512</v>
      </c>
      <c r="F1810" s="1">
        <v>44540</v>
      </c>
      <c r="G1810" t="str">
        <f>"300115"</f>
        <v>300115</v>
      </c>
      <c r="H1810" t="s">
        <v>2938</v>
      </c>
      <c r="I1810">
        <v>288892.67219999997</v>
      </c>
    </row>
    <row r="1811" spans="1:9" x14ac:dyDescent="0.25">
      <c r="A1811" t="s">
        <v>9616</v>
      </c>
      <c r="C1811" t="s">
        <v>9617</v>
      </c>
      <c r="D1811" t="str">
        <f>"10136883"</f>
        <v>10136883</v>
      </c>
      <c r="E1811" t="s">
        <v>2172</v>
      </c>
      <c r="F1811" s="1">
        <v>44540</v>
      </c>
      <c r="G1811" t="str">
        <f>"300115"</f>
        <v>300115</v>
      </c>
      <c r="H1811" t="s">
        <v>2938</v>
      </c>
      <c r="I1811">
        <v>284447.41820000001</v>
      </c>
    </row>
    <row r="1812" spans="1:9" x14ac:dyDescent="0.25">
      <c r="A1812" t="s">
        <v>9616</v>
      </c>
      <c r="C1812" t="s">
        <v>9617</v>
      </c>
      <c r="D1812" t="str">
        <f>"10136885"</f>
        <v>10136885</v>
      </c>
      <c r="E1812" t="s">
        <v>2566</v>
      </c>
      <c r="F1812" s="1">
        <v>44540</v>
      </c>
      <c r="G1812" t="str">
        <f>"300115"</f>
        <v>300115</v>
      </c>
      <c r="H1812" t="s">
        <v>2938</v>
      </c>
      <c r="I1812">
        <v>145138.92800000001</v>
      </c>
    </row>
    <row r="1813" spans="1:9" x14ac:dyDescent="0.25">
      <c r="A1813" t="s">
        <v>9616</v>
      </c>
      <c r="C1813" t="s">
        <v>9617</v>
      </c>
      <c r="D1813" t="str">
        <f>"122021"</f>
        <v>122021</v>
      </c>
      <c r="E1813" t="s">
        <v>10513</v>
      </c>
      <c r="F1813" s="1">
        <v>44540</v>
      </c>
      <c r="G1813" t="str">
        <f>"300321"</f>
        <v>300321</v>
      </c>
      <c r="H1813" t="s">
        <v>2706</v>
      </c>
      <c r="I1813">
        <v>13500</v>
      </c>
    </row>
    <row r="1814" spans="1:9" x14ac:dyDescent="0.25">
      <c r="A1814" t="s">
        <v>9616</v>
      </c>
      <c r="C1814" t="s">
        <v>9617</v>
      </c>
      <c r="D1814" t="str">
        <f>"132021"</f>
        <v>132021</v>
      </c>
      <c r="E1814" t="s">
        <v>10514</v>
      </c>
      <c r="F1814" s="1">
        <v>44540</v>
      </c>
      <c r="G1814" t="str">
        <f>"300321"</f>
        <v>300321</v>
      </c>
      <c r="H1814" t="s">
        <v>2706</v>
      </c>
      <c r="I1814">
        <v>13500</v>
      </c>
    </row>
    <row r="1815" spans="1:9" x14ac:dyDescent="0.25">
      <c r="A1815" t="s">
        <v>9616</v>
      </c>
      <c r="C1815" t="s">
        <v>9617</v>
      </c>
      <c r="D1815" t="str">
        <f>"73325"</f>
        <v>73325</v>
      </c>
      <c r="E1815" t="s">
        <v>10514</v>
      </c>
      <c r="F1815" s="1">
        <v>44543</v>
      </c>
      <c r="G1815" t="str">
        <f>"300043"</f>
        <v>300043</v>
      </c>
      <c r="H1815" t="s">
        <v>2876</v>
      </c>
      <c r="I1815">
        <v>1109</v>
      </c>
    </row>
    <row r="1816" spans="1:9" x14ac:dyDescent="0.25">
      <c r="A1816" t="s">
        <v>9616</v>
      </c>
      <c r="C1816" t="s">
        <v>9617</v>
      </c>
      <c r="D1816" t="str">
        <f>"73535"</f>
        <v>73535</v>
      </c>
      <c r="E1816" t="s">
        <v>10513</v>
      </c>
      <c r="F1816" s="1">
        <v>44543</v>
      </c>
      <c r="G1816" t="str">
        <f>"300043"</f>
        <v>300043</v>
      </c>
      <c r="H1816" t="s">
        <v>2876</v>
      </c>
      <c r="I1816">
        <v>1095</v>
      </c>
    </row>
    <row r="1817" spans="1:9" x14ac:dyDescent="0.25">
      <c r="A1817" t="s">
        <v>9616</v>
      </c>
      <c r="C1817" t="s">
        <v>9617</v>
      </c>
      <c r="D1817" t="str">
        <f>"73556"</f>
        <v>73556</v>
      </c>
      <c r="E1817" t="s">
        <v>10515</v>
      </c>
      <c r="F1817" s="1">
        <v>44543</v>
      </c>
      <c r="G1817" t="str">
        <f>"300043"</f>
        <v>300043</v>
      </c>
      <c r="H1817" t="s">
        <v>2876</v>
      </c>
      <c r="I1817">
        <v>624</v>
      </c>
    </row>
    <row r="1818" spans="1:9" x14ac:dyDescent="0.25">
      <c r="A1818" t="s">
        <v>9616</v>
      </c>
      <c r="C1818" t="s">
        <v>9617</v>
      </c>
      <c r="D1818" t="str">
        <f>"633921"</f>
        <v>633921</v>
      </c>
      <c r="E1818" t="s">
        <v>10515</v>
      </c>
      <c r="F1818" s="1">
        <v>44543</v>
      </c>
      <c r="G1818" t="str">
        <f>"300101"</f>
        <v>300101</v>
      </c>
      <c r="H1818" t="s">
        <v>2926</v>
      </c>
      <c r="I1818">
        <v>3407.25</v>
      </c>
    </row>
    <row r="1819" spans="1:9" x14ac:dyDescent="0.25">
      <c r="A1819" t="s">
        <v>9616</v>
      </c>
      <c r="C1819" t="s">
        <v>9617</v>
      </c>
      <c r="D1819" t="s">
        <v>10516</v>
      </c>
      <c r="E1819" t="s">
        <v>10517</v>
      </c>
      <c r="F1819" s="1">
        <v>44543</v>
      </c>
      <c r="G1819" t="str">
        <f>"300133"</f>
        <v>300133</v>
      </c>
      <c r="H1819" t="s">
        <v>2955</v>
      </c>
      <c r="I1819">
        <v>14388</v>
      </c>
    </row>
    <row r="1820" spans="1:9" x14ac:dyDescent="0.25">
      <c r="A1820" t="s">
        <v>9616</v>
      </c>
      <c r="C1820" t="s">
        <v>9617</v>
      </c>
      <c r="D1820" t="str">
        <f>"10137020"</f>
        <v>10137020</v>
      </c>
      <c r="E1820" t="s">
        <v>2566</v>
      </c>
      <c r="F1820" s="1">
        <v>44544</v>
      </c>
      <c r="G1820" t="str">
        <f>"300115"</f>
        <v>300115</v>
      </c>
      <c r="H1820" t="s">
        <v>2938</v>
      </c>
      <c r="I1820">
        <v>141456.39199999999</v>
      </c>
    </row>
    <row r="1821" spans="1:9" x14ac:dyDescent="0.25">
      <c r="A1821" t="s">
        <v>9616</v>
      </c>
      <c r="C1821" t="s">
        <v>9617</v>
      </c>
      <c r="D1821" t="str">
        <f>"202109874"</f>
        <v>202109874</v>
      </c>
      <c r="E1821" t="s">
        <v>10506</v>
      </c>
      <c r="F1821" s="1">
        <v>44544</v>
      </c>
      <c r="G1821" t="str">
        <f>"300191"</f>
        <v>300191</v>
      </c>
      <c r="H1821" t="s">
        <v>3008</v>
      </c>
      <c r="I1821">
        <v>3121.18</v>
      </c>
    </row>
    <row r="1822" spans="1:9" x14ac:dyDescent="0.25">
      <c r="A1822" t="s">
        <v>9616</v>
      </c>
      <c r="C1822" t="s">
        <v>9617</v>
      </c>
      <c r="D1822" t="str">
        <f>"10137022"</f>
        <v>10137022</v>
      </c>
      <c r="E1822" t="s">
        <v>2172</v>
      </c>
      <c r="F1822" s="1">
        <v>44545</v>
      </c>
      <c r="G1822" t="str">
        <f>"300115"</f>
        <v>300115</v>
      </c>
      <c r="H1822" t="s">
        <v>2938</v>
      </c>
      <c r="I1822">
        <v>293077.39559999999</v>
      </c>
    </row>
    <row r="1823" spans="1:9" x14ac:dyDescent="0.25">
      <c r="A1823" t="s">
        <v>9616</v>
      </c>
      <c r="C1823" t="s">
        <v>9617</v>
      </c>
      <c r="D1823" t="str">
        <f>"10137067"</f>
        <v>10137067</v>
      </c>
      <c r="E1823" t="s">
        <v>2172</v>
      </c>
      <c r="F1823" s="1">
        <v>44545</v>
      </c>
      <c r="G1823" t="str">
        <f>"300115"</f>
        <v>300115</v>
      </c>
      <c r="H1823" t="s">
        <v>2938</v>
      </c>
      <c r="I1823">
        <v>293078.14360000001</v>
      </c>
    </row>
    <row r="1824" spans="1:9" x14ac:dyDescent="0.25">
      <c r="A1824" t="s">
        <v>9616</v>
      </c>
      <c r="C1824" t="s">
        <v>9617</v>
      </c>
      <c r="D1824" t="str">
        <f>"142021"</f>
        <v>142021</v>
      </c>
      <c r="E1824" t="s">
        <v>10518</v>
      </c>
      <c r="F1824" s="1">
        <v>44545</v>
      </c>
      <c r="G1824" t="str">
        <f>"300321"</f>
        <v>300321</v>
      </c>
      <c r="H1824" t="s">
        <v>2706</v>
      </c>
      <c r="I1824">
        <v>13500</v>
      </c>
    </row>
    <row r="1825" spans="1:9" x14ac:dyDescent="0.25">
      <c r="A1825" t="s">
        <v>9616</v>
      </c>
      <c r="C1825" t="s">
        <v>9617</v>
      </c>
      <c r="D1825" t="str">
        <f>"152021"</f>
        <v>152021</v>
      </c>
      <c r="E1825" t="s">
        <v>10519</v>
      </c>
      <c r="F1825" s="1">
        <v>44545</v>
      </c>
      <c r="G1825" t="str">
        <f>"300321"</f>
        <v>300321</v>
      </c>
      <c r="H1825" t="s">
        <v>2706</v>
      </c>
      <c r="I1825">
        <v>13500</v>
      </c>
    </row>
    <row r="1826" spans="1:9" x14ac:dyDescent="0.25">
      <c r="A1826" t="s">
        <v>9616</v>
      </c>
      <c r="C1826" t="s">
        <v>9617</v>
      </c>
      <c r="D1826" t="str">
        <f>"74660"</f>
        <v>74660</v>
      </c>
      <c r="E1826" t="s">
        <v>10520</v>
      </c>
      <c r="F1826" s="1">
        <v>44547</v>
      </c>
      <c r="G1826" t="str">
        <f>"300043"</f>
        <v>300043</v>
      </c>
      <c r="H1826" t="s">
        <v>2876</v>
      </c>
      <c r="I1826">
        <v>613</v>
      </c>
    </row>
    <row r="1827" spans="1:9" x14ac:dyDescent="0.25">
      <c r="A1827" t="s">
        <v>9616</v>
      </c>
      <c r="C1827" t="s">
        <v>9617</v>
      </c>
      <c r="D1827" t="str">
        <f>"633821"</f>
        <v>633821</v>
      </c>
      <c r="E1827" t="s">
        <v>10520</v>
      </c>
      <c r="F1827" s="1">
        <v>44547</v>
      </c>
      <c r="G1827" t="str">
        <f>"300101"</f>
        <v>300101</v>
      </c>
      <c r="H1827" t="s">
        <v>2926</v>
      </c>
      <c r="I1827">
        <v>3260.69</v>
      </c>
    </row>
    <row r="1828" spans="1:9" x14ac:dyDescent="0.25">
      <c r="A1828" t="s">
        <v>9616</v>
      </c>
      <c r="C1828" t="s">
        <v>9617</v>
      </c>
      <c r="D1828" t="str">
        <f>"10137117"</f>
        <v>10137117</v>
      </c>
      <c r="E1828" t="s">
        <v>2172</v>
      </c>
      <c r="F1828" s="1">
        <v>44547</v>
      </c>
      <c r="G1828" t="str">
        <f>"300115"</f>
        <v>300115</v>
      </c>
      <c r="H1828" t="s">
        <v>2938</v>
      </c>
      <c r="I1828">
        <v>293078.14360000001</v>
      </c>
    </row>
    <row r="1829" spans="1:9" x14ac:dyDescent="0.25">
      <c r="A1829" t="s">
        <v>9616</v>
      </c>
      <c r="C1829" t="s">
        <v>9617</v>
      </c>
      <c r="D1829" t="str">
        <f>"162021"</f>
        <v>162021</v>
      </c>
      <c r="E1829" t="s">
        <v>10521</v>
      </c>
      <c r="F1829" s="1">
        <v>44547</v>
      </c>
      <c r="G1829" t="str">
        <f>"300321"</f>
        <v>300321</v>
      </c>
      <c r="H1829" t="s">
        <v>2706</v>
      </c>
      <c r="I1829">
        <v>13500</v>
      </c>
    </row>
    <row r="1830" spans="1:9" x14ac:dyDescent="0.25">
      <c r="A1830" t="s">
        <v>9616</v>
      </c>
      <c r="C1830" t="s">
        <v>9617</v>
      </c>
      <c r="D1830" t="str">
        <f>"74917"</f>
        <v>74917</v>
      </c>
      <c r="E1830" t="s">
        <v>10519</v>
      </c>
      <c r="F1830" s="1">
        <v>44550</v>
      </c>
      <c r="G1830" t="str">
        <f>"300043"</f>
        <v>300043</v>
      </c>
      <c r="H1830" t="s">
        <v>2876</v>
      </c>
      <c r="I1830">
        <v>1123</v>
      </c>
    </row>
    <row r="1831" spans="1:9" x14ac:dyDescent="0.25">
      <c r="A1831" t="s">
        <v>9616</v>
      </c>
      <c r="C1831" t="s">
        <v>9617</v>
      </c>
      <c r="D1831" t="str">
        <f>"75142"</f>
        <v>75142</v>
      </c>
      <c r="E1831" t="s">
        <v>10518</v>
      </c>
      <c r="F1831" s="1">
        <v>44550</v>
      </c>
      <c r="G1831" t="str">
        <f>"300043"</f>
        <v>300043</v>
      </c>
      <c r="H1831" t="s">
        <v>2876</v>
      </c>
      <c r="I1831">
        <v>1123</v>
      </c>
    </row>
    <row r="1832" spans="1:9" x14ac:dyDescent="0.25">
      <c r="A1832" t="s">
        <v>9616</v>
      </c>
      <c r="C1832" t="s">
        <v>9617</v>
      </c>
      <c r="D1832" t="str">
        <f>"75473"</f>
        <v>75473</v>
      </c>
      <c r="E1832" t="s">
        <v>10521</v>
      </c>
      <c r="F1832" s="1">
        <v>44550</v>
      </c>
      <c r="G1832" t="str">
        <f>"300043"</f>
        <v>300043</v>
      </c>
      <c r="H1832" t="s">
        <v>2876</v>
      </c>
      <c r="I1832">
        <v>1125</v>
      </c>
    </row>
    <row r="1833" spans="1:9" x14ac:dyDescent="0.25">
      <c r="A1833" t="s">
        <v>9616</v>
      </c>
      <c r="C1833" t="s">
        <v>9617</v>
      </c>
      <c r="D1833" t="str">
        <f>"10137196"</f>
        <v>10137196</v>
      </c>
      <c r="E1833" t="s">
        <v>9640</v>
      </c>
      <c r="F1833" s="1">
        <v>44550</v>
      </c>
      <c r="G1833" t="str">
        <f>"300115"</f>
        <v>300115</v>
      </c>
      <c r="H1833" t="s">
        <v>2938</v>
      </c>
      <c r="I1833">
        <v>156127.3406</v>
      </c>
    </row>
    <row r="1834" spans="1:9" x14ac:dyDescent="0.25">
      <c r="A1834" t="s">
        <v>9616</v>
      </c>
      <c r="C1834" t="s">
        <v>9617</v>
      </c>
      <c r="D1834" t="str">
        <f>"202110092"</f>
        <v>202110092</v>
      </c>
      <c r="E1834" t="s">
        <v>10514</v>
      </c>
      <c r="F1834" s="1">
        <v>44550</v>
      </c>
      <c r="G1834" t="str">
        <f>"300191"</f>
        <v>300191</v>
      </c>
      <c r="H1834" t="s">
        <v>3008</v>
      </c>
      <c r="I1834">
        <v>3106.8</v>
      </c>
    </row>
    <row r="1835" spans="1:9" x14ac:dyDescent="0.25">
      <c r="A1835" t="s">
        <v>9616</v>
      </c>
      <c r="C1835" t="s">
        <v>9617</v>
      </c>
      <c r="D1835" t="str">
        <f>"202110094"</f>
        <v>202110094</v>
      </c>
      <c r="E1835" t="s">
        <v>10513</v>
      </c>
      <c r="F1835" s="1">
        <v>44550</v>
      </c>
      <c r="G1835" t="str">
        <f>"300191"</f>
        <v>300191</v>
      </c>
      <c r="H1835" t="s">
        <v>3008</v>
      </c>
      <c r="I1835">
        <v>3106.8</v>
      </c>
    </row>
    <row r="1836" spans="1:9" x14ac:dyDescent="0.25">
      <c r="A1836" t="s">
        <v>9616</v>
      </c>
      <c r="C1836" t="s">
        <v>9617</v>
      </c>
      <c r="D1836" t="str">
        <f>"397929"</f>
        <v>397929</v>
      </c>
      <c r="E1836" t="s">
        <v>10522</v>
      </c>
      <c r="F1836" s="1">
        <v>44551</v>
      </c>
      <c r="G1836" t="str">
        <f>"300220"</f>
        <v>300220</v>
      </c>
      <c r="H1836" t="s">
        <v>2170</v>
      </c>
      <c r="I1836">
        <v>1016381.52</v>
      </c>
    </row>
    <row r="1837" spans="1:9" x14ac:dyDescent="0.25">
      <c r="A1837" t="s">
        <v>9616</v>
      </c>
      <c r="C1837" t="s">
        <v>9617</v>
      </c>
      <c r="D1837" t="str">
        <f>"172021"</f>
        <v>172021</v>
      </c>
      <c r="E1837" t="s">
        <v>10523</v>
      </c>
      <c r="F1837" s="1">
        <v>44551</v>
      </c>
      <c r="G1837" t="str">
        <f>"300321"</f>
        <v>300321</v>
      </c>
      <c r="H1837" t="s">
        <v>2706</v>
      </c>
      <c r="I1837">
        <v>48000</v>
      </c>
    </row>
    <row r="1838" spans="1:9" x14ac:dyDescent="0.25">
      <c r="A1838" t="s">
        <v>9616</v>
      </c>
      <c r="C1838" t="s">
        <v>9617</v>
      </c>
      <c r="D1838" t="str">
        <f>"10137224"</f>
        <v>10137224</v>
      </c>
      <c r="E1838" t="s">
        <v>9189</v>
      </c>
      <c r="F1838" s="1">
        <v>44552</v>
      </c>
      <c r="G1838" t="str">
        <f>"300115"</f>
        <v>300115</v>
      </c>
      <c r="H1838" t="s">
        <v>2938</v>
      </c>
      <c r="I1838">
        <v>195216.30480000001</v>
      </c>
    </row>
    <row r="1839" spans="1:9" x14ac:dyDescent="0.25">
      <c r="A1839" t="s">
        <v>9616</v>
      </c>
      <c r="C1839" t="s">
        <v>9617</v>
      </c>
      <c r="D1839" t="str">
        <f>"20013009"</f>
        <v>20013009</v>
      </c>
      <c r="E1839" t="str">
        <f>"0020013009"</f>
        <v>0020013009</v>
      </c>
      <c r="F1839" s="1">
        <v>44553</v>
      </c>
      <c r="G1839" t="str">
        <f>"300115"</f>
        <v>300115</v>
      </c>
      <c r="H1839" t="s">
        <v>2938</v>
      </c>
      <c r="I1839">
        <v>23953.615399999999</v>
      </c>
    </row>
    <row r="1840" spans="1:9" x14ac:dyDescent="0.25">
      <c r="A1840" t="s">
        <v>9616</v>
      </c>
      <c r="C1840" t="s">
        <v>9617</v>
      </c>
      <c r="D1840" t="str">
        <f>"76454"</f>
        <v>76454</v>
      </c>
      <c r="E1840" t="s">
        <v>10524</v>
      </c>
      <c r="F1840" s="1">
        <v>44554</v>
      </c>
      <c r="G1840" t="str">
        <f>"300043"</f>
        <v>300043</v>
      </c>
      <c r="H1840" t="s">
        <v>2876</v>
      </c>
      <c r="I1840">
        <v>661</v>
      </c>
    </row>
    <row r="1841" spans="1:9" x14ac:dyDescent="0.25">
      <c r="A1841" t="s">
        <v>9616</v>
      </c>
      <c r="C1841" t="s">
        <v>9617</v>
      </c>
      <c r="D1841" t="str">
        <f>"76682"</f>
        <v>76682</v>
      </c>
      <c r="E1841" t="s">
        <v>10525</v>
      </c>
      <c r="F1841" s="1">
        <v>44554</v>
      </c>
      <c r="G1841" t="str">
        <f>"300043"</f>
        <v>300043</v>
      </c>
      <c r="H1841" t="s">
        <v>2876</v>
      </c>
      <c r="I1841">
        <v>785</v>
      </c>
    </row>
    <row r="1842" spans="1:9" x14ac:dyDescent="0.25">
      <c r="A1842" t="s">
        <v>9616</v>
      </c>
      <c r="C1842" t="s">
        <v>9617</v>
      </c>
      <c r="D1842" t="s">
        <v>10526</v>
      </c>
      <c r="E1842" t="s">
        <v>9249</v>
      </c>
      <c r="F1842" s="1">
        <v>44554</v>
      </c>
      <c r="G1842" t="str">
        <f>"300092"</f>
        <v>300092</v>
      </c>
      <c r="H1842" t="s">
        <v>2160</v>
      </c>
      <c r="I1842">
        <v>22671</v>
      </c>
    </row>
    <row r="1843" spans="1:9" x14ac:dyDescent="0.25">
      <c r="A1843" t="s">
        <v>9616</v>
      </c>
      <c r="C1843" t="s">
        <v>9617</v>
      </c>
      <c r="D1843" t="str">
        <f>"634421"</f>
        <v>634421</v>
      </c>
      <c r="E1843" t="s">
        <v>10525</v>
      </c>
      <c r="F1843" s="1">
        <v>44554</v>
      </c>
      <c r="G1843" t="str">
        <f>"300101"</f>
        <v>300101</v>
      </c>
      <c r="H1843" t="s">
        <v>2926</v>
      </c>
      <c r="I1843">
        <v>3264.37</v>
      </c>
    </row>
    <row r="1844" spans="1:9" x14ac:dyDescent="0.25">
      <c r="A1844" t="s">
        <v>9616</v>
      </c>
      <c r="C1844" t="s">
        <v>9617</v>
      </c>
      <c r="D1844" t="str">
        <f>"634521"</f>
        <v>634521</v>
      </c>
      <c r="E1844" t="s">
        <v>10524</v>
      </c>
      <c r="F1844" s="1">
        <v>44554</v>
      </c>
      <c r="G1844" t="str">
        <f>"300101"</f>
        <v>300101</v>
      </c>
      <c r="H1844" t="s">
        <v>2926</v>
      </c>
      <c r="I1844">
        <v>3264.29</v>
      </c>
    </row>
    <row r="1845" spans="1:9" x14ac:dyDescent="0.25">
      <c r="A1845" t="s">
        <v>9616</v>
      </c>
      <c r="C1845" t="s">
        <v>9617</v>
      </c>
      <c r="D1845" t="s">
        <v>10527</v>
      </c>
      <c r="E1845" t="s">
        <v>10374</v>
      </c>
      <c r="F1845" s="1">
        <v>44554</v>
      </c>
      <c r="G1845" t="str">
        <f>"300133"</f>
        <v>300133</v>
      </c>
      <c r="H1845" t="s">
        <v>2955</v>
      </c>
      <c r="I1845">
        <v>47073</v>
      </c>
    </row>
    <row r="1846" spans="1:9" x14ac:dyDescent="0.25">
      <c r="A1846" t="s">
        <v>9616</v>
      </c>
      <c r="C1846" t="s">
        <v>9617</v>
      </c>
      <c r="D1846" t="str">
        <f>"76841"</f>
        <v>76841</v>
      </c>
      <c r="E1846" t="s">
        <v>10523</v>
      </c>
      <c r="F1846" s="1">
        <v>44557</v>
      </c>
      <c r="G1846" t="str">
        <f>"300043"</f>
        <v>300043</v>
      </c>
      <c r="H1846" t="s">
        <v>2876</v>
      </c>
      <c r="I1846">
        <v>3535</v>
      </c>
    </row>
    <row r="1847" spans="1:9" x14ac:dyDescent="0.25">
      <c r="A1847" t="s">
        <v>9616</v>
      </c>
      <c r="C1847" t="s">
        <v>9617</v>
      </c>
      <c r="D1847" t="str">
        <f>"202110323"</f>
        <v>202110323</v>
      </c>
      <c r="E1847" t="s">
        <v>10518</v>
      </c>
      <c r="F1847" s="1">
        <v>44558</v>
      </c>
      <c r="G1847" t="str">
        <f>"300191"</f>
        <v>300191</v>
      </c>
      <c r="H1847" t="s">
        <v>3008</v>
      </c>
      <c r="I1847">
        <v>3267.21</v>
      </c>
    </row>
    <row r="1848" spans="1:9" x14ac:dyDescent="0.25">
      <c r="A1848" t="s">
        <v>9616</v>
      </c>
      <c r="C1848" t="s">
        <v>9617</v>
      </c>
      <c r="D1848" t="str">
        <f>"202110325"</f>
        <v>202110325</v>
      </c>
      <c r="E1848" t="s">
        <v>10519</v>
      </c>
      <c r="F1848" s="1">
        <v>44558</v>
      </c>
      <c r="G1848" t="str">
        <f>"300191"</f>
        <v>300191</v>
      </c>
      <c r="H1848" t="s">
        <v>3008</v>
      </c>
      <c r="I1848">
        <v>3398.07</v>
      </c>
    </row>
    <row r="1849" spans="1:9" x14ac:dyDescent="0.25">
      <c r="A1849" t="s">
        <v>9616</v>
      </c>
      <c r="C1849" t="s">
        <v>9617</v>
      </c>
      <c r="D1849" t="str">
        <f>"202110328"</f>
        <v>202110328</v>
      </c>
      <c r="E1849" t="s">
        <v>10521</v>
      </c>
      <c r="F1849" s="1">
        <v>44558</v>
      </c>
      <c r="G1849" t="str">
        <f>"300191"</f>
        <v>300191</v>
      </c>
      <c r="H1849" t="s">
        <v>3008</v>
      </c>
      <c r="I1849">
        <v>3114.6</v>
      </c>
    </row>
    <row r="1850" spans="1:9" x14ac:dyDescent="0.25">
      <c r="A1850" t="s">
        <v>9616</v>
      </c>
      <c r="C1850" t="s">
        <v>9617</v>
      </c>
      <c r="D1850" t="str">
        <f>"202110428"</f>
        <v>202110428</v>
      </c>
      <c r="E1850" t="s">
        <v>10523</v>
      </c>
      <c r="F1850" s="1">
        <v>44560</v>
      </c>
      <c r="G1850" t="str">
        <f>"300191"</f>
        <v>300191</v>
      </c>
      <c r="H1850" t="s">
        <v>3008</v>
      </c>
      <c r="I1850">
        <v>3269.03</v>
      </c>
    </row>
    <row r="1851" spans="1:9" x14ac:dyDescent="0.25">
      <c r="A1851" t="s">
        <v>9616</v>
      </c>
      <c r="C1851" t="s">
        <v>9617</v>
      </c>
      <c r="D1851" t="str">
        <f>"20013048"</f>
        <v>20013048</v>
      </c>
      <c r="E1851" t="s">
        <v>10528</v>
      </c>
      <c r="F1851" s="1">
        <v>44564</v>
      </c>
      <c r="G1851" t="str">
        <f>"300115"</f>
        <v>300115</v>
      </c>
      <c r="H1851" t="s">
        <v>2938</v>
      </c>
      <c r="I1851">
        <v>1187084.03</v>
      </c>
    </row>
    <row r="1852" spans="1:9" x14ac:dyDescent="0.25">
      <c r="A1852" t="s">
        <v>9616</v>
      </c>
      <c r="C1852" t="s">
        <v>9617</v>
      </c>
      <c r="D1852" t="s">
        <v>10529</v>
      </c>
      <c r="E1852" t="s">
        <v>9858</v>
      </c>
      <c r="F1852" s="1">
        <v>44565</v>
      </c>
      <c r="G1852" t="str">
        <f>"300092"</f>
        <v>300092</v>
      </c>
      <c r="H1852" t="s">
        <v>2160</v>
      </c>
      <c r="I1852">
        <v>56295</v>
      </c>
    </row>
    <row r="1853" spans="1:9" x14ac:dyDescent="0.25">
      <c r="A1853" t="s">
        <v>9616</v>
      </c>
      <c r="C1853" t="s">
        <v>9617</v>
      </c>
      <c r="D1853" t="str">
        <f>"10137293"</f>
        <v>10137293</v>
      </c>
      <c r="E1853" t="s">
        <v>10530</v>
      </c>
      <c r="F1853" s="1">
        <v>44565</v>
      </c>
      <c r="G1853" t="str">
        <f>"300115"</f>
        <v>300115</v>
      </c>
      <c r="H1853" t="s">
        <v>2938</v>
      </c>
      <c r="I1853">
        <v>293077.39559999999</v>
      </c>
    </row>
    <row r="1854" spans="1:9" x14ac:dyDescent="0.25">
      <c r="A1854" t="s">
        <v>9616</v>
      </c>
      <c r="C1854" t="s">
        <v>9617</v>
      </c>
      <c r="D1854" t="s">
        <v>10531</v>
      </c>
      <c r="E1854" t="s">
        <v>10532</v>
      </c>
      <c r="F1854" s="1">
        <v>44565</v>
      </c>
      <c r="G1854" t="str">
        <f>"300321"</f>
        <v>300321</v>
      </c>
      <c r="H1854" t="s">
        <v>2706</v>
      </c>
      <c r="I1854">
        <v>13500</v>
      </c>
    </row>
    <row r="1855" spans="1:9" x14ac:dyDescent="0.25">
      <c r="A1855" t="s">
        <v>9616</v>
      </c>
      <c r="C1855" t="s">
        <v>9617</v>
      </c>
      <c r="D1855" t="str">
        <f>"662"</f>
        <v>662</v>
      </c>
      <c r="E1855" t="s">
        <v>10532</v>
      </c>
      <c r="F1855" s="1">
        <v>44566</v>
      </c>
      <c r="G1855" t="str">
        <f>"300043"</f>
        <v>300043</v>
      </c>
      <c r="H1855" t="s">
        <v>2876</v>
      </c>
      <c r="I1855">
        <v>1121</v>
      </c>
    </row>
    <row r="1856" spans="1:9" x14ac:dyDescent="0.25">
      <c r="A1856" t="s">
        <v>9616</v>
      </c>
      <c r="C1856" t="s">
        <v>9617</v>
      </c>
      <c r="D1856" t="str">
        <f>"10137327"</f>
        <v>10137327</v>
      </c>
      <c r="E1856" t="s">
        <v>2172</v>
      </c>
      <c r="F1856" s="1">
        <v>44571</v>
      </c>
      <c r="G1856" t="str">
        <f>"300115"</f>
        <v>300115</v>
      </c>
      <c r="H1856" t="s">
        <v>2938</v>
      </c>
      <c r="I1856">
        <v>284560.32329999999</v>
      </c>
    </row>
    <row r="1857" spans="1:9" x14ac:dyDescent="0.25">
      <c r="A1857" t="s">
        <v>9616</v>
      </c>
      <c r="C1857" t="s">
        <v>9617</v>
      </c>
      <c r="D1857" t="str">
        <f>"10137332"</f>
        <v>10137332</v>
      </c>
      <c r="E1857" t="s">
        <v>2566</v>
      </c>
      <c r="F1857" s="1">
        <v>44571</v>
      </c>
      <c r="G1857" t="str">
        <f>"300115"</f>
        <v>300115</v>
      </c>
      <c r="H1857" t="s">
        <v>2938</v>
      </c>
      <c r="I1857">
        <v>162282.91200000001</v>
      </c>
    </row>
    <row r="1858" spans="1:9" x14ac:dyDescent="0.25">
      <c r="A1858" t="s">
        <v>9616</v>
      </c>
      <c r="C1858" t="s">
        <v>9617</v>
      </c>
      <c r="D1858" t="s">
        <v>10533</v>
      </c>
      <c r="E1858" t="s">
        <v>10534</v>
      </c>
      <c r="F1858" s="1">
        <v>44571</v>
      </c>
      <c r="G1858" t="str">
        <f>"300321"</f>
        <v>300321</v>
      </c>
      <c r="H1858" t="s">
        <v>2706</v>
      </c>
      <c r="I1858">
        <v>13500</v>
      </c>
    </row>
    <row r="1859" spans="1:9" x14ac:dyDescent="0.25">
      <c r="A1859" t="s">
        <v>9616</v>
      </c>
      <c r="C1859" t="s">
        <v>9617</v>
      </c>
      <c r="D1859" t="str">
        <f>"1814"</f>
        <v>1814</v>
      </c>
      <c r="E1859" t="s">
        <v>10534</v>
      </c>
      <c r="F1859" s="1">
        <v>44573</v>
      </c>
      <c r="G1859" t="str">
        <f>"300043"</f>
        <v>300043</v>
      </c>
      <c r="H1859" t="s">
        <v>2876</v>
      </c>
      <c r="I1859">
        <v>1101</v>
      </c>
    </row>
    <row r="1860" spans="1:9" x14ac:dyDescent="0.25">
      <c r="A1860" t="s">
        <v>9616</v>
      </c>
      <c r="C1860" t="s">
        <v>9617</v>
      </c>
      <c r="D1860" t="str">
        <f>"2022000155"</f>
        <v>2022000155</v>
      </c>
      <c r="E1860" t="s">
        <v>10532</v>
      </c>
      <c r="F1860" s="1">
        <v>44573</v>
      </c>
      <c r="G1860" t="str">
        <f>"300191"</f>
        <v>300191</v>
      </c>
      <c r="H1860" t="s">
        <v>3008</v>
      </c>
      <c r="I1860">
        <v>3110.73</v>
      </c>
    </row>
    <row r="1861" spans="1:9" x14ac:dyDescent="0.25">
      <c r="A1861" t="s">
        <v>9616</v>
      </c>
      <c r="C1861" t="s">
        <v>9617</v>
      </c>
      <c r="D1861" t="s">
        <v>10535</v>
      </c>
      <c r="E1861" t="s">
        <v>9858</v>
      </c>
      <c r="F1861" s="1">
        <v>44574</v>
      </c>
      <c r="G1861" t="str">
        <f>"300092"</f>
        <v>300092</v>
      </c>
      <c r="H1861" t="s">
        <v>2160</v>
      </c>
      <c r="I1861">
        <v>39508</v>
      </c>
    </row>
    <row r="1862" spans="1:9" x14ac:dyDescent="0.25">
      <c r="A1862" t="s">
        <v>9616</v>
      </c>
      <c r="C1862" t="s">
        <v>9617</v>
      </c>
      <c r="D1862" t="str">
        <f>"10137436"</f>
        <v>10137436</v>
      </c>
      <c r="E1862" t="s">
        <v>10536</v>
      </c>
      <c r="F1862" s="1">
        <v>44575</v>
      </c>
      <c r="G1862" t="str">
        <f>"300115"</f>
        <v>300115</v>
      </c>
      <c r="H1862" t="s">
        <v>2938</v>
      </c>
      <c r="I1862">
        <v>270565.54800000001</v>
      </c>
    </row>
    <row r="1863" spans="1:9" x14ac:dyDescent="0.25">
      <c r="A1863" t="s">
        <v>9616</v>
      </c>
      <c r="C1863" t="s">
        <v>9617</v>
      </c>
      <c r="D1863" t="s">
        <v>10537</v>
      </c>
      <c r="E1863" t="s">
        <v>10538</v>
      </c>
      <c r="F1863" s="1">
        <v>44575</v>
      </c>
      <c r="G1863" t="str">
        <f>"300321"</f>
        <v>300321</v>
      </c>
      <c r="H1863" t="s">
        <v>2706</v>
      </c>
      <c r="I1863">
        <v>13500</v>
      </c>
    </row>
    <row r="1864" spans="1:9" x14ac:dyDescent="0.25">
      <c r="A1864" t="s">
        <v>9616</v>
      </c>
      <c r="C1864" t="s">
        <v>9617</v>
      </c>
      <c r="D1864" t="str">
        <f>"3180"</f>
        <v>3180</v>
      </c>
      <c r="E1864" s="4">
        <v>44562</v>
      </c>
      <c r="F1864" s="1">
        <v>44578</v>
      </c>
      <c r="G1864" t="str">
        <f>"300043"</f>
        <v>300043</v>
      </c>
      <c r="H1864" t="s">
        <v>2876</v>
      </c>
      <c r="I1864">
        <v>683</v>
      </c>
    </row>
    <row r="1865" spans="1:9" x14ac:dyDescent="0.25">
      <c r="A1865" t="s">
        <v>9616</v>
      </c>
      <c r="C1865" t="s">
        <v>9617</v>
      </c>
      <c r="D1865" t="str">
        <f>"041122"</f>
        <v>041122</v>
      </c>
      <c r="E1865" s="4">
        <v>44562</v>
      </c>
      <c r="F1865" s="1">
        <v>44578</v>
      </c>
      <c r="G1865" t="str">
        <f>"300101"</f>
        <v>300101</v>
      </c>
      <c r="H1865" t="s">
        <v>2926</v>
      </c>
      <c r="I1865">
        <v>3432.04</v>
      </c>
    </row>
    <row r="1866" spans="1:9" x14ac:dyDescent="0.25">
      <c r="A1866" t="s">
        <v>9616</v>
      </c>
      <c r="C1866" t="s">
        <v>9617</v>
      </c>
      <c r="D1866" t="str">
        <f>"3494"</f>
        <v>3494</v>
      </c>
      <c r="E1866" t="s">
        <v>10538</v>
      </c>
      <c r="F1866" s="1">
        <v>44579</v>
      </c>
      <c r="G1866" t="str">
        <f>"300043"</f>
        <v>300043</v>
      </c>
      <c r="H1866" t="s">
        <v>2876</v>
      </c>
      <c r="I1866">
        <v>1061</v>
      </c>
    </row>
    <row r="1867" spans="1:9" x14ac:dyDescent="0.25">
      <c r="A1867" t="s">
        <v>9616</v>
      </c>
      <c r="C1867" t="s">
        <v>9617</v>
      </c>
      <c r="D1867" t="str">
        <f>"100043629"</f>
        <v>100043629</v>
      </c>
      <c r="E1867" t="s">
        <v>9191</v>
      </c>
      <c r="F1867" s="1">
        <v>44580</v>
      </c>
      <c r="G1867" t="str">
        <f>"300226"</f>
        <v>300226</v>
      </c>
      <c r="H1867" t="s">
        <v>3025</v>
      </c>
      <c r="I1867">
        <v>371992.3</v>
      </c>
    </row>
    <row r="1868" spans="1:9" x14ac:dyDescent="0.25">
      <c r="A1868" t="s">
        <v>9616</v>
      </c>
      <c r="C1868" t="s">
        <v>9617</v>
      </c>
      <c r="D1868" t="str">
        <f>"2022000330"</f>
        <v>2022000330</v>
      </c>
      <c r="E1868" t="s">
        <v>10534</v>
      </c>
      <c r="F1868" s="1">
        <v>44581</v>
      </c>
      <c r="G1868" t="str">
        <f>"300191"</f>
        <v>300191</v>
      </c>
      <c r="H1868" t="s">
        <v>3008</v>
      </c>
      <c r="I1868">
        <v>3119.7</v>
      </c>
    </row>
    <row r="1869" spans="1:9" x14ac:dyDescent="0.25">
      <c r="A1869" t="s">
        <v>9616</v>
      </c>
      <c r="C1869" t="s">
        <v>9617</v>
      </c>
      <c r="D1869" t="str">
        <f>"2022000332"</f>
        <v>2022000332</v>
      </c>
      <c r="E1869" t="s">
        <v>10538</v>
      </c>
      <c r="F1869" s="1">
        <v>44581</v>
      </c>
      <c r="G1869" t="str">
        <f>"300191"</f>
        <v>300191</v>
      </c>
      <c r="H1869" t="s">
        <v>3008</v>
      </c>
      <c r="I1869">
        <v>3279.73</v>
      </c>
    </row>
    <row r="1870" spans="1:9" x14ac:dyDescent="0.25">
      <c r="A1870" t="s">
        <v>9616</v>
      </c>
      <c r="C1870" t="s">
        <v>9617</v>
      </c>
      <c r="D1870" t="str">
        <f>"122310022"</f>
        <v>122310022</v>
      </c>
      <c r="E1870" t="s">
        <v>10486</v>
      </c>
      <c r="F1870" s="1">
        <v>44582</v>
      </c>
      <c r="G1870" t="str">
        <f>"300080"</f>
        <v>300080</v>
      </c>
      <c r="H1870" t="s">
        <v>2907</v>
      </c>
      <c r="I1870">
        <v>124110</v>
      </c>
    </row>
    <row r="1871" spans="1:9" x14ac:dyDescent="0.25">
      <c r="A1871" t="s">
        <v>9616</v>
      </c>
      <c r="C1871" t="s">
        <v>9617</v>
      </c>
      <c r="D1871" t="str">
        <f>"122310026"</f>
        <v>122310026</v>
      </c>
      <c r="E1871" t="s">
        <v>10486</v>
      </c>
      <c r="F1871" s="1">
        <v>44586</v>
      </c>
      <c r="G1871" t="str">
        <f>"300080"</f>
        <v>300080</v>
      </c>
      <c r="H1871" t="s">
        <v>2907</v>
      </c>
      <c r="I1871">
        <v>38976</v>
      </c>
    </row>
    <row r="1872" spans="1:9" x14ac:dyDescent="0.25">
      <c r="A1872" t="s">
        <v>9616</v>
      </c>
      <c r="C1872" t="s">
        <v>9617</v>
      </c>
      <c r="D1872" t="str">
        <f>"10137662"</f>
        <v>10137662</v>
      </c>
      <c r="E1872" t="s">
        <v>9189</v>
      </c>
      <c r="F1872" s="1">
        <v>44586</v>
      </c>
      <c r="G1872" t="str">
        <f>"300115"</f>
        <v>300115</v>
      </c>
      <c r="H1872" t="s">
        <v>2938</v>
      </c>
      <c r="I1872">
        <v>232061.1557</v>
      </c>
    </row>
    <row r="1873" spans="1:9" x14ac:dyDescent="0.25">
      <c r="A1873" t="s">
        <v>9616</v>
      </c>
      <c r="C1873" t="s">
        <v>9617</v>
      </c>
      <c r="D1873" t="str">
        <f>"10137684"</f>
        <v>10137684</v>
      </c>
      <c r="E1873" t="s">
        <v>2599</v>
      </c>
      <c r="F1873" s="1">
        <v>44587</v>
      </c>
      <c r="G1873" t="str">
        <f>"300115"</f>
        <v>300115</v>
      </c>
      <c r="H1873" t="s">
        <v>2938</v>
      </c>
      <c r="I1873">
        <v>270565.54800000001</v>
      </c>
    </row>
    <row r="1874" spans="1:9" x14ac:dyDescent="0.25">
      <c r="A1874" t="s">
        <v>9616</v>
      </c>
      <c r="C1874" t="s">
        <v>9617</v>
      </c>
      <c r="D1874" t="s">
        <v>10539</v>
      </c>
      <c r="E1874" t="s">
        <v>10540</v>
      </c>
      <c r="F1874" s="1">
        <v>44587</v>
      </c>
      <c r="G1874" t="str">
        <f>"300321"</f>
        <v>300321</v>
      </c>
      <c r="H1874" t="s">
        <v>2706</v>
      </c>
      <c r="I1874">
        <v>12000</v>
      </c>
    </row>
    <row r="1875" spans="1:9" x14ac:dyDescent="0.25">
      <c r="A1875" t="s">
        <v>9616</v>
      </c>
      <c r="C1875" t="s">
        <v>9617</v>
      </c>
      <c r="D1875" t="str">
        <f>"8591"</f>
        <v>8591</v>
      </c>
      <c r="E1875" s="4">
        <v>44593</v>
      </c>
      <c r="F1875" s="1">
        <v>44588</v>
      </c>
      <c r="G1875" t="str">
        <f>"300043"</f>
        <v>300043</v>
      </c>
      <c r="H1875" t="s">
        <v>2876</v>
      </c>
      <c r="I1875">
        <v>906</v>
      </c>
    </row>
    <row r="1876" spans="1:9" x14ac:dyDescent="0.25">
      <c r="A1876" t="s">
        <v>9616</v>
      </c>
      <c r="C1876" t="s">
        <v>9617</v>
      </c>
      <c r="D1876" t="str">
        <f>"041222"</f>
        <v>041222</v>
      </c>
      <c r="E1876" s="4">
        <v>44593</v>
      </c>
      <c r="F1876" s="1">
        <v>44588</v>
      </c>
      <c r="G1876" t="str">
        <f>"300101"</f>
        <v>300101</v>
      </c>
      <c r="H1876" t="s">
        <v>2926</v>
      </c>
      <c r="I1876">
        <v>3270.71</v>
      </c>
    </row>
    <row r="1877" spans="1:9" x14ac:dyDescent="0.25">
      <c r="A1877" t="s">
        <v>9616</v>
      </c>
      <c r="C1877" t="s">
        <v>9617</v>
      </c>
      <c r="D1877" t="str">
        <f>"6105"</f>
        <v>6105</v>
      </c>
      <c r="E1877" t="s">
        <v>10540</v>
      </c>
      <c r="F1877" s="1">
        <v>44589</v>
      </c>
      <c r="G1877" t="str">
        <f>"300043"</f>
        <v>300043</v>
      </c>
      <c r="H1877" t="s">
        <v>2876</v>
      </c>
      <c r="I1877">
        <v>1053</v>
      </c>
    </row>
    <row r="1878" spans="1:9" x14ac:dyDescent="0.25">
      <c r="A1878" t="s">
        <v>9616</v>
      </c>
      <c r="C1878" t="s">
        <v>9617</v>
      </c>
      <c r="D1878" t="str">
        <f>"10137712"</f>
        <v>10137712</v>
      </c>
      <c r="E1878" t="s">
        <v>9189</v>
      </c>
      <c r="F1878" s="1">
        <v>44589</v>
      </c>
      <c r="G1878" t="str">
        <f>"300115"</f>
        <v>300115</v>
      </c>
      <c r="H1878" t="s">
        <v>2938</v>
      </c>
      <c r="I1878">
        <v>270565.54800000001</v>
      </c>
    </row>
    <row r="1879" spans="1:9" x14ac:dyDescent="0.25">
      <c r="A1879" t="s">
        <v>9616</v>
      </c>
      <c r="C1879" t="s">
        <v>9617</v>
      </c>
      <c r="D1879" t="s">
        <v>10541</v>
      </c>
      <c r="E1879" t="s">
        <v>9921</v>
      </c>
      <c r="F1879" s="1">
        <v>44589</v>
      </c>
      <c r="G1879" t="str">
        <f>"300133"</f>
        <v>300133</v>
      </c>
      <c r="H1879" t="s">
        <v>2955</v>
      </c>
      <c r="I1879">
        <v>9360</v>
      </c>
    </row>
    <row r="1880" spans="1:9" x14ac:dyDescent="0.25">
      <c r="A1880" t="s">
        <v>9616</v>
      </c>
      <c r="C1880" t="s">
        <v>9617</v>
      </c>
      <c r="D1880" t="s">
        <v>10542</v>
      </c>
      <c r="E1880" t="s">
        <v>9565</v>
      </c>
      <c r="F1880" s="1">
        <v>44589</v>
      </c>
      <c r="G1880" t="str">
        <f>"300133"</f>
        <v>300133</v>
      </c>
      <c r="H1880" t="s">
        <v>2955</v>
      </c>
      <c r="I1880">
        <v>41342.400000000001</v>
      </c>
    </row>
    <row r="1881" spans="1:9" x14ac:dyDescent="0.25">
      <c r="A1881" t="s">
        <v>9616</v>
      </c>
      <c r="C1881" t="s">
        <v>9617</v>
      </c>
      <c r="D1881" t="s">
        <v>10543</v>
      </c>
      <c r="E1881" t="s">
        <v>10544</v>
      </c>
      <c r="F1881" s="1">
        <v>44589</v>
      </c>
      <c r="G1881" t="str">
        <f>"300321"</f>
        <v>300321</v>
      </c>
      <c r="H1881" t="s">
        <v>2706</v>
      </c>
      <c r="I1881">
        <v>15500</v>
      </c>
    </row>
    <row r="1882" spans="1:9" x14ac:dyDescent="0.25">
      <c r="A1882" t="s">
        <v>9616</v>
      </c>
      <c r="C1882" t="s">
        <v>9617</v>
      </c>
      <c r="D1882" t="str">
        <f>"10137759"</f>
        <v>10137759</v>
      </c>
      <c r="E1882" t="s">
        <v>2172</v>
      </c>
      <c r="F1882" s="1">
        <v>44592</v>
      </c>
      <c r="G1882" t="str">
        <f>"300115"</f>
        <v>300115</v>
      </c>
      <c r="H1882" t="s">
        <v>2938</v>
      </c>
      <c r="I1882">
        <v>193968.06880000001</v>
      </c>
    </row>
    <row r="1883" spans="1:9" x14ac:dyDescent="0.25">
      <c r="A1883" t="s">
        <v>9616</v>
      </c>
      <c r="C1883" t="s">
        <v>9617</v>
      </c>
      <c r="D1883" t="str">
        <f>"10137766"</f>
        <v>10137766</v>
      </c>
      <c r="E1883" t="s">
        <v>9189</v>
      </c>
      <c r="F1883" s="1">
        <v>44592</v>
      </c>
      <c r="G1883" t="str">
        <f>"300115"</f>
        <v>300115</v>
      </c>
      <c r="H1883" t="s">
        <v>2938</v>
      </c>
      <c r="I1883">
        <v>270565.54800000001</v>
      </c>
    </row>
    <row r="1884" spans="1:9" x14ac:dyDescent="0.25">
      <c r="A1884" t="s">
        <v>9616</v>
      </c>
      <c r="C1884" t="s">
        <v>9617</v>
      </c>
      <c r="D1884" t="str">
        <f>"2022000690"</f>
        <v>2022000690</v>
      </c>
      <c r="E1884" t="s">
        <v>10540</v>
      </c>
      <c r="F1884" s="1">
        <v>44592</v>
      </c>
      <c r="G1884" t="str">
        <f>"300191"</f>
        <v>300191</v>
      </c>
      <c r="H1884" t="s">
        <v>3008</v>
      </c>
      <c r="I1884">
        <v>3118.91</v>
      </c>
    </row>
    <row r="1885" spans="1:9" x14ac:dyDescent="0.25">
      <c r="A1885" t="s">
        <v>9616</v>
      </c>
      <c r="C1885" t="s">
        <v>9617</v>
      </c>
      <c r="D1885" t="str">
        <f>"399504"</f>
        <v>399504</v>
      </c>
      <c r="E1885" t="s">
        <v>9189</v>
      </c>
      <c r="F1885" s="1">
        <v>44592</v>
      </c>
      <c r="G1885" t="str">
        <f>"300220"</f>
        <v>300220</v>
      </c>
      <c r="H1885" t="s">
        <v>2170</v>
      </c>
      <c r="I1885">
        <v>1164893.1359999999</v>
      </c>
    </row>
    <row r="1886" spans="1:9" x14ac:dyDescent="0.25">
      <c r="A1886" t="s">
        <v>9616</v>
      </c>
      <c r="C1886" t="s">
        <v>9617</v>
      </c>
      <c r="D1886" t="s">
        <v>10545</v>
      </c>
      <c r="E1886" t="s">
        <v>10546</v>
      </c>
      <c r="F1886" s="1">
        <v>44592</v>
      </c>
      <c r="G1886" t="str">
        <f>"300321"</f>
        <v>300321</v>
      </c>
      <c r="H1886" t="s">
        <v>2706</v>
      </c>
      <c r="I1886">
        <v>15500</v>
      </c>
    </row>
    <row r="1887" spans="1:9" x14ac:dyDescent="0.25">
      <c r="A1887" t="s">
        <v>9616</v>
      </c>
      <c r="C1887" t="s">
        <v>9617</v>
      </c>
      <c r="D1887" t="s">
        <v>10547</v>
      </c>
      <c r="E1887" t="s">
        <v>10548</v>
      </c>
      <c r="F1887" s="1">
        <v>44592</v>
      </c>
      <c r="G1887" t="str">
        <f>"300321"</f>
        <v>300321</v>
      </c>
      <c r="H1887" t="s">
        <v>2706</v>
      </c>
      <c r="I1887">
        <v>48000</v>
      </c>
    </row>
    <row r="1888" spans="1:9" x14ac:dyDescent="0.25">
      <c r="A1888" t="s">
        <v>9616</v>
      </c>
      <c r="C1888" t="s">
        <v>9617</v>
      </c>
      <c r="D1888" t="str">
        <f>"7067"</f>
        <v>7067</v>
      </c>
      <c r="E1888" t="s">
        <v>10544</v>
      </c>
      <c r="F1888" s="1">
        <v>44593</v>
      </c>
      <c r="G1888" t="str">
        <f>"300043"</f>
        <v>300043</v>
      </c>
      <c r="H1888" t="s">
        <v>2876</v>
      </c>
      <c r="I1888">
        <v>1063</v>
      </c>
    </row>
    <row r="1889" spans="1:9" x14ac:dyDescent="0.25">
      <c r="A1889" t="s">
        <v>9616</v>
      </c>
      <c r="C1889" t="s">
        <v>9617</v>
      </c>
      <c r="D1889" t="str">
        <f>"7233"</f>
        <v>7233</v>
      </c>
      <c r="E1889" t="s">
        <v>10546</v>
      </c>
      <c r="F1889" s="1">
        <v>44594</v>
      </c>
      <c r="G1889" t="str">
        <f>"300043"</f>
        <v>300043</v>
      </c>
      <c r="H1889" t="s">
        <v>2876</v>
      </c>
      <c r="I1889">
        <v>1064</v>
      </c>
    </row>
    <row r="1890" spans="1:9" x14ac:dyDescent="0.25">
      <c r="A1890" t="s">
        <v>9616</v>
      </c>
      <c r="C1890" t="s">
        <v>9617</v>
      </c>
      <c r="D1890" t="str">
        <f>"7463"</f>
        <v>7463</v>
      </c>
      <c r="E1890" s="4">
        <v>44621</v>
      </c>
      <c r="F1890" s="1">
        <v>44594</v>
      </c>
      <c r="G1890" t="str">
        <f>"300043"</f>
        <v>300043</v>
      </c>
      <c r="H1890" t="s">
        <v>2876</v>
      </c>
      <c r="I1890">
        <v>788</v>
      </c>
    </row>
    <row r="1891" spans="1:9" x14ac:dyDescent="0.25">
      <c r="A1891" t="s">
        <v>9616</v>
      </c>
      <c r="C1891" t="s">
        <v>9617</v>
      </c>
      <c r="D1891" t="str">
        <f>"056722"</f>
        <v>056722</v>
      </c>
      <c r="E1891" s="4">
        <v>44621</v>
      </c>
      <c r="F1891" s="1">
        <v>44594</v>
      </c>
      <c r="G1891" t="str">
        <f>"300101"</f>
        <v>300101</v>
      </c>
      <c r="H1891" t="s">
        <v>2926</v>
      </c>
      <c r="I1891">
        <v>3128.97</v>
      </c>
    </row>
    <row r="1892" spans="1:9" x14ac:dyDescent="0.25">
      <c r="A1892" t="s">
        <v>9616</v>
      </c>
      <c r="C1892" t="s">
        <v>9617</v>
      </c>
      <c r="D1892" t="str">
        <f>"10137882"</f>
        <v>10137882</v>
      </c>
      <c r="E1892" t="s">
        <v>9191</v>
      </c>
      <c r="F1892" s="1">
        <v>44594</v>
      </c>
      <c r="G1892" t="str">
        <f>"300115"</f>
        <v>300115</v>
      </c>
      <c r="H1892" t="s">
        <v>2938</v>
      </c>
      <c r="I1892">
        <v>193807.2488</v>
      </c>
    </row>
    <row r="1893" spans="1:9" x14ac:dyDescent="0.25">
      <c r="A1893" t="s">
        <v>9616</v>
      </c>
      <c r="C1893" t="s">
        <v>9617</v>
      </c>
      <c r="D1893" t="s">
        <v>10549</v>
      </c>
      <c r="E1893" t="s">
        <v>10550</v>
      </c>
      <c r="F1893" s="1">
        <v>44594</v>
      </c>
      <c r="G1893" t="str">
        <f>"300133"</f>
        <v>300133</v>
      </c>
      <c r="H1893" t="s">
        <v>2955</v>
      </c>
      <c r="I1893">
        <v>6864</v>
      </c>
    </row>
    <row r="1894" spans="1:9" x14ac:dyDescent="0.25">
      <c r="A1894" t="s">
        <v>9616</v>
      </c>
      <c r="C1894" t="s">
        <v>9617</v>
      </c>
      <c r="D1894" t="str">
        <f>"400016"</f>
        <v>400016</v>
      </c>
      <c r="E1894" t="s">
        <v>9293</v>
      </c>
      <c r="F1894" s="1">
        <v>44596</v>
      </c>
      <c r="G1894" t="str">
        <f>"300312"</f>
        <v>300312</v>
      </c>
      <c r="H1894" t="s">
        <v>3053</v>
      </c>
      <c r="I1894">
        <v>389664</v>
      </c>
    </row>
    <row r="1895" spans="1:9" x14ac:dyDescent="0.25">
      <c r="A1895" t="s">
        <v>9616</v>
      </c>
      <c r="C1895" t="s">
        <v>9617</v>
      </c>
      <c r="D1895" t="s">
        <v>10551</v>
      </c>
      <c r="E1895" t="s">
        <v>10552</v>
      </c>
      <c r="F1895" s="1">
        <v>44596</v>
      </c>
      <c r="G1895" t="str">
        <f>"300321"</f>
        <v>300321</v>
      </c>
      <c r="H1895" t="s">
        <v>2706</v>
      </c>
      <c r="I1895">
        <v>13500</v>
      </c>
    </row>
    <row r="1896" spans="1:9" x14ac:dyDescent="0.25">
      <c r="A1896" t="s">
        <v>9616</v>
      </c>
      <c r="C1896" t="s">
        <v>9617</v>
      </c>
      <c r="D1896" t="str">
        <f>"8029"</f>
        <v>8029</v>
      </c>
      <c r="E1896" t="s">
        <v>10548</v>
      </c>
      <c r="F1896" s="1">
        <v>44599</v>
      </c>
      <c r="G1896" t="str">
        <f>"300043"</f>
        <v>300043</v>
      </c>
      <c r="H1896" t="s">
        <v>2876</v>
      </c>
      <c r="I1896">
        <v>4052</v>
      </c>
    </row>
    <row r="1897" spans="1:9" x14ac:dyDescent="0.25">
      <c r="A1897" t="s">
        <v>9616</v>
      </c>
      <c r="C1897" t="s">
        <v>9617</v>
      </c>
      <c r="D1897" t="str">
        <f>"20499096"</f>
        <v>20499096</v>
      </c>
      <c r="E1897" t="s">
        <v>10548</v>
      </c>
      <c r="F1897" s="1">
        <v>44599</v>
      </c>
      <c r="G1897" t="str">
        <f>"300043"</f>
        <v>300043</v>
      </c>
      <c r="H1897" t="s">
        <v>2876</v>
      </c>
      <c r="I1897">
        <v>2303</v>
      </c>
    </row>
    <row r="1898" spans="1:9" x14ac:dyDescent="0.25">
      <c r="A1898" t="s">
        <v>9616</v>
      </c>
      <c r="C1898" t="s">
        <v>9617</v>
      </c>
      <c r="D1898" t="str">
        <f>"10137952"</f>
        <v>10137952</v>
      </c>
      <c r="E1898" t="s">
        <v>8852</v>
      </c>
      <c r="F1898" s="1">
        <v>44599</v>
      </c>
      <c r="G1898" t="str">
        <f>"300115"</f>
        <v>300115</v>
      </c>
      <c r="H1898" t="s">
        <v>2938</v>
      </c>
      <c r="I1898">
        <v>270565.54800000001</v>
      </c>
    </row>
    <row r="1899" spans="1:9" x14ac:dyDescent="0.25">
      <c r="A1899" t="s">
        <v>9616</v>
      </c>
      <c r="C1899" t="s">
        <v>9617</v>
      </c>
      <c r="D1899" t="str">
        <f>"10137957"</f>
        <v>10137957</v>
      </c>
      <c r="E1899" t="s">
        <v>9189</v>
      </c>
      <c r="F1899" s="1">
        <v>44599</v>
      </c>
      <c r="G1899" t="str">
        <f>"300115"</f>
        <v>300115</v>
      </c>
      <c r="H1899" t="s">
        <v>2938</v>
      </c>
      <c r="I1899">
        <v>270565.54800000001</v>
      </c>
    </row>
    <row r="1900" spans="1:9" x14ac:dyDescent="0.25">
      <c r="A1900" t="s">
        <v>9616</v>
      </c>
      <c r="C1900" t="s">
        <v>9617</v>
      </c>
      <c r="D1900" t="str">
        <f>"10137961"</f>
        <v>10137961</v>
      </c>
      <c r="E1900" t="s">
        <v>9189</v>
      </c>
      <c r="F1900" s="1">
        <v>44599</v>
      </c>
      <c r="G1900" t="str">
        <f>"300115"</f>
        <v>300115</v>
      </c>
      <c r="H1900" t="s">
        <v>2938</v>
      </c>
      <c r="I1900">
        <v>172950.62400000001</v>
      </c>
    </row>
    <row r="1901" spans="1:9" x14ac:dyDescent="0.25">
      <c r="A1901" t="s">
        <v>9616</v>
      </c>
      <c r="C1901" t="s">
        <v>9617</v>
      </c>
      <c r="D1901" t="str">
        <f>"2022000863"</f>
        <v>2022000863</v>
      </c>
      <c r="E1901" t="s">
        <v>10546</v>
      </c>
      <c r="F1901" s="1">
        <v>44599</v>
      </c>
      <c r="G1901" t="str">
        <f>"300191"</f>
        <v>300191</v>
      </c>
      <c r="H1901" t="s">
        <v>3008</v>
      </c>
      <c r="I1901">
        <v>3132.47</v>
      </c>
    </row>
    <row r="1902" spans="1:9" x14ac:dyDescent="0.25">
      <c r="A1902" t="s">
        <v>9616</v>
      </c>
      <c r="C1902" t="s">
        <v>9617</v>
      </c>
      <c r="D1902" t="str">
        <f>"2022000879"</f>
        <v>2022000879</v>
      </c>
      <c r="E1902" t="s">
        <v>10544</v>
      </c>
      <c r="F1902" s="1">
        <v>44599</v>
      </c>
      <c r="G1902" t="str">
        <f>"300191"</f>
        <v>300191</v>
      </c>
      <c r="H1902" t="s">
        <v>3008</v>
      </c>
      <c r="I1902">
        <v>3125.3</v>
      </c>
    </row>
    <row r="1903" spans="1:9" x14ac:dyDescent="0.25">
      <c r="A1903" t="s">
        <v>9616</v>
      </c>
      <c r="C1903" t="s">
        <v>9617</v>
      </c>
      <c r="D1903" t="s">
        <v>10553</v>
      </c>
      <c r="E1903" t="s">
        <v>10554</v>
      </c>
      <c r="F1903" s="1">
        <v>44599</v>
      </c>
      <c r="G1903" t="str">
        <f>"300321"</f>
        <v>300321</v>
      </c>
      <c r="H1903" t="s">
        <v>2706</v>
      </c>
      <c r="I1903">
        <v>15500</v>
      </c>
    </row>
    <row r="1904" spans="1:9" x14ac:dyDescent="0.25">
      <c r="A1904" t="s">
        <v>9616</v>
      </c>
      <c r="C1904" t="s">
        <v>9617</v>
      </c>
      <c r="D1904" t="s">
        <v>10555</v>
      </c>
      <c r="E1904" t="s">
        <v>10556</v>
      </c>
      <c r="F1904" s="1">
        <v>44599</v>
      </c>
      <c r="G1904" t="str">
        <f>"300321"</f>
        <v>300321</v>
      </c>
      <c r="H1904" t="s">
        <v>2706</v>
      </c>
      <c r="I1904">
        <v>13500</v>
      </c>
    </row>
    <row r="1905" spans="1:9" x14ac:dyDescent="0.25">
      <c r="A1905" t="s">
        <v>9616</v>
      </c>
      <c r="C1905" t="s">
        <v>9617</v>
      </c>
      <c r="D1905" t="str">
        <f>"8452"</f>
        <v>8452</v>
      </c>
      <c r="E1905" s="4">
        <v>44652</v>
      </c>
      <c r="F1905" s="1">
        <v>44600</v>
      </c>
      <c r="G1905" t="str">
        <f>"300043"</f>
        <v>300043</v>
      </c>
      <c r="H1905" t="s">
        <v>2876</v>
      </c>
      <c r="I1905">
        <v>792</v>
      </c>
    </row>
    <row r="1906" spans="1:9" x14ac:dyDescent="0.25">
      <c r="A1906" t="s">
        <v>9616</v>
      </c>
      <c r="C1906" t="s">
        <v>9617</v>
      </c>
      <c r="D1906" t="str">
        <f>"8920"</f>
        <v>8920</v>
      </c>
      <c r="E1906" t="s">
        <v>10556</v>
      </c>
      <c r="F1906" s="1">
        <v>44600</v>
      </c>
      <c r="G1906" t="str">
        <f>"300043"</f>
        <v>300043</v>
      </c>
      <c r="H1906" t="s">
        <v>2876</v>
      </c>
      <c r="I1906">
        <v>1068</v>
      </c>
    </row>
    <row r="1907" spans="1:9" x14ac:dyDescent="0.25">
      <c r="A1907" t="s">
        <v>9616</v>
      </c>
      <c r="C1907" t="s">
        <v>9617</v>
      </c>
      <c r="D1907" t="str">
        <f>"9031"</f>
        <v>9031</v>
      </c>
      <c r="E1907" t="s">
        <v>10554</v>
      </c>
      <c r="F1907" s="1">
        <v>44600</v>
      </c>
      <c r="G1907" t="str">
        <f>"300043"</f>
        <v>300043</v>
      </c>
      <c r="H1907" t="s">
        <v>2876</v>
      </c>
      <c r="I1907">
        <v>1073</v>
      </c>
    </row>
    <row r="1908" spans="1:9" x14ac:dyDescent="0.25">
      <c r="A1908" t="s">
        <v>9616</v>
      </c>
      <c r="C1908" t="s">
        <v>9617</v>
      </c>
      <c r="D1908" t="str">
        <f>"20499901"</f>
        <v>20499901</v>
      </c>
      <c r="E1908" t="s">
        <v>10556</v>
      </c>
      <c r="F1908" s="1">
        <v>44600</v>
      </c>
      <c r="G1908" t="str">
        <f>"300043"</f>
        <v>300043</v>
      </c>
      <c r="H1908" t="s">
        <v>2876</v>
      </c>
      <c r="I1908">
        <v>2277</v>
      </c>
    </row>
    <row r="1909" spans="1:9" x14ac:dyDescent="0.25">
      <c r="A1909" t="s">
        <v>9616</v>
      </c>
      <c r="C1909" t="s">
        <v>9617</v>
      </c>
      <c r="D1909" t="str">
        <f>"122310062"</f>
        <v>122310062</v>
      </c>
      <c r="E1909" t="s">
        <v>8967</v>
      </c>
      <c r="F1909" s="1">
        <v>44600</v>
      </c>
      <c r="G1909" t="str">
        <f>"300080"</f>
        <v>300080</v>
      </c>
      <c r="H1909" t="s">
        <v>2907</v>
      </c>
      <c r="I1909">
        <v>63568</v>
      </c>
    </row>
    <row r="1910" spans="1:9" x14ac:dyDescent="0.25">
      <c r="A1910" t="s">
        <v>9616</v>
      </c>
      <c r="C1910" t="s">
        <v>9617</v>
      </c>
      <c r="D1910" t="str">
        <f>"058222"</f>
        <v>058222</v>
      </c>
      <c r="E1910" s="4">
        <v>44652</v>
      </c>
      <c r="F1910" s="1">
        <v>44600</v>
      </c>
      <c r="G1910" t="str">
        <f>"300101"</f>
        <v>300101</v>
      </c>
      <c r="H1910" t="s">
        <v>2926</v>
      </c>
      <c r="I1910">
        <v>3766.52</v>
      </c>
    </row>
    <row r="1911" spans="1:9" x14ac:dyDescent="0.25">
      <c r="A1911" t="s">
        <v>9616</v>
      </c>
      <c r="C1911" t="s">
        <v>9617</v>
      </c>
      <c r="D1911" t="str">
        <f>"10138032"</f>
        <v>10138032</v>
      </c>
      <c r="E1911" t="s">
        <v>9191</v>
      </c>
      <c r="F1911" s="1">
        <v>44600</v>
      </c>
      <c r="G1911" t="str">
        <f>"300115"</f>
        <v>300115</v>
      </c>
      <c r="H1911" t="s">
        <v>2938</v>
      </c>
      <c r="I1911">
        <v>145042.26</v>
      </c>
    </row>
    <row r="1912" spans="1:9" x14ac:dyDescent="0.25">
      <c r="A1912" t="s">
        <v>9616</v>
      </c>
      <c r="C1912" t="s">
        <v>9617</v>
      </c>
      <c r="D1912" t="str">
        <f>"9173"</f>
        <v>9173</v>
      </c>
      <c r="E1912" t="s">
        <v>10552</v>
      </c>
      <c r="F1912" s="1">
        <v>44601</v>
      </c>
      <c r="G1912" t="str">
        <f>"300043"</f>
        <v>300043</v>
      </c>
      <c r="H1912" t="s">
        <v>2876</v>
      </c>
      <c r="I1912">
        <v>5372</v>
      </c>
    </row>
    <row r="1913" spans="1:9" x14ac:dyDescent="0.25">
      <c r="A1913" t="s">
        <v>9616</v>
      </c>
      <c r="C1913" t="s">
        <v>9617</v>
      </c>
      <c r="D1913" t="str">
        <f>"9325"</f>
        <v>9325</v>
      </c>
      <c r="E1913" s="4">
        <v>44682</v>
      </c>
      <c r="F1913" s="1">
        <v>44601</v>
      </c>
      <c r="G1913" t="str">
        <f>"300043"</f>
        <v>300043</v>
      </c>
      <c r="H1913" t="s">
        <v>2876</v>
      </c>
      <c r="I1913">
        <v>724</v>
      </c>
    </row>
    <row r="1914" spans="1:9" x14ac:dyDescent="0.25">
      <c r="A1914" t="s">
        <v>9616</v>
      </c>
      <c r="C1914" t="s">
        <v>9617</v>
      </c>
      <c r="D1914" t="str">
        <f>"067322"</f>
        <v>067322</v>
      </c>
      <c r="E1914" s="4">
        <v>44682</v>
      </c>
      <c r="F1914" s="1">
        <v>44601</v>
      </c>
      <c r="G1914" t="str">
        <f>"300101"</f>
        <v>300101</v>
      </c>
      <c r="H1914" t="s">
        <v>2926</v>
      </c>
      <c r="I1914">
        <v>3144.93</v>
      </c>
    </row>
    <row r="1915" spans="1:9" x14ac:dyDescent="0.25">
      <c r="A1915" t="s">
        <v>9616</v>
      </c>
      <c r="C1915" t="s">
        <v>9617</v>
      </c>
      <c r="D1915" t="str">
        <f>"10138066"</f>
        <v>10138066</v>
      </c>
      <c r="E1915" t="s">
        <v>2172</v>
      </c>
      <c r="F1915" s="1">
        <v>44602</v>
      </c>
      <c r="G1915" t="str">
        <f>"300115"</f>
        <v>300115</v>
      </c>
      <c r="H1915" t="s">
        <v>2938</v>
      </c>
      <c r="I1915">
        <v>270565.54800000001</v>
      </c>
    </row>
    <row r="1916" spans="1:9" x14ac:dyDescent="0.25">
      <c r="A1916" t="s">
        <v>9616</v>
      </c>
      <c r="C1916" t="s">
        <v>9617</v>
      </c>
      <c r="D1916" t="s">
        <v>10557</v>
      </c>
      <c r="E1916" t="s">
        <v>10558</v>
      </c>
      <c r="F1916" s="1">
        <v>44602</v>
      </c>
      <c r="G1916" t="str">
        <f>"300321"</f>
        <v>300321</v>
      </c>
      <c r="H1916" t="s">
        <v>2706</v>
      </c>
      <c r="I1916">
        <v>13500</v>
      </c>
    </row>
    <row r="1917" spans="1:9" x14ac:dyDescent="0.25">
      <c r="A1917" t="s">
        <v>9616</v>
      </c>
      <c r="C1917" t="s">
        <v>9617</v>
      </c>
      <c r="D1917" t="str">
        <f>"9922"</f>
        <v>9922</v>
      </c>
      <c r="E1917" s="4">
        <v>44713</v>
      </c>
      <c r="F1917" s="1">
        <v>44603</v>
      </c>
      <c r="G1917" t="str">
        <f>"300043"</f>
        <v>300043</v>
      </c>
      <c r="H1917" t="s">
        <v>2876</v>
      </c>
      <c r="I1917">
        <v>634</v>
      </c>
    </row>
    <row r="1918" spans="1:9" x14ac:dyDescent="0.25">
      <c r="A1918" t="s">
        <v>9616</v>
      </c>
      <c r="C1918" t="s">
        <v>9617</v>
      </c>
      <c r="D1918" t="str">
        <f>"10005"</f>
        <v>10005</v>
      </c>
      <c r="E1918" t="s">
        <v>10558</v>
      </c>
      <c r="F1918" s="1">
        <v>44603</v>
      </c>
      <c r="G1918" t="str">
        <f>"300043"</f>
        <v>300043</v>
      </c>
      <c r="H1918" t="s">
        <v>2876</v>
      </c>
      <c r="I1918">
        <v>1069</v>
      </c>
    </row>
    <row r="1919" spans="1:9" x14ac:dyDescent="0.25">
      <c r="A1919" t="s">
        <v>9616</v>
      </c>
      <c r="C1919" t="s">
        <v>9617</v>
      </c>
      <c r="D1919" t="str">
        <f>"067422"</f>
        <v>067422</v>
      </c>
      <c r="E1919" s="4">
        <v>44713</v>
      </c>
      <c r="F1919" s="1">
        <v>44603</v>
      </c>
      <c r="G1919" t="str">
        <f>"300101"</f>
        <v>300101</v>
      </c>
      <c r="H1919" t="s">
        <v>2926</v>
      </c>
      <c r="I1919">
        <v>3105.37</v>
      </c>
    </row>
    <row r="1920" spans="1:9" x14ac:dyDescent="0.25">
      <c r="A1920" t="s">
        <v>9616</v>
      </c>
      <c r="C1920" t="s">
        <v>9617</v>
      </c>
      <c r="D1920" t="str">
        <f>"10138117"</f>
        <v>10138117</v>
      </c>
      <c r="E1920" t="s">
        <v>2501</v>
      </c>
      <c r="F1920" s="1">
        <v>44603</v>
      </c>
      <c r="G1920" t="str">
        <f>"300115"</f>
        <v>300115</v>
      </c>
      <c r="H1920" t="s">
        <v>2938</v>
      </c>
      <c r="I1920">
        <v>270565.54800000001</v>
      </c>
    </row>
    <row r="1921" spans="1:9" x14ac:dyDescent="0.25">
      <c r="A1921" t="s">
        <v>9616</v>
      </c>
      <c r="C1921" t="s">
        <v>9617</v>
      </c>
      <c r="D1921" t="str">
        <f>"20220001024"</f>
        <v>20220001024</v>
      </c>
      <c r="E1921" t="s">
        <v>10548</v>
      </c>
      <c r="F1921" s="1">
        <v>44603</v>
      </c>
      <c r="G1921" t="str">
        <f>"300191"</f>
        <v>300191</v>
      </c>
      <c r="H1921" t="s">
        <v>3008</v>
      </c>
      <c r="I1921">
        <v>3439.61</v>
      </c>
    </row>
    <row r="1922" spans="1:9" x14ac:dyDescent="0.25">
      <c r="A1922" t="s">
        <v>9616</v>
      </c>
      <c r="C1922" t="s">
        <v>9617</v>
      </c>
      <c r="D1922" t="str">
        <f>"20220001025"</f>
        <v>20220001025</v>
      </c>
      <c r="E1922" t="s">
        <v>10554</v>
      </c>
      <c r="F1922" s="1">
        <v>44603</v>
      </c>
      <c r="G1922" t="str">
        <f>"300191"</f>
        <v>300191</v>
      </c>
      <c r="H1922" t="s">
        <v>3008</v>
      </c>
      <c r="I1922">
        <v>3149.36</v>
      </c>
    </row>
    <row r="1923" spans="1:9" x14ac:dyDescent="0.25">
      <c r="A1923" t="s">
        <v>9616</v>
      </c>
      <c r="C1923" t="s">
        <v>9617</v>
      </c>
      <c r="D1923" t="str">
        <f>"20220001035"</f>
        <v>20220001035</v>
      </c>
      <c r="E1923" t="s">
        <v>10556</v>
      </c>
      <c r="F1923" s="1">
        <v>44603</v>
      </c>
      <c r="G1923" t="str">
        <f>"300191"</f>
        <v>300191</v>
      </c>
      <c r="H1923" t="s">
        <v>3008</v>
      </c>
      <c r="I1923">
        <v>3149.36</v>
      </c>
    </row>
    <row r="1924" spans="1:9" x14ac:dyDescent="0.25">
      <c r="A1924" t="s">
        <v>9616</v>
      </c>
      <c r="C1924" t="s">
        <v>9617</v>
      </c>
      <c r="D1924" t="s">
        <v>10559</v>
      </c>
      <c r="E1924" t="s">
        <v>10560</v>
      </c>
      <c r="F1924" s="1">
        <v>44603</v>
      </c>
      <c r="G1924" t="str">
        <f>"300321"</f>
        <v>300321</v>
      </c>
      <c r="H1924" t="s">
        <v>2706</v>
      </c>
      <c r="I1924">
        <v>15500</v>
      </c>
    </row>
    <row r="1925" spans="1:9" x14ac:dyDescent="0.25">
      <c r="A1925" t="s">
        <v>9616</v>
      </c>
      <c r="C1925" t="s">
        <v>9617</v>
      </c>
      <c r="D1925" t="str">
        <f>"10138157"</f>
        <v>10138157</v>
      </c>
      <c r="E1925" t="s">
        <v>9189</v>
      </c>
      <c r="F1925" s="1">
        <v>44606</v>
      </c>
      <c r="G1925" t="str">
        <f>"300115"</f>
        <v>300115</v>
      </c>
      <c r="H1925" t="s">
        <v>2938</v>
      </c>
      <c r="I1925">
        <v>172950.62400000001</v>
      </c>
    </row>
    <row r="1926" spans="1:9" x14ac:dyDescent="0.25">
      <c r="A1926" t="s">
        <v>9616</v>
      </c>
      <c r="C1926" t="s">
        <v>9617</v>
      </c>
      <c r="D1926" t="str">
        <f>"10138158"</f>
        <v>10138158</v>
      </c>
      <c r="E1926" t="s">
        <v>8852</v>
      </c>
      <c r="F1926" s="1">
        <v>44606</v>
      </c>
      <c r="G1926" t="str">
        <f>"300115"</f>
        <v>300115</v>
      </c>
      <c r="H1926" t="s">
        <v>2938</v>
      </c>
      <c r="I1926">
        <v>270565.54800000001</v>
      </c>
    </row>
    <row r="1927" spans="1:9" x14ac:dyDescent="0.25">
      <c r="A1927" t="s">
        <v>9616</v>
      </c>
      <c r="C1927" t="s">
        <v>9617</v>
      </c>
      <c r="D1927" t="s">
        <v>10561</v>
      </c>
      <c r="E1927" t="s">
        <v>10562</v>
      </c>
      <c r="F1927" s="1">
        <v>44606</v>
      </c>
      <c r="G1927" t="str">
        <f>"300321"</f>
        <v>300321</v>
      </c>
      <c r="H1927" t="s">
        <v>2706</v>
      </c>
      <c r="I1927">
        <v>13500</v>
      </c>
    </row>
    <row r="1928" spans="1:9" x14ac:dyDescent="0.25">
      <c r="A1928" t="s">
        <v>9616</v>
      </c>
      <c r="C1928" t="s">
        <v>9617</v>
      </c>
      <c r="D1928" t="str">
        <f>"10959"</f>
        <v>10959</v>
      </c>
      <c r="E1928" t="s">
        <v>10560</v>
      </c>
      <c r="F1928" s="1">
        <v>44607</v>
      </c>
      <c r="G1928" t="str">
        <f>"300043"</f>
        <v>300043</v>
      </c>
      <c r="H1928" t="s">
        <v>2876</v>
      </c>
      <c r="I1928">
        <v>1069</v>
      </c>
    </row>
    <row r="1929" spans="1:9" x14ac:dyDescent="0.25">
      <c r="A1929" t="s">
        <v>9616</v>
      </c>
      <c r="C1929" t="s">
        <v>9617</v>
      </c>
      <c r="D1929" t="str">
        <f>"20500137"</f>
        <v>20500137</v>
      </c>
      <c r="E1929" t="s">
        <v>10560</v>
      </c>
      <c r="F1929" s="1">
        <v>44607</v>
      </c>
      <c r="G1929" t="str">
        <f>"300043"</f>
        <v>300043</v>
      </c>
      <c r="H1929" t="s">
        <v>2876</v>
      </c>
      <c r="I1929">
        <v>1434</v>
      </c>
    </row>
    <row r="1930" spans="1:9" x14ac:dyDescent="0.25">
      <c r="A1930" t="s">
        <v>9616</v>
      </c>
      <c r="C1930" t="s">
        <v>9617</v>
      </c>
      <c r="D1930" t="str">
        <f>"11167"</f>
        <v>11167</v>
      </c>
      <c r="E1930" t="s">
        <v>10562</v>
      </c>
      <c r="F1930" s="1">
        <v>44608</v>
      </c>
      <c r="G1930" t="str">
        <f>"300043"</f>
        <v>300043</v>
      </c>
      <c r="H1930" t="s">
        <v>2876</v>
      </c>
      <c r="I1930">
        <v>1066</v>
      </c>
    </row>
    <row r="1931" spans="1:9" x14ac:dyDescent="0.25">
      <c r="A1931" t="s">
        <v>9616</v>
      </c>
      <c r="C1931" t="s">
        <v>9617</v>
      </c>
      <c r="D1931" t="str">
        <f>"10138195"</f>
        <v>10138195</v>
      </c>
      <c r="E1931" t="s">
        <v>9189</v>
      </c>
      <c r="F1931" s="1">
        <v>44608</v>
      </c>
      <c r="G1931" t="str">
        <f>"300115"</f>
        <v>300115</v>
      </c>
      <c r="H1931" t="s">
        <v>2938</v>
      </c>
      <c r="I1931">
        <v>270565.54800000001</v>
      </c>
    </row>
    <row r="1932" spans="1:9" x14ac:dyDescent="0.25">
      <c r="A1932" t="s">
        <v>9616</v>
      </c>
      <c r="C1932" t="s">
        <v>9617</v>
      </c>
      <c r="D1932" t="s">
        <v>10563</v>
      </c>
      <c r="E1932" t="s">
        <v>10564</v>
      </c>
      <c r="F1932" s="1">
        <v>44608</v>
      </c>
      <c r="G1932" t="str">
        <f>"300321"</f>
        <v>300321</v>
      </c>
      <c r="H1932" t="s">
        <v>2706</v>
      </c>
      <c r="I1932">
        <v>15500</v>
      </c>
    </row>
    <row r="1933" spans="1:9" x14ac:dyDescent="0.25">
      <c r="A1933" t="s">
        <v>9616</v>
      </c>
      <c r="C1933" t="s">
        <v>9617</v>
      </c>
      <c r="D1933" t="str">
        <f>"11540"</f>
        <v>11540</v>
      </c>
      <c r="E1933" s="4">
        <v>44743</v>
      </c>
      <c r="F1933" s="1">
        <v>44609</v>
      </c>
      <c r="G1933" t="str">
        <f>"300043"</f>
        <v>300043</v>
      </c>
      <c r="H1933" t="s">
        <v>2876</v>
      </c>
      <c r="I1933">
        <v>722</v>
      </c>
    </row>
    <row r="1934" spans="1:9" x14ac:dyDescent="0.25">
      <c r="A1934" t="s">
        <v>9616</v>
      </c>
      <c r="C1934" t="s">
        <v>9617</v>
      </c>
      <c r="D1934" t="str">
        <f>"11542"</f>
        <v>11542</v>
      </c>
      <c r="E1934" t="s">
        <v>10564</v>
      </c>
      <c r="F1934" s="1">
        <v>44609</v>
      </c>
      <c r="G1934" t="str">
        <f>"300043"</f>
        <v>300043</v>
      </c>
      <c r="H1934" t="s">
        <v>2876</v>
      </c>
      <c r="I1934">
        <v>1073</v>
      </c>
    </row>
    <row r="1935" spans="1:9" x14ac:dyDescent="0.25">
      <c r="A1935" t="s">
        <v>9616</v>
      </c>
      <c r="C1935" t="s">
        <v>9617</v>
      </c>
      <c r="D1935" t="str">
        <f>"19487"</f>
        <v>19487</v>
      </c>
      <c r="E1935" t="s">
        <v>10565</v>
      </c>
      <c r="F1935" s="1">
        <v>44609</v>
      </c>
      <c r="G1935" t="str">
        <f>"300043"</f>
        <v>300043</v>
      </c>
      <c r="H1935" t="s">
        <v>2876</v>
      </c>
      <c r="I1935">
        <v>1337</v>
      </c>
    </row>
    <row r="1936" spans="1:9" x14ac:dyDescent="0.25">
      <c r="A1936" t="s">
        <v>9616</v>
      </c>
      <c r="C1936" t="s">
        <v>9617</v>
      </c>
      <c r="D1936" t="str">
        <f>"20500689"</f>
        <v>20500689</v>
      </c>
      <c r="E1936" t="s">
        <v>10566</v>
      </c>
      <c r="F1936" s="1">
        <v>44609</v>
      </c>
      <c r="G1936" t="str">
        <f>"300043"</f>
        <v>300043</v>
      </c>
      <c r="H1936" t="s">
        <v>2876</v>
      </c>
      <c r="I1936">
        <v>1801</v>
      </c>
    </row>
    <row r="1937" spans="1:9" x14ac:dyDescent="0.25">
      <c r="A1937" t="s">
        <v>9616</v>
      </c>
      <c r="C1937" t="s">
        <v>9617</v>
      </c>
      <c r="D1937" t="str">
        <f>"077622"</f>
        <v>077622</v>
      </c>
      <c r="E1937" s="4">
        <v>44743</v>
      </c>
      <c r="F1937" s="1">
        <v>44609</v>
      </c>
      <c r="G1937" t="str">
        <f>"300101"</f>
        <v>300101</v>
      </c>
      <c r="H1937" t="s">
        <v>2926</v>
      </c>
      <c r="I1937">
        <v>3299.91</v>
      </c>
    </row>
    <row r="1938" spans="1:9" x14ac:dyDescent="0.25">
      <c r="A1938" t="s">
        <v>9616</v>
      </c>
      <c r="C1938" t="s">
        <v>9617</v>
      </c>
      <c r="D1938" t="str">
        <f>"10138229"</f>
        <v>10138229</v>
      </c>
      <c r="E1938" t="s">
        <v>2172</v>
      </c>
      <c r="F1938" s="1">
        <v>44609</v>
      </c>
      <c r="G1938" t="str">
        <f>"300115"</f>
        <v>300115</v>
      </c>
      <c r="H1938" t="s">
        <v>2938</v>
      </c>
      <c r="I1938">
        <v>270565.54800000001</v>
      </c>
    </row>
    <row r="1939" spans="1:9" x14ac:dyDescent="0.25">
      <c r="A1939" t="s">
        <v>9616</v>
      </c>
      <c r="C1939" t="s">
        <v>9617</v>
      </c>
      <c r="D1939" t="s">
        <v>10567</v>
      </c>
      <c r="E1939" t="s">
        <v>10568</v>
      </c>
      <c r="F1939" s="1">
        <v>44609</v>
      </c>
      <c r="G1939" t="str">
        <f>"300321"</f>
        <v>300321</v>
      </c>
      <c r="H1939" t="s">
        <v>2706</v>
      </c>
      <c r="I1939">
        <v>13500</v>
      </c>
    </row>
    <row r="1940" spans="1:9" x14ac:dyDescent="0.25">
      <c r="A1940" t="s">
        <v>9616</v>
      </c>
      <c r="C1940" t="s">
        <v>9617</v>
      </c>
      <c r="D1940" t="str">
        <f>"11834"</f>
        <v>11834</v>
      </c>
      <c r="E1940" t="s">
        <v>10568</v>
      </c>
      <c r="F1940" s="1">
        <v>44610</v>
      </c>
      <c r="G1940" t="str">
        <f>"300043"</f>
        <v>300043</v>
      </c>
      <c r="H1940" t="s">
        <v>2876</v>
      </c>
      <c r="I1940">
        <v>1068</v>
      </c>
    </row>
    <row r="1941" spans="1:9" x14ac:dyDescent="0.25">
      <c r="A1941" t="s">
        <v>9616</v>
      </c>
      <c r="C1941" t="s">
        <v>9617</v>
      </c>
      <c r="D1941" t="s">
        <v>10569</v>
      </c>
      <c r="E1941" t="s">
        <v>10570</v>
      </c>
      <c r="F1941" s="1">
        <v>44610</v>
      </c>
      <c r="G1941" t="str">
        <f>"300133"</f>
        <v>300133</v>
      </c>
      <c r="H1941" t="s">
        <v>2955</v>
      </c>
      <c r="I1941">
        <v>15444</v>
      </c>
    </row>
    <row r="1942" spans="1:9" x14ac:dyDescent="0.25">
      <c r="A1942" t="s">
        <v>9616</v>
      </c>
      <c r="C1942" t="s">
        <v>9617</v>
      </c>
      <c r="D1942" t="s">
        <v>10571</v>
      </c>
      <c r="E1942" t="s">
        <v>9921</v>
      </c>
      <c r="F1942" s="1">
        <v>44610</v>
      </c>
      <c r="G1942" t="str">
        <f>"300133"</f>
        <v>300133</v>
      </c>
      <c r="H1942" t="s">
        <v>2955</v>
      </c>
      <c r="I1942">
        <v>9360</v>
      </c>
    </row>
    <row r="1943" spans="1:9" x14ac:dyDescent="0.25">
      <c r="A1943" t="s">
        <v>9616</v>
      </c>
      <c r="C1943" t="s">
        <v>9617</v>
      </c>
      <c r="D1943" t="s">
        <v>10572</v>
      </c>
      <c r="E1943" t="s">
        <v>9971</v>
      </c>
      <c r="F1943" s="1">
        <v>44610</v>
      </c>
      <c r="G1943" t="str">
        <f>"300133"</f>
        <v>300133</v>
      </c>
      <c r="H1943" t="s">
        <v>2955</v>
      </c>
      <c r="I1943">
        <v>23985</v>
      </c>
    </row>
    <row r="1944" spans="1:9" x14ac:dyDescent="0.25">
      <c r="A1944" t="s">
        <v>9616</v>
      </c>
      <c r="C1944" t="s">
        <v>9617</v>
      </c>
      <c r="D1944" t="str">
        <f>"20013104"</f>
        <v>20013104</v>
      </c>
      <c r="E1944" t="s">
        <v>9640</v>
      </c>
      <c r="F1944" s="1">
        <v>44613</v>
      </c>
      <c r="G1944" t="str">
        <f>"300115"</f>
        <v>300115</v>
      </c>
      <c r="H1944" t="s">
        <v>2938</v>
      </c>
      <c r="I1944">
        <v>3682.5360000000001</v>
      </c>
    </row>
    <row r="1945" spans="1:9" x14ac:dyDescent="0.25">
      <c r="A1945" t="s">
        <v>9616</v>
      </c>
      <c r="C1945" t="s">
        <v>9617</v>
      </c>
      <c r="D1945" t="str">
        <f>"20220001268"</f>
        <v>20220001268</v>
      </c>
      <c r="E1945" t="s">
        <v>10562</v>
      </c>
      <c r="F1945" s="1">
        <v>44613</v>
      </c>
      <c r="G1945" t="str">
        <f>"300191"</f>
        <v>300191</v>
      </c>
      <c r="H1945" t="s">
        <v>3008</v>
      </c>
      <c r="I1945">
        <v>3144.21</v>
      </c>
    </row>
    <row r="1946" spans="1:9" x14ac:dyDescent="0.25">
      <c r="A1946" t="s">
        <v>9616</v>
      </c>
      <c r="C1946" t="s">
        <v>9617</v>
      </c>
      <c r="D1946" t="str">
        <f>"20220001269"</f>
        <v>20220001269</v>
      </c>
      <c r="E1946" t="s">
        <v>10564</v>
      </c>
      <c r="F1946" s="1">
        <v>44613</v>
      </c>
      <c r="G1946" t="str">
        <f>"300191"</f>
        <v>300191</v>
      </c>
      <c r="H1946" t="s">
        <v>3008</v>
      </c>
      <c r="I1946">
        <v>3148.26</v>
      </c>
    </row>
    <row r="1947" spans="1:9" x14ac:dyDescent="0.25">
      <c r="A1947" t="s">
        <v>9616</v>
      </c>
      <c r="C1947" t="s">
        <v>9617</v>
      </c>
      <c r="D1947" t="str">
        <f>"20220001279"</f>
        <v>20220001279</v>
      </c>
      <c r="E1947" t="s">
        <v>10560</v>
      </c>
      <c r="F1947" s="1">
        <v>44613</v>
      </c>
      <c r="G1947" t="str">
        <f>"300191"</f>
        <v>300191</v>
      </c>
      <c r="H1947" t="s">
        <v>3008</v>
      </c>
      <c r="I1947">
        <v>3273.17</v>
      </c>
    </row>
    <row r="1948" spans="1:9" x14ac:dyDescent="0.25">
      <c r="A1948" t="s">
        <v>9616</v>
      </c>
      <c r="C1948" t="s">
        <v>9617</v>
      </c>
      <c r="D1948" t="str">
        <f>"20220001281"</f>
        <v>20220001281</v>
      </c>
      <c r="E1948" t="s">
        <v>10558</v>
      </c>
      <c r="F1948" s="1">
        <v>44613</v>
      </c>
      <c r="G1948" t="str">
        <f>"300191"</f>
        <v>300191</v>
      </c>
      <c r="H1948" t="s">
        <v>3008</v>
      </c>
      <c r="I1948">
        <v>3148.87</v>
      </c>
    </row>
    <row r="1949" spans="1:9" x14ac:dyDescent="0.25">
      <c r="A1949" t="s">
        <v>9616</v>
      </c>
      <c r="C1949" t="s">
        <v>9617</v>
      </c>
      <c r="D1949" t="str">
        <f>"10138337"</f>
        <v>10138337</v>
      </c>
      <c r="E1949" t="s">
        <v>9191</v>
      </c>
      <c r="F1949" s="1">
        <v>44614</v>
      </c>
      <c r="G1949" t="str">
        <f>"300115"</f>
        <v>300115</v>
      </c>
      <c r="H1949" t="s">
        <v>2938</v>
      </c>
      <c r="I1949">
        <v>368883.25760000001</v>
      </c>
    </row>
    <row r="1950" spans="1:9" x14ac:dyDescent="0.25">
      <c r="A1950" t="s">
        <v>9616</v>
      </c>
      <c r="C1950" t="s">
        <v>9617</v>
      </c>
      <c r="D1950" t="str">
        <f>"10138338"</f>
        <v>10138338</v>
      </c>
      <c r="E1950" t="s">
        <v>1313</v>
      </c>
      <c r="F1950" s="1">
        <v>44614</v>
      </c>
      <c r="G1950" t="str">
        <f>"300115"</f>
        <v>300115</v>
      </c>
      <c r="H1950" t="s">
        <v>2938</v>
      </c>
      <c r="I1950">
        <v>321433.54100000003</v>
      </c>
    </row>
    <row r="1951" spans="1:9" x14ac:dyDescent="0.25">
      <c r="A1951" t="s">
        <v>9616</v>
      </c>
      <c r="C1951" t="s">
        <v>9617</v>
      </c>
      <c r="D1951" t="s">
        <v>10573</v>
      </c>
      <c r="E1951" t="s">
        <v>10574</v>
      </c>
      <c r="F1951" s="1">
        <v>44614</v>
      </c>
      <c r="G1951" t="str">
        <f>"300133"</f>
        <v>300133</v>
      </c>
      <c r="H1951" t="s">
        <v>2955</v>
      </c>
      <c r="I1951">
        <v>16550.400000000001</v>
      </c>
    </row>
    <row r="1952" spans="1:9" x14ac:dyDescent="0.25">
      <c r="A1952" t="s">
        <v>9616</v>
      </c>
      <c r="C1952" t="s">
        <v>9617</v>
      </c>
      <c r="D1952" t="str">
        <f>"20220001325"</f>
        <v>20220001325</v>
      </c>
      <c r="E1952" t="s">
        <v>10568</v>
      </c>
      <c r="F1952" s="1">
        <v>44614</v>
      </c>
      <c r="G1952" t="str">
        <f>"300191"</f>
        <v>300191</v>
      </c>
      <c r="H1952" t="s">
        <v>3008</v>
      </c>
      <c r="I1952">
        <v>3149.15</v>
      </c>
    </row>
    <row r="1953" spans="1:9" x14ac:dyDescent="0.25">
      <c r="A1953" t="s">
        <v>9616</v>
      </c>
      <c r="C1953" t="s">
        <v>9617</v>
      </c>
      <c r="D1953" t="s">
        <v>10575</v>
      </c>
      <c r="E1953" t="s">
        <v>10576</v>
      </c>
      <c r="F1953" s="1">
        <v>44614</v>
      </c>
      <c r="G1953" t="str">
        <f>"300321"</f>
        <v>300321</v>
      </c>
      <c r="H1953" t="s">
        <v>2706</v>
      </c>
      <c r="I1953">
        <v>13500</v>
      </c>
    </row>
    <row r="1954" spans="1:9" x14ac:dyDescent="0.25">
      <c r="A1954" t="s">
        <v>9616</v>
      </c>
      <c r="C1954" t="s">
        <v>9617</v>
      </c>
      <c r="D1954" t="str">
        <f>"12978"</f>
        <v>12978</v>
      </c>
      <c r="E1954" t="s">
        <v>10576</v>
      </c>
      <c r="F1954" s="1">
        <v>44615</v>
      </c>
      <c r="G1954" t="str">
        <f>"300043"</f>
        <v>300043</v>
      </c>
      <c r="H1954" t="s">
        <v>2876</v>
      </c>
      <c r="I1954">
        <v>1394</v>
      </c>
    </row>
    <row r="1955" spans="1:9" x14ac:dyDescent="0.25">
      <c r="A1955" t="s">
        <v>9616</v>
      </c>
      <c r="C1955" t="s">
        <v>9617</v>
      </c>
      <c r="D1955" t="str">
        <f>"10138373"</f>
        <v>10138373</v>
      </c>
      <c r="E1955" t="s">
        <v>10577</v>
      </c>
      <c r="F1955" s="1">
        <v>44615</v>
      </c>
      <c r="G1955" t="str">
        <f>"300115"</f>
        <v>300115</v>
      </c>
      <c r="H1955" t="s">
        <v>2938</v>
      </c>
      <c r="I1955">
        <v>270565.54800000001</v>
      </c>
    </row>
    <row r="1956" spans="1:9" x14ac:dyDescent="0.25">
      <c r="A1956" t="s">
        <v>9616</v>
      </c>
      <c r="C1956" t="s">
        <v>9617</v>
      </c>
      <c r="D1956" t="s">
        <v>10578</v>
      </c>
      <c r="E1956" t="s">
        <v>10579</v>
      </c>
      <c r="F1956" s="1">
        <v>44615</v>
      </c>
      <c r="G1956" t="str">
        <f>"300321"</f>
        <v>300321</v>
      </c>
      <c r="H1956" t="s">
        <v>2706</v>
      </c>
      <c r="I1956">
        <v>13500</v>
      </c>
    </row>
    <row r="1957" spans="1:9" x14ac:dyDescent="0.25">
      <c r="A1957" t="s">
        <v>9616</v>
      </c>
      <c r="C1957" t="s">
        <v>9617</v>
      </c>
      <c r="D1957" t="str">
        <f>"13720"</f>
        <v>13720</v>
      </c>
      <c r="E1957" s="4">
        <v>44805</v>
      </c>
      <c r="F1957" s="1">
        <v>44617</v>
      </c>
      <c r="G1957" t="str">
        <f>"300043"</f>
        <v>300043</v>
      </c>
      <c r="H1957" t="s">
        <v>2876</v>
      </c>
      <c r="I1957">
        <v>1200</v>
      </c>
    </row>
    <row r="1958" spans="1:9" x14ac:dyDescent="0.25">
      <c r="A1958" t="s">
        <v>9616</v>
      </c>
      <c r="C1958" t="s">
        <v>9617</v>
      </c>
      <c r="D1958" t="str">
        <f>"13816"</f>
        <v>13816</v>
      </c>
      <c r="E1958" t="s">
        <v>10579</v>
      </c>
      <c r="F1958" s="1">
        <v>44617</v>
      </c>
      <c r="G1958" t="str">
        <f>"300043"</f>
        <v>300043</v>
      </c>
      <c r="H1958" t="s">
        <v>2876</v>
      </c>
      <c r="I1958">
        <v>1063</v>
      </c>
    </row>
    <row r="1959" spans="1:9" x14ac:dyDescent="0.25">
      <c r="A1959" t="s">
        <v>9616</v>
      </c>
      <c r="C1959" t="s">
        <v>9617</v>
      </c>
      <c r="D1959" t="str">
        <f>"20501043"</f>
        <v>20501043</v>
      </c>
      <c r="E1959" s="4">
        <v>44805</v>
      </c>
      <c r="F1959" s="1">
        <v>44617</v>
      </c>
      <c r="G1959" t="str">
        <f>"300043"</f>
        <v>300043</v>
      </c>
      <c r="H1959" t="s">
        <v>2876</v>
      </c>
      <c r="I1959">
        <v>1908</v>
      </c>
    </row>
    <row r="1960" spans="1:9" x14ac:dyDescent="0.25">
      <c r="A1960" t="s">
        <v>9616</v>
      </c>
      <c r="C1960" t="s">
        <v>9617</v>
      </c>
      <c r="D1960" t="str">
        <f>"121422"</f>
        <v>121422</v>
      </c>
      <c r="E1960" s="4">
        <v>44805</v>
      </c>
      <c r="F1960" s="1">
        <v>44617</v>
      </c>
      <c r="G1960" t="str">
        <f>"300101"</f>
        <v>300101</v>
      </c>
      <c r="H1960" t="s">
        <v>2926</v>
      </c>
      <c r="I1960">
        <v>3289.83</v>
      </c>
    </row>
    <row r="1961" spans="1:9" x14ac:dyDescent="0.25">
      <c r="A1961" t="s">
        <v>9616</v>
      </c>
      <c r="C1961" t="s">
        <v>9617</v>
      </c>
      <c r="D1961" t="str">
        <f>"10138480"</f>
        <v>10138480</v>
      </c>
      <c r="E1961" t="s">
        <v>9189</v>
      </c>
      <c r="F1961" s="1">
        <v>44617</v>
      </c>
      <c r="G1961" t="str">
        <f>"300115"</f>
        <v>300115</v>
      </c>
      <c r="H1961" t="s">
        <v>2938</v>
      </c>
      <c r="I1961">
        <v>368883.25760000001</v>
      </c>
    </row>
    <row r="1962" spans="1:9" x14ac:dyDescent="0.25">
      <c r="A1962" t="s">
        <v>9616</v>
      </c>
      <c r="C1962" t="s">
        <v>9617</v>
      </c>
      <c r="D1962" t="s">
        <v>10580</v>
      </c>
      <c r="E1962" t="s">
        <v>10581</v>
      </c>
      <c r="F1962" s="1">
        <v>44617</v>
      </c>
      <c r="G1962" t="str">
        <f>"300321"</f>
        <v>300321</v>
      </c>
      <c r="H1962" t="s">
        <v>2706</v>
      </c>
      <c r="I1962">
        <v>15500</v>
      </c>
    </row>
    <row r="1963" spans="1:9" x14ac:dyDescent="0.25">
      <c r="A1963" t="s">
        <v>9616</v>
      </c>
      <c r="C1963" t="s">
        <v>9617</v>
      </c>
      <c r="D1963" t="str">
        <f>"10138481"</f>
        <v>10138481</v>
      </c>
      <c r="E1963" t="s">
        <v>10582</v>
      </c>
      <c r="F1963" s="1">
        <v>44620</v>
      </c>
      <c r="G1963" t="str">
        <f>"300115"</f>
        <v>300115</v>
      </c>
      <c r="H1963" t="s">
        <v>2938</v>
      </c>
      <c r="I1963">
        <v>270565.54800000001</v>
      </c>
    </row>
    <row r="1964" spans="1:9" x14ac:dyDescent="0.25">
      <c r="A1964" t="s">
        <v>9616</v>
      </c>
      <c r="C1964" t="s">
        <v>9617</v>
      </c>
      <c r="D1964" t="str">
        <f>"10138483"</f>
        <v>10138483</v>
      </c>
      <c r="E1964" t="s">
        <v>9191</v>
      </c>
      <c r="F1964" s="1">
        <v>44620</v>
      </c>
      <c r="G1964" t="str">
        <f>"300115"</f>
        <v>300115</v>
      </c>
      <c r="H1964" t="s">
        <v>2938</v>
      </c>
      <c r="I1964">
        <v>270565.54800000001</v>
      </c>
    </row>
    <row r="1965" spans="1:9" x14ac:dyDescent="0.25">
      <c r="A1965" t="s">
        <v>9616</v>
      </c>
      <c r="C1965" t="s">
        <v>9617</v>
      </c>
      <c r="D1965" t="str">
        <f>"20220001505"</f>
        <v>20220001505</v>
      </c>
      <c r="E1965" t="s">
        <v>10579</v>
      </c>
      <c r="F1965" s="1">
        <v>44620</v>
      </c>
      <c r="G1965" t="str">
        <f>"300191"</f>
        <v>300191</v>
      </c>
      <c r="H1965" t="s">
        <v>3008</v>
      </c>
      <c r="I1965">
        <v>3116.67</v>
      </c>
    </row>
    <row r="1966" spans="1:9" x14ac:dyDescent="0.25">
      <c r="A1966" t="s">
        <v>9616</v>
      </c>
      <c r="C1966" t="s">
        <v>9617</v>
      </c>
      <c r="D1966" t="str">
        <f>"20220001506"</f>
        <v>20220001506</v>
      </c>
      <c r="E1966" t="s">
        <v>10576</v>
      </c>
      <c r="F1966" s="1">
        <v>44620</v>
      </c>
      <c r="G1966" t="str">
        <f>"300191"</f>
        <v>300191</v>
      </c>
      <c r="H1966" t="s">
        <v>3008</v>
      </c>
      <c r="I1966">
        <v>3136.39</v>
      </c>
    </row>
    <row r="1967" spans="1:9" x14ac:dyDescent="0.25">
      <c r="A1967" t="s">
        <v>9616</v>
      </c>
      <c r="C1967" t="s">
        <v>9617</v>
      </c>
      <c r="D1967" t="str">
        <f>"220263"</f>
        <v>220263</v>
      </c>
      <c r="E1967" t="s">
        <v>10565</v>
      </c>
      <c r="F1967" s="1">
        <v>44620</v>
      </c>
      <c r="G1967" t="str">
        <f>"300301"</f>
        <v>300301</v>
      </c>
      <c r="H1967" t="s">
        <v>3043</v>
      </c>
      <c r="I1967">
        <v>8782.09</v>
      </c>
    </row>
    <row r="1968" spans="1:9" x14ac:dyDescent="0.25">
      <c r="A1968" t="s">
        <v>9616</v>
      </c>
      <c r="C1968" t="s">
        <v>9617</v>
      </c>
      <c r="D1968" t="s">
        <v>10583</v>
      </c>
      <c r="E1968" t="s">
        <v>10584</v>
      </c>
      <c r="F1968" s="1">
        <v>44620</v>
      </c>
      <c r="G1968" t="str">
        <f>"300321"</f>
        <v>300321</v>
      </c>
      <c r="H1968" t="s">
        <v>2706</v>
      </c>
      <c r="I1968">
        <v>15500</v>
      </c>
    </row>
    <row r="1969" spans="1:9" x14ac:dyDescent="0.25">
      <c r="A1969" t="s">
        <v>9616</v>
      </c>
      <c r="C1969" t="s">
        <v>9617</v>
      </c>
      <c r="D1969" t="s">
        <v>10585</v>
      </c>
      <c r="E1969" t="s">
        <v>10586</v>
      </c>
      <c r="F1969" s="1">
        <v>44620</v>
      </c>
      <c r="G1969" t="str">
        <f>"300321"</f>
        <v>300321</v>
      </c>
      <c r="H1969" t="s">
        <v>2706</v>
      </c>
      <c r="I1969">
        <v>13500</v>
      </c>
    </row>
    <row r="1970" spans="1:9" x14ac:dyDescent="0.25">
      <c r="A1970" t="s">
        <v>9616</v>
      </c>
      <c r="C1970" t="s">
        <v>9617</v>
      </c>
      <c r="D1970" t="str">
        <f>"14663"</f>
        <v>14663</v>
      </c>
      <c r="E1970" t="s">
        <v>10584</v>
      </c>
      <c r="F1970" s="1">
        <v>44621</v>
      </c>
      <c r="G1970" t="str">
        <f>"300043"</f>
        <v>300043</v>
      </c>
      <c r="H1970" t="s">
        <v>2876</v>
      </c>
      <c r="I1970">
        <v>1073</v>
      </c>
    </row>
    <row r="1971" spans="1:9" x14ac:dyDescent="0.25">
      <c r="A1971" t="s">
        <v>9616</v>
      </c>
      <c r="C1971" t="s">
        <v>9617</v>
      </c>
      <c r="D1971" t="str">
        <f>"14676"</f>
        <v>14676</v>
      </c>
      <c r="E1971" t="s">
        <v>10581</v>
      </c>
      <c r="F1971" s="1">
        <v>44621</v>
      </c>
      <c r="G1971" t="str">
        <f>"300043"</f>
        <v>300043</v>
      </c>
      <c r="H1971" t="s">
        <v>2876</v>
      </c>
      <c r="I1971">
        <v>1399</v>
      </c>
    </row>
    <row r="1972" spans="1:9" x14ac:dyDescent="0.25">
      <c r="A1972" t="s">
        <v>9616</v>
      </c>
      <c r="C1972" t="s">
        <v>9617</v>
      </c>
      <c r="D1972" t="str">
        <f>"14767"</f>
        <v>14767</v>
      </c>
      <c r="E1972" t="s">
        <v>10586</v>
      </c>
      <c r="F1972" s="1">
        <v>44621</v>
      </c>
      <c r="G1972" t="str">
        <f>"300043"</f>
        <v>300043</v>
      </c>
      <c r="H1972" t="s">
        <v>2876</v>
      </c>
      <c r="I1972">
        <v>1072</v>
      </c>
    </row>
    <row r="1973" spans="1:9" x14ac:dyDescent="0.25">
      <c r="A1973" t="s">
        <v>9616</v>
      </c>
      <c r="C1973" t="s">
        <v>9617</v>
      </c>
      <c r="D1973" t="str">
        <f>"20501177"</f>
        <v>20501177</v>
      </c>
      <c r="E1973" t="s">
        <v>10586</v>
      </c>
      <c r="F1973" s="1">
        <v>44621</v>
      </c>
      <c r="G1973" t="str">
        <f>"300043"</f>
        <v>300043</v>
      </c>
      <c r="H1973" t="s">
        <v>2876</v>
      </c>
      <c r="I1973">
        <v>1922</v>
      </c>
    </row>
    <row r="1974" spans="1:9" x14ac:dyDescent="0.25">
      <c r="A1974" t="s">
        <v>9616</v>
      </c>
      <c r="C1974" t="s">
        <v>9617</v>
      </c>
      <c r="D1974" t="str">
        <f>"10138511"</f>
        <v>10138511</v>
      </c>
      <c r="E1974" t="s">
        <v>9183</v>
      </c>
      <c r="F1974" s="1">
        <v>44621</v>
      </c>
      <c r="G1974" t="str">
        <f>"300115"</f>
        <v>300115</v>
      </c>
      <c r="H1974" t="s">
        <v>2938</v>
      </c>
      <c r="I1974">
        <v>133277.639</v>
      </c>
    </row>
    <row r="1975" spans="1:9" x14ac:dyDescent="0.25">
      <c r="A1975" t="s">
        <v>9616</v>
      </c>
      <c r="C1975" t="s">
        <v>9617</v>
      </c>
      <c r="D1975" t="str">
        <f>"171509"</f>
        <v>171509</v>
      </c>
      <c r="F1975" s="1">
        <v>44621</v>
      </c>
      <c r="G1975" t="str">
        <f>"300224"</f>
        <v>300224</v>
      </c>
      <c r="H1975" t="s">
        <v>3023</v>
      </c>
      <c r="I1975">
        <v>36813.480000000003</v>
      </c>
    </row>
    <row r="1976" spans="1:9" x14ac:dyDescent="0.25">
      <c r="A1976" t="s">
        <v>9616</v>
      </c>
      <c r="C1976" t="s">
        <v>9617</v>
      </c>
      <c r="D1976" t="str">
        <f>"10138557"</f>
        <v>10138557</v>
      </c>
      <c r="E1976" t="s">
        <v>9189</v>
      </c>
      <c r="F1976" s="1">
        <v>44622</v>
      </c>
      <c r="G1976" t="str">
        <f>"300115"</f>
        <v>300115</v>
      </c>
      <c r="H1976" t="s">
        <v>2938</v>
      </c>
      <c r="I1976">
        <v>270429.69799999997</v>
      </c>
    </row>
    <row r="1977" spans="1:9" x14ac:dyDescent="0.25">
      <c r="A1977" t="s">
        <v>9616</v>
      </c>
      <c r="C1977" t="s">
        <v>9617</v>
      </c>
      <c r="D1977" t="str">
        <f>"10138592"</f>
        <v>10138592</v>
      </c>
      <c r="E1977" t="s">
        <v>9189</v>
      </c>
      <c r="F1977" s="1">
        <v>44622</v>
      </c>
      <c r="G1977" t="str">
        <f>"300115"</f>
        <v>300115</v>
      </c>
      <c r="H1977" t="s">
        <v>2938</v>
      </c>
      <c r="I1977">
        <v>368883.25760000001</v>
      </c>
    </row>
    <row r="1978" spans="1:9" x14ac:dyDescent="0.25">
      <c r="A1978" t="s">
        <v>9616</v>
      </c>
      <c r="C1978" t="s">
        <v>9617</v>
      </c>
      <c r="D1978" t="s">
        <v>10587</v>
      </c>
      <c r="E1978" t="s">
        <v>10588</v>
      </c>
      <c r="F1978" s="1">
        <v>44622</v>
      </c>
      <c r="G1978" t="str">
        <f>"300321"</f>
        <v>300321</v>
      </c>
      <c r="H1978" t="s">
        <v>2706</v>
      </c>
      <c r="I1978">
        <v>15500</v>
      </c>
    </row>
    <row r="1979" spans="1:9" x14ac:dyDescent="0.25">
      <c r="A1979" t="s">
        <v>9616</v>
      </c>
      <c r="C1979" t="s">
        <v>9617</v>
      </c>
      <c r="D1979" t="str">
        <f>"15392"</f>
        <v>15392</v>
      </c>
      <c r="E1979" s="4">
        <v>44774</v>
      </c>
      <c r="F1979" s="1">
        <v>44623</v>
      </c>
      <c r="G1979" t="str">
        <f>"300043"</f>
        <v>300043</v>
      </c>
      <c r="H1979" t="s">
        <v>2876</v>
      </c>
      <c r="I1979">
        <v>609</v>
      </c>
    </row>
    <row r="1980" spans="1:9" x14ac:dyDescent="0.25">
      <c r="A1980" t="s">
        <v>9616</v>
      </c>
      <c r="C1980" t="s">
        <v>9617</v>
      </c>
      <c r="D1980" t="str">
        <f>"121122"</f>
        <v>121122</v>
      </c>
      <c r="E1980" s="4">
        <v>44774</v>
      </c>
      <c r="F1980" s="1">
        <v>44623</v>
      </c>
      <c r="G1980" t="str">
        <f>"300101"</f>
        <v>300101</v>
      </c>
      <c r="H1980" t="s">
        <v>2926</v>
      </c>
      <c r="I1980">
        <v>3299.75</v>
      </c>
    </row>
    <row r="1981" spans="1:9" x14ac:dyDescent="0.25">
      <c r="A1981" t="s">
        <v>9616</v>
      </c>
      <c r="C1981" t="s">
        <v>9617</v>
      </c>
      <c r="D1981" t="str">
        <f>"10138587"</f>
        <v>10138587</v>
      </c>
      <c r="E1981" t="s">
        <v>9189</v>
      </c>
      <c r="F1981" s="1">
        <v>44623</v>
      </c>
      <c r="G1981" t="str">
        <f>"300115"</f>
        <v>300115</v>
      </c>
      <c r="H1981" t="s">
        <v>2938</v>
      </c>
      <c r="I1981">
        <v>368883.25760000001</v>
      </c>
    </row>
    <row r="1982" spans="1:9" x14ac:dyDescent="0.25">
      <c r="A1982" t="s">
        <v>9616</v>
      </c>
      <c r="C1982" t="s">
        <v>9617</v>
      </c>
      <c r="D1982" t="str">
        <f>"10138597"</f>
        <v>10138597</v>
      </c>
      <c r="E1982" t="s">
        <v>10589</v>
      </c>
      <c r="F1982" s="1">
        <v>44623</v>
      </c>
      <c r="G1982" t="str">
        <f>"300115"</f>
        <v>300115</v>
      </c>
      <c r="H1982" t="s">
        <v>2938</v>
      </c>
      <c r="I1982">
        <v>226913.742</v>
      </c>
    </row>
    <row r="1983" spans="1:9" x14ac:dyDescent="0.25">
      <c r="A1983" t="s">
        <v>9616</v>
      </c>
      <c r="C1983" t="s">
        <v>9617</v>
      </c>
      <c r="D1983" t="str">
        <f>"10138599"</f>
        <v>10138599</v>
      </c>
      <c r="E1983" t="s">
        <v>9191</v>
      </c>
      <c r="F1983" s="1">
        <v>44623</v>
      </c>
      <c r="G1983" t="str">
        <f>"300115"</f>
        <v>300115</v>
      </c>
      <c r="H1983" t="s">
        <v>2938</v>
      </c>
      <c r="I1983">
        <v>77808.301999999996</v>
      </c>
    </row>
    <row r="1984" spans="1:9" x14ac:dyDescent="0.25">
      <c r="A1984" t="s">
        <v>9616</v>
      </c>
      <c r="C1984" t="s">
        <v>9617</v>
      </c>
      <c r="D1984" t="s">
        <v>10590</v>
      </c>
      <c r="E1984" t="s">
        <v>10591</v>
      </c>
      <c r="F1984" s="1">
        <v>44623</v>
      </c>
      <c r="G1984" t="str">
        <f>"300321"</f>
        <v>300321</v>
      </c>
      <c r="H1984" t="s">
        <v>2706</v>
      </c>
      <c r="I1984">
        <v>15500</v>
      </c>
    </row>
    <row r="1985" spans="1:9" x14ac:dyDescent="0.25">
      <c r="A1985" t="s">
        <v>9616</v>
      </c>
      <c r="C1985" t="s">
        <v>9617</v>
      </c>
      <c r="D1985" t="s">
        <v>10592</v>
      </c>
      <c r="E1985" t="s">
        <v>10593</v>
      </c>
      <c r="F1985" s="1">
        <v>44623</v>
      </c>
      <c r="G1985" t="str">
        <f>"300321"</f>
        <v>300321</v>
      </c>
      <c r="H1985" t="s">
        <v>2706</v>
      </c>
      <c r="I1985">
        <v>15500</v>
      </c>
    </row>
    <row r="1986" spans="1:9" x14ac:dyDescent="0.25">
      <c r="A1986" t="s">
        <v>9616</v>
      </c>
      <c r="C1986" t="s">
        <v>9617</v>
      </c>
      <c r="D1986" t="str">
        <f>"15770"</f>
        <v>15770</v>
      </c>
      <c r="E1986" t="s">
        <v>10588</v>
      </c>
      <c r="F1986" s="1">
        <v>44624</v>
      </c>
      <c r="G1986" t="str">
        <f>"300043"</f>
        <v>300043</v>
      </c>
      <c r="H1986" t="s">
        <v>2876</v>
      </c>
      <c r="I1986">
        <v>1073</v>
      </c>
    </row>
    <row r="1987" spans="1:9" x14ac:dyDescent="0.25">
      <c r="A1987" t="s">
        <v>9616</v>
      </c>
      <c r="C1987" t="s">
        <v>9617</v>
      </c>
      <c r="D1987" t="str">
        <f>"15855"</f>
        <v>15855</v>
      </c>
      <c r="E1987" t="s">
        <v>10593</v>
      </c>
      <c r="F1987" s="1">
        <v>44624</v>
      </c>
      <c r="G1987" t="str">
        <f>"300043"</f>
        <v>300043</v>
      </c>
      <c r="H1987" t="s">
        <v>2876</v>
      </c>
      <c r="I1987">
        <v>1393</v>
      </c>
    </row>
    <row r="1988" spans="1:9" x14ac:dyDescent="0.25">
      <c r="A1988" t="s">
        <v>9616</v>
      </c>
      <c r="C1988" t="s">
        <v>9617</v>
      </c>
      <c r="D1988" t="str">
        <f>"15858"</f>
        <v>15858</v>
      </c>
      <c r="E1988" t="s">
        <v>10591</v>
      </c>
      <c r="F1988" s="1">
        <v>44624</v>
      </c>
      <c r="G1988" t="str">
        <f>"300043"</f>
        <v>300043</v>
      </c>
      <c r="H1988" t="s">
        <v>2876</v>
      </c>
      <c r="I1988">
        <v>1393</v>
      </c>
    </row>
    <row r="1989" spans="1:9" x14ac:dyDescent="0.25">
      <c r="A1989" t="s">
        <v>9616</v>
      </c>
      <c r="C1989" t="s">
        <v>9617</v>
      </c>
      <c r="D1989" t="str">
        <f>"20501993"</f>
        <v>20501993</v>
      </c>
      <c r="E1989" t="s">
        <v>10593</v>
      </c>
      <c r="F1989" s="1">
        <v>44624</v>
      </c>
      <c r="G1989" t="str">
        <f>"300043"</f>
        <v>300043</v>
      </c>
      <c r="H1989" t="s">
        <v>2876</v>
      </c>
      <c r="I1989">
        <v>1896</v>
      </c>
    </row>
    <row r="1990" spans="1:9" x14ac:dyDescent="0.25">
      <c r="A1990" t="s">
        <v>9616</v>
      </c>
      <c r="C1990" t="s">
        <v>9617</v>
      </c>
      <c r="D1990" t="str">
        <f>"10138651"</f>
        <v>10138651</v>
      </c>
      <c r="E1990" t="s">
        <v>9189</v>
      </c>
      <c r="F1990" s="1">
        <v>44627</v>
      </c>
      <c r="G1990" t="str">
        <f>"300115"</f>
        <v>300115</v>
      </c>
      <c r="H1990" t="s">
        <v>2938</v>
      </c>
      <c r="I1990">
        <v>270565.54800000001</v>
      </c>
    </row>
    <row r="1991" spans="1:9" x14ac:dyDescent="0.25">
      <c r="A1991" t="s">
        <v>9616</v>
      </c>
      <c r="C1991" t="s">
        <v>9617</v>
      </c>
      <c r="D1991" t="str">
        <f>"20220001617"</f>
        <v>20220001617</v>
      </c>
      <c r="E1991" t="s">
        <v>10586</v>
      </c>
      <c r="F1991" s="1">
        <v>44627</v>
      </c>
      <c r="G1991" t="str">
        <f>"300191"</f>
        <v>300191</v>
      </c>
      <c r="H1991" t="s">
        <v>3008</v>
      </c>
      <c r="I1991">
        <v>3161.24</v>
      </c>
    </row>
    <row r="1992" spans="1:9" x14ac:dyDescent="0.25">
      <c r="A1992" t="s">
        <v>9616</v>
      </c>
      <c r="C1992" t="s">
        <v>9617</v>
      </c>
      <c r="D1992" t="str">
        <f>"20220001618"</f>
        <v>20220001618</v>
      </c>
      <c r="E1992" t="s">
        <v>10581</v>
      </c>
      <c r="F1992" s="1">
        <v>44627</v>
      </c>
      <c r="G1992" t="str">
        <f>"300191"</f>
        <v>300191</v>
      </c>
      <c r="H1992" t="s">
        <v>3008</v>
      </c>
      <c r="I1992">
        <v>3161.24</v>
      </c>
    </row>
    <row r="1993" spans="1:9" x14ac:dyDescent="0.25">
      <c r="A1993" t="s">
        <v>9616</v>
      </c>
      <c r="C1993" t="s">
        <v>9617</v>
      </c>
      <c r="D1993" t="str">
        <f>"20220001625"</f>
        <v>20220001625</v>
      </c>
      <c r="E1993" t="s">
        <v>10552</v>
      </c>
      <c r="F1993" s="1">
        <v>44627</v>
      </c>
      <c r="G1993" t="str">
        <f>"300191"</f>
        <v>300191</v>
      </c>
      <c r="H1993" t="s">
        <v>3008</v>
      </c>
      <c r="I1993">
        <v>11234.89</v>
      </c>
    </row>
    <row r="1994" spans="1:9" x14ac:dyDescent="0.25">
      <c r="A1994" t="s">
        <v>9616</v>
      </c>
      <c r="C1994" t="s">
        <v>9617</v>
      </c>
      <c r="D1994" t="str">
        <f>"20220001626"</f>
        <v>20220001626</v>
      </c>
      <c r="E1994" t="s">
        <v>10584</v>
      </c>
      <c r="F1994" s="1">
        <v>44627</v>
      </c>
      <c r="G1994" t="str">
        <f>"300191"</f>
        <v>300191</v>
      </c>
      <c r="H1994" t="s">
        <v>3008</v>
      </c>
      <c r="I1994">
        <v>3161.24</v>
      </c>
    </row>
    <row r="1995" spans="1:9" x14ac:dyDescent="0.25">
      <c r="A1995" t="s">
        <v>9616</v>
      </c>
      <c r="C1995" t="s">
        <v>9617</v>
      </c>
      <c r="D1995" t="str">
        <f>"100044680"</f>
        <v>100044680</v>
      </c>
      <c r="E1995" t="s">
        <v>9326</v>
      </c>
      <c r="F1995" s="1">
        <v>44627</v>
      </c>
      <c r="G1995" t="str">
        <f>"300226"</f>
        <v>300226</v>
      </c>
      <c r="H1995" t="s">
        <v>3025</v>
      </c>
      <c r="I1995">
        <v>85050</v>
      </c>
    </row>
    <row r="1996" spans="1:9" x14ac:dyDescent="0.25">
      <c r="A1996" t="s">
        <v>9616</v>
      </c>
      <c r="C1996" t="s">
        <v>9617</v>
      </c>
      <c r="D1996" t="s">
        <v>10594</v>
      </c>
      <c r="E1996" t="s">
        <v>10595</v>
      </c>
      <c r="F1996" s="1">
        <v>44627</v>
      </c>
      <c r="G1996" t="str">
        <f>"300321"</f>
        <v>300321</v>
      </c>
      <c r="H1996" t="s">
        <v>2706</v>
      </c>
      <c r="I1996">
        <v>15500</v>
      </c>
    </row>
    <row r="1997" spans="1:9" x14ac:dyDescent="0.25">
      <c r="A1997" t="s">
        <v>9616</v>
      </c>
      <c r="C1997" t="s">
        <v>9617</v>
      </c>
      <c r="D1997" t="str">
        <f>"16477"</f>
        <v>16477</v>
      </c>
      <c r="E1997" s="4">
        <v>44835</v>
      </c>
      <c r="F1997" s="1">
        <v>44628</v>
      </c>
      <c r="G1997" t="str">
        <f>"300043"</f>
        <v>300043</v>
      </c>
      <c r="H1997" t="s">
        <v>2876</v>
      </c>
      <c r="I1997">
        <v>1151</v>
      </c>
    </row>
    <row r="1998" spans="1:9" x14ac:dyDescent="0.25">
      <c r="A1998" t="s">
        <v>9616</v>
      </c>
      <c r="C1998" t="s">
        <v>9617</v>
      </c>
      <c r="D1998" t="str">
        <f>"121522"</f>
        <v>121522</v>
      </c>
      <c r="E1998" s="4">
        <v>44835</v>
      </c>
      <c r="F1998" s="1">
        <v>44628</v>
      </c>
      <c r="G1998" t="str">
        <f>"300101"</f>
        <v>300101</v>
      </c>
      <c r="H1998" t="s">
        <v>2926</v>
      </c>
      <c r="I1998">
        <v>3610.98</v>
      </c>
    </row>
    <row r="1999" spans="1:9" x14ac:dyDescent="0.25">
      <c r="A1999" t="s">
        <v>9616</v>
      </c>
      <c r="C1999" t="s">
        <v>9617</v>
      </c>
      <c r="D1999" t="str">
        <f>"10138673"</f>
        <v>10138673</v>
      </c>
      <c r="E1999" t="s">
        <v>9189</v>
      </c>
      <c r="F1999" s="1">
        <v>44628</v>
      </c>
      <c r="G1999" t="str">
        <f>"300115"</f>
        <v>300115</v>
      </c>
      <c r="H1999" t="s">
        <v>2938</v>
      </c>
      <c r="I1999">
        <v>345087.56699999998</v>
      </c>
    </row>
    <row r="2000" spans="1:9" x14ac:dyDescent="0.25">
      <c r="A2000" t="s">
        <v>9616</v>
      </c>
      <c r="C2000" t="s">
        <v>9617</v>
      </c>
      <c r="D2000" t="str">
        <f>"10138674"</f>
        <v>10138674</v>
      </c>
      <c r="E2000" t="s">
        <v>10596</v>
      </c>
      <c r="F2000" s="1">
        <v>44628</v>
      </c>
      <c r="G2000" t="str">
        <f>"300115"</f>
        <v>300115</v>
      </c>
      <c r="H2000" t="s">
        <v>2938</v>
      </c>
      <c r="I2000">
        <v>270565.54800000001</v>
      </c>
    </row>
    <row r="2001" spans="1:9" x14ac:dyDescent="0.25">
      <c r="A2001" t="s">
        <v>9616</v>
      </c>
      <c r="C2001" t="s">
        <v>9617</v>
      </c>
      <c r="D2001" t="s">
        <v>10597</v>
      </c>
      <c r="E2001" t="s">
        <v>9971</v>
      </c>
      <c r="F2001" s="1">
        <v>44628</v>
      </c>
      <c r="G2001" t="str">
        <f>"300133"</f>
        <v>300133</v>
      </c>
      <c r="H2001" t="s">
        <v>2955</v>
      </c>
      <c r="I2001">
        <v>11992.5</v>
      </c>
    </row>
    <row r="2002" spans="1:9" x14ac:dyDescent="0.25">
      <c r="A2002" t="s">
        <v>9616</v>
      </c>
      <c r="C2002" t="s">
        <v>9617</v>
      </c>
      <c r="D2002" t="s">
        <v>10598</v>
      </c>
      <c r="E2002" t="s">
        <v>9921</v>
      </c>
      <c r="F2002" s="1">
        <v>44628</v>
      </c>
      <c r="G2002" t="str">
        <f>"300133"</f>
        <v>300133</v>
      </c>
      <c r="H2002" t="s">
        <v>2955</v>
      </c>
      <c r="I2002">
        <v>28592.400000000001</v>
      </c>
    </row>
    <row r="2003" spans="1:9" x14ac:dyDescent="0.25">
      <c r="A2003" t="s">
        <v>9616</v>
      </c>
      <c r="C2003" t="s">
        <v>9617</v>
      </c>
      <c r="D2003" t="s">
        <v>10599</v>
      </c>
      <c r="E2003" t="s">
        <v>10600</v>
      </c>
      <c r="F2003" s="1">
        <v>44628</v>
      </c>
      <c r="G2003" t="str">
        <f>"300321"</f>
        <v>300321</v>
      </c>
      <c r="H2003" t="s">
        <v>2706</v>
      </c>
      <c r="I2003">
        <v>15500</v>
      </c>
    </row>
    <row r="2004" spans="1:9" x14ac:dyDescent="0.25">
      <c r="A2004" t="s">
        <v>9616</v>
      </c>
      <c r="C2004" t="s">
        <v>9617</v>
      </c>
      <c r="D2004" t="s">
        <v>10601</v>
      </c>
      <c r="E2004" t="s">
        <v>10602</v>
      </c>
      <c r="F2004" s="1">
        <v>44628</v>
      </c>
      <c r="G2004" t="str">
        <f>"300321"</f>
        <v>300321</v>
      </c>
      <c r="H2004" t="s">
        <v>2706</v>
      </c>
      <c r="I2004">
        <v>15500</v>
      </c>
    </row>
    <row r="2005" spans="1:9" x14ac:dyDescent="0.25">
      <c r="A2005" t="s">
        <v>9616</v>
      </c>
      <c r="C2005" t="s">
        <v>9617</v>
      </c>
      <c r="D2005" t="str">
        <f>"17082"</f>
        <v>17082</v>
      </c>
      <c r="E2005" t="s">
        <v>10595</v>
      </c>
      <c r="F2005" s="1">
        <v>44629</v>
      </c>
      <c r="G2005" t="str">
        <f>"300043"</f>
        <v>300043</v>
      </c>
      <c r="H2005" t="s">
        <v>2876</v>
      </c>
      <c r="I2005">
        <v>1093</v>
      </c>
    </row>
    <row r="2006" spans="1:9" x14ac:dyDescent="0.25">
      <c r="A2006" t="s">
        <v>9616</v>
      </c>
      <c r="C2006" t="s">
        <v>9617</v>
      </c>
      <c r="D2006" t="str">
        <f>"17163"</f>
        <v>17163</v>
      </c>
      <c r="E2006" t="s">
        <v>10600</v>
      </c>
      <c r="F2006" s="1">
        <v>44629</v>
      </c>
      <c r="G2006" t="str">
        <f>"300043"</f>
        <v>300043</v>
      </c>
      <c r="H2006" t="s">
        <v>2876</v>
      </c>
      <c r="I2006">
        <v>1093</v>
      </c>
    </row>
    <row r="2007" spans="1:9" x14ac:dyDescent="0.25">
      <c r="A2007" t="s">
        <v>9616</v>
      </c>
      <c r="C2007" t="s">
        <v>9617</v>
      </c>
      <c r="D2007" t="str">
        <f>"17173"</f>
        <v>17173</v>
      </c>
      <c r="E2007" t="s">
        <v>10602</v>
      </c>
      <c r="F2007" s="1">
        <v>44629</v>
      </c>
      <c r="G2007" t="str">
        <f>"300043"</f>
        <v>300043</v>
      </c>
      <c r="H2007" t="s">
        <v>2876</v>
      </c>
      <c r="I2007">
        <v>1337</v>
      </c>
    </row>
    <row r="2008" spans="1:9" x14ac:dyDescent="0.25">
      <c r="A2008" t="s">
        <v>9616</v>
      </c>
      <c r="C2008" t="s">
        <v>9617</v>
      </c>
      <c r="D2008" t="str">
        <f>"20501695"</f>
        <v>20501695</v>
      </c>
      <c r="E2008" t="s">
        <v>10602</v>
      </c>
      <c r="F2008" s="1">
        <v>44629</v>
      </c>
      <c r="G2008" t="str">
        <f>"300043"</f>
        <v>300043</v>
      </c>
      <c r="H2008" t="s">
        <v>2876</v>
      </c>
      <c r="I2008">
        <v>1443</v>
      </c>
    </row>
    <row r="2009" spans="1:9" x14ac:dyDescent="0.25">
      <c r="A2009" t="s">
        <v>9616</v>
      </c>
      <c r="C2009" t="s">
        <v>9617</v>
      </c>
      <c r="D2009" t="str">
        <f>"20909019"</f>
        <v>20909019</v>
      </c>
      <c r="E2009" t="s">
        <v>10600</v>
      </c>
      <c r="F2009" s="1">
        <v>44629</v>
      </c>
      <c r="G2009" t="str">
        <f>"300043"</f>
        <v>300043</v>
      </c>
      <c r="H2009" t="s">
        <v>2876</v>
      </c>
      <c r="I2009">
        <v>1678</v>
      </c>
    </row>
    <row r="2010" spans="1:9" x14ac:dyDescent="0.25">
      <c r="A2010" t="s">
        <v>9616</v>
      </c>
      <c r="C2010" t="s">
        <v>9617</v>
      </c>
      <c r="D2010" t="str">
        <f>"20220001688"</f>
        <v>20220001688</v>
      </c>
      <c r="E2010" t="s">
        <v>10593</v>
      </c>
      <c r="F2010" s="1">
        <v>44629</v>
      </c>
      <c r="G2010" t="str">
        <f>"300191"</f>
        <v>300191</v>
      </c>
      <c r="H2010" t="s">
        <v>3008</v>
      </c>
      <c r="I2010">
        <v>3150.75</v>
      </c>
    </row>
    <row r="2011" spans="1:9" x14ac:dyDescent="0.25">
      <c r="A2011" t="s">
        <v>9616</v>
      </c>
      <c r="C2011" t="s">
        <v>9617</v>
      </c>
      <c r="D2011" t="str">
        <f>"20220001695"</f>
        <v>20220001695</v>
      </c>
      <c r="E2011" t="s">
        <v>10591</v>
      </c>
      <c r="F2011" s="1">
        <v>44629</v>
      </c>
      <c r="G2011" t="str">
        <f>"300191"</f>
        <v>300191</v>
      </c>
      <c r="H2011" t="s">
        <v>3008</v>
      </c>
      <c r="I2011">
        <v>3150.75</v>
      </c>
    </row>
    <row r="2012" spans="1:9" x14ac:dyDescent="0.25">
      <c r="A2012" t="s">
        <v>9616</v>
      </c>
      <c r="C2012" t="s">
        <v>9617</v>
      </c>
      <c r="D2012" t="str">
        <f>"20220001696"</f>
        <v>20220001696</v>
      </c>
      <c r="E2012" t="s">
        <v>10588</v>
      </c>
      <c r="F2012" s="1">
        <v>44629</v>
      </c>
      <c r="G2012" t="str">
        <f>"300191"</f>
        <v>300191</v>
      </c>
      <c r="H2012" t="s">
        <v>3008</v>
      </c>
      <c r="I2012">
        <v>3150.75</v>
      </c>
    </row>
    <row r="2013" spans="1:9" x14ac:dyDescent="0.25">
      <c r="A2013" t="s">
        <v>9616</v>
      </c>
      <c r="C2013" t="s">
        <v>9617</v>
      </c>
      <c r="D2013" t="str">
        <f>"10138741"</f>
        <v>10138741</v>
      </c>
      <c r="E2013" t="s">
        <v>2172</v>
      </c>
      <c r="F2013" s="1">
        <v>44630</v>
      </c>
      <c r="G2013" t="str">
        <f>"300115"</f>
        <v>300115</v>
      </c>
      <c r="H2013" t="s">
        <v>2938</v>
      </c>
      <c r="I2013">
        <v>270565.54800000001</v>
      </c>
    </row>
    <row r="2014" spans="1:9" x14ac:dyDescent="0.25">
      <c r="A2014" t="s">
        <v>9616</v>
      </c>
      <c r="C2014" t="s">
        <v>9617</v>
      </c>
      <c r="D2014" t="str">
        <f>"10138742"</f>
        <v>10138742</v>
      </c>
      <c r="E2014" t="s">
        <v>2172</v>
      </c>
      <c r="F2014" s="1">
        <v>44630</v>
      </c>
      <c r="G2014" t="str">
        <f>"300115"</f>
        <v>300115</v>
      </c>
      <c r="H2014" t="s">
        <v>2938</v>
      </c>
      <c r="I2014">
        <v>273303.03769999999</v>
      </c>
    </row>
    <row r="2015" spans="1:9" x14ac:dyDescent="0.25">
      <c r="A2015" t="s">
        <v>9616</v>
      </c>
      <c r="C2015" t="s">
        <v>9617</v>
      </c>
      <c r="D2015" t="s">
        <v>10603</v>
      </c>
      <c r="E2015" t="s">
        <v>10089</v>
      </c>
      <c r="F2015" s="1">
        <v>44630</v>
      </c>
      <c r="G2015" t="str">
        <f>"300133"</f>
        <v>300133</v>
      </c>
      <c r="H2015" t="s">
        <v>2955</v>
      </c>
      <c r="I2015">
        <v>40516.800000000003</v>
      </c>
    </row>
    <row r="2016" spans="1:9" x14ac:dyDescent="0.25">
      <c r="A2016" t="s">
        <v>9616</v>
      </c>
      <c r="C2016" t="s">
        <v>9617</v>
      </c>
      <c r="D2016" t="s">
        <v>10604</v>
      </c>
      <c r="E2016" t="s">
        <v>10605</v>
      </c>
      <c r="F2016" s="1">
        <v>44630</v>
      </c>
      <c r="G2016" t="str">
        <f>"300321"</f>
        <v>300321</v>
      </c>
      <c r="H2016" t="s">
        <v>2706</v>
      </c>
      <c r="I2016">
        <v>13500</v>
      </c>
    </row>
    <row r="2017" spans="1:9" x14ac:dyDescent="0.25">
      <c r="A2017" t="s">
        <v>9616</v>
      </c>
      <c r="C2017" t="s">
        <v>9617</v>
      </c>
      <c r="D2017" t="s">
        <v>10606</v>
      </c>
      <c r="E2017" t="s">
        <v>10607</v>
      </c>
      <c r="F2017" s="1">
        <v>44630</v>
      </c>
      <c r="G2017" t="str">
        <f>"300321"</f>
        <v>300321</v>
      </c>
      <c r="H2017" t="s">
        <v>2706</v>
      </c>
      <c r="I2017">
        <v>13500</v>
      </c>
    </row>
    <row r="2018" spans="1:9" x14ac:dyDescent="0.25">
      <c r="A2018" t="s">
        <v>9616</v>
      </c>
      <c r="C2018" t="s">
        <v>9617</v>
      </c>
      <c r="D2018" t="str">
        <f>"548526"</f>
        <v>548526</v>
      </c>
      <c r="F2018" s="1">
        <v>44630</v>
      </c>
      <c r="G2018" t="str">
        <f>"300337"</f>
        <v>300337</v>
      </c>
      <c r="H2018" t="s">
        <v>3077</v>
      </c>
      <c r="I2018">
        <v>61078.16</v>
      </c>
    </row>
    <row r="2019" spans="1:9" x14ac:dyDescent="0.25">
      <c r="A2019" t="s">
        <v>9616</v>
      </c>
      <c r="C2019" t="s">
        <v>9617</v>
      </c>
      <c r="D2019" t="str">
        <f>"17728"</f>
        <v>17728</v>
      </c>
      <c r="E2019" t="s">
        <v>10605</v>
      </c>
      <c r="F2019" s="1">
        <v>44631</v>
      </c>
      <c r="G2019" t="str">
        <f>"300043"</f>
        <v>300043</v>
      </c>
      <c r="H2019" t="s">
        <v>2876</v>
      </c>
      <c r="I2019">
        <v>1093</v>
      </c>
    </row>
    <row r="2020" spans="1:9" x14ac:dyDescent="0.25">
      <c r="A2020" t="s">
        <v>9616</v>
      </c>
      <c r="C2020" t="s">
        <v>9617</v>
      </c>
      <c r="D2020" t="str">
        <f>"17741"</f>
        <v>17741</v>
      </c>
      <c r="E2020" t="s">
        <v>10607</v>
      </c>
      <c r="F2020" s="1">
        <v>44631</v>
      </c>
      <c r="G2020" t="str">
        <f>"300043"</f>
        <v>300043</v>
      </c>
      <c r="H2020" t="s">
        <v>2876</v>
      </c>
      <c r="I2020">
        <v>1084</v>
      </c>
    </row>
    <row r="2021" spans="1:9" x14ac:dyDescent="0.25">
      <c r="A2021" t="s">
        <v>9616</v>
      </c>
      <c r="C2021" t="s">
        <v>9617</v>
      </c>
      <c r="D2021" t="str">
        <f>"10138805"</f>
        <v>10138805</v>
      </c>
      <c r="E2021" t="s">
        <v>9183</v>
      </c>
      <c r="F2021" s="1">
        <v>44631</v>
      </c>
      <c r="G2021" t="str">
        <f>"300115"</f>
        <v>300115</v>
      </c>
      <c r="H2021" t="s">
        <v>2938</v>
      </c>
      <c r="I2021">
        <v>132859.4663</v>
      </c>
    </row>
    <row r="2022" spans="1:9" x14ac:dyDescent="0.25">
      <c r="A2022" t="s">
        <v>9616</v>
      </c>
      <c r="C2022" t="s">
        <v>9617</v>
      </c>
      <c r="D2022" t="s">
        <v>10608</v>
      </c>
      <c r="E2022" t="s">
        <v>10609</v>
      </c>
      <c r="F2022" s="1">
        <v>44631</v>
      </c>
      <c r="G2022" t="str">
        <f>"300133"</f>
        <v>300133</v>
      </c>
      <c r="H2022" t="s">
        <v>2955</v>
      </c>
      <c r="I2022">
        <v>55017.599999999999</v>
      </c>
    </row>
    <row r="2023" spans="1:9" x14ac:dyDescent="0.25">
      <c r="A2023" t="s">
        <v>9616</v>
      </c>
      <c r="C2023" t="s">
        <v>9617</v>
      </c>
      <c r="D2023" t="str">
        <f>"548529"</f>
        <v>548529</v>
      </c>
      <c r="F2023" s="1">
        <v>44631</v>
      </c>
      <c r="G2023" t="str">
        <f>"300337"</f>
        <v>300337</v>
      </c>
      <c r="H2023" t="s">
        <v>3077</v>
      </c>
      <c r="I2023">
        <v>61268.13</v>
      </c>
    </row>
    <row r="2024" spans="1:9" x14ac:dyDescent="0.25">
      <c r="A2024" t="s">
        <v>9616</v>
      </c>
      <c r="C2024" t="s">
        <v>9617</v>
      </c>
      <c r="D2024" t="str">
        <f>"20220001794"</f>
        <v>20220001794</v>
      </c>
      <c r="E2024" t="s">
        <v>10595</v>
      </c>
      <c r="F2024" s="1">
        <v>44634</v>
      </c>
      <c r="G2024" t="str">
        <f>"300191"</f>
        <v>300191</v>
      </c>
      <c r="H2024" t="s">
        <v>3008</v>
      </c>
      <c r="I2024">
        <v>3197.26</v>
      </c>
    </row>
    <row r="2025" spans="1:9" x14ac:dyDescent="0.25">
      <c r="A2025" t="s">
        <v>9616</v>
      </c>
      <c r="C2025" t="s">
        <v>9617</v>
      </c>
      <c r="D2025" t="str">
        <f>"20220001796"</f>
        <v>20220001796</v>
      </c>
      <c r="E2025" t="s">
        <v>10602</v>
      </c>
      <c r="F2025" s="1">
        <v>44634</v>
      </c>
      <c r="G2025" t="str">
        <f>"300191"</f>
        <v>300191</v>
      </c>
      <c r="H2025" t="s">
        <v>3008</v>
      </c>
      <c r="I2025">
        <v>3197.26</v>
      </c>
    </row>
    <row r="2026" spans="1:9" x14ac:dyDescent="0.25">
      <c r="A2026" t="s">
        <v>9616</v>
      </c>
      <c r="C2026" t="s">
        <v>9617</v>
      </c>
      <c r="D2026" t="str">
        <f>"20220001813"</f>
        <v>20220001813</v>
      </c>
      <c r="E2026" t="s">
        <v>10600</v>
      </c>
      <c r="F2026" s="1">
        <v>44634</v>
      </c>
      <c r="G2026" t="str">
        <f>"300191"</f>
        <v>300191</v>
      </c>
      <c r="H2026" t="s">
        <v>3008</v>
      </c>
      <c r="I2026">
        <v>3153.76</v>
      </c>
    </row>
    <row r="2027" spans="1:9" x14ac:dyDescent="0.25">
      <c r="A2027" t="s">
        <v>9616</v>
      </c>
      <c r="C2027" t="s">
        <v>9617</v>
      </c>
      <c r="D2027" t="str">
        <f>"10138830"</f>
        <v>10138830</v>
      </c>
      <c r="E2027" t="s">
        <v>9239</v>
      </c>
      <c r="F2027" s="1">
        <v>44635</v>
      </c>
      <c r="G2027" t="str">
        <f>"300115"</f>
        <v>300115</v>
      </c>
      <c r="H2027" t="s">
        <v>2938</v>
      </c>
      <c r="I2027">
        <v>368883.25760000001</v>
      </c>
    </row>
    <row r="2028" spans="1:9" x14ac:dyDescent="0.25">
      <c r="A2028" t="s">
        <v>9616</v>
      </c>
      <c r="C2028" t="s">
        <v>9617</v>
      </c>
      <c r="D2028" t="s">
        <v>10610</v>
      </c>
      <c r="E2028" t="s">
        <v>10611</v>
      </c>
      <c r="F2028" s="1">
        <v>44635</v>
      </c>
      <c r="G2028" t="str">
        <f>"300321"</f>
        <v>300321</v>
      </c>
      <c r="H2028" t="s">
        <v>2706</v>
      </c>
      <c r="I2028">
        <v>15500</v>
      </c>
    </row>
    <row r="2029" spans="1:9" x14ac:dyDescent="0.25">
      <c r="A2029" t="s">
        <v>9616</v>
      </c>
      <c r="C2029" t="s">
        <v>9617</v>
      </c>
      <c r="D2029" t="str">
        <f>"18966"</f>
        <v>18966</v>
      </c>
      <c r="E2029" s="4">
        <v>44866</v>
      </c>
      <c r="F2029" s="1">
        <v>44636</v>
      </c>
      <c r="G2029" t="str">
        <f>"300043"</f>
        <v>300043</v>
      </c>
      <c r="H2029" t="s">
        <v>2876</v>
      </c>
      <c r="I2029">
        <v>601</v>
      </c>
    </row>
    <row r="2030" spans="1:9" x14ac:dyDescent="0.25">
      <c r="A2030" t="s">
        <v>9616</v>
      </c>
      <c r="C2030" t="s">
        <v>9617</v>
      </c>
      <c r="D2030" t="str">
        <f>"19398"</f>
        <v>19398</v>
      </c>
      <c r="E2030" t="s">
        <v>10611</v>
      </c>
      <c r="F2030" s="1">
        <v>44637</v>
      </c>
      <c r="G2030" t="str">
        <f>"300043"</f>
        <v>300043</v>
      </c>
      <c r="H2030" t="s">
        <v>2876</v>
      </c>
      <c r="I2030">
        <v>1408</v>
      </c>
    </row>
    <row r="2031" spans="1:9" x14ac:dyDescent="0.25">
      <c r="A2031" t="s">
        <v>9616</v>
      </c>
      <c r="C2031" t="s">
        <v>9617</v>
      </c>
      <c r="D2031" t="str">
        <f>"20909209"</f>
        <v>20909209</v>
      </c>
      <c r="E2031" t="s">
        <v>10600</v>
      </c>
      <c r="F2031" s="1">
        <v>44637</v>
      </c>
      <c r="G2031" t="str">
        <f>"300043"</f>
        <v>300043</v>
      </c>
      <c r="H2031" t="s">
        <v>2876</v>
      </c>
      <c r="I2031">
        <v>2344</v>
      </c>
    </row>
    <row r="2032" spans="1:9" x14ac:dyDescent="0.25">
      <c r="A2032" t="s">
        <v>9616</v>
      </c>
      <c r="C2032" t="s">
        <v>9617</v>
      </c>
      <c r="D2032" t="str">
        <f>"20220001940"</f>
        <v>20220001940</v>
      </c>
      <c r="E2032" t="s">
        <v>10607</v>
      </c>
      <c r="F2032" s="1">
        <v>44637</v>
      </c>
      <c r="G2032" t="str">
        <f>"300191"</f>
        <v>300191</v>
      </c>
      <c r="H2032" t="s">
        <v>3008</v>
      </c>
      <c r="I2032">
        <v>3184.36</v>
      </c>
    </row>
    <row r="2033" spans="1:9" x14ac:dyDescent="0.25">
      <c r="A2033" t="s">
        <v>9616</v>
      </c>
      <c r="C2033" t="s">
        <v>9617</v>
      </c>
      <c r="D2033" t="str">
        <f>"20220001941"</f>
        <v>20220001941</v>
      </c>
      <c r="E2033" t="s">
        <v>10605</v>
      </c>
      <c r="F2033" s="1">
        <v>44637</v>
      </c>
      <c r="G2033" t="str">
        <f>"300191"</f>
        <v>300191</v>
      </c>
      <c r="H2033" t="s">
        <v>3008</v>
      </c>
      <c r="I2033">
        <v>3184.36</v>
      </c>
    </row>
    <row r="2034" spans="1:9" x14ac:dyDescent="0.25">
      <c r="A2034" t="s">
        <v>9616</v>
      </c>
      <c r="C2034" t="s">
        <v>9617</v>
      </c>
      <c r="D2034" t="s">
        <v>10612</v>
      </c>
      <c r="E2034" t="s">
        <v>9971</v>
      </c>
      <c r="F2034" s="1">
        <v>44638</v>
      </c>
      <c r="G2034" t="str">
        <f>"300133"</f>
        <v>300133</v>
      </c>
      <c r="H2034" t="s">
        <v>2955</v>
      </c>
      <c r="I2034">
        <v>48757.5</v>
      </c>
    </row>
    <row r="2035" spans="1:9" x14ac:dyDescent="0.25">
      <c r="A2035" t="s">
        <v>9616</v>
      </c>
      <c r="C2035" t="s">
        <v>9617</v>
      </c>
      <c r="D2035" t="str">
        <f>"10138849"</f>
        <v>10138849</v>
      </c>
      <c r="E2035" t="s">
        <v>9189</v>
      </c>
      <c r="F2035" s="1">
        <v>44641</v>
      </c>
      <c r="G2035" t="str">
        <f>"300115"</f>
        <v>300115</v>
      </c>
      <c r="H2035" t="s">
        <v>2938</v>
      </c>
      <c r="I2035">
        <v>270565.54800000001</v>
      </c>
    </row>
    <row r="2036" spans="1:9" x14ac:dyDescent="0.25">
      <c r="A2036" t="s">
        <v>9616</v>
      </c>
      <c r="C2036" t="s">
        <v>9617</v>
      </c>
      <c r="D2036" t="str">
        <f>"10138901"</f>
        <v>10138901</v>
      </c>
      <c r="E2036" t="s">
        <v>9269</v>
      </c>
      <c r="F2036" s="1">
        <v>44641</v>
      </c>
      <c r="G2036" t="str">
        <f>"300115"</f>
        <v>300115</v>
      </c>
      <c r="H2036" t="s">
        <v>2938</v>
      </c>
      <c r="I2036">
        <v>385566.32400000002</v>
      </c>
    </row>
    <row r="2037" spans="1:9" x14ac:dyDescent="0.25">
      <c r="A2037" t="s">
        <v>9616</v>
      </c>
      <c r="C2037" t="s">
        <v>9617</v>
      </c>
      <c r="D2037" t="s">
        <v>10613</v>
      </c>
      <c r="E2037" t="s">
        <v>10614</v>
      </c>
      <c r="F2037" s="1">
        <v>44641</v>
      </c>
      <c r="G2037" t="str">
        <f>"300321"</f>
        <v>300321</v>
      </c>
      <c r="H2037" t="s">
        <v>2706</v>
      </c>
      <c r="I2037">
        <v>15500</v>
      </c>
    </row>
    <row r="2038" spans="1:9" x14ac:dyDescent="0.25">
      <c r="A2038" t="s">
        <v>9616</v>
      </c>
      <c r="C2038" t="s">
        <v>9617</v>
      </c>
      <c r="D2038" t="s">
        <v>10615</v>
      </c>
      <c r="E2038" t="s">
        <v>10616</v>
      </c>
      <c r="F2038" s="1">
        <v>44641</v>
      </c>
      <c r="G2038" t="str">
        <f>"300321"</f>
        <v>300321</v>
      </c>
      <c r="H2038" t="s">
        <v>2706</v>
      </c>
      <c r="I2038">
        <v>13500</v>
      </c>
    </row>
    <row r="2039" spans="1:9" x14ac:dyDescent="0.25">
      <c r="A2039" t="s">
        <v>9616</v>
      </c>
      <c r="C2039" t="s">
        <v>9617</v>
      </c>
      <c r="D2039" t="str">
        <f>"20644"</f>
        <v>20644</v>
      </c>
      <c r="E2039" t="s">
        <v>10614</v>
      </c>
      <c r="F2039" s="1">
        <v>44642</v>
      </c>
      <c r="G2039" t="str">
        <f>"300043"</f>
        <v>300043</v>
      </c>
      <c r="H2039" t="s">
        <v>2876</v>
      </c>
      <c r="I2039">
        <v>1077</v>
      </c>
    </row>
    <row r="2040" spans="1:9" x14ac:dyDescent="0.25">
      <c r="A2040" t="s">
        <v>9616</v>
      </c>
      <c r="C2040" t="s">
        <v>9617</v>
      </c>
      <c r="D2040" t="str">
        <f>"20828"</f>
        <v>20828</v>
      </c>
      <c r="E2040" t="s">
        <v>10616</v>
      </c>
      <c r="F2040" s="1">
        <v>44643</v>
      </c>
      <c r="G2040" t="str">
        <f>"300043"</f>
        <v>300043</v>
      </c>
      <c r="H2040" t="s">
        <v>2876</v>
      </c>
      <c r="I2040">
        <v>1444</v>
      </c>
    </row>
    <row r="2041" spans="1:9" x14ac:dyDescent="0.25">
      <c r="A2041" t="s">
        <v>9616</v>
      </c>
      <c r="C2041" t="s">
        <v>9617</v>
      </c>
      <c r="D2041" t="str">
        <f>"20220002127"</f>
        <v>20220002127</v>
      </c>
      <c r="E2041" t="s">
        <v>10611</v>
      </c>
      <c r="F2041" s="1">
        <v>44644</v>
      </c>
      <c r="G2041" t="str">
        <f>"300191"</f>
        <v>300191</v>
      </c>
      <c r="H2041" t="s">
        <v>3008</v>
      </c>
      <c r="I2041">
        <v>3177.26</v>
      </c>
    </row>
    <row r="2042" spans="1:9" x14ac:dyDescent="0.25">
      <c r="A2042" t="s">
        <v>9616</v>
      </c>
      <c r="C2042" t="s">
        <v>9617</v>
      </c>
      <c r="D2042" t="str">
        <f>"20220002128"</f>
        <v>20220002128</v>
      </c>
      <c r="E2042" t="s">
        <v>10614</v>
      </c>
      <c r="F2042" s="1">
        <v>44644</v>
      </c>
      <c r="G2042" t="str">
        <f>"300191"</f>
        <v>300191</v>
      </c>
      <c r="H2042" t="s">
        <v>3008</v>
      </c>
      <c r="I2042">
        <v>3165.27</v>
      </c>
    </row>
    <row r="2043" spans="1:9" x14ac:dyDescent="0.25">
      <c r="A2043" t="s">
        <v>9616</v>
      </c>
      <c r="C2043" t="s">
        <v>9617</v>
      </c>
      <c r="D2043" t="str">
        <f>"142422"</f>
        <v>142422</v>
      </c>
      <c r="E2043" s="4">
        <v>44866</v>
      </c>
      <c r="F2043" s="1">
        <v>44645</v>
      </c>
      <c r="G2043" t="str">
        <f>"300101"</f>
        <v>300101</v>
      </c>
      <c r="H2043" t="s">
        <v>2926</v>
      </c>
      <c r="I2043">
        <v>3312.09</v>
      </c>
    </row>
    <row r="2044" spans="1:9" x14ac:dyDescent="0.25">
      <c r="A2044" t="s">
        <v>9616</v>
      </c>
      <c r="C2044" t="s">
        <v>9617</v>
      </c>
      <c r="D2044" t="str">
        <f>"10138980"</f>
        <v>10138980</v>
      </c>
      <c r="E2044" t="s">
        <v>9191</v>
      </c>
      <c r="F2044" s="1">
        <v>44645</v>
      </c>
      <c r="G2044" t="str">
        <f>"300115"</f>
        <v>300115</v>
      </c>
      <c r="H2044" t="s">
        <v>2938</v>
      </c>
      <c r="I2044">
        <v>138948.0092</v>
      </c>
    </row>
    <row r="2045" spans="1:9" x14ac:dyDescent="0.25">
      <c r="A2045" t="s">
        <v>9616</v>
      </c>
      <c r="C2045" t="s">
        <v>9617</v>
      </c>
      <c r="D2045" t="str">
        <f>"10139018"</f>
        <v>10139018</v>
      </c>
      <c r="E2045" t="s">
        <v>10465</v>
      </c>
      <c r="F2045" s="1">
        <v>44648</v>
      </c>
      <c r="G2045" t="str">
        <f>"300115"</f>
        <v>300115</v>
      </c>
      <c r="H2045" t="s">
        <v>2938</v>
      </c>
      <c r="I2045">
        <v>96984.034400000004</v>
      </c>
    </row>
    <row r="2046" spans="1:9" x14ac:dyDescent="0.25">
      <c r="A2046" t="s">
        <v>9616</v>
      </c>
      <c r="C2046" t="s">
        <v>9617</v>
      </c>
      <c r="D2046" t="str">
        <f>"10139019"</f>
        <v>10139019</v>
      </c>
      <c r="E2046" t="s">
        <v>9189</v>
      </c>
      <c r="F2046" s="1">
        <v>44648</v>
      </c>
      <c r="G2046" t="str">
        <f>"300115"</f>
        <v>300115</v>
      </c>
      <c r="H2046" t="s">
        <v>2938</v>
      </c>
      <c r="I2046">
        <v>96984.034400000004</v>
      </c>
    </row>
    <row r="2047" spans="1:9" x14ac:dyDescent="0.25">
      <c r="A2047" t="s">
        <v>9616</v>
      </c>
      <c r="C2047" t="s">
        <v>9617</v>
      </c>
      <c r="D2047" t="str">
        <f>"10139020"</f>
        <v>10139020</v>
      </c>
      <c r="E2047" t="s">
        <v>9189</v>
      </c>
      <c r="F2047" s="1">
        <v>44648</v>
      </c>
      <c r="G2047" t="str">
        <f>"300115"</f>
        <v>300115</v>
      </c>
      <c r="H2047" t="s">
        <v>2938</v>
      </c>
      <c r="I2047">
        <v>384311.79599999997</v>
      </c>
    </row>
    <row r="2048" spans="1:9" x14ac:dyDescent="0.25">
      <c r="A2048" t="s">
        <v>9616</v>
      </c>
      <c r="C2048" t="s">
        <v>9617</v>
      </c>
      <c r="D2048" t="str">
        <f>"10139021"</f>
        <v>10139021</v>
      </c>
      <c r="E2048" t="s">
        <v>9189</v>
      </c>
      <c r="F2048" s="1">
        <v>44648</v>
      </c>
      <c r="G2048" t="str">
        <f>"300115"</f>
        <v>300115</v>
      </c>
      <c r="H2048" t="s">
        <v>2938</v>
      </c>
      <c r="I2048">
        <v>384311.79599999997</v>
      </c>
    </row>
    <row r="2049" spans="1:9" x14ac:dyDescent="0.25">
      <c r="A2049" t="s">
        <v>9616</v>
      </c>
      <c r="C2049" t="s">
        <v>9617</v>
      </c>
      <c r="D2049" t="s">
        <v>10617</v>
      </c>
      <c r="F2049" s="1">
        <v>44648</v>
      </c>
      <c r="G2049" t="str">
        <f>"300338"</f>
        <v>300338</v>
      </c>
      <c r="H2049" t="s">
        <v>3078</v>
      </c>
      <c r="I2049">
        <v>38307.5</v>
      </c>
    </row>
    <row r="2050" spans="1:9" x14ac:dyDescent="0.25">
      <c r="A2050" t="s">
        <v>9616</v>
      </c>
      <c r="C2050" t="s">
        <v>9617</v>
      </c>
      <c r="D2050" t="s">
        <v>10618</v>
      </c>
      <c r="E2050" t="s">
        <v>10619</v>
      </c>
      <c r="F2050" s="1">
        <v>44649</v>
      </c>
      <c r="G2050" t="str">
        <f>"300321"</f>
        <v>300321</v>
      </c>
      <c r="H2050" t="s">
        <v>2706</v>
      </c>
      <c r="I2050">
        <v>15500</v>
      </c>
    </row>
    <row r="2051" spans="1:9" x14ac:dyDescent="0.25">
      <c r="A2051" t="s">
        <v>9616</v>
      </c>
      <c r="C2051" t="s">
        <v>9617</v>
      </c>
      <c r="D2051" t="s">
        <v>10620</v>
      </c>
      <c r="E2051" t="s">
        <v>10621</v>
      </c>
      <c r="F2051" s="1">
        <v>44649</v>
      </c>
      <c r="G2051" t="str">
        <f>"300321"</f>
        <v>300321</v>
      </c>
      <c r="H2051" t="s">
        <v>2706</v>
      </c>
      <c r="I2051">
        <v>15500</v>
      </c>
    </row>
    <row r="2052" spans="1:9" x14ac:dyDescent="0.25">
      <c r="A2052" t="s">
        <v>9616</v>
      </c>
      <c r="C2052" t="s">
        <v>9617</v>
      </c>
      <c r="D2052" t="str">
        <f>"22625"</f>
        <v>22625</v>
      </c>
      <c r="E2052" t="s">
        <v>10619</v>
      </c>
      <c r="F2052" s="1">
        <v>44650</v>
      </c>
      <c r="G2052" t="str">
        <f>"300043"</f>
        <v>300043</v>
      </c>
      <c r="H2052" t="s">
        <v>2876</v>
      </c>
      <c r="I2052">
        <v>1451</v>
      </c>
    </row>
    <row r="2053" spans="1:9" x14ac:dyDescent="0.25">
      <c r="A2053" t="s">
        <v>9616</v>
      </c>
      <c r="C2053" t="s">
        <v>9617</v>
      </c>
      <c r="D2053" t="str">
        <f>"22641"</f>
        <v>22641</v>
      </c>
      <c r="E2053" t="s">
        <v>10621</v>
      </c>
      <c r="F2053" s="1">
        <v>44650</v>
      </c>
      <c r="G2053" t="str">
        <f>"300043"</f>
        <v>300043</v>
      </c>
      <c r="H2053" t="s">
        <v>2876</v>
      </c>
      <c r="I2053">
        <v>1451</v>
      </c>
    </row>
    <row r="2054" spans="1:9" x14ac:dyDescent="0.25">
      <c r="A2054" t="s">
        <v>9616</v>
      </c>
      <c r="C2054" t="s">
        <v>9617</v>
      </c>
      <c r="D2054" t="str">
        <f>"22711"</f>
        <v>22711</v>
      </c>
      <c r="E2054" s="4">
        <v>44896</v>
      </c>
      <c r="F2054" s="1">
        <v>44650</v>
      </c>
      <c r="G2054" t="str">
        <f>"300043"</f>
        <v>300043</v>
      </c>
      <c r="H2054" t="s">
        <v>2876</v>
      </c>
      <c r="I2054">
        <v>613</v>
      </c>
    </row>
    <row r="2055" spans="1:9" x14ac:dyDescent="0.25">
      <c r="A2055" t="s">
        <v>9616</v>
      </c>
      <c r="C2055" t="s">
        <v>9617</v>
      </c>
      <c r="D2055" t="str">
        <f>"20909980"</f>
        <v>20909980</v>
      </c>
      <c r="E2055" t="s">
        <v>10621</v>
      </c>
      <c r="F2055" s="1">
        <v>44650</v>
      </c>
      <c r="G2055" t="str">
        <f>"300043"</f>
        <v>300043</v>
      </c>
      <c r="H2055" t="s">
        <v>2876</v>
      </c>
      <c r="I2055">
        <v>2287</v>
      </c>
    </row>
    <row r="2056" spans="1:9" x14ac:dyDescent="0.25">
      <c r="A2056" t="s">
        <v>9616</v>
      </c>
      <c r="C2056" t="s">
        <v>9617</v>
      </c>
      <c r="D2056" t="str">
        <f>"160422"</f>
        <v>160422</v>
      </c>
      <c r="E2056" s="4">
        <v>44896</v>
      </c>
      <c r="F2056" s="1">
        <v>44650</v>
      </c>
      <c r="G2056" t="str">
        <f>"300101"</f>
        <v>300101</v>
      </c>
      <c r="H2056" t="s">
        <v>2926</v>
      </c>
      <c r="I2056">
        <v>3473.09</v>
      </c>
    </row>
    <row r="2057" spans="1:9" x14ac:dyDescent="0.25">
      <c r="A2057" t="s">
        <v>9616</v>
      </c>
      <c r="C2057" t="s">
        <v>9617</v>
      </c>
      <c r="D2057" t="str">
        <f>"10139068"</f>
        <v>10139068</v>
      </c>
      <c r="E2057" t="s">
        <v>9189</v>
      </c>
      <c r="F2057" s="1">
        <v>44650</v>
      </c>
      <c r="G2057" t="str">
        <f>"300115"</f>
        <v>300115</v>
      </c>
      <c r="H2057" t="s">
        <v>2938</v>
      </c>
      <c r="I2057">
        <v>368883.25760000001</v>
      </c>
    </row>
    <row r="2058" spans="1:9" x14ac:dyDescent="0.25">
      <c r="A2058" t="s">
        <v>9616</v>
      </c>
      <c r="C2058" t="s">
        <v>9617</v>
      </c>
      <c r="D2058" t="str">
        <f>"10139071"</f>
        <v>10139071</v>
      </c>
      <c r="E2058" t="s">
        <v>9191</v>
      </c>
      <c r="F2058" s="1">
        <v>44650</v>
      </c>
      <c r="G2058" t="str">
        <f>"300115"</f>
        <v>300115</v>
      </c>
      <c r="H2058" t="s">
        <v>2938</v>
      </c>
      <c r="I2058">
        <v>321385.9264</v>
      </c>
    </row>
    <row r="2059" spans="1:9" x14ac:dyDescent="0.25">
      <c r="A2059" t="s">
        <v>9616</v>
      </c>
      <c r="C2059" t="s">
        <v>9617</v>
      </c>
      <c r="D2059" t="s">
        <v>10622</v>
      </c>
      <c r="E2059" t="s">
        <v>10623</v>
      </c>
      <c r="F2059" s="1">
        <v>44650</v>
      </c>
      <c r="G2059" t="str">
        <f>"300133"</f>
        <v>300133</v>
      </c>
      <c r="H2059" t="s">
        <v>2955</v>
      </c>
      <c r="I2059">
        <v>49835.199999999997</v>
      </c>
    </row>
    <row r="2060" spans="1:9" x14ac:dyDescent="0.25">
      <c r="A2060" t="s">
        <v>9616</v>
      </c>
      <c r="C2060" t="s">
        <v>9617</v>
      </c>
      <c r="D2060" t="s">
        <v>10624</v>
      </c>
      <c r="E2060" t="s">
        <v>10625</v>
      </c>
      <c r="F2060" s="1">
        <v>44650</v>
      </c>
      <c r="G2060" t="str">
        <f>"300321"</f>
        <v>300321</v>
      </c>
      <c r="H2060" t="s">
        <v>2706</v>
      </c>
      <c r="I2060">
        <v>13500</v>
      </c>
    </row>
    <row r="2061" spans="1:9" x14ac:dyDescent="0.25">
      <c r="A2061" t="s">
        <v>9616</v>
      </c>
      <c r="C2061" t="s">
        <v>9617</v>
      </c>
      <c r="D2061" t="s">
        <v>10626</v>
      </c>
      <c r="E2061" t="s">
        <v>10627</v>
      </c>
      <c r="F2061" s="1">
        <v>44650</v>
      </c>
      <c r="G2061" t="str">
        <f>"300321"</f>
        <v>300321</v>
      </c>
      <c r="H2061" t="s">
        <v>2706</v>
      </c>
      <c r="I2061">
        <v>15500</v>
      </c>
    </row>
    <row r="2062" spans="1:9" x14ac:dyDescent="0.25">
      <c r="A2062" t="s">
        <v>9616</v>
      </c>
      <c r="C2062" t="s">
        <v>9617</v>
      </c>
      <c r="D2062" t="str">
        <f>"23052"</f>
        <v>23052</v>
      </c>
      <c r="E2062" t="s">
        <v>10627</v>
      </c>
      <c r="F2062" s="1">
        <v>44651</v>
      </c>
      <c r="G2062" t="str">
        <f>"300043"</f>
        <v>300043</v>
      </c>
      <c r="H2062" t="s">
        <v>2876</v>
      </c>
      <c r="I2062">
        <v>1402</v>
      </c>
    </row>
    <row r="2063" spans="1:9" x14ac:dyDescent="0.25">
      <c r="A2063" t="s">
        <v>9616</v>
      </c>
      <c r="C2063" t="s">
        <v>9617</v>
      </c>
      <c r="D2063" t="str">
        <f>"23104"</f>
        <v>23104</v>
      </c>
      <c r="E2063" t="s">
        <v>10628</v>
      </c>
      <c r="F2063" s="1">
        <v>44651</v>
      </c>
      <c r="G2063" t="str">
        <f>"300043"</f>
        <v>300043</v>
      </c>
      <c r="H2063" t="s">
        <v>2876</v>
      </c>
      <c r="I2063">
        <v>799</v>
      </c>
    </row>
    <row r="2064" spans="1:9" x14ac:dyDescent="0.25">
      <c r="A2064" t="s">
        <v>9616</v>
      </c>
      <c r="C2064" t="s">
        <v>9617</v>
      </c>
      <c r="D2064" t="str">
        <f>"23185"</f>
        <v>23185</v>
      </c>
      <c r="E2064" t="s">
        <v>10629</v>
      </c>
      <c r="F2064" s="1">
        <v>44651</v>
      </c>
      <c r="G2064" t="str">
        <f>"300043"</f>
        <v>300043</v>
      </c>
      <c r="H2064" t="s">
        <v>2876</v>
      </c>
      <c r="I2064">
        <v>1240</v>
      </c>
    </row>
    <row r="2065" spans="1:9" x14ac:dyDescent="0.25">
      <c r="A2065" t="s">
        <v>9616</v>
      </c>
      <c r="C2065" t="s">
        <v>9617</v>
      </c>
      <c r="D2065" t="str">
        <f>"20910325"</f>
        <v>20910325</v>
      </c>
      <c r="E2065" t="s">
        <v>10628</v>
      </c>
      <c r="F2065" s="1">
        <v>44651</v>
      </c>
      <c r="G2065" t="str">
        <f>"300043"</f>
        <v>300043</v>
      </c>
      <c r="H2065" t="s">
        <v>2876</v>
      </c>
      <c r="I2065">
        <v>2295</v>
      </c>
    </row>
    <row r="2066" spans="1:9" x14ac:dyDescent="0.25">
      <c r="A2066" t="s">
        <v>9616</v>
      </c>
      <c r="C2066" t="s">
        <v>9617</v>
      </c>
      <c r="D2066" t="str">
        <f>"160522"</f>
        <v>160522</v>
      </c>
      <c r="E2066" t="s">
        <v>10628</v>
      </c>
      <c r="F2066" s="1">
        <v>44651</v>
      </c>
      <c r="G2066" t="str">
        <f>"300101"</f>
        <v>300101</v>
      </c>
      <c r="H2066" t="s">
        <v>2926</v>
      </c>
      <c r="I2066">
        <v>3479.11</v>
      </c>
    </row>
    <row r="2067" spans="1:9" x14ac:dyDescent="0.25">
      <c r="A2067" t="s">
        <v>9616</v>
      </c>
      <c r="C2067" t="s">
        <v>9617</v>
      </c>
      <c r="D2067" t="str">
        <f>"10139123"</f>
        <v>10139123</v>
      </c>
      <c r="E2067" t="s">
        <v>9189</v>
      </c>
      <c r="F2067" s="1">
        <v>44651</v>
      </c>
      <c r="G2067" t="str">
        <f>"300115"</f>
        <v>300115</v>
      </c>
      <c r="H2067" t="s">
        <v>2938</v>
      </c>
      <c r="I2067">
        <v>368883.25760000001</v>
      </c>
    </row>
    <row r="2068" spans="1:9" x14ac:dyDescent="0.25">
      <c r="A2068" t="s">
        <v>9616</v>
      </c>
      <c r="C2068" t="s">
        <v>9617</v>
      </c>
      <c r="D2068" t="str">
        <f>"10139127"</f>
        <v>10139127</v>
      </c>
      <c r="E2068" t="s">
        <v>2566</v>
      </c>
      <c r="F2068" s="1">
        <v>44651</v>
      </c>
      <c r="G2068" t="str">
        <f>"300115"</f>
        <v>300115</v>
      </c>
      <c r="H2068" t="s">
        <v>2938</v>
      </c>
      <c r="I2068">
        <v>204418.36799999999</v>
      </c>
    </row>
    <row r="2069" spans="1:9" x14ac:dyDescent="0.25">
      <c r="A2069" t="s">
        <v>9616</v>
      </c>
      <c r="C2069" t="s">
        <v>9617</v>
      </c>
      <c r="D2069" t="s">
        <v>10630</v>
      </c>
      <c r="E2069" t="s">
        <v>10623</v>
      </c>
      <c r="F2069" s="1">
        <v>44651</v>
      </c>
      <c r="G2069" t="str">
        <f>"300133"</f>
        <v>300133</v>
      </c>
      <c r="H2069" t="s">
        <v>2955</v>
      </c>
      <c r="I2069">
        <v>54244.800000000003</v>
      </c>
    </row>
    <row r="2070" spans="1:9" x14ac:dyDescent="0.25">
      <c r="A2070" t="s">
        <v>9616</v>
      </c>
      <c r="C2070" t="s">
        <v>9617</v>
      </c>
      <c r="D2070" t="s">
        <v>10631</v>
      </c>
      <c r="E2070" t="s">
        <v>10623</v>
      </c>
      <c r="F2070" s="1">
        <v>44651</v>
      </c>
      <c r="G2070" t="str">
        <f>"300133"</f>
        <v>300133</v>
      </c>
      <c r="H2070" t="s">
        <v>2955</v>
      </c>
      <c r="I2070">
        <v>60225.3</v>
      </c>
    </row>
    <row r="2071" spans="1:9" x14ac:dyDescent="0.25">
      <c r="A2071" t="s">
        <v>9616</v>
      </c>
      <c r="C2071" t="s">
        <v>9617</v>
      </c>
      <c r="D2071" t="str">
        <f>"2022002374"</f>
        <v>2022002374</v>
      </c>
      <c r="E2071" t="s">
        <v>10619</v>
      </c>
      <c r="F2071" s="1">
        <v>44651</v>
      </c>
      <c r="G2071" t="str">
        <f>"300191"</f>
        <v>300191</v>
      </c>
      <c r="H2071" t="s">
        <v>3008</v>
      </c>
      <c r="I2071">
        <v>3163.77</v>
      </c>
    </row>
    <row r="2072" spans="1:9" x14ac:dyDescent="0.25">
      <c r="A2072" t="s">
        <v>9616</v>
      </c>
      <c r="C2072" t="s">
        <v>9617</v>
      </c>
      <c r="D2072" t="str">
        <f>"20220002330"</f>
        <v>20220002330</v>
      </c>
      <c r="E2072" t="s">
        <v>10616</v>
      </c>
      <c r="F2072" s="1">
        <v>44651</v>
      </c>
      <c r="G2072" t="str">
        <f>"300191"</f>
        <v>300191</v>
      </c>
      <c r="H2072" t="s">
        <v>3008</v>
      </c>
      <c r="I2072">
        <v>3159.42</v>
      </c>
    </row>
    <row r="2073" spans="1:9" x14ac:dyDescent="0.25">
      <c r="A2073" t="s">
        <v>9616</v>
      </c>
      <c r="C2073" t="s">
        <v>9617</v>
      </c>
      <c r="D2073" t="str">
        <f>"20220002376"</f>
        <v>20220002376</v>
      </c>
      <c r="E2073" t="s">
        <v>10621</v>
      </c>
      <c r="F2073" s="1">
        <v>44651</v>
      </c>
      <c r="G2073" t="str">
        <f>"300191"</f>
        <v>300191</v>
      </c>
      <c r="H2073" t="s">
        <v>3008</v>
      </c>
      <c r="I2073">
        <v>3163.77</v>
      </c>
    </row>
    <row r="2074" spans="1:9" x14ac:dyDescent="0.25">
      <c r="A2074" t="s">
        <v>9616</v>
      </c>
      <c r="C2074" t="s">
        <v>9617</v>
      </c>
      <c r="D2074" t="s">
        <v>10632</v>
      </c>
      <c r="E2074" t="s">
        <v>10633</v>
      </c>
      <c r="F2074" s="1">
        <v>44651</v>
      </c>
      <c r="G2074" t="str">
        <f>"300321"</f>
        <v>300321</v>
      </c>
      <c r="H2074" t="s">
        <v>2706</v>
      </c>
      <c r="I2074">
        <v>15500</v>
      </c>
    </row>
    <row r="2075" spans="1:9" x14ac:dyDescent="0.25">
      <c r="A2075" t="s">
        <v>9616</v>
      </c>
      <c r="C2075" t="s">
        <v>9617</v>
      </c>
      <c r="D2075" t="str">
        <f>"23475"</f>
        <v>23475</v>
      </c>
      <c r="E2075" t="s">
        <v>10633</v>
      </c>
      <c r="F2075" s="1">
        <v>44652</v>
      </c>
      <c r="G2075" t="str">
        <f>"300043"</f>
        <v>300043</v>
      </c>
      <c r="H2075" t="s">
        <v>2876</v>
      </c>
      <c r="I2075">
        <v>1396</v>
      </c>
    </row>
    <row r="2076" spans="1:9" x14ac:dyDescent="0.25">
      <c r="A2076" t="s">
        <v>9616</v>
      </c>
      <c r="C2076" t="s">
        <v>9617</v>
      </c>
      <c r="D2076" t="str">
        <f>"160222189"</f>
        <v>160222189</v>
      </c>
      <c r="E2076" t="s">
        <v>10634</v>
      </c>
      <c r="F2076" s="1">
        <v>44655</v>
      </c>
      <c r="G2076" t="str">
        <f>"300335"</f>
        <v>300335</v>
      </c>
      <c r="H2076" t="s">
        <v>3075</v>
      </c>
      <c r="I2076">
        <v>4650.2299999999996</v>
      </c>
    </row>
    <row r="2077" spans="1:9" x14ac:dyDescent="0.25">
      <c r="A2077" t="s">
        <v>9616</v>
      </c>
      <c r="C2077" t="s">
        <v>9617</v>
      </c>
      <c r="D2077" t="str">
        <f>"23797"</f>
        <v>23797</v>
      </c>
      <c r="E2077" t="s">
        <v>10635</v>
      </c>
      <c r="F2077" s="1">
        <v>44656</v>
      </c>
      <c r="G2077" t="str">
        <f>"300043"</f>
        <v>300043</v>
      </c>
      <c r="H2077" t="s">
        <v>2876</v>
      </c>
      <c r="I2077">
        <v>832</v>
      </c>
    </row>
    <row r="2078" spans="1:9" x14ac:dyDescent="0.25">
      <c r="A2078" t="s">
        <v>9616</v>
      </c>
      <c r="C2078" t="s">
        <v>9617</v>
      </c>
      <c r="D2078" t="str">
        <f>"166022"</f>
        <v>166022</v>
      </c>
      <c r="E2078" t="s">
        <v>10635</v>
      </c>
      <c r="F2078" s="1">
        <v>44656</v>
      </c>
      <c r="G2078" t="str">
        <f>"300101"</f>
        <v>300101</v>
      </c>
      <c r="H2078" t="s">
        <v>2926</v>
      </c>
      <c r="I2078">
        <v>3782.32</v>
      </c>
    </row>
    <row r="2079" spans="1:9" x14ac:dyDescent="0.25">
      <c r="A2079" t="s">
        <v>9616</v>
      </c>
      <c r="C2079" t="s">
        <v>9617</v>
      </c>
      <c r="D2079" t="str">
        <f>"10139256"</f>
        <v>10139256</v>
      </c>
      <c r="E2079" t="s">
        <v>8925</v>
      </c>
      <c r="F2079" s="1">
        <v>44656</v>
      </c>
      <c r="G2079" t="str">
        <f>"300115"</f>
        <v>300115</v>
      </c>
      <c r="H2079" t="s">
        <v>2938</v>
      </c>
      <c r="I2079">
        <v>383893.62</v>
      </c>
    </row>
    <row r="2080" spans="1:9" x14ac:dyDescent="0.25">
      <c r="A2080" t="s">
        <v>9616</v>
      </c>
      <c r="C2080" t="s">
        <v>9617</v>
      </c>
      <c r="D2080" t="s">
        <v>10636</v>
      </c>
      <c r="E2080" t="s">
        <v>10637</v>
      </c>
      <c r="F2080" s="1">
        <v>44656</v>
      </c>
      <c r="G2080" t="str">
        <f>"300321"</f>
        <v>300321</v>
      </c>
      <c r="H2080" t="s">
        <v>2706</v>
      </c>
      <c r="I2080">
        <v>15500</v>
      </c>
    </row>
    <row r="2081" spans="1:9" x14ac:dyDescent="0.25">
      <c r="A2081" t="s">
        <v>9616</v>
      </c>
      <c r="C2081" t="s">
        <v>9617</v>
      </c>
      <c r="D2081" t="str">
        <f>"10139313"</f>
        <v>10139313</v>
      </c>
      <c r="E2081" t="s">
        <v>2566</v>
      </c>
      <c r="F2081" s="1">
        <v>44657</v>
      </c>
      <c r="G2081" t="str">
        <f>"300115"</f>
        <v>300115</v>
      </c>
      <c r="H2081" t="s">
        <v>2938</v>
      </c>
      <c r="I2081">
        <v>204418.36799999999</v>
      </c>
    </row>
    <row r="2082" spans="1:9" x14ac:dyDescent="0.25">
      <c r="A2082" t="s">
        <v>9616</v>
      </c>
      <c r="C2082" t="s">
        <v>9617</v>
      </c>
      <c r="D2082" t="s">
        <v>10638</v>
      </c>
      <c r="E2082" t="s">
        <v>10639</v>
      </c>
      <c r="F2082" s="1">
        <v>44658</v>
      </c>
      <c r="G2082" t="str">
        <f>"300133"</f>
        <v>300133</v>
      </c>
      <c r="H2082" t="s">
        <v>2955</v>
      </c>
      <c r="I2082">
        <v>26283.599999999999</v>
      </c>
    </row>
    <row r="2083" spans="1:9" x14ac:dyDescent="0.25">
      <c r="A2083" t="s">
        <v>9616</v>
      </c>
      <c r="C2083" t="s">
        <v>9617</v>
      </c>
      <c r="D2083" t="s">
        <v>10640</v>
      </c>
      <c r="E2083" t="str">
        <f>"2300"</f>
        <v>2300</v>
      </c>
      <c r="F2083" s="1">
        <v>44659</v>
      </c>
      <c r="G2083" t="str">
        <f>"300133"</f>
        <v>300133</v>
      </c>
      <c r="H2083" t="s">
        <v>2955</v>
      </c>
      <c r="I2083">
        <v>51120</v>
      </c>
    </row>
    <row r="2084" spans="1:9" x14ac:dyDescent="0.25">
      <c r="A2084" t="s">
        <v>9616</v>
      </c>
      <c r="C2084" t="s">
        <v>9617</v>
      </c>
      <c r="D2084" t="str">
        <f>"25266"</f>
        <v>25266</v>
      </c>
      <c r="E2084" t="s">
        <v>10637</v>
      </c>
      <c r="F2084" s="1">
        <v>44662</v>
      </c>
      <c r="G2084" t="str">
        <f>"300043"</f>
        <v>300043</v>
      </c>
      <c r="H2084" t="s">
        <v>2876</v>
      </c>
      <c r="I2084">
        <v>1433</v>
      </c>
    </row>
    <row r="2085" spans="1:9" x14ac:dyDescent="0.25">
      <c r="A2085" t="s">
        <v>9616</v>
      </c>
      <c r="C2085" t="s">
        <v>9617</v>
      </c>
      <c r="D2085" t="str">
        <f>"10139400"</f>
        <v>10139400</v>
      </c>
      <c r="E2085" t="s">
        <v>10641</v>
      </c>
      <c r="F2085" s="1">
        <v>44662</v>
      </c>
      <c r="G2085" t="str">
        <f>"300115"</f>
        <v>300115</v>
      </c>
      <c r="H2085" t="s">
        <v>2938</v>
      </c>
      <c r="I2085">
        <v>368883.25760000001</v>
      </c>
    </row>
    <row r="2086" spans="1:9" x14ac:dyDescent="0.25">
      <c r="A2086" t="s">
        <v>9616</v>
      </c>
      <c r="C2086" t="s">
        <v>9617</v>
      </c>
      <c r="D2086" t="str">
        <f>"10139438"</f>
        <v>10139438</v>
      </c>
      <c r="E2086" t="s">
        <v>10642</v>
      </c>
      <c r="F2086" s="1">
        <v>44662</v>
      </c>
      <c r="G2086" t="str">
        <f>"300115"</f>
        <v>300115</v>
      </c>
      <c r="H2086" t="s">
        <v>2938</v>
      </c>
      <c r="I2086">
        <v>383893.62</v>
      </c>
    </row>
    <row r="2087" spans="1:9" x14ac:dyDescent="0.25">
      <c r="A2087" t="s">
        <v>9616</v>
      </c>
      <c r="C2087" t="s">
        <v>9617</v>
      </c>
      <c r="D2087" t="s">
        <v>10643</v>
      </c>
      <c r="E2087" t="s">
        <v>9971</v>
      </c>
      <c r="F2087" s="1">
        <v>44662</v>
      </c>
      <c r="G2087" t="str">
        <f>"300133"</f>
        <v>300133</v>
      </c>
      <c r="H2087" t="s">
        <v>2955</v>
      </c>
      <c r="I2087">
        <v>29981.25</v>
      </c>
    </row>
    <row r="2088" spans="1:9" x14ac:dyDescent="0.25">
      <c r="A2088" t="s">
        <v>9616</v>
      </c>
      <c r="C2088" t="s">
        <v>9617</v>
      </c>
      <c r="D2088" t="s">
        <v>10644</v>
      </c>
      <c r="E2088" t="s">
        <v>10645</v>
      </c>
      <c r="F2088" s="1">
        <v>44662</v>
      </c>
      <c r="G2088" t="str">
        <f>"300321"</f>
        <v>300321</v>
      </c>
      <c r="H2088" t="s">
        <v>2706</v>
      </c>
      <c r="I2088">
        <v>15500</v>
      </c>
    </row>
    <row r="2089" spans="1:9" x14ac:dyDescent="0.25">
      <c r="A2089" t="s">
        <v>9616</v>
      </c>
      <c r="C2089" t="s">
        <v>9617</v>
      </c>
      <c r="D2089" t="s">
        <v>10646</v>
      </c>
      <c r="E2089" t="s">
        <v>10647</v>
      </c>
      <c r="F2089" s="1">
        <v>44662</v>
      </c>
      <c r="G2089" t="str">
        <f>"300321"</f>
        <v>300321</v>
      </c>
      <c r="H2089" t="s">
        <v>2706</v>
      </c>
      <c r="I2089">
        <v>13500</v>
      </c>
    </row>
    <row r="2090" spans="1:9" x14ac:dyDescent="0.25">
      <c r="A2090" t="s">
        <v>9616</v>
      </c>
      <c r="C2090" t="s">
        <v>9617</v>
      </c>
      <c r="D2090" t="str">
        <f>"25520"</f>
        <v>25520</v>
      </c>
      <c r="E2090" t="s">
        <v>10648</v>
      </c>
      <c r="F2090" s="1">
        <v>44663</v>
      </c>
      <c r="G2090" t="str">
        <f>"300043"</f>
        <v>300043</v>
      </c>
      <c r="H2090" t="s">
        <v>2876</v>
      </c>
      <c r="I2090">
        <v>824</v>
      </c>
    </row>
    <row r="2091" spans="1:9" x14ac:dyDescent="0.25">
      <c r="A2091" t="s">
        <v>9616</v>
      </c>
      <c r="C2091" t="s">
        <v>9617</v>
      </c>
      <c r="D2091" t="str">
        <f>"183922"</f>
        <v>183922</v>
      </c>
      <c r="E2091" t="s">
        <v>10648</v>
      </c>
      <c r="F2091" s="1">
        <v>44663</v>
      </c>
      <c r="G2091" t="str">
        <f>"300101"</f>
        <v>300101</v>
      </c>
      <c r="H2091" t="s">
        <v>2926</v>
      </c>
      <c r="I2091">
        <v>3288.26</v>
      </c>
    </row>
    <row r="2092" spans="1:9" x14ac:dyDescent="0.25">
      <c r="A2092" t="s">
        <v>9616</v>
      </c>
      <c r="C2092" t="s">
        <v>9617</v>
      </c>
      <c r="D2092" t="str">
        <f>"10139440"</f>
        <v>10139440</v>
      </c>
      <c r="E2092" t="s">
        <v>10642</v>
      </c>
      <c r="F2092" s="1">
        <v>44663</v>
      </c>
      <c r="G2092" t="str">
        <f>"300115"</f>
        <v>300115</v>
      </c>
      <c r="H2092" t="s">
        <v>2938</v>
      </c>
      <c r="I2092">
        <v>383893.62</v>
      </c>
    </row>
    <row r="2093" spans="1:9" x14ac:dyDescent="0.25">
      <c r="A2093" t="s">
        <v>9616</v>
      </c>
      <c r="C2093" t="s">
        <v>9617</v>
      </c>
      <c r="D2093" t="str">
        <f>"10139441"</f>
        <v>10139441</v>
      </c>
      <c r="E2093" t="s">
        <v>9239</v>
      </c>
      <c r="F2093" s="1">
        <v>44663</v>
      </c>
      <c r="G2093" t="str">
        <f>"300115"</f>
        <v>300115</v>
      </c>
      <c r="H2093" t="s">
        <v>2938</v>
      </c>
      <c r="I2093">
        <v>368883.25760000001</v>
      </c>
    </row>
    <row r="2094" spans="1:9" x14ac:dyDescent="0.25">
      <c r="A2094" t="s">
        <v>9616</v>
      </c>
      <c r="C2094" t="s">
        <v>9617</v>
      </c>
      <c r="D2094" t="str">
        <f>"10139465"</f>
        <v>10139465</v>
      </c>
      <c r="E2094" t="s">
        <v>10642</v>
      </c>
      <c r="F2094" s="1">
        <v>44663</v>
      </c>
      <c r="G2094" t="str">
        <f>"300115"</f>
        <v>300115</v>
      </c>
      <c r="H2094" t="s">
        <v>2938</v>
      </c>
      <c r="I2094">
        <v>384311.79599999997</v>
      </c>
    </row>
    <row r="2095" spans="1:9" x14ac:dyDescent="0.25">
      <c r="A2095" t="s">
        <v>9616</v>
      </c>
      <c r="C2095" t="s">
        <v>9617</v>
      </c>
      <c r="D2095" t="str">
        <f>"2022002628"</f>
        <v>2022002628</v>
      </c>
      <c r="E2095" t="s">
        <v>10633</v>
      </c>
      <c r="F2095" s="1">
        <v>44663</v>
      </c>
      <c r="G2095" t="str">
        <f>"300191"</f>
        <v>300191</v>
      </c>
      <c r="H2095" t="s">
        <v>3008</v>
      </c>
      <c r="I2095">
        <v>3162.42</v>
      </c>
    </row>
    <row r="2096" spans="1:9" x14ac:dyDescent="0.25">
      <c r="A2096" t="s">
        <v>9616</v>
      </c>
      <c r="C2096" t="s">
        <v>9617</v>
      </c>
      <c r="D2096" t="str">
        <f>"2022002631"</f>
        <v>2022002631</v>
      </c>
      <c r="E2096" t="s">
        <v>10629</v>
      </c>
      <c r="F2096" s="1">
        <v>44663</v>
      </c>
      <c r="G2096" t="str">
        <f>"300191"</f>
        <v>300191</v>
      </c>
      <c r="H2096" t="s">
        <v>3008</v>
      </c>
      <c r="I2096">
        <v>3170.05</v>
      </c>
    </row>
    <row r="2097" spans="1:9" x14ac:dyDescent="0.25">
      <c r="A2097" t="s">
        <v>9616</v>
      </c>
      <c r="C2097" t="s">
        <v>9617</v>
      </c>
      <c r="D2097" t="str">
        <f>"2022002639"</f>
        <v>2022002639</v>
      </c>
      <c r="E2097" t="s">
        <v>10627</v>
      </c>
      <c r="F2097" s="1">
        <v>44663</v>
      </c>
      <c r="G2097" t="str">
        <f>"300191"</f>
        <v>300191</v>
      </c>
      <c r="H2097" t="s">
        <v>3008</v>
      </c>
      <c r="I2097">
        <v>3170.05</v>
      </c>
    </row>
    <row r="2098" spans="1:9" x14ac:dyDescent="0.25">
      <c r="A2098" t="s">
        <v>9616</v>
      </c>
      <c r="C2098" t="s">
        <v>9617</v>
      </c>
      <c r="D2098" t="s">
        <v>10649</v>
      </c>
      <c r="E2098" t="s">
        <v>10650</v>
      </c>
      <c r="F2098" s="1">
        <v>44663</v>
      </c>
      <c r="G2098" t="str">
        <f>"300321"</f>
        <v>300321</v>
      </c>
      <c r="H2098" t="s">
        <v>2706</v>
      </c>
      <c r="I2098">
        <v>15500</v>
      </c>
    </row>
    <row r="2099" spans="1:9" x14ac:dyDescent="0.25">
      <c r="A2099" t="s">
        <v>9616</v>
      </c>
      <c r="C2099" t="s">
        <v>9617</v>
      </c>
      <c r="D2099" t="s">
        <v>10651</v>
      </c>
      <c r="E2099" t="s">
        <v>10652</v>
      </c>
      <c r="F2099" s="1">
        <v>44663</v>
      </c>
      <c r="G2099" t="str">
        <f>"300321"</f>
        <v>300321</v>
      </c>
      <c r="H2099" t="s">
        <v>2706</v>
      </c>
      <c r="I2099">
        <v>15500</v>
      </c>
    </row>
    <row r="2100" spans="1:9" x14ac:dyDescent="0.25">
      <c r="A2100" t="s">
        <v>9616</v>
      </c>
      <c r="C2100" t="s">
        <v>9617</v>
      </c>
      <c r="D2100" t="str">
        <f>"160222604"</f>
        <v>160222604</v>
      </c>
      <c r="E2100" t="s">
        <v>10653</v>
      </c>
      <c r="F2100" s="1">
        <v>44663</v>
      </c>
      <c r="G2100" t="str">
        <f>"300335"</f>
        <v>300335</v>
      </c>
      <c r="H2100" t="s">
        <v>3075</v>
      </c>
      <c r="I2100">
        <v>5369.16</v>
      </c>
    </row>
    <row r="2101" spans="1:9" x14ac:dyDescent="0.25">
      <c r="A2101" t="s">
        <v>9616</v>
      </c>
      <c r="C2101" t="s">
        <v>9617</v>
      </c>
      <c r="D2101" t="str">
        <f>"25918"</f>
        <v>25918</v>
      </c>
      <c r="E2101" t="s">
        <v>10645</v>
      </c>
      <c r="F2101" s="1">
        <v>44664</v>
      </c>
      <c r="G2101" t="str">
        <f>"300043"</f>
        <v>300043</v>
      </c>
      <c r="H2101" t="s">
        <v>2876</v>
      </c>
      <c r="I2101">
        <v>1390</v>
      </c>
    </row>
    <row r="2102" spans="1:9" x14ac:dyDescent="0.25">
      <c r="A2102" t="s">
        <v>9616</v>
      </c>
      <c r="C2102" t="s">
        <v>9617</v>
      </c>
      <c r="D2102" t="str">
        <f>"26053"</f>
        <v>26053</v>
      </c>
      <c r="E2102" t="s">
        <v>10652</v>
      </c>
      <c r="F2102" s="1">
        <v>44664</v>
      </c>
      <c r="G2102" t="str">
        <f>"300043"</f>
        <v>300043</v>
      </c>
      <c r="H2102" t="s">
        <v>2876</v>
      </c>
      <c r="I2102">
        <v>1448</v>
      </c>
    </row>
    <row r="2103" spans="1:9" x14ac:dyDescent="0.25">
      <c r="A2103" t="s">
        <v>9616</v>
      </c>
      <c r="C2103" t="s">
        <v>9617</v>
      </c>
      <c r="D2103" t="str">
        <f>"26075"</f>
        <v>26075</v>
      </c>
      <c r="E2103" t="s">
        <v>10647</v>
      </c>
      <c r="F2103" s="1">
        <v>44664</v>
      </c>
      <c r="G2103" t="str">
        <f>"300043"</f>
        <v>300043</v>
      </c>
      <c r="H2103" t="s">
        <v>2876</v>
      </c>
      <c r="I2103">
        <v>1435</v>
      </c>
    </row>
    <row r="2104" spans="1:9" x14ac:dyDescent="0.25">
      <c r="A2104" t="s">
        <v>9616</v>
      </c>
      <c r="C2104" t="s">
        <v>9617</v>
      </c>
      <c r="D2104" t="str">
        <f>"20910969"</f>
        <v>20910969</v>
      </c>
      <c r="E2104" t="s">
        <v>10654</v>
      </c>
      <c r="F2104" s="1">
        <v>44664</v>
      </c>
      <c r="G2104" t="str">
        <f>"300043"</f>
        <v>300043</v>
      </c>
      <c r="H2104" t="s">
        <v>2876</v>
      </c>
      <c r="I2104">
        <v>2269</v>
      </c>
    </row>
    <row r="2105" spans="1:9" x14ac:dyDescent="0.25">
      <c r="A2105" t="s">
        <v>9616</v>
      </c>
      <c r="C2105" t="s">
        <v>9617</v>
      </c>
      <c r="D2105" t="s">
        <v>10655</v>
      </c>
      <c r="E2105" t="s">
        <v>10656</v>
      </c>
      <c r="F2105" s="1">
        <v>44664</v>
      </c>
      <c r="G2105" t="str">
        <f>"300321"</f>
        <v>300321</v>
      </c>
      <c r="H2105" t="s">
        <v>2706</v>
      </c>
      <c r="I2105">
        <v>15500</v>
      </c>
    </row>
    <row r="2106" spans="1:9" x14ac:dyDescent="0.25">
      <c r="A2106" t="s">
        <v>9616</v>
      </c>
      <c r="C2106" t="s">
        <v>9617</v>
      </c>
      <c r="D2106" t="str">
        <f>"26448"</f>
        <v>26448</v>
      </c>
      <c r="E2106" t="s">
        <v>10656</v>
      </c>
      <c r="F2106" s="1">
        <v>44665</v>
      </c>
      <c r="G2106" t="str">
        <f>"300043"</f>
        <v>300043</v>
      </c>
      <c r="H2106" t="s">
        <v>2876</v>
      </c>
      <c r="I2106">
        <v>1444</v>
      </c>
    </row>
    <row r="2107" spans="1:9" x14ac:dyDescent="0.25">
      <c r="A2107" t="s">
        <v>9616</v>
      </c>
      <c r="C2107" t="s">
        <v>9617</v>
      </c>
      <c r="D2107" t="str">
        <f>"20912094"</f>
        <v>20912094</v>
      </c>
      <c r="E2107" t="s">
        <v>10656</v>
      </c>
      <c r="F2107" s="1">
        <v>44665</v>
      </c>
      <c r="G2107" t="str">
        <f>"300043"</f>
        <v>300043</v>
      </c>
      <c r="H2107" t="s">
        <v>2876</v>
      </c>
      <c r="I2107">
        <v>1952</v>
      </c>
    </row>
    <row r="2108" spans="1:9" x14ac:dyDescent="0.25">
      <c r="A2108" t="s">
        <v>9616</v>
      </c>
      <c r="C2108" t="s">
        <v>9617</v>
      </c>
      <c r="D2108" t="str">
        <f>"160222717"</f>
        <v>160222717</v>
      </c>
      <c r="E2108" t="s">
        <v>10657</v>
      </c>
      <c r="F2108" s="1">
        <v>44665</v>
      </c>
      <c r="G2108" t="str">
        <f>"300335"</f>
        <v>300335</v>
      </c>
      <c r="H2108" t="s">
        <v>3075</v>
      </c>
      <c r="I2108">
        <v>2885.63</v>
      </c>
    </row>
    <row r="2109" spans="1:9" x14ac:dyDescent="0.25">
      <c r="A2109" t="s">
        <v>9616</v>
      </c>
      <c r="C2109" t="s">
        <v>9617</v>
      </c>
      <c r="D2109" t="str">
        <f>"26785"</f>
        <v>26785</v>
      </c>
      <c r="E2109" t="s">
        <v>10650</v>
      </c>
      <c r="F2109" s="1">
        <v>44666</v>
      </c>
      <c r="G2109" t="str">
        <f>"300043"</f>
        <v>300043</v>
      </c>
      <c r="H2109" t="s">
        <v>2876</v>
      </c>
      <c r="I2109">
        <v>1390</v>
      </c>
    </row>
    <row r="2110" spans="1:9" x14ac:dyDescent="0.25">
      <c r="A2110" t="s">
        <v>9616</v>
      </c>
      <c r="C2110" t="s">
        <v>9617</v>
      </c>
      <c r="D2110" t="str">
        <f>"2022002823"</f>
        <v>2022002823</v>
      </c>
      <c r="E2110" t="s">
        <v>10647</v>
      </c>
      <c r="F2110" s="1">
        <v>44669</v>
      </c>
      <c r="G2110" t="str">
        <f>"300191"</f>
        <v>300191</v>
      </c>
      <c r="H2110" t="s">
        <v>3008</v>
      </c>
      <c r="I2110">
        <v>3151.85</v>
      </c>
    </row>
    <row r="2111" spans="1:9" x14ac:dyDescent="0.25">
      <c r="A2111" t="s">
        <v>9616</v>
      </c>
      <c r="C2111" t="s">
        <v>9617</v>
      </c>
      <c r="D2111" t="str">
        <f>"2022002825"</f>
        <v>2022002825</v>
      </c>
      <c r="E2111" t="s">
        <v>10637</v>
      </c>
      <c r="F2111" s="1">
        <v>44669</v>
      </c>
      <c r="G2111" t="str">
        <f>"300191"</f>
        <v>300191</v>
      </c>
      <c r="H2111" t="s">
        <v>3008</v>
      </c>
      <c r="I2111">
        <v>3754.4</v>
      </c>
    </row>
    <row r="2112" spans="1:9" x14ac:dyDescent="0.25">
      <c r="A2112" t="s">
        <v>9616</v>
      </c>
      <c r="C2112" t="s">
        <v>9617</v>
      </c>
      <c r="D2112" t="str">
        <f>"2022002838"</f>
        <v>2022002838</v>
      </c>
      <c r="E2112" t="s">
        <v>10652</v>
      </c>
      <c r="F2112" s="1">
        <v>44669</v>
      </c>
      <c r="G2112" t="str">
        <f>"300191"</f>
        <v>300191</v>
      </c>
      <c r="H2112" t="s">
        <v>3008</v>
      </c>
      <c r="I2112">
        <v>3151.85</v>
      </c>
    </row>
    <row r="2113" spans="1:9" x14ac:dyDescent="0.25">
      <c r="A2113" t="s">
        <v>9616</v>
      </c>
      <c r="C2113" t="s">
        <v>9617</v>
      </c>
      <c r="D2113" t="str">
        <f>"2022002840"</f>
        <v>2022002840</v>
      </c>
      <c r="E2113" t="s">
        <v>10645</v>
      </c>
      <c r="F2113" s="1">
        <v>44669</v>
      </c>
      <c r="G2113" t="str">
        <f>"300191"</f>
        <v>300191</v>
      </c>
      <c r="H2113" t="s">
        <v>3008</v>
      </c>
      <c r="I2113">
        <v>3307.2</v>
      </c>
    </row>
    <row r="2114" spans="1:9" x14ac:dyDescent="0.25">
      <c r="A2114" t="s">
        <v>9616</v>
      </c>
      <c r="C2114" t="s">
        <v>9617</v>
      </c>
      <c r="D2114" t="str">
        <f>"2022002841"</f>
        <v>2022002841</v>
      </c>
      <c r="E2114" t="s">
        <v>10650</v>
      </c>
      <c r="F2114" s="1">
        <v>44669</v>
      </c>
      <c r="G2114" t="str">
        <f>"300191"</f>
        <v>300191</v>
      </c>
      <c r="H2114" t="s">
        <v>3008</v>
      </c>
      <c r="I2114">
        <v>3146.08</v>
      </c>
    </row>
    <row r="2115" spans="1:9" x14ac:dyDescent="0.25">
      <c r="A2115" t="s">
        <v>9616</v>
      </c>
      <c r="C2115" t="s">
        <v>9617</v>
      </c>
      <c r="D2115" t="str">
        <f>"10139532"</f>
        <v>10139532</v>
      </c>
      <c r="E2115" t="s">
        <v>10642</v>
      </c>
      <c r="F2115" s="1">
        <v>44670</v>
      </c>
      <c r="G2115" t="str">
        <f>"300115"</f>
        <v>300115</v>
      </c>
      <c r="H2115" t="s">
        <v>2938</v>
      </c>
      <c r="I2115">
        <v>384311.79599999997</v>
      </c>
    </row>
    <row r="2116" spans="1:9" x14ac:dyDescent="0.25">
      <c r="A2116" t="s">
        <v>9616</v>
      </c>
      <c r="C2116" t="s">
        <v>9617</v>
      </c>
      <c r="D2116" t="str">
        <f>"10139559"</f>
        <v>10139559</v>
      </c>
      <c r="E2116" t="s">
        <v>10658</v>
      </c>
      <c r="F2116" s="1">
        <v>44670</v>
      </c>
      <c r="G2116" t="str">
        <f>"300115"</f>
        <v>300115</v>
      </c>
      <c r="H2116" t="s">
        <v>2938</v>
      </c>
      <c r="I2116">
        <v>384311.79599999997</v>
      </c>
    </row>
    <row r="2117" spans="1:9" x14ac:dyDescent="0.25">
      <c r="A2117" t="s">
        <v>9616</v>
      </c>
      <c r="C2117" t="s">
        <v>9617</v>
      </c>
      <c r="D2117" t="str">
        <f>"2022002892"</f>
        <v>2022002892</v>
      </c>
      <c r="E2117" t="s">
        <v>10656</v>
      </c>
      <c r="F2117" s="1">
        <v>44670</v>
      </c>
      <c r="G2117" t="str">
        <f>"300191"</f>
        <v>300191</v>
      </c>
      <c r="H2117" t="s">
        <v>3008</v>
      </c>
      <c r="I2117">
        <v>3149.91</v>
      </c>
    </row>
    <row r="2118" spans="1:9" x14ac:dyDescent="0.25">
      <c r="A2118" t="s">
        <v>9616</v>
      </c>
      <c r="C2118" t="s">
        <v>9617</v>
      </c>
      <c r="D2118" t="s">
        <v>10659</v>
      </c>
      <c r="E2118" t="s">
        <v>10660</v>
      </c>
      <c r="F2118" s="1">
        <v>44670</v>
      </c>
      <c r="G2118" t="str">
        <f>"300321"</f>
        <v>300321</v>
      </c>
      <c r="H2118" t="s">
        <v>2706</v>
      </c>
      <c r="I2118">
        <v>15500</v>
      </c>
    </row>
    <row r="2119" spans="1:9" x14ac:dyDescent="0.25">
      <c r="A2119" t="s">
        <v>9616</v>
      </c>
      <c r="C2119" t="s">
        <v>9617</v>
      </c>
      <c r="D2119" t="s">
        <v>10661</v>
      </c>
      <c r="E2119" t="s">
        <v>10662</v>
      </c>
      <c r="F2119" s="1">
        <v>44670</v>
      </c>
      <c r="G2119" t="str">
        <f>"300321"</f>
        <v>300321</v>
      </c>
      <c r="H2119" t="s">
        <v>2706</v>
      </c>
      <c r="I2119">
        <v>15500</v>
      </c>
    </row>
    <row r="2120" spans="1:9" x14ac:dyDescent="0.25">
      <c r="A2120" t="s">
        <v>9616</v>
      </c>
      <c r="C2120" t="s">
        <v>9617</v>
      </c>
      <c r="D2120" t="str">
        <f>"28008"</f>
        <v>28008</v>
      </c>
      <c r="E2120" t="s">
        <v>10660</v>
      </c>
      <c r="F2120" s="1">
        <v>44671</v>
      </c>
      <c r="G2120" t="str">
        <f>"300043"</f>
        <v>300043</v>
      </c>
      <c r="H2120" t="s">
        <v>2876</v>
      </c>
      <c r="I2120">
        <v>1437</v>
      </c>
    </row>
    <row r="2121" spans="1:9" x14ac:dyDescent="0.25">
      <c r="A2121" t="s">
        <v>9616</v>
      </c>
      <c r="C2121" t="s">
        <v>9617</v>
      </c>
      <c r="D2121" t="str">
        <f>"46190"</f>
        <v>46190</v>
      </c>
      <c r="E2121" t="s">
        <v>10663</v>
      </c>
      <c r="F2121" s="1">
        <v>44671</v>
      </c>
      <c r="G2121" t="str">
        <f>"300043"</f>
        <v>300043</v>
      </c>
      <c r="H2121" t="s">
        <v>2876</v>
      </c>
      <c r="I2121">
        <v>370</v>
      </c>
    </row>
    <row r="2122" spans="1:9" x14ac:dyDescent="0.25">
      <c r="A2122" t="s">
        <v>9616</v>
      </c>
      <c r="C2122" t="s">
        <v>9617</v>
      </c>
      <c r="D2122" t="str">
        <f>"10139564"</f>
        <v>10139564</v>
      </c>
      <c r="E2122" t="s">
        <v>10512</v>
      </c>
      <c r="F2122" s="1">
        <v>44671</v>
      </c>
      <c r="G2122" t="str">
        <f>"300115"</f>
        <v>300115</v>
      </c>
      <c r="H2122" t="s">
        <v>2938</v>
      </c>
      <c r="I2122">
        <v>376104.86099999998</v>
      </c>
    </row>
    <row r="2123" spans="1:9" x14ac:dyDescent="0.25">
      <c r="A2123" t="s">
        <v>9616</v>
      </c>
      <c r="C2123" t="s">
        <v>9617</v>
      </c>
      <c r="D2123" t="s">
        <v>10664</v>
      </c>
      <c r="E2123" t="s">
        <v>10665</v>
      </c>
      <c r="F2123" s="1">
        <v>44671</v>
      </c>
      <c r="G2123" t="str">
        <f>"300321"</f>
        <v>300321</v>
      </c>
      <c r="H2123" t="s">
        <v>2706</v>
      </c>
      <c r="I2123">
        <v>13500</v>
      </c>
    </row>
    <row r="2124" spans="1:9" x14ac:dyDescent="0.25">
      <c r="A2124" t="s">
        <v>9616</v>
      </c>
      <c r="C2124" t="s">
        <v>9617</v>
      </c>
      <c r="D2124" t="str">
        <f>"10139602"</f>
        <v>10139602</v>
      </c>
      <c r="E2124" s="2">
        <v>46296</v>
      </c>
      <c r="F2124" s="1">
        <v>44672</v>
      </c>
      <c r="G2124" t="str">
        <f>"300115"</f>
        <v>300115</v>
      </c>
      <c r="H2124" t="s">
        <v>2938</v>
      </c>
      <c r="I2124">
        <v>384311.79599999997</v>
      </c>
    </row>
    <row r="2125" spans="1:9" x14ac:dyDescent="0.25">
      <c r="A2125" t="s">
        <v>9616</v>
      </c>
      <c r="C2125" t="s">
        <v>9617</v>
      </c>
      <c r="D2125" t="s">
        <v>10666</v>
      </c>
      <c r="E2125" t="s">
        <v>10667</v>
      </c>
      <c r="F2125" s="1">
        <v>44672</v>
      </c>
      <c r="G2125" t="str">
        <f>"300321"</f>
        <v>300321</v>
      </c>
      <c r="H2125" t="s">
        <v>2706</v>
      </c>
      <c r="I2125">
        <v>15500</v>
      </c>
    </row>
    <row r="2126" spans="1:9" x14ac:dyDescent="0.25">
      <c r="A2126" t="s">
        <v>9616</v>
      </c>
      <c r="C2126" t="s">
        <v>9617</v>
      </c>
      <c r="D2126" t="str">
        <f>"28240"</f>
        <v>28240</v>
      </c>
      <c r="E2126" t="s">
        <v>10662</v>
      </c>
      <c r="F2126" s="1">
        <v>44673</v>
      </c>
      <c r="G2126" t="str">
        <f>"300043"</f>
        <v>300043</v>
      </c>
      <c r="H2126" t="s">
        <v>2876</v>
      </c>
      <c r="I2126">
        <v>1444</v>
      </c>
    </row>
    <row r="2127" spans="1:9" x14ac:dyDescent="0.25">
      <c r="A2127" t="s">
        <v>9616</v>
      </c>
      <c r="C2127" t="s">
        <v>9617</v>
      </c>
      <c r="D2127" t="str">
        <f>"28540"</f>
        <v>28540</v>
      </c>
      <c r="E2127" t="s">
        <v>10665</v>
      </c>
      <c r="F2127" s="1">
        <v>44673</v>
      </c>
      <c r="G2127" t="str">
        <f>"300043"</f>
        <v>300043</v>
      </c>
      <c r="H2127" t="s">
        <v>2876</v>
      </c>
      <c r="I2127">
        <v>1404</v>
      </c>
    </row>
    <row r="2128" spans="1:9" x14ac:dyDescent="0.25">
      <c r="A2128" t="s">
        <v>9616</v>
      </c>
      <c r="C2128" t="s">
        <v>9617</v>
      </c>
      <c r="D2128" t="str">
        <f>"20912995"</f>
        <v>20912995</v>
      </c>
      <c r="E2128" t="s">
        <v>10665</v>
      </c>
      <c r="F2128" s="1">
        <v>44673</v>
      </c>
      <c r="G2128" t="str">
        <f>"300043"</f>
        <v>300043</v>
      </c>
      <c r="H2128" t="s">
        <v>2876</v>
      </c>
      <c r="I2128">
        <v>2542</v>
      </c>
    </row>
    <row r="2129" spans="1:9" x14ac:dyDescent="0.25">
      <c r="A2129" t="s">
        <v>9616</v>
      </c>
      <c r="C2129" t="s">
        <v>9617</v>
      </c>
      <c r="D2129" t="str">
        <f>"10139626"</f>
        <v>10139626</v>
      </c>
      <c r="E2129" s="2">
        <v>46027</v>
      </c>
      <c r="F2129" s="1">
        <v>44673</v>
      </c>
      <c r="G2129" t="str">
        <f>"300115"</f>
        <v>300115</v>
      </c>
      <c r="H2129" t="s">
        <v>2938</v>
      </c>
      <c r="I2129">
        <v>130657.23</v>
      </c>
    </row>
    <row r="2130" spans="1:9" x14ac:dyDescent="0.25">
      <c r="A2130" t="s">
        <v>9616</v>
      </c>
      <c r="C2130" t="s">
        <v>9617</v>
      </c>
      <c r="D2130" t="str">
        <f>"2022003005"</f>
        <v>2022003005</v>
      </c>
      <c r="E2130" t="s">
        <v>10660</v>
      </c>
      <c r="F2130" s="1">
        <v>44673</v>
      </c>
      <c r="G2130" t="str">
        <f>"300191"</f>
        <v>300191</v>
      </c>
      <c r="H2130" t="s">
        <v>3008</v>
      </c>
      <c r="I2130">
        <v>3143.22</v>
      </c>
    </row>
    <row r="2131" spans="1:9" x14ac:dyDescent="0.25">
      <c r="A2131" t="s">
        <v>9616</v>
      </c>
      <c r="C2131" t="s">
        <v>9617</v>
      </c>
      <c r="D2131" t="str">
        <f>"28936"</f>
        <v>28936</v>
      </c>
      <c r="E2131" t="s">
        <v>10667</v>
      </c>
      <c r="F2131" s="1">
        <v>44676</v>
      </c>
      <c r="G2131" t="str">
        <f>"300043"</f>
        <v>300043</v>
      </c>
      <c r="H2131" t="s">
        <v>2876</v>
      </c>
      <c r="I2131">
        <v>1445</v>
      </c>
    </row>
    <row r="2132" spans="1:9" x14ac:dyDescent="0.25">
      <c r="A2132" t="s">
        <v>9616</v>
      </c>
      <c r="C2132" t="s">
        <v>9617</v>
      </c>
      <c r="D2132" t="str">
        <f>"29188"</f>
        <v>29188</v>
      </c>
      <c r="E2132" t="s">
        <v>10668</v>
      </c>
      <c r="F2132" s="1">
        <v>44676</v>
      </c>
      <c r="G2132" t="str">
        <f>"300043"</f>
        <v>300043</v>
      </c>
      <c r="H2132" t="s">
        <v>2876</v>
      </c>
      <c r="I2132">
        <v>587</v>
      </c>
    </row>
    <row r="2133" spans="1:9" x14ac:dyDescent="0.25">
      <c r="A2133" t="s">
        <v>9616</v>
      </c>
      <c r="C2133" t="s">
        <v>9617</v>
      </c>
      <c r="D2133" t="str">
        <f>"35519"</f>
        <v>35519</v>
      </c>
      <c r="E2133" t="s">
        <v>10653</v>
      </c>
      <c r="F2133" s="1">
        <v>44676</v>
      </c>
      <c r="G2133" t="str">
        <f>"300043"</f>
        <v>300043</v>
      </c>
      <c r="H2133" t="s">
        <v>2876</v>
      </c>
      <c r="I2133">
        <v>860</v>
      </c>
    </row>
    <row r="2134" spans="1:9" x14ac:dyDescent="0.25">
      <c r="A2134" t="s">
        <v>9616</v>
      </c>
      <c r="C2134" t="s">
        <v>9617</v>
      </c>
      <c r="D2134" t="str">
        <f>"256822"</f>
        <v>256822</v>
      </c>
      <c r="E2134" t="s">
        <v>10668</v>
      </c>
      <c r="F2134" s="1">
        <v>44676</v>
      </c>
      <c r="G2134" t="str">
        <f>"300101"</f>
        <v>300101</v>
      </c>
      <c r="H2134" t="s">
        <v>2926</v>
      </c>
      <c r="I2134">
        <v>3449.29</v>
      </c>
    </row>
    <row r="2135" spans="1:9" x14ac:dyDescent="0.25">
      <c r="A2135" t="s">
        <v>9616</v>
      </c>
      <c r="C2135" t="s">
        <v>9617</v>
      </c>
      <c r="D2135" t="str">
        <f>"2022003056"</f>
        <v>2022003056</v>
      </c>
      <c r="E2135" t="s">
        <v>10653</v>
      </c>
      <c r="F2135" s="1">
        <v>44676</v>
      </c>
      <c r="G2135" t="str">
        <f>"300191"</f>
        <v>300191</v>
      </c>
      <c r="H2135" t="s">
        <v>3008</v>
      </c>
      <c r="I2135">
        <v>2680.63</v>
      </c>
    </row>
    <row r="2136" spans="1:9" x14ac:dyDescent="0.25">
      <c r="A2136" t="s">
        <v>9616</v>
      </c>
      <c r="C2136" t="s">
        <v>9617</v>
      </c>
      <c r="D2136" t="str">
        <f>"2022003068"</f>
        <v>2022003068</v>
      </c>
      <c r="E2136" t="s">
        <v>10665</v>
      </c>
      <c r="F2136" s="1">
        <v>44676</v>
      </c>
      <c r="G2136" t="str">
        <f>"300191"</f>
        <v>300191</v>
      </c>
      <c r="H2136" t="s">
        <v>3008</v>
      </c>
      <c r="I2136">
        <v>3146.93</v>
      </c>
    </row>
    <row r="2137" spans="1:9" x14ac:dyDescent="0.25">
      <c r="A2137" t="s">
        <v>9616</v>
      </c>
      <c r="C2137" t="s">
        <v>9617</v>
      </c>
      <c r="D2137" t="str">
        <f>"2022003069"</f>
        <v>2022003069</v>
      </c>
      <c r="E2137" t="s">
        <v>10662</v>
      </c>
      <c r="F2137" s="1">
        <v>44676</v>
      </c>
      <c r="G2137" t="str">
        <f>"300191"</f>
        <v>300191</v>
      </c>
      <c r="H2137" t="s">
        <v>3008</v>
      </c>
      <c r="I2137">
        <v>3143.12</v>
      </c>
    </row>
    <row r="2138" spans="1:9" x14ac:dyDescent="0.25">
      <c r="A2138" t="s">
        <v>9616</v>
      </c>
      <c r="C2138" t="s">
        <v>9617</v>
      </c>
      <c r="D2138" t="str">
        <f>"36128"</f>
        <v>36128</v>
      </c>
      <c r="E2138" t="s">
        <v>10634</v>
      </c>
      <c r="F2138" s="1">
        <v>44677</v>
      </c>
      <c r="G2138" t="str">
        <f>"300043"</f>
        <v>300043</v>
      </c>
      <c r="H2138" t="s">
        <v>2876</v>
      </c>
      <c r="I2138">
        <v>185</v>
      </c>
    </row>
    <row r="2139" spans="1:9" x14ac:dyDescent="0.25">
      <c r="A2139" t="s">
        <v>9616</v>
      </c>
      <c r="C2139" t="s">
        <v>9617</v>
      </c>
      <c r="D2139" t="str">
        <f>"2022003087"</f>
        <v>2022003087</v>
      </c>
      <c r="E2139" t="s">
        <v>10634</v>
      </c>
      <c r="F2139" s="1">
        <v>44677</v>
      </c>
      <c r="G2139" t="str">
        <f>"300191"</f>
        <v>300191</v>
      </c>
      <c r="H2139" t="s">
        <v>3008</v>
      </c>
      <c r="I2139">
        <v>3892.63</v>
      </c>
    </row>
    <row r="2140" spans="1:9" x14ac:dyDescent="0.25">
      <c r="A2140" t="s">
        <v>9616</v>
      </c>
      <c r="C2140" t="s">
        <v>9617</v>
      </c>
      <c r="D2140" t="str">
        <f>"37298"</f>
        <v>37298</v>
      </c>
      <c r="E2140" t="s">
        <v>10657</v>
      </c>
      <c r="F2140" s="1">
        <v>44678</v>
      </c>
      <c r="G2140" t="str">
        <f>"300043"</f>
        <v>300043</v>
      </c>
      <c r="H2140" t="s">
        <v>2876</v>
      </c>
      <c r="I2140">
        <v>250</v>
      </c>
    </row>
    <row r="2141" spans="1:9" x14ac:dyDescent="0.25">
      <c r="A2141" t="s">
        <v>9616</v>
      </c>
      <c r="C2141" t="s">
        <v>9617</v>
      </c>
      <c r="D2141" t="str">
        <f>"10139753"</f>
        <v>10139753</v>
      </c>
      <c r="E2141" t="s">
        <v>1313</v>
      </c>
      <c r="F2141" s="1">
        <v>44678</v>
      </c>
      <c r="G2141" t="str">
        <f>"300115"</f>
        <v>300115</v>
      </c>
      <c r="H2141" t="s">
        <v>2938</v>
      </c>
      <c r="I2141">
        <v>293083.12</v>
      </c>
    </row>
    <row r="2142" spans="1:9" x14ac:dyDescent="0.25">
      <c r="A2142" t="s">
        <v>9616</v>
      </c>
      <c r="C2142" t="s">
        <v>9617</v>
      </c>
      <c r="D2142" t="str">
        <f>"2022003145"</f>
        <v>2022003145</v>
      </c>
      <c r="E2142" t="s">
        <v>10667</v>
      </c>
      <c r="F2142" s="1">
        <v>44678</v>
      </c>
      <c r="G2142" t="str">
        <f>"300191"</f>
        <v>300191</v>
      </c>
      <c r="H2142" t="s">
        <v>3008</v>
      </c>
      <c r="I2142">
        <v>3433.23</v>
      </c>
    </row>
    <row r="2143" spans="1:9" x14ac:dyDescent="0.25">
      <c r="A2143" t="s">
        <v>9616</v>
      </c>
      <c r="C2143" t="s">
        <v>9617</v>
      </c>
      <c r="D2143" t="s">
        <v>10669</v>
      </c>
      <c r="F2143" s="1">
        <v>44679</v>
      </c>
      <c r="G2143" t="str">
        <f>"300064"</f>
        <v>300064</v>
      </c>
      <c r="H2143" t="s">
        <v>2896</v>
      </c>
      <c r="I2143">
        <v>30030</v>
      </c>
    </row>
    <row r="2144" spans="1:9" x14ac:dyDescent="0.25">
      <c r="A2144" t="s">
        <v>9616</v>
      </c>
      <c r="C2144" t="s">
        <v>9617</v>
      </c>
      <c r="D2144" t="str">
        <f>"2022003173"</f>
        <v>2022003173</v>
      </c>
      <c r="E2144" t="s">
        <v>10657</v>
      </c>
      <c r="F2144" s="1">
        <v>44679</v>
      </c>
      <c r="G2144" t="str">
        <f>"300191"</f>
        <v>300191</v>
      </c>
      <c r="H2144" t="s">
        <v>3008</v>
      </c>
      <c r="I2144">
        <v>2836.63</v>
      </c>
    </row>
    <row r="2145" spans="1:9" x14ac:dyDescent="0.25">
      <c r="A2145" t="s">
        <v>9616</v>
      </c>
      <c r="C2145" t="s">
        <v>9617</v>
      </c>
      <c r="D2145" t="str">
        <f>"10139866"</f>
        <v>10139866</v>
      </c>
      <c r="E2145" s="2">
        <v>46027</v>
      </c>
      <c r="F2145" s="1">
        <v>44685</v>
      </c>
      <c r="G2145" t="str">
        <f>"300115"</f>
        <v>300115</v>
      </c>
      <c r="H2145" t="s">
        <v>2938</v>
      </c>
      <c r="I2145">
        <v>130657.23</v>
      </c>
    </row>
    <row r="2146" spans="1:9" x14ac:dyDescent="0.25">
      <c r="A2146" t="s">
        <v>9616</v>
      </c>
      <c r="C2146" t="s">
        <v>9617</v>
      </c>
      <c r="D2146" t="str">
        <f>"32023"</f>
        <v>32023</v>
      </c>
      <c r="E2146" t="s">
        <v>10670</v>
      </c>
      <c r="F2146" s="1">
        <v>44686</v>
      </c>
      <c r="G2146" t="str">
        <f>"300043"</f>
        <v>300043</v>
      </c>
      <c r="H2146" t="s">
        <v>2876</v>
      </c>
      <c r="I2146">
        <v>1103</v>
      </c>
    </row>
    <row r="2147" spans="1:9" x14ac:dyDescent="0.25">
      <c r="A2147" t="s">
        <v>9616</v>
      </c>
      <c r="C2147" t="s">
        <v>9617</v>
      </c>
      <c r="D2147" t="str">
        <f>"20913534"</f>
        <v>20913534</v>
      </c>
      <c r="E2147" t="s">
        <v>10648</v>
      </c>
      <c r="F2147" s="1">
        <v>44686</v>
      </c>
      <c r="G2147" t="str">
        <f>"300043"</f>
        <v>300043</v>
      </c>
      <c r="H2147" t="s">
        <v>2876</v>
      </c>
      <c r="I2147">
        <v>1592</v>
      </c>
    </row>
    <row r="2148" spans="1:9" x14ac:dyDescent="0.25">
      <c r="A2148" t="s">
        <v>9616</v>
      </c>
      <c r="C2148" t="s">
        <v>9617</v>
      </c>
      <c r="D2148" t="str">
        <f>"257322"</f>
        <v>257322</v>
      </c>
      <c r="E2148" t="s">
        <v>10670</v>
      </c>
      <c r="F2148" s="1">
        <v>44686</v>
      </c>
      <c r="G2148" t="str">
        <f>"300101"</f>
        <v>300101</v>
      </c>
      <c r="H2148" t="s">
        <v>2926</v>
      </c>
      <c r="I2148">
        <v>4192.2299999999996</v>
      </c>
    </row>
    <row r="2149" spans="1:9" x14ac:dyDescent="0.25">
      <c r="A2149" t="s">
        <v>9616</v>
      </c>
      <c r="C2149" t="s">
        <v>9617</v>
      </c>
      <c r="D2149" t="str">
        <f>"32772"</f>
        <v>32772</v>
      </c>
      <c r="E2149" t="s">
        <v>10671</v>
      </c>
      <c r="F2149" s="1">
        <v>44690</v>
      </c>
      <c r="G2149" t="str">
        <f>"300043"</f>
        <v>300043</v>
      </c>
      <c r="H2149" t="s">
        <v>2876</v>
      </c>
      <c r="I2149">
        <v>584</v>
      </c>
    </row>
    <row r="2150" spans="1:9" x14ac:dyDescent="0.25">
      <c r="A2150" t="s">
        <v>9616</v>
      </c>
      <c r="C2150" t="s">
        <v>9617</v>
      </c>
      <c r="D2150" t="str">
        <f>"256922"</f>
        <v>256922</v>
      </c>
      <c r="E2150" t="s">
        <v>10671</v>
      </c>
      <c r="F2150" s="1">
        <v>44690</v>
      </c>
      <c r="G2150" t="str">
        <f>"300101"</f>
        <v>300101</v>
      </c>
      <c r="H2150" t="s">
        <v>2926</v>
      </c>
      <c r="I2150">
        <v>3588.51</v>
      </c>
    </row>
    <row r="2151" spans="1:9" x14ac:dyDescent="0.25">
      <c r="A2151" t="s">
        <v>9616</v>
      </c>
      <c r="C2151" t="s">
        <v>9617</v>
      </c>
      <c r="D2151" t="str">
        <f>"10140013"</f>
        <v>10140013</v>
      </c>
      <c r="E2151" t="s">
        <v>10672</v>
      </c>
      <c r="F2151" s="1">
        <v>44691</v>
      </c>
      <c r="G2151" t="str">
        <f>"300115"</f>
        <v>300115</v>
      </c>
      <c r="H2151" t="s">
        <v>2938</v>
      </c>
      <c r="I2151">
        <v>384311.79599999997</v>
      </c>
    </row>
    <row r="2152" spans="1:9" x14ac:dyDescent="0.25">
      <c r="A2152" t="s">
        <v>9616</v>
      </c>
      <c r="C2152" t="s">
        <v>9617</v>
      </c>
      <c r="D2152" t="s">
        <v>10673</v>
      </c>
      <c r="E2152" t="s">
        <v>10674</v>
      </c>
      <c r="F2152" s="1">
        <v>44691</v>
      </c>
      <c r="G2152" t="str">
        <f>"300321"</f>
        <v>300321</v>
      </c>
      <c r="H2152" t="s">
        <v>2706</v>
      </c>
      <c r="I2152">
        <v>13500</v>
      </c>
    </row>
    <row r="2153" spans="1:9" x14ac:dyDescent="0.25">
      <c r="A2153" t="s">
        <v>9616</v>
      </c>
      <c r="C2153" t="s">
        <v>9617</v>
      </c>
      <c r="D2153" t="str">
        <f>"33568"</f>
        <v>33568</v>
      </c>
      <c r="E2153" t="s">
        <v>10674</v>
      </c>
      <c r="F2153" s="1">
        <v>44692</v>
      </c>
      <c r="G2153" t="str">
        <f>"300043"</f>
        <v>300043</v>
      </c>
      <c r="H2153" t="s">
        <v>2876</v>
      </c>
      <c r="I2153">
        <v>1438</v>
      </c>
    </row>
    <row r="2154" spans="1:9" x14ac:dyDescent="0.25">
      <c r="A2154" t="s">
        <v>9616</v>
      </c>
      <c r="C2154" t="s">
        <v>9617</v>
      </c>
      <c r="D2154" t="s">
        <v>10675</v>
      </c>
      <c r="E2154" t="s">
        <v>9971</v>
      </c>
      <c r="F2154" s="1">
        <v>44692</v>
      </c>
      <c r="G2154" t="str">
        <f>"300133"</f>
        <v>300133</v>
      </c>
      <c r="H2154" t="s">
        <v>2955</v>
      </c>
      <c r="I2154">
        <v>41973.75</v>
      </c>
    </row>
    <row r="2155" spans="1:9" x14ac:dyDescent="0.25">
      <c r="A2155" t="s">
        <v>9616</v>
      </c>
      <c r="C2155" t="s">
        <v>9617</v>
      </c>
      <c r="D2155" t="s">
        <v>10676</v>
      </c>
      <c r="E2155" t="s">
        <v>10677</v>
      </c>
      <c r="F2155" s="1">
        <v>44693</v>
      </c>
      <c r="G2155" t="str">
        <f>"300064"</f>
        <v>300064</v>
      </c>
      <c r="H2155" t="s">
        <v>2896</v>
      </c>
      <c r="I2155">
        <v>38460</v>
      </c>
    </row>
    <row r="2156" spans="1:9" x14ac:dyDescent="0.25">
      <c r="A2156" t="s">
        <v>9616</v>
      </c>
      <c r="C2156" t="s">
        <v>9617</v>
      </c>
      <c r="D2156" t="str">
        <f>"2022003580"</f>
        <v>2022003580</v>
      </c>
      <c r="E2156" t="s">
        <v>10674</v>
      </c>
      <c r="F2156" s="1">
        <v>44694</v>
      </c>
      <c r="G2156" t="str">
        <f>"300191"</f>
        <v>300191</v>
      </c>
      <c r="H2156" t="s">
        <v>3008</v>
      </c>
      <c r="I2156">
        <v>3135.63</v>
      </c>
    </row>
    <row r="2157" spans="1:9" x14ac:dyDescent="0.25">
      <c r="A2157" t="s">
        <v>9616</v>
      </c>
      <c r="C2157" t="s">
        <v>9617</v>
      </c>
      <c r="D2157" t="str">
        <f>"10140277"</f>
        <v>10140277</v>
      </c>
      <c r="E2157" t="s">
        <v>9337</v>
      </c>
      <c r="F2157" s="1">
        <v>44699</v>
      </c>
      <c r="G2157" t="str">
        <f>"300115"</f>
        <v>300115</v>
      </c>
      <c r="H2157" t="s">
        <v>2938</v>
      </c>
      <c r="I2157">
        <v>368883.25760000001</v>
      </c>
    </row>
    <row r="2158" spans="1:9" x14ac:dyDescent="0.25">
      <c r="A2158" t="s">
        <v>9616</v>
      </c>
      <c r="C2158" t="s">
        <v>9617</v>
      </c>
      <c r="D2158" t="s">
        <v>10678</v>
      </c>
      <c r="E2158" t="s">
        <v>10679</v>
      </c>
      <c r="F2158" s="1">
        <v>44699</v>
      </c>
      <c r="G2158" t="str">
        <f>"300321"</f>
        <v>300321</v>
      </c>
      <c r="H2158" t="s">
        <v>2706</v>
      </c>
      <c r="I2158">
        <v>15500</v>
      </c>
    </row>
    <row r="2159" spans="1:9" x14ac:dyDescent="0.25">
      <c r="A2159" t="s">
        <v>9616</v>
      </c>
      <c r="C2159" t="s">
        <v>9617</v>
      </c>
      <c r="D2159" t="str">
        <f>"10140283"</f>
        <v>10140283</v>
      </c>
      <c r="E2159" t="s">
        <v>9337</v>
      </c>
      <c r="F2159" s="1">
        <v>44700</v>
      </c>
      <c r="G2159" t="str">
        <f>"300115"</f>
        <v>300115</v>
      </c>
      <c r="H2159" t="s">
        <v>2938</v>
      </c>
      <c r="I2159">
        <v>326453.59999999998</v>
      </c>
    </row>
    <row r="2160" spans="1:9" x14ac:dyDescent="0.25">
      <c r="A2160" t="s">
        <v>9616</v>
      </c>
      <c r="C2160" t="s">
        <v>9617</v>
      </c>
      <c r="D2160" t="str">
        <f>"10140285"</f>
        <v>10140285</v>
      </c>
      <c r="E2160" t="s">
        <v>9300</v>
      </c>
      <c r="F2160" s="1">
        <v>44700</v>
      </c>
      <c r="G2160" t="str">
        <f>"300115"</f>
        <v>300115</v>
      </c>
      <c r="H2160" t="s">
        <v>2938</v>
      </c>
      <c r="I2160">
        <v>243471.64600000001</v>
      </c>
    </row>
    <row r="2161" spans="1:9" x14ac:dyDescent="0.25">
      <c r="A2161" t="s">
        <v>9616</v>
      </c>
      <c r="C2161" t="s">
        <v>9617</v>
      </c>
      <c r="D2161" t="s">
        <v>10680</v>
      </c>
      <c r="E2161" t="s">
        <v>10681</v>
      </c>
      <c r="F2161" s="1">
        <v>44700</v>
      </c>
      <c r="G2161" t="str">
        <f>"300321"</f>
        <v>300321</v>
      </c>
      <c r="H2161" t="s">
        <v>2706</v>
      </c>
      <c r="I2161">
        <v>15500</v>
      </c>
    </row>
    <row r="2162" spans="1:9" x14ac:dyDescent="0.25">
      <c r="A2162" t="s">
        <v>9616</v>
      </c>
      <c r="C2162" t="s">
        <v>9617</v>
      </c>
      <c r="D2162" t="str">
        <f>"36312"</f>
        <v>36312</v>
      </c>
      <c r="E2162" t="s">
        <v>10679</v>
      </c>
      <c r="F2162" s="1">
        <v>44701</v>
      </c>
      <c r="G2162" t="str">
        <f>"300043"</f>
        <v>300043</v>
      </c>
      <c r="H2162" t="s">
        <v>2876</v>
      </c>
      <c r="I2162">
        <v>1389</v>
      </c>
    </row>
    <row r="2163" spans="1:9" x14ac:dyDescent="0.25">
      <c r="A2163" t="s">
        <v>9616</v>
      </c>
      <c r="C2163" t="s">
        <v>9617</v>
      </c>
      <c r="D2163" t="str">
        <f>"36438"</f>
        <v>36438</v>
      </c>
      <c r="E2163" t="s">
        <v>10681</v>
      </c>
      <c r="F2163" s="1">
        <v>44701</v>
      </c>
      <c r="G2163" t="str">
        <f>"300043"</f>
        <v>300043</v>
      </c>
      <c r="H2163" t="s">
        <v>2876</v>
      </c>
      <c r="I2163">
        <v>1246</v>
      </c>
    </row>
    <row r="2164" spans="1:9" x14ac:dyDescent="0.25">
      <c r="A2164" t="s">
        <v>9616</v>
      </c>
      <c r="C2164" t="s">
        <v>9617</v>
      </c>
      <c r="D2164" t="str">
        <f>"20915009"</f>
        <v>20915009</v>
      </c>
      <c r="E2164" t="s">
        <v>10679</v>
      </c>
      <c r="F2164" s="1">
        <v>44701</v>
      </c>
      <c r="G2164" t="str">
        <f>"300043"</f>
        <v>300043</v>
      </c>
      <c r="H2164" t="s">
        <v>2876</v>
      </c>
      <c r="I2164">
        <v>1861</v>
      </c>
    </row>
    <row r="2165" spans="1:9" x14ac:dyDescent="0.25">
      <c r="A2165" t="s">
        <v>9616</v>
      </c>
      <c r="C2165" t="s">
        <v>9617</v>
      </c>
      <c r="D2165" t="str">
        <f>"10140286"</f>
        <v>10140286</v>
      </c>
      <c r="E2165" t="s">
        <v>2566</v>
      </c>
      <c r="F2165" s="1">
        <v>44701</v>
      </c>
      <c r="G2165" t="str">
        <f>"300115"</f>
        <v>300115</v>
      </c>
      <c r="H2165" t="s">
        <v>2938</v>
      </c>
      <c r="I2165">
        <v>201540.65359999999</v>
      </c>
    </row>
    <row r="2166" spans="1:9" x14ac:dyDescent="0.25">
      <c r="A2166" t="s">
        <v>9616</v>
      </c>
      <c r="C2166" t="s">
        <v>9617</v>
      </c>
      <c r="D2166" t="str">
        <f>"36897"</f>
        <v>36897</v>
      </c>
      <c r="E2166" t="s">
        <v>10682</v>
      </c>
      <c r="F2166" s="1">
        <v>44704</v>
      </c>
      <c r="G2166" t="str">
        <f>"300043"</f>
        <v>300043</v>
      </c>
      <c r="H2166" t="s">
        <v>2876</v>
      </c>
      <c r="I2166">
        <v>816</v>
      </c>
    </row>
    <row r="2167" spans="1:9" x14ac:dyDescent="0.25">
      <c r="A2167" t="s">
        <v>9616</v>
      </c>
      <c r="C2167" t="s">
        <v>9617</v>
      </c>
      <c r="D2167" t="str">
        <f>"36905"</f>
        <v>36905</v>
      </c>
      <c r="E2167" t="s">
        <v>10683</v>
      </c>
      <c r="F2167" s="1">
        <v>44704</v>
      </c>
      <c r="G2167" t="str">
        <f>"300043"</f>
        <v>300043</v>
      </c>
      <c r="H2167" t="s">
        <v>2876</v>
      </c>
      <c r="I2167">
        <v>948</v>
      </c>
    </row>
    <row r="2168" spans="1:9" x14ac:dyDescent="0.25">
      <c r="A2168" t="s">
        <v>9616</v>
      </c>
      <c r="C2168" t="s">
        <v>9617</v>
      </c>
      <c r="D2168" t="str">
        <f>"281022"</f>
        <v>281022</v>
      </c>
      <c r="E2168" t="s">
        <v>10682</v>
      </c>
      <c r="F2168" s="1">
        <v>44704</v>
      </c>
      <c r="G2168" t="str">
        <f>"300101"</f>
        <v>300101</v>
      </c>
      <c r="H2168" t="s">
        <v>2926</v>
      </c>
      <c r="I2168">
        <v>3445.12</v>
      </c>
    </row>
    <row r="2169" spans="1:9" x14ac:dyDescent="0.25">
      <c r="A2169" t="s">
        <v>9616</v>
      </c>
      <c r="C2169" t="s">
        <v>9617</v>
      </c>
      <c r="D2169" t="str">
        <f>"281322"</f>
        <v>281322</v>
      </c>
      <c r="E2169" t="s">
        <v>10683</v>
      </c>
      <c r="F2169" s="1">
        <v>44704</v>
      </c>
      <c r="G2169" t="str">
        <f>"300101"</f>
        <v>300101</v>
      </c>
      <c r="H2169" t="s">
        <v>2926</v>
      </c>
      <c r="I2169">
        <v>3751.12</v>
      </c>
    </row>
    <row r="2170" spans="1:9" x14ac:dyDescent="0.25">
      <c r="A2170" t="s">
        <v>9616</v>
      </c>
      <c r="C2170" t="s">
        <v>9617</v>
      </c>
      <c r="D2170" t="str">
        <f>"10140349"</f>
        <v>10140349</v>
      </c>
      <c r="E2170" t="s">
        <v>9300</v>
      </c>
      <c r="F2170" s="1">
        <v>44704</v>
      </c>
      <c r="G2170" t="str">
        <f>"300115"</f>
        <v>300115</v>
      </c>
      <c r="H2170" t="s">
        <v>2938</v>
      </c>
      <c r="I2170">
        <v>243471.64600000001</v>
      </c>
    </row>
    <row r="2171" spans="1:9" x14ac:dyDescent="0.25">
      <c r="A2171" t="s">
        <v>9616</v>
      </c>
      <c r="C2171" t="s">
        <v>9617</v>
      </c>
      <c r="D2171" t="str">
        <f>"2022003842"</f>
        <v>2022003842</v>
      </c>
      <c r="E2171" t="s">
        <v>10681</v>
      </c>
      <c r="F2171" s="1">
        <v>44704</v>
      </c>
      <c r="G2171" t="str">
        <f>"300191"</f>
        <v>300191</v>
      </c>
      <c r="H2171" t="s">
        <v>3008</v>
      </c>
      <c r="I2171">
        <v>3114.2</v>
      </c>
    </row>
    <row r="2172" spans="1:9" x14ac:dyDescent="0.25">
      <c r="A2172" t="s">
        <v>9616</v>
      </c>
      <c r="C2172" t="s">
        <v>9617</v>
      </c>
      <c r="D2172" t="str">
        <f>"10140410"</f>
        <v>10140410</v>
      </c>
      <c r="E2172" s="2">
        <v>46296</v>
      </c>
      <c r="F2172" s="1">
        <v>44705</v>
      </c>
      <c r="G2172" t="str">
        <f>"300115"</f>
        <v>300115</v>
      </c>
      <c r="H2172" t="s">
        <v>2938</v>
      </c>
      <c r="I2172">
        <v>335437.56400000001</v>
      </c>
    </row>
    <row r="2173" spans="1:9" x14ac:dyDescent="0.25">
      <c r="A2173" t="s">
        <v>9616</v>
      </c>
      <c r="C2173" t="s">
        <v>9617</v>
      </c>
      <c r="D2173" t="s">
        <v>10684</v>
      </c>
      <c r="E2173" t="s">
        <v>10685</v>
      </c>
      <c r="F2173" s="1">
        <v>44705</v>
      </c>
      <c r="G2173" t="str">
        <f>"300321"</f>
        <v>300321</v>
      </c>
      <c r="H2173" t="s">
        <v>2706</v>
      </c>
      <c r="I2173">
        <v>15500</v>
      </c>
    </row>
    <row r="2174" spans="1:9" x14ac:dyDescent="0.25">
      <c r="A2174" t="s">
        <v>9616</v>
      </c>
      <c r="C2174" t="s">
        <v>9617</v>
      </c>
      <c r="D2174" t="str">
        <f>"37757"</f>
        <v>37757</v>
      </c>
      <c r="E2174" t="s">
        <v>10686</v>
      </c>
      <c r="F2174" s="1">
        <v>44706</v>
      </c>
      <c r="G2174" t="str">
        <f>"300043"</f>
        <v>300043</v>
      </c>
      <c r="H2174" t="s">
        <v>2876</v>
      </c>
      <c r="I2174">
        <v>954</v>
      </c>
    </row>
    <row r="2175" spans="1:9" x14ac:dyDescent="0.25">
      <c r="A2175" t="s">
        <v>9616</v>
      </c>
      <c r="C2175" t="s">
        <v>9617</v>
      </c>
      <c r="D2175" t="str">
        <f>"71239"</f>
        <v>71239</v>
      </c>
      <c r="E2175" t="s">
        <v>10687</v>
      </c>
      <c r="F2175" s="1">
        <v>44706</v>
      </c>
      <c r="G2175" t="str">
        <f>"300093"</f>
        <v>300093</v>
      </c>
      <c r="H2175" t="s">
        <v>2918</v>
      </c>
      <c r="I2175">
        <v>281279.5392</v>
      </c>
    </row>
    <row r="2176" spans="1:9" x14ac:dyDescent="0.25">
      <c r="A2176" t="s">
        <v>9616</v>
      </c>
      <c r="C2176" t="s">
        <v>9617</v>
      </c>
      <c r="D2176" t="str">
        <f>"281222"</f>
        <v>281222</v>
      </c>
      <c r="E2176" t="s">
        <v>10686</v>
      </c>
      <c r="F2176" s="1">
        <v>44706</v>
      </c>
      <c r="G2176" t="str">
        <f>"300101"</f>
        <v>300101</v>
      </c>
      <c r="H2176" t="s">
        <v>2926</v>
      </c>
      <c r="I2176">
        <v>3304.52</v>
      </c>
    </row>
    <row r="2177" spans="1:9" x14ac:dyDescent="0.25">
      <c r="A2177" t="s">
        <v>9616</v>
      </c>
      <c r="C2177" t="s">
        <v>9617</v>
      </c>
      <c r="D2177" t="str">
        <f>"2022003904"</f>
        <v>2022003904</v>
      </c>
      <c r="E2177" t="s">
        <v>10679</v>
      </c>
      <c r="F2177" s="1">
        <v>44706</v>
      </c>
      <c r="G2177" t="str">
        <f>"300191"</f>
        <v>300191</v>
      </c>
      <c r="H2177" t="s">
        <v>3008</v>
      </c>
      <c r="I2177">
        <v>3114.2</v>
      </c>
    </row>
    <row r="2178" spans="1:9" x14ac:dyDescent="0.25">
      <c r="A2178" t="s">
        <v>9616</v>
      </c>
      <c r="C2178" t="s">
        <v>9617</v>
      </c>
      <c r="D2178" t="str">
        <f>"38092"</f>
        <v>38092</v>
      </c>
      <c r="E2178" t="s">
        <v>10685</v>
      </c>
      <c r="F2178" s="1">
        <v>44707</v>
      </c>
      <c r="G2178" t="str">
        <f>"300043"</f>
        <v>300043</v>
      </c>
      <c r="H2178" t="s">
        <v>2876</v>
      </c>
      <c r="I2178">
        <v>1276</v>
      </c>
    </row>
    <row r="2179" spans="1:9" x14ac:dyDescent="0.25">
      <c r="A2179" t="s">
        <v>9616</v>
      </c>
      <c r="C2179" t="s">
        <v>9617</v>
      </c>
      <c r="D2179" t="str">
        <f>"20915295"</f>
        <v>20915295</v>
      </c>
      <c r="E2179" t="s">
        <v>10685</v>
      </c>
      <c r="F2179" s="1">
        <v>44707</v>
      </c>
      <c r="G2179" t="str">
        <f>"300043"</f>
        <v>300043</v>
      </c>
      <c r="H2179" t="s">
        <v>2876</v>
      </c>
      <c r="I2179">
        <v>2136</v>
      </c>
    </row>
    <row r="2180" spans="1:9" x14ac:dyDescent="0.25">
      <c r="A2180" t="s">
        <v>9616</v>
      </c>
      <c r="C2180" t="s">
        <v>9617</v>
      </c>
      <c r="D2180" t="str">
        <f>"10140468"</f>
        <v>10140468</v>
      </c>
      <c r="E2180" t="s">
        <v>10688</v>
      </c>
      <c r="F2180" s="1">
        <v>44708</v>
      </c>
      <c r="G2180" t="str">
        <f>"300115"</f>
        <v>300115</v>
      </c>
      <c r="H2180" t="s">
        <v>2938</v>
      </c>
      <c r="I2180">
        <v>384311.79599999997</v>
      </c>
    </row>
    <row r="2181" spans="1:9" x14ac:dyDescent="0.25">
      <c r="A2181" t="s">
        <v>9616</v>
      </c>
      <c r="C2181" t="s">
        <v>9617</v>
      </c>
      <c r="D2181" t="s">
        <v>10689</v>
      </c>
      <c r="E2181" t="s">
        <v>9629</v>
      </c>
      <c r="F2181" s="1">
        <v>44708</v>
      </c>
      <c r="G2181" t="str">
        <f>"300133"</f>
        <v>300133</v>
      </c>
      <c r="H2181" t="s">
        <v>2955</v>
      </c>
      <c r="I2181">
        <v>55570</v>
      </c>
    </row>
    <row r="2182" spans="1:9" x14ac:dyDescent="0.25">
      <c r="A2182" t="s">
        <v>9616</v>
      </c>
      <c r="C2182" t="s">
        <v>9617</v>
      </c>
      <c r="D2182" t="s">
        <v>10690</v>
      </c>
      <c r="E2182" t="s">
        <v>10691</v>
      </c>
      <c r="F2182" s="1">
        <v>44708</v>
      </c>
      <c r="G2182" t="str">
        <f>"300301"</f>
        <v>300301</v>
      </c>
      <c r="H2182" t="s">
        <v>3043</v>
      </c>
      <c r="I2182">
        <v>7258.26</v>
      </c>
    </row>
    <row r="2183" spans="1:9" x14ac:dyDescent="0.25">
      <c r="A2183" t="s">
        <v>9616</v>
      </c>
      <c r="C2183" t="s">
        <v>9617</v>
      </c>
      <c r="D2183" t="s">
        <v>10692</v>
      </c>
      <c r="E2183" t="s">
        <v>10693</v>
      </c>
      <c r="F2183" s="1">
        <v>44708</v>
      </c>
      <c r="G2183" t="str">
        <f>"300321"</f>
        <v>300321</v>
      </c>
      <c r="H2183" t="s">
        <v>2706</v>
      </c>
      <c r="I2183">
        <v>13500</v>
      </c>
    </row>
    <row r="2184" spans="1:9" x14ac:dyDescent="0.25">
      <c r="A2184" t="s">
        <v>9616</v>
      </c>
      <c r="C2184" t="s">
        <v>9617</v>
      </c>
      <c r="D2184" t="s">
        <v>10694</v>
      </c>
      <c r="E2184" t="s">
        <v>10695</v>
      </c>
      <c r="F2184" s="1">
        <v>44711</v>
      </c>
      <c r="G2184" t="str">
        <f>"300064"</f>
        <v>300064</v>
      </c>
      <c r="H2184" t="s">
        <v>2896</v>
      </c>
      <c r="I2184">
        <v>19230</v>
      </c>
    </row>
    <row r="2185" spans="1:9" x14ac:dyDescent="0.25">
      <c r="A2185" t="s">
        <v>9616</v>
      </c>
      <c r="C2185" t="s">
        <v>9617</v>
      </c>
      <c r="D2185" t="s">
        <v>10696</v>
      </c>
      <c r="E2185" t="s">
        <v>9971</v>
      </c>
      <c r="F2185" s="1">
        <v>44711</v>
      </c>
      <c r="G2185" t="str">
        <f>"300133"</f>
        <v>300133</v>
      </c>
      <c r="H2185" t="s">
        <v>2955</v>
      </c>
      <c r="I2185">
        <v>35977.5</v>
      </c>
    </row>
    <row r="2186" spans="1:9" x14ac:dyDescent="0.25">
      <c r="A2186" t="s">
        <v>9616</v>
      </c>
      <c r="C2186" t="s">
        <v>9617</v>
      </c>
      <c r="D2186" t="s">
        <v>10697</v>
      </c>
      <c r="E2186" t="s">
        <v>9971</v>
      </c>
      <c r="F2186" s="1">
        <v>44711</v>
      </c>
      <c r="G2186" t="str">
        <f>"300133"</f>
        <v>300133</v>
      </c>
      <c r="H2186" t="s">
        <v>2955</v>
      </c>
      <c r="I2186">
        <v>11992.5</v>
      </c>
    </row>
    <row r="2187" spans="1:9" x14ac:dyDescent="0.25">
      <c r="A2187" t="s">
        <v>9616</v>
      </c>
      <c r="C2187" t="s">
        <v>9617</v>
      </c>
      <c r="D2187" t="s">
        <v>10698</v>
      </c>
      <c r="E2187" t="s">
        <v>10685</v>
      </c>
      <c r="F2187" s="1">
        <v>44711</v>
      </c>
      <c r="G2187" t="str">
        <f>"300191"</f>
        <v>300191</v>
      </c>
      <c r="H2187" t="s">
        <v>3008</v>
      </c>
      <c r="I2187">
        <v>3115.12</v>
      </c>
    </row>
    <row r="2188" spans="1:9" x14ac:dyDescent="0.25">
      <c r="A2188" t="s">
        <v>9616</v>
      </c>
      <c r="C2188" t="s">
        <v>9617</v>
      </c>
      <c r="D2188" t="str">
        <f>"39089"</f>
        <v>39089</v>
      </c>
      <c r="E2188" t="s">
        <v>10693</v>
      </c>
      <c r="F2188" s="1">
        <v>44712</v>
      </c>
      <c r="G2188" t="str">
        <f>"300043"</f>
        <v>300043</v>
      </c>
      <c r="H2188" t="s">
        <v>2876</v>
      </c>
      <c r="I2188">
        <v>1429</v>
      </c>
    </row>
    <row r="2189" spans="1:9" x14ac:dyDescent="0.25">
      <c r="A2189" t="s">
        <v>9616</v>
      </c>
      <c r="C2189" t="s">
        <v>9617</v>
      </c>
      <c r="D2189" t="str">
        <f>"10140617"</f>
        <v>10140617</v>
      </c>
      <c r="E2189" t="s">
        <v>1313</v>
      </c>
      <c r="F2189" s="1">
        <v>44712</v>
      </c>
      <c r="G2189" t="str">
        <f>"300115"</f>
        <v>300115</v>
      </c>
      <c r="H2189" t="s">
        <v>2938</v>
      </c>
      <c r="I2189">
        <v>99388.311000000002</v>
      </c>
    </row>
    <row r="2190" spans="1:9" x14ac:dyDescent="0.25">
      <c r="A2190" t="s">
        <v>9616</v>
      </c>
      <c r="C2190" t="s">
        <v>9617</v>
      </c>
      <c r="D2190" t="str">
        <f>"10140618"</f>
        <v>10140618</v>
      </c>
      <c r="E2190" t="s">
        <v>8925</v>
      </c>
      <c r="F2190" s="1">
        <v>44712</v>
      </c>
      <c r="G2190" t="str">
        <f>"300115"</f>
        <v>300115</v>
      </c>
      <c r="H2190" t="s">
        <v>2938</v>
      </c>
      <c r="I2190">
        <v>256207.864</v>
      </c>
    </row>
    <row r="2191" spans="1:9" x14ac:dyDescent="0.25">
      <c r="A2191" t="s">
        <v>9616</v>
      </c>
      <c r="C2191" t="s">
        <v>9617</v>
      </c>
      <c r="D2191" t="str">
        <f>"2022004158"</f>
        <v>2022004158</v>
      </c>
      <c r="E2191" t="s">
        <v>10693</v>
      </c>
      <c r="F2191" s="1">
        <v>44712</v>
      </c>
      <c r="G2191" t="str">
        <f>"300191"</f>
        <v>300191</v>
      </c>
      <c r="H2191" t="s">
        <v>3008</v>
      </c>
      <c r="I2191">
        <v>3139.07</v>
      </c>
    </row>
    <row r="2192" spans="1:9" x14ac:dyDescent="0.25">
      <c r="A2192" t="s">
        <v>9616</v>
      </c>
      <c r="C2192" t="s">
        <v>9617</v>
      </c>
      <c r="D2192" t="str">
        <f>"10140624"</f>
        <v>10140624</v>
      </c>
      <c r="E2192" t="s">
        <v>10699</v>
      </c>
      <c r="F2192" s="1">
        <v>44713</v>
      </c>
      <c r="G2192" t="str">
        <f>"300115"</f>
        <v>300115</v>
      </c>
      <c r="H2192" t="s">
        <v>2938</v>
      </c>
      <c r="I2192">
        <v>384311.79599999997</v>
      </c>
    </row>
    <row r="2193" spans="1:9" x14ac:dyDescent="0.25">
      <c r="A2193" t="s">
        <v>9616</v>
      </c>
      <c r="C2193" t="s">
        <v>9617</v>
      </c>
      <c r="D2193" t="str">
        <f>"10140625"</f>
        <v>10140625</v>
      </c>
      <c r="E2193" t="s">
        <v>1313</v>
      </c>
      <c r="F2193" s="1">
        <v>44713</v>
      </c>
      <c r="G2193" t="str">
        <f>"300115"</f>
        <v>300115</v>
      </c>
      <c r="H2193" t="s">
        <v>2938</v>
      </c>
      <c r="I2193">
        <v>311965.005</v>
      </c>
    </row>
    <row r="2194" spans="1:9" x14ac:dyDescent="0.25">
      <c r="A2194" t="s">
        <v>9616</v>
      </c>
      <c r="C2194" t="s">
        <v>9617</v>
      </c>
      <c r="D2194" t="str">
        <f>"10140626"</f>
        <v>10140626</v>
      </c>
      <c r="E2194" s="2">
        <v>46296</v>
      </c>
      <c r="F2194" s="1">
        <v>44713</v>
      </c>
      <c r="G2194" t="str">
        <f>"300115"</f>
        <v>300115</v>
      </c>
      <c r="H2194" t="s">
        <v>2938</v>
      </c>
      <c r="I2194">
        <v>384311.79599999997</v>
      </c>
    </row>
    <row r="2195" spans="1:9" x14ac:dyDescent="0.25">
      <c r="A2195" t="s">
        <v>9616</v>
      </c>
      <c r="C2195" t="s">
        <v>9617</v>
      </c>
      <c r="D2195" t="str">
        <f>"10140667"</f>
        <v>10140667</v>
      </c>
      <c r="E2195" t="s">
        <v>9189</v>
      </c>
      <c r="F2195" s="1">
        <v>44713</v>
      </c>
      <c r="G2195" t="str">
        <f>"300115"</f>
        <v>300115</v>
      </c>
      <c r="H2195" t="s">
        <v>2938</v>
      </c>
      <c r="I2195">
        <v>384311.79599999997</v>
      </c>
    </row>
    <row r="2196" spans="1:9" x14ac:dyDescent="0.25">
      <c r="A2196" t="s">
        <v>9616</v>
      </c>
      <c r="C2196" t="s">
        <v>9617</v>
      </c>
      <c r="D2196" t="s">
        <v>10700</v>
      </c>
      <c r="F2196" s="1">
        <v>44713</v>
      </c>
      <c r="G2196" t="str">
        <f>"300133"</f>
        <v>300133</v>
      </c>
      <c r="H2196" t="s">
        <v>2955</v>
      </c>
      <c r="I2196">
        <v>36763.199999999997</v>
      </c>
    </row>
    <row r="2197" spans="1:9" x14ac:dyDescent="0.25">
      <c r="A2197" t="s">
        <v>9616</v>
      </c>
      <c r="C2197" t="s">
        <v>9617</v>
      </c>
      <c r="D2197" t="s">
        <v>10701</v>
      </c>
      <c r="F2197" s="1">
        <v>44713</v>
      </c>
      <c r="G2197" t="str">
        <f>"300133"</f>
        <v>300133</v>
      </c>
      <c r="H2197" t="s">
        <v>2955</v>
      </c>
      <c r="I2197">
        <v>43548.75</v>
      </c>
    </row>
    <row r="2198" spans="1:9" x14ac:dyDescent="0.25">
      <c r="A2198" t="s">
        <v>9616</v>
      </c>
      <c r="C2198" t="s">
        <v>9617</v>
      </c>
      <c r="D2198" t="s">
        <v>10702</v>
      </c>
      <c r="F2198" s="1">
        <v>44713</v>
      </c>
      <c r="G2198" t="str">
        <f>"300133"</f>
        <v>300133</v>
      </c>
      <c r="H2198" t="s">
        <v>2955</v>
      </c>
      <c r="I2198">
        <v>5996.25</v>
      </c>
    </row>
    <row r="2199" spans="1:9" x14ac:dyDescent="0.25">
      <c r="A2199" t="s">
        <v>9616</v>
      </c>
      <c r="C2199" t="s">
        <v>9617</v>
      </c>
      <c r="D2199" t="s">
        <v>10703</v>
      </c>
      <c r="E2199" t="s">
        <v>10704</v>
      </c>
      <c r="F2199" s="1">
        <v>44713</v>
      </c>
      <c r="G2199" t="str">
        <f>"300321"</f>
        <v>300321</v>
      </c>
      <c r="H2199" t="s">
        <v>2706</v>
      </c>
      <c r="I2199">
        <v>15500</v>
      </c>
    </row>
    <row r="2200" spans="1:9" x14ac:dyDescent="0.25">
      <c r="A2200" t="s">
        <v>9616</v>
      </c>
      <c r="C2200" t="s">
        <v>9617</v>
      </c>
      <c r="D2200" t="s">
        <v>10705</v>
      </c>
      <c r="E2200" t="s">
        <v>10706</v>
      </c>
      <c r="F2200" s="1">
        <v>44713</v>
      </c>
      <c r="G2200" t="str">
        <f>"300321"</f>
        <v>300321</v>
      </c>
      <c r="H2200" t="s">
        <v>2706</v>
      </c>
      <c r="I2200">
        <v>15500</v>
      </c>
    </row>
    <row r="2201" spans="1:9" x14ac:dyDescent="0.25">
      <c r="A2201" t="s">
        <v>9616</v>
      </c>
      <c r="C2201" t="s">
        <v>9617</v>
      </c>
      <c r="D2201" t="s">
        <v>10707</v>
      </c>
      <c r="E2201" t="s">
        <v>10708</v>
      </c>
      <c r="F2201" s="1">
        <v>44713</v>
      </c>
      <c r="G2201" t="str">
        <f>"300321"</f>
        <v>300321</v>
      </c>
      <c r="H2201" t="s">
        <v>2706</v>
      </c>
      <c r="I2201">
        <v>15500</v>
      </c>
    </row>
    <row r="2202" spans="1:9" x14ac:dyDescent="0.25">
      <c r="A2202" t="s">
        <v>9616</v>
      </c>
      <c r="C2202" t="s">
        <v>9617</v>
      </c>
      <c r="D2202" t="s">
        <v>10709</v>
      </c>
      <c r="E2202" t="s">
        <v>10710</v>
      </c>
      <c r="F2202" s="1">
        <v>44713</v>
      </c>
      <c r="G2202" t="str">
        <f>"300321"</f>
        <v>300321</v>
      </c>
      <c r="H2202" t="s">
        <v>2706</v>
      </c>
      <c r="I2202">
        <v>15500</v>
      </c>
    </row>
    <row r="2203" spans="1:9" x14ac:dyDescent="0.25">
      <c r="A2203" t="s">
        <v>9616</v>
      </c>
      <c r="C2203" t="s">
        <v>9617</v>
      </c>
      <c r="D2203" t="str">
        <f>"40192"</f>
        <v>40192</v>
      </c>
      <c r="E2203" t="s">
        <v>10704</v>
      </c>
      <c r="F2203" s="1">
        <v>44714</v>
      </c>
      <c r="G2203" t="str">
        <f t="shared" ref="G2203:G2208" si="11">"300043"</f>
        <v>300043</v>
      </c>
      <c r="H2203" t="s">
        <v>2876</v>
      </c>
      <c r="I2203">
        <v>1345</v>
      </c>
    </row>
    <row r="2204" spans="1:9" x14ac:dyDescent="0.25">
      <c r="A2204" t="s">
        <v>9616</v>
      </c>
      <c r="C2204" t="s">
        <v>9617</v>
      </c>
      <c r="D2204" t="str">
        <f>"40201"</f>
        <v>40201</v>
      </c>
      <c r="E2204" t="s">
        <v>10710</v>
      </c>
      <c r="F2204" s="1">
        <v>44714</v>
      </c>
      <c r="G2204" t="str">
        <f t="shared" si="11"/>
        <v>300043</v>
      </c>
      <c r="H2204" t="s">
        <v>2876</v>
      </c>
      <c r="I2204">
        <v>1436</v>
      </c>
    </row>
    <row r="2205" spans="1:9" x14ac:dyDescent="0.25">
      <c r="A2205" t="s">
        <v>9616</v>
      </c>
      <c r="C2205" t="s">
        <v>9617</v>
      </c>
      <c r="D2205" t="str">
        <f>"40236"</f>
        <v>40236</v>
      </c>
      <c r="E2205" t="s">
        <v>10706</v>
      </c>
      <c r="F2205" s="1">
        <v>44714</v>
      </c>
      <c r="G2205" t="str">
        <f t="shared" si="11"/>
        <v>300043</v>
      </c>
      <c r="H2205" t="s">
        <v>2876</v>
      </c>
      <c r="I2205">
        <v>1428</v>
      </c>
    </row>
    <row r="2206" spans="1:9" x14ac:dyDescent="0.25">
      <c r="A2206" t="s">
        <v>9616</v>
      </c>
      <c r="C2206" t="s">
        <v>9617</v>
      </c>
      <c r="D2206" t="str">
        <f>"40545"</f>
        <v>40545</v>
      </c>
      <c r="E2206" t="s">
        <v>10708</v>
      </c>
      <c r="F2206" s="1">
        <v>44715</v>
      </c>
      <c r="G2206" t="str">
        <f t="shared" si="11"/>
        <v>300043</v>
      </c>
      <c r="H2206" t="s">
        <v>2876</v>
      </c>
      <c r="I2206">
        <v>1428</v>
      </c>
    </row>
    <row r="2207" spans="1:9" x14ac:dyDescent="0.25">
      <c r="A2207" t="s">
        <v>9616</v>
      </c>
      <c r="C2207" t="s">
        <v>9617</v>
      </c>
      <c r="D2207" t="str">
        <f>"40579"</f>
        <v>40579</v>
      </c>
      <c r="E2207" t="s">
        <v>10711</v>
      </c>
      <c r="F2207" s="1">
        <v>44718</v>
      </c>
      <c r="G2207" t="str">
        <f t="shared" si="11"/>
        <v>300043</v>
      </c>
      <c r="H2207" t="s">
        <v>2876</v>
      </c>
      <c r="I2207">
        <v>1168</v>
      </c>
    </row>
    <row r="2208" spans="1:9" x14ac:dyDescent="0.25">
      <c r="A2208" t="s">
        <v>9616</v>
      </c>
      <c r="C2208" t="s">
        <v>9617</v>
      </c>
      <c r="D2208" t="str">
        <f>"20916403"</f>
        <v>20916403</v>
      </c>
      <c r="E2208" t="s">
        <v>10711</v>
      </c>
      <c r="F2208" s="1">
        <v>44718</v>
      </c>
      <c r="G2208" t="str">
        <f t="shared" si="11"/>
        <v>300043</v>
      </c>
      <c r="H2208" t="s">
        <v>2876</v>
      </c>
      <c r="I2208">
        <v>1761</v>
      </c>
    </row>
    <row r="2209" spans="1:9" x14ac:dyDescent="0.25">
      <c r="A2209" t="s">
        <v>9616</v>
      </c>
      <c r="C2209" t="s">
        <v>9617</v>
      </c>
      <c r="D2209" t="str">
        <f>"290522"</f>
        <v>290522</v>
      </c>
      <c r="E2209" t="s">
        <v>10711</v>
      </c>
      <c r="F2209" s="1">
        <v>44718</v>
      </c>
      <c r="G2209" t="str">
        <f>"300101"</f>
        <v>300101</v>
      </c>
      <c r="H2209" t="s">
        <v>2926</v>
      </c>
      <c r="I2209">
        <v>3594.7</v>
      </c>
    </row>
    <row r="2210" spans="1:9" x14ac:dyDescent="0.25">
      <c r="A2210" t="s">
        <v>9616</v>
      </c>
      <c r="C2210" t="s">
        <v>9617</v>
      </c>
      <c r="D2210" t="str">
        <f>"2022004351"</f>
        <v>2022004351</v>
      </c>
      <c r="E2210" t="s">
        <v>10704</v>
      </c>
      <c r="F2210" s="1">
        <v>44720</v>
      </c>
      <c r="G2210" t="str">
        <f>"300191"</f>
        <v>300191</v>
      </c>
      <c r="H2210" t="s">
        <v>3008</v>
      </c>
      <c r="I2210">
        <v>3130.79</v>
      </c>
    </row>
    <row r="2211" spans="1:9" x14ac:dyDescent="0.25">
      <c r="A2211" t="s">
        <v>9616</v>
      </c>
      <c r="C2211" t="s">
        <v>9617</v>
      </c>
      <c r="D2211" t="str">
        <f>"2022004354"</f>
        <v>2022004354</v>
      </c>
      <c r="E2211" t="s">
        <v>10708</v>
      </c>
      <c r="F2211" s="1">
        <v>44720</v>
      </c>
      <c r="G2211" t="str">
        <f>"300191"</f>
        <v>300191</v>
      </c>
      <c r="H2211" t="s">
        <v>3008</v>
      </c>
      <c r="I2211">
        <v>3126.3</v>
      </c>
    </row>
    <row r="2212" spans="1:9" x14ac:dyDescent="0.25">
      <c r="A2212" t="s">
        <v>9616</v>
      </c>
      <c r="C2212" t="s">
        <v>9617</v>
      </c>
      <c r="D2212" t="str">
        <f>"2022004355"</f>
        <v>2022004355</v>
      </c>
      <c r="E2212" t="s">
        <v>10706</v>
      </c>
      <c r="F2212" s="1">
        <v>44720</v>
      </c>
      <c r="G2212" t="str">
        <f>"300191"</f>
        <v>300191</v>
      </c>
      <c r="H2212" t="s">
        <v>3008</v>
      </c>
      <c r="I2212">
        <v>3130.79</v>
      </c>
    </row>
    <row r="2213" spans="1:9" x14ac:dyDescent="0.25">
      <c r="A2213" t="s">
        <v>9616</v>
      </c>
      <c r="C2213" t="s">
        <v>9617</v>
      </c>
      <c r="D2213" t="str">
        <f>"2022004356"</f>
        <v>2022004356</v>
      </c>
      <c r="E2213" t="s">
        <v>10710</v>
      </c>
      <c r="F2213" s="1">
        <v>44720</v>
      </c>
      <c r="G2213" t="str">
        <f>"300191"</f>
        <v>300191</v>
      </c>
      <c r="H2213" t="s">
        <v>3008</v>
      </c>
      <c r="I2213">
        <v>3130.79</v>
      </c>
    </row>
    <row r="2214" spans="1:9" x14ac:dyDescent="0.25">
      <c r="A2214" t="s">
        <v>9616</v>
      </c>
      <c r="C2214" t="s">
        <v>9617</v>
      </c>
      <c r="D2214" t="s">
        <v>10712</v>
      </c>
      <c r="E2214" t="s">
        <v>9565</v>
      </c>
      <c r="F2214" s="1">
        <v>44721</v>
      </c>
      <c r="G2214" t="str">
        <f>"300133"</f>
        <v>300133</v>
      </c>
      <c r="H2214" t="s">
        <v>2955</v>
      </c>
      <c r="I2214">
        <v>48232.800000000003</v>
      </c>
    </row>
    <row r="2215" spans="1:9" x14ac:dyDescent="0.25">
      <c r="A2215" t="s">
        <v>9616</v>
      </c>
      <c r="C2215" t="s">
        <v>9617</v>
      </c>
      <c r="D2215" t="str">
        <f>"10140939"</f>
        <v>10140939</v>
      </c>
      <c r="F2215" s="1">
        <v>44725</v>
      </c>
      <c r="G2215" t="str">
        <f>"300115"</f>
        <v>300115</v>
      </c>
      <c r="H2215" t="s">
        <v>2938</v>
      </c>
      <c r="I2215">
        <v>59475.721799999999</v>
      </c>
    </row>
    <row r="2216" spans="1:9" x14ac:dyDescent="0.25">
      <c r="A2216" t="s">
        <v>9616</v>
      </c>
      <c r="C2216" t="s">
        <v>9617</v>
      </c>
      <c r="D2216" t="str">
        <f>"10140940"</f>
        <v>10140940</v>
      </c>
      <c r="E2216" s="2">
        <v>46027</v>
      </c>
      <c r="F2216" s="1">
        <v>44725</v>
      </c>
      <c r="G2216" t="str">
        <f>"300115"</f>
        <v>300115</v>
      </c>
      <c r="H2216" t="s">
        <v>2938</v>
      </c>
      <c r="I2216">
        <v>76182.81</v>
      </c>
    </row>
    <row r="2217" spans="1:9" x14ac:dyDescent="0.25">
      <c r="A2217" t="s">
        <v>9616</v>
      </c>
      <c r="C2217" t="s">
        <v>9617</v>
      </c>
      <c r="D2217" t="str">
        <f>"71363"</f>
        <v>71363</v>
      </c>
      <c r="E2217" t="s">
        <v>10687</v>
      </c>
      <c r="F2217" s="1">
        <v>44726</v>
      </c>
      <c r="G2217" t="str">
        <f>"300093"</f>
        <v>300093</v>
      </c>
      <c r="H2217" t="s">
        <v>2918</v>
      </c>
      <c r="I2217">
        <v>245603.3437</v>
      </c>
    </row>
    <row r="2218" spans="1:9" x14ac:dyDescent="0.25">
      <c r="A2218" t="s">
        <v>9616</v>
      </c>
      <c r="C2218" t="s">
        <v>9617</v>
      </c>
      <c r="D2218" t="str">
        <f>"10140930"</f>
        <v>10140930</v>
      </c>
      <c r="E2218" t="s">
        <v>9303</v>
      </c>
      <c r="F2218" s="1">
        <v>44726</v>
      </c>
      <c r="G2218" t="str">
        <f>"300115"</f>
        <v>300115</v>
      </c>
      <c r="H2218" t="s">
        <v>2938</v>
      </c>
      <c r="I2218">
        <v>415222.522</v>
      </c>
    </row>
    <row r="2219" spans="1:9" x14ac:dyDescent="0.25">
      <c r="A2219" t="s">
        <v>9616</v>
      </c>
      <c r="C2219" t="s">
        <v>9617</v>
      </c>
      <c r="D2219" t="str">
        <f>"10140931"</f>
        <v>10140931</v>
      </c>
      <c r="E2219" t="s">
        <v>9189</v>
      </c>
      <c r="F2219" s="1">
        <v>44726</v>
      </c>
      <c r="G2219" t="str">
        <f>"300115"</f>
        <v>300115</v>
      </c>
      <c r="H2219" t="s">
        <v>2938</v>
      </c>
      <c r="I2219">
        <v>374085.78240000003</v>
      </c>
    </row>
    <row r="2220" spans="1:9" x14ac:dyDescent="0.25">
      <c r="A2220" t="s">
        <v>9616</v>
      </c>
      <c r="C2220" t="s">
        <v>9617</v>
      </c>
      <c r="D2220" t="str">
        <f>"10140936"</f>
        <v>10140936</v>
      </c>
      <c r="E2220" t="s">
        <v>10512</v>
      </c>
      <c r="F2220" s="1">
        <v>44726</v>
      </c>
      <c r="G2220" t="str">
        <f>"300115"</f>
        <v>300115</v>
      </c>
      <c r="H2220" t="s">
        <v>2938</v>
      </c>
      <c r="I2220">
        <v>415222.522</v>
      </c>
    </row>
    <row r="2221" spans="1:9" x14ac:dyDescent="0.25">
      <c r="A2221" t="s">
        <v>9616</v>
      </c>
      <c r="C2221" t="s">
        <v>9617</v>
      </c>
      <c r="D2221" t="str">
        <f>"10140970"</f>
        <v>10140970</v>
      </c>
      <c r="E2221" t="s">
        <v>10713</v>
      </c>
      <c r="F2221" s="1">
        <v>44726</v>
      </c>
      <c r="G2221" t="str">
        <f>"300115"</f>
        <v>300115</v>
      </c>
      <c r="H2221" t="s">
        <v>2938</v>
      </c>
      <c r="I2221">
        <v>107011.08</v>
      </c>
    </row>
    <row r="2222" spans="1:9" x14ac:dyDescent="0.25">
      <c r="A2222" t="s">
        <v>9616</v>
      </c>
      <c r="C2222" t="s">
        <v>9617</v>
      </c>
      <c r="D2222" t="str">
        <f>"10140973"</f>
        <v>10140973</v>
      </c>
      <c r="E2222" t="s">
        <v>10714</v>
      </c>
      <c r="F2222" s="1">
        <v>44726</v>
      </c>
      <c r="G2222" t="str">
        <f>"300115"</f>
        <v>300115</v>
      </c>
      <c r="H2222" t="s">
        <v>2938</v>
      </c>
      <c r="I2222">
        <v>107011.08</v>
      </c>
    </row>
    <row r="2223" spans="1:9" x14ac:dyDescent="0.25">
      <c r="A2223" t="s">
        <v>9616</v>
      </c>
      <c r="C2223" t="s">
        <v>9617</v>
      </c>
      <c r="D2223" t="s">
        <v>10715</v>
      </c>
      <c r="E2223" t="s">
        <v>10092</v>
      </c>
      <c r="F2223" s="1">
        <v>44726</v>
      </c>
      <c r="G2223" t="str">
        <f>"300133"</f>
        <v>300133</v>
      </c>
      <c r="H2223" t="s">
        <v>2955</v>
      </c>
      <c r="I2223">
        <v>51120</v>
      </c>
    </row>
    <row r="2224" spans="1:9" x14ac:dyDescent="0.25">
      <c r="A2224" t="s">
        <v>9616</v>
      </c>
      <c r="C2224" t="s">
        <v>9617</v>
      </c>
      <c r="D2224" t="s">
        <v>10716</v>
      </c>
      <c r="E2224" t="s">
        <v>10717</v>
      </c>
      <c r="F2224" s="1">
        <v>44726</v>
      </c>
      <c r="G2224" t="str">
        <f>"300321"</f>
        <v>300321</v>
      </c>
      <c r="H2224" t="s">
        <v>2706</v>
      </c>
      <c r="I2224">
        <v>15500</v>
      </c>
    </row>
    <row r="2225" spans="1:9" x14ac:dyDescent="0.25">
      <c r="A2225" t="s">
        <v>9616</v>
      </c>
      <c r="C2225" t="s">
        <v>9617</v>
      </c>
      <c r="D2225" t="s">
        <v>10718</v>
      </c>
      <c r="E2225" t="s">
        <v>10719</v>
      </c>
      <c r="F2225" s="1">
        <v>44726</v>
      </c>
      <c r="G2225" t="str">
        <f>"300321"</f>
        <v>300321</v>
      </c>
      <c r="H2225" t="s">
        <v>2706</v>
      </c>
      <c r="I2225">
        <v>13500</v>
      </c>
    </row>
    <row r="2226" spans="1:9" x14ac:dyDescent="0.25">
      <c r="A2226" t="s">
        <v>9616</v>
      </c>
      <c r="C2226" t="s">
        <v>9617</v>
      </c>
      <c r="D2226" t="s">
        <v>10720</v>
      </c>
      <c r="E2226" t="s">
        <v>10721</v>
      </c>
      <c r="F2226" s="1">
        <v>44726</v>
      </c>
      <c r="G2226" t="str">
        <f>"300321"</f>
        <v>300321</v>
      </c>
      <c r="H2226" t="s">
        <v>2706</v>
      </c>
      <c r="I2226">
        <v>13500</v>
      </c>
    </row>
    <row r="2227" spans="1:9" x14ac:dyDescent="0.25">
      <c r="A2227" t="s">
        <v>9616</v>
      </c>
      <c r="C2227" t="s">
        <v>9617</v>
      </c>
      <c r="D2227" t="str">
        <f>"43634"</f>
        <v>43634</v>
      </c>
      <c r="E2227" t="s">
        <v>10717</v>
      </c>
      <c r="F2227" s="1">
        <v>44727</v>
      </c>
      <c r="G2227" t="str">
        <f>"300043"</f>
        <v>300043</v>
      </c>
      <c r="H2227" t="s">
        <v>2876</v>
      </c>
      <c r="I2227">
        <v>1393</v>
      </c>
    </row>
    <row r="2228" spans="1:9" x14ac:dyDescent="0.25">
      <c r="A2228" t="s">
        <v>9616</v>
      </c>
      <c r="C2228" t="s">
        <v>9617</v>
      </c>
      <c r="D2228" t="str">
        <f>"43776"</f>
        <v>43776</v>
      </c>
      <c r="E2228" t="s">
        <v>10721</v>
      </c>
      <c r="F2228" s="1">
        <v>44727</v>
      </c>
      <c r="G2228" t="str">
        <f>"300043"</f>
        <v>300043</v>
      </c>
      <c r="H2228" t="s">
        <v>2876</v>
      </c>
      <c r="I2228">
        <v>1512</v>
      </c>
    </row>
    <row r="2229" spans="1:9" x14ac:dyDescent="0.25">
      <c r="A2229" t="s">
        <v>9616</v>
      </c>
      <c r="C2229" t="s">
        <v>9617</v>
      </c>
      <c r="D2229" t="str">
        <f>"43815"</f>
        <v>43815</v>
      </c>
      <c r="E2229" t="s">
        <v>10719</v>
      </c>
      <c r="F2229" s="1">
        <v>44727</v>
      </c>
      <c r="G2229" t="str">
        <f>"300043"</f>
        <v>300043</v>
      </c>
      <c r="H2229" t="s">
        <v>2876</v>
      </c>
      <c r="I2229">
        <v>1512</v>
      </c>
    </row>
    <row r="2230" spans="1:9" x14ac:dyDescent="0.25">
      <c r="A2230" t="s">
        <v>9616</v>
      </c>
      <c r="C2230" t="s">
        <v>9617</v>
      </c>
      <c r="D2230" t="s">
        <v>10722</v>
      </c>
      <c r="E2230" t="s">
        <v>9565</v>
      </c>
      <c r="F2230" s="1">
        <v>44727</v>
      </c>
      <c r="G2230" t="str">
        <f>"300133"</f>
        <v>300133</v>
      </c>
      <c r="H2230" t="s">
        <v>2955</v>
      </c>
      <c r="I2230">
        <v>68904</v>
      </c>
    </row>
    <row r="2231" spans="1:9" x14ac:dyDescent="0.25">
      <c r="A2231" t="s">
        <v>9616</v>
      </c>
      <c r="C2231" t="s">
        <v>9617</v>
      </c>
      <c r="D2231" t="s">
        <v>10723</v>
      </c>
      <c r="E2231" t="s">
        <v>9971</v>
      </c>
      <c r="F2231" s="1">
        <v>44727</v>
      </c>
      <c r="G2231" t="str">
        <f>"300133"</f>
        <v>300133</v>
      </c>
      <c r="H2231" t="s">
        <v>2955</v>
      </c>
      <c r="I2231">
        <v>47970</v>
      </c>
    </row>
    <row r="2232" spans="1:9" x14ac:dyDescent="0.25">
      <c r="A2232" t="s">
        <v>9616</v>
      </c>
      <c r="C2232" t="s">
        <v>9617</v>
      </c>
      <c r="D2232" t="s">
        <v>10724</v>
      </c>
      <c r="E2232" t="s">
        <v>10725</v>
      </c>
      <c r="F2232" s="1">
        <v>44727</v>
      </c>
      <c r="G2232" t="str">
        <f>"300133"</f>
        <v>300133</v>
      </c>
      <c r="H2232" t="s">
        <v>2955</v>
      </c>
      <c r="I2232">
        <v>5200</v>
      </c>
    </row>
    <row r="2233" spans="1:9" x14ac:dyDescent="0.25">
      <c r="A2233" t="s">
        <v>9616</v>
      </c>
      <c r="C2233" t="s">
        <v>9617</v>
      </c>
      <c r="D2233" t="s">
        <v>10726</v>
      </c>
      <c r="E2233" t="s">
        <v>10727</v>
      </c>
      <c r="F2233" s="1">
        <v>44727</v>
      </c>
      <c r="G2233" t="str">
        <f>"300133"</f>
        <v>300133</v>
      </c>
      <c r="H2233" t="s">
        <v>2955</v>
      </c>
      <c r="I2233">
        <v>72406</v>
      </c>
    </row>
    <row r="2234" spans="1:9" x14ac:dyDescent="0.25">
      <c r="A2234" t="s">
        <v>9616</v>
      </c>
      <c r="C2234" t="s">
        <v>9617</v>
      </c>
      <c r="D2234" t="str">
        <f>"44063"</f>
        <v>44063</v>
      </c>
      <c r="E2234" t="s">
        <v>10728</v>
      </c>
      <c r="F2234" s="1">
        <v>44728</v>
      </c>
      <c r="G2234" t="str">
        <f>"300043"</f>
        <v>300043</v>
      </c>
      <c r="H2234" t="s">
        <v>2876</v>
      </c>
      <c r="I2234">
        <v>601</v>
      </c>
    </row>
    <row r="2235" spans="1:9" x14ac:dyDescent="0.25">
      <c r="A2235" t="s">
        <v>9616</v>
      </c>
      <c r="C2235" t="s">
        <v>9617</v>
      </c>
      <c r="D2235" t="str">
        <f>"325422"</f>
        <v>325422</v>
      </c>
      <c r="E2235" t="s">
        <v>10728</v>
      </c>
      <c r="F2235" s="1">
        <v>44728</v>
      </c>
      <c r="G2235" t="str">
        <f>"300101"</f>
        <v>300101</v>
      </c>
      <c r="H2235" t="s">
        <v>2926</v>
      </c>
      <c r="I2235">
        <v>3443.05</v>
      </c>
    </row>
    <row r="2236" spans="1:9" x14ac:dyDescent="0.25">
      <c r="A2236" t="s">
        <v>9616</v>
      </c>
      <c r="C2236" t="s">
        <v>9617</v>
      </c>
      <c r="D2236" t="str">
        <f>"10141012"</f>
        <v>10141012</v>
      </c>
      <c r="E2236" t="s">
        <v>10713</v>
      </c>
      <c r="F2236" s="1">
        <v>44728</v>
      </c>
      <c r="G2236" t="str">
        <f>"300115"</f>
        <v>300115</v>
      </c>
      <c r="H2236" t="s">
        <v>2938</v>
      </c>
      <c r="I2236">
        <v>101538.855</v>
      </c>
    </row>
    <row r="2237" spans="1:9" x14ac:dyDescent="0.25">
      <c r="A2237" t="s">
        <v>9616</v>
      </c>
      <c r="C2237" t="s">
        <v>9617</v>
      </c>
      <c r="D2237" t="str">
        <f>"10141047"</f>
        <v>10141047</v>
      </c>
      <c r="E2237" t="s">
        <v>9239</v>
      </c>
      <c r="F2237" s="1">
        <v>44728</v>
      </c>
      <c r="G2237" t="str">
        <f>"300115"</f>
        <v>300115</v>
      </c>
      <c r="H2237" t="s">
        <v>2938</v>
      </c>
      <c r="I2237">
        <v>368883.25760000001</v>
      </c>
    </row>
    <row r="2238" spans="1:9" x14ac:dyDescent="0.25">
      <c r="A2238" t="s">
        <v>9616</v>
      </c>
      <c r="C2238" t="s">
        <v>9617</v>
      </c>
      <c r="D2238" t="s">
        <v>10729</v>
      </c>
      <c r="E2238" t="s">
        <v>10717</v>
      </c>
      <c r="F2238" s="1">
        <v>44728</v>
      </c>
      <c r="G2238" t="str">
        <f>"300191"</f>
        <v>300191</v>
      </c>
      <c r="H2238" t="s">
        <v>3008</v>
      </c>
      <c r="I2238">
        <v>3115.2</v>
      </c>
    </row>
    <row r="2239" spans="1:9" x14ac:dyDescent="0.25">
      <c r="A2239" t="s">
        <v>9616</v>
      </c>
      <c r="C2239" t="s">
        <v>9617</v>
      </c>
      <c r="D2239" t="s">
        <v>10730</v>
      </c>
      <c r="E2239" t="s">
        <v>10731</v>
      </c>
      <c r="F2239" s="1">
        <v>44728</v>
      </c>
      <c r="G2239" t="str">
        <f>"300321"</f>
        <v>300321</v>
      </c>
      <c r="H2239" t="s">
        <v>2706</v>
      </c>
      <c r="I2239">
        <v>15500</v>
      </c>
    </row>
    <row r="2240" spans="1:9" x14ac:dyDescent="0.25">
      <c r="A2240" t="s">
        <v>9616</v>
      </c>
      <c r="C2240" t="s">
        <v>9617</v>
      </c>
      <c r="D2240" t="str">
        <f>"44274"</f>
        <v>44274</v>
      </c>
      <c r="E2240" t="s">
        <v>10732</v>
      </c>
      <c r="F2240" s="1">
        <v>44729</v>
      </c>
      <c r="G2240" t="str">
        <f>"300043"</f>
        <v>300043</v>
      </c>
      <c r="H2240" t="s">
        <v>2876</v>
      </c>
      <c r="I2240">
        <v>505</v>
      </c>
    </row>
    <row r="2241" spans="1:9" x14ac:dyDescent="0.25">
      <c r="A2241" t="s">
        <v>9616</v>
      </c>
      <c r="C2241" t="s">
        <v>9617</v>
      </c>
      <c r="D2241" t="str">
        <f>"44326"</f>
        <v>44326</v>
      </c>
      <c r="E2241" t="s">
        <v>10733</v>
      </c>
      <c r="F2241" s="1">
        <v>44729</v>
      </c>
      <c r="G2241" t="str">
        <f>"300043"</f>
        <v>300043</v>
      </c>
      <c r="H2241" t="s">
        <v>2876</v>
      </c>
      <c r="I2241">
        <v>505</v>
      </c>
    </row>
    <row r="2242" spans="1:9" x14ac:dyDescent="0.25">
      <c r="A2242" t="s">
        <v>9616</v>
      </c>
      <c r="C2242" t="s">
        <v>9617</v>
      </c>
      <c r="D2242" t="str">
        <f>"325122"</f>
        <v>325122</v>
      </c>
      <c r="E2242" t="s">
        <v>10732</v>
      </c>
      <c r="F2242" s="1">
        <v>44729</v>
      </c>
      <c r="G2242" t="str">
        <f>"300101"</f>
        <v>300101</v>
      </c>
      <c r="H2242" t="s">
        <v>2926</v>
      </c>
      <c r="I2242">
        <v>3434.13</v>
      </c>
    </row>
    <row r="2243" spans="1:9" x14ac:dyDescent="0.25">
      <c r="A2243" t="s">
        <v>9616</v>
      </c>
      <c r="C2243" t="s">
        <v>9617</v>
      </c>
      <c r="D2243" t="str">
        <f>"325222"</f>
        <v>325222</v>
      </c>
      <c r="E2243" t="s">
        <v>10733</v>
      </c>
      <c r="F2243" s="1">
        <v>44729</v>
      </c>
      <c r="G2243" t="str">
        <f>"300101"</f>
        <v>300101</v>
      </c>
      <c r="H2243" t="s">
        <v>2926</v>
      </c>
      <c r="I2243">
        <v>3126.16</v>
      </c>
    </row>
    <row r="2244" spans="1:9" x14ac:dyDescent="0.25">
      <c r="A2244" t="s">
        <v>9616</v>
      </c>
      <c r="C2244" t="s">
        <v>9617</v>
      </c>
      <c r="D2244" t="str">
        <f>"10141098"</f>
        <v>10141098</v>
      </c>
      <c r="E2244" t="s">
        <v>10714</v>
      </c>
      <c r="F2244" s="1">
        <v>44729</v>
      </c>
      <c r="G2244" t="str">
        <f>"300115"</f>
        <v>300115</v>
      </c>
      <c r="H2244" t="s">
        <v>2938</v>
      </c>
      <c r="I2244">
        <v>100766.655</v>
      </c>
    </row>
    <row r="2245" spans="1:9" x14ac:dyDescent="0.25">
      <c r="A2245" t="s">
        <v>9616</v>
      </c>
      <c r="C2245" t="s">
        <v>9617</v>
      </c>
      <c r="D2245" t="str">
        <f>"10141099"</f>
        <v>10141099</v>
      </c>
      <c r="E2245" t="s">
        <v>2566</v>
      </c>
      <c r="F2245" s="1">
        <v>44729</v>
      </c>
      <c r="G2245" t="str">
        <f>"300115"</f>
        <v>300115</v>
      </c>
      <c r="H2245" t="s">
        <v>2938</v>
      </c>
      <c r="I2245">
        <v>198286.55439999999</v>
      </c>
    </row>
    <row r="2246" spans="1:9" x14ac:dyDescent="0.25">
      <c r="A2246" t="s">
        <v>9616</v>
      </c>
      <c r="C2246" t="s">
        <v>9617</v>
      </c>
      <c r="D2246" t="str">
        <f>"44619"</f>
        <v>44619</v>
      </c>
      <c r="E2246" t="s">
        <v>10731</v>
      </c>
      <c r="F2246" s="1">
        <v>44732</v>
      </c>
      <c r="G2246" t="str">
        <f>"300043"</f>
        <v>300043</v>
      </c>
      <c r="H2246" t="s">
        <v>2876</v>
      </c>
      <c r="I2246">
        <v>1390</v>
      </c>
    </row>
    <row r="2247" spans="1:9" x14ac:dyDescent="0.25">
      <c r="A2247" t="s">
        <v>9616</v>
      </c>
      <c r="C2247" t="s">
        <v>9617</v>
      </c>
      <c r="D2247" t="str">
        <f>"45080"</f>
        <v>45080</v>
      </c>
      <c r="E2247" t="s">
        <v>10734</v>
      </c>
      <c r="F2247" s="1">
        <v>44732</v>
      </c>
      <c r="G2247" t="str">
        <f>"300043"</f>
        <v>300043</v>
      </c>
      <c r="H2247" t="s">
        <v>2876</v>
      </c>
      <c r="I2247">
        <v>490</v>
      </c>
    </row>
    <row r="2248" spans="1:9" x14ac:dyDescent="0.25">
      <c r="A2248" t="s">
        <v>9616</v>
      </c>
      <c r="C2248" t="s">
        <v>9617</v>
      </c>
      <c r="D2248" t="str">
        <f>"330122"</f>
        <v>330122</v>
      </c>
      <c r="E2248" t="s">
        <v>10734</v>
      </c>
      <c r="F2248" s="1">
        <v>44732</v>
      </c>
      <c r="G2248" t="str">
        <f>"300101"</f>
        <v>300101</v>
      </c>
      <c r="H2248" t="s">
        <v>2926</v>
      </c>
      <c r="I2248">
        <v>3444.12</v>
      </c>
    </row>
    <row r="2249" spans="1:9" x14ac:dyDescent="0.25">
      <c r="A2249" t="s">
        <v>9616</v>
      </c>
      <c r="C2249" t="s">
        <v>9617</v>
      </c>
      <c r="D2249" t="s">
        <v>10735</v>
      </c>
      <c r="E2249" t="s">
        <v>10719</v>
      </c>
      <c r="F2249" s="1">
        <v>44732</v>
      </c>
      <c r="G2249" t="str">
        <f>"300191"</f>
        <v>300191</v>
      </c>
      <c r="H2249" t="s">
        <v>3008</v>
      </c>
      <c r="I2249">
        <v>3115.2</v>
      </c>
    </row>
    <row r="2250" spans="1:9" x14ac:dyDescent="0.25">
      <c r="A2250" t="s">
        <v>9616</v>
      </c>
      <c r="C2250" t="s">
        <v>9617</v>
      </c>
      <c r="D2250" t="s">
        <v>10736</v>
      </c>
      <c r="E2250" t="s">
        <v>10721</v>
      </c>
      <c r="F2250" s="1">
        <v>44732</v>
      </c>
      <c r="G2250" t="str">
        <f>"300191"</f>
        <v>300191</v>
      </c>
      <c r="H2250" t="s">
        <v>3008</v>
      </c>
      <c r="I2250">
        <v>3115.2</v>
      </c>
    </row>
    <row r="2251" spans="1:9" x14ac:dyDescent="0.25">
      <c r="A2251" t="s">
        <v>9616</v>
      </c>
      <c r="C2251" t="s">
        <v>9617</v>
      </c>
      <c r="D2251" t="str">
        <f>"10141149"</f>
        <v>10141149</v>
      </c>
      <c r="E2251" t="s">
        <v>10737</v>
      </c>
      <c r="F2251" s="1">
        <v>44733</v>
      </c>
      <c r="G2251" t="str">
        <f>"300115"</f>
        <v>300115</v>
      </c>
      <c r="H2251" t="s">
        <v>2938</v>
      </c>
      <c r="I2251">
        <v>144410.11199999999</v>
      </c>
    </row>
    <row r="2252" spans="1:9" x14ac:dyDescent="0.25">
      <c r="A2252" t="s">
        <v>9616</v>
      </c>
      <c r="C2252" t="s">
        <v>9617</v>
      </c>
      <c r="D2252" t="str">
        <f>"45625"</f>
        <v>45625</v>
      </c>
      <c r="E2252" t="s">
        <v>10738</v>
      </c>
      <c r="F2252" s="1">
        <v>44734</v>
      </c>
      <c r="G2252" t="str">
        <f>"300043"</f>
        <v>300043</v>
      </c>
      <c r="H2252" t="s">
        <v>2876</v>
      </c>
      <c r="I2252">
        <v>802</v>
      </c>
    </row>
    <row r="2253" spans="1:9" x14ac:dyDescent="0.25">
      <c r="A2253" t="s">
        <v>9616</v>
      </c>
      <c r="C2253" t="s">
        <v>9617</v>
      </c>
      <c r="D2253" t="str">
        <f>"330022"</f>
        <v>330022</v>
      </c>
      <c r="E2253" t="s">
        <v>10738</v>
      </c>
      <c r="F2253" s="1">
        <v>44734</v>
      </c>
      <c r="G2253" t="str">
        <f>"300101"</f>
        <v>300101</v>
      </c>
      <c r="H2253" t="s">
        <v>2926</v>
      </c>
      <c r="I2253">
        <v>3284.29</v>
      </c>
    </row>
    <row r="2254" spans="1:9" x14ac:dyDescent="0.25">
      <c r="A2254" t="s">
        <v>9616</v>
      </c>
      <c r="C2254" t="s">
        <v>9617</v>
      </c>
      <c r="D2254" t="str">
        <f>"10141198"</f>
        <v>10141198</v>
      </c>
      <c r="E2254" t="s">
        <v>9239</v>
      </c>
      <c r="F2254" s="1">
        <v>44734</v>
      </c>
      <c r="G2254" t="str">
        <f>"300115"</f>
        <v>300115</v>
      </c>
      <c r="H2254" t="s">
        <v>2938</v>
      </c>
      <c r="I2254">
        <v>368883.25760000001</v>
      </c>
    </row>
    <row r="2255" spans="1:9" x14ac:dyDescent="0.25">
      <c r="A2255" t="s">
        <v>9616</v>
      </c>
      <c r="C2255" t="s">
        <v>9617</v>
      </c>
      <c r="D2255" t="str">
        <f>"10141206"</f>
        <v>10141206</v>
      </c>
      <c r="E2255" t="s">
        <v>9239</v>
      </c>
      <c r="F2255" s="1">
        <v>44734</v>
      </c>
      <c r="G2255" t="str">
        <f>"300115"</f>
        <v>300115</v>
      </c>
      <c r="H2255" t="s">
        <v>2938</v>
      </c>
      <c r="I2255">
        <v>368883.25760000001</v>
      </c>
    </row>
    <row r="2256" spans="1:9" x14ac:dyDescent="0.25">
      <c r="A2256" t="s">
        <v>9616</v>
      </c>
      <c r="C2256" t="s">
        <v>9617</v>
      </c>
      <c r="D2256" t="s">
        <v>10739</v>
      </c>
      <c r="E2256" t="s">
        <v>10740</v>
      </c>
      <c r="F2256" s="1">
        <v>44734</v>
      </c>
      <c r="G2256" t="str">
        <f>"300133"</f>
        <v>300133</v>
      </c>
      <c r="H2256" t="s">
        <v>2955</v>
      </c>
      <c r="I2256">
        <v>1360.8</v>
      </c>
    </row>
    <row r="2257" spans="1:9" x14ac:dyDescent="0.25">
      <c r="A2257" t="s">
        <v>9616</v>
      </c>
      <c r="C2257" t="s">
        <v>9617</v>
      </c>
      <c r="D2257" t="s">
        <v>10741</v>
      </c>
      <c r="E2257" t="s">
        <v>10742</v>
      </c>
      <c r="F2257" s="1">
        <v>44734</v>
      </c>
      <c r="G2257" t="str">
        <f>"300133"</f>
        <v>300133</v>
      </c>
      <c r="H2257" t="s">
        <v>2955</v>
      </c>
      <c r="I2257">
        <v>5935.68</v>
      </c>
    </row>
    <row r="2258" spans="1:9" x14ac:dyDescent="0.25">
      <c r="A2258" t="s">
        <v>9616</v>
      </c>
      <c r="C2258" t="s">
        <v>9617</v>
      </c>
      <c r="D2258" t="s">
        <v>10743</v>
      </c>
      <c r="E2258" t="s">
        <v>10731</v>
      </c>
      <c r="F2258" s="1">
        <v>44734</v>
      </c>
      <c r="G2258" t="str">
        <f>"300191"</f>
        <v>300191</v>
      </c>
      <c r="H2258" t="s">
        <v>3008</v>
      </c>
      <c r="I2258">
        <v>3445.46</v>
      </c>
    </row>
    <row r="2259" spans="1:9" x14ac:dyDescent="0.25">
      <c r="A2259" t="s">
        <v>9616</v>
      </c>
      <c r="C2259" t="s">
        <v>9617</v>
      </c>
      <c r="D2259" t="s">
        <v>10744</v>
      </c>
      <c r="E2259" t="s">
        <v>10745</v>
      </c>
      <c r="F2259" s="1">
        <v>44734</v>
      </c>
      <c r="G2259" t="str">
        <f>"300321"</f>
        <v>300321</v>
      </c>
      <c r="H2259" t="s">
        <v>2706</v>
      </c>
      <c r="I2259">
        <v>15500</v>
      </c>
    </row>
    <row r="2260" spans="1:9" x14ac:dyDescent="0.25">
      <c r="A2260" t="s">
        <v>9616</v>
      </c>
      <c r="C2260" t="s">
        <v>9617</v>
      </c>
      <c r="D2260" t="s">
        <v>10746</v>
      </c>
      <c r="E2260" t="s">
        <v>10747</v>
      </c>
      <c r="F2260" s="1">
        <v>44734</v>
      </c>
      <c r="G2260" t="str">
        <f>"300321"</f>
        <v>300321</v>
      </c>
      <c r="H2260" t="s">
        <v>2706</v>
      </c>
      <c r="I2260">
        <v>15500</v>
      </c>
    </row>
    <row r="2261" spans="1:9" x14ac:dyDescent="0.25">
      <c r="A2261" t="s">
        <v>9616</v>
      </c>
      <c r="C2261" t="s">
        <v>9617</v>
      </c>
      <c r="D2261" t="str">
        <f>"46013"</f>
        <v>46013</v>
      </c>
      <c r="E2261" t="s">
        <v>10748</v>
      </c>
      <c r="F2261" s="1">
        <v>44735</v>
      </c>
      <c r="G2261" t="str">
        <f>"300043"</f>
        <v>300043</v>
      </c>
      <c r="H2261" t="s">
        <v>2876</v>
      </c>
      <c r="I2261">
        <v>489</v>
      </c>
    </row>
    <row r="2262" spans="1:9" x14ac:dyDescent="0.25">
      <c r="A2262" t="s">
        <v>9616</v>
      </c>
      <c r="C2262" t="s">
        <v>9617</v>
      </c>
      <c r="D2262" t="str">
        <f>"46014"</f>
        <v>46014</v>
      </c>
      <c r="E2262" t="s">
        <v>10749</v>
      </c>
      <c r="F2262" s="1">
        <v>44735</v>
      </c>
      <c r="G2262" t="str">
        <f>"300043"</f>
        <v>300043</v>
      </c>
      <c r="H2262" t="s">
        <v>2876</v>
      </c>
      <c r="I2262">
        <v>628</v>
      </c>
    </row>
    <row r="2263" spans="1:9" x14ac:dyDescent="0.25">
      <c r="A2263" t="s">
        <v>9616</v>
      </c>
      <c r="C2263" t="s">
        <v>9617</v>
      </c>
      <c r="D2263" t="str">
        <f>"75716"</f>
        <v>75716</v>
      </c>
      <c r="E2263" t="s">
        <v>10750</v>
      </c>
      <c r="F2263" s="1">
        <v>44735</v>
      </c>
      <c r="G2263" t="str">
        <f>"300043"</f>
        <v>300043</v>
      </c>
      <c r="H2263" t="s">
        <v>2876</v>
      </c>
      <c r="I2263">
        <v>1064</v>
      </c>
    </row>
    <row r="2264" spans="1:9" x14ac:dyDescent="0.25">
      <c r="A2264" t="s">
        <v>9616</v>
      </c>
      <c r="C2264" t="s">
        <v>9617</v>
      </c>
      <c r="D2264" t="str">
        <f>"330322"</f>
        <v>330322</v>
      </c>
      <c r="E2264" t="s">
        <v>10748</v>
      </c>
      <c r="F2264" s="1">
        <v>44735</v>
      </c>
      <c r="G2264" t="str">
        <f>"300101"</f>
        <v>300101</v>
      </c>
      <c r="H2264" t="s">
        <v>2926</v>
      </c>
      <c r="I2264">
        <v>3284.29</v>
      </c>
    </row>
    <row r="2265" spans="1:9" x14ac:dyDescent="0.25">
      <c r="A2265" t="s">
        <v>9616</v>
      </c>
      <c r="C2265" t="s">
        <v>9617</v>
      </c>
      <c r="D2265" t="str">
        <f>"330422"</f>
        <v>330422</v>
      </c>
      <c r="E2265" t="s">
        <v>10749</v>
      </c>
      <c r="F2265" s="1">
        <v>44735</v>
      </c>
      <c r="G2265" t="str">
        <f>"300101"</f>
        <v>300101</v>
      </c>
      <c r="H2265" t="s">
        <v>2926</v>
      </c>
      <c r="I2265">
        <v>3284.12</v>
      </c>
    </row>
    <row r="2266" spans="1:9" x14ac:dyDescent="0.25">
      <c r="A2266" t="s">
        <v>9616</v>
      </c>
      <c r="C2266" t="s">
        <v>9617</v>
      </c>
      <c r="D2266" t="str">
        <f>"10141250"</f>
        <v>10141250</v>
      </c>
      <c r="E2266" t="s">
        <v>10751</v>
      </c>
      <c r="F2266" s="1">
        <v>44735</v>
      </c>
      <c r="G2266" t="str">
        <f>"300115"</f>
        <v>300115</v>
      </c>
      <c r="H2266" t="s">
        <v>2938</v>
      </c>
      <c r="I2266">
        <v>154700.37</v>
      </c>
    </row>
    <row r="2267" spans="1:9" x14ac:dyDescent="0.25">
      <c r="A2267" t="s">
        <v>9616</v>
      </c>
      <c r="C2267" t="s">
        <v>9617</v>
      </c>
      <c r="D2267" t="str">
        <f>"10141253"</f>
        <v>10141253</v>
      </c>
      <c r="E2267" t="s">
        <v>10751</v>
      </c>
      <c r="F2267" s="1">
        <v>44735</v>
      </c>
      <c r="G2267" t="str">
        <f>"300115"</f>
        <v>300115</v>
      </c>
      <c r="H2267" t="s">
        <v>2938</v>
      </c>
      <c r="I2267">
        <v>154700.37</v>
      </c>
    </row>
    <row r="2268" spans="1:9" x14ac:dyDescent="0.25">
      <c r="A2268" t="s">
        <v>9616</v>
      </c>
      <c r="C2268" t="s">
        <v>9617</v>
      </c>
      <c r="D2268" t="str">
        <f>"10141254"</f>
        <v>10141254</v>
      </c>
      <c r="E2268" t="s">
        <v>10752</v>
      </c>
      <c r="F2268" s="1">
        <v>44735</v>
      </c>
      <c r="G2268" t="str">
        <f>"300115"</f>
        <v>300115</v>
      </c>
      <c r="H2268" t="s">
        <v>2938</v>
      </c>
      <c r="I2268">
        <v>154700.37</v>
      </c>
    </row>
    <row r="2269" spans="1:9" x14ac:dyDescent="0.25">
      <c r="A2269" t="s">
        <v>9616</v>
      </c>
      <c r="C2269" t="s">
        <v>9617</v>
      </c>
      <c r="D2269" t="str">
        <f>"10141255"</f>
        <v>10141255</v>
      </c>
      <c r="E2269" t="s">
        <v>10751</v>
      </c>
      <c r="F2269" s="1">
        <v>44735</v>
      </c>
      <c r="G2269" t="str">
        <f>"300115"</f>
        <v>300115</v>
      </c>
      <c r="H2269" t="s">
        <v>2938</v>
      </c>
      <c r="I2269">
        <v>154700.37</v>
      </c>
    </row>
    <row r="2270" spans="1:9" x14ac:dyDescent="0.25">
      <c r="A2270" t="s">
        <v>9616</v>
      </c>
      <c r="C2270" t="s">
        <v>9617</v>
      </c>
      <c r="D2270" t="s">
        <v>10753</v>
      </c>
      <c r="E2270" t="str">
        <f>"2300"</f>
        <v>2300</v>
      </c>
      <c r="F2270" s="1">
        <v>44735</v>
      </c>
      <c r="G2270" t="str">
        <f>"300133"</f>
        <v>300133</v>
      </c>
      <c r="H2270" t="s">
        <v>2955</v>
      </c>
      <c r="I2270">
        <v>15748.992</v>
      </c>
    </row>
    <row r="2271" spans="1:9" x14ac:dyDescent="0.25">
      <c r="A2271" t="s">
        <v>9616</v>
      </c>
      <c r="C2271" t="s">
        <v>9617</v>
      </c>
      <c r="D2271" t="str">
        <f>"46240"</f>
        <v>46240</v>
      </c>
      <c r="E2271" t="s">
        <v>10745</v>
      </c>
      <c r="F2271" s="1">
        <v>44736</v>
      </c>
      <c r="G2271" t="str">
        <f>"300043"</f>
        <v>300043</v>
      </c>
      <c r="H2271" t="s">
        <v>2876</v>
      </c>
      <c r="I2271">
        <v>1386</v>
      </c>
    </row>
    <row r="2272" spans="1:9" x14ac:dyDescent="0.25">
      <c r="A2272" t="s">
        <v>9616</v>
      </c>
      <c r="C2272" t="s">
        <v>9617</v>
      </c>
      <c r="D2272" t="str">
        <f>"46305"</f>
        <v>46305</v>
      </c>
      <c r="E2272" t="s">
        <v>10747</v>
      </c>
      <c r="F2272" s="1">
        <v>44736</v>
      </c>
      <c r="G2272" t="str">
        <f>"300043"</f>
        <v>300043</v>
      </c>
      <c r="H2272" t="s">
        <v>2876</v>
      </c>
      <c r="I2272">
        <v>1380</v>
      </c>
    </row>
    <row r="2273" spans="1:9" x14ac:dyDescent="0.25">
      <c r="A2273" t="s">
        <v>9616</v>
      </c>
      <c r="C2273" t="s">
        <v>9617</v>
      </c>
      <c r="D2273" t="str">
        <f>"10141267"</f>
        <v>10141267</v>
      </c>
      <c r="E2273" t="s">
        <v>10754</v>
      </c>
      <c r="F2273" s="1">
        <v>44736</v>
      </c>
      <c r="G2273" t="str">
        <f>"300115"</f>
        <v>300115</v>
      </c>
      <c r="H2273" t="s">
        <v>2938</v>
      </c>
      <c r="I2273">
        <v>143568.348</v>
      </c>
    </row>
    <row r="2274" spans="1:9" x14ac:dyDescent="0.25">
      <c r="A2274" t="s">
        <v>9616</v>
      </c>
      <c r="C2274" t="s">
        <v>9617</v>
      </c>
      <c r="D2274" t="str">
        <f>"399718"</f>
        <v>399718</v>
      </c>
      <c r="E2274" t="s">
        <v>10755</v>
      </c>
      <c r="F2274" s="1">
        <v>44737</v>
      </c>
      <c r="G2274" t="str">
        <f>"300044"</f>
        <v>300044</v>
      </c>
      <c r="H2274" t="s">
        <v>2877</v>
      </c>
      <c r="I2274">
        <v>3190.02</v>
      </c>
    </row>
    <row r="2275" spans="1:9" x14ac:dyDescent="0.25">
      <c r="A2275" t="s">
        <v>9616</v>
      </c>
      <c r="C2275" t="s">
        <v>9617</v>
      </c>
      <c r="D2275" t="s">
        <v>10756</v>
      </c>
      <c r="E2275" t="s">
        <v>10755</v>
      </c>
      <c r="F2275" s="1">
        <v>44737</v>
      </c>
      <c r="G2275" t="str">
        <f>"300340"</f>
        <v>300340</v>
      </c>
      <c r="H2275" t="s">
        <v>3080</v>
      </c>
      <c r="I2275">
        <v>3700</v>
      </c>
    </row>
    <row r="2276" spans="1:9" x14ac:dyDescent="0.25">
      <c r="A2276" t="s">
        <v>9616</v>
      </c>
      <c r="C2276" t="s">
        <v>9617</v>
      </c>
      <c r="D2276" t="str">
        <f>"46896"</f>
        <v>46896</v>
      </c>
      <c r="E2276" t="s">
        <v>10757</v>
      </c>
      <c r="F2276" s="1">
        <v>44739</v>
      </c>
      <c r="G2276" t="str">
        <f>"300043"</f>
        <v>300043</v>
      </c>
      <c r="H2276" t="s">
        <v>2876</v>
      </c>
      <c r="I2276">
        <v>664</v>
      </c>
    </row>
    <row r="2277" spans="1:9" x14ac:dyDescent="0.25">
      <c r="A2277" t="s">
        <v>9616</v>
      </c>
      <c r="C2277" t="s">
        <v>9617</v>
      </c>
      <c r="D2277" t="str">
        <f>"46901"</f>
        <v>46901</v>
      </c>
      <c r="E2277" t="s">
        <v>10758</v>
      </c>
      <c r="F2277" s="1">
        <v>44739</v>
      </c>
      <c r="G2277" t="str">
        <f>"300043"</f>
        <v>300043</v>
      </c>
      <c r="H2277" t="s">
        <v>2876</v>
      </c>
      <c r="I2277">
        <v>664</v>
      </c>
    </row>
    <row r="2278" spans="1:9" x14ac:dyDescent="0.25">
      <c r="A2278" t="s">
        <v>9616</v>
      </c>
      <c r="C2278" t="s">
        <v>9617</v>
      </c>
      <c r="D2278" t="str">
        <f>"46907"</f>
        <v>46907</v>
      </c>
      <c r="E2278" t="s">
        <v>10759</v>
      </c>
      <c r="F2278" s="1">
        <v>44739</v>
      </c>
      <c r="G2278" t="str">
        <f>"300043"</f>
        <v>300043</v>
      </c>
      <c r="H2278" t="s">
        <v>2876</v>
      </c>
      <c r="I2278">
        <v>664</v>
      </c>
    </row>
    <row r="2279" spans="1:9" x14ac:dyDescent="0.25">
      <c r="A2279" t="s">
        <v>9616</v>
      </c>
      <c r="C2279" t="s">
        <v>9617</v>
      </c>
      <c r="D2279" t="str">
        <f>"46912"</f>
        <v>46912</v>
      </c>
      <c r="E2279" t="s">
        <v>10760</v>
      </c>
      <c r="F2279" s="1">
        <v>44739</v>
      </c>
      <c r="G2279" t="str">
        <f>"300043"</f>
        <v>300043</v>
      </c>
      <c r="H2279" t="s">
        <v>2876</v>
      </c>
      <c r="I2279">
        <v>672</v>
      </c>
    </row>
    <row r="2280" spans="1:9" x14ac:dyDescent="0.25">
      <c r="A2280" t="s">
        <v>9616</v>
      </c>
      <c r="C2280" t="s">
        <v>9617</v>
      </c>
      <c r="D2280" t="str">
        <f>"332122"</f>
        <v>332122</v>
      </c>
      <c r="E2280" t="s">
        <v>10759</v>
      </c>
      <c r="F2280" s="1">
        <v>44739</v>
      </c>
      <c r="G2280" t="str">
        <f>"300101"</f>
        <v>300101</v>
      </c>
      <c r="H2280" t="s">
        <v>2926</v>
      </c>
      <c r="I2280">
        <v>3435.37</v>
      </c>
    </row>
    <row r="2281" spans="1:9" x14ac:dyDescent="0.25">
      <c r="A2281" t="s">
        <v>9616</v>
      </c>
      <c r="C2281" t="s">
        <v>9617</v>
      </c>
      <c r="D2281" t="str">
        <f>"332222"</f>
        <v>332222</v>
      </c>
      <c r="E2281" t="s">
        <v>10757</v>
      </c>
      <c r="F2281" s="1">
        <v>44739</v>
      </c>
      <c r="G2281" t="str">
        <f>"300101"</f>
        <v>300101</v>
      </c>
      <c r="H2281" t="s">
        <v>2926</v>
      </c>
      <c r="I2281">
        <v>3589.92</v>
      </c>
    </row>
    <row r="2282" spans="1:9" x14ac:dyDescent="0.25">
      <c r="A2282" t="s">
        <v>9616</v>
      </c>
      <c r="C2282" t="s">
        <v>9617</v>
      </c>
      <c r="D2282" t="str">
        <f>"332322"</f>
        <v>332322</v>
      </c>
      <c r="E2282" t="s">
        <v>10758</v>
      </c>
      <c r="F2282" s="1">
        <v>44739</v>
      </c>
      <c r="G2282" t="str">
        <f>"300101"</f>
        <v>300101</v>
      </c>
      <c r="H2282" t="s">
        <v>2926</v>
      </c>
      <c r="I2282">
        <v>3435.37</v>
      </c>
    </row>
    <row r="2283" spans="1:9" x14ac:dyDescent="0.25">
      <c r="A2283" t="s">
        <v>9616</v>
      </c>
      <c r="C2283" t="s">
        <v>9617</v>
      </c>
      <c r="D2283" t="str">
        <f>"334822"</f>
        <v>334822</v>
      </c>
      <c r="E2283" t="s">
        <v>10760</v>
      </c>
      <c r="F2283" s="1">
        <v>44739</v>
      </c>
      <c r="G2283" t="str">
        <f>"300101"</f>
        <v>300101</v>
      </c>
      <c r="H2283" t="s">
        <v>2926</v>
      </c>
      <c r="I2283">
        <v>3435.37</v>
      </c>
    </row>
    <row r="2284" spans="1:9" x14ac:dyDescent="0.25">
      <c r="A2284" t="s">
        <v>9616</v>
      </c>
      <c r="C2284" t="s">
        <v>9617</v>
      </c>
      <c r="D2284" t="s">
        <v>10761</v>
      </c>
      <c r="E2284" t="str">
        <f>"2300"</f>
        <v>2300</v>
      </c>
      <c r="F2284" s="1">
        <v>44739</v>
      </c>
      <c r="G2284" t="str">
        <f>"300133"</f>
        <v>300133</v>
      </c>
      <c r="H2284" t="s">
        <v>2955</v>
      </c>
      <c r="I2284">
        <v>58771.008000000002</v>
      </c>
    </row>
    <row r="2285" spans="1:9" x14ac:dyDescent="0.25">
      <c r="A2285" t="s">
        <v>9616</v>
      </c>
      <c r="C2285" t="s">
        <v>9617</v>
      </c>
      <c r="D2285" t="str">
        <f>"47444"</f>
        <v>47444</v>
      </c>
      <c r="E2285" t="s">
        <v>10762</v>
      </c>
      <c r="F2285" s="1">
        <v>44740</v>
      </c>
      <c r="G2285" t="str">
        <f>"300043"</f>
        <v>300043</v>
      </c>
      <c r="H2285" t="s">
        <v>2876</v>
      </c>
      <c r="I2285">
        <v>628</v>
      </c>
    </row>
    <row r="2286" spans="1:9" x14ac:dyDescent="0.25">
      <c r="A2286" t="s">
        <v>9616</v>
      </c>
      <c r="C2286" t="s">
        <v>9617</v>
      </c>
      <c r="D2286" t="str">
        <f>"331922"</f>
        <v>331922</v>
      </c>
      <c r="E2286" t="s">
        <v>10762</v>
      </c>
      <c r="F2286" s="1">
        <v>44740</v>
      </c>
      <c r="G2286" t="str">
        <f>"300101"</f>
        <v>300101</v>
      </c>
      <c r="H2286" t="s">
        <v>2926</v>
      </c>
      <c r="I2286">
        <v>3446.63</v>
      </c>
    </row>
    <row r="2287" spans="1:9" x14ac:dyDescent="0.25">
      <c r="A2287" t="s">
        <v>9616</v>
      </c>
      <c r="C2287" t="s">
        <v>9617</v>
      </c>
      <c r="D2287" t="str">
        <f>"10141329"</f>
        <v>10141329</v>
      </c>
      <c r="E2287" t="s">
        <v>10763</v>
      </c>
      <c r="F2287" s="1">
        <v>44740</v>
      </c>
      <c r="G2287" t="str">
        <f>"300115"</f>
        <v>300115</v>
      </c>
      <c r="H2287" t="s">
        <v>2938</v>
      </c>
      <c r="I2287">
        <v>384311.79599999997</v>
      </c>
    </row>
    <row r="2288" spans="1:9" x14ac:dyDescent="0.25">
      <c r="A2288" t="s">
        <v>9616</v>
      </c>
      <c r="C2288" t="s">
        <v>9617</v>
      </c>
      <c r="D2288" t="s">
        <v>10764</v>
      </c>
      <c r="E2288" t="s">
        <v>10745</v>
      </c>
      <c r="F2288" s="1">
        <v>44740</v>
      </c>
      <c r="G2288" t="str">
        <f>"300191"</f>
        <v>300191</v>
      </c>
      <c r="H2288" t="s">
        <v>3008</v>
      </c>
      <c r="I2288">
        <v>3131.5</v>
      </c>
    </row>
    <row r="2289" spans="1:9" x14ac:dyDescent="0.25">
      <c r="A2289" t="s">
        <v>9616</v>
      </c>
      <c r="C2289" t="s">
        <v>9617</v>
      </c>
      <c r="D2289" t="s">
        <v>10765</v>
      </c>
      <c r="E2289" t="s">
        <v>10747</v>
      </c>
      <c r="F2289" s="1">
        <v>44740</v>
      </c>
      <c r="G2289" t="str">
        <f>"300191"</f>
        <v>300191</v>
      </c>
      <c r="H2289" t="s">
        <v>3008</v>
      </c>
      <c r="I2289">
        <v>3131.5</v>
      </c>
    </row>
    <row r="2290" spans="1:9" x14ac:dyDescent="0.25">
      <c r="A2290" t="s">
        <v>9616</v>
      </c>
      <c r="C2290" t="s">
        <v>9617</v>
      </c>
      <c r="D2290" t="s">
        <v>10766</v>
      </c>
      <c r="E2290" t="s">
        <v>10767</v>
      </c>
      <c r="F2290" s="1">
        <v>44740</v>
      </c>
      <c r="G2290" t="str">
        <f>"300321"</f>
        <v>300321</v>
      </c>
      <c r="H2290" t="s">
        <v>2706</v>
      </c>
      <c r="I2290">
        <v>13500</v>
      </c>
    </row>
    <row r="2291" spans="1:9" x14ac:dyDescent="0.25">
      <c r="A2291" t="s">
        <v>9616</v>
      </c>
      <c r="C2291" t="s">
        <v>9617</v>
      </c>
      <c r="D2291" t="str">
        <f>"47828"</f>
        <v>47828</v>
      </c>
      <c r="E2291" t="s">
        <v>10767</v>
      </c>
      <c r="F2291" s="1">
        <v>44741</v>
      </c>
      <c r="G2291" t="str">
        <f>"300043"</f>
        <v>300043</v>
      </c>
      <c r="H2291" t="s">
        <v>2876</v>
      </c>
      <c r="I2291">
        <v>1434</v>
      </c>
    </row>
    <row r="2292" spans="1:9" x14ac:dyDescent="0.25">
      <c r="A2292" t="s">
        <v>9616</v>
      </c>
      <c r="C2292" t="s">
        <v>9617</v>
      </c>
      <c r="D2292" t="s">
        <v>10768</v>
      </c>
      <c r="E2292" t="s">
        <v>10769</v>
      </c>
      <c r="F2292" s="1">
        <v>44741</v>
      </c>
      <c r="G2292" t="str">
        <f>"300133"</f>
        <v>300133</v>
      </c>
      <c r="H2292" t="s">
        <v>2955</v>
      </c>
      <c r="I2292">
        <v>22356</v>
      </c>
    </row>
    <row r="2293" spans="1:9" x14ac:dyDescent="0.25">
      <c r="A2293" t="s">
        <v>9616</v>
      </c>
      <c r="C2293" t="s">
        <v>9617</v>
      </c>
      <c r="D2293" t="s">
        <v>10770</v>
      </c>
      <c r="E2293" t="s">
        <v>10767</v>
      </c>
      <c r="F2293" s="1">
        <v>44742</v>
      </c>
      <c r="G2293" t="str">
        <f>"300191"</f>
        <v>300191</v>
      </c>
      <c r="H2293" t="s">
        <v>3008</v>
      </c>
      <c r="I2293">
        <v>3141.02</v>
      </c>
    </row>
    <row r="2294" spans="1:9" x14ac:dyDescent="0.25">
      <c r="A2294" t="s">
        <v>9616</v>
      </c>
      <c r="C2294" t="s">
        <v>9617</v>
      </c>
      <c r="D2294" t="str">
        <f>"10141474"</f>
        <v>10141474</v>
      </c>
      <c r="E2294" t="s">
        <v>9239</v>
      </c>
      <c r="F2294" s="1">
        <v>44743</v>
      </c>
      <c r="G2294" t="str">
        <f>"300115"</f>
        <v>300115</v>
      </c>
      <c r="H2294" t="s">
        <v>2938</v>
      </c>
      <c r="I2294">
        <v>368883.25760000001</v>
      </c>
    </row>
    <row r="2295" spans="1:9" x14ac:dyDescent="0.25">
      <c r="A2295" t="s">
        <v>9616</v>
      </c>
      <c r="C2295" t="s">
        <v>9617</v>
      </c>
      <c r="D2295" t="s">
        <v>10771</v>
      </c>
      <c r="E2295" t="s">
        <v>10772</v>
      </c>
      <c r="F2295" s="1">
        <v>44743</v>
      </c>
      <c r="G2295" t="str">
        <f>"300321"</f>
        <v>300321</v>
      </c>
      <c r="H2295" t="s">
        <v>2706</v>
      </c>
      <c r="I2295">
        <v>15500</v>
      </c>
    </row>
    <row r="2296" spans="1:9" x14ac:dyDescent="0.25">
      <c r="A2296" t="s">
        <v>9616</v>
      </c>
      <c r="C2296" t="s">
        <v>9617</v>
      </c>
      <c r="D2296" t="str">
        <f>"48671"</f>
        <v>48671</v>
      </c>
      <c r="E2296" t="s">
        <v>10772</v>
      </c>
      <c r="F2296" s="1">
        <v>44746</v>
      </c>
      <c r="G2296" t="str">
        <f>"300043"</f>
        <v>300043</v>
      </c>
      <c r="H2296" t="s">
        <v>2876</v>
      </c>
      <c r="I2296">
        <v>1372</v>
      </c>
    </row>
    <row r="2297" spans="1:9" x14ac:dyDescent="0.25">
      <c r="A2297" t="s">
        <v>9616</v>
      </c>
      <c r="C2297" t="s">
        <v>9617</v>
      </c>
      <c r="D2297" t="str">
        <f>"79267"</f>
        <v>79267</v>
      </c>
      <c r="E2297" t="s">
        <v>10773</v>
      </c>
      <c r="F2297" s="1">
        <v>44746</v>
      </c>
      <c r="G2297" t="str">
        <f>"300043"</f>
        <v>300043</v>
      </c>
      <c r="H2297" t="s">
        <v>2876</v>
      </c>
      <c r="I2297">
        <v>944</v>
      </c>
    </row>
    <row r="2298" spans="1:9" x14ac:dyDescent="0.25">
      <c r="A2298" t="s">
        <v>9616</v>
      </c>
      <c r="C2298" t="s">
        <v>9617</v>
      </c>
      <c r="D2298" t="str">
        <f>"10141532"</f>
        <v>10141532</v>
      </c>
      <c r="E2298" t="s">
        <v>9239</v>
      </c>
      <c r="F2298" s="1">
        <v>44746</v>
      </c>
      <c r="G2298" t="str">
        <f>"300115"</f>
        <v>300115</v>
      </c>
      <c r="H2298" t="s">
        <v>2938</v>
      </c>
      <c r="I2298">
        <v>368883.25760000001</v>
      </c>
    </row>
    <row r="2299" spans="1:9" x14ac:dyDescent="0.25">
      <c r="A2299" t="s">
        <v>9616</v>
      </c>
      <c r="C2299" t="s">
        <v>9617</v>
      </c>
      <c r="D2299" t="s">
        <v>10774</v>
      </c>
      <c r="E2299" t="s">
        <v>10775</v>
      </c>
      <c r="F2299" s="1">
        <v>44746</v>
      </c>
      <c r="G2299" t="str">
        <f>"300321"</f>
        <v>300321</v>
      </c>
      <c r="H2299" t="s">
        <v>2706</v>
      </c>
      <c r="I2299">
        <v>15500</v>
      </c>
    </row>
    <row r="2300" spans="1:9" x14ac:dyDescent="0.25">
      <c r="A2300" t="s">
        <v>9616</v>
      </c>
      <c r="C2300" t="s">
        <v>9617</v>
      </c>
      <c r="D2300" t="str">
        <f>"2022005124"</f>
        <v>2022005124</v>
      </c>
      <c r="E2300" t="s">
        <v>10772</v>
      </c>
      <c r="F2300" s="1">
        <v>44748</v>
      </c>
      <c r="G2300" t="str">
        <f>"300191"</f>
        <v>300191</v>
      </c>
      <c r="H2300" t="s">
        <v>3008</v>
      </c>
      <c r="I2300">
        <v>3095.05</v>
      </c>
    </row>
    <row r="2301" spans="1:9" x14ac:dyDescent="0.25">
      <c r="A2301" t="s">
        <v>9616</v>
      </c>
      <c r="C2301" t="s">
        <v>9617</v>
      </c>
      <c r="D2301" t="str">
        <f>"221154"</f>
        <v>221154</v>
      </c>
      <c r="E2301" t="s">
        <v>10755</v>
      </c>
      <c r="F2301" s="1">
        <v>44749</v>
      </c>
      <c r="G2301" t="str">
        <f>"300301"</f>
        <v>300301</v>
      </c>
      <c r="H2301" t="s">
        <v>3043</v>
      </c>
      <c r="I2301">
        <v>7168.5</v>
      </c>
    </row>
    <row r="2302" spans="1:9" x14ac:dyDescent="0.25">
      <c r="A2302" t="s">
        <v>9616</v>
      </c>
      <c r="C2302" t="s">
        <v>9617</v>
      </c>
      <c r="D2302" t="str">
        <f>"50235"</f>
        <v>50235</v>
      </c>
      <c r="E2302" t="s">
        <v>10775</v>
      </c>
      <c r="F2302" s="1">
        <v>44754</v>
      </c>
      <c r="G2302" t="str">
        <f>"300043"</f>
        <v>300043</v>
      </c>
      <c r="H2302" t="s">
        <v>2876</v>
      </c>
      <c r="I2302">
        <v>1360</v>
      </c>
    </row>
    <row r="2303" spans="1:9" x14ac:dyDescent="0.25">
      <c r="A2303" t="s">
        <v>9616</v>
      </c>
      <c r="C2303" t="s">
        <v>9617</v>
      </c>
      <c r="D2303" t="str">
        <f>"2022005361"</f>
        <v>2022005361</v>
      </c>
      <c r="E2303" t="s">
        <v>10775</v>
      </c>
      <c r="F2303" s="1">
        <v>44757</v>
      </c>
      <c r="G2303" t="str">
        <f>"300191"</f>
        <v>300191</v>
      </c>
      <c r="H2303" t="s">
        <v>3008</v>
      </c>
      <c r="I2303">
        <v>3512.8</v>
      </c>
    </row>
    <row r="2304" spans="1:9" x14ac:dyDescent="0.25">
      <c r="A2304" t="s">
        <v>9616</v>
      </c>
      <c r="C2304" t="s">
        <v>9617</v>
      </c>
      <c r="D2304" t="s">
        <v>10776</v>
      </c>
      <c r="E2304" t="s">
        <v>10773</v>
      </c>
      <c r="F2304" s="1">
        <v>44760</v>
      </c>
      <c r="G2304" t="str">
        <f>"300301"</f>
        <v>300301</v>
      </c>
      <c r="H2304" t="s">
        <v>3043</v>
      </c>
      <c r="I2304">
        <v>7773.5</v>
      </c>
    </row>
    <row r="2305" spans="1:9" x14ac:dyDescent="0.25">
      <c r="A2305" t="s">
        <v>9616</v>
      </c>
      <c r="C2305" t="s">
        <v>9617</v>
      </c>
      <c r="D2305" t="str">
        <f>"10142059"</f>
        <v>10142059</v>
      </c>
      <c r="E2305" t="s">
        <v>1928</v>
      </c>
      <c r="F2305" s="1">
        <v>44768</v>
      </c>
      <c r="G2305" t="str">
        <f>"300115"</f>
        <v>300115</v>
      </c>
      <c r="H2305" t="s">
        <v>2938</v>
      </c>
      <c r="I2305">
        <v>130657.23</v>
      </c>
    </row>
    <row r="2306" spans="1:9" x14ac:dyDescent="0.25">
      <c r="A2306" t="s">
        <v>9616</v>
      </c>
      <c r="C2306" t="s">
        <v>9617</v>
      </c>
      <c r="D2306" t="s">
        <v>10777</v>
      </c>
      <c r="E2306" t="s">
        <v>10778</v>
      </c>
      <c r="F2306" s="1">
        <v>44768</v>
      </c>
      <c r="G2306" t="str">
        <f>"300133"</f>
        <v>300133</v>
      </c>
      <c r="H2306" t="s">
        <v>2955</v>
      </c>
      <c r="I2306">
        <v>12365.6</v>
      </c>
    </row>
    <row r="2307" spans="1:9" x14ac:dyDescent="0.25">
      <c r="A2307" t="s">
        <v>9616</v>
      </c>
      <c r="C2307" t="s">
        <v>9617</v>
      </c>
      <c r="D2307" t="s">
        <v>10779</v>
      </c>
      <c r="E2307" t="s">
        <v>10780</v>
      </c>
      <c r="F2307" s="1">
        <v>44768</v>
      </c>
      <c r="G2307" t="str">
        <f>"300133"</f>
        <v>300133</v>
      </c>
      <c r="H2307" t="s">
        <v>2955</v>
      </c>
      <c r="I2307">
        <v>60376.9</v>
      </c>
    </row>
    <row r="2308" spans="1:9" x14ac:dyDescent="0.25">
      <c r="A2308" t="s">
        <v>9616</v>
      </c>
      <c r="C2308" t="s">
        <v>9617</v>
      </c>
      <c r="D2308" t="s">
        <v>10781</v>
      </c>
      <c r="E2308" t="s">
        <v>10289</v>
      </c>
      <c r="F2308" s="1">
        <v>44768</v>
      </c>
      <c r="G2308" t="str">
        <f>"300133"</f>
        <v>300133</v>
      </c>
      <c r="H2308" t="s">
        <v>2955</v>
      </c>
      <c r="I2308">
        <v>15120</v>
      </c>
    </row>
    <row r="2309" spans="1:9" x14ac:dyDescent="0.25">
      <c r="A2309" t="s">
        <v>9616</v>
      </c>
      <c r="C2309" t="s">
        <v>9617</v>
      </c>
      <c r="D2309" t="str">
        <f>"20919615"</f>
        <v>20919615</v>
      </c>
      <c r="E2309" t="s">
        <v>10759</v>
      </c>
      <c r="F2309" s="1">
        <v>44769</v>
      </c>
      <c r="G2309" t="str">
        <f>"300043"</f>
        <v>300043</v>
      </c>
      <c r="H2309" t="s">
        <v>2876</v>
      </c>
      <c r="I2309">
        <v>2377</v>
      </c>
    </row>
    <row r="2310" spans="1:9" x14ac:dyDescent="0.25">
      <c r="A2310" t="s">
        <v>9616</v>
      </c>
      <c r="C2310" t="s">
        <v>9617</v>
      </c>
      <c r="D2310" t="str">
        <f>"10142101"</f>
        <v>10142101</v>
      </c>
      <c r="E2310" t="s">
        <v>1928</v>
      </c>
      <c r="F2310" s="1">
        <v>44769</v>
      </c>
      <c r="G2310" t="str">
        <f>"300115"</f>
        <v>300115</v>
      </c>
      <c r="H2310" t="s">
        <v>2938</v>
      </c>
      <c r="I2310">
        <v>130686.93</v>
      </c>
    </row>
    <row r="2311" spans="1:9" x14ac:dyDescent="0.25">
      <c r="A2311" t="s">
        <v>9616</v>
      </c>
      <c r="C2311" t="s">
        <v>9617</v>
      </c>
      <c r="D2311" t="str">
        <f>"10142135"</f>
        <v>10142135</v>
      </c>
      <c r="E2311" t="s">
        <v>1928</v>
      </c>
      <c r="F2311" s="1">
        <v>44771</v>
      </c>
      <c r="G2311" t="str">
        <f>"300115"</f>
        <v>300115</v>
      </c>
      <c r="H2311" t="s">
        <v>2938</v>
      </c>
      <c r="I2311">
        <v>130657.23</v>
      </c>
    </row>
    <row r="2312" spans="1:9" x14ac:dyDescent="0.25">
      <c r="A2312" t="s">
        <v>9616</v>
      </c>
      <c r="C2312" t="s">
        <v>9617</v>
      </c>
      <c r="D2312" t="str">
        <f>"10142211"</f>
        <v>10142211</v>
      </c>
      <c r="E2312" t="s">
        <v>1928</v>
      </c>
      <c r="F2312" s="1">
        <v>44771</v>
      </c>
      <c r="G2312" t="str">
        <f>"300115"</f>
        <v>300115</v>
      </c>
      <c r="H2312" t="s">
        <v>2938</v>
      </c>
      <c r="I2312">
        <v>130657.23</v>
      </c>
    </row>
    <row r="2313" spans="1:9" x14ac:dyDescent="0.25">
      <c r="A2313" t="s">
        <v>9616</v>
      </c>
      <c r="C2313" t="s">
        <v>9617</v>
      </c>
      <c r="D2313" t="str">
        <f>"54075"</f>
        <v>54075</v>
      </c>
      <c r="E2313" t="s">
        <v>10782</v>
      </c>
      <c r="F2313" s="1">
        <v>44774</v>
      </c>
      <c r="G2313" t="str">
        <f>"300043"</f>
        <v>300043</v>
      </c>
      <c r="H2313" t="s">
        <v>2876</v>
      </c>
      <c r="I2313">
        <v>582</v>
      </c>
    </row>
    <row r="2314" spans="1:9" x14ac:dyDescent="0.25">
      <c r="A2314" t="s">
        <v>9616</v>
      </c>
      <c r="C2314" t="s">
        <v>9617</v>
      </c>
      <c r="D2314" t="str">
        <f>"54082"</f>
        <v>54082</v>
      </c>
      <c r="E2314" t="s">
        <v>10783</v>
      </c>
      <c r="F2314" s="1">
        <v>44774</v>
      </c>
      <c r="G2314" t="str">
        <f>"300043"</f>
        <v>300043</v>
      </c>
      <c r="H2314" t="s">
        <v>2876</v>
      </c>
      <c r="I2314">
        <v>581</v>
      </c>
    </row>
    <row r="2315" spans="1:9" x14ac:dyDescent="0.25">
      <c r="A2315" t="s">
        <v>9616</v>
      </c>
      <c r="C2315" t="s">
        <v>9617</v>
      </c>
      <c r="D2315" t="str">
        <f>"20519727"</f>
        <v>20519727</v>
      </c>
      <c r="E2315" t="s">
        <v>10784</v>
      </c>
      <c r="F2315" s="1">
        <v>44774</v>
      </c>
      <c r="G2315" t="str">
        <f>"300043"</f>
        <v>300043</v>
      </c>
      <c r="H2315" t="s">
        <v>2876</v>
      </c>
      <c r="I2315">
        <v>1902</v>
      </c>
    </row>
    <row r="2316" spans="1:9" x14ac:dyDescent="0.25">
      <c r="A2316" t="s">
        <v>9616</v>
      </c>
      <c r="C2316" t="s">
        <v>9617</v>
      </c>
      <c r="D2316" t="str">
        <f>"408522"</f>
        <v>408522</v>
      </c>
      <c r="E2316" t="s">
        <v>10783</v>
      </c>
      <c r="F2316" s="1">
        <v>44774</v>
      </c>
      <c r="G2316" t="str">
        <f>"300101"</f>
        <v>300101</v>
      </c>
      <c r="H2316" t="s">
        <v>2926</v>
      </c>
      <c r="I2316">
        <v>3577.64</v>
      </c>
    </row>
    <row r="2317" spans="1:9" x14ac:dyDescent="0.25">
      <c r="A2317" t="s">
        <v>9616</v>
      </c>
      <c r="C2317" t="s">
        <v>9617</v>
      </c>
      <c r="D2317" t="str">
        <f>"408922"</f>
        <v>408922</v>
      </c>
      <c r="E2317" t="s">
        <v>10784</v>
      </c>
      <c r="F2317" s="1">
        <v>44774</v>
      </c>
      <c r="G2317" t="str">
        <f>"300101"</f>
        <v>300101</v>
      </c>
      <c r="H2317" t="s">
        <v>2926</v>
      </c>
      <c r="I2317">
        <v>3424.52</v>
      </c>
    </row>
    <row r="2318" spans="1:9" x14ac:dyDescent="0.25">
      <c r="A2318" t="s">
        <v>9616</v>
      </c>
      <c r="C2318" t="s">
        <v>9617</v>
      </c>
      <c r="D2318" t="str">
        <f>"54090"</f>
        <v>54090</v>
      </c>
      <c r="E2318" t="s">
        <v>10785</v>
      </c>
      <c r="F2318" s="1">
        <v>44775</v>
      </c>
      <c r="G2318" t="str">
        <f>"300043"</f>
        <v>300043</v>
      </c>
      <c r="H2318" t="s">
        <v>2876</v>
      </c>
      <c r="I2318">
        <v>582</v>
      </c>
    </row>
    <row r="2319" spans="1:9" x14ac:dyDescent="0.25">
      <c r="A2319" t="s">
        <v>9616</v>
      </c>
      <c r="C2319" t="s">
        <v>9617</v>
      </c>
      <c r="D2319" t="str">
        <f>"408622"</f>
        <v>408622</v>
      </c>
      <c r="E2319" t="s">
        <v>10785</v>
      </c>
      <c r="F2319" s="1">
        <v>44775</v>
      </c>
      <c r="G2319" t="str">
        <f>"300101"</f>
        <v>300101</v>
      </c>
      <c r="H2319" t="s">
        <v>2926</v>
      </c>
      <c r="I2319">
        <v>3908.28</v>
      </c>
    </row>
    <row r="2320" spans="1:9" x14ac:dyDescent="0.25">
      <c r="A2320" t="s">
        <v>9616</v>
      </c>
      <c r="C2320" t="s">
        <v>9617</v>
      </c>
      <c r="D2320" t="str">
        <f>"10142248"</f>
        <v>10142248</v>
      </c>
      <c r="E2320" t="s">
        <v>9189</v>
      </c>
      <c r="F2320" s="1">
        <v>44775</v>
      </c>
      <c r="G2320" t="str">
        <f>"300115"</f>
        <v>300115</v>
      </c>
      <c r="H2320" t="s">
        <v>2938</v>
      </c>
      <c r="I2320">
        <v>408148.22399999999</v>
      </c>
    </row>
    <row r="2321" spans="1:9" x14ac:dyDescent="0.25">
      <c r="A2321" t="s">
        <v>9616</v>
      </c>
      <c r="C2321" t="s">
        <v>9617</v>
      </c>
      <c r="D2321" t="str">
        <f>"10142249"</f>
        <v>10142249</v>
      </c>
      <c r="E2321" t="s">
        <v>9189</v>
      </c>
      <c r="F2321" s="1">
        <v>44775</v>
      </c>
      <c r="G2321" t="str">
        <f>"300115"</f>
        <v>300115</v>
      </c>
      <c r="H2321" t="s">
        <v>2938</v>
      </c>
      <c r="I2321">
        <v>420538.62400000001</v>
      </c>
    </row>
    <row r="2322" spans="1:9" x14ac:dyDescent="0.25">
      <c r="A2322" t="s">
        <v>9616</v>
      </c>
      <c r="C2322" t="s">
        <v>9617</v>
      </c>
      <c r="D2322" t="str">
        <f>"54761"</f>
        <v>54761</v>
      </c>
      <c r="E2322" t="s">
        <v>10786</v>
      </c>
      <c r="F2322" s="1">
        <v>44776</v>
      </c>
      <c r="G2322" t="str">
        <f>"300043"</f>
        <v>300043</v>
      </c>
      <c r="H2322" t="s">
        <v>2876</v>
      </c>
      <c r="I2322">
        <v>583</v>
      </c>
    </row>
    <row r="2323" spans="1:9" x14ac:dyDescent="0.25">
      <c r="A2323" t="s">
        <v>9616</v>
      </c>
      <c r="C2323" t="s">
        <v>9617</v>
      </c>
      <c r="D2323" t="str">
        <f>"408322"</f>
        <v>408322</v>
      </c>
      <c r="E2323" t="s">
        <v>10787</v>
      </c>
      <c r="F2323" s="1">
        <v>44776</v>
      </c>
      <c r="G2323" t="str">
        <f>"300101"</f>
        <v>300101</v>
      </c>
      <c r="H2323" t="s">
        <v>2926</v>
      </c>
      <c r="I2323">
        <v>3431.99</v>
      </c>
    </row>
    <row r="2324" spans="1:9" x14ac:dyDescent="0.25">
      <c r="A2324" t="s">
        <v>9616</v>
      </c>
      <c r="C2324" t="s">
        <v>9617</v>
      </c>
      <c r="D2324" t="str">
        <f>"55032"</f>
        <v>55032</v>
      </c>
      <c r="E2324" t="s">
        <v>10788</v>
      </c>
      <c r="F2324" s="1">
        <v>44777</v>
      </c>
      <c r="G2324" t="str">
        <f>"300043"</f>
        <v>300043</v>
      </c>
      <c r="H2324" t="s">
        <v>2876</v>
      </c>
      <c r="I2324">
        <v>1471</v>
      </c>
    </row>
    <row r="2325" spans="1:9" x14ac:dyDescent="0.25">
      <c r="A2325" t="s">
        <v>9616</v>
      </c>
      <c r="C2325" t="s">
        <v>9617</v>
      </c>
      <c r="D2325" t="str">
        <f>"408422"</f>
        <v>408422</v>
      </c>
      <c r="E2325" t="s">
        <v>10788</v>
      </c>
      <c r="F2325" s="1">
        <v>44777</v>
      </c>
      <c r="G2325" t="str">
        <f>"300101"</f>
        <v>300101</v>
      </c>
      <c r="H2325" t="s">
        <v>2926</v>
      </c>
      <c r="I2325">
        <v>3571.81</v>
      </c>
    </row>
    <row r="2326" spans="1:9" x14ac:dyDescent="0.25">
      <c r="A2326" t="s">
        <v>9616</v>
      </c>
      <c r="C2326" t="s">
        <v>9617</v>
      </c>
      <c r="D2326" t="str">
        <f>"10142344"</f>
        <v>10142344</v>
      </c>
      <c r="E2326" t="s">
        <v>2172</v>
      </c>
      <c r="F2326" s="1">
        <v>44778</v>
      </c>
      <c r="G2326" t="str">
        <f>"300115"</f>
        <v>300115</v>
      </c>
      <c r="H2326" t="s">
        <v>2938</v>
      </c>
      <c r="I2326">
        <v>445382.0514</v>
      </c>
    </row>
    <row r="2327" spans="1:9" x14ac:dyDescent="0.25">
      <c r="A2327" t="s">
        <v>9616</v>
      </c>
      <c r="C2327" t="s">
        <v>9617</v>
      </c>
      <c r="D2327" t="str">
        <f>"55252"</f>
        <v>55252</v>
      </c>
      <c r="E2327" t="s">
        <v>10789</v>
      </c>
      <c r="F2327" s="1">
        <v>44781</v>
      </c>
      <c r="G2327" t="str">
        <f>"300043"</f>
        <v>300043</v>
      </c>
      <c r="H2327" t="s">
        <v>2876</v>
      </c>
      <c r="I2327">
        <v>1513</v>
      </c>
    </row>
    <row r="2328" spans="1:9" x14ac:dyDescent="0.25">
      <c r="A2328" t="s">
        <v>9616</v>
      </c>
      <c r="C2328" t="s">
        <v>9617</v>
      </c>
      <c r="D2328" t="str">
        <f>"55623"</f>
        <v>55623</v>
      </c>
      <c r="E2328" t="s">
        <v>10790</v>
      </c>
      <c r="F2328" s="1">
        <v>44781</v>
      </c>
      <c r="G2328" t="str">
        <f>"300043"</f>
        <v>300043</v>
      </c>
      <c r="H2328" t="s">
        <v>2876</v>
      </c>
      <c r="I2328">
        <v>1592</v>
      </c>
    </row>
    <row r="2329" spans="1:9" x14ac:dyDescent="0.25">
      <c r="A2329" t="s">
        <v>9616</v>
      </c>
      <c r="C2329" t="s">
        <v>9617</v>
      </c>
      <c r="D2329" t="str">
        <f>"20519802"</f>
        <v>20519802</v>
      </c>
      <c r="E2329" t="s">
        <v>10789</v>
      </c>
      <c r="F2329" s="1">
        <v>44781</v>
      </c>
      <c r="G2329" t="str">
        <f>"300043"</f>
        <v>300043</v>
      </c>
      <c r="H2329" t="s">
        <v>2876</v>
      </c>
      <c r="I2329">
        <v>2289</v>
      </c>
    </row>
    <row r="2330" spans="1:9" x14ac:dyDescent="0.25">
      <c r="A2330" t="s">
        <v>9616</v>
      </c>
      <c r="C2330" t="s">
        <v>9617</v>
      </c>
      <c r="D2330" t="str">
        <f>"20519853"</f>
        <v>20519853</v>
      </c>
      <c r="E2330" t="s">
        <v>10790</v>
      </c>
      <c r="F2330" s="1">
        <v>44781</v>
      </c>
      <c r="G2330" t="str">
        <f>"300043"</f>
        <v>300043</v>
      </c>
      <c r="H2330" t="s">
        <v>2876</v>
      </c>
      <c r="I2330">
        <v>1780</v>
      </c>
    </row>
    <row r="2331" spans="1:9" x14ac:dyDescent="0.25">
      <c r="A2331" t="s">
        <v>9616</v>
      </c>
      <c r="C2331" t="s">
        <v>9617</v>
      </c>
      <c r="D2331" t="str">
        <f>"408122"</f>
        <v>408122</v>
      </c>
      <c r="E2331" t="s">
        <v>10789</v>
      </c>
      <c r="F2331" s="1">
        <v>44781</v>
      </c>
      <c r="G2331" t="str">
        <f>"300101"</f>
        <v>300101</v>
      </c>
      <c r="H2331" t="s">
        <v>2926</v>
      </c>
      <c r="I2331">
        <v>3888.44</v>
      </c>
    </row>
    <row r="2332" spans="1:9" x14ac:dyDescent="0.25">
      <c r="A2332" t="s">
        <v>9616</v>
      </c>
      <c r="C2332" t="s">
        <v>9617</v>
      </c>
      <c r="D2332" t="str">
        <f>"408222"</f>
        <v>408222</v>
      </c>
      <c r="E2332" t="s">
        <v>10790</v>
      </c>
      <c r="F2332" s="1">
        <v>44781</v>
      </c>
      <c r="G2332" t="str">
        <f>"300101"</f>
        <v>300101</v>
      </c>
      <c r="H2332" t="s">
        <v>2926</v>
      </c>
      <c r="I2332">
        <v>3420.04</v>
      </c>
    </row>
    <row r="2333" spans="1:9" x14ac:dyDescent="0.25">
      <c r="A2333" t="s">
        <v>9616</v>
      </c>
      <c r="C2333" t="s">
        <v>9617</v>
      </c>
      <c r="D2333" t="str">
        <f>"56008"</f>
        <v>56008</v>
      </c>
      <c r="E2333" t="s">
        <v>10791</v>
      </c>
      <c r="F2333" s="1">
        <v>44783</v>
      </c>
      <c r="G2333" t="str">
        <f>"300043"</f>
        <v>300043</v>
      </c>
      <c r="H2333" t="s">
        <v>2876</v>
      </c>
      <c r="I2333">
        <v>1585</v>
      </c>
    </row>
    <row r="2334" spans="1:9" x14ac:dyDescent="0.25">
      <c r="A2334" t="s">
        <v>9616</v>
      </c>
      <c r="C2334" t="s">
        <v>9617</v>
      </c>
      <c r="D2334" t="str">
        <f>"10142486"</f>
        <v>10142486</v>
      </c>
      <c r="E2334" t="s">
        <v>10792</v>
      </c>
      <c r="F2334" s="1">
        <v>44783</v>
      </c>
      <c r="G2334" t="str">
        <f>"300115"</f>
        <v>300115</v>
      </c>
      <c r="H2334" t="s">
        <v>2938</v>
      </c>
      <c r="I2334">
        <v>310894.52240000002</v>
      </c>
    </row>
    <row r="2335" spans="1:9" x14ac:dyDescent="0.25">
      <c r="A2335" t="s">
        <v>9616</v>
      </c>
      <c r="C2335" t="s">
        <v>9617</v>
      </c>
      <c r="D2335" t="str">
        <f>"410622"</f>
        <v>410622</v>
      </c>
      <c r="E2335" t="s">
        <v>10789</v>
      </c>
      <c r="F2335" s="1">
        <v>44784</v>
      </c>
      <c r="G2335" t="str">
        <f>"300101"</f>
        <v>300101</v>
      </c>
      <c r="H2335" t="s">
        <v>2926</v>
      </c>
      <c r="I2335">
        <v>152.74</v>
      </c>
    </row>
    <row r="2336" spans="1:9" x14ac:dyDescent="0.25">
      <c r="A2336" t="s">
        <v>9616</v>
      </c>
      <c r="C2336" t="s">
        <v>9617</v>
      </c>
      <c r="D2336" t="str">
        <f>"410722"</f>
        <v>410722</v>
      </c>
      <c r="E2336" t="s">
        <v>10790</v>
      </c>
      <c r="F2336" s="1">
        <v>44784</v>
      </c>
      <c r="G2336" t="str">
        <f>"300101"</f>
        <v>300101</v>
      </c>
      <c r="H2336" t="s">
        <v>2926</v>
      </c>
      <c r="I2336">
        <v>152.74</v>
      </c>
    </row>
    <row r="2337" spans="1:9" x14ac:dyDescent="0.25">
      <c r="A2337" t="s">
        <v>9616</v>
      </c>
      <c r="C2337" t="s">
        <v>9617</v>
      </c>
      <c r="D2337" t="str">
        <f>"410822"</f>
        <v>410822</v>
      </c>
      <c r="E2337" t="s">
        <v>10791</v>
      </c>
      <c r="F2337" s="1">
        <v>44784</v>
      </c>
      <c r="G2337" t="str">
        <f>"300101"</f>
        <v>300101</v>
      </c>
      <c r="H2337" t="s">
        <v>2926</v>
      </c>
      <c r="I2337">
        <v>3112.96</v>
      </c>
    </row>
    <row r="2338" spans="1:9" x14ac:dyDescent="0.25">
      <c r="A2338" t="s">
        <v>9616</v>
      </c>
      <c r="C2338" t="s">
        <v>9617</v>
      </c>
      <c r="D2338" t="str">
        <f>"10142380"</f>
        <v>10142380</v>
      </c>
      <c r="E2338" t="s">
        <v>10087</v>
      </c>
      <c r="F2338" s="1">
        <v>44784</v>
      </c>
      <c r="G2338" t="str">
        <f>"300115"</f>
        <v>300115</v>
      </c>
      <c r="H2338" t="s">
        <v>2938</v>
      </c>
      <c r="I2338">
        <v>445382.0514</v>
      </c>
    </row>
    <row r="2339" spans="1:9" x14ac:dyDescent="0.25">
      <c r="A2339" t="s">
        <v>9616</v>
      </c>
      <c r="C2339" t="s">
        <v>9617</v>
      </c>
      <c r="D2339" t="str">
        <f>"56565"</f>
        <v>56565</v>
      </c>
      <c r="E2339" t="s">
        <v>10793</v>
      </c>
      <c r="F2339" s="1">
        <v>44785</v>
      </c>
      <c r="G2339" t="str">
        <f>"300043"</f>
        <v>300043</v>
      </c>
      <c r="H2339" t="s">
        <v>2876</v>
      </c>
      <c r="I2339">
        <v>1165</v>
      </c>
    </row>
    <row r="2340" spans="1:9" x14ac:dyDescent="0.25">
      <c r="A2340" t="s">
        <v>9616</v>
      </c>
      <c r="C2340" t="s">
        <v>9617</v>
      </c>
      <c r="D2340" t="str">
        <f>"419522"</f>
        <v>419522</v>
      </c>
      <c r="E2340" t="s">
        <v>10793</v>
      </c>
      <c r="F2340" s="1">
        <v>44785</v>
      </c>
      <c r="G2340" t="str">
        <f>"300101"</f>
        <v>300101</v>
      </c>
      <c r="H2340" t="s">
        <v>2926</v>
      </c>
      <c r="I2340">
        <v>3133.65</v>
      </c>
    </row>
    <row r="2341" spans="1:9" x14ac:dyDescent="0.25">
      <c r="A2341" t="s">
        <v>9616</v>
      </c>
      <c r="C2341" t="s">
        <v>9617</v>
      </c>
      <c r="D2341" t="str">
        <f>"10142562"</f>
        <v>10142562</v>
      </c>
      <c r="E2341" t="s">
        <v>2172</v>
      </c>
      <c r="F2341" s="1">
        <v>44785</v>
      </c>
      <c r="G2341" t="str">
        <f>"300115"</f>
        <v>300115</v>
      </c>
      <c r="H2341" t="s">
        <v>2938</v>
      </c>
      <c r="I2341">
        <v>405221.25599999999</v>
      </c>
    </row>
    <row r="2342" spans="1:9" x14ac:dyDescent="0.25">
      <c r="A2342" t="s">
        <v>9616</v>
      </c>
      <c r="C2342" t="s">
        <v>9617</v>
      </c>
      <c r="D2342" t="str">
        <f>"10142563"</f>
        <v>10142563</v>
      </c>
      <c r="E2342" t="s">
        <v>2172</v>
      </c>
      <c r="F2342" s="1">
        <v>44789</v>
      </c>
      <c r="G2342" t="str">
        <f>"300115"</f>
        <v>300115</v>
      </c>
      <c r="H2342" t="s">
        <v>2938</v>
      </c>
      <c r="I2342">
        <v>405221.25599999999</v>
      </c>
    </row>
    <row r="2343" spans="1:9" x14ac:dyDescent="0.25">
      <c r="A2343" t="s">
        <v>9616</v>
      </c>
      <c r="C2343" t="s">
        <v>9617</v>
      </c>
      <c r="D2343" t="str">
        <f>"10142592"</f>
        <v>10142592</v>
      </c>
      <c r="E2343" t="s">
        <v>9189</v>
      </c>
      <c r="F2343" s="1">
        <v>44789</v>
      </c>
      <c r="G2343" t="str">
        <f>"300115"</f>
        <v>300115</v>
      </c>
      <c r="H2343" t="s">
        <v>2938</v>
      </c>
      <c r="I2343">
        <v>408148.38900000002</v>
      </c>
    </row>
    <row r="2344" spans="1:9" x14ac:dyDescent="0.25">
      <c r="A2344" t="s">
        <v>9616</v>
      </c>
      <c r="C2344" t="s">
        <v>9617</v>
      </c>
      <c r="D2344" t="str">
        <f>"10142593"</f>
        <v>10142593</v>
      </c>
      <c r="E2344" t="s">
        <v>9189</v>
      </c>
      <c r="F2344" s="1">
        <v>44789</v>
      </c>
      <c r="G2344" t="str">
        <f>"300115"</f>
        <v>300115</v>
      </c>
      <c r="H2344" t="s">
        <v>2938</v>
      </c>
      <c r="I2344">
        <v>408148.38900000002</v>
      </c>
    </row>
    <row r="2345" spans="1:9" x14ac:dyDescent="0.25">
      <c r="A2345" t="s">
        <v>9616</v>
      </c>
      <c r="C2345" t="s">
        <v>9617</v>
      </c>
      <c r="D2345" t="str">
        <f>"57244"</f>
        <v>57244</v>
      </c>
      <c r="E2345" t="s">
        <v>10794</v>
      </c>
      <c r="F2345" s="1">
        <v>44790</v>
      </c>
      <c r="G2345" t="str">
        <f>"300043"</f>
        <v>300043</v>
      </c>
      <c r="H2345" t="s">
        <v>2876</v>
      </c>
      <c r="I2345">
        <v>1469</v>
      </c>
    </row>
    <row r="2346" spans="1:9" x14ac:dyDescent="0.25">
      <c r="A2346" t="s">
        <v>9616</v>
      </c>
      <c r="C2346" t="s">
        <v>9617</v>
      </c>
      <c r="D2346" t="str">
        <f>"425822"</f>
        <v>425822</v>
      </c>
      <c r="E2346" t="s">
        <v>10794</v>
      </c>
      <c r="F2346" s="1">
        <v>44790</v>
      </c>
      <c r="G2346" t="str">
        <f>"300101"</f>
        <v>300101</v>
      </c>
      <c r="H2346" t="s">
        <v>2926</v>
      </c>
      <c r="I2346">
        <v>3134.01</v>
      </c>
    </row>
    <row r="2347" spans="1:9" x14ac:dyDescent="0.25">
      <c r="A2347" t="s">
        <v>9616</v>
      </c>
      <c r="C2347" t="s">
        <v>9617</v>
      </c>
      <c r="D2347" t="str">
        <f>"10142598"</f>
        <v>10142598</v>
      </c>
      <c r="E2347" t="s">
        <v>1928</v>
      </c>
      <c r="F2347" s="1">
        <v>44790</v>
      </c>
      <c r="G2347" t="str">
        <f>"300115"</f>
        <v>300115</v>
      </c>
      <c r="H2347" t="s">
        <v>2938</v>
      </c>
      <c r="I2347">
        <v>130657.23</v>
      </c>
    </row>
    <row r="2348" spans="1:9" x14ac:dyDescent="0.25">
      <c r="A2348" t="s">
        <v>9616</v>
      </c>
      <c r="C2348" t="s">
        <v>9617</v>
      </c>
      <c r="D2348" t="str">
        <f>"10142599"</f>
        <v>10142599</v>
      </c>
      <c r="E2348" t="s">
        <v>2172</v>
      </c>
      <c r="F2348" s="1">
        <v>44790</v>
      </c>
      <c r="G2348" t="str">
        <f>"300115"</f>
        <v>300115</v>
      </c>
      <c r="H2348" t="s">
        <v>2938</v>
      </c>
      <c r="I2348">
        <v>405221.25599999999</v>
      </c>
    </row>
    <row r="2349" spans="1:9" x14ac:dyDescent="0.25">
      <c r="A2349" t="s">
        <v>9616</v>
      </c>
      <c r="C2349" t="s">
        <v>9617</v>
      </c>
      <c r="D2349" t="str">
        <f>"10142629"</f>
        <v>10142629</v>
      </c>
      <c r="E2349" t="s">
        <v>9189</v>
      </c>
      <c r="F2349" s="1">
        <v>44790</v>
      </c>
      <c r="G2349" t="str">
        <f>"300115"</f>
        <v>300115</v>
      </c>
      <c r="H2349" t="s">
        <v>2938</v>
      </c>
      <c r="I2349">
        <v>399064.86619999999</v>
      </c>
    </row>
    <row r="2350" spans="1:9" x14ac:dyDescent="0.25">
      <c r="A2350" t="s">
        <v>9616</v>
      </c>
      <c r="C2350" t="s">
        <v>9617</v>
      </c>
      <c r="D2350" t="str">
        <f>"57432"</f>
        <v>57432</v>
      </c>
      <c r="E2350" t="s">
        <v>10795</v>
      </c>
      <c r="F2350" s="1">
        <v>44791</v>
      </c>
      <c r="G2350" t="str">
        <f>"300043"</f>
        <v>300043</v>
      </c>
      <c r="H2350" t="s">
        <v>2876</v>
      </c>
      <c r="I2350">
        <v>1480</v>
      </c>
    </row>
    <row r="2351" spans="1:9" x14ac:dyDescent="0.25">
      <c r="A2351" t="s">
        <v>9616</v>
      </c>
      <c r="C2351" t="s">
        <v>9617</v>
      </c>
      <c r="D2351" t="str">
        <f>"430922"</f>
        <v>430922</v>
      </c>
      <c r="E2351" t="s">
        <v>10795</v>
      </c>
      <c r="F2351" s="1">
        <v>44791</v>
      </c>
      <c r="G2351" t="str">
        <f>"300101"</f>
        <v>300101</v>
      </c>
      <c r="H2351" t="s">
        <v>2926</v>
      </c>
      <c r="I2351">
        <v>3135.77</v>
      </c>
    </row>
    <row r="2352" spans="1:9" x14ac:dyDescent="0.25">
      <c r="A2352" t="s">
        <v>9616</v>
      </c>
      <c r="C2352" t="s">
        <v>9617</v>
      </c>
      <c r="D2352" t="str">
        <f>"10142634"</f>
        <v>10142634</v>
      </c>
      <c r="E2352" t="s">
        <v>9189</v>
      </c>
      <c r="F2352" s="1">
        <v>44791</v>
      </c>
      <c r="G2352" t="str">
        <f>"300115"</f>
        <v>300115</v>
      </c>
      <c r="H2352" t="s">
        <v>2938</v>
      </c>
      <c r="I2352">
        <v>399064.86619999999</v>
      </c>
    </row>
    <row r="2353" spans="1:9" x14ac:dyDescent="0.25">
      <c r="A2353" t="s">
        <v>9616</v>
      </c>
      <c r="C2353" t="s">
        <v>9617</v>
      </c>
      <c r="D2353" t="s">
        <v>10796</v>
      </c>
      <c r="E2353" t="s">
        <v>10797</v>
      </c>
      <c r="F2353" s="1">
        <v>44791</v>
      </c>
      <c r="G2353" t="str">
        <f>"300133"</f>
        <v>300133</v>
      </c>
      <c r="H2353" t="s">
        <v>2955</v>
      </c>
      <c r="I2353">
        <v>48486</v>
      </c>
    </row>
    <row r="2354" spans="1:9" x14ac:dyDescent="0.25">
      <c r="A2354" t="s">
        <v>9616</v>
      </c>
      <c r="C2354" t="s">
        <v>9617</v>
      </c>
      <c r="D2354" t="s">
        <v>10798</v>
      </c>
      <c r="E2354" t="s">
        <v>10289</v>
      </c>
      <c r="F2354" s="1">
        <v>44791</v>
      </c>
      <c r="G2354" t="str">
        <f>"300133"</f>
        <v>300133</v>
      </c>
      <c r="H2354" t="s">
        <v>2955</v>
      </c>
      <c r="I2354">
        <v>30240</v>
      </c>
    </row>
    <row r="2355" spans="1:9" x14ac:dyDescent="0.25">
      <c r="A2355" t="s">
        <v>9616</v>
      </c>
      <c r="C2355" t="s">
        <v>9617</v>
      </c>
      <c r="D2355" t="s">
        <v>10799</v>
      </c>
      <c r="E2355" t="s">
        <v>9971</v>
      </c>
      <c r="F2355" s="1">
        <v>44791</v>
      </c>
      <c r="G2355" t="str">
        <f>"300133"</f>
        <v>300133</v>
      </c>
      <c r="H2355" t="s">
        <v>2955</v>
      </c>
      <c r="I2355">
        <v>41973.75</v>
      </c>
    </row>
    <row r="2356" spans="1:9" x14ac:dyDescent="0.25">
      <c r="A2356" t="s">
        <v>9616</v>
      </c>
      <c r="C2356" t="s">
        <v>9617</v>
      </c>
      <c r="D2356" t="str">
        <f>"57768"</f>
        <v>57768</v>
      </c>
      <c r="E2356" t="s">
        <v>10800</v>
      </c>
      <c r="F2356" s="1">
        <v>44792</v>
      </c>
      <c r="G2356" t="str">
        <f>"300043"</f>
        <v>300043</v>
      </c>
      <c r="H2356" t="s">
        <v>2876</v>
      </c>
      <c r="I2356">
        <v>1460</v>
      </c>
    </row>
    <row r="2357" spans="1:9" x14ac:dyDescent="0.25">
      <c r="A2357" t="s">
        <v>9616</v>
      </c>
      <c r="C2357" t="s">
        <v>9617</v>
      </c>
      <c r="D2357" t="str">
        <f>"57773"</f>
        <v>57773</v>
      </c>
      <c r="E2357" t="s">
        <v>10801</v>
      </c>
      <c r="F2357" s="1">
        <v>44792</v>
      </c>
      <c r="G2357" t="str">
        <f>"300043"</f>
        <v>300043</v>
      </c>
      <c r="H2357" t="s">
        <v>2876</v>
      </c>
      <c r="I2357">
        <v>1441</v>
      </c>
    </row>
    <row r="2358" spans="1:9" x14ac:dyDescent="0.25">
      <c r="A2358" t="s">
        <v>9616</v>
      </c>
      <c r="C2358" t="s">
        <v>9617</v>
      </c>
      <c r="D2358" t="str">
        <f>"57774"</f>
        <v>57774</v>
      </c>
      <c r="E2358" t="s">
        <v>10802</v>
      </c>
      <c r="F2358" s="1">
        <v>44792</v>
      </c>
      <c r="G2358" t="str">
        <f>"300043"</f>
        <v>300043</v>
      </c>
      <c r="H2358" t="s">
        <v>2876</v>
      </c>
      <c r="I2358">
        <v>1469</v>
      </c>
    </row>
    <row r="2359" spans="1:9" x14ac:dyDescent="0.25">
      <c r="A2359" t="s">
        <v>9616</v>
      </c>
      <c r="C2359" t="s">
        <v>9617</v>
      </c>
      <c r="D2359" t="str">
        <f>"20770777"</f>
        <v>20770777</v>
      </c>
      <c r="E2359" t="s">
        <v>10800</v>
      </c>
      <c r="F2359" s="1">
        <v>44792</v>
      </c>
      <c r="G2359" t="str">
        <f>"300043"</f>
        <v>300043</v>
      </c>
      <c r="H2359" t="s">
        <v>2876</v>
      </c>
      <c r="I2359">
        <v>2720</v>
      </c>
    </row>
    <row r="2360" spans="1:9" x14ac:dyDescent="0.25">
      <c r="A2360" t="s">
        <v>9616</v>
      </c>
      <c r="C2360" t="s">
        <v>9617</v>
      </c>
      <c r="D2360" t="str">
        <f>"432822"</f>
        <v>432822</v>
      </c>
      <c r="E2360" t="s">
        <v>10802</v>
      </c>
      <c r="F2360" s="1">
        <v>44792</v>
      </c>
      <c r="G2360" t="str">
        <f>"300101"</f>
        <v>300101</v>
      </c>
      <c r="H2360" t="s">
        <v>2926</v>
      </c>
      <c r="I2360">
        <v>3273.64</v>
      </c>
    </row>
    <row r="2361" spans="1:9" x14ac:dyDescent="0.25">
      <c r="A2361" t="s">
        <v>9616</v>
      </c>
      <c r="C2361" t="s">
        <v>9617</v>
      </c>
      <c r="D2361" t="str">
        <f>"432922"</f>
        <v>432922</v>
      </c>
      <c r="E2361" t="s">
        <v>10801</v>
      </c>
      <c r="F2361" s="1">
        <v>44792</v>
      </c>
      <c r="G2361" t="str">
        <f>"300101"</f>
        <v>300101</v>
      </c>
      <c r="H2361" t="s">
        <v>2926</v>
      </c>
      <c r="I2361">
        <v>3272.35</v>
      </c>
    </row>
    <row r="2362" spans="1:9" x14ac:dyDescent="0.25">
      <c r="A2362" t="s">
        <v>9616</v>
      </c>
      <c r="C2362" t="s">
        <v>9617</v>
      </c>
      <c r="D2362" t="str">
        <f>"439322"</f>
        <v>439322</v>
      </c>
      <c r="E2362" t="s">
        <v>10800</v>
      </c>
      <c r="F2362" s="1">
        <v>44792</v>
      </c>
      <c r="G2362" t="str">
        <f>"300101"</f>
        <v>300101</v>
      </c>
      <c r="H2362" t="s">
        <v>2926</v>
      </c>
      <c r="I2362">
        <v>3425.64</v>
      </c>
    </row>
    <row r="2363" spans="1:9" x14ac:dyDescent="0.25">
      <c r="A2363" t="s">
        <v>9616</v>
      </c>
      <c r="C2363" t="s">
        <v>9617</v>
      </c>
      <c r="D2363" t="str">
        <f>"57977"</f>
        <v>57977</v>
      </c>
      <c r="E2363" t="s">
        <v>10803</v>
      </c>
      <c r="F2363" s="1">
        <v>44795</v>
      </c>
      <c r="G2363" t="str">
        <f>"300043"</f>
        <v>300043</v>
      </c>
      <c r="H2363" t="s">
        <v>2876</v>
      </c>
      <c r="I2363">
        <v>579</v>
      </c>
    </row>
    <row r="2364" spans="1:9" x14ac:dyDescent="0.25">
      <c r="A2364" t="s">
        <v>9616</v>
      </c>
      <c r="C2364" t="s">
        <v>9617</v>
      </c>
      <c r="D2364" t="str">
        <f>"58124"</f>
        <v>58124</v>
      </c>
      <c r="E2364" t="s">
        <v>10804</v>
      </c>
      <c r="F2364" s="1">
        <v>44795</v>
      </c>
      <c r="G2364" t="str">
        <f>"300043"</f>
        <v>300043</v>
      </c>
      <c r="H2364" t="s">
        <v>2876</v>
      </c>
      <c r="I2364">
        <v>1430</v>
      </c>
    </row>
    <row r="2365" spans="1:9" x14ac:dyDescent="0.25">
      <c r="A2365" t="s">
        <v>9616</v>
      </c>
      <c r="C2365" t="s">
        <v>9617</v>
      </c>
      <c r="D2365" t="str">
        <f>"58130"</f>
        <v>58130</v>
      </c>
      <c r="E2365" t="s">
        <v>10805</v>
      </c>
      <c r="F2365" s="1">
        <v>44795</v>
      </c>
      <c r="G2365" t="str">
        <f>"300043"</f>
        <v>300043</v>
      </c>
      <c r="H2365" t="s">
        <v>2876</v>
      </c>
      <c r="I2365">
        <v>1449</v>
      </c>
    </row>
    <row r="2366" spans="1:9" x14ac:dyDescent="0.25">
      <c r="A2366" t="s">
        <v>9616</v>
      </c>
      <c r="C2366" t="s">
        <v>9617</v>
      </c>
      <c r="D2366" t="str">
        <f>"436522"</f>
        <v>436522</v>
      </c>
      <c r="E2366" t="s">
        <v>10804</v>
      </c>
      <c r="F2366" s="1">
        <v>44795</v>
      </c>
      <c r="G2366" t="str">
        <f>"300101"</f>
        <v>300101</v>
      </c>
      <c r="H2366" t="s">
        <v>2926</v>
      </c>
      <c r="I2366">
        <v>3406.86</v>
      </c>
    </row>
    <row r="2367" spans="1:9" x14ac:dyDescent="0.25">
      <c r="A2367" t="s">
        <v>9616</v>
      </c>
      <c r="C2367" t="s">
        <v>9617</v>
      </c>
      <c r="D2367" t="str">
        <f>"436622"</f>
        <v>436622</v>
      </c>
      <c r="E2367" t="s">
        <v>10803</v>
      </c>
      <c r="F2367" s="1">
        <v>44795</v>
      </c>
      <c r="G2367" t="str">
        <f>"300101"</f>
        <v>300101</v>
      </c>
      <c r="H2367" t="s">
        <v>2926</v>
      </c>
      <c r="I2367">
        <v>3560.1</v>
      </c>
    </row>
    <row r="2368" spans="1:9" x14ac:dyDescent="0.25">
      <c r="A2368" t="s">
        <v>9616</v>
      </c>
      <c r="C2368" t="s">
        <v>9617</v>
      </c>
      <c r="D2368" t="str">
        <f>"439422"</f>
        <v>439422</v>
      </c>
      <c r="E2368" t="s">
        <v>10805</v>
      </c>
      <c r="F2368" s="1">
        <v>44795</v>
      </c>
      <c r="G2368" t="str">
        <f>"300101"</f>
        <v>300101</v>
      </c>
      <c r="H2368" t="s">
        <v>2926</v>
      </c>
      <c r="I2368">
        <v>3406.86</v>
      </c>
    </row>
    <row r="2369" spans="1:9" x14ac:dyDescent="0.25">
      <c r="A2369" t="s">
        <v>9616</v>
      </c>
      <c r="C2369" t="s">
        <v>9617</v>
      </c>
      <c r="D2369" t="str">
        <f>"10142726"</f>
        <v>10142726</v>
      </c>
      <c r="E2369" t="s">
        <v>1928</v>
      </c>
      <c r="F2369" s="1">
        <v>44796</v>
      </c>
      <c r="G2369" t="str">
        <f>"300115"</f>
        <v>300115</v>
      </c>
      <c r="H2369" t="s">
        <v>2938</v>
      </c>
      <c r="I2369">
        <v>127513.87</v>
      </c>
    </row>
    <row r="2370" spans="1:9" x14ac:dyDescent="0.25">
      <c r="A2370" t="s">
        <v>9616</v>
      </c>
      <c r="C2370" t="s">
        <v>9617</v>
      </c>
      <c r="D2370" t="str">
        <f>"10142731"</f>
        <v>10142731</v>
      </c>
      <c r="E2370" t="s">
        <v>1928</v>
      </c>
      <c r="F2370" s="1">
        <v>44796</v>
      </c>
      <c r="G2370" t="str">
        <f>"300115"</f>
        <v>300115</v>
      </c>
      <c r="H2370" t="s">
        <v>2938</v>
      </c>
      <c r="I2370">
        <v>126903.535</v>
      </c>
    </row>
    <row r="2371" spans="1:9" x14ac:dyDescent="0.25">
      <c r="A2371" t="s">
        <v>9616</v>
      </c>
      <c r="C2371" t="s">
        <v>9617</v>
      </c>
      <c r="D2371" t="str">
        <f>"10142768"</f>
        <v>10142768</v>
      </c>
      <c r="E2371" t="s">
        <v>1928</v>
      </c>
      <c r="F2371" s="1">
        <v>44796</v>
      </c>
      <c r="G2371" t="str">
        <f>"300115"</f>
        <v>300115</v>
      </c>
      <c r="H2371" t="s">
        <v>2938</v>
      </c>
      <c r="I2371">
        <v>126903.535</v>
      </c>
    </row>
    <row r="2372" spans="1:9" x14ac:dyDescent="0.25">
      <c r="A2372" t="s">
        <v>9616</v>
      </c>
      <c r="C2372" t="s">
        <v>9617</v>
      </c>
      <c r="D2372" t="str">
        <f>"58925"</f>
        <v>58925</v>
      </c>
      <c r="E2372" t="s">
        <v>10806</v>
      </c>
      <c r="F2372" s="1">
        <v>44799</v>
      </c>
      <c r="G2372" t="str">
        <f>"300043"</f>
        <v>300043</v>
      </c>
      <c r="H2372" t="s">
        <v>2876</v>
      </c>
      <c r="I2372">
        <v>572</v>
      </c>
    </row>
    <row r="2373" spans="1:9" x14ac:dyDescent="0.25">
      <c r="A2373" t="s">
        <v>9616</v>
      </c>
      <c r="C2373" t="s">
        <v>9617</v>
      </c>
      <c r="D2373" t="str">
        <f>"456122"</f>
        <v>456122</v>
      </c>
      <c r="E2373" t="s">
        <v>10806</v>
      </c>
      <c r="F2373" s="1">
        <v>44799</v>
      </c>
      <c r="G2373" t="str">
        <f>"300101"</f>
        <v>300101</v>
      </c>
      <c r="H2373" t="s">
        <v>2926</v>
      </c>
      <c r="I2373">
        <v>3122.07</v>
      </c>
    </row>
    <row r="2374" spans="1:9" x14ac:dyDescent="0.25">
      <c r="A2374" t="s">
        <v>9616</v>
      </c>
      <c r="C2374" t="s">
        <v>9617</v>
      </c>
      <c r="D2374" t="str">
        <f>"465122"</f>
        <v>465122</v>
      </c>
      <c r="E2374" t="s">
        <v>10807</v>
      </c>
      <c r="F2374" s="1">
        <v>44799</v>
      </c>
      <c r="G2374" t="str">
        <f>"300101"</f>
        <v>300101</v>
      </c>
      <c r="H2374" t="s">
        <v>2926</v>
      </c>
      <c r="I2374">
        <v>3741.94</v>
      </c>
    </row>
    <row r="2375" spans="1:9" x14ac:dyDescent="0.25">
      <c r="A2375" t="s">
        <v>9616</v>
      </c>
      <c r="C2375" t="s">
        <v>9617</v>
      </c>
      <c r="D2375" t="str">
        <f>"10142861"</f>
        <v>10142861</v>
      </c>
      <c r="E2375" t="s">
        <v>1928</v>
      </c>
      <c r="F2375" s="1">
        <v>44799</v>
      </c>
      <c r="G2375" t="str">
        <f>"300115"</f>
        <v>300115</v>
      </c>
      <c r="H2375" t="s">
        <v>2938</v>
      </c>
      <c r="I2375">
        <v>130657.23</v>
      </c>
    </row>
    <row r="2376" spans="1:9" x14ac:dyDescent="0.25">
      <c r="A2376" t="s">
        <v>9616</v>
      </c>
      <c r="C2376" t="s">
        <v>9617</v>
      </c>
      <c r="D2376" t="str">
        <f>"59261"</f>
        <v>59261</v>
      </c>
      <c r="E2376" t="s">
        <v>10808</v>
      </c>
      <c r="F2376" s="1">
        <v>44802</v>
      </c>
      <c r="G2376" t="str">
        <f>"300043"</f>
        <v>300043</v>
      </c>
      <c r="H2376" t="s">
        <v>2876</v>
      </c>
      <c r="I2376">
        <v>571</v>
      </c>
    </row>
    <row r="2377" spans="1:9" x14ac:dyDescent="0.25">
      <c r="A2377" t="s">
        <v>9616</v>
      </c>
      <c r="C2377" t="s">
        <v>9617</v>
      </c>
      <c r="D2377" t="str">
        <f>"59322"</f>
        <v>59322</v>
      </c>
      <c r="E2377" t="s">
        <v>10807</v>
      </c>
      <c r="F2377" s="1">
        <v>44802</v>
      </c>
      <c r="G2377" t="str">
        <f>"300043"</f>
        <v>300043</v>
      </c>
      <c r="H2377" t="s">
        <v>2876</v>
      </c>
      <c r="I2377">
        <v>571</v>
      </c>
    </row>
    <row r="2378" spans="1:9" x14ac:dyDescent="0.25">
      <c r="A2378" t="s">
        <v>9616</v>
      </c>
      <c r="C2378" t="s">
        <v>9617</v>
      </c>
      <c r="D2378" t="str">
        <f>"456022"</f>
        <v>456022</v>
      </c>
      <c r="E2378" t="s">
        <v>10808</v>
      </c>
      <c r="F2378" s="1">
        <v>44802</v>
      </c>
      <c r="G2378" t="str">
        <f>"300101"</f>
        <v>300101</v>
      </c>
      <c r="H2378" t="s">
        <v>2926</v>
      </c>
      <c r="I2378">
        <v>3586.57</v>
      </c>
    </row>
    <row r="2379" spans="1:9" x14ac:dyDescent="0.25">
      <c r="A2379" t="s">
        <v>9616</v>
      </c>
      <c r="C2379" t="s">
        <v>9617</v>
      </c>
      <c r="D2379" t="str">
        <f>"10142905"</f>
        <v>10142905</v>
      </c>
      <c r="E2379" t="s">
        <v>9189</v>
      </c>
      <c r="F2379" s="1">
        <v>44802</v>
      </c>
      <c r="G2379" t="str">
        <f>"300115"</f>
        <v>300115</v>
      </c>
      <c r="H2379" t="s">
        <v>2938</v>
      </c>
      <c r="I2379">
        <v>308513.12800000003</v>
      </c>
    </row>
    <row r="2380" spans="1:9" x14ac:dyDescent="0.25">
      <c r="A2380" t="s">
        <v>9616</v>
      </c>
      <c r="C2380" t="s">
        <v>9617</v>
      </c>
      <c r="D2380" t="str">
        <f>"10142906"</f>
        <v>10142906</v>
      </c>
      <c r="E2380" t="s">
        <v>10809</v>
      </c>
      <c r="F2380" s="1">
        <v>44802</v>
      </c>
      <c r="G2380" t="str">
        <f>"300115"</f>
        <v>300115</v>
      </c>
      <c r="H2380" t="s">
        <v>2938</v>
      </c>
      <c r="I2380">
        <v>200061.99840000001</v>
      </c>
    </row>
    <row r="2381" spans="1:9" x14ac:dyDescent="0.25">
      <c r="A2381" t="s">
        <v>9616</v>
      </c>
      <c r="C2381" t="s">
        <v>9617</v>
      </c>
      <c r="D2381" t="str">
        <f>"10142907"</f>
        <v>10142907</v>
      </c>
      <c r="E2381" t="s">
        <v>10810</v>
      </c>
      <c r="F2381" s="1">
        <v>44802</v>
      </c>
      <c r="G2381" t="str">
        <f>"300115"</f>
        <v>300115</v>
      </c>
      <c r="H2381" t="s">
        <v>2938</v>
      </c>
      <c r="I2381">
        <v>128103.932</v>
      </c>
    </row>
    <row r="2382" spans="1:9" x14ac:dyDescent="0.25">
      <c r="A2382" t="s">
        <v>9616</v>
      </c>
      <c r="C2382" t="s">
        <v>9617</v>
      </c>
      <c r="D2382" t="str">
        <f>"70008"</f>
        <v>70008</v>
      </c>
      <c r="E2382" t="s">
        <v>10811</v>
      </c>
      <c r="F2382" s="1">
        <v>44803</v>
      </c>
      <c r="G2382" t="str">
        <f>"300043"</f>
        <v>300043</v>
      </c>
      <c r="H2382" t="s">
        <v>2876</v>
      </c>
      <c r="I2382">
        <v>465</v>
      </c>
    </row>
    <row r="2383" spans="1:9" x14ac:dyDescent="0.25">
      <c r="A2383" t="s">
        <v>9616</v>
      </c>
      <c r="C2383" t="s">
        <v>9617</v>
      </c>
      <c r="D2383" t="str">
        <f>"70021"</f>
        <v>70021</v>
      </c>
      <c r="E2383" t="s">
        <v>10812</v>
      </c>
      <c r="F2383" s="1">
        <v>44803</v>
      </c>
      <c r="G2383" t="str">
        <f>"300043"</f>
        <v>300043</v>
      </c>
      <c r="H2383" t="s">
        <v>2876</v>
      </c>
      <c r="I2383">
        <v>461</v>
      </c>
    </row>
    <row r="2384" spans="1:9" x14ac:dyDescent="0.25">
      <c r="A2384" t="s">
        <v>9616</v>
      </c>
      <c r="C2384" t="s">
        <v>9617</v>
      </c>
      <c r="D2384" t="str">
        <f>"70029"</f>
        <v>70029</v>
      </c>
      <c r="E2384" t="s">
        <v>10813</v>
      </c>
      <c r="F2384" s="1">
        <v>44803</v>
      </c>
      <c r="G2384" t="str">
        <f>"300043"</f>
        <v>300043</v>
      </c>
      <c r="H2384" t="s">
        <v>2876</v>
      </c>
      <c r="I2384">
        <v>572</v>
      </c>
    </row>
    <row r="2385" spans="1:9" x14ac:dyDescent="0.25">
      <c r="A2385" t="s">
        <v>9616</v>
      </c>
      <c r="C2385" t="s">
        <v>9617</v>
      </c>
      <c r="D2385" t="str">
        <f>"10142910"</f>
        <v>10142910</v>
      </c>
      <c r="E2385" t="s">
        <v>10814</v>
      </c>
      <c r="F2385" s="1">
        <v>44803</v>
      </c>
      <c r="G2385" t="str">
        <f>"300115"</f>
        <v>300115</v>
      </c>
      <c r="H2385" t="s">
        <v>2938</v>
      </c>
      <c r="I2385">
        <v>130636.242</v>
      </c>
    </row>
    <row r="2386" spans="1:9" x14ac:dyDescent="0.25">
      <c r="A2386" t="s">
        <v>9616</v>
      </c>
      <c r="C2386" t="s">
        <v>9617</v>
      </c>
      <c r="D2386" t="str">
        <f>"10142947"</f>
        <v>10142947</v>
      </c>
      <c r="E2386" t="s">
        <v>2640</v>
      </c>
      <c r="F2386" s="1">
        <v>44803</v>
      </c>
      <c r="G2386" t="str">
        <f>"300115"</f>
        <v>300115</v>
      </c>
      <c r="H2386" t="s">
        <v>2938</v>
      </c>
      <c r="I2386">
        <v>384311.79599999997</v>
      </c>
    </row>
    <row r="2387" spans="1:9" x14ac:dyDescent="0.25">
      <c r="A2387" t="s">
        <v>9616</v>
      </c>
      <c r="C2387" t="s">
        <v>9617</v>
      </c>
      <c r="D2387" t="str">
        <f>"59770"</f>
        <v>59770</v>
      </c>
      <c r="E2387" t="s">
        <v>10815</v>
      </c>
      <c r="F2387" s="1">
        <v>44804</v>
      </c>
      <c r="G2387" t="str">
        <f>"300043"</f>
        <v>300043</v>
      </c>
      <c r="H2387" t="s">
        <v>2876</v>
      </c>
      <c r="I2387">
        <v>584</v>
      </c>
    </row>
    <row r="2388" spans="1:9" x14ac:dyDescent="0.25">
      <c r="A2388" t="s">
        <v>9616</v>
      </c>
      <c r="C2388" t="s">
        <v>9617</v>
      </c>
      <c r="D2388" t="str">
        <f>"59922"</f>
        <v>59922</v>
      </c>
      <c r="E2388" t="s">
        <v>10816</v>
      </c>
      <c r="F2388" s="1">
        <v>44804</v>
      </c>
      <c r="G2388" t="str">
        <f>"300043"</f>
        <v>300043</v>
      </c>
      <c r="H2388" t="s">
        <v>2876</v>
      </c>
      <c r="I2388">
        <v>1153</v>
      </c>
    </row>
    <row r="2389" spans="1:9" x14ac:dyDescent="0.25">
      <c r="A2389" t="s">
        <v>9616</v>
      </c>
      <c r="C2389" t="s">
        <v>9617</v>
      </c>
      <c r="D2389" t="str">
        <f>"464822"</f>
        <v>464822</v>
      </c>
      <c r="E2389" t="s">
        <v>10816</v>
      </c>
      <c r="F2389" s="1">
        <v>44804</v>
      </c>
      <c r="G2389" t="str">
        <f>"300101"</f>
        <v>300101</v>
      </c>
      <c r="H2389" t="s">
        <v>2926</v>
      </c>
      <c r="I2389">
        <v>3130.85</v>
      </c>
    </row>
    <row r="2390" spans="1:9" x14ac:dyDescent="0.25">
      <c r="A2390" t="s">
        <v>9616</v>
      </c>
      <c r="C2390" t="s">
        <v>9617</v>
      </c>
      <c r="D2390" t="str">
        <f>"465222"</f>
        <v>465222</v>
      </c>
      <c r="E2390" t="s">
        <v>10815</v>
      </c>
      <c r="F2390" s="1">
        <v>44804</v>
      </c>
      <c r="G2390" t="str">
        <f>"300101"</f>
        <v>300101</v>
      </c>
      <c r="H2390" t="s">
        <v>2926</v>
      </c>
      <c r="I2390">
        <v>3593.26</v>
      </c>
    </row>
    <row r="2391" spans="1:9" x14ac:dyDescent="0.25">
      <c r="A2391" t="s">
        <v>9616</v>
      </c>
      <c r="C2391" t="s">
        <v>9617</v>
      </c>
      <c r="D2391" t="str">
        <f>"2022006577"</f>
        <v>2022006577</v>
      </c>
      <c r="E2391" t="s">
        <v>10817</v>
      </c>
      <c r="F2391" s="1">
        <v>44804</v>
      </c>
      <c r="G2391" t="str">
        <f>"300191"</f>
        <v>300191</v>
      </c>
      <c r="H2391" t="s">
        <v>3008</v>
      </c>
      <c r="I2391">
        <v>1281.75</v>
      </c>
    </row>
    <row r="2392" spans="1:9" x14ac:dyDescent="0.25">
      <c r="A2392" t="s">
        <v>9616</v>
      </c>
      <c r="C2392" t="s">
        <v>9617</v>
      </c>
      <c r="D2392" t="str">
        <f>"2022006578"</f>
        <v>2022006578</v>
      </c>
      <c r="E2392" t="s">
        <v>10818</v>
      </c>
      <c r="F2392" s="1">
        <v>44804</v>
      </c>
      <c r="G2392" t="str">
        <f>"300191"</f>
        <v>300191</v>
      </c>
      <c r="H2392" t="s">
        <v>3008</v>
      </c>
      <c r="I2392">
        <v>1221.75</v>
      </c>
    </row>
    <row r="2393" spans="1:9" x14ac:dyDescent="0.25">
      <c r="A2393" t="s">
        <v>9616</v>
      </c>
      <c r="C2393" t="s">
        <v>9617</v>
      </c>
      <c r="D2393" t="str">
        <f>"2022006587"</f>
        <v>2022006587</v>
      </c>
      <c r="E2393" t="s">
        <v>10812</v>
      </c>
      <c r="F2393" s="1">
        <v>44804</v>
      </c>
      <c r="G2393" t="str">
        <f>"300191"</f>
        <v>300191</v>
      </c>
      <c r="H2393" t="s">
        <v>3008</v>
      </c>
      <c r="I2393">
        <v>1293.5</v>
      </c>
    </row>
    <row r="2394" spans="1:9" x14ac:dyDescent="0.25">
      <c r="A2394" t="s">
        <v>9616</v>
      </c>
      <c r="C2394" t="s">
        <v>9617</v>
      </c>
      <c r="D2394" t="str">
        <f>"59972"</f>
        <v>59972</v>
      </c>
      <c r="E2394" t="s">
        <v>10819</v>
      </c>
      <c r="F2394" s="1">
        <v>44805</v>
      </c>
      <c r="G2394" t="str">
        <f>"300043"</f>
        <v>300043</v>
      </c>
      <c r="H2394" t="s">
        <v>2876</v>
      </c>
      <c r="I2394">
        <v>1240</v>
      </c>
    </row>
    <row r="2395" spans="1:9" x14ac:dyDescent="0.25">
      <c r="A2395" t="s">
        <v>9616</v>
      </c>
      <c r="C2395" t="s">
        <v>9617</v>
      </c>
      <c r="D2395" t="str">
        <f>"60027"</f>
        <v>60027</v>
      </c>
      <c r="E2395" t="s">
        <v>10820</v>
      </c>
      <c r="F2395" s="1">
        <v>44805</v>
      </c>
      <c r="G2395" t="str">
        <f>"300043"</f>
        <v>300043</v>
      </c>
      <c r="H2395" t="s">
        <v>2876</v>
      </c>
      <c r="I2395">
        <v>1448</v>
      </c>
    </row>
    <row r="2396" spans="1:9" x14ac:dyDescent="0.25">
      <c r="A2396" t="s">
        <v>9616</v>
      </c>
      <c r="C2396" t="s">
        <v>9617</v>
      </c>
      <c r="D2396" t="str">
        <f>"464922"</f>
        <v>464922</v>
      </c>
      <c r="E2396" t="s">
        <v>10819</v>
      </c>
      <c r="F2396" s="1">
        <v>44805</v>
      </c>
      <c r="G2396" t="str">
        <f>"300101"</f>
        <v>300101</v>
      </c>
      <c r="H2396" t="s">
        <v>2926</v>
      </c>
      <c r="I2396">
        <v>3282.24</v>
      </c>
    </row>
    <row r="2397" spans="1:9" x14ac:dyDescent="0.25">
      <c r="A2397" t="s">
        <v>9616</v>
      </c>
      <c r="C2397" t="s">
        <v>9617</v>
      </c>
      <c r="D2397" t="str">
        <f>"10142995"</f>
        <v>10142995</v>
      </c>
      <c r="E2397" t="s">
        <v>9300</v>
      </c>
      <c r="F2397" s="1">
        <v>44805</v>
      </c>
      <c r="G2397" t="str">
        <f>"300115"</f>
        <v>300115</v>
      </c>
      <c r="H2397" t="s">
        <v>2938</v>
      </c>
      <c r="I2397">
        <v>295746.0638</v>
      </c>
    </row>
    <row r="2398" spans="1:9" x14ac:dyDescent="0.25">
      <c r="A2398" t="s">
        <v>9616</v>
      </c>
      <c r="C2398" t="s">
        <v>9617</v>
      </c>
      <c r="D2398" t="str">
        <f>"10142998"</f>
        <v>10142998</v>
      </c>
      <c r="E2398" t="s">
        <v>10821</v>
      </c>
      <c r="F2398" s="1">
        <v>44805</v>
      </c>
      <c r="G2398" t="str">
        <f>"300115"</f>
        <v>300115</v>
      </c>
      <c r="H2398" t="s">
        <v>2938</v>
      </c>
      <c r="I2398">
        <v>368883.25760000001</v>
      </c>
    </row>
    <row r="2399" spans="1:9" x14ac:dyDescent="0.25">
      <c r="A2399" t="s">
        <v>9616</v>
      </c>
      <c r="C2399" t="s">
        <v>9617</v>
      </c>
      <c r="D2399" t="s">
        <v>10822</v>
      </c>
      <c r="E2399" t="s">
        <v>10820</v>
      </c>
      <c r="F2399" s="1">
        <v>44805</v>
      </c>
      <c r="G2399" t="str">
        <f>"300321"</f>
        <v>300321</v>
      </c>
      <c r="H2399" t="s">
        <v>2706</v>
      </c>
      <c r="I2399">
        <v>18000</v>
      </c>
    </row>
    <row r="2400" spans="1:9" x14ac:dyDescent="0.25">
      <c r="A2400" t="s">
        <v>9616</v>
      </c>
      <c r="C2400" t="s">
        <v>9617</v>
      </c>
      <c r="D2400" t="s">
        <v>10823</v>
      </c>
      <c r="E2400" t="s">
        <v>10824</v>
      </c>
      <c r="F2400" s="1">
        <v>44805</v>
      </c>
      <c r="G2400" t="str">
        <f>"300321"</f>
        <v>300321</v>
      </c>
      <c r="H2400" t="s">
        <v>2706</v>
      </c>
      <c r="I2400">
        <v>18000</v>
      </c>
    </row>
    <row r="2401" spans="1:9" x14ac:dyDescent="0.25">
      <c r="A2401" t="s">
        <v>9616</v>
      </c>
      <c r="C2401" t="s">
        <v>9617</v>
      </c>
      <c r="D2401" t="str">
        <f>"60321"</f>
        <v>60321</v>
      </c>
      <c r="E2401" t="s">
        <v>10825</v>
      </c>
      <c r="F2401" s="1">
        <v>44806</v>
      </c>
      <c r="G2401" t="str">
        <f>"300043"</f>
        <v>300043</v>
      </c>
      <c r="H2401" t="s">
        <v>2876</v>
      </c>
      <c r="I2401">
        <v>585</v>
      </c>
    </row>
    <row r="2402" spans="1:9" x14ac:dyDescent="0.25">
      <c r="A2402" t="s">
        <v>9616</v>
      </c>
      <c r="C2402" t="s">
        <v>9617</v>
      </c>
      <c r="D2402" t="str">
        <f>"122310586"</f>
        <v>122310586</v>
      </c>
      <c r="E2402" t="s">
        <v>10826</v>
      </c>
      <c r="F2402" s="1">
        <v>44806</v>
      </c>
      <c r="G2402" t="str">
        <f>"300080"</f>
        <v>300080</v>
      </c>
      <c r="H2402" t="s">
        <v>2907</v>
      </c>
      <c r="I2402">
        <v>60060</v>
      </c>
    </row>
    <row r="2403" spans="1:9" x14ac:dyDescent="0.25">
      <c r="A2403" t="s">
        <v>9616</v>
      </c>
      <c r="C2403" t="s">
        <v>9617</v>
      </c>
      <c r="D2403" t="str">
        <f>"465322"</f>
        <v>465322</v>
      </c>
      <c r="E2403" t="s">
        <v>10825</v>
      </c>
      <c r="F2403" s="1">
        <v>44806</v>
      </c>
      <c r="G2403" t="str">
        <f>"300101"</f>
        <v>300101</v>
      </c>
      <c r="H2403" t="s">
        <v>2926</v>
      </c>
      <c r="I2403">
        <v>3286.4</v>
      </c>
    </row>
    <row r="2404" spans="1:9" x14ac:dyDescent="0.25">
      <c r="A2404" t="s">
        <v>9616</v>
      </c>
      <c r="C2404" t="s">
        <v>9617</v>
      </c>
      <c r="D2404" t="str">
        <f>"10143112"</f>
        <v>10143112</v>
      </c>
      <c r="E2404" t="s">
        <v>10821</v>
      </c>
      <c r="F2404" s="1">
        <v>44809</v>
      </c>
      <c r="G2404" t="str">
        <f>"300115"</f>
        <v>300115</v>
      </c>
      <c r="H2404" t="s">
        <v>2938</v>
      </c>
      <c r="I2404">
        <v>302806.55680000002</v>
      </c>
    </row>
    <row r="2405" spans="1:9" x14ac:dyDescent="0.25">
      <c r="A2405" t="s">
        <v>9616</v>
      </c>
      <c r="C2405" t="s">
        <v>9617</v>
      </c>
      <c r="D2405" t="str">
        <f>"10143113"</f>
        <v>10143113</v>
      </c>
      <c r="E2405" t="s">
        <v>10821</v>
      </c>
      <c r="F2405" s="1">
        <v>44809</v>
      </c>
      <c r="G2405" t="str">
        <f>"300115"</f>
        <v>300115</v>
      </c>
      <c r="H2405" t="s">
        <v>2938</v>
      </c>
      <c r="I2405">
        <v>302806.55680000002</v>
      </c>
    </row>
    <row r="2406" spans="1:9" x14ac:dyDescent="0.25">
      <c r="A2406" t="s">
        <v>9616</v>
      </c>
      <c r="C2406" t="s">
        <v>9617</v>
      </c>
      <c r="D2406" t="s">
        <v>10827</v>
      </c>
      <c r="E2406" t="s">
        <v>9971</v>
      </c>
      <c r="F2406" s="1">
        <v>44809</v>
      </c>
      <c r="G2406" t="str">
        <f>"300133"</f>
        <v>300133</v>
      </c>
      <c r="H2406" t="s">
        <v>2955</v>
      </c>
      <c r="I2406">
        <v>47970</v>
      </c>
    </row>
    <row r="2407" spans="1:9" x14ac:dyDescent="0.25">
      <c r="A2407" t="s">
        <v>9616</v>
      </c>
      <c r="C2407" t="s">
        <v>9617</v>
      </c>
      <c r="D2407" t="s">
        <v>10828</v>
      </c>
      <c r="E2407" t="s">
        <v>9921</v>
      </c>
      <c r="F2407" s="1">
        <v>44809</v>
      </c>
      <c r="G2407" t="str">
        <f>"300133"</f>
        <v>300133</v>
      </c>
      <c r="H2407" t="s">
        <v>2955</v>
      </c>
      <c r="I2407">
        <v>28080</v>
      </c>
    </row>
    <row r="2408" spans="1:9" x14ac:dyDescent="0.25">
      <c r="A2408" t="s">
        <v>9616</v>
      </c>
      <c r="C2408" t="s">
        <v>9617</v>
      </c>
      <c r="D2408" t="s">
        <v>10829</v>
      </c>
      <c r="E2408" t="s">
        <v>10126</v>
      </c>
      <c r="F2408" s="1">
        <v>44809</v>
      </c>
      <c r="G2408" t="str">
        <f>"300133"</f>
        <v>300133</v>
      </c>
      <c r="H2408" t="s">
        <v>2955</v>
      </c>
      <c r="I2408">
        <v>20800</v>
      </c>
    </row>
    <row r="2409" spans="1:9" x14ac:dyDescent="0.25">
      <c r="A2409" t="s">
        <v>9616</v>
      </c>
      <c r="C2409" t="s">
        <v>9617</v>
      </c>
      <c r="D2409" t="s">
        <v>10830</v>
      </c>
      <c r="E2409" t="s">
        <v>10831</v>
      </c>
      <c r="F2409" s="1">
        <v>44809</v>
      </c>
      <c r="G2409" t="str">
        <f>"300321"</f>
        <v>300321</v>
      </c>
      <c r="H2409" t="s">
        <v>2706</v>
      </c>
      <c r="I2409">
        <v>19000</v>
      </c>
    </row>
    <row r="2410" spans="1:9" x14ac:dyDescent="0.25">
      <c r="A2410" t="s">
        <v>9616</v>
      </c>
      <c r="C2410" t="s">
        <v>9617</v>
      </c>
      <c r="D2410" t="s">
        <v>10832</v>
      </c>
      <c r="E2410" t="s">
        <v>10833</v>
      </c>
      <c r="F2410" s="1">
        <v>44809</v>
      </c>
      <c r="G2410" t="str">
        <f>"300321"</f>
        <v>300321</v>
      </c>
      <c r="H2410" t="s">
        <v>2706</v>
      </c>
      <c r="I2410">
        <v>19000</v>
      </c>
    </row>
    <row r="2411" spans="1:9" x14ac:dyDescent="0.25">
      <c r="A2411" t="s">
        <v>9616</v>
      </c>
      <c r="C2411" t="s">
        <v>9617</v>
      </c>
      <c r="D2411" t="str">
        <f>"60433"</f>
        <v>60433</v>
      </c>
      <c r="E2411" t="s">
        <v>10834</v>
      </c>
      <c r="F2411" s="1">
        <v>44810</v>
      </c>
      <c r="G2411" t="str">
        <f>"300043"</f>
        <v>300043</v>
      </c>
      <c r="H2411" t="s">
        <v>2876</v>
      </c>
      <c r="I2411">
        <v>1116</v>
      </c>
    </row>
    <row r="2412" spans="1:9" x14ac:dyDescent="0.25">
      <c r="A2412" t="s">
        <v>9616</v>
      </c>
      <c r="C2412" t="s">
        <v>9617</v>
      </c>
      <c r="D2412" t="str">
        <f>"60794"</f>
        <v>60794</v>
      </c>
      <c r="E2412" t="s">
        <v>10824</v>
      </c>
      <c r="F2412" s="1">
        <v>44810</v>
      </c>
      <c r="G2412" t="str">
        <f>"300043"</f>
        <v>300043</v>
      </c>
      <c r="H2412" t="s">
        <v>2876</v>
      </c>
      <c r="I2412">
        <v>1398</v>
      </c>
    </row>
    <row r="2413" spans="1:9" x14ac:dyDescent="0.25">
      <c r="A2413" t="s">
        <v>9616</v>
      </c>
      <c r="C2413" t="s">
        <v>9617</v>
      </c>
      <c r="D2413" t="str">
        <f>"465022"</f>
        <v>465022</v>
      </c>
      <c r="E2413" t="s">
        <v>10834</v>
      </c>
      <c r="F2413" s="1">
        <v>44810</v>
      </c>
      <c r="G2413" t="str">
        <f>"300101"</f>
        <v>300101</v>
      </c>
      <c r="H2413" t="s">
        <v>2926</v>
      </c>
      <c r="I2413">
        <v>3745.42</v>
      </c>
    </row>
    <row r="2414" spans="1:9" x14ac:dyDescent="0.25">
      <c r="A2414" t="s">
        <v>9616</v>
      </c>
      <c r="C2414" t="s">
        <v>9617</v>
      </c>
      <c r="D2414" t="str">
        <f>"10143118"</f>
        <v>10143118</v>
      </c>
      <c r="E2414" t="s">
        <v>10835</v>
      </c>
      <c r="F2414" s="1">
        <v>44810</v>
      </c>
      <c r="G2414" t="str">
        <f>"300115"</f>
        <v>300115</v>
      </c>
      <c r="H2414" t="s">
        <v>2938</v>
      </c>
      <c r="I2414">
        <v>384311.79599999997</v>
      </c>
    </row>
    <row r="2415" spans="1:9" x14ac:dyDescent="0.25">
      <c r="A2415" t="s">
        <v>9616</v>
      </c>
      <c r="C2415" t="s">
        <v>9617</v>
      </c>
      <c r="D2415" t="s">
        <v>10836</v>
      </c>
      <c r="E2415" t="s">
        <v>10837</v>
      </c>
      <c r="F2415" s="1">
        <v>44810</v>
      </c>
      <c r="G2415" t="str">
        <f>"300321"</f>
        <v>300321</v>
      </c>
      <c r="H2415" t="s">
        <v>2706</v>
      </c>
      <c r="I2415">
        <v>19000</v>
      </c>
    </row>
    <row r="2416" spans="1:9" x14ac:dyDescent="0.25">
      <c r="A2416" t="s">
        <v>9616</v>
      </c>
      <c r="C2416" t="s">
        <v>9617</v>
      </c>
      <c r="D2416" t="str">
        <f>"61026"</f>
        <v>61026</v>
      </c>
      <c r="E2416" t="s">
        <v>10833</v>
      </c>
      <c r="F2416" s="1">
        <v>44811</v>
      </c>
      <c r="G2416" t="str">
        <f>"300043"</f>
        <v>300043</v>
      </c>
      <c r="H2416" t="s">
        <v>2876</v>
      </c>
      <c r="I2416">
        <v>1188</v>
      </c>
    </row>
    <row r="2417" spans="1:9" x14ac:dyDescent="0.25">
      <c r="A2417" t="s">
        <v>9616</v>
      </c>
      <c r="C2417" t="s">
        <v>9617</v>
      </c>
      <c r="D2417" t="str">
        <f>"61044"</f>
        <v>61044</v>
      </c>
      <c r="E2417" t="s">
        <v>10837</v>
      </c>
      <c r="F2417" s="1">
        <v>44811</v>
      </c>
      <c r="G2417" t="str">
        <f>"300043"</f>
        <v>300043</v>
      </c>
      <c r="H2417" t="s">
        <v>2876</v>
      </c>
      <c r="I2417">
        <v>1449</v>
      </c>
    </row>
    <row r="2418" spans="1:9" x14ac:dyDescent="0.25">
      <c r="A2418" t="s">
        <v>9616</v>
      </c>
      <c r="C2418" t="s">
        <v>9617</v>
      </c>
      <c r="D2418" t="str">
        <f>"61050"</f>
        <v>61050</v>
      </c>
      <c r="E2418" t="s">
        <v>10831</v>
      </c>
      <c r="F2418" s="1">
        <v>44811</v>
      </c>
      <c r="G2418" t="str">
        <f>"300043"</f>
        <v>300043</v>
      </c>
      <c r="H2418" t="s">
        <v>2876</v>
      </c>
      <c r="I2418">
        <v>1188</v>
      </c>
    </row>
    <row r="2419" spans="1:9" x14ac:dyDescent="0.25">
      <c r="A2419" t="s">
        <v>9616</v>
      </c>
      <c r="C2419" t="s">
        <v>9617</v>
      </c>
      <c r="D2419" t="str">
        <f>"10143192"</f>
        <v>10143192</v>
      </c>
      <c r="E2419" t="s">
        <v>2172</v>
      </c>
      <c r="F2419" s="1">
        <v>44811</v>
      </c>
      <c r="G2419" t="str">
        <f>"300115"</f>
        <v>300115</v>
      </c>
      <c r="H2419" t="s">
        <v>2938</v>
      </c>
      <c r="I2419">
        <v>415222.17879999999</v>
      </c>
    </row>
    <row r="2420" spans="1:9" x14ac:dyDescent="0.25">
      <c r="A2420" t="s">
        <v>9616</v>
      </c>
      <c r="C2420" t="s">
        <v>9617</v>
      </c>
      <c r="D2420" t="s">
        <v>10838</v>
      </c>
      <c r="E2420" t="s">
        <v>10839</v>
      </c>
      <c r="F2420" s="1">
        <v>44811</v>
      </c>
      <c r="G2420" t="str">
        <f>"300321"</f>
        <v>300321</v>
      </c>
      <c r="H2420" t="s">
        <v>2706</v>
      </c>
      <c r="I2420">
        <v>18000</v>
      </c>
    </row>
    <row r="2421" spans="1:9" x14ac:dyDescent="0.25">
      <c r="A2421" t="s">
        <v>9616</v>
      </c>
      <c r="C2421" t="s">
        <v>9617</v>
      </c>
      <c r="D2421" t="str">
        <f>"2022006817"</f>
        <v>2022006817</v>
      </c>
      <c r="E2421" t="s">
        <v>10820</v>
      </c>
      <c r="F2421" s="1">
        <v>44812</v>
      </c>
      <c r="G2421" t="str">
        <f>"300191"</f>
        <v>300191</v>
      </c>
      <c r="H2421" t="s">
        <v>3008</v>
      </c>
      <c r="I2421">
        <v>3131.86</v>
      </c>
    </row>
    <row r="2422" spans="1:9" x14ac:dyDescent="0.25">
      <c r="A2422" t="s">
        <v>9616</v>
      </c>
      <c r="C2422" t="s">
        <v>9617</v>
      </c>
      <c r="D2422" t="str">
        <f>"2022006831"</f>
        <v>2022006831</v>
      </c>
      <c r="E2422" t="s">
        <v>10824</v>
      </c>
      <c r="F2422" s="1">
        <v>44812</v>
      </c>
      <c r="G2422" t="str">
        <f>"300191"</f>
        <v>300191</v>
      </c>
      <c r="H2422" t="s">
        <v>3008</v>
      </c>
      <c r="I2422">
        <v>3589.97</v>
      </c>
    </row>
    <row r="2423" spans="1:9" x14ac:dyDescent="0.25">
      <c r="A2423" t="s">
        <v>9616</v>
      </c>
      <c r="C2423" t="s">
        <v>9617</v>
      </c>
      <c r="D2423" t="str">
        <f>"61523"</f>
        <v>61523</v>
      </c>
      <c r="E2423" t="s">
        <v>10839</v>
      </c>
      <c r="F2423" s="1">
        <v>44813</v>
      </c>
      <c r="G2423" t="str">
        <f>"300043"</f>
        <v>300043</v>
      </c>
      <c r="H2423" t="s">
        <v>2876</v>
      </c>
      <c r="I2423">
        <v>1564</v>
      </c>
    </row>
    <row r="2424" spans="1:9" x14ac:dyDescent="0.25">
      <c r="A2424" t="s">
        <v>9616</v>
      </c>
      <c r="C2424" t="s">
        <v>9617</v>
      </c>
      <c r="D2424" t="s">
        <v>10840</v>
      </c>
      <c r="E2424" t="s">
        <v>9562</v>
      </c>
      <c r="F2424" s="1">
        <v>44813</v>
      </c>
      <c r="G2424" t="str">
        <f>"300133"</f>
        <v>300133</v>
      </c>
      <c r="H2424" t="s">
        <v>2955</v>
      </c>
      <c r="I2424">
        <v>18349.632000000001</v>
      </c>
    </row>
    <row r="2425" spans="1:9" x14ac:dyDescent="0.25">
      <c r="A2425" t="s">
        <v>9616</v>
      </c>
      <c r="C2425" t="s">
        <v>9617</v>
      </c>
      <c r="D2425" t="str">
        <f>"122310619"</f>
        <v>122310619</v>
      </c>
      <c r="E2425" t="s">
        <v>10826</v>
      </c>
      <c r="F2425" s="1">
        <v>44816</v>
      </c>
      <c r="G2425" t="str">
        <f>"300080"</f>
        <v>300080</v>
      </c>
      <c r="H2425" t="s">
        <v>2907</v>
      </c>
      <c r="I2425">
        <v>114114</v>
      </c>
    </row>
    <row r="2426" spans="1:9" x14ac:dyDescent="0.25">
      <c r="A2426" t="s">
        <v>9616</v>
      </c>
      <c r="C2426" t="s">
        <v>9617</v>
      </c>
      <c r="D2426" t="str">
        <f>"2022006893"</f>
        <v>2022006893</v>
      </c>
      <c r="E2426" t="s">
        <v>10837</v>
      </c>
      <c r="F2426" s="1">
        <v>44816</v>
      </c>
      <c r="G2426" t="str">
        <f>"300191"</f>
        <v>300191</v>
      </c>
      <c r="H2426" t="s">
        <v>3008</v>
      </c>
      <c r="I2426">
        <v>3131.16</v>
      </c>
    </row>
    <row r="2427" spans="1:9" x14ac:dyDescent="0.25">
      <c r="A2427" t="s">
        <v>9616</v>
      </c>
      <c r="C2427" t="s">
        <v>9617</v>
      </c>
      <c r="D2427" t="str">
        <f>"2022006904"</f>
        <v>2022006904</v>
      </c>
      <c r="E2427" t="s">
        <v>10833</v>
      </c>
      <c r="F2427" s="1">
        <v>44816</v>
      </c>
      <c r="G2427" t="str">
        <f>"300191"</f>
        <v>300191</v>
      </c>
      <c r="H2427" t="s">
        <v>3008</v>
      </c>
      <c r="I2427">
        <v>3131.16</v>
      </c>
    </row>
    <row r="2428" spans="1:9" x14ac:dyDescent="0.25">
      <c r="A2428" t="s">
        <v>9616</v>
      </c>
      <c r="C2428" t="s">
        <v>9617</v>
      </c>
      <c r="D2428" t="str">
        <f>"2022006905"</f>
        <v>2022006905</v>
      </c>
      <c r="E2428" t="s">
        <v>10831</v>
      </c>
      <c r="F2428" s="1">
        <v>44816</v>
      </c>
      <c r="G2428" t="str">
        <f>"300191"</f>
        <v>300191</v>
      </c>
      <c r="H2428" t="s">
        <v>3008</v>
      </c>
      <c r="I2428">
        <v>3131.16</v>
      </c>
    </row>
    <row r="2429" spans="1:9" x14ac:dyDescent="0.25">
      <c r="A2429" t="s">
        <v>9616</v>
      </c>
      <c r="C2429" t="s">
        <v>9617</v>
      </c>
      <c r="D2429" t="str">
        <f>"10143354"</f>
        <v>10143354</v>
      </c>
      <c r="E2429" t="s">
        <v>9189</v>
      </c>
      <c r="F2429" s="1">
        <v>44817</v>
      </c>
      <c r="G2429" t="str">
        <f>"300115"</f>
        <v>300115</v>
      </c>
      <c r="H2429" t="s">
        <v>2938</v>
      </c>
      <c r="I2429">
        <v>368878.25260000001</v>
      </c>
    </row>
    <row r="2430" spans="1:9" x14ac:dyDescent="0.25">
      <c r="A2430" t="s">
        <v>9616</v>
      </c>
      <c r="C2430" t="s">
        <v>9617</v>
      </c>
      <c r="D2430" t="s">
        <v>10841</v>
      </c>
      <c r="E2430" t="s">
        <v>10842</v>
      </c>
      <c r="F2430" s="1">
        <v>44817</v>
      </c>
      <c r="G2430" t="str">
        <f>"300321"</f>
        <v>300321</v>
      </c>
      <c r="H2430" t="s">
        <v>2706</v>
      </c>
      <c r="I2430">
        <v>20000</v>
      </c>
    </row>
    <row r="2431" spans="1:9" x14ac:dyDescent="0.25">
      <c r="A2431" t="s">
        <v>9616</v>
      </c>
      <c r="C2431" t="s">
        <v>9617</v>
      </c>
      <c r="D2431" t="str">
        <f>"10143355"</f>
        <v>10143355</v>
      </c>
      <c r="E2431" t="s">
        <v>9189</v>
      </c>
      <c r="F2431" s="1">
        <v>44818</v>
      </c>
      <c r="G2431" t="str">
        <f>"300115"</f>
        <v>300115</v>
      </c>
      <c r="H2431" t="s">
        <v>2938</v>
      </c>
      <c r="I2431">
        <v>368878.25260000001</v>
      </c>
    </row>
    <row r="2432" spans="1:9" x14ac:dyDescent="0.25">
      <c r="A2432" t="s">
        <v>9616</v>
      </c>
      <c r="C2432" t="s">
        <v>9617</v>
      </c>
      <c r="D2432" t="str">
        <f>"10143360"</f>
        <v>10143360</v>
      </c>
      <c r="E2432" t="s">
        <v>10843</v>
      </c>
      <c r="F2432" s="1">
        <v>44818</v>
      </c>
      <c r="G2432" t="str">
        <f>"300115"</f>
        <v>300115</v>
      </c>
      <c r="H2432" t="s">
        <v>2938</v>
      </c>
      <c r="I2432">
        <v>128984.1498</v>
      </c>
    </row>
    <row r="2433" spans="1:9" x14ac:dyDescent="0.25">
      <c r="A2433" t="s">
        <v>9616</v>
      </c>
      <c r="C2433" t="s">
        <v>9617</v>
      </c>
      <c r="D2433" t="str">
        <f>"10143361"</f>
        <v>10143361</v>
      </c>
      <c r="E2433" t="s">
        <v>10844</v>
      </c>
      <c r="F2433" s="1">
        <v>44818</v>
      </c>
      <c r="G2433" t="str">
        <f>"300115"</f>
        <v>300115</v>
      </c>
      <c r="H2433" t="s">
        <v>2938</v>
      </c>
      <c r="I2433">
        <v>129979.443</v>
      </c>
    </row>
    <row r="2434" spans="1:9" x14ac:dyDescent="0.25">
      <c r="A2434" t="s">
        <v>9616</v>
      </c>
      <c r="C2434" t="s">
        <v>9617</v>
      </c>
      <c r="D2434" t="s">
        <v>10845</v>
      </c>
      <c r="E2434" t="s">
        <v>9562</v>
      </c>
      <c r="F2434" s="1">
        <v>44818</v>
      </c>
      <c r="G2434" t="str">
        <f>"300133"</f>
        <v>300133</v>
      </c>
      <c r="H2434" t="s">
        <v>2955</v>
      </c>
      <c r="I2434">
        <v>13942.368</v>
      </c>
    </row>
    <row r="2435" spans="1:9" x14ac:dyDescent="0.25">
      <c r="A2435" t="s">
        <v>9616</v>
      </c>
      <c r="C2435" t="s">
        <v>9617</v>
      </c>
      <c r="D2435" t="s">
        <v>10846</v>
      </c>
      <c r="E2435" t="s">
        <v>10847</v>
      </c>
      <c r="F2435" s="1">
        <v>44818</v>
      </c>
      <c r="G2435" t="str">
        <f>"300321"</f>
        <v>300321</v>
      </c>
      <c r="H2435" t="s">
        <v>2706</v>
      </c>
      <c r="I2435">
        <v>20000</v>
      </c>
    </row>
    <row r="2436" spans="1:9" x14ac:dyDescent="0.25">
      <c r="A2436" t="s">
        <v>9616</v>
      </c>
      <c r="C2436" t="s">
        <v>9617</v>
      </c>
      <c r="D2436" t="str">
        <f>"62573"</f>
        <v>62573</v>
      </c>
      <c r="E2436" t="s">
        <v>10847</v>
      </c>
      <c r="F2436" s="1">
        <v>44819</v>
      </c>
      <c r="G2436" t="str">
        <f>"300043"</f>
        <v>300043</v>
      </c>
      <c r="H2436" t="s">
        <v>2876</v>
      </c>
      <c r="I2436">
        <v>1424</v>
      </c>
    </row>
    <row r="2437" spans="1:9" x14ac:dyDescent="0.25">
      <c r="A2437" t="s">
        <v>9616</v>
      </c>
      <c r="C2437" t="s">
        <v>9617</v>
      </c>
      <c r="D2437" t="str">
        <f>"62584"</f>
        <v>62584</v>
      </c>
      <c r="E2437" t="s">
        <v>10842</v>
      </c>
      <c r="F2437" s="1">
        <v>44819</v>
      </c>
      <c r="G2437" t="str">
        <f>"300043"</f>
        <v>300043</v>
      </c>
      <c r="H2437" t="s">
        <v>2876</v>
      </c>
      <c r="I2437">
        <v>1424</v>
      </c>
    </row>
    <row r="2438" spans="1:9" x14ac:dyDescent="0.25">
      <c r="A2438" t="s">
        <v>9616</v>
      </c>
      <c r="C2438" t="s">
        <v>9617</v>
      </c>
      <c r="D2438" t="str">
        <f>"122310638"</f>
        <v>122310638</v>
      </c>
      <c r="E2438" t="s">
        <v>10826</v>
      </c>
      <c r="F2438" s="1">
        <v>44819</v>
      </c>
      <c r="G2438" t="str">
        <f>"300080"</f>
        <v>300080</v>
      </c>
      <c r="H2438" t="s">
        <v>2907</v>
      </c>
      <c r="I2438">
        <v>114114</v>
      </c>
    </row>
    <row r="2439" spans="1:9" x14ac:dyDescent="0.25">
      <c r="A2439" t="s">
        <v>9616</v>
      </c>
      <c r="C2439" t="s">
        <v>9617</v>
      </c>
      <c r="D2439" t="s">
        <v>10848</v>
      </c>
      <c r="E2439" t="s">
        <v>10089</v>
      </c>
      <c r="F2439" s="1">
        <v>44819</v>
      </c>
      <c r="G2439" t="str">
        <f>"300133"</f>
        <v>300133</v>
      </c>
      <c r="H2439" t="s">
        <v>2955</v>
      </c>
      <c r="I2439">
        <v>55252.800000000003</v>
      </c>
    </row>
    <row r="2440" spans="1:9" x14ac:dyDescent="0.25">
      <c r="A2440" t="s">
        <v>9616</v>
      </c>
      <c r="C2440" t="s">
        <v>9617</v>
      </c>
      <c r="D2440" t="s">
        <v>10849</v>
      </c>
      <c r="E2440" t="s">
        <v>10609</v>
      </c>
      <c r="F2440" s="1">
        <v>44819</v>
      </c>
      <c r="G2440" t="str">
        <f>"300133"</f>
        <v>300133</v>
      </c>
      <c r="H2440" t="s">
        <v>2955</v>
      </c>
      <c r="I2440">
        <v>34320</v>
      </c>
    </row>
    <row r="2441" spans="1:9" x14ac:dyDescent="0.25">
      <c r="A2441" t="s">
        <v>9616</v>
      </c>
      <c r="C2441" t="s">
        <v>9617</v>
      </c>
      <c r="D2441" t="str">
        <f>"62880"</f>
        <v>62880</v>
      </c>
      <c r="E2441" t="s">
        <v>10850</v>
      </c>
      <c r="F2441" s="1">
        <v>44820</v>
      </c>
      <c r="G2441" t="str">
        <f>"300043"</f>
        <v>300043</v>
      </c>
      <c r="H2441" t="s">
        <v>2876</v>
      </c>
      <c r="I2441">
        <v>590</v>
      </c>
    </row>
    <row r="2442" spans="1:9" x14ac:dyDescent="0.25">
      <c r="A2442" t="s">
        <v>9616</v>
      </c>
      <c r="C2442" t="s">
        <v>9617</v>
      </c>
      <c r="D2442" t="str">
        <f>"62884"</f>
        <v>62884</v>
      </c>
      <c r="E2442" t="s">
        <v>10851</v>
      </c>
      <c r="F2442" s="1">
        <v>44820</v>
      </c>
      <c r="G2442" t="str">
        <f>"300043"</f>
        <v>300043</v>
      </c>
      <c r="H2442" t="s">
        <v>2876</v>
      </c>
      <c r="I2442">
        <v>587</v>
      </c>
    </row>
    <row r="2443" spans="1:9" x14ac:dyDescent="0.25">
      <c r="A2443" t="s">
        <v>9616</v>
      </c>
      <c r="C2443" t="s">
        <v>9617</v>
      </c>
      <c r="D2443" t="str">
        <f>"490122"</f>
        <v>490122</v>
      </c>
      <c r="E2443" t="s">
        <v>10850</v>
      </c>
      <c r="F2443" s="1">
        <v>44820</v>
      </c>
      <c r="G2443" t="str">
        <f>"300101"</f>
        <v>300101</v>
      </c>
      <c r="H2443" t="s">
        <v>2926</v>
      </c>
      <c r="I2443">
        <v>3169.24</v>
      </c>
    </row>
    <row r="2444" spans="1:9" x14ac:dyDescent="0.25">
      <c r="A2444" t="s">
        <v>9616</v>
      </c>
      <c r="C2444" t="s">
        <v>9617</v>
      </c>
      <c r="D2444" t="str">
        <f>"490322"</f>
        <v>490322</v>
      </c>
      <c r="E2444" t="s">
        <v>10851</v>
      </c>
      <c r="F2444" s="1">
        <v>44820</v>
      </c>
      <c r="G2444" t="str">
        <f>"300101"</f>
        <v>300101</v>
      </c>
      <c r="H2444" t="s">
        <v>2926</v>
      </c>
      <c r="I2444">
        <v>3326.29</v>
      </c>
    </row>
    <row r="2445" spans="1:9" x14ac:dyDescent="0.25">
      <c r="A2445" t="s">
        <v>9616</v>
      </c>
      <c r="C2445" t="s">
        <v>9617</v>
      </c>
      <c r="D2445" t="str">
        <f>"10143509"</f>
        <v>10143509</v>
      </c>
      <c r="E2445" t="s">
        <v>1928</v>
      </c>
      <c r="F2445" s="1">
        <v>44820</v>
      </c>
      <c r="G2445" t="str">
        <f>"300115"</f>
        <v>300115</v>
      </c>
      <c r="H2445" t="s">
        <v>2938</v>
      </c>
      <c r="I2445">
        <v>130636.242</v>
      </c>
    </row>
    <row r="2446" spans="1:9" x14ac:dyDescent="0.25">
      <c r="A2446" t="s">
        <v>9616</v>
      </c>
      <c r="C2446" t="s">
        <v>9617</v>
      </c>
      <c r="D2446" t="str">
        <f>"10143510"</f>
        <v>10143510</v>
      </c>
      <c r="E2446" t="s">
        <v>1928</v>
      </c>
      <c r="F2446" s="1">
        <v>44820</v>
      </c>
      <c r="G2446" t="str">
        <f>"300115"</f>
        <v>300115</v>
      </c>
      <c r="H2446" t="s">
        <v>2938</v>
      </c>
      <c r="I2446">
        <v>130636.242</v>
      </c>
    </row>
    <row r="2447" spans="1:9" x14ac:dyDescent="0.25">
      <c r="A2447" t="s">
        <v>9616</v>
      </c>
      <c r="C2447" t="s">
        <v>9617</v>
      </c>
      <c r="D2447" t="str">
        <f>"72039"</f>
        <v>72039</v>
      </c>
      <c r="E2447" t="s">
        <v>10852</v>
      </c>
      <c r="F2447" s="1">
        <v>44824</v>
      </c>
      <c r="G2447" t="str">
        <f>"300093"</f>
        <v>300093</v>
      </c>
      <c r="H2447" t="s">
        <v>2918</v>
      </c>
      <c r="I2447">
        <v>8800</v>
      </c>
    </row>
    <row r="2448" spans="1:9" x14ac:dyDescent="0.25">
      <c r="A2448" t="s">
        <v>9616</v>
      </c>
      <c r="C2448" t="s">
        <v>9617</v>
      </c>
      <c r="D2448" t="str">
        <f>"10143562"</f>
        <v>10143562</v>
      </c>
      <c r="E2448" t="s">
        <v>1928</v>
      </c>
      <c r="F2448" s="1">
        <v>44824</v>
      </c>
      <c r="G2448" t="str">
        <f>"300115"</f>
        <v>300115</v>
      </c>
      <c r="H2448" t="s">
        <v>2938</v>
      </c>
      <c r="I2448">
        <v>130657.23</v>
      </c>
    </row>
    <row r="2449" spans="1:9" x14ac:dyDescent="0.25">
      <c r="A2449" t="s">
        <v>9616</v>
      </c>
      <c r="C2449" t="s">
        <v>9617</v>
      </c>
      <c r="D2449" t="str">
        <f>"2022007123"</f>
        <v>2022007123</v>
      </c>
      <c r="E2449" t="s">
        <v>10839</v>
      </c>
      <c r="F2449" s="1">
        <v>44824</v>
      </c>
      <c r="G2449" t="str">
        <f>"300191"</f>
        <v>300191</v>
      </c>
      <c r="H2449" t="s">
        <v>3008</v>
      </c>
      <c r="I2449">
        <v>3158.04</v>
      </c>
    </row>
    <row r="2450" spans="1:9" x14ac:dyDescent="0.25">
      <c r="A2450" t="s">
        <v>9616</v>
      </c>
      <c r="C2450" t="s">
        <v>9617</v>
      </c>
      <c r="D2450" t="str">
        <f>"2022007135"</f>
        <v>2022007135</v>
      </c>
      <c r="E2450" t="s">
        <v>10847</v>
      </c>
      <c r="F2450" s="1">
        <v>44824</v>
      </c>
      <c r="G2450" t="str">
        <f>"300191"</f>
        <v>300191</v>
      </c>
      <c r="H2450" t="s">
        <v>3008</v>
      </c>
      <c r="I2450">
        <v>3167.74</v>
      </c>
    </row>
    <row r="2451" spans="1:9" x14ac:dyDescent="0.25">
      <c r="A2451" t="s">
        <v>9616</v>
      </c>
      <c r="C2451" t="s">
        <v>9617</v>
      </c>
      <c r="D2451" t="str">
        <f>"2022007140"</f>
        <v>2022007140</v>
      </c>
      <c r="E2451" t="s">
        <v>10842</v>
      </c>
      <c r="F2451" s="1">
        <v>44824</v>
      </c>
      <c r="G2451" t="str">
        <f>"300191"</f>
        <v>300191</v>
      </c>
      <c r="H2451" t="s">
        <v>3008</v>
      </c>
      <c r="I2451">
        <v>3167.74</v>
      </c>
    </row>
    <row r="2452" spans="1:9" x14ac:dyDescent="0.25">
      <c r="A2452" t="s">
        <v>9616</v>
      </c>
      <c r="C2452" t="s">
        <v>9617</v>
      </c>
      <c r="D2452" t="s">
        <v>10853</v>
      </c>
      <c r="E2452" t="s">
        <v>9562</v>
      </c>
      <c r="F2452" s="1">
        <v>44825</v>
      </c>
      <c r="G2452" t="str">
        <f>"300133"</f>
        <v>300133</v>
      </c>
      <c r="H2452" t="s">
        <v>2955</v>
      </c>
      <c r="I2452">
        <v>39744</v>
      </c>
    </row>
    <row r="2453" spans="1:9" x14ac:dyDescent="0.25">
      <c r="A2453" t="s">
        <v>9616</v>
      </c>
      <c r="C2453" t="s">
        <v>9617</v>
      </c>
      <c r="D2453" t="str">
        <f>"10143608"</f>
        <v>10143608</v>
      </c>
      <c r="E2453" t="s">
        <v>9633</v>
      </c>
      <c r="F2453" s="1">
        <v>44826</v>
      </c>
      <c r="G2453" t="str">
        <f>"300115"</f>
        <v>300115</v>
      </c>
      <c r="H2453" t="s">
        <v>2938</v>
      </c>
      <c r="I2453">
        <v>65328.614999999998</v>
      </c>
    </row>
    <row r="2454" spans="1:9" x14ac:dyDescent="0.25">
      <c r="A2454" t="s">
        <v>9616</v>
      </c>
      <c r="C2454" t="s">
        <v>9617</v>
      </c>
      <c r="D2454" t="str">
        <f>"10143609"</f>
        <v>10143609</v>
      </c>
      <c r="E2454" t="s">
        <v>9252</v>
      </c>
      <c r="F2454" s="1">
        <v>44826</v>
      </c>
      <c r="G2454" t="str">
        <f>"300115"</f>
        <v>300115</v>
      </c>
      <c r="H2454" t="s">
        <v>2938</v>
      </c>
      <c r="I2454">
        <v>108599.524</v>
      </c>
    </row>
    <row r="2455" spans="1:9" x14ac:dyDescent="0.25">
      <c r="A2455" t="s">
        <v>9616</v>
      </c>
      <c r="C2455" t="s">
        <v>9617</v>
      </c>
      <c r="D2455" t="str">
        <f>"20013468"</f>
        <v>20013468</v>
      </c>
      <c r="E2455" t="s">
        <v>1313</v>
      </c>
      <c r="F2455" s="1">
        <v>44826</v>
      </c>
      <c r="G2455" t="str">
        <f>"300115"</f>
        <v>300115</v>
      </c>
      <c r="H2455" t="s">
        <v>2938</v>
      </c>
      <c r="I2455">
        <v>52385.256000000001</v>
      </c>
    </row>
    <row r="2456" spans="1:9" x14ac:dyDescent="0.25">
      <c r="A2456" t="s">
        <v>9616</v>
      </c>
      <c r="C2456" t="s">
        <v>9617</v>
      </c>
      <c r="D2456" t="str">
        <f>"64283"</f>
        <v>64283</v>
      </c>
      <c r="E2456" t="s">
        <v>10854</v>
      </c>
      <c r="F2456" s="1">
        <v>44827</v>
      </c>
      <c r="G2456" t="str">
        <f>"300043"</f>
        <v>300043</v>
      </c>
      <c r="H2456" t="s">
        <v>2876</v>
      </c>
      <c r="I2456">
        <v>585</v>
      </c>
    </row>
    <row r="2457" spans="1:9" x14ac:dyDescent="0.25">
      <c r="A2457" t="s">
        <v>9616</v>
      </c>
      <c r="C2457" t="s">
        <v>9617</v>
      </c>
      <c r="D2457" t="str">
        <f>"64320"</f>
        <v>64320</v>
      </c>
      <c r="E2457" t="s">
        <v>10855</v>
      </c>
      <c r="F2457" s="1">
        <v>44827</v>
      </c>
      <c r="G2457" t="str">
        <f>"300043"</f>
        <v>300043</v>
      </c>
      <c r="H2457" t="s">
        <v>2876</v>
      </c>
      <c r="I2457">
        <v>585</v>
      </c>
    </row>
    <row r="2458" spans="1:9" x14ac:dyDescent="0.25">
      <c r="A2458" t="s">
        <v>9616</v>
      </c>
      <c r="C2458" t="s">
        <v>9617</v>
      </c>
      <c r="D2458" t="str">
        <f>"122310670"</f>
        <v>122310670</v>
      </c>
      <c r="E2458" t="s">
        <v>10826</v>
      </c>
      <c r="F2458" s="1">
        <v>44827</v>
      </c>
      <c r="G2458" t="str">
        <f>"300080"</f>
        <v>300080</v>
      </c>
      <c r="H2458" t="s">
        <v>2907</v>
      </c>
      <c r="I2458">
        <v>12012</v>
      </c>
    </row>
    <row r="2459" spans="1:9" x14ac:dyDescent="0.25">
      <c r="A2459" t="s">
        <v>9616</v>
      </c>
      <c r="C2459" t="s">
        <v>9617</v>
      </c>
      <c r="D2459" t="str">
        <f>"202522"</f>
        <v>202522</v>
      </c>
      <c r="E2459" t="s">
        <v>10854</v>
      </c>
      <c r="F2459" s="1">
        <v>44827</v>
      </c>
      <c r="G2459" t="str">
        <f>"300101"</f>
        <v>300101</v>
      </c>
      <c r="H2459" t="s">
        <v>2926</v>
      </c>
      <c r="I2459">
        <v>3444.29</v>
      </c>
    </row>
    <row r="2460" spans="1:9" x14ac:dyDescent="0.25">
      <c r="A2460" t="s">
        <v>9616</v>
      </c>
      <c r="C2460" t="s">
        <v>9617</v>
      </c>
      <c r="D2460" t="str">
        <f>"504622"</f>
        <v>504622</v>
      </c>
      <c r="E2460" t="s">
        <v>10855</v>
      </c>
      <c r="F2460" s="1">
        <v>44827</v>
      </c>
      <c r="G2460" t="str">
        <f>"300101"</f>
        <v>300101</v>
      </c>
      <c r="H2460" t="s">
        <v>2926</v>
      </c>
      <c r="I2460">
        <v>3444.29</v>
      </c>
    </row>
    <row r="2461" spans="1:9" x14ac:dyDescent="0.25">
      <c r="A2461" t="s">
        <v>9616</v>
      </c>
      <c r="C2461" t="s">
        <v>9617</v>
      </c>
      <c r="D2461" t="str">
        <f>"10143686"</f>
        <v>10143686</v>
      </c>
      <c r="E2461" t="s">
        <v>9189</v>
      </c>
      <c r="F2461" s="1">
        <v>44827</v>
      </c>
      <c r="G2461" t="str">
        <f>"300115"</f>
        <v>300115</v>
      </c>
      <c r="H2461" t="s">
        <v>2938</v>
      </c>
      <c r="I2461">
        <v>408151.52399999998</v>
      </c>
    </row>
    <row r="2462" spans="1:9" x14ac:dyDescent="0.25">
      <c r="A2462" t="s">
        <v>9616</v>
      </c>
      <c r="C2462" t="s">
        <v>9617</v>
      </c>
      <c r="D2462" t="str">
        <f>"10143689"</f>
        <v>10143689</v>
      </c>
      <c r="E2462" t="s">
        <v>9189</v>
      </c>
      <c r="F2462" s="1">
        <v>44827</v>
      </c>
      <c r="G2462" t="str">
        <f>"300115"</f>
        <v>300115</v>
      </c>
      <c r="H2462" t="s">
        <v>2938</v>
      </c>
      <c r="I2462">
        <v>399064.78039999999</v>
      </c>
    </row>
    <row r="2463" spans="1:9" x14ac:dyDescent="0.25">
      <c r="A2463" t="s">
        <v>9616</v>
      </c>
      <c r="C2463" t="s">
        <v>9617</v>
      </c>
      <c r="D2463" t="str">
        <f>"10143734"</f>
        <v>10143734</v>
      </c>
      <c r="E2463" t="s">
        <v>9189</v>
      </c>
      <c r="F2463" s="1">
        <v>44830</v>
      </c>
      <c r="G2463" t="str">
        <f>"300115"</f>
        <v>300115</v>
      </c>
      <c r="H2463" t="s">
        <v>2938</v>
      </c>
      <c r="I2463">
        <v>399064.78039999999</v>
      </c>
    </row>
    <row r="2464" spans="1:9" x14ac:dyDescent="0.25">
      <c r="A2464" t="s">
        <v>9616</v>
      </c>
      <c r="C2464" t="s">
        <v>9617</v>
      </c>
      <c r="D2464" t="str">
        <f>"10143736"</f>
        <v>10143736</v>
      </c>
      <c r="E2464" t="s">
        <v>2172</v>
      </c>
      <c r="F2464" s="1">
        <v>44830</v>
      </c>
      <c r="G2464" t="str">
        <f>"300115"</f>
        <v>300115</v>
      </c>
      <c r="H2464" t="s">
        <v>2938</v>
      </c>
      <c r="I2464">
        <v>368878.25260000001</v>
      </c>
    </row>
    <row r="2465" spans="1:9" x14ac:dyDescent="0.25">
      <c r="A2465" t="s">
        <v>9616</v>
      </c>
      <c r="C2465" t="s">
        <v>9617</v>
      </c>
      <c r="D2465" t="s">
        <v>10856</v>
      </c>
      <c r="E2465" t="s">
        <v>10857</v>
      </c>
      <c r="F2465" s="1">
        <v>44830</v>
      </c>
      <c r="G2465" t="str">
        <f>"300321"</f>
        <v>300321</v>
      </c>
      <c r="H2465" t="s">
        <v>2706</v>
      </c>
      <c r="I2465">
        <v>18000</v>
      </c>
    </row>
    <row r="2466" spans="1:9" x14ac:dyDescent="0.25">
      <c r="A2466" t="s">
        <v>9616</v>
      </c>
      <c r="C2466" t="s">
        <v>9617</v>
      </c>
      <c r="D2466" t="str">
        <f>"64872"</f>
        <v>64872</v>
      </c>
      <c r="E2466" t="s">
        <v>10858</v>
      </c>
      <c r="F2466" s="1">
        <v>44831</v>
      </c>
      <c r="G2466" t="str">
        <f>"300043"</f>
        <v>300043</v>
      </c>
      <c r="H2466" t="s">
        <v>2876</v>
      </c>
      <c r="I2466">
        <v>1472</v>
      </c>
    </row>
    <row r="2467" spans="1:9" x14ac:dyDescent="0.25">
      <c r="A2467" t="s">
        <v>9616</v>
      </c>
      <c r="C2467" t="s">
        <v>9617</v>
      </c>
      <c r="D2467" t="str">
        <f>"64874"</f>
        <v>64874</v>
      </c>
      <c r="E2467" t="s">
        <v>10859</v>
      </c>
      <c r="F2467" s="1">
        <v>44831</v>
      </c>
      <c r="G2467" t="str">
        <f>"300043"</f>
        <v>300043</v>
      </c>
      <c r="H2467" t="s">
        <v>2876</v>
      </c>
      <c r="I2467">
        <v>725</v>
      </c>
    </row>
    <row r="2468" spans="1:9" x14ac:dyDescent="0.25">
      <c r="A2468" t="s">
        <v>9616</v>
      </c>
      <c r="C2468" t="s">
        <v>9617</v>
      </c>
      <c r="D2468" t="str">
        <f>"508722"</f>
        <v>508722</v>
      </c>
      <c r="E2468" t="s">
        <v>10859</v>
      </c>
      <c r="F2468" s="1">
        <v>44831</v>
      </c>
      <c r="G2468" t="str">
        <f>"300101"</f>
        <v>300101</v>
      </c>
      <c r="H2468" t="s">
        <v>2926</v>
      </c>
      <c r="I2468">
        <v>3739.34</v>
      </c>
    </row>
    <row r="2469" spans="1:9" x14ac:dyDescent="0.25">
      <c r="A2469" t="s">
        <v>9616</v>
      </c>
      <c r="C2469" t="s">
        <v>9617</v>
      </c>
      <c r="D2469" t="str">
        <f>"508822"</f>
        <v>508822</v>
      </c>
      <c r="E2469" t="s">
        <v>10858</v>
      </c>
      <c r="F2469" s="1">
        <v>44831</v>
      </c>
      <c r="G2469" t="str">
        <f>"300101"</f>
        <v>300101</v>
      </c>
      <c r="H2469" t="s">
        <v>2926</v>
      </c>
      <c r="I2469">
        <v>3124.42</v>
      </c>
    </row>
    <row r="2470" spans="1:9" x14ac:dyDescent="0.25">
      <c r="A2470" t="s">
        <v>9616</v>
      </c>
      <c r="C2470" t="s">
        <v>9617</v>
      </c>
      <c r="D2470" t="str">
        <f>"10143772"</f>
        <v>10143772</v>
      </c>
      <c r="E2470" t="s">
        <v>2566</v>
      </c>
      <c r="F2470" s="1">
        <v>44831</v>
      </c>
      <c r="G2470" t="str">
        <f>"300115"</f>
        <v>300115</v>
      </c>
      <c r="H2470" t="s">
        <v>2938</v>
      </c>
      <c r="I2470">
        <v>197408.72579999999</v>
      </c>
    </row>
    <row r="2471" spans="1:9" x14ac:dyDescent="0.25">
      <c r="A2471" t="s">
        <v>9616</v>
      </c>
      <c r="C2471" t="s">
        <v>9617</v>
      </c>
      <c r="D2471" t="str">
        <f>"65132"</f>
        <v>65132</v>
      </c>
      <c r="E2471" t="s">
        <v>10860</v>
      </c>
      <c r="F2471" s="1">
        <v>44832</v>
      </c>
      <c r="G2471" t="str">
        <f>"300043"</f>
        <v>300043</v>
      </c>
      <c r="H2471" t="s">
        <v>2876</v>
      </c>
      <c r="I2471">
        <v>1448</v>
      </c>
    </row>
    <row r="2472" spans="1:9" x14ac:dyDescent="0.25">
      <c r="A2472" t="s">
        <v>9616</v>
      </c>
      <c r="C2472" t="s">
        <v>9617</v>
      </c>
      <c r="D2472" t="str">
        <f>"65303"</f>
        <v>65303</v>
      </c>
      <c r="E2472" t="s">
        <v>10861</v>
      </c>
      <c r="F2472" s="1">
        <v>44832</v>
      </c>
      <c r="G2472" t="str">
        <f>"300043"</f>
        <v>300043</v>
      </c>
      <c r="H2472" t="s">
        <v>2876</v>
      </c>
      <c r="I2472">
        <v>1448</v>
      </c>
    </row>
    <row r="2473" spans="1:9" x14ac:dyDescent="0.25">
      <c r="A2473" t="s">
        <v>9616</v>
      </c>
      <c r="C2473" t="s">
        <v>9617</v>
      </c>
      <c r="D2473" t="str">
        <f>"65340"</f>
        <v>65340</v>
      </c>
      <c r="E2473" t="s">
        <v>10857</v>
      </c>
      <c r="F2473" s="1">
        <v>44832</v>
      </c>
      <c r="G2473" t="str">
        <f>"300043"</f>
        <v>300043</v>
      </c>
      <c r="H2473" t="s">
        <v>2876</v>
      </c>
      <c r="I2473">
        <v>1400</v>
      </c>
    </row>
    <row r="2474" spans="1:9" x14ac:dyDescent="0.25">
      <c r="A2474" t="s">
        <v>9616</v>
      </c>
      <c r="C2474" t="s">
        <v>9617</v>
      </c>
      <c r="D2474" t="str">
        <f>"509922"</f>
        <v>509922</v>
      </c>
      <c r="E2474" t="s">
        <v>10860</v>
      </c>
      <c r="F2474" s="1">
        <v>44832</v>
      </c>
      <c r="G2474" t="str">
        <f>"300101"</f>
        <v>300101</v>
      </c>
      <c r="H2474" t="s">
        <v>2926</v>
      </c>
      <c r="I2474">
        <v>3286.2</v>
      </c>
    </row>
    <row r="2475" spans="1:9" x14ac:dyDescent="0.25">
      <c r="A2475" t="s">
        <v>9616</v>
      </c>
      <c r="C2475" t="s">
        <v>9617</v>
      </c>
      <c r="D2475" t="str">
        <f>"510222"</f>
        <v>510222</v>
      </c>
      <c r="E2475" t="s">
        <v>10861</v>
      </c>
      <c r="F2475" s="1">
        <v>44832</v>
      </c>
      <c r="G2475" t="str">
        <f>"300101"</f>
        <v>300101</v>
      </c>
      <c r="H2475" t="s">
        <v>2926</v>
      </c>
      <c r="I2475">
        <v>3132.05</v>
      </c>
    </row>
    <row r="2476" spans="1:9" x14ac:dyDescent="0.25">
      <c r="A2476" t="s">
        <v>9616</v>
      </c>
      <c r="C2476" t="s">
        <v>9617</v>
      </c>
      <c r="D2476" t="str">
        <f>"10143816"</f>
        <v>10143816</v>
      </c>
      <c r="E2476" t="s">
        <v>9313</v>
      </c>
      <c r="F2476" s="1">
        <v>44833</v>
      </c>
      <c r="G2476" t="str">
        <f>"300115"</f>
        <v>300115</v>
      </c>
      <c r="H2476" t="s">
        <v>2938</v>
      </c>
      <c r="I2476">
        <v>130657.23</v>
      </c>
    </row>
    <row r="2477" spans="1:9" x14ac:dyDescent="0.25">
      <c r="A2477" t="s">
        <v>9616</v>
      </c>
      <c r="C2477" t="s">
        <v>9617</v>
      </c>
      <c r="D2477" t="str">
        <f>"20013476"</f>
        <v>20013476</v>
      </c>
      <c r="E2477" t="s">
        <v>9189</v>
      </c>
      <c r="F2477" s="1">
        <v>44833</v>
      </c>
      <c r="G2477" t="str">
        <f>"300115"</f>
        <v>300115</v>
      </c>
      <c r="H2477" t="s">
        <v>2938</v>
      </c>
      <c r="I2477">
        <v>37699.199999999997</v>
      </c>
    </row>
    <row r="2478" spans="1:9" x14ac:dyDescent="0.25">
      <c r="A2478" t="s">
        <v>9616</v>
      </c>
      <c r="C2478" t="s">
        <v>9617</v>
      </c>
      <c r="D2478" t="str">
        <f>"10143911"</f>
        <v>10143911</v>
      </c>
      <c r="E2478" t="s">
        <v>2172</v>
      </c>
      <c r="F2478" s="1">
        <v>44834</v>
      </c>
      <c r="G2478" t="str">
        <f>"300115"</f>
        <v>300115</v>
      </c>
      <c r="H2478" t="s">
        <v>2938</v>
      </c>
      <c r="I2478">
        <v>415222.17879999999</v>
      </c>
    </row>
    <row r="2479" spans="1:9" x14ac:dyDescent="0.25">
      <c r="A2479" t="s">
        <v>9616</v>
      </c>
      <c r="C2479" t="s">
        <v>9617</v>
      </c>
      <c r="D2479" t="str">
        <f>"2022007540"</f>
        <v>2022007540</v>
      </c>
      <c r="E2479" t="s">
        <v>10857</v>
      </c>
      <c r="F2479" s="1">
        <v>44834</v>
      </c>
      <c r="G2479" t="str">
        <f>"300191"</f>
        <v>300191</v>
      </c>
      <c r="H2479" t="s">
        <v>3008</v>
      </c>
      <c r="I2479">
        <v>3135.55</v>
      </c>
    </row>
    <row r="2480" spans="1:9" x14ac:dyDescent="0.25">
      <c r="A2480" t="s">
        <v>9616</v>
      </c>
      <c r="C2480" t="s">
        <v>9617</v>
      </c>
      <c r="D2480" t="s">
        <v>10862</v>
      </c>
      <c r="E2480" t="s">
        <v>10863</v>
      </c>
      <c r="F2480" s="1">
        <v>44835</v>
      </c>
      <c r="G2480" t="str">
        <f>"300321"</f>
        <v>300321</v>
      </c>
      <c r="H2480" t="s">
        <v>2706</v>
      </c>
      <c r="I2480">
        <v>19000</v>
      </c>
    </row>
    <row r="2481" spans="1:9" x14ac:dyDescent="0.25">
      <c r="A2481" t="s">
        <v>9616</v>
      </c>
      <c r="C2481" t="s">
        <v>9617</v>
      </c>
      <c r="D2481" t="str">
        <f>"65962"</f>
        <v>65962</v>
      </c>
      <c r="E2481" t="s">
        <v>10864</v>
      </c>
      <c r="F2481" s="1">
        <v>44837</v>
      </c>
      <c r="G2481" t="str">
        <f>"300043"</f>
        <v>300043</v>
      </c>
      <c r="H2481" t="s">
        <v>2876</v>
      </c>
      <c r="I2481">
        <v>808</v>
      </c>
    </row>
    <row r="2482" spans="1:9" x14ac:dyDescent="0.25">
      <c r="A2482" t="s">
        <v>9616</v>
      </c>
      <c r="C2482" t="s">
        <v>9617</v>
      </c>
      <c r="D2482" t="str">
        <f>"66208"</f>
        <v>66208</v>
      </c>
      <c r="E2482" t="s">
        <v>10818</v>
      </c>
      <c r="F2482" s="1">
        <v>44837</v>
      </c>
      <c r="G2482" t="str">
        <f>"300043"</f>
        <v>300043</v>
      </c>
      <c r="H2482" t="s">
        <v>2876</v>
      </c>
      <c r="I2482">
        <v>591</v>
      </c>
    </row>
    <row r="2483" spans="1:9" x14ac:dyDescent="0.25">
      <c r="A2483" t="s">
        <v>9616</v>
      </c>
      <c r="C2483" t="s">
        <v>9617</v>
      </c>
      <c r="D2483" t="str">
        <f>"552122"</f>
        <v>552122</v>
      </c>
      <c r="E2483" t="s">
        <v>10818</v>
      </c>
      <c r="F2483" s="1">
        <v>44837</v>
      </c>
      <c r="G2483" t="str">
        <f>"300101"</f>
        <v>300101</v>
      </c>
      <c r="H2483" t="s">
        <v>2926</v>
      </c>
      <c r="I2483">
        <v>4262.12</v>
      </c>
    </row>
    <row r="2484" spans="1:9" x14ac:dyDescent="0.25">
      <c r="A2484" t="s">
        <v>9616</v>
      </c>
      <c r="C2484" t="s">
        <v>9617</v>
      </c>
      <c r="D2484" t="str">
        <f>"552922"</f>
        <v>552922</v>
      </c>
      <c r="E2484" t="s">
        <v>10864</v>
      </c>
      <c r="F2484" s="1">
        <v>44837</v>
      </c>
      <c r="G2484" t="str">
        <f>"300101"</f>
        <v>300101</v>
      </c>
      <c r="H2484" t="s">
        <v>2926</v>
      </c>
      <c r="I2484">
        <v>4261.76</v>
      </c>
    </row>
    <row r="2485" spans="1:9" x14ac:dyDescent="0.25">
      <c r="A2485" t="s">
        <v>9616</v>
      </c>
      <c r="C2485" t="s">
        <v>9617</v>
      </c>
      <c r="D2485" t="str">
        <f>"10143921"</f>
        <v>10143921</v>
      </c>
      <c r="E2485" t="s">
        <v>2172</v>
      </c>
      <c r="F2485" s="1">
        <v>44837</v>
      </c>
      <c r="G2485" t="str">
        <f>"300115"</f>
        <v>300115</v>
      </c>
      <c r="H2485" t="s">
        <v>2938</v>
      </c>
      <c r="I2485">
        <v>445404.3308</v>
      </c>
    </row>
    <row r="2486" spans="1:9" x14ac:dyDescent="0.25">
      <c r="A2486" t="s">
        <v>9616</v>
      </c>
      <c r="C2486" t="s">
        <v>9617</v>
      </c>
      <c r="D2486" t="str">
        <f>"10143922"</f>
        <v>10143922</v>
      </c>
      <c r="E2486" t="s">
        <v>2172</v>
      </c>
      <c r="F2486" s="1">
        <v>44837</v>
      </c>
      <c r="G2486" t="str">
        <f>"300115"</f>
        <v>300115</v>
      </c>
      <c r="H2486" t="s">
        <v>2938</v>
      </c>
      <c r="I2486">
        <v>445404.3308</v>
      </c>
    </row>
    <row r="2487" spans="1:9" x14ac:dyDescent="0.25">
      <c r="A2487" t="s">
        <v>9616</v>
      </c>
      <c r="C2487" t="s">
        <v>9617</v>
      </c>
      <c r="D2487" t="str">
        <f>"10143956"</f>
        <v>10143956</v>
      </c>
      <c r="E2487" t="s">
        <v>9189</v>
      </c>
      <c r="F2487" s="1">
        <v>44837</v>
      </c>
      <c r="G2487" t="str">
        <f>"300115"</f>
        <v>300115</v>
      </c>
      <c r="H2487" t="s">
        <v>2938</v>
      </c>
      <c r="I2487">
        <v>368883.25760000001</v>
      </c>
    </row>
    <row r="2488" spans="1:9" x14ac:dyDescent="0.25">
      <c r="A2488" t="s">
        <v>9616</v>
      </c>
      <c r="C2488" t="s">
        <v>9617</v>
      </c>
      <c r="D2488" t="str">
        <f>"10143959"</f>
        <v>10143959</v>
      </c>
      <c r="E2488" t="s">
        <v>10865</v>
      </c>
      <c r="F2488" s="1">
        <v>44837</v>
      </c>
      <c r="G2488" t="str">
        <f>"300115"</f>
        <v>300115</v>
      </c>
      <c r="H2488" t="s">
        <v>2938</v>
      </c>
      <c r="I2488">
        <v>368883.25760000001</v>
      </c>
    </row>
    <row r="2489" spans="1:9" x14ac:dyDescent="0.25">
      <c r="A2489" t="s">
        <v>9616</v>
      </c>
      <c r="C2489" t="s">
        <v>9617</v>
      </c>
      <c r="D2489" t="str">
        <f>"10143960"</f>
        <v>10143960</v>
      </c>
      <c r="E2489" t="s">
        <v>2172</v>
      </c>
      <c r="F2489" s="1">
        <v>44837</v>
      </c>
      <c r="G2489" t="str">
        <f>"300115"</f>
        <v>300115</v>
      </c>
      <c r="H2489" t="s">
        <v>2938</v>
      </c>
      <c r="I2489">
        <v>445404.90279999998</v>
      </c>
    </row>
    <row r="2490" spans="1:9" x14ac:dyDescent="0.25">
      <c r="A2490" t="s">
        <v>9616</v>
      </c>
      <c r="C2490" t="s">
        <v>9617</v>
      </c>
      <c r="D2490" t="s">
        <v>10866</v>
      </c>
      <c r="E2490" t="s">
        <v>10867</v>
      </c>
      <c r="F2490" s="1">
        <v>44837</v>
      </c>
      <c r="G2490" t="str">
        <f>"300321"</f>
        <v>300321</v>
      </c>
      <c r="H2490" t="s">
        <v>2706</v>
      </c>
      <c r="I2490">
        <v>19000</v>
      </c>
    </row>
    <row r="2491" spans="1:9" x14ac:dyDescent="0.25">
      <c r="A2491" t="s">
        <v>9616</v>
      </c>
      <c r="C2491" t="s">
        <v>9617</v>
      </c>
      <c r="D2491" t="s">
        <v>10868</v>
      </c>
      <c r="E2491" t="s">
        <v>10869</v>
      </c>
      <c r="F2491" s="1">
        <v>44837</v>
      </c>
      <c r="G2491" t="str">
        <f>"300321"</f>
        <v>300321</v>
      </c>
      <c r="H2491" t="s">
        <v>2706</v>
      </c>
      <c r="I2491">
        <v>19000</v>
      </c>
    </row>
    <row r="2492" spans="1:9" x14ac:dyDescent="0.25">
      <c r="A2492" t="s">
        <v>9616</v>
      </c>
      <c r="C2492" t="s">
        <v>9617</v>
      </c>
      <c r="D2492" t="str">
        <f>"66443"</f>
        <v>66443</v>
      </c>
      <c r="E2492" t="s">
        <v>10863</v>
      </c>
      <c r="F2492" s="1">
        <v>44838</v>
      </c>
      <c r="G2492" t="str">
        <f>"300043"</f>
        <v>300043</v>
      </c>
      <c r="H2492" t="s">
        <v>2876</v>
      </c>
      <c r="I2492">
        <v>1573</v>
      </c>
    </row>
    <row r="2493" spans="1:9" x14ac:dyDescent="0.25">
      <c r="A2493" t="s">
        <v>9616</v>
      </c>
      <c r="C2493" t="s">
        <v>9617</v>
      </c>
      <c r="D2493" t="str">
        <f>"10143963"</f>
        <v>10143963</v>
      </c>
      <c r="E2493" t="s">
        <v>9189</v>
      </c>
      <c r="F2493" s="1">
        <v>44838</v>
      </c>
      <c r="G2493" t="str">
        <f>"300115"</f>
        <v>300115</v>
      </c>
      <c r="H2493" t="s">
        <v>2938</v>
      </c>
      <c r="I2493">
        <v>405222.24599999998</v>
      </c>
    </row>
    <row r="2494" spans="1:9" x14ac:dyDescent="0.25">
      <c r="A2494" t="s">
        <v>9616</v>
      </c>
      <c r="C2494" t="s">
        <v>9617</v>
      </c>
      <c r="D2494" t="str">
        <f>"21258"</f>
        <v>21258</v>
      </c>
      <c r="F2494" s="1">
        <v>44839</v>
      </c>
      <c r="G2494" t="str">
        <f t="shared" ref="G2494:G2500" si="12">"300043"</f>
        <v>300043</v>
      </c>
      <c r="H2494" t="s">
        <v>2876</v>
      </c>
      <c r="I2494">
        <v>2535</v>
      </c>
    </row>
    <row r="2495" spans="1:9" x14ac:dyDescent="0.25">
      <c r="A2495" t="s">
        <v>9616</v>
      </c>
      <c r="C2495" t="s">
        <v>9617</v>
      </c>
      <c r="D2495" t="str">
        <f>"66114"</f>
        <v>66114</v>
      </c>
      <c r="E2495" t="s">
        <v>10870</v>
      </c>
      <c r="F2495" s="1">
        <v>44839</v>
      </c>
      <c r="G2495" t="str">
        <f t="shared" si="12"/>
        <v>300043</v>
      </c>
      <c r="H2495" t="s">
        <v>2876</v>
      </c>
      <c r="I2495">
        <v>591</v>
      </c>
    </row>
    <row r="2496" spans="1:9" x14ac:dyDescent="0.25">
      <c r="A2496" t="s">
        <v>9616</v>
      </c>
      <c r="C2496" t="s">
        <v>9617</v>
      </c>
      <c r="D2496" t="str">
        <f>"66704"</f>
        <v>66704</v>
      </c>
      <c r="E2496" t="s">
        <v>10871</v>
      </c>
      <c r="F2496" s="1">
        <v>44839</v>
      </c>
      <c r="G2496" t="str">
        <f t="shared" si="12"/>
        <v>300043</v>
      </c>
      <c r="H2496" t="s">
        <v>2876</v>
      </c>
      <c r="I2496">
        <v>1627</v>
      </c>
    </row>
    <row r="2497" spans="1:9" x14ac:dyDescent="0.25">
      <c r="A2497" t="s">
        <v>9616</v>
      </c>
      <c r="C2497" t="s">
        <v>9617</v>
      </c>
      <c r="D2497" t="str">
        <f>"66769"</f>
        <v>66769</v>
      </c>
      <c r="E2497" t="s">
        <v>10867</v>
      </c>
      <c r="F2497" s="1">
        <v>44839</v>
      </c>
      <c r="G2497" t="str">
        <f t="shared" si="12"/>
        <v>300043</v>
      </c>
      <c r="H2497" t="s">
        <v>2876</v>
      </c>
      <c r="I2497">
        <v>1429</v>
      </c>
    </row>
    <row r="2498" spans="1:9" x14ac:dyDescent="0.25">
      <c r="A2498" t="s">
        <v>9616</v>
      </c>
      <c r="C2498" t="s">
        <v>9617</v>
      </c>
      <c r="D2498" t="str">
        <f>"66787"</f>
        <v>66787</v>
      </c>
      <c r="E2498" t="s">
        <v>10869</v>
      </c>
      <c r="F2498" s="1">
        <v>44839</v>
      </c>
      <c r="G2498" t="str">
        <f t="shared" si="12"/>
        <v>300043</v>
      </c>
      <c r="H2498" t="s">
        <v>2876</v>
      </c>
      <c r="I2498">
        <v>1429</v>
      </c>
    </row>
    <row r="2499" spans="1:9" x14ac:dyDescent="0.25">
      <c r="A2499" t="s">
        <v>9616</v>
      </c>
      <c r="C2499" t="s">
        <v>9617</v>
      </c>
      <c r="D2499" t="str">
        <f>"66812"</f>
        <v>66812</v>
      </c>
      <c r="E2499" t="s">
        <v>10811</v>
      </c>
      <c r="F2499" s="1">
        <v>44839</v>
      </c>
      <c r="G2499" t="str">
        <f t="shared" si="12"/>
        <v>300043</v>
      </c>
      <c r="H2499" t="s">
        <v>2876</v>
      </c>
      <c r="I2499">
        <v>1627</v>
      </c>
    </row>
    <row r="2500" spans="1:9" x14ac:dyDescent="0.25">
      <c r="A2500" t="s">
        <v>9616</v>
      </c>
      <c r="C2500" t="s">
        <v>9617</v>
      </c>
      <c r="D2500" t="str">
        <f>"66821"</f>
        <v>66821</v>
      </c>
      <c r="E2500" t="s">
        <v>10872</v>
      </c>
      <c r="F2500" s="1">
        <v>44839</v>
      </c>
      <c r="G2500" t="str">
        <f t="shared" si="12"/>
        <v>300043</v>
      </c>
      <c r="H2500" t="s">
        <v>2876</v>
      </c>
      <c r="I2500">
        <v>1627</v>
      </c>
    </row>
    <row r="2501" spans="1:9" x14ac:dyDescent="0.25">
      <c r="A2501" t="s">
        <v>9616</v>
      </c>
      <c r="C2501" t="s">
        <v>9617</v>
      </c>
      <c r="D2501" t="str">
        <f>"550622"</f>
        <v>550622</v>
      </c>
      <c r="E2501" t="s">
        <v>10811</v>
      </c>
      <c r="F2501" s="1">
        <v>44839</v>
      </c>
      <c r="G2501" t="str">
        <f>"300101"</f>
        <v>300101</v>
      </c>
      <c r="H2501" t="s">
        <v>2926</v>
      </c>
      <c r="I2501">
        <v>3332.76</v>
      </c>
    </row>
    <row r="2502" spans="1:9" x14ac:dyDescent="0.25">
      <c r="A2502" t="s">
        <v>9616</v>
      </c>
      <c r="C2502" t="s">
        <v>9617</v>
      </c>
      <c r="D2502" t="str">
        <f>"552822"</f>
        <v>552822</v>
      </c>
      <c r="E2502" t="s">
        <v>10872</v>
      </c>
      <c r="F2502" s="1">
        <v>44839</v>
      </c>
      <c r="G2502" t="str">
        <f>"300101"</f>
        <v>300101</v>
      </c>
      <c r="H2502" t="s">
        <v>2926</v>
      </c>
      <c r="I2502">
        <v>3332.76</v>
      </c>
    </row>
    <row r="2503" spans="1:9" x14ac:dyDescent="0.25">
      <c r="A2503" t="s">
        <v>9616</v>
      </c>
      <c r="C2503" t="s">
        <v>9617</v>
      </c>
      <c r="D2503" t="str">
        <f>"553022"</f>
        <v>553022</v>
      </c>
      <c r="E2503" t="s">
        <v>10871</v>
      </c>
      <c r="F2503" s="1">
        <v>44839</v>
      </c>
      <c r="G2503" t="str">
        <f>"300101"</f>
        <v>300101</v>
      </c>
      <c r="H2503" t="s">
        <v>2926</v>
      </c>
      <c r="I2503">
        <v>3175.44</v>
      </c>
    </row>
    <row r="2504" spans="1:9" x14ac:dyDescent="0.25">
      <c r="A2504" t="s">
        <v>9616</v>
      </c>
      <c r="C2504" t="s">
        <v>9617</v>
      </c>
      <c r="D2504" t="str">
        <f>"553122"</f>
        <v>553122</v>
      </c>
      <c r="E2504" t="s">
        <v>10870</v>
      </c>
      <c r="F2504" s="1">
        <v>44839</v>
      </c>
      <c r="G2504" t="str">
        <f>"300101"</f>
        <v>300101</v>
      </c>
      <c r="H2504" t="s">
        <v>2926</v>
      </c>
      <c r="I2504">
        <v>4282.88</v>
      </c>
    </row>
    <row r="2505" spans="1:9" x14ac:dyDescent="0.25">
      <c r="A2505" t="s">
        <v>9616</v>
      </c>
      <c r="C2505" t="s">
        <v>9617</v>
      </c>
      <c r="D2505" t="str">
        <f>"10143998"</f>
        <v>10143998</v>
      </c>
      <c r="E2505" t="s">
        <v>10873</v>
      </c>
      <c r="F2505" s="1">
        <v>44839</v>
      </c>
      <c r="G2505" t="str">
        <f>"300115"</f>
        <v>300115</v>
      </c>
      <c r="H2505" t="s">
        <v>2938</v>
      </c>
      <c r="I2505">
        <v>384311.79599999997</v>
      </c>
    </row>
    <row r="2506" spans="1:9" x14ac:dyDescent="0.25">
      <c r="A2506" t="s">
        <v>9616</v>
      </c>
      <c r="C2506" t="s">
        <v>9617</v>
      </c>
      <c r="D2506" t="str">
        <f>"10144000"</f>
        <v>10144000</v>
      </c>
      <c r="E2506" t="s">
        <v>1313</v>
      </c>
      <c r="F2506" s="1">
        <v>44839</v>
      </c>
      <c r="G2506" t="str">
        <f>"300115"</f>
        <v>300115</v>
      </c>
      <c r="H2506" t="s">
        <v>2938</v>
      </c>
      <c r="I2506">
        <v>309873.96000000002</v>
      </c>
    </row>
    <row r="2507" spans="1:9" x14ac:dyDescent="0.25">
      <c r="A2507" t="s">
        <v>9616</v>
      </c>
      <c r="C2507" t="s">
        <v>9617</v>
      </c>
      <c r="D2507" t="str">
        <f>"10144043"</f>
        <v>10144043</v>
      </c>
      <c r="E2507" t="s">
        <v>9189</v>
      </c>
      <c r="F2507" s="1">
        <v>44839</v>
      </c>
      <c r="G2507" t="str">
        <f>"300115"</f>
        <v>300115</v>
      </c>
      <c r="H2507" t="s">
        <v>2938</v>
      </c>
      <c r="I2507">
        <v>383538.0857</v>
      </c>
    </row>
    <row r="2508" spans="1:9" x14ac:dyDescent="0.25">
      <c r="A2508" t="s">
        <v>9616</v>
      </c>
      <c r="C2508" t="s">
        <v>9617</v>
      </c>
      <c r="D2508" t="s">
        <v>10874</v>
      </c>
      <c r="E2508" t="s">
        <v>10875</v>
      </c>
      <c r="F2508" s="1">
        <v>44839</v>
      </c>
      <c r="G2508" t="str">
        <f>"300321"</f>
        <v>300321</v>
      </c>
      <c r="H2508" t="s">
        <v>2706</v>
      </c>
      <c r="I2508">
        <v>19000</v>
      </c>
    </row>
    <row r="2509" spans="1:9" x14ac:dyDescent="0.25">
      <c r="A2509" t="s">
        <v>9616</v>
      </c>
      <c r="C2509" t="s">
        <v>9617</v>
      </c>
      <c r="D2509" t="s">
        <v>10876</v>
      </c>
      <c r="E2509" t="s">
        <v>10877</v>
      </c>
      <c r="F2509" s="1">
        <v>44839</v>
      </c>
      <c r="G2509" t="str">
        <f>"300321"</f>
        <v>300321</v>
      </c>
      <c r="H2509" t="s">
        <v>2706</v>
      </c>
      <c r="I2509">
        <v>19000</v>
      </c>
    </row>
    <row r="2510" spans="1:9" x14ac:dyDescent="0.25">
      <c r="A2510" t="s">
        <v>9616</v>
      </c>
      <c r="C2510" t="s">
        <v>9617</v>
      </c>
      <c r="D2510" t="str">
        <f>"66970"</f>
        <v>66970</v>
      </c>
      <c r="E2510" t="s">
        <v>10875</v>
      </c>
      <c r="F2510" s="1">
        <v>44840</v>
      </c>
      <c r="G2510" t="str">
        <f>"300043"</f>
        <v>300043</v>
      </c>
      <c r="H2510" t="s">
        <v>2876</v>
      </c>
      <c r="I2510">
        <v>1478</v>
      </c>
    </row>
    <row r="2511" spans="1:9" x14ac:dyDescent="0.25">
      <c r="A2511" t="s">
        <v>9616</v>
      </c>
      <c r="C2511" t="s">
        <v>9617</v>
      </c>
      <c r="D2511" t="str">
        <f>"2022007647"</f>
        <v>2022007647</v>
      </c>
      <c r="E2511" t="s">
        <v>10869</v>
      </c>
      <c r="F2511" s="1">
        <v>44840</v>
      </c>
      <c r="G2511" t="str">
        <f>"300191"</f>
        <v>300191</v>
      </c>
      <c r="H2511" t="s">
        <v>3008</v>
      </c>
      <c r="I2511">
        <v>3178.94</v>
      </c>
    </row>
    <row r="2512" spans="1:9" x14ac:dyDescent="0.25">
      <c r="A2512" t="s">
        <v>9616</v>
      </c>
      <c r="C2512" t="s">
        <v>9617</v>
      </c>
      <c r="D2512" t="str">
        <f>"2022007650"</f>
        <v>2022007650</v>
      </c>
      <c r="E2512" t="s">
        <v>10863</v>
      </c>
      <c r="F2512" s="1">
        <v>44840</v>
      </c>
      <c r="G2512" t="str">
        <f>"300191"</f>
        <v>300191</v>
      </c>
      <c r="H2512" t="s">
        <v>3008</v>
      </c>
      <c r="I2512">
        <v>3175.69</v>
      </c>
    </row>
    <row r="2513" spans="1:9" x14ac:dyDescent="0.25">
      <c r="A2513" t="s">
        <v>9616</v>
      </c>
      <c r="C2513" t="s">
        <v>9617</v>
      </c>
      <c r="D2513" t="str">
        <f>"2022007658"</f>
        <v>2022007658</v>
      </c>
      <c r="E2513" t="s">
        <v>10867</v>
      </c>
      <c r="F2513" s="1">
        <v>44840</v>
      </c>
      <c r="G2513" t="str">
        <f>"300191"</f>
        <v>300191</v>
      </c>
      <c r="H2513" t="s">
        <v>3008</v>
      </c>
      <c r="I2513">
        <v>3178.94</v>
      </c>
    </row>
    <row r="2514" spans="1:9" x14ac:dyDescent="0.25">
      <c r="A2514" t="s">
        <v>9616</v>
      </c>
      <c r="C2514" t="s">
        <v>9617</v>
      </c>
      <c r="D2514" t="str">
        <f>"21462"</f>
        <v>21462</v>
      </c>
      <c r="F2514" s="1">
        <v>44841</v>
      </c>
      <c r="G2514" t="str">
        <f>"300043"</f>
        <v>300043</v>
      </c>
      <c r="H2514" t="s">
        <v>2876</v>
      </c>
      <c r="I2514">
        <v>3388</v>
      </c>
    </row>
    <row r="2515" spans="1:9" x14ac:dyDescent="0.25">
      <c r="A2515" t="s">
        <v>9616</v>
      </c>
      <c r="C2515" t="s">
        <v>9617</v>
      </c>
      <c r="D2515" t="str">
        <f>"67261"</f>
        <v>67261</v>
      </c>
      <c r="E2515" t="s">
        <v>10877</v>
      </c>
      <c r="F2515" s="1">
        <v>44841</v>
      </c>
      <c r="G2515" t="str">
        <f>"300043"</f>
        <v>300043</v>
      </c>
      <c r="H2515" t="s">
        <v>2876</v>
      </c>
      <c r="I2515">
        <v>1474</v>
      </c>
    </row>
    <row r="2516" spans="1:9" x14ac:dyDescent="0.25">
      <c r="A2516" t="s">
        <v>9616</v>
      </c>
      <c r="C2516" t="s">
        <v>9617</v>
      </c>
      <c r="D2516" t="str">
        <f>"67336"</f>
        <v>67336</v>
      </c>
      <c r="E2516" t="s">
        <v>10878</v>
      </c>
      <c r="F2516" s="1">
        <v>44841</v>
      </c>
      <c r="G2516" t="str">
        <f>"300043"</f>
        <v>300043</v>
      </c>
      <c r="H2516" t="s">
        <v>2876</v>
      </c>
      <c r="I2516">
        <v>1491</v>
      </c>
    </row>
    <row r="2517" spans="1:9" x14ac:dyDescent="0.25">
      <c r="A2517" t="s">
        <v>9616</v>
      </c>
      <c r="C2517" t="s">
        <v>9617</v>
      </c>
      <c r="D2517" t="str">
        <f>"553222"</f>
        <v>553222</v>
      </c>
      <c r="E2517" t="s">
        <v>10878</v>
      </c>
      <c r="F2517" s="1">
        <v>44841</v>
      </c>
      <c r="G2517" t="str">
        <f>"300101"</f>
        <v>300101</v>
      </c>
      <c r="H2517" t="s">
        <v>2926</v>
      </c>
      <c r="I2517">
        <v>3328</v>
      </c>
    </row>
    <row r="2518" spans="1:9" x14ac:dyDescent="0.25">
      <c r="A2518" t="s">
        <v>9616</v>
      </c>
      <c r="C2518" t="s">
        <v>9617</v>
      </c>
      <c r="D2518" t="str">
        <f>"10144134"</f>
        <v>10144134</v>
      </c>
      <c r="E2518" t="s">
        <v>10809</v>
      </c>
      <c r="F2518" s="1">
        <v>44844</v>
      </c>
      <c r="G2518" t="str">
        <f>"300115"</f>
        <v>300115</v>
      </c>
      <c r="H2518" t="s">
        <v>2938</v>
      </c>
      <c r="I2518">
        <v>173101.929</v>
      </c>
    </row>
    <row r="2519" spans="1:9" x14ac:dyDescent="0.25">
      <c r="A2519" t="s">
        <v>9616</v>
      </c>
      <c r="C2519" t="s">
        <v>9617</v>
      </c>
      <c r="D2519" t="str">
        <f>"10144135"</f>
        <v>10144135</v>
      </c>
      <c r="E2519" t="s">
        <v>10879</v>
      </c>
      <c r="F2519" s="1">
        <v>44844</v>
      </c>
      <c r="G2519" t="str">
        <f>"300115"</f>
        <v>300115</v>
      </c>
      <c r="H2519" t="s">
        <v>2938</v>
      </c>
      <c r="I2519">
        <v>163105.052</v>
      </c>
    </row>
    <row r="2520" spans="1:9" x14ac:dyDescent="0.25">
      <c r="A2520" t="s">
        <v>9616</v>
      </c>
      <c r="C2520" t="s">
        <v>9617</v>
      </c>
      <c r="D2520" t="str">
        <f>"10144186"</f>
        <v>10144186</v>
      </c>
      <c r="E2520" t="s">
        <v>1313</v>
      </c>
      <c r="F2520" s="1">
        <v>44844</v>
      </c>
      <c r="G2520" t="str">
        <f>"300115"</f>
        <v>300115</v>
      </c>
      <c r="H2520" t="s">
        <v>2938</v>
      </c>
      <c r="I2520">
        <v>310292.16899999999</v>
      </c>
    </row>
    <row r="2521" spans="1:9" x14ac:dyDescent="0.25">
      <c r="A2521" t="s">
        <v>9616</v>
      </c>
      <c r="C2521" t="s">
        <v>9617</v>
      </c>
      <c r="D2521" t="str">
        <f>"2022007788"</f>
        <v>2022007788</v>
      </c>
      <c r="E2521" t="s">
        <v>10877</v>
      </c>
      <c r="F2521" s="1">
        <v>44846</v>
      </c>
      <c r="G2521" t="str">
        <f>"300191"</f>
        <v>300191</v>
      </c>
      <c r="H2521" t="s">
        <v>3008</v>
      </c>
      <c r="I2521">
        <v>3174.48</v>
      </c>
    </row>
    <row r="2522" spans="1:9" x14ac:dyDescent="0.25">
      <c r="A2522" t="s">
        <v>9616</v>
      </c>
      <c r="C2522" t="s">
        <v>9617</v>
      </c>
      <c r="D2522" t="str">
        <f>"2022007805"</f>
        <v>2022007805</v>
      </c>
      <c r="E2522" t="s">
        <v>10880</v>
      </c>
      <c r="F2522" s="1">
        <v>44846</v>
      </c>
      <c r="G2522" t="str">
        <f>"300191"</f>
        <v>300191</v>
      </c>
      <c r="H2522" t="s">
        <v>3008</v>
      </c>
      <c r="I2522">
        <v>3178.55</v>
      </c>
    </row>
    <row r="2523" spans="1:9" x14ac:dyDescent="0.25">
      <c r="A2523" t="s">
        <v>9616</v>
      </c>
      <c r="C2523" t="s">
        <v>9617</v>
      </c>
      <c r="D2523" t="str">
        <f>"67773"</f>
        <v>67773</v>
      </c>
      <c r="E2523" t="s">
        <v>10881</v>
      </c>
      <c r="F2523" s="1">
        <v>44847</v>
      </c>
      <c r="G2523" t="str">
        <f>"300043"</f>
        <v>300043</v>
      </c>
      <c r="H2523" t="s">
        <v>2876</v>
      </c>
      <c r="I2523">
        <v>1174</v>
      </c>
    </row>
    <row r="2524" spans="1:9" x14ac:dyDescent="0.25">
      <c r="A2524" t="s">
        <v>9616</v>
      </c>
      <c r="C2524" t="s">
        <v>9617</v>
      </c>
      <c r="D2524" t="str">
        <f>"68281"</f>
        <v>68281</v>
      </c>
      <c r="E2524" t="s">
        <v>10882</v>
      </c>
      <c r="F2524" s="1">
        <v>44847</v>
      </c>
      <c r="G2524" t="str">
        <f>"300043"</f>
        <v>300043</v>
      </c>
      <c r="H2524" t="s">
        <v>2876</v>
      </c>
      <c r="I2524">
        <v>1173</v>
      </c>
    </row>
    <row r="2525" spans="1:9" x14ac:dyDescent="0.25">
      <c r="A2525" t="s">
        <v>9616</v>
      </c>
      <c r="C2525" t="s">
        <v>9617</v>
      </c>
      <c r="D2525" t="str">
        <f>"552322"</f>
        <v>552322</v>
      </c>
      <c r="E2525" t="s">
        <v>10882</v>
      </c>
      <c r="F2525" s="1">
        <v>44847</v>
      </c>
      <c r="G2525" t="str">
        <f>"300101"</f>
        <v>300101</v>
      </c>
      <c r="H2525" t="s">
        <v>2926</v>
      </c>
      <c r="I2525">
        <v>3154.16</v>
      </c>
    </row>
    <row r="2526" spans="1:9" x14ac:dyDescent="0.25">
      <c r="A2526" t="s">
        <v>9616</v>
      </c>
      <c r="C2526" t="s">
        <v>9617</v>
      </c>
      <c r="D2526" t="str">
        <f>"552722"</f>
        <v>552722</v>
      </c>
      <c r="E2526" t="s">
        <v>10881</v>
      </c>
      <c r="F2526" s="1">
        <v>44847</v>
      </c>
      <c r="G2526" t="str">
        <f>"300101"</f>
        <v>300101</v>
      </c>
      <c r="H2526" t="s">
        <v>2926</v>
      </c>
      <c r="I2526">
        <v>3783.25</v>
      </c>
    </row>
    <row r="2527" spans="1:9" x14ac:dyDescent="0.25">
      <c r="A2527" t="s">
        <v>9616</v>
      </c>
      <c r="C2527" t="s">
        <v>9617</v>
      </c>
      <c r="D2527" t="str">
        <f>"10144297"</f>
        <v>10144297</v>
      </c>
      <c r="E2527" t="s">
        <v>8852</v>
      </c>
      <c r="F2527" s="1">
        <v>44848</v>
      </c>
      <c r="G2527" t="str">
        <f>"300115"</f>
        <v>300115</v>
      </c>
      <c r="H2527" t="s">
        <v>2938</v>
      </c>
      <c r="I2527">
        <v>293355.57679999998</v>
      </c>
    </row>
    <row r="2528" spans="1:9" x14ac:dyDescent="0.25">
      <c r="A2528" t="s">
        <v>9616</v>
      </c>
      <c r="C2528" t="s">
        <v>9617</v>
      </c>
      <c r="D2528" t="str">
        <f>"10144299"</f>
        <v>10144299</v>
      </c>
      <c r="E2528" t="s">
        <v>9191</v>
      </c>
      <c r="F2528" s="1">
        <v>44848</v>
      </c>
      <c r="G2528" t="str">
        <f>"300115"</f>
        <v>300115</v>
      </c>
      <c r="H2528" t="s">
        <v>2938</v>
      </c>
      <c r="I2528">
        <v>194543.50080000001</v>
      </c>
    </row>
    <row r="2529" spans="1:9" x14ac:dyDescent="0.25">
      <c r="A2529" t="s">
        <v>9616</v>
      </c>
      <c r="C2529" t="s">
        <v>9617</v>
      </c>
      <c r="D2529" t="str">
        <f>"10144301"</f>
        <v>10144301</v>
      </c>
      <c r="E2529" t="s">
        <v>10883</v>
      </c>
      <c r="F2529" s="1">
        <v>44848</v>
      </c>
      <c r="G2529" t="str">
        <f>"300115"</f>
        <v>300115</v>
      </c>
      <c r="H2529" t="s">
        <v>2938</v>
      </c>
      <c r="I2529">
        <v>399065.12359999999</v>
      </c>
    </row>
    <row r="2530" spans="1:9" x14ac:dyDescent="0.25">
      <c r="A2530" t="s">
        <v>9616</v>
      </c>
      <c r="C2530" t="s">
        <v>9617</v>
      </c>
      <c r="D2530" t="s">
        <v>10884</v>
      </c>
      <c r="E2530" t="s">
        <v>10885</v>
      </c>
      <c r="F2530" s="1">
        <v>44848</v>
      </c>
      <c r="G2530" t="str">
        <f>"300321"</f>
        <v>300321</v>
      </c>
      <c r="H2530" t="s">
        <v>2706</v>
      </c>
      <c r="I2530">
        <v>18000</v>
      </c>
    </row>
    <row r="2531" spans="1:9" x14ac:dyDescent="0.25">
      <c r="A2531" t="s">
        <v>9616</v>
      </c>
      <c r="C2531" t="s">
        <v>9617</v>
      </c>
      <c r="D2531" t="s">
        <v>10886</v>
      </c>
      <c r="E2531" t="s">
        <v>9565</v>
      </c>
      <c r="F2531" s="1">
        <v>44849</v>
      </c>
      <c r="G2531" t="str">
        <f>"300133"</f>
        <v>300133</v>
      </c>
      <c r="H2531" t="s">
        <v>2955</v>
      </c>
      <c r="I2531">
        <v>48232.800000000003</v>
      </c>
    </row>
    <row r="2532" spans="1:9" x14ac:dyDescent="0.25">
      <c r="A2532" t="s">
        <v>9616</v>
      </c>
      <c r="C2532" t="s">
        <v>9617</v>
      </c>
      <c r="D2532" t="str">
        <f>"10144352"</f>
        <v>10144352</v>
      </c>
      <c r="E2532" t="s">
        <v>9189</v>
      </c>
      <c r="F2532" s="1">
        <v>44851</v>
      </c>
      <c r="G2532" t="str">
        <f t="shared" ref="G2532:G2537" si="13">"300115"</f>
        <v>300115</v>
      </c>
      <c r="H2532" t="s">
        <v>2938</v>
      </c>
      <c r="I2532">
        <v>399065.12359999999</v>
      </c>
    </row>
    <row r="2533" spans="1:9" x14ac:dyDescent="0.25">
      <c r="A2533" t="s">
        <v>9616</v>
      </c>
      <c r="C2533" t="s">
        <v>9617</v>
      </c>
      <c r="D2533" t="str">
        <f>"10144354"</f>
        <v>10144354</v>
      </c>
      <c r="E2533" t="s">
        <v>10210</v>
      </c>
      <c r="F2533" s="1">
        <v>44851</v>
      </c>
      <c r="G2533" t="str">
        <f t="shared" si="13"/>
        <v>300115</v>
      </c>
      <c r="H2533" t="s">
        <v>2938</v>
      </c>
      <c r="I2533">
        <v>399065.12359999999</v>
      </c>
    </row>
    <row r="2534" spans="1:9" x14ac:dyDescent="0.25">
      <c r="A2534" t="s">
        <v>9616</v>
      </c>
      <c r="C2534" t="s">
        <v>9617</v>
      </c>
      <c r="D2534" t="str">
        <f>"10144355"</f>
        <v>10144355</v>
      </c>
      <c r="E2534" t="s">
        <v>9189</v>
      </c>
      <c r="F2534" s="1">
        <v>44851</v>
      </c>
      <c r="G2534" t="str">
        <f t="shared" si="13"/>
        <v>300115</v>
      </c>
      <c r="H2534" t="s">
        <v>2938</v>
      </c>
      <c r="I2534">
        <v>399065.12359999999</v>
      </c>
    </row>
    <row r="2535" spans="1:9" x14ac:dyDescent="0.25">
      <c r="A2535" t="s">
        <v>9616</v>
      </c>
      <c r="C2535" t="s">
        <v>9617</v>
      </c>
      <c r="D2535" t="str">
        <f>"10144356"</f>
        <v>10144356</v>
      </c>
      <c r="E2535" t="s">
        <v>10210</v>
      </c>
      <c r="F2535" s="1">
        <v>44851</v>
      </c>
      <c r="G2535" t="str">
        <f t="shared" si="13"/>
        <v>300115</v>
      </c>
      <c r="H2535" t="s">
        <v>2938</v>
      </c>
      <c r="I2535">
        <v>399065.12359999999</v>
      </c>
    </row>
    <row r="2536" spans="1:9" x14ac:dyDescent="0.25">
      <c r="A2536" t="s">
        <v>9616</v>
      </c>
      <c r="C2536" t="s">
        <v>9617</v>
      </c>
      <c r="D2536" t="str">
        <f>"10144357"</f>
        <v>10144357</v>
      </c>
      <c r="E2536" t="s">
        <v>2640</v>
      </c>
      <c r="F2536" s="1">
        <v>44851</v>
      </c>
      <c r="G2536" t="str">
        <f t="shared" si="13"/>
        <v>300115</v>
      </c>
      <c r="H2536" t="s">
        <v>2938</v>
      </c>
      <c r="I2536">
        <v>384311.79599999997</v>
      </c>
    </row>
    <row r="2537" spans="1:9" x14ac:dyDescent="0.25">
      <c r="A2537" t="s">
        <v>9616</v>
      </c>
      <c r="C2537" t="s">
        <v>9617</v>
      </c>
      <c r="D2537" t="str">
        <f>"10144392"</f>
        <v>10144392</v>
      </c>
      <c r="E2537" t="s">
        <v>2172</v>
      </c>
      <c r="F2537" s="1">
        <v>44851</v>
      </c>
      <c r="G2537" t="str">
        <f t="shared" si="13"/>
        <v>300115</v>
      </c>
      <c r="H2537" t="s">
        <v>2938</v>
      </c>
      <c r="I2537">
        <v>415222.17879999999</v>
      </c>
    </row>
    <row r="2538" spans="1:9" x14ac:dyDescent="0.25">
      <c r="A2538" t="s">
        <v>9616</v>
      </c>
      <c r="C2538" t="s">
        <v>9617</v>
      </c>
      <c r="D2538" t="s">
        <v>10887</v>
      </c>
      <c r="E2538" t="s">
        <v>10888</v>
      </c>
      <c r="F2538" s="1">
        <v>44851</v>
      </c>
      <c r="G2538" t="str">
        <f>"300321"</f>
        <v>300321</v>
      </c>
      <c r="H2538" t="s">
        <v>2706</v>
      </c>
      <c r="I2538">
        <v>16000</v>
      </c>
    </row>
    <row r="2539" spans="1:9" x14ac:dyDescent="0.25">
      <c r="A2539" t="s">
        <v>9616</v>
      </c>
      <c r="C2539" t="s">
        <v>9617</v>
      </c>
      <c r="D2539" t="s">
        <v>10889</v>
      </c>
      <c r="E2539" t="s">
        <v>10890</v>
      </c>
      <c r="F2539" s="1">
        <v>44851</v>
      </c>
      <c r="G2539" t="str">
        <f>"300321"</f>
        <v>300321</v>
      </c>
      <c r="H2539" t="s">
        <v>2706</v>
      </c>
      <c r="I2539">
        <v>19000</v>
      </c>
    </row>
    <row r="2540" spans="1:9" x14ac:dyDescent="0.25">
      <c r="A2540" t="s">
        <v>9616</v>
      </c>
      <c r="C2540" t="s">
        <v>9617</v>
      </c>
      <c r="D2540" t="str">
        <f>"22055"</f>
        <v>22055</v>
      </c>
      <c r="F2540" s="1">
        <v>44852</v>
      </c>
      <c r="G2540" t="str">
        <f>"300043"</f>
        <v>300043</v>
      </c>
      <c r="H2540" t="s">
        <v>2876</v>
      </c>
      <c r="I2540">
        <v>3358</v>
      </c>
    </row>
    <row r="2541" spans="1:9" x14ac:dyDescent="0.25">
      <c r="A2541" t="s">
        <v>9616</v>
      </c>
      <c r="C2541" t="s">
        <v>9617</v>
      </c>
      <c r="D2541" t="str">
        <f>"69242"</f>
        <v>69242</v>
      </c>
      <c r="E2541" t="s">
        <v>10891</v>
      </c>
      <c r="F2541" s="1">
        <v>44852</v>
      </c>
      <c r="G2541" t="str">
        <f>"300043"</f>
        <v>300043</v>
      </c>
      <c r="H2541" t="s">
        <v>2876</v>
      </c>
      <c r="I2541">
        <v>1469</v>
      </c>
    </row>
    <row r="2542" spans="1:9" x14ac:dyDescent="0.25">
      <c r="A2542" t="s">
        <v>9616</v>
      </c>
      <c r="C2542" t="s">
        <v>9617</v>
      </c>
      <c r="D2542" t="str">
        <f>"69289"</f>
        <v>69289</v>
      </c>
      <c r="E2542" t="s">
        <v>10885</v>
      </c>
      <c r="F2542" s="1">
        <v>44852</v>
      </c>
      <c r="G2542" t="str">
        <f>"300043"</f>
        <v>300043</v>
      </c>
      <c r="H2542" t="s">
        <v>2876</v>
      </c>
      <c r="I2542">
        <v>1171</v>
      </c>
    </row>
    <row r="2543" spans="1:9" x14ac:dyDescent="0.25">
      <c r="A2543" t="s">
        <v>9616</v>
      </c>
      <c r="C2543" t="s">
        <v>9617</v>
      </c>
      <c r="D2543" t="str">
        <f>"552422"</f>
        <v>552422</v>
      </c>
      <c r="E2543" t="s">
        <v>10891</v>
      </c>
      <c r="F2543" s="1">
        <v>44852</v>
      </c>
      <c r="G2543" t="str">
        <f>"300101"</f>
        <v>300101</v>
      </c>
      <c r="H2543" t="s">
        <v>2926</v>
      </c>
      <c r="I2543">
        <v>3478.15</v>
      </c>
    </row>
    <row r="2544" spans="1:9" x14ac:dyDescent="0.25">
      <c r="A2544" t="s">
        <v>9616</v>
      </c>
      <c r="C2544" t="s">
        <v>9617</v>
      </c>
      <c r="D2544" t="str">
        <f>"10144399"</f>
        <v>10144399</v>
      </c>
      <c r="E2544" t="s">
        <v>9189</v>
      </c>
      <c r="F2544" s="1">
        <v>44852</v>
      </c>
      <c r="G2544" t="str">
        <f>"300115"</f>
        <v>300115</v>
      </c>
      <c r="H2544" t="s">
        <v>2938</v>
      </c>
      <c r="I2544">
        <v>384311.79599999997</v>
      </c>
    </row>
    <row r="2545" spans="1:9" x14ac:dyDescent="0.25">
      <c r="A2545" t="s">
        <v>9616</v>
      </c>
      <c r="C2545" t="s">
        <v>9617</v>
      </c>
      <c r="D2545" t="str">
        <f>"10144400"</f>
        <v>10144400</v>
      </c>
      <c r="E2545" t="s">
        <v>10892</v>
      </c>
      <c r="F2545" s="1">
        <v>44852</v>
      </c>
      <c r="G2545" t="str">
        <f>"300115"</f>
        <v>300115</v>
      </c>
      <c r="H2545" t="s">
        <v>2938</v>
      </c>
      <c r="I2545">
        <v>312229.1128</v>
      </c>
    </row>
    <row r="2546" spans="1:9" x14ac:dyDescent="0.25">
      <c r="A2546" t="s">
        <v>9616</v>
      </c>
      <c r="C2546" t="s">
        <v>9617</v>
      </c>
      <c r="D2546" t="s">
        <v>10893</v>
      </c>
      <c r="E2546" t="s">
        <v>10894</v>
      </c>
      <c r="F2546" s="1">
        <v>44852</v>
      </c>
      <c r="G2546" t="str">
        <f>"300321"</f>
        <v>300321</v>
      </c>
      <c r="H2546" t="s">
        <v>2706</v>
      </c>
      <c r="I2546">
        <v>20712</v>
      </c>
    </row>
    <row r="2547" spans="1:9" x14ac:dyDescent="0.25">
      <c r="A2547" t="s">
        <v>9616</v>
      </c>
      <c r="C2547" t="s">
        <v>9617</v>
      </c>
      <c r="D2547" t="str">
        <f>"69660"</f>
        <v>69660</v>
      </c>
      <c r="E2547" t="s">
        <v>10895</v>
      </c>
      <c r="F2547" s="1">
        <v>44853</v>
      </c>
      <c r="G2547" t="str">
        <f>"300043"</f>
        <v>300043</v>
      </c>
      <c r="H2547" t="s">
        <v>2876</v>
      </c>
      <c r="I2547">
        <v>1474</v>
      </c>
    </row>
    <row r="2548" spans="1:9" x14ac:dyDescent="0.25">
      <c r="A2548" t="s">
        <v>9616</v>
      </c>
      <c r="C2548" t="s">
        <v>9617</v>
      </c>
      <c r="D2548" t="str">
        <f>"69662"</f>
        <v>69662</v>
      </c>
      <c r="E2548" t="s">
        <v>10896</v>
      </c>
      <c r="F2548" s="1">
        <v>44853</v>
      </c>
      <c r="G2548" t="str">
        <f>"300043"</f>
        <v>300043</v>
      </c>
      <c r="H2548" t="s">
        <v>2876</v>
      </c>
      <c r="I2548">
        <v>1474</v>
      </c>
    </row>
    <row r="2549" spans="1:9" x14ac:dyDescent="0.25">
      <c r="A2549" t="s">
        <v>9616</v>
      </c>
      <c r="C2549" t="s">
        <v>9617</v>
      </c>
      <c r="D2549" t="str">
        <f>"69696"</f>
        <v>69696</v>
      </c>
      <c r="E2549" t="s">
        <v>10897</v>
      </c>
      <c r="F2549" s="1">
        <v>44853</v>
      </c>
      <c r="G2549" t="str">
        <f>"300043"</f>
        <v>300043</v>
      </c>
      <c r="H2549" t="s">
        <v>2876</v>
      </c>
      <c r="I2549">
        <v>1474</v>
      </c>
    </row>
    <row r="2550" spans="1:9" x14ac:dyDescent="0.25">
      <c r="A2550" t="s">
        <v>9616</v>
      </c>
      <c r="C2550" t="s">
        <v>9617</v>
      </c>
      <c r="D2550" t="str">
        <f>"69701"</f>
        <v>69701</v>
      </c>
      <c r="E2550" t="s">
        <v>10890</v>
      </c>
      <c r="F2550" s="1">
        <v>44853</v>
      </c>
      <c r="G2550" t="str">
        <f>"300043"</f>
        <v>300043</v>
      </c>
      <c r="H2550" t="s">
        <v>2876</v>
      </c>
      <c r="I2550">
        <v>1580</v>
      </c>
    </row>
    <row r="2551" spans="1:9" x14ac:dyDescent="0.25">
      <c r="A2551" t="s">
        <v>9616</v>
      </c>
      <c r="C2551" t="s">
        <v>9617</v>
      </c>
      <c r="D2551" t="str">
        <f>"552522"</f>
        <v>552522</v>
      </c>
      <c r="E2551" t="s">
        <v>10895</v>
      </c>
      <c r="F2551" s="1">
        <v>44853</v>
      </c>
      <c r="G2551" t="str">
        <f>"300101"</f>
        <v>300101</v>
      </c>
      <c r="H2551" t="s">
        <v>2926</v>
      </c>
      <c r="I2551">
        <v>3326.37</v>
      </c>
    </row>
    <row r="2552" spans="1:9" x14ac:dyDescent="0.25">
      <c r="A2552" t="s">
        <v>9616</v>
      </c>
      <c r="C2552" t="s">
        <v>9617</v>
      </c>
      <c r="D2552" t="str">
        <f>"553322"</f>
        <v>553322</v>
      </c>
      <c r="E2552" t="s">
        <v>10896</v>
      </c>
      <c r="F2552" s="1">
        <v>44853</v>
      </c>
      <c r="G2552" t="str">
        <f>"300101"</f>
        <v>300101</v>
      </c>
      <c r="H2552" t="s">
        <v>2926</v>
      </c>
      <c r="I2552">
        <v>3326.37</v>
      </c>
    </row>
    <row r="2553" spans="1:9" x14ac:dyDescent="0.25">
      <c r="A2553" t="s">
        <v>9616</v>
      </c>
      <c r="C2553" t="s">
        <v>9617</v>
      </c>
      <c r="D2553" t="str">
        <f>"553422"</f>
        <v>553422</v>
      </c>
      <c r="E2553" t="s">
        <v>10897</v>
      </c>
      <c r="F2553" s="1">
        <v>44853</v>
      </c>
      <c r="G2553" t="str">
        <f>"300101"</f>
        <v>300101</v>
      </c>
      <c r="H2553" t="s">
        <v>2926</v>
      </c>
      <c r="I2553">
        <v>3326.37</v>
      </c>
    </row>
    <row r="2554" spans="1:9" x14ac:dyDescent="0.25">
      <c r="A2554" t="s">
        <v>9616</v>
      </c>
      <c r="C2554" t="s">
        <v>9617</v>
      </c>
      <c r="D2554" t="str">
        <f>"10144441"</f>
        <v>10144441</v>
      </c>
      <c r="E2554" t="s">
        <v>10898</v>
      </c>
      <c r="F2554" s="1">
        <v>44853</v>
      </c>
      <c r="G2554" t="str">
        <f>"300115"</f>
        <v>300115</v>
      </c>
      <c r="H2554" t="s">
        <v>2938</v>
      </c>
      <c r="I2554">
        <v>312229.1128</v>
      </c>
    </row>
    <row r="2555" spans="1:9" x14ac:dyDescent="0.25">
      <c r="A2555" t="s">
        <v>9616</v>
      </c>
      <c r="C2555" t="s">
        <v>9617</v>
      </c>
      <c r="D2555" t="str">
        <f>"10144442"</f>
        <v>10144442</v>
      </c>
      <c r="E2555" t="s">
        <v>9189</v>
      </c>
      <c r="F2555" s="1">
        <v>44853</v>
      </c>
      <c r="G2555" t="str">
        <f>"300115"</f>
        <v>300115</v>
      </c>
      <c r="H2555" t="s">
        <v>2938</v>
      </c>
      <c r="I2555">
        <v>357114.86359999998</v>
      </c>
    </row>
    <row r="2556" spans="1:9" x14ac:dyDescent="0.25">
      <c r="A2556" t="s">
        <v>9616</v>
      </c>
      <c r="C2556" t="s">
        <v>9617</v>
      </c>
      <c r="D2556" t="str">
        <f>"10144443"</f>
        <v>10144443</v>
      </c>
      <c r="E2556" t="s">
        <v>2172</v>
      </c>
      <c r="F2556" s="1">
        <v>44853</v>
      </c>
      <c r="G2556" t="str">
        <f>"300115"</f>
        <v>300115</v>
      </c>
      <c r="H2556" t="s">
        <v>2938</v>
      </c>
      <c r="I2556">
        <v>368883.25760000001</v>
      </c>
    </row>
    <row r="2557" spans="1:9" x14ac:dyDescent="0.25">
      <c r="A2557" t="s">
        <v>9616</v>
      </c>
      <c r="C2557" t="s">
        <v>9617</v>
      </c>
      <c r="D2557" t="s">
        <v>10899</v>
      </c>
      <c r="E2557" t="s">
        <v>10900</v>
      </c>
      <c r="F2557" s="1">
        <v>44853</v>
      </c>
      <c r="G2557" t="str">
        <f>"300321"</f>
        <v>300321</v>
      </c>
      <c r="H2557" t="s">
        <v>2706</v>
      </c>
      <c r="I2557">
        <v>19000</v>
      </c>
    </row>
    <row r="2558" spans="1:9" x14ac:dyDescent="0.25">
      <c r="A2558" t="s">
        <v>9616</v>
      </c>
      <c r="C2558" t="s">
        <v>9617</v>
      </c>
      <c r="D2558" t="s">
        <v>10901</v>
      </c>
      <c r="E2558" t="s">
        <v>10902</v>
      </c>
      <c r="F2558" s="1">
        <v>44853</v>
      </c>
      <c r="G2558" t="str">
        <f>"300321"</f>
        <v>300321</v>
      </c>
      <c r="H2558" t="s">
        <v>2706</v>
      </c>
      <c r="I2558">
        <v>18000</v>
      </c>
    </row>
    <row r="2559" spans="1:9" x14ac:dyDescent="0.25">
      <c r="A2559" t="s">
        <v>9616</v>
      </c>
      <c r="C2559" t="s">
        <v>9617</v>
      </c>
      <c r="D2559" t="str">
        <f>"69691"</f>
        <v>69691</v>
      </c>
      <c r="E2559" t="s">
        <v>10888</v>
      </c>
      <c r="F2559" s="1">
        <v>44854</v>
      </c>
      <c r="G2559" t="str">
        <f>"300043"</f>
        <v>300043</v>
      </c>
      <c r="H2559" t="s">
        <v>2876</v>
      </c>
      <c r="I2559">
        <v>1469</v>
      </c>
    </row>
    <row r="2560" spans="1:9" x14ac:dyDescent="0.25">
      <c r="A2560" t="s">
        <v>9616</v>
      </c>
      <c r="C2560" t="s">
        <v>9617</v>
      </c>
      <c r="D2560" t="str">
        <f>"69700"</f>
        <v>69700</v>
      </c>
      <c r="E2560" t="s">
        <v>10903</v>
      </c>
      <c r="F2560" s="1">
        <v>44854</v>
      </c>
      <c r="G2560" t="str">
        <f>"300043"</f>
        <v>300043</v>
      </c>
      <c r="H2560" t="s">
        <v>2876</v>
      </c>
      <c r="I2560">
        <v>1474</v>
      </c>
    </row>
    <row r="2561" spans="1:9" x14ac:dyDescent="0.25">
      <c r="A2561" t="s">
        <v>9616</v>
      </c>
      <c r="C2561" t="s">
        <v>9617</v>
      </c>
      <c r="D2561" t="str">
        <f>"69842"</f>
        <v>69842</v>
      </c>
      <c r="E2561" t="s">
        <v>10900</v>
      </c>
      <c r="F2561" s="1">
        <v>44854</v>
      </c>
      <c r="G2561" t="str">
        <f>"300043"</f>
        <v>300043</v>
      </c>
      <c r="H2561" t="s">
        <v>2876</v>
      </c>
      <c r="I2561">
        <v>1385</v>
      </c>
    </row>
    <row r="2562" spans="1:9" x14ac:dyDescent="0.25">
      <c r="A2562" t="s">
        <v>9616</v>
      </c>
      <c r="C2562" t="s">
        <v>9617</v>
      </c>
      <c r="D2562" t="str">
        <f>"69928"</f>
        <v>69928</v>
      </c>
      <c r="E2562" t="s">
        <v>10902</v>
      </c>
      <c r="F2562" s="1">
        <v>44854</v>
      </c>
      <c r="G2562" t="str">
        <f>"300043"</f>
        <v>300043</v>
      </c>
      <c r="H2562" t="s">
        <v>2876</v>
      </c>
      <c r="I2562">
        <v>1421</v>
      </c>
    </row>
    <row r="2563" spans="1:9" x14ac:dyDescent="0.25">
      <c r="A2563" t="s">
        <v>9616</v>
      </c>
      <c r="C2563" t="s">
        <v>9617</v>
      </c>
      <c r="D2563" t="str">
        <f>"70073"</f>
        <v>70073</v>
      </c>
      <c r="E2563" t="s">
        <v>10904</v>
      </c>
      <c r="F2563" s="1">
        <v>44854</v>
      </c>
      <c r="G2563" t="str">
        <f>"300043"</f>
        <v>300043</v>
      </c>
      <c r="H2563" t="s">
        <v>2876</v>
      </c>
      <c r="I2563">
        <v>1265</v>
      </c>
    </row>
    <row r="2564" spans="1:9" x14ac:dyDescent="0.25">
      <c r="A2564" t="s">
        <v>9616</v>
      </c>
      <c r="C2564" t="s">
        <v>9617</v>
      </c>
      <c r="D2564" t="str">
        <f>"552222"</f>
        <v>552222</v>
      </c>
      <c r="E2564" t="s">
        <v>10903</v>
      </c>
      <c r="F2564" s="1">
        <v>44854</v>
      </c>
      <c r="G2564" t="str">
        <f>"300101"</f>
        <v>300101</v>
      </c>
      <c r="H2564" t="s">
        <v>2926</v>
      </c>
      <c r="I2564">
        <v>3326.37</v>
      </c>
    </row>
    <row r="2565" spans="1:9" x14ac:dyDescent="0.25">
      <c r="A2565" t="s">
        <v>9616</v>
      </c>
      <c r="C2565" t="s">
        <v>9617</v>
      </c>
      <c r="D2565" t="str">
        <f>"552622"</f>
        <v>552622</v>
      </c>
      <c r="E2565" t="s">
        <v>10904</v>
      </c>
      <c r="F2565" s="1">
        <v>44854</v>
      </c>
      <c r="G2565" t="str">
        <f>"300101"</f>
        <v>300101</v>
      </c>
      <c r="H2565" t="s">
        <v>2926</v>
      </c>
      <c r="I2565">
        <v>4766.6499999999996</v>
      </c>
    </row>
    <row r="2566" spans="1:9" x14ac:dyDescent="0.25">
      <c r="A2566" t="s">
        <v>9616</v>
      </c>
      <c r="C2566" t="s">
        <v>9617</v>
      </c>
      <c r="D2566" t="str">
        <f>"10144484"</f>
        <v>10144484</v>
      </c>
      <c r="E2566" t="s">
        <v>9189</v>
      </c>
      <c r="F2566" s="1">
        <v>44854</v>
      </c>
      <c r="G2566" t="str">
        <f>"300115"</f>
        <v>300115</v>
      </c>
      <c r="H2566" t="s">
        <v>2938</v>
      </c>
      <c r="I2566">
        <v>324675.37959999999</v>
      </c>
    </row>
    <row r="2567" spans="1:9" x14ac:dyDescent="0.25">
      <c r="A2567" t="s">
        <v>9616</v>
      </c>
      <c r="C2567" t="s">
        <v>9617</v>
      </c>
      <c r="D2567" t="str">
        <f>"10144486"</f>
        <v>10144486</v>
      </c>
      <c r="E2567" t="s">
        <v>9191</v>
      </c>
      <c r="F2567" s="1">
        <v>44854</v>
      </c>
      <c r="G2567" t="str">
        <f>"300115"</f>
        <v>300115</v>
      </c>
      <c r="H2567" t="s">
        <v>2938</v>
      </c>
      <c r="I2567">
        <v>255296.712</v>
      </c>
    </row>
    <row r="2568" spans="1:9" x14ac:dyDescent="0.25">
      <c r="A2568" t="s">
        <v>9616</v>
      </c>
      <c r="C2568" t="s">
        <v>9617</v>
      </c>
      <c r="D2568" t="str">
        <f>"10144520"</f>
        <v>10144520</v>
      </c>
      <c r="E2568" t="s">
        <v>9191</v>
      </c>
      <c r="F2568" s="1">
        <v>44854</v>
      </c>
      <c r="G2568" t="str">
        <f>"300115"</f>
        <v>300115</v>
      </c>
      <c r="H2568" t="s">
        <v>2938</v>
      </c>
      <c r="I2568">
        <v>254244.01199999999</v>
      </c>
    </row>
    <row r="2569" spans="1:9" x14ac:dyDescent="0.25">
      <c r="A2569" t="s">
        <v>9616</v>
      </c>
      <c r="C2569" t="s">
        <v>9617</v>
      </c>
      <c r="D2569" t="str">
        <f>"2022008017"</f>
        <v>2022008017</v>
      </c>
      <c r="E2569" t="s">
        <v>10885</v>
      </c>
      <c r="F2569" s="1">
        <v>44854</v>
      </c>
      <c r="G2569" t="str">
        <f>"300191"</f>
        <v>300191</v>
      </c>
      <c r="H2569" t="s">
        <v>3008</v>
      </c>
      <c r="I2569">
        <v>3459.9</v>
      </c>
    </row>
    <row r="2570" spans="1:9" x14ac:dyDescent="0.25">
      <c r="A2570" t="s">
        <v>9616</v>
      </c>
      <c r="C2570" t="s">
        <v>9617</v>
      </c>
      <c r="D2570" t="str">
        <f>"22410"</f>
        <v>22410</v>
      </c>
      <c r="F2570" s="1">
        <v>44855</v>
      </c>
      <c r="G2570" t="str">
        <f>"300043"</f>
        <v>300043</v>
      </c>
      <c r="H2570" t="s">
        <v>2876</v>
      </c>
      <c r="I2570">
        <v>3729</v>
      </c>
    </row>
    <row r="2571" spans="1:9" x14ac:dyDescent="0.25">
      <c r="A2571" t="s">
        <v>9616</v>
      </c>
      <c r="C2571" t="s">
        <v>9617</v>
      </c>
      <c r="D2571" t="str">
        <f>"10144522"</f>
        <v>10144522</v>
      </c>
      <c r="E2571" t="s">
        <v>10905</v>
      </c>
      <c r="F2571" s="1">
        <v>44855</v>
      </c>
      <c r="G2571" t="str">
        <f>"300115"</f>
        <v>300115</v>
      </c>
      <c r="H2571" t="s">
        <v>2938</v>
      </c>
      <c r="I2571">
        <v>368883.25760000001</v>
      </c>
    </row>
    <row r="2572" spans="1:9" x14ac:dyDescent="0.25">
      <c r="A2572" t="s">
        <v>9616</v>
      </c>
      <c r="C2572" t="s">
        <v>9617</v>
      </c>
      <c r="D2572" t="str">
        <f>"10144523"</f>
        <v>10144523</v>
      </c>
      <c r="E2572" t="s">
        <v>9189</v>
      </c>
      <c r="F2572" s="1">
        <v>44855</v>
      </c>
      <c r="G2572" t="str">
        <f>"300115"</f>
        <v>300115</v>
      </c>
      <c r="H2572" t="s">
        <v>2938</v>
      </c>
      <c r="I2572">
        <v>399065.12359999999</v>
      </c>
    </row>
    <row r="2573" spans="1:9" x14ac:dyDescent="0.25">
      <c r="A2573" t="s">
        <v>9616</v>
      </c>
      <c r="C2573" t="s">
        <v>9617</v>
      </c>
      <c r="D2573" t="str">
        <f>"10144564"</f>
        <v>10144564</v>
      </c>
      <c r="E2573" t="s">
        <v>2172</v>
      </c>
      <c r="F2573" s="1">
        <v>44855</v>
      </c>
      <c r="G2573" t="str">
        <f>"300115"</f>
        <v>300115</v>
      </c>
      <c r="H2573" t="s">
        <v>2938</v>
      </c>
      <c r="I2573">
        <v>445401.49939999997</v>
      </c>
    </row>
    <row r="2574" spans="1:9" x14ac:dyDescent="0.25">
      <c r="A2574" t="s">
        <v>9616</v>
      </c>
      <c r="C2574" t="s">
        <v>9617</v>
      </c>
      <c r="D2574" t="str">
        <f>"10144565"</f>
        <v>10144565</v>
      </c>
      <c r="E2574" t="s">
        <v>2172</v>
      </c>
      <c r="F2574" s="1">
        <v>44855</v>
      </c>
      <c r="G2574" t="str">
        <f>"300115"</f>
        <v>300115</v>
      </c>
      <c r="H2574" t="s">
        <v>2938</v>
      </c>
      <c r="I2574">
        <v>445404.04479999997</v>
      </c>
    </row>
    <row r="2575" spans="1:9" x14ac:dyDescent="0.25">
      <c r="A2575" t="s">
        <v>9616</v>
      </c>
      <c r="C2575" t="s">
        <v>9617</v>
      </c>
      <c r="D2575" t="str">
        <f>"10144568"</f>
        <v>10144568</v>
      </c>
      <c r="E2575" t="s">
        <v>2172</v>
      </c>
      <c r="F2575" s="1">
        <v>44855</v>
      </c>
      <c r="G2575" t="str">
        <f>"300115"</f>
        <v>300115</v>
      </c>
      <c r="H2575" t="s">
        <v>2938</v>
      </c>
      <c r="I2575">
        <v>445404.04479999997</v>
      </c>
    </row>
    <row r="2576" spans="1:9" x14ac:dyDescent="0.25">
      <c r="A2576" t="s">
        <v>9616</v>
      </c>
      <c r="C2576" t="s">
        <v>9617</v>
      </c>
      <c r="D2576" t="s">
        <v>10906</v>
      </c>
      <c r="E2576" t="s">
        <v>10907</v>
      </c>
      <c r="F2576" s="1">
        <v>44855</v>
      </c>
      <c r="G2576" t="str">
        <f>"300321"</f>
        <v>300321</v>
      </c>
      <c r="H2576" t="s">
        <v>2706</v>
      </c>
      <c r="I2576">
        <v>19000</v>
      </c>
    </row>
    <row r="2577" spans="1:9" x14ac:dyDescent="0.25">
      <c r="A2577" t="s">
        <v>9616</v>
      </c>
      <c r="C2577" t="s">
        <v>9617</v>
      </c>
      <c r="D2577" t="str">
        <f>"22487"</f>
        <v>22487</v>
      </c>
      <c r="F2577" s="1">
        <v>44858</v>
      </c>
      <c r="G2577" t="str">
        <f>"300043"</f>
        <v>300043</v>
      </c>
      <c r="H2577" t="s">
        <v>2876</v>
      </c>
      <c r="I2577">
        <v>2521</v>
      </c>
    </row>
    <row r="2578" spans="1:9" x14ac:dyDescent="0.25">
      <c r="A2578" t="s">
        <v>9616</v>
      </c>
      <c r="C2578" t="s">
        <v>9617</v>
      </c>
      <c r="D2578" t="str">
        <f>"70724"</f>
        <v>70724</v>
      </c>
      <c r="E2578" t="s">
        <v>10880</v>
      </c>
      <c r="F2578" s="1">
        <v>44858</v>
      </c>
      <c r="G2578" t="str">
        <f>"300043"</f>
        <v>300043</v>
      </c>
      <c r="H2578" t="s">
        <v>2876</v>
      </c>
      <c r="I2578">
        <v>995</v>
      </c>
    </row>
    <row r="2579" spans="1:9" x14ac:dyDescent="0.25">
      <c r="A2579" t="s">
        <v>9616</v>
      </c>
      <c r="C2579" t="s">
        <v>9617</v>
      </c>
      <c r="D2579" t="str">
        <f>"70767"</f>
        <v>70767</v>
      </c>
      <c r="E2579" t="s">
        <v>10908</v>
      </c>
      <c r="F2579" s="1">
        <v>44858</v>
      </c>
      <c r="G2579" t="str">
        <f>"300043"</f>
        <v>300043</v>
      </c>
      <c r="H2579" t="s">
        <v>2876</v>
      </c>
      <c r="I2579">
        <v>1469</v>
      </c>
    </row>
    <row r="2580" spans="1:9" x14ac:dyDescent="0.25">
      <c r="A2580" t="s">
        <v>9616</v>
      </c>
      <c r="C2580" t="s">
        <v>9617</v>
      </c>
      <c r="D2580" t="str">
        <f>"553522"</f>
        <v>553522</v>
      </c>
      <c r="E2580" t="s">
        <v>10908</v>
      </c>
      <c r="F2580" s="1">
        <v>44858</v>
      </c>
      <c r="G2580" t="str">
        <f>"300101"</f>
        <v>300101</v>
      </c>
      <c r="H2580" t="s">
        <v>2926</v>
      </c>
      <c r="I2580">
        <v>3478.05</v>
      </c>
    </row>
    <row r="2581" spans="1:9" x14ac:dyDescent="0.25">
      <c r="A2581" t="s">
        <v>9616</v>
      </c>
      <c r="C2581" t="s">
        <v>9617</v>
      </c>
      <c r="D2581" t="str">
        <f>"553622"</f>
        <v>553622</v>
      </c>
      <c r="E2581" t="s">
        <v>10880</v>
      </c>
      <c r="F2581" s="1">
        <v>44858</v>
      </c>
      <c r="G2581" t="str">
        <f>"300101"</f>
        <v>300101</v>
      </c>
      <c r="H2581" t="s">
        <v>2926</v>
      </c>
      <c r="I2581">
        <v>3478.74</v>
      </c>
    </row>
    <row r="2582" spans="1:9" x14ac:dyDescent="0.25">
      <c r="A2582" t="s">
        <v>9616</v>
      </c>
      <c r="C2582" t="s">
        <v>9617</v>
      </c>
      <c r="D2582" t="str">
        <f>"10144570"</f>
        <v>10144570</v>
      </c>
      <c r="E2582" t="s">
        <v>1928</v>
      </c>
      <c r="F2582" s="1">
        <v>44858</v>
      </c>
      <c r="G2582" t="str">
        <f>"300115"</f>
        <v>300115</v>
      </c>
      <c r="H2582" t="s">
        <v>2938</v>
      </c>
      <c r="I2582">
        <v>130636.242</v>
      </c>
    </row>
    <row r="2583" spans="1:9" x14ac:dyDescent="0.25">
      <c r="A2583" t="s">
        <v>9616</v>
      </c>
      <c r="C2583" t="s">
        <v>9617</v>
      </c>
      <c r="D2583" t="str">
        <f>"10144573"</f>
        <v>10144573</v>
      </c>
      <c r="E2583" t="s">
        <v>272</v>
      </c>
      <c r="F2583" s="1">
        <v>44858</v>
      </c>
      <c r="G2583" t="str">
        <f>"300115"</f>
        <v>300115</v>
      </c>
      <c r="H2583" t="s">
        <v>2938</v>
      </c>
      <c r="I2583">
        <v>130623.57</v>
      </c>
    </row>
    <row r="2584" spans="1:9" x14ac:dyDescent="0.25">
      <c r="A2584" t="s">
        <v>9616</v>
      </c>
      <c r="C2584" t="s">
        <v>9617</v>
      </c>
      <c r="D2584" t="str">
        <f>"70071"</f>
        <v>70071</v>
      </c>
      <c r="E2584" t="s">
        <v>10909</v>
      </c>
      <c r="F2584" s="1">
        <v>44859</v>
      </c>
      <c r="G2584" t="str">
        <f t="shared" ref="G2584:G2589" si="14">"300043"</f>
        <v>300043</v>
      </c>
      <c r="H2584" t="s">
        <v>2876</v>
      </c>
      <c r="I2584">
        <v>801</v>
      </c>
    </row>
    <row r="2585" spans="1:9" x14ac:dyDescent="0.25">
      <c r="A2585" t="s">
        <v>9616</v>
      </c>
      <c r="C2585" t="s">
        <v>9617</v>
      </c>
      <c r="D2585" t="str">
        <f>"70936"</f>
        <v>70936</v>
      </c>
      <c r="E2585" t="s">
        <v>10910</v>
      </c>
      <c r="F2585" s="1">
        <v>44859</v>
      </c>
      <c r="G2585" t="str">
        <f t="shared" si="14"/>
        <v>300043</v>
      </c>
      <c r="H2585" t="s">
        <v>2876</v>
      </c>
      <c r="I2585">
        <v>1186</v>
      </c>
    </row>
    <row r="2586" spans="1:9" x14ac:dyDescent="0.25">
      <c r="A2586" t="s">
        <v>9616</v>
      </c>
      <c r="C2586" t="s">
        <v>9617</v>
      </c>
      <c r="D2586" t="str">
        <f>"70955"</f>
        <v>70955</v>
      </c>
      <c r="E2586" t="s">
        <v>10907</v>
      </c>
      <c r="F2586" s="1">
        <v>44859</v>
      </c>
      <c r="G2586" t="str">
        <f t="shared" si="14"/>
        <v>300043</v>
      </c>
      <c r="H2586" t="s">
        <v>2876</v>
      </c>
      <c r="I2586">
        <v>1424</v>
      </c>
    </row>
    <row r="2587" spans="1:9" x14ac:dyDescent="0.25">
      <c r="A2587" t="s">
        <v>9616</v>
      </c>
      <c r="C2587" t="s">
        <v>9617</v>
      </c>
      <c r="D2587" t="str">
        <f>"71089"</f>
        <v>71089</v>
      </c>
      <c r="E2587" t="s">
        <v>10911</v>
      </c>
      <c r="F2587" s="1">
        <v>44859</v>
      </c>
      <c r="G2587" t="str">
        <f t="shared" si="14"/>
        <v>300043</v>
      </c>
      <c r="H2587" t="s">
        <v>2876</v>
      </c>
      <c r="I2587">
        <v>1622</v>
      </c>
    </row>
    <row r="2588" spans="1:9" x14ac:dyDescent="0.25">
      <c r="A2588" t="s">
        <v>9616</v>
      </c>
      <c r="C2588" t="s">
        <v>9617</v>
      </c>
      <c r="D2588" t="str">
        <f>"71118"</f>
        <v>71118</v>
      </c>
      <c r="E2588" t="s">
        <v>10912</v>
      </c>
      <c r="F2588" s="1">
        <v>44859</v>
      </c>
      <c r="G2588" t="str">
        <f t="shared" si="14"/>
        <v>300043</v>
      </c>
      <c r="H2588" t="s">
        <v>2876</v>
      </c>
      <c r="I2588">
        <v>1622</v>
      </c>
    </row>
    <row r="2589" spans="1:9" x14ac:dyDescent="0.25">
      <c r="A2589" t="s">
        <v>9616</v>
      </c>
      <c r="C2589" t="s">
        <v>9617</v>
      </c>
      <c r="D2589" t="str">
        <f>"71120"</f>
        <v>71120</v>
      </c>
      <c r="E2589" t="s">
        <v>10913</v>
      </c>
      <c r="F2589" s="1">
        <v>44859</v>
      </c>
      <c r="G2589" t="str">
        <f t="shared" si="14"/>
        <v>300043</v>
      </c>
      <c r="H2589" t="s">
        <v>2876</v>
      </c>
      <c r="I2589">
        <v>1000</v>
      </c>
    </row>
    <row r="2590" spans="1:9" x14ac:dyDescent="0.25">
      <c r="A2590" t="s">
        <v>9616</v>
      </c>
      <c r="C2590" t="s">
        <v>9617</v>
      </c>
      <c r="D2590" t="str">
        <f>"553722"</f>
        <v>553722</v>
      </c>
      <c r="E2590" t="s">
        <v>10909</v>
      </c>
      <c r="F2590" s="1">
        <v>44859</v>
      </c>
      <c r="G2590" t="str">
        <f>"300101"</f>
        <v>300101</v>
      </c>
      <c r="H2590" t="s">
        <v>2926</v>
      </c>
      <c r="I2590">
        <v>5463.91</v>
      </c>
    </row>
    <row r="2591" spans="1:9" x14ac:dyDescent="0.25">
      <c r="A2591" t="s">
        <v>9616</v>
      </c>
      <c r="C2591" t="s">
        <v>9617</v>
      </c>
      <c r="D2591" t="str">
        <f>"553822"</f>
        <v>553822</v>
      </c>
      <c r="E2591" t="s">
        <v>10910</v>
      </c>
      <c r="F2591" s="1">
        <v>44859</v>
      </c>
      <c r="G2591" t="str">
        <f>"300101"</f>
        <v>300101</v>
      </c>
      <c r="H2591" t="s">
        <v>2926</v>
      </c>
      <c r="I2591">
        <v>3483.42</v>
      </c>
    </row>
    <row r="2592" spans="1:9" x14ac:dyDescent="0.25">
      <c r="A2592" t="s">
        <v>9616</v>
      </c>
      <c r="C2592" t="s">
        <v>9617</v>
      </c>
      <c r="D2592" t="str">
        <f>"554122"</f>
        <v>554122</v>
      </c>
      <c r="E2592" t="s">
        <v>10912</v>
      </c>
      <c r="F2592" s="1">
        <v>44859</v>
      </c>
      <c r="G2592" t="str">
        <f>"300101"</f>
        <v>300101</v>
      </c>
      <c r="H2592" t="s">
        <v>2926</v>
      </c>
      <c r="I2592">
        <v>3327.01</v>
      </c>
    </row>
    <row r="2593" spans="1:9" x14ac:dyDescent="0.25">
      <c r="A2593" t="s">
        <v>9616</v>
      </c>
      <c r="C2593" t="s">
        <v>9617</v>
      </c>
      <c r="D2593" t="str">
        <f>"554322"</f>
        <v>554322</v>
      </c>
      <c r="E2593" t="s">
        <v>10911</v>
      </c>
      <c r="F2593" s="1">
        <v>44859</v>
      </c>
      <c r="G2593" t="str">
        <f>"300101"</f>
        <v>300101</v>
      </c>
      <c r="H2593" t="s">
        <v>2926</v>
      </c>
      <c r="I2593">
        <v>3169.59</v>
      </c>
    </row>
    <row r="2594" spans="1:9" x14ac:dyDescent="0.25">
      <c r="A2594" t="s">
        <v>9616</v>
      </c>
      <c r="C2594" t="s">
        <v>9617</v>
      </c>
      <c r="D2594" t="str">
        <f>"554422"</f>
        <v>554422</v>
      </c>
      <c r="E2594" t="s">
        <v>10913</v>
      </c>
      <c r="F2594" s="1">
        <v>44859</v>
      </c>
      <c r="G2594" t="str">
        <f>"300101"</f>
        <v>300101</v>
      </c>
      <c r="H2594" t="s">
        <v>2926</v>
      </c>
      <c r="I2594">
        <v>3799.28</v>
      </c>
    </row>
    <row r="2595" spans="1:9" x14ac:dyDescent="0.25">
      <c r="A2595" t="s">
        <v>9616</v>
      </c>
      <c r="C2595" t="s">
        <v>9617</v>
      </c>
      <c r="D2595" t="str">
        <f>"10144621"</f>
        <v>10144621</v>
      </c>
      <c r="E2595" t="s">
        <v>2014</v>
      </c>
      <c r="F2595" s="1">
        <v>44859</v>
      </c>
      <c r="G2595" t="str">
        <f>"300115"</f>
        <v>300115</v>
      </c>
      <c r="H2595" t="s">
        <v>2938</v>
      </c>
      <c r="I2595">
        <v>130636.242</v>
      </c>
    </row>
    <row r="2596" spans="1:9" x14ac:dyDescent="0.25">
      <c r="A2596" t="s">
        <v>9616</v>
      </c>
      <c r="C2596" t="s">
        <v>9617</v>
      </c>
      <c r="D2596" t="str">
        <f>"10144622"</f>
        <v>10144622</v>
      </c>
      <c r="E2596" t="s">
        <v>9189</v>
      </c>
      <c r="F2596" s="1">
        <v>44859</v>
      </c>
      <c r="G2596" t="str">
        <f>"300115"</f>
        <v>300115</v>
      </c>
      <c r="H2596" t="s">
        <v>2938</v>
      </c>
      <c r="I2596">
        <v>384311.79599999997</v>
      </c>
    </row>
    <row r="2597" spans="1:9" x14ac:dyDescent="0.25">
      <c r="A2597" t="s">
        <v>9616</v>
      </c>
      <c r="C2597" t="s">
        <v>9617</v>
      </c>
      <c r="D2597" t="str">
        <f>"10144671"</f>
        <v>10144671</v>
      </c>
      <c r="E2597" t="s">
        <v>10914</v>
      </c>
      <c r="F2597" s="1">
        <v>44859</v>
      </c>
      <c r="G2597" t="str">
        <f>"300115"</f>
        <v>300115</v>
      </c>
      <c r="H2597" t="s">
        <v>2938</v>
      </c>
      <c r="I2597">
        <v>112150.3504</v>
      </c>
    </row>
    <row r="2598" spans="1:9" x14ac:dyDescent="0.25">
      <c r="A2598" t="s">
        <v>9616</v>
      </c>
      <c r="C2598" t="s">
        <v>9617</v>
      </c>
      <c r="D2598" t="str">
        <f>"10144672"</f>
        <v>10144672</v>
      </c>
      <c r="E2598" t="s">
        <v>10915</v>
      </c>
      <c r="F2598" s="1">
        <v>44859</v>
      </c>
      <c r="G2598" t="str">
        <f>"300115"</f>
        <v>300115</v>
      </c>
      <c r="H2598" t="s">
        <v>2938</v>
      </c>
      <c r="I2598">
        <v>196039.02559999999</v>
      </c>
    </row>
    <row r="2599" spans="1:9" x14ac:dyDescent="0.25">
      <c r="A2599" t="s">
        <v>9616</v>
      </c>
      <c r="C2599" t="s">
        <v>9617</v>
      </c>
      <c r="D2599" t="str">
        <f>"10144674"</f>
        <v>10144674</v>
      </c>
      <c r="E2599" t="s">
        <v>9189</v>
      </c>
      <c r="F2599" s="1">
        <v>44859</v>
      </c>
      <c r="G2599" t="str">
        <f>"300115"</f>
        <v>300115</v>
      </c>
      <c r="H2599" t="s">
        <v>2938</v>
      </c>
      <c r="I2599">
        <v>399065.12359999999</v>
      </c>
    </row>
    <row r="2600" spans="1:9" x14ac:dyDescent="0.25">
      <c r="A2600" t="s">
        <v>9616</v>
      </c>
      <c r="C2600" t="s">
        <v>9617</v>
      </c>
      <c r="D2600" t="str">
        <f>"2022008139"</f>
        <v>2022008139</v>
      </c>
      <c r="E2600" t="s">
        <v>10890</v>
      </c>
      <c r="F2600" s="1">
        <v>44859</v>
      </c>
      <c r="G2600" t="str">
        <f>"300191"</f>
        <v>300191</v>
      </c>
      <c r="H2600" t="s">
        <v>3008</v>
      </c>
      <c r="I2600">
        <v>3179.36</v>
      </c>
    </row>
    <row r="2601" spans="1:9" x14ac:dyDescent="0.25">
      <c r="A2601" t="s">
        <v>9616</v>
      </c>
      <c r="C2601" t="s">
        <v>9617</v>
      </c>
      <c r="D2601" t="str">
        <f>"2022008143"</f>
        <v>2022008143</v>
      </c>
      <c r="E2601" t="s">
        <v>10902</v>
      </c>
      <c r="F2601" s="1">
        <v>44859</v>
      </c>
      <c r="G2601" t="str">
        <f>"300191"</f>
        <v>300191</v>
      </c>
      <c r="H2601" t="s">
        <v>3008</v>
      </c>
      <c r="I2601">
        <v>3172.96</v>
      </c>
    </row>
    <row r="2602" spans="1:9" x14ac:dyDescent="0.25">
      <c r="A2602" t="s">
        <v>9616</v>
      </c>
      <c r="C2602" t="s">
        <v>9617</v>
      </c>
      <c r="D2602" t="str">
        <f>"2022008164"</f>
        <v>2022008164</v>
      </c>
      <c r="E2602" t="s">
        <v>10888</v>
      </c>
      <c r="F2602" s="1">
        <v>44859</v>
      </c>
      <c r="G2602" t="str">
        <f>"300191"</f>
        <v>300191</v>
      </c>
      <c r="H2602" t="s">
        <v>3008</v>
      </c>
      <c r="I2602">
        <v>3336.27</v>
      </c>
    </row>
    <row r="2603" spans="1:9" x14ac:dyDescent="0.25">
      <c r="A2603" t="s">
        <v>9616</v>
      </c>
      <c r="C2603" t="s">
        <v>9617</v>
      </c>
      <c r="D2603" t="str">
        <f>"2022008166"</f>
        <v>2022008166</v>
      </c>
      <c r="E2603" t="s">
        <v>10900</v>
      </c>
      <c r="F2603" s="1">
        <v>44859</v>
      </c>
      <c r="G2603" t="str">
        <f>"300191"</f>
        <v>300191</v>
      </c>
      <c r="H2603" t="s">
        <v>3008</v>
      </c>
      <c r="I2603">
        <v>3172.96</v>
      </c>
    </row>
    <row r="2604" spans="1:9" x14ac:dyDescent="0.25">
      <c r="A2604" t="s">
        <v>9616</v>
      </c>
      <c r="C2604" t="s">
        <v>9617</v>
      </c>
      <c r="D2604" t="s">
        <v>10916</v>
      </c>
      <c r="E2604" t="s">
        <v>10917</v>
      </c>
      <c r="F2604" s="1">
        <v>44859</v>
      </c>
      <c r="G2604" t="str">
        <f>"300321"</f>
        <v>300321</v>
      </c>
      <c r="H2604" t="s">
        <v>2706</v>
      </c>
      <c r="I2604">
        <v>19000</v>
      </c>
    </row>
    <row r="2605" spans="1:9" x14ac:dyDescent="0.25">
      <c r="A2605" t="s">
        <v>9616</v>
      </c>
      <c r="C2605" t="s">
        <v>9617</v>
      </c>
      <c r="D2605" t="str">
        <f>"71154"</f>
        <v>71154</v>
      </c>
      <c r="E2605" t="s">
        <v>10918</v>
      </c>
      <c r="F2605" s="1">
        <v>44860</v>
      </c>
      <c r="G2605" t="str">
        <f>"300043"</f>
        <v>300043</v>
      </c>
      <c r="H2605" t="s">
        <v>2876</v>
      </c>
      <c r="I2605">
        <v>1476</v>
      </c>
    </row>
    <row r="2606" spans="1:9" x14ac:dyDescent="0.25">
      <c r="A2606" t="s">
        <v>9616</v>
      </c>
      <c r="C2606" t="s">
        <v>9617</v>
      </c>
      <c r="D2606" t="str">
        <f>"554222"</f>
        <v>554222</v>
      </c>
      <c r="E2606" t="s">
        <v>10918</v>
      </c>
      <c r="F2606" s="1">
        <v>44860</v>
      </c>
      <c r="G2606" t="str">
        <f>"300101"</f>
        <v>300101</v>
      </c>
      <c r="H2606" t="s">
        <v>2926</v>
      </c>
      <c r="I2606">
        <v>3648.72</v>
      </c>
    </row>
    <row r="2607" spans="1:9" x14ac:dyDescent="0.25">
      <c r="A2607" t="s">
        <v>9616</v>
      </c>
      <c r="C2607" t="s">
        <v>9617</v>
      </c>
      <c r="D2607" t="str">
        <f>"10144673"</f>
        <v>10144673</v>
      </c>
      <c r="E2607" t="s">
        <v>10844</v>
      </c>
      <c r="F2607" s="1">
        <v>44860</v>
      </c>
      <c r="G2607" t="str">
        <f>"300115"</f>
        <v>300115</v>
      </c>
      <c r="H2607" t="s">
        <v>2938</v>
      </c>
      <c r="I2607">
        <v>130636.242</v>
      </c>
    </row>
    <row r="2608" spans="1:9" x14ac:dyDescent="0.25">
      <c r="A2608" t="s">
        <v>9616</v>
      </c>
      <c r="C2608" t="s">
        <v>9617</v>
      </c>
      <c r="D2608" t="str">
        <f>"10144676"</f>
        <v>10144676</v>
      </c>
      <c r="E2608" t="s">
        <v>2172</v>
      </c>
      <c r="F2608" s="1">
        <v>44860</v>
      </c>
      <c r="G2608" t="str">
        <f>"300115"</f>
        <v>300115</v>
      </c>
      <c r="H2608" t="s">
        <v>2938</v>
      </c>
      <c r="I2608">
        <v>368883.25760000001</v>
      </c>
    </row>
    <row r="2609" spans="1:9" x14ac:dyDescent="0.25">
      <c r="A2609" t="s">
        <v>9616</v>
      </c>
      <c r="C2609" t="s">
        <v>9617</v>
      </c>
      <c r="D2609" t="str">
        <f>"10144721"</f>
        <v>10144721</v>
      </c>
      <c r="E2609" t="s">
        <v>10919</v>
      </c>
      <c r="F2609" s="1">
        <v>44860</v>
      </c>
      <c r="G2609" t="str">
        <f>"300115"</f>
        <v>300115</v>
      </c>
      <c r="H2609" t="s">
        <v>2938</v>
      </c>
      <c r="I2609">
        <v>130636.242</v>
      </c>
    </row>
    <row r="2610" spans="1:9" x14ac:dyDescent="0.25">
      <c r="A2610" t="s">
        <v>9616</v>
      </c>
      <c r="C2610" t="s">
        <v>9617</v>
      </c>
      <c r="D2610" t="s">
        <v>10920</v>
      </c>
      <c r="E2610" t="s">
        <v>10921</v>
      </c>
      <c r="F2610" s="1">
        <v>44860</v>
      </c>
      <c r="G2610" t="str">
        <f>"300321"</f>
        <v>300321</v>
      </c>
      <c r="H2610" t="s">
        <v>2706</v>
      </c>
      <c r="I2610">
        <v>18000</v>
      </c>
    </row>
    <row r="2611" spans="1:9" x14ac:dyDescent="0.25">
      <c r="A2611" t="s">
        <v>9616</v>
      </c>
      <c r="C2611" t="s">
        <v>9617</v>
      </c>
      <c r="D2611" t="str">
        <f>"71418"</f>
        <v>71418</v>
      </c>
      <c r="E2611" t="s">
        <v>10922</v>
      </c>
      <c r="F2611" s="1">
        <v>44861</v>
      </c>
      <c r="G2611" t="str">
        <f t="shared" ref="G2611:G2616" si="15">"300043"</f>
        <v>300043</v>
      </c>
      <c r="H2611" t="s">
        <v>2876</v>
      </c>
      <c r="I2611">
        <v>1197</v>
      </c>
    </row>
    <row r="2612" spans="1:9" x14ac:dyDescent="0.25">
      <c r="A2612" t="s">
        <v>9616</v>
      </c>
      <c r="C2612" t="s">
        <v>9617</v>
      </c>
      <c r="D2612" t="str">
        <f>"71478"</f>
        <v>71478</v>
      </c>
      <c r="E2612" t="s">
        <v>10923</v>
      </c>
      <c r="F2612" s="1">
        <v>44861</v>
      </c>
      <c r="G2612" t="str">
        <f t="shared" si="15"/>
        <v>300043</v>
      </c>
      <c r="H2612" t="s">
        <v>2876</v>
      </c>
      <c r="I2612">
        <v>596</v>
      </c>
    </row>
    <row r="2613" spans="1:9" x14ac:dyDescent="0.25">
      <c r="A2613" t="s">
        <v>9616</v>
      </c>
      <c r="C2613" t="s">
        <v>9617</v>
      </c>
      <c r="D2613" t="str">
        <f>"71487"</f>
        <v>71487</v>
      </c>
      <c r="E2613" t="s">
        <v>10924</v>
      </c>
      <c r="F2613" s="1">
        <v>44861</v>
      </c>
      <c r="G2613" t="str">
        <f t="shared" si="15"/>
        <v>300043</v>
      </c>
      <c r="H2613" t="s">
        <v>2876</v>
      </c>
      <c r="I2613">
        <v>1638</v>
      </c>
    </row>
    <row r="2614" spans="1:9" x14ac:dyDescent="0.25">
      <c r="A2614" t="s">
        <v>9616</v>
      </c>
      <c r="C2614" t="s">
        <v>9617</v>
      </c>
      <c r="D2614" t="str">
        <f>"71489"</f>
        <v>71489</v>
      </c>
      <c r="E2614" t="s">
        <v>10917</v>
      </c>
      <c r="F2614" s="1">
        <v>44861</v>
      </c>
      <c r="G2614" t="str">
        <f t="shared" si="15"/>
        <v>300043</v>
      </c>
      <c r="H2614" t="s">
        <v>2876</v>
      </c>
      <c r="I2614">
        <v>1488</v>
      </c>
    </row>
    <row r="2615" spans="1:9" x14ac:dyDescent="0.25">
      <c r="A2615" t="s">
        <v>9616</v>
      </c>
      <c r="C2615" t="s">
        <v>9617</v>
      </c>
      <c r="D2615" t="str">
        <f>"71554"</f>
        <v>71554</v>
      </c>
      <c r="E2615" t="s">
        <v>10925</v>
      </c>
      <c r="F2615" s="1">
        <v>44861</v>
      </c>
      <c r="G2615" t="str">
        <f t="shared" si="15"/>
        <v>300043</v>
      </c>
      <c r="H2615" t="s">
        <v>2876</v>
      </c>
      <c r="I2615">
        <v>596</v>
      </c>
    </row>
    <row r="2616" spans="1:9" x14ac:dyDescent="0.25">
      <c r="A2616" t="s">
        <v>9616</v>
      </c>
      <c r="C2616" t="s">
        <v>9617</v>
      </c>
      <c r="D2616" t="str">
        <f>"71667"</f>
        <v>71667</v>
      </c>
      <c r="E2616" t="s">
        <v>10926</v>
      </c>
      <c r="F2616" s="1">
        <v>44861</v>
      </c>
      <c r="G2616" t="str">
        <f t="shared" si="15"/>
        <v>300043</v>
      </c>
      <c r="H2616" t="s">
        <v>2876</v>
      </c>
      <c r="I2616">
        <v>1184</v>
      </c>
    </row>
    <row r="2617" spans="1:9" x14ac:dyDescent="0.25">
      <c r="A2617" t="s">
        <v>9616</v>
      </c>
      <c r="C2617" t="s">
        <v>9617</v>
      </c>
      <c r="D2617" t="str">
        <f>"580922"</f>
        <v>580922</v>
      </c>
      <c r="E2617" t="s">
        <v>10923</v>
      </c>
      <c r="F2617" s="1">
        <v>44861</v>
      </c>
      <c r="G2617" t="str">
        <f>"300101"</f>
        <v>300101</v>
      </c>
      <c r="H2617" t="s">
        <v>2926</v>
      </c>
      <c r="I2617">
        <v>3823.96</v>
      </c>
    </row>
    <row r="2618" spans="1:9" x14ac:dyDescent="0.25">
      <c r="A2618" t="s">
        <v>9616</v>
      </c>
      <c r="C2618" t="s">
        <v>9617</v>
      </c>
      <c r="D2618" t="str">
        <f>"581022"</f>
        <v>581022</v>
      </c>
      <c r="E2618" t="s">
        <v>10927</v>
      </c>
      <c r="F2618" s="1">
        <v>44861</v>
      </c>
      <c r="G2618" t="str">
        <f>"300101"</f>
        <v>300101</v>
      </c>
      <c r="H2618" t="s">
        <v>2926</v>
      </c>
      <c r="I2618">
        <v>3350.19</v>
      </c>
    </row>
    <row r="2619" spans="1:9" x14ac:dyDescent="0.25">
      <c r="A2619" t="s">
        <v>9616</v>
      </c>
      <c r="C2619" t="s">
        <v>9617</v>
      </c>
      <c r="D2619" t="str">
        <f>"581222"</f>
        <v>581222</v>
      </c>
      <c r="E2619" t="s">
        <v>10925</v>
      </c>
      <c r="F2619" s="1">
        <v>44861</v>
      </c>
      <c r="G2619" t="str">
        <f>"300101"</f>
        <v>300101</v>
      </c>
      <c r="H2619" t="s">
        <v>2926</v>
      </c>
      <c r="I2619">
        <v>3191.84</v>
      </c>
    </row>
    <row r="2620" spans="1:9" x14ac:dyDescent="0.25">
      <c r="A2620" t="s">
        <v>9616</v>
      </c>
      <c r="C2620" t="s">
        <v>9617</v>
      </c>
      <c r="D2620" t="str">
        <f>"581322"</f>
        <v>581322</v>
      </c>
      <c r="E2620" t="s">
        <v>10924</v>
      </c>
      <c r="F2620" s="1">
        <v>44861</v>
      </c>
      <c r="G2620" t="str">
        <f>"300101"</f>
        <v>300101</v>
      </c>
      <c r="H2620" t="s">
        <v>2926</v>
      </c>
      <c r="I2620">
        <v>3508.95</v>
      </c>
    </row>
    <row r="2621" spans="1:9" x14ac:dyDescent="0.25">
      <c r="A2621" t="s">
        <v>9616</v>
      </c>
      <c r="C2621" t="s">
        <v>9617</v>
      </c>
      <c r="D2621" t="str">
        <f>"581622"</f>
        <v>581622</v>
      </c>
      <c r="E2621" t="s">
        <v>10922</v>
      </c>
      <c r="F2621" s="1">
        <v>44861</v>
      </c>
      <c r="G2621" t="str">
        <f>"300101"</f>
        <v>300101</v>
      </c>
      <c r="H2621" t="s">
        <v>2926</v>
      </c>
      <c r="I2621">
        <v>4143.18</v>
      </c>
    </row>
    <row r="2622" spans="1:9" x14ac:dyDescent="0.25">
      <c r="A2622" t="s">
        <v>9616</v>
      </c>
      <c r="C2622" t="s">
        <v>9617</v>
      </c>
      <c r="D2622" t="str">
        <f>"10144728"</f>
        <v>10144728</v>
      </c>
      <c r="E2622" t="s">
        <v>2695</v>
      </c>
      <c r="F2622" s="1">
        <v>44861</v>
      </c>
      <c r="G2622" t="str">
        <f>"300115"</f>
        <v>300115</v>
      </c>
      <c r="H2622" t="s">
        <v>2938</v>
      </c>
      <c r="I2622">
        <v>368883.25760000001</v>
      </c>
    </row>
    <row r="2623" spans="1:9" x14ac:dyDescent="0.25">
      <c r="A2623" t="s">
        <v>9616</v>
      </c>
      <c r="C2623" t="s">
        <v>9617</v>
      </c>
      <c r="D2623" t="str">
        <f>"2022008253"</f>
        <v>2022008253</v>
      </c>
      <c r="E2623" t="s">
        <v>10907</v>
      </c>
      <c r="F2623" s="1">
        <v>44861</v>
      </c>
      <c r="G2623" t="str">
        <f>"300191"</f>
        <v>300191</v>
      </c>
      <c r="H2623" t="s">
        <v>3008</v>
      </c>
      <c r="I2623">
        <v>3643.84</v>
      </c>
    </row>
    <row r="2624" spans="1:9" x14ac:dyDescent="0.25">
      <c r="A2624" t="s">
        <v>9616</v>
      </c>
      <c r="C2624" t="s">
        <v>9617</v>
      </c>
      <c r="D2624" t="s">
        <v>10928</v>
      </c>
      <c r="E2624" t="s">
        <v>10929</v>
      </c>
      <c r="F2624" s="1">
        <v>44861</v>
      </c>
      <c r="G2624" t="str">
        <f>"300321"</f>
        <v>300321</v>
      </c>
      <c r="H2624" t="s">
        <v>2706</v>
      </c>
      <c r="I2624">
        <v>18000</v>
      </c>
    </row>
    <row r="2625" spans="1:9" x14ac:dyDescent="0.25">
      <c r="A2625" t="s">
        <v>9616</v>
      </c>
      <c r="C2625" t="s">
        <v>9617</v>
      </c>
      <c r="D2625" t="str">
        <f>"71748"</f>
        <v>71748</v>
      </c>
      <c r="E2625" t="s">
        <v>10921</v>
      </c>
      <c r="F2625" s="1">
        <v>44862</v>
      </c>
      <c r="G2625" t="str">
        <f>"300043"</f>
        <v>300043</v>
      </c>
      <c r="H2625" t="s">
        <v>2876</v>
      </c>
      <c r="I2625">
        <v>1433</v>
      </c>
    </row>
    <row r="2626" spans="1:9" x14ac:dyDescent="0.25">
      <c r="A2626" t="s">
        <v>9616</v>
      </c>
      <c r="C2626" t="s">
        <v>9617</v>
      </c>
      <c r="D2626" t="str">
        <f>"71906"</f>
        <v>71906</v>
      </c>
      <c r="E2626" t="s">
        <v>10930</v>
      </c>
      <c r="F2626" s="1">
        <v>44862</v>
      </c>
      <c r="G2626" t="str">
        <f>"300043"</f>
        <v>300043</v>
      </c>
      <c r="H2626" t="s">
        <v>2876</v>
      </c>
      <c r="I2626">
        <v>596</v>
      </c>
    </row>
    <row r="2627" spans="1:9" x14ac:dyDescent="0.25">
      <c r="A2627" t="s">
        <v>9616</v>
      </c>
      <c r="C2627" t="s">
        <v>9617</v>
      </c>
      <c r="D2627" t="str">
        <f>"71912"</f>
        <v>71912</v>
      </c>
      <c r="E2627" t="s">
        <v>10931</v>
      </c>
      <c r="F2627" s="1">
        <v>44862</v>
      </c>
      <c r="G2627" t="str">
        <f>"300043"</f>
        <v>300043</v>
      </c>
      <c r="H2627" t="s">
        <v>2876</v>
      </c>
      <c r="I2627">
        <v>596</v>
      </c>
    </row>
    <row r="2628" spans="1:9" x14ac:dyDescent="0.25">
      <c r="A2628" t="s">
        <v>9616</v>
      </c>
      <c r="C2628" t="s">
        <v>9617</v>
      </c>
      <c r="D2628" t="str">
        <f>"581122"</f>
        <v>581122</v>
      </c>
      <c r="E2628" t="s">
        <v>10931</v>
      </c>
      <c r="F2628" s="1">
        <v>44862</v>
      </c>
      <c r="G2628" t="str">
        <f>"300101"</f>
        <v>300101</v>
      </c>
      <c r="H2628" t="s">
        <v>2926</v>
      </c>
      <c r="I2628">
        <v>3500.75</v>
      </c>
    </row>
    <row r="2629" spans="1:9" x14ac:dyDescent="0.25">
      <c r="A2629" t="s">
        <v>9616</v>
      </c>
      <c r="C2629" t="s">
        <v>9617</v>
      </c>
      <c r="D2629" t="str">
        <f>"581922"</f>
        <v>581922</v>
      </c>
      <c r="E2629" t="s">
        <v>10930</v>
      </c>
      <c r="F2629" s="1">
        <v>44862</v>
      </c>
      <c r="G2629" t="str">
        <f>"300101"</f>
        <v>300101</v>
      </c>
      <c r="H2629" t="s">
        <v>2926</v>
      </c>
      <c r="I2629">
        <v>3347.43</v>
      </c>
    </row>
    <row r="2630" spans="1:9" x14ac:dyDescent="0.25">
      <c r="A2630" t="s">
        <v>9616</v>
      </c>
      <c r="C2630" t="s">
        <v>9617</v>
      </c>
      <c r="D2630" t="str">
        <f>"10144763"</f>
        <v>10144763</v>
      </c>
      <c r="E2630" t="s">
        <v>10844</v>
      </c>
      <c r="F2630" s="1">
        <v>44862</v>
      </c>
      <c r="G2630" t="str">
        <f>"300115"</f>
        <v>300115</v>
      </c>
      <c r="H2630" t="s">
        <v>2938</v>
      </c>
      <c r="I2630">
        <v>130636.242</v>
      </c>
    </row>
    <row r="2631" spans="1:9" x14ac:dyDescent="0.25">
      <c r="A2631" t="s">
        <v>9616</v>
      </c>
      <c r="C2631" t="s">
        <v>9617</v>
      </c>
      <c r="D2631" t="str">
        <f>"558622"</f>
        <v>558622</v>
      </c>
      <c r="E2631" t="s">
        <v>10909</v>
      </c>
      <c r="F2631" s="1">
        <v>44863</v>
      </c>
      <c r="G2631" t="str">
        <f>"300101"</f>
        <v>300101</v>
      </c>
      <c r="H2631" t="s">
        <v>2926</v>
      </c>
      <c r="I2631">
        <v>1017.98</v>
      </c>
    </row>
    <row r="2632" spans="1:9" x14ac:dyDescent="0.25">
      <c r="A2632" t="s">
        <v>9616</v>
      </c>
      <c r="C2632" t="s">
        <v>9617</v>
      </c>
      <c r="D2632" t="str">
        <f>"2022008395"</f>
        <v>2022008395</v>
      </c>
      <c r="E2632" t="s">
        <v>10921</v>
      </c>
      <c r="F2632" s="1">
        <v>44864</v>
      </c>
      <c r="G2632" t="str">
        <f>"300191"</f>
        <v>300191</v>
      </c>
      <c r="H2632" t="s">
        <v>3008</v>
      </c>
      <c r="I2632">
        <v>3192.58</v>
      </c>
    </row>
    <row r="2633" spans="1:9" x14ac:dyDescent="0.25">
      <c r="A2633" t="s">
        <v>9616</v>
      </c>
      <c r="C2633" t="s">
        <v>9617</v>
      </c>
      <c r="D2633" t="str">
        <f>"23007"</f>
        <v>23007</v>
      </c>
      <c r="F2633" s="1">
        <v>44865</v>
      </c>
      <c r="G2633" t="str">
        <f>"300043"</f>
        <v>300043</v>
      </c>
      <c r="H2633" t="s">
        <v>2876</v>
      </c>
      <c r="I2633">
        <v>3592</v>
      </c>
    </row>
    <row r="2634" spans="1:9" x14ac:dyDescent="0.25">
      <c r="A2634" t="s">
        <v>9616</v>
      </c>
      <c r="C2634" t="s">
        <v>9617</v>
      </c>
      <c r="D2634" t="str">
        <f>"72096"</f>
        <v>72096</v>
      </c>
      <c r="E2634" t="s">
        <v>10929</v>
      </c>
      <c r="F2634" s="1">
        <v>44865</v>
      </c>
      <c r="G2634" t="str">
        <f>"300043"</f>
        <v>300043</v>
      </c>
      <c r="H2634" t="s">
        <v>2876</v>
      </c>
      <c r="I2634">
        <v>1429</v>
      </c>
    </row>
    <row r="2635" spans="1:9" x14ac:dyDescent="0.25">
      <c r="A2635" t="s">
        <v>9616</v>
      </c>
      <c r="C2635" t="s">
        <v>9617</v>
      </c>
      <c r="D2635" t="str">
        <f>"72406"</f>
        <v>72406</v>
      </c>
      <c r="E2635" t="s">
        <v>10894</v>
      </c>
      <c r="F2635" s="1">
        <v>44865</v>
      </c>
      <c r="G2635" t="str">
        <f>"300043"</f>
        <v>300043</v>
      </c>
      <c r="H2635" t="s">
        <v>2876</v>
      </c>
      <c r="I2635">
        <v>1488</v>
      </c>
    </row>
    <row r="2636" spans="1:9" x14ac:dyDescent="0.25">
      <c r="A2636" t="s">
        <v>9616</v>
      </c>
      <c r="C2636" t="s">
        <v>9617</v>
      </c>
      <c r="D2636" t="str">
        <f>"72456"</f>
        <v>72456</v>
      </c>
      <c r="E2636" t="s">
        <v>10932</v>
      </c>
      <c r="F2636" s="1">
        <v>44865</v>
      </c>
      <c r="G2636" t="str">
        <f>"300043"</f>
        <v>300043</v>
      </c>
      <c r="H2636" t="s">
        <v>2876</v>
      </c>
      <c r="I2636">
        <v>1481</v>
      </c>
    </row>
    <row r="2637" spans="1:9" x14ac:dyDescent="0.25">
      <c r="A2637" t="s">
        <v>9616</v>
      </c>
      <c r="C2637" t="s">
        <v>9617</v>
      </c>
      <c r="D2637" t="str">
        <f>"581822"</f>
        <v>581822</v>
      </c>
      <c r="E2637" t="s">
        <v>10932</v>
      </c>
      <c r="F2637" s="1">
        <v>44865</v>
      </c>
      <c r="G2637" t="str">
        <f>"300101"</f>
        <v>300101</v>
      </c>
      <c r="H2637" t="s">
        <v>2926</v>
      </c>
      <c r="I2637">
        <v>3816.74</v>
      </c>
    </row>
    <row r="2638" spans="1:9" x14ac:dyDescent="0.25">
      <c r="A2638" t="s">
        <v>9616</v>
      </c>
      <c r="C2638" t="s">
        <v>9617</v>
      </c>
      <c r="D2638" t="s">
        <v>10933</v>
      </c>
      <c r="E2638" t="s">
        <v>10126</v>
      </c>
      <c r="F2638" s="1">
        <v>44865</v>
      </c>
      <c r="G2638" t="str">
        <f>"300133"</f>
        <v>300133</v>
      </c>
      <c r="H2638" t="s">
        <v>2955</v>
      </c>
      <c r="I2638">
        <v>31200</v>
      </c>
    </row>
    <row r="2639" spans="1:9" x14ac:dyDescent="0.25">
      <c r="A2639" t="s">
        <v>9616</v>
      </c>
      <c r="C2639" t="s">
        <v>9617</v>
      </c>
      <c r="D2639" t="s">
        <v>10934</v>
      </c>
      <c r="E2639" t="s">
        <v>9921</v>
      </c>
      <c r="F2639" s="1">
        <v>44865</v>
      </c>
      <c r="G2639" t="str">
        <f>"300133"</f>
        <v>300133</v>
      </c>
      <c r="H2639" t="s">
        <v>2955</v>
      </c>
      <c r="I2639">
        <v>59232</v>
      </c>
    </row>
    <row r="2640" spans="1:9" x14ac:dyDescent="0.25">
      <c r="A2640" t="s">
        <v>9616</v>
      </c>
      <c r="C2640" t="s">
        <v>9617</v>
      </c>
      <c r="D2640" t="str">
        <f>"2022008396"</f>
        <v>2022008396</v>
      </c>
      <c r="E2640" t="s">
        <v>10917</v>
      </c>
      <c r="F2640" s="1">
        <v>44865</v>
      </c>
      <c r="G2640" t="str">
        <f>"300191"</f>
        <v>300191</v>
      </c>
      <c r="H2640" t="s">
        <v>3008</v>
      </c>
      <c r="I2640">
        <v>3195.34</v>
      </c>
    </row>
    <row r="2641" spans="1:9" x14ac:dyDescent="0.25">
      <c r="A2641" t="s">
        <v>9616</v>
      </c>
      <c r="C2641" t="s">
        <v>9617</v>
      </c>
      <c r="D2641" t="str">
        <f>"2022008419"</f>
        <v>2022008419</v>
      </c>
      <c r="E2641" t="s">
        <v>10929</v>
      </c>
      <c r="F2641" s="1">
        <v>44865</v>
      </c>
      <c r="G2641" t="str">
        <f>"300191"</f>
        <v>300191</v>
      </c>
      <c r="H2641" t="s">
        <v>3008</v>
      </c>
      <c r="I2641">
        <v>3504.25</v>
      </c>
    </row>
    <row r="2642" spans="1:9" x14ac:dyDescent="0.25">
      <c r="A2642" t="s">
        <v>9616</v>
      </c>
      <c r="C2642" t="s">
        <v>9617</v>
      </c>
      <c r="D2642" t="str">
        <f>"72649"</f>
        <v>72649</v>
      </c>
      <c r="E2642" t="s">
        <v>10935</v>
      </c>
      <c r="F2642" s="1">
        <v>44866</v>
      </c>
      <c r="G2642" t="str">
        <f>"300043"</f>
        <v>300043</v>
      </c>
      <c r="H2642" t="s">
        <v>2876</v>
      </c>
      <c r="I2642">
        <v>595</v>
      </c>
    </row>
    <row r="2643" spans="1:9" x14ac:dyDescent="0.25">
      <c r="A2643" t="s">
        <v>9616</v>
      </c>
      <c r="C2643" t="s">
        <v>9617</v>
      </c>
      <c r="D2643" t="str">
        <f>"122310800"</f>
        <v>122310800</v>
      </c>
      <c r="E2643" t="s">
        <v>10826</v>
      </c>
      <c r="F2643" s="1">
        <v>44866</v>
      </c>
      <c r="G2643" t="str">
        <f>"300080"</f>
        <v>300080</v>
      </c>
      <c r="H2643" t="s">
        <v>2907</v>
      </c>
      <c r="I2643">
        <v>81081</v>
      </c>
    </row>
    <row r="2644" spans="1:9" x14ac:dyDescent="0.25">
      <c r="A2644" t="s">
        <v>9616</v>
      </c>
      <c r="C2644" t="s">
        <v>9617</v>
      </c>
      <c r="D2644" t="str">
        <f>"581522"</f>
        <v>581522</v>
      </c>
      <c r="E2644" t="s">
        <v>10935</v>
      </c>
      <c r="F2644" s="1">
        <v>44866</v>
      </c>
      <c r="G2644" t="str">
        <f>"300101"</f>
        <v>300101</v>
      </c>
      <c r="H2644" t="s">
        <v>2926</v>
      </c>
      <c r="I2644">
        <v>3974.03</v>
      </c>
    </row>
    <row r="2645" spans="1:9" x14ac:dyDescent="0.25">
      <c r="A2645" t="s">
        <v>9616</v>
      </c>
      <c r="C2645" t="s">
        <v>9617</v>
      </c>
      <c r="D2645" t="str">
        <f>"72743"</f>
        <v>72743</v>
      </c>
      <c r="E2645" t="s">
        <v>10936</v>
      </c>
      <c r="F2645" s="1">
        <v>44867</v>
      </c>
      <c r="G2645" t="str">
        <f>"300043"</f>
        <v>300043</v>
      </c>
      <c r="H2645" t="s">
        <v>2876</v>
      </c>
      <c r="I2645">
        <v>595</v>
      </c>
    </row>
    <row r="2646" spans="1:9" x14ac:dyDescent="0.25">
      <c r="A2646" t="s">
        <v>9616</v>
      </c>
      <c r="C2646" t="s">
        <v>9617</v>
      </c>
      <c r="D2646" t="str">
        <f>"580822"</f>
        <v>580822</v>
      </c>
      <c r="E2646" t="s">
        <v>10937</v>
      </c>
      <c r="F2646" s="1">
        <v>44867</v>
      </c>
      <c r="G2646" t="str">
        <f>"300101"</f>
        <v>300101</v>
      </c>
      <c r="H2646" t="s">
        <v>2926</v>
      </c>
      <c r="I2646">
        <v>3966.35</v>
      </c>
    </row>
    <row r="2647" spans="1:9" x14ac:dyDescent="0.25">
      <c r="A2647" t="s">
        <v>9616</v>
      </c>
      <c r="C2647" t="s">
        <v>9617</v>
      </c>
      <c r="D2647" t="str">
        <f>"10144838"</f>
        <v>10144838</v>
      </c>
      <c r="E2647" t="s">
        <v>10938</v>
      </c>
      <c r="F2647" s="1">
        <v>44867</v>
      </c>
      <c r="G2647" t="str">
        <f>"300115"</f>
        <v>300115</v>
      </c>
      <c r="H2647" t="s">
        <v>2938</v>
      </c>
      <c r="I2647">
        <v>415222.17879999999</v>
      </c>
    </row>
    <row r="2648" spans="1:9" x14ac:dyDescent="0.25">
      <c r="A2648" t="s">
        <v>9616</v>
      </c>
      <c r="C2648" t="s">
        <v>9617</v>
      </c>
      <c r="D2648" t="str">
        <f>"2022008457"</f>
        <v>2022008457</v>
      </c>
      <c r="E2648" t="s">
        <v>10894</v>
      </c>
      <c r="F2648" s="1">
        <v>44867</v>
      </c>
      <c r="G2648" t="str">
        <f>"300191"</f>
        <v>300191</v>
      </c>
      <c r="H2648" t="s">
        <v>3008</v>
      </c>
      <c r="I2648">
        <v>5446.59</v>
      </c>
    </row>
    <row r="2649" spans="1:9" x14ac:dyDescent="0.25">
      <c r="A2649" t="s">
        <v>9616</v>
      </c>
      <c r="C2649" t="s">
        <v>9617</v>
      </c>
      <c r="D2649" t="s">
        <v>10939</v>
      </c>
      <c r="E2649" t="s">
        <v>10940</v>
      </c>
      <c r="F2649" s="1">
        <v>44867</v>
      </c>
      <c r="G2649" t="str">
        <f>"300321"</f>
        <v>300321</v>
      </c>
      <c r="H2649" t="s">
        <v>2706</v>
      </c>
      <c r="I2649">
        <v>18000</v>
      </c>
    </row>
    <row r="2650" spans="1:9" x14ac:dyDescent="0.25">
      <c r="A2650" t="s">
        <v>9616</v>
      </c>
      <c r="C2650" t="s">
        <v>9617</v>
      </c>
      <c r="D2650" t="str">
        <f>"73138"</f>
        <v>73138</v>
      </c>
      <c r="E2650" t="s">
        <v>10940</v>
      </c>
      <c r="F2650" s="1">
        <v>44868</v>
      </c>
      <c r="G2650" t="str">
        <f>"300043"</f>
        <v>300043</v>
      </c>
      <c r="H2650" t="s">
        <v>2876</v>
      </c>
      <c r="I2650">
        <v>1572</v>
      </c>
    </row>
    <row r="2651" spans="1:9" x14ac:dyDescent="0.25">
      <c r="A2651" t="s">
        <v>9616</v>
      </c>
      <c r="C2651" t="s">
        <v>9617</v>
      </c>
      <c r="D2651" t="str">
        <f>"10144873"</f>
        <v>10144873</v>
      </c>
      <c r="E2651" t="s">
        <v>2172</v>
      </c>
      <c r="F2651" s="1">
        <v>44868</v>
      </c>
      <c r="G2651" t="str">
        <f>"300115"</f>
        <v>300115</v>
      </c>
      <c r="H2651" t="s">
        <v>2938</v>
      </c>
      <c r="I2651">
        <v>415222.522</v>
      </c>
    </row>
    <row r="2652" spans="1:9" x14ac:dyDescent="0.25">
      <c r="A2652" t="s">
        <v>9616</v>
      </c>
      <c r="C2652" t="s">
        <v>9617</v>
      </c>
      <c r="D2652" t="str">
        <f>"10144874"</f>
        <v>10144874</v>
      </c>
      <c r="E2652" t="s">
        <v>2172</v>
      </c>
      <c r="F2652" s="1">
        <v>44868</v>
      </c>
      <c r="G2652" t="str">
        <f>"300115"</f>
        <v>300115</v>
      </c>
      <c r="H2652" t="s">
        <v>2938</v>
      </c>
      <c r="I2652">
        <v>415222.522</v>
      </c>
    </row>
    <row r="2653" spans="1:9" x14ac:dyDescent="0.25">
      <c r="A2653" t="s">
        <v>9616</v>
      </c>
      <c r="C2653" t="s">
        <v>9617</v>
      </c>
      <c r="D2653" t="str">
        <f>"10144875"</f>
        <v>10144875</v>
      </c>
      <c r="E2653" t="s">
        <v>10843</v>
      </c>
      <c r="F2653" s="1">
        <v>44868</v>
      </c>
      <c r="G2653" t="str">
        <f>"300115"</f>
        <v>300115</v>
      </c>
      <c r="H2653" t="s">
        <v>2938</v>
      </c>
      <c r="I2653">
        <v>130636.242</v>
      </c>
    </row>
    <row r="2654" spans="1:9" x14ac:dyDescent="0.25">
      <c r="A2654" t="s">
        <v>9616</v>
      </c>
      <c r="C2654" t="s">
        <v>9617</v>
      </c>
      <c r="D2654" t="str">
        <f>"10144881"</f>
        <v>10144881</v>
      </c>
      <c r="E2654" t="s">
        <v>9323</v>
      </c>
      <c r="F2654" s="1">
        <v>44868</v>
      </c>
      <c r="G2654" t="str">
        <f>"300115"</f>
        <v>300115</v>
      </c>
      <c r="H2654" t="s">
        <v>2938</v>
      </c>
      <c r="I2654">
        <v>368883.25760000001</v>
      </c>
    </row>
    <row r="2655" spans="1:9" x14ac:dyDescent="0.25">
      <c r="A2655" t="s">
        <v>9616</v>
      </c>
      <c r="C2655" t="s">
        <v>9617</v>
      </c>
      <c r="D2655" t="s">
        <v>10941</v>
      </c>
      <c r="E2655" t="s">
        <v>10942</v>
      </c>
      <c r="F2655" s="1">
        <v>44868</v>
      </c>
      <c r="G2655" t="str">
        <f>"300321"</f>
        <v>300321</v>
      </c>
      <c r="H2655" t="s">
        <v>2706</v>
      </c>
      <c r="I2655">
        <v>18000</v>
      </c>
    </row>
    <row r="2656" spans="1:9" x14ac:dyDescent="0.25">
      <c r="A2656" t="s">
        <v>9616</v>
      </c>
      <c r="C2656" t="s">
        <v>9617</v>
      </c>
      <c r="D2656" t="s">
        <v>10943</v>
      </c>
      <c r="E2656" t="s">
        <v>10944</v>
      </c>
      <c r="F2656" s="1">
        <v>44868</v>
      </c>
      <c r="G2656" t="str">
        <f>"300321"</f>
        <v>300321</v>
      </c>
      <c r="H2656" t="s">
        <v>2706</v>
      </c>
      <c r="I2656">
        <v>18000</v>
      </c>
    </row>
    <row r="2657" spans="1:9" x14ac:dyDescent="0.25">
      <c r="A2657" t="s">
        <v>9616</v>
      </c>
      <c r="C2657" t="s">
        <v>9617</v>
      </c>
      <c r="D2657" t="s">
        <v>10945</v>
      </c>
      <c r="E2657" t="s">
        <v>10946</v>
      </c>
      <c r="F2657" s="1">
        <v>44868</v>
      </c>
      <c r="G2657" t="str">
        <f>"300321"</f>
        <v>300321</v>
      </c>
      <c r="H2657" t="s">
        <v>2706</v>
      </c>
      <c r="I2657">
        <v>19000</v>
      </c>
    </row>
    <row r="2658" spans="1:9" x14ac:dyDescent="0.25">
      <c r="A2658" t="s">
        <v>9616</v>
      </c>
      <c r="C2658" t="s">
        <v>9617</v>
      </c>
      <c r="D2658" t="str">
        <f>"179"</f>
        <v>179</v>
      </c>
      <c r="E2658" t="s">
        <v>10947</v>
      </c>
      <c r="F2658" s="1">
        <v>44868</v>
      </c>
      <c r="G2658" t="str">
        <f>"300344"</f>
        <v>300344</v>
      </c>
      <c r="H2658" t="s">
        <v>3084</v>
      </c>
      <c r="I2658">
        <v>17600</v>
      </c>
    </row>
    <row r="2659" spans="1:9" x14ac:dyDescent="0.25">
      <c r="A2659" t="s">
        <v>9616</v>
      </c>
      <c r="C2659" t="s">
        <v>9617</v>
      </c>
      <c r="D2659" t="str">
        <f>"73367"</f>
        <v>73367</v>
      </c>
      <c r="E2659" t="s">
        <v>10944</v>
      </c>
      <c r="F2659" s="1">
        <v>44869</v>
      </c>
      <c r="G2659" t="str">
        <f>"300043"</f>
        <v>300043</v>
      </c>
      <c r="H2659" t="s">
        <v>2876</v>
      </c>
      <c r="I2659">
        <v>1564</v>
      </c>
    </row>
    <row r="2660" spans="1:9" x14ac:dyDescent="0.25">
      <c r="A2660" t="s">
        <v>9616</v>
      </c>
      <c r="C2660" t="s">
        <v>9617</v>
      </c>
      <c r="D2660" t="str">
        <f>"73439"</f>
        <v>73439</v>
      </c>
      <c r="E2660" t="s">
        <v>10942</v>
      </c>
      <c r="F2660" s="1">
        <v>44869</v>
      </c>
      <c r="G2660" t="str">
        <f>"300043"</f>
        <v>300043</v>
      </c>
      <c r="H2660" t="s">
        <v>2876</v>
      </c>
      <c r="I2660">
        <v>1564</v>
      </c>
    </row>
    <row r="2661" spans="1:9" x14ac:dyDescent="0.25">
      <c r="A2661" t="s">
        <v>9616</v>
      </c>
      <c r="C2661" t="s">
        <v>9617</v>
      </c>
      <c r="D2661" t="str">
        <f>"10144917"</f>
        <v>10144917</v>
      </c>
      <c r="E2661" t="s">
        <v>10948</v>
      </c>
      <c r="F2661" s="1">
        <v>44869</v>
      </c>
      <c r="G2661" t="str">
        <f>"300115"</f>
        <v>300115</v>
      </c>
      <c r="H2661" t="s">
        <v>2938</v>
      </c>
      <c r="I2661">
        <v>368883.25760000001</v>
      </c>
    </row>
    <row r="2662" spans="1:9" x14ac:dyDescent="0.25">
      <c r="A2662" t="s">
        <v>9616</v>
      </c>
      <c r="C2662" t="s">
        <v>9617</v>
      </c>
      <c r="D2662" t="s">
        <v>10949</v>
      </c>
      <c r="E2662" t="s">
        <v>10950</v>
      </c>
      <c r="F2662" s="1">
        <v>44869</v>
      </c>
      <c r="G2662" t="str">
        <f>"300321"</f>
        <v>300321</v>
      </c>
      <c r="H2662" t="s">
        <v>2706</v>
      </c>
      <c r="I2662">
        <v>19000</v>
      </c>
    </row>
    <row r="2663" spans="1:9" x14ac:dyDescent="0.25">
      <c r="A2663" t="s">
        <v>9616</v>
      </c>
      <c r="C2663" t="s">
        <v>9617</v>
      </c>
      <c r="D2663" t="str">
        <f>"23497"</f>
        <v>23497</v>
      </c>
      <c r="F2663" s="1">
        <v>44872</v>
      </c>
      <c r="G2663" t="str">
        <f>"300043"</f>
        <v>300043</v>
      </c>
      <c r="H2663" t="s">
        <v>2876</v>
      </c>
      <c r="I2663">
        <v>4470</v>
      </c>
    </row>
    <row r="2664" spans="1:9" x14ac:dyDescent="0.25">
      <c r="A2664" t="s">
        <v>9616</v>
      </c>
      <c r="C2664" t="s">
        <v>9617</v>
      </c>
      <c r="D2664" t="str">
        <f>"73784"</f>
        <v>73784</v>
      </c>
      <c r="E2664" t="s">
        <v>10950</v>
      </c>
      <c r="F2664" s="1">
        <v>44872</v>
      </c>
      <c r="G2664" t="str">
        <f>"300043"</f>
        <v>300043</v>
      </c>
      <c r="H2664" t="s">
        <v>2876</v>
      </c>
      <c r="I2664">
        <v>1418</v>
      </c>
    </row>
    <row r="2665" spans="1:9" x14ac:dyDescent="0.25">
      <c r="A2665" t="s">
        <v>9616</v>
      </c>
      <c r="C2665" t="s">
        <v>9617</v>
      </c>
      <c r="D2665" t="str">
        <f>"73972"</f>
        <v>73972</v>
      </c>
      <c r="E2665" t="s">
        <v>10946</v>
      </c>
      <c r="F2665" s="1">
        <v>44872</v>
      </c>
      <c r="G2665" t="str">
        <f>"300043"</f>
        <v>300043</v>
      </c>
      <c r="H2665" t="s">
        <v>2876</v>
      </c>
      <c r="I2665">
        <v>1417</v>
      </c>
    </row>
    <row r="2666" spans="1:9" x14ac:dyDescent="0.25">
      <c r="A2666" t="s">
        <v>9616</v>
      </c>
      <c r="C2666" t="s">
        <v>9617</v>
      </c>
      <c r="D2666" t="str">
        <f>"10144952"</f>
        <v>10144952</v>
      </c>
      <c r="E2666" t="s">
        <v>2566</v>
      </c>
      <c r="F2666" s="1">
        <v>44872</v>
      </c>
      <c r="G2666" t="str">
        <f>"300115"</f>
        <v>300115</v>
      </c>
      <c r="H2666" t="s">
        <v>2938</v>
      </c>
      <c r="I2666">
        <v>198814.80960000001</v>
      </c>
    </row>
    <row r="2667" spans="1:9" x14ac:dyDescent="0.25">
      <c r="A2667" t="s">
        <v>9616</v>
      </c>
      <c r="C2667" t="s">
        <v>9617</v>
      </c>
      <c r="D2667" t="str">
        <f>"10144989"</f>
        <v>10144989</v>
      </c>
      <c r="E2667" t="s">
        <v>10898</v>
      </c>
      <c r="F2667" s="1">
        <v>44872</v>
      </c>
      <c r="G2667" t="str">
        <f>"300115"</f>
        <v>300115</v>
      </c>
      <c r="H2667" t="s">
        <v>2938</v>
      </c>
      <c r="I2667">
        <v>368883.25760000001</v>
      </c>
    </row>
    <row r="2668" spans="1:9" x14ac:dyDescent="0.25">
      <c r="A2668" t="s">
        <v>9616</v>
      </c>
      <c r="C2668" t="s">
        <v>9617</v>
      </c>
      <c r="D2668" t="str">
        <f>"10144991"</f>
        <v>10144991</v>
      </c>
      <c r="E2668" t="s">
        <v>2172</v>
      </c>
      <c r="F2668" s="1">
        <v>44872</v>
      </c>
      <c r="G2668" t="str">
        <f>"300115"</f>
        <v>300115</v>
      </c>
      <c r="H2668" t="s">
        <v>2938</v>
      </c>
      <c r="I2668">
        <v>368883.25760000001</v>
      </c>
    </row>
    <row r="2669" spans="1:9" x14ac:dyDescent="0.25">
      <c r="A2669" t="s">
        <v>9616</v>
      </c>
      <c r="C2669" t="s">
        <v>9617</v>
      </c>
      <c r="D2669" t="str">
        <f>"2022008555"</f>
        <v>2022008555</v>
      </c>
      <c r="E2669" t="s">
        <v>10942</v>
      </c>
      <c r="F2669" s="1">
        <v>44872</v>
      </c>
      <c r="G2669" t="str">
        <f>"300191"</f>
        <v>300191</v>
      </c>
      <c r="H2669" t="s">
        <v>3008</v>
      </c>
      <c r="I2669">
        <v>3169.32</v>
      </c>
    </row>
    <row r="2670" spans="1:9" x14ac:dyDescent="0.25">
      <c r="A2670" t="s">
        <v>9616</v>
      </c>
      <c r="C2670" t="s">
        <v>9617</v>
      </c>
      <c r="D2670" t="str">
        <f>"2022008556"</f>
        <v>2022008556</v>
      </c>
      <c r="E2670" t="s">
        <v>10940</v>
      </c>
      <c r="F2670" s="1">
        <v>44872</v>
      </c>
      <c r="G2670" t="str">
        <f>"300191"</f>
        <v>300191</v>
      </c>
      <c r="H2670" t="s">
        <v>3008</v>
      </c>
      <c r="I2670">
        <v>3182.68</v>
      </c>
    </row>
    <row r="2671" spans="1:9" x14ac:dyDescent="0.25">
      <c r="A2671" t="s">
        <v>9616</v>
      </c>
      <c r="C2671" t="s">
        <v>9617</v>
      </c>
      <c r="D2671" t="str">
        <f>"2022008560"</f>
        <v>2022008560</v>
      </c>
      <c r="E2671" t="s">
        <v>10944</v>
      </c>
      <c r="F2671" s="1">
        <v>44872</v>
      </c>
      <c r="G2671" t="str">
        <f>"300191"</f>
        <v>300191</v>
      </c>
      <c r="H2671" t="s">
        <v>3008</v>
      </c>
      <c r="I2671">
        <v>3169.32</v>
      </c>
    </row>
    <row r="2672" spans="1:9" x14ac:dyDescent="0.25">
      <c r="A2672" t="s">
        <v>9616</v>
      </c>
      <c r="C2672" t="s">
        <v>9617</v>
      </c>
      <c r="D2672" t="s">
        <v>10951</v>
      </c>
      <c r="E2672" t="s">
        <v>10952</v>
      </c>
      <c r="F2672" s="1">
        <v>44872</v>
      </c>
      <c r="G2672" t="str">
        <f>"300321"</f>
        <v>300321</v>
      </c>
      <c r="H2672" t="s">
        <v>2706</v>
      </c>
      <c r="I2672">
        <v>19000</v>
      </c>
    </row>
    <row r="2673" spans="1:9" x14ac:dyDescent="0.25">
      <c r="A2673" t="s">
        <v>9616</v>
      </c>
      <c r="C2673" t="s">
        <v>9617</v>
      </c>
      <c r="D2673" t="s">
        <v>10953</v>
      </c>
      <c r="E2673" t="s">
        <v>10954</v>
      </c>
      <c r="F2673" s="1">
        <v>44872</v>
      </c>
      <c r="G2673" t="str">
        <f>"300321"</f>
        <v>300321</v>
      </c>
      <c r="H2673" t="s">
        <v>2706</v>
      </c>
      <c r="I2673">
        <v>18000</v>
      </c>
    </row>
    <row r="2674" spans="1:9" x14ac:dyDescent="0.25">
      <c r="A2674" t="s">
        <v>9616</v>
      </c>
      <c r="C2674" t="s">
        <v>9617</v>
      </c>
      <c r="D2674" t="str">
        <f>"74182"</f>
        <v>74182</v>
      </c>
      <c r="E2674" t="s">
        <v>10955</v>
      </c>
      <c r="F2674" s="1">
        <v>44873</v>
      </c>
      <c r="G2674" t="str">
        <f>"300043"</f>
        <v>300043</v>
      </c>
      <c r="H2674" t="s">
        <v>2876</v>
      </c>
      <c r="I2674">
        <v>597</v>
      </c>
    </row>
    <row r="2675" spans="1:9" x14ac:dyDescent="0.25">
      <c r="A2675" t="s">
        <v>9616</v>
      </c>
      <c r="C2675" t="s">
        <v>9617</v>
      </c>
      <c r="D2675" t="str">
        <f>"582022"</f>
        <v>582022</v>
      </c>
      <c r="E2675" t="s">
        <v>10955</v>
      </c>
      <c r="F2675" s="1">
        <v>44873</v>
      </c>
      <c r="G2675" t="str">
        <f>"300101"</f>
        <v>300101</v>
      </c>
      <c r="H2675" t="s">
        <v>2926</v>
      </c>
      <c r="I2675">
        <v>3514.55</v>
      </c>
    </row>
    <row r="2676" spans="1:9" x14ac:dyDescent="0.25">
      <c r="A2676" t="s">
        <v>9616</v>
      </c>
      <c r="C2676" t="s">
        <v>9617</v>
      </c>
      <c r="D2676" t="str">
        <f>"10144993"</f>
        <v>10144993</v>
      </c>
      <c r="E2676" t="s">
        <v>10956</v>
      </c>
      <c r="F2676" s="1">
        <v>44873</v>
      </c>
      <c r="G2676" t="str">
        <f>"300115"</f>
        <v>300115</v>
      </c>
      <c r="H2676" t="s">
        <v>2938</v>
      </c>
      <c r="I2676">
        <v>54019.635999999999</v>
      </c>
    </row>
    <row r="2677" spans="1:9" x14ac:dyDescent="0.25">
      <c r="A2677" t="s">
        <v>9616</v>
      </c>
      <c r="C2677" t="s">
        <v>9617</v>
      </c>
      <c r="D2677" t="str">
        <f>"10144994"</f>
        <v>10144994</v>
      </c>
      <c r="E2677" t="s">
        <v>10589</v>
      </c>
      <c r="F2677" s="1">
        <v>44873</v>
      </c>
      <c r="G2677" t="str">
        <f>"300115"</f>
        <v>300115</v>
      </c>
      <c r="H2677" t="s">
        <v>2938</v>
      </c>
      <c r="I2677">
        <v>310684.41800000001</v>
      </c>
    </row>
    <row r="2678" spans="1:9" x14ac:dyDescent="0.25">
      <c r="A2678" t="s">
        <v>9616</v>
      </c>
      <c r="C2678" t="s">
        <v>9617</v>
      </c>
      <c r="D2678" t="str">
        <f>"74540"</f>
        <v>74540</v>
      </c>
      <c r="E2678" t="s">
        <v>10954</v>
      </c>
      <c r="F2678" s="1">
        <v>44874</v>
      </c>
      <c r="G2678" t="str">
        <f>"300043"</f>
        <v>300043</v>
      </c>
      <c r="H2678" t="s">
        <v>2876</v>
      </c>
      <c r="I2678">
        <v>1421</v>
      </c>
    </row>
    <row r="2679" spans="1:9" x14ac:dyDescent="0.25">
      <c r="A2679" t="s">
        <v>9616</v>
      </c>
      <c r="C2679" t="s">
        <v>9617</v>
      </c>
      <c r="D2679" t="str">
        <f>"74568"</f>
        <v>74568</v>
      </c>
      <c r="E2679" t="s">
        <v>10952</v>
      </c>
      <c r="F2679" s="1">
        <v>44874</v>
      </c>
      <c r="G2679" t="str">
        <f>"300043"</f>
        <v>300043</v>
      </c>
      <c r="H2679" t="s">
        <v>2876</v>
      </c>
      <c r="I2679">
        <v>1424</v>
      </c>
    </row>
    <row r="2680" spans="1:9" x14ac:dyDescent="0.25">
      <c r="A2680" t="s">
        <v>9616</v>
      </c>
      <c r="C2680" t="s">
        <v>9617</v>
      </c>
      <c r="D2680" t="str">
        <f>"10145025"</f>
        <v>10145025</v>
      </c>
      <c r="E2680" t="s">
        <v>2172</v>
      </c>
      <c r="F2680" s="1">
        <v>44874</v>
      </c>
      <c r="G2680" t="str">
        <f>"300115"</f>
        <v>300115</v>
      </c>
      <c r="H2680" t="s">
        <v>2938</v>
      </c>
      <c r="I2680">
        <v>415222.17879999999</v>
      </c>
    </row>
    <row r="2681" spans="1:9" x14ac:dyDescent="0.25">
      <c r="A2681" t="s">
        <v>9616</v>
      </c>
      <c r="C2681" t="s">
        <v>9617</v>
      </c>
      <c r="D2681" t="str">
        <f>"10145026"</f>
        <v>10145026</v>
      </c>
      <c r="E2681" t="s">
        <v>2172</v>
      </c>
      <c r="F2681" s="1">
        <v>44874</v>
      </c>
      <c r="G2681" t="str">
        <f>"300115"</f>
        <v>300115</v>
      </c>
      <c r="H2681" t="s">
        <v>2938</v>
      </c>
      <c r="I2681">
        <v>412015.79320000001</v>
      </c>
    </row>
    <row r="2682" spans="1:9" x14ac:dyDescent="0.25">
      <c r="A2682" t="s">
        <v>9616</v>
      </c>
      <c r="C2682" t="s">
        <v>9617</v>
      </c>
      <c r="D2682" t="s">
        <v>10957</v>
      </c>
      <c r="E2682" t="s">
        <v>10958</v>
      </c>
      <c r="F2682" s="1">
        <v>44874</v>
      </c>
      <c r="G2682" t="str">
        <f>"300321"</f>
        <v>300321</v>
      </c>
      <c r="H2682" t="s">
        <v>2706</v>
      </c>
      <c r="I2682">
        <v>18000</v>
      </c>
    </row>
    <row r="2683" spans="1:9" x14ac:dyDescent="0.25">
      <c r="A2683" t="s">
        <v>9616</v>
      </c>
      <c r="C2683" t="s">
        <v>9617</v>
      </c>
      <c r="D2683" t="s">
        <v>10959</v>
      </c>
      <c r="E2683" t="s">
        <v>10960</v>
      </c>
      <c r="F2683" s="1">
        <v>44874</v>
      </c>
      <c r="G2683" t="str">
        <f>"300321"</f>
        <v>300321</v>
      </c>
      <c r="H2683" t="s">
        <v>2706</v>
      </c>
      <c r="I2683">
        <v>18000</v>
      </c>
    </row>
    <row r="2684" spans="1:9" x14ac:dyDescent="0.25">
      <c r="A2684" t="s">
        <v>9616</v>
      </c>
      <c r="C2684" t="s">
        <v>9617</v>
      </c>
      <c r="D2684" t="str">
        <f>"23837"</f>
        <v>23837</v>
      </c>
      <c r="F2684" s="1">
        <v>44875</v>
      </c>
      <c r="G2684" t="str">
        <f>"300043"</f>
        <v>300043</v>
      </c>
      <c r="H2684" t="s">
        <v>2876</v>
      </c>
      <c r="I2684">
        <v>4276</v>
      </c>
    </row>
    <row r="2685" spans="1:9" x14ac:dyDescent="0.25">
      <c r="A2685" t="s">
        <v>9616</v>
      </c>
      <c r="C2685" t="s">
        <v>9617</v>
      </c>
      <c r="D2685" t="str">
        <f>"74870"</f>
        <v>74870</v>
      </c>
      <c r="E2685" t="s">
        <v>10961</v>
      </c>
      <c r="F2685" s="1">
        <v>44875</v>
      </c>
      <c r="G2685" t="str">
        <f>"300043"</f>
        <v>300043</v>
      </c>
      <c r="H2685" t="s">
        <v>2876</v>
      </c>
      <c r="I2685">
        <v>824</v>
      </c>
    </row>
    <row r="2686" spans="1:9" x14ac:dyDescent="0.25">
      <c r="A2686" t="s">
        <v>9616</v>
      </c>
      <c r="C2686" t="s">
        <v>9617</v>
      </c>
      <c r="D2686" t="str">
        <f>"74994"</f>
        <v>74994</v>
      </c>
      <c r="E2686" t="s">
        <v>10960</v>
      </c>
      <c r="F2686" s="1">
        <v>44875</v>
      </c>
      <c r="G2686" t="str">
        <f>"300043"</f>
        <v>300043</v>
      </c>
      <c r="H2686" t="s">
        <v>2876</v>
      </c>
      <c r="I2686">
        <v>1558</v>
      </c>
    </row>
    <row r="2687" spans="1:9" x14ac:dyDescent="0.25">
      <c r="A2687" t="s">
        <v>9616</v>
      </c>
      <c r="C2687" t="s">
        <v>9617</v>
      </c>
      <c r="D2687" t="str">
        <f>"75017"</f>
        <v>75017</v>
      </c>
      <c r="E2687" t="s">
        <v>10958</v>
      </c>
      <c r="F2687" s="1">
        <v>44875</v>
      </c>
      <c r="G2687" t="str">
        <f>"300043"</f>
        <v>300043</v>
      </c>
      <c r="H2687" t="s">
        <v>2876</v>
      </c>
      <c r="I2687">
        <v>1569</v>
      </c>
    </row>
    <row r="2688" spans="1:9" x14ac:dyDescent="0.25">
      <c r="A2688" t="s">
        <v>9616</v>
      </c>
      <c r="C2688" t="s">
        <v>9617</v>
      </c>
      <c r="D2688" t="str">
        <f>"612522"</f>
        <v>612522</v>
      </c>
      <c r="E2688" t="s">
        <v>10961</v>
      </c>
      <c r="F2688" s="1">
        <v>44875</v>
      </c>
      <c r="G2688" t="str">
        <f>"300101"</f>
        <v>300101</v>
      </c>
      <c r="H2688" t="s">
        <v>2926</v>
      </c>
      <c r="I2688">
        <v>3199.73</v>
      </c>
    </row>
    <row r="2689" spans="1:9" x14ac:dyDescent="0.25">
      <c r="A2689" t="s">
        <v>9616</v>
      </c>
      <c r="C2689" t="s">
        <v>9617</v>
      </c>
      <c r="D2689" t="str">
        <f>"10145074"</f>
        <v>10145074</v>
      </c>
      <c r="E2689" t="s">
        <v>9189</v>
      </c>
      <c r="F2689" s="1">
        <v>44875</v>
      </c>
      <c r="G2689" t="str">
        <f>"300115"</f>
        <v>300115</v>
      </c>
      <c r="H2689" t="s">
        <v>2938</v>
      </c>
      <c r="I2689">
        <v>384332.78399999999</v>
      </c>
    </row>
    <row r="2690" spans="1:9" x14ac:dyDescent="0.25">
      <c r="A2690" t="s">
        <v>9616</v>
      </c>
      <c r="C2690" t="s">
        <v>9617</v>
      </c>
      <c r="D2690" t="str">
        <f>"2022008659"</f>
        <v>2022008659</v>
      </c>
      <c r="E2690" t="s">
        <v>10946</v>
      </c>
      <c r="F2690" s="1">
        <v>44875</v>
      </c>
      <c r="G2690" t="str">
        <f>"300191"</f>
        <v>300191</v>
      </c>
      <c r="H2690" t="s">
        <v>3008</v>
      </c>
      <c r="I2690">
        <v>3493.44</v>
      </c>
    </row>
    <row r="2691" spans="1:9" x14ac:dyDescent="0.25">
      <c r="A2691" t="s">
        <v>9616</v>
      </c>
      <c r="C2691" t="s">
        <v>9617</v>
      </c>
      <c r="D2691" t="str">
        <f>"2022008675"</f>
        <v>2022008675</v>
      </c>
      <c r="E2691" t="s">
        <v>10950</v>
      </c>
      <c r="F2691" s="1">
        <v>44875</v>
      </c>
      <c r="G2691" t="str">
        <f>"300191"</f>
        <v>300191</v>
      </c>
      <c r="H2691" t="s">
        <v>3008</v>
      </c>
      <c r="I2691">
        <v>3653.95</v>
      </c>
    </row>
    <row r="2692" spans="1:9" x14ac:dyDescent="0.25">
      <c r="A2692" t="s">
        <v>9616</v>
      </c>
      <c r="C2692" t="s">
        <v>9617</v>
      </c>
      <c r="D2692" t="s">
        <v>10962</v>
      </c>
      <c r="E2692" t="s">
        <v>10963</v>
      </c>
      <c r="F2692" s="1">
        <v>44875</v>
      </c>
      <c r="G2692" t="str">
        <f>"300321"</f>
        <v>300321</v>
      </c>
      <c r="H2692" t="s">
        <v>2706</v>
      </c>
      <c r="I2692">
        <v>19000</v>
      </c>
    </row>
    <row r="2693" spans="1:9" x14ac:dyDescent="0.25">
      <c r="A2693" t="s">
        <v>9616</v>
      </c>
      <c r="C2693" t="s">
        <v>9617</v>
      </c>
      <c r="D2693" t="str">
        <f>"10145108"</f>
        <v>10145108</v>
      </c>
      <c r="E2693" t="s">
        <v>9189</v>
      </c>
      <c r="F2693" s="1">
        <v>44876</v>
      </c>
      <c r="G2693" t="str">
        <f>"300115"</f>
        <v>300115</v>
      </c>
      <c r="H2693" t="s">
        <v>2938</v>
      </c>
      <c r="I2693">
        <v>368883.25760000001</v>
      </c>
    </row>
    <row r="2694" spans="1:9" x14ac:dyDescent="0.25">
      <c r="A2694" t="s">
        <v>9616</v>
      </c>
      <c r="C2694" t="s">
        <v>9617</v>
      </c>
      <c r="D2694" t="str">
        <f>"10145109"</f>
        <v>10145109</v>
      </c>
      <c r="E2694" t="s">
        <v>9189</v>
      </c>
      <c r="F2694" s="1">
        <v>44876</v>
      </c>
      <c r="G2694" t="str">
        <f>"300115"</f>
        <v>300115</v>
      </c>
      <c r="H2694" t="s">
        <v>2938</v>
      </c>
      <c r="I2694">
        <v>384360.10800000001</v>
      </c>
    </row>
    <row r="2695" spans="1:9" x14ac:dyDescent="0.25">
      <c r="A2695" t="s">
        <v>9616</v>
      </c>
      <c r="C2695" t="s">
        <v>9617</v>
      </c>
      <c r="D2695" t="str">
        <f>"10145110"</f>
        <v>10145110</v>
      </c>
      <c r="E2695" t="s">
        <v>9189</v>
      </c>
      <c r="F2695" s="1">
        <v>44876</v>
      </c>
      <c r="G2695" t="str">
        <f>"300115"</f>
        <v>300115</v>
      </c>
      <c r="H2695" t="s">
        <v>2938</v>
      </c>
      <c r="I2695">
        <v>368883.25760000001</v>
      </c>
    </row>
    <row r="2696" spans="1:9" x14ac:dyDescent="0.25">
      <c r="A2696" t="s">
        <v>9616</v>
      </c>
      <c r="C2696" t="s">
        <v>9617</v>
      </c>
      <c r="D2696" t="str">
        <f>"10145152"</f>
        <v>10145152</v>
      </c>
      <c r="E2696" t="s">
        <v>10964</v>
      </c>
      <c r="F2696" s="1">
        <v>44876</v>
      </c>
      <c r="G2696" t="str">
        <f>"300115"</f>
        <v>300115</v>
      </c>
      <c r="H2696" t="s">
        <v>2938</v>
      </c>
      <c r="I2696">
        <v>130623.57</v>
      </c>
    </row>
    <row r="2697" spans="1:9" x14ac:dyDescent="0.25">
      <c r="A2697" t="s">
        <v>9616</v>
      </c>
      <c r="C2697" t="s">
        <v>9617</v>
      </c>
      <c r="D2697" t="str">
        <f>"2022008709"</f>
        <v>2022008709</v>
      </c>
      <c r="E2697" t="s">
        <v>10952</v>
      </c>
      <c r="F2697" s="1">
        <v>44876</v>
      </c>
      <c r="G2697" t="str">
        <f>"300191"</f>
        <v>300191</v>
      </c>
      <c r="H2697" t="s">
        <v>3008</v>
      </c>
      <c r="I2697">
        <v>3200.26</v>
      </c>
    </row>
    <row r="2698" spans="1:9" x14ac:dyDescent="0.25">
      <c r="A2698" t="s">
        <v>9616</v>
      </c>
      <c r="C2698" t="s">
        <v>9617</v>
      </c>
      <c r="D2698" t="str">
        <f>"2022008717"</f>
        <v>2022008717</v>
      </c>
      <c r="E2698" t="s">
        <v>10954</v>
      </c>
      <c r="F2698" s="1">
        <v>44876</v>
      </c>
      <c r="G2698" t="str">
        <f>"300191"</f>
        <v>300191</v>
      </c>
      <c r="H2698" t="s">
        <v>3008</v>
      </c>
      <c r="I2698">
        <v>3200.26</v>
      </c>
    </row>
    <row r="2699" spans="1:9" x14ac:dyDescent="0.25">
      <c r="A2699" t="s">
        <v>9616</v>
      </c>
      <c r="C2699" t="s">
        <v>9617</v>
      </c>
      <c r="D2699" t="s">
        <v>10965</v>
      </c>
      <c r="E2699" t="s">
        <v>10966</v>
      </c>
      <c r="F2699" s="1">
        <v>44876</v>
      </c>
      <c r="G2699" t="str">
        <f>"300321"</f>
        <v>300321</v>
      </c>
      <c r="H2699" t="s">
        <v>2706</v>
      </c>
      <c r="I2699">
        <v>19000</v>
      </c>
    </row>
    <row r="2700" spans="1:9" x14ac:dyDescent="0.25">
      <c r="A2700" t="s">
        <v>9616</v>
      </c>
      <c r="C2700" t="s">
        <v>9617</v>
      </c>
      <c r="D2700" t="s">
        <v>10967</v>
      </c>
      <c r="E2700" t="s">
        <v>10968</v>
      </c>
      <c r="F2700" s="1">
        <v>44876</v>
      </c>
      <c r="G2700" t="str">
        <f>"300321"</f>
        <v>300321</v>
      </c>
      <c r="H2700" t="s">
        <v>2706</v>
      </c>
      <c r="I2700">
        <v>19000</v>
      </c>
    </row>
    <row r="2701" spans="1:9" x14ac:dyDescent="0.25">
      <c r="A2701" t="s">
        <v>9616</v>
      </c>
      <c r="C2701" t="s">
        <v>9617</v>
      </c>
      <c r="D2701" t="s">
        <v>10969</v>
      </c>
      <c r="E2701" t="s">
        <v>10970</v>
      </c>
      <c r="F2701" s="1">
        <v>44876</v>
      </c>
      <c r="G2701" t="str">
        <f>"300321"</f>
        <v>300321</v>
      </c>
      <c r="H2701" t="s">
        <v>2706</v>
      </c>
      <c r="I2701">
        <v>19000</v>
      </c>
    </row>
    <row r="2702" spans="1:9" x14ac:dyDescent="0.25">
      <c r="A2702" t="s">
        <v>9616</v>
      </c>
      <c r="C2702" t="s">
        <v>9617</v>
      </c>
      <c r="D2702" t="str">
        <f>"24077"</f>
        <v>24077</v>
      </c>
      <c r="F2702" s="1">
        <v>44879</v>
      </c>
      <c r="G2702" t="str">
        <f>"300043"</f>
        <v>300043</v>
      </c>
      <c r="H2702" t="s">
        <v>2876</v>
      </c>
      <c r="I2702">
        <v>4913</v>
      </c>
    </row>
    <row r="2703" spans="1:9" x14ac:dyDescent="0.25">
      <c r="A2703" t="s">
        <v>9616</v>
      </c>
      <c r="C2703" t="s">
        <v>9617</v>
      </c>
      <c r="D2703" t="str">
        <f>"75338"</f>
        <v>75338</v>
      </c>
      <c r="E2703" t="s">
        <v>10971</v>
      </c>
      <c r="F2703" s="1">
        <v>44879</v>
      </c>
      <c r="G2703" t="str">
        <f>"300043"</f>
        <v>300043</v>
      </c>
      <c r="H2703" t="s">
        <v>2876</v>
      </c>
      <c r="I2703">
        <v>1388</v>
      </c>
    </row>
    <row r="2704" spans="1:9" x14ac:dyDescent="0.25">
      <c r="A2704" t="s">
        <v>9616</v>
      </c>
      <c r="C2704" t="s">
        <v>9617</v>
      </c>
      <c r="D2704" t="str">
        <f>"75502"</f>
        <v>75502</v>
      </c>
      <c r="E2704" t="s">
        <v>10966</v>
      </c>
      <c r="F2704" s="1">
        <v>44879</v>
      </c>
      <c r="G2704" t="str">
        <f>"300043"</f>
        <v>300043</v>
      </c>
      <c r="H2704" t="s">
        <v>2876</v>
      </c>
      <c r="I2704">
        <v>1437</v>
      </c>
    </row>
    <row r="2705" spans="1:9" x14ac:dyDescent="0.25">
      <c r="A2705" t="s">
        <v>9616</v>
      </c>
      <c r="C2705" t="s">
        <v>9617</v>
      </c>
      <c r="D2705" t="str">
        <f>"75512"</f>
        <v>75512</v>
      </c>
      <c r="E2705" t="s">
        <v>10963</v>
      </c>
      <c r="F2705" s="1">
        <v>44879</v>
      </c>
      <c r="G2705" t="str">
        <f>"300043"</f>
        <v>300043</v>
      </c>
      <c r="H2705" t="s">
        <v>2876</v>
      </c>
      <c r="I2705">
        <v>1489</v>
      </c>
    </row>
    <row r="2706" spans="1:9" x14ac:dyDescent="0.25">
      <c r="A2706" t="s">
        <v>9616</v>
      </c>
      <c r="C2706" t="s">
        <v>9617</v>
      </c>
      <c r="D2706" t="str">
        <f>"75719"</f>
        <v>75719</v>
      </c>
      <c r="E2706" t="s">
        <v>10968</v>
      </c>
      <c r="F2706" s="1">
        <v>44879</v>
      </c>
      <c r="G2706" t="str">
        <f>"300043"</f>
        <v>300043</v>
      </c>
      <c r="H2706" t="s">
        <v>2876</v>
      </c>
      <c r="I2706">
        <v>1485</v>
      </c>
    </row>
    <row r="2707" spans="1:9" x14ac:dyDescent="0.25">
      <c r="A2707" t="s">
        <v>9616</v>
      </c>
      <c r="C2707" t="s">
        <v>9617</v>
      </c>
      <c r="D2707" t="str">
        <f>"583722"</f>
        <v>583722</v>
      </c>
      <c r="F2707" s="1">
        <v>44879</v>
      </c>
      <c r="G2707" t="str">
        <f>"300101"</f>
        <v>300101</v>
      </c>
      <c r="H2707" t="s">
        <v>2926</v>
      </c>
      <c r="I2707">
        <v>158.03</v>
      </c>
    </row>
    <row r="2708" spans="1:9" x14ac:dyDescent="0.25">
      <c r="A2708" t="s">
        <v>9616</v>
      </c>
      <c r="C2708" t="s">
        <v>9617</v>
      </c>
      <c r="D2708" t="str">
        <f>"612322"</f>
        <v>612322</v>
      </c>
      <c r="E2708" t="s">
        <v>10971</v>
      </c>
      <c r="F2708" s="1">
        <v>44879</v>
      </c>
      <c r="G2708" t="str">
        <f>"300101"</f>
        <v>300101</v>
      </c>
      <c r="H2708" t="s">
        <v>2926</v>
      </c>
      <c r="I2708">
        <v>3542.58</v>
      </c>
    </row>
    <row r="2709" spans="1:9" x14ac:dyDescent="0.25">
      <c r="A2709" t="s">
        <v>9616</v>
      </c>
      <c r="C2709" t="s">
        <v>9617</v>
      </c>
      <c r="D2709" t="str">
        <f>"10145159"</f>
        <v>10145159</v>
      </c>
      <c r="E2709" t="s">
        <v>9189</v>
      </c>
      <c r="F2709" s="1">
        <v>44879</v>
      </c>
      <c r="G2709" t="str">
        <f>"300115"</f>
        <v>300115</v>
      </c>
      <c r="H2709" t="s">
        <v>2938</v>
      </c>
      <c r="I2709">
        <v>368883.25760000001</v>
      </c>
    </row>
    <row r="2710" spans="1:9" x14ac:dyDescent="0.25">
      <c r="A2710" t="s">
        <v>9616</v>
      </c>
      <c r="C2710" t="s">
        <v>9617</v>
      </c>
      <c r="D2710" t="s">
        <v>10972</v>
      </c>
      <c r="E2710" t="s">
        <v>9615</v>
      </c>
      <c r="F2710" s="1">
        <v>44879</v>
      </c>
      <c r="G2710" t="str">
        <f>"300133"</f>
        <v>300133</v>
      </c>
      <c r="H2710" t="s">
        <v>2955</v>
      </c>
      <c r="I2710">
        <v>24487.200000000001</v>
      </c>
    </row>
    <row r="2711" spans="1:9" x14ac:dyDescent="0.25">
      <c r="A2711" t="s">
        <v>9616</v>
      </c>
      <c r="C2711" t="s">
        <v>9617</v>
      </c>
      <c r="D2711" t="str">
        <f>"2022008775"</f>
        <v>2022008775</v>
      </c>
      <c r="E2711" t="s">
        <v>10958</v>
      </c>
      <c r="F2711" s="1">
        <v>44879</v>
      </c>
      <c r="G2711" t="str">
        <f>"300191"</f>
        <v>300191</v>
      </c>
      <c r="H2711" t="s">
        <v>3008</v>
      </c>
      <c r="I2711">
        <v>3203.23</v>
      </c>
    </row>
    <row r="2712" spans="1:9" x14ac:dyDescent="0.25">
      <c r="A2712" t="s">
        <v>9616</v>
      </c>
      <c r="C2712" t="s">
        <v>9617</v>
      </c>
      <c r="D2712" t="str">
        <f>"2022008779"</f>
        <v>2022008779</v>
      </c>
      <c r="E2712" t="s">
        <v>10960</v>
      </c>
      <c r="F2712" s="1">
        <v>44879</v>
      </c>
      <c r="G2712" t="str">
        <f>"300191"</f>
        <v>300191</v>
      </c>
      <c r="H2712" t="s">
        <v>3008</v>
      </c>
      <c r="I2712">
        <v>3203.23</v>
      </c>
    </row>
    <row r="2713" spans="1:9" x14ac:dyDescent="0.25">
      <c r="A2713" t="s">
        <v>9616</v>
      </c>
      <c r="C2713" t="s">
        <v>9617</v>
      </c>
      <c r="D2713" t="s">
        <v>10973</v>
      </c>
      <c r="E2713" t="s">
        <v>10974</v>
      </c>
      <c r="F2713" s="1">
        <v>44879</v>
      </c>
      <c r="G2713" t="str">
        <f>"300321"</f>
        <v>300321</v>
      </c>
      <c r="H2713" t="s">
        <v>2706</v>
      </c>
      <c r="I2713">
        <v>19000</v>
      </c>
    </row>
    <row r="2714" spans="1:9" x14ac:dyDescent="0.25">
      <c r="A2714" t="s">
        <v>9616</v>
      </c>
      <c r="C2714" t="s">
        <v>9617</v>
      </c>
      <c r="D2714" t="str">
        <f>"76045"</f>
        <v>76045</v>
      </c>
      <c r="E2714" t="s">
        <v>10974</v>
      </c>
      <c r="F2714" s="1">
        <v>44880</v>
      </c>
      <c r="G2714" t="str">
        <f>"300043"</f>
        <v>300043</v>
      </c>
      <c r="H2714" t="s">
        <v>2876</v>
      </c>
      <c r="I2714">
        <v>1437</v>
      </c>
    </row>
    <row r="2715" spans="1:9" x14ac:dyDescent="0.25">
      <c r="A2715" t="s">
        <v>9616</v>
      </c>
      <c r="C2715" t="s">
        <v>9617</v>
      </c>
      <c r="D2715" t="str">
        <f>"76077"</f>
        <v>76077</v>
      </c>
      <c r="E2715" t="s">
        <v>10970</v>
      </c>
      <c r="F2715" s="1">
        <v>44880</v>
      </c>
      <c r="G2715" t="str">
        <f>"300043"</f>
        <v>300043</v>
      </c>
      <c r="H2715" t="s">
        <v>2876</v>
      </c>
      <c r="I2715">
        <v>1433</v>
      </c>
    </row>
    <row r="2716" spans="1:9" x14ac:dyDescent="0.25">
      <c r="A2716" t="s">
        <v>9616</v>
      </c>
      <c r="C2716" t="s">
        <v>9617</v>
      </c>
      <c r="D2716" t="str">
        <f>"10145226"</f>
        <v>10145226</v>
      </c>
      <c r="E2716" t="s">
        <v>9797</v>
      </c>
      <c r="F2716" s="1">
        <v>44880</v>
      </c>
      <c r="G2716" t="str">
        <f>"300115"</f>
        <v>300115</v>
      </c>
      <c r="H2716" t="s">
        <v>2938</v>
      </c>
      <c r="I2716">
        <v>134204.47039999999</v>
      </c>
    </row>
    <row r="2717" spans="1:9" x14ac:dyDescent="0.25">
      <c r="A2717" t="s">
        <v>9616</v>
      </c>
      <c r="C2717" t="s">
        <v>9617</v>
      </c>
      <c r="D2717" t="str">
        <f>"10145227"</f>
        <v>10145227</v>
      </c>
      <c r="E2717" t="s">
        <v>10049</v>
      </c>
      <c r="F2717" s="1">
        <v>44880</v>
      </c>
      <c r="G2717" t="str">
        <f>"300115"</f>
        <v>300115</v>
      </c>
      <c r="H2717" t="s">
        <v>2938</v>
      </c>
      <c r="I2717">
        <v>234857.82320000001</v>
      </c>
    </row>
    <row r="2718" spans="1:9" x14ac:dyDescent="0.25">
      <c r="A2718" t="s">
        <v>9616</v>
      </c>
      <c r="C2718" t="s">
        <v>9617</v>
      </c>
      <c r="D2718" t="s">
        <v>10975</v>
      </c>
      <c r="E2718" t="s">
        <v>10976</v>
      </c>
      <c r="F2718" s="1">
        <v>44880</v>
      </c>
      <c r="G2718" t="str">
        <f>"300321"</f>
        <v>300321</v>
      </c>
      <c r="H2718" t="s">
        <v>2706</v>
      </c>
      <c r="I2718">
        <v>19000</v>
      </c>
    </row>
    <row r="2719" spans="1:9" x14ac:dyDescent="0.25">
      <c r="A2719" t="s">
        <v>9616</v>
      </c>
      <c r="C2719" t="s">
        <v>9617</v>
      </c>
      <c r="D2719" t="str">
        <f>"10145255"</f>
        <v>10145255</v>
      </c>
      <c r="E2719" t="s">
        <v>2014</v>
      </c>
      <c r="F2719" s="1">
        <v>44881</v>
      </c>
      <c r="G2719" t="str">
        <f>"300115"</f>
        <v>300115</v>
      </c>
      <c r="H2719" t="s">
        <v>2938</v>
      </c>
      <c r="I2719">
        <v>130623.57</v>
      </c>
    </row>
    <row r="2720" spans="1:9" x14ac:dyDescent="0.25">
      <c r="A2720" t="s">
        <v>9616</v>
      </c>
      <c r="C2720" t="s">
        <v>9617</v>
      </c>
      <c r="D2720" t="str">
        <f>"2022008856"</f>
        <v>2022008856</v>
      </c>
      <c r="E2720" t="s">
        <v>10966</v>
      </c>
      <c r="F2720" s="1">
        <v>44881</v>
      </c>
      <c r="G2720" t="str">
        <f>"300191"</f>
        <v>300191</v>
      </c>
      <c r="H2720" t="s">
        <v>3008</v>
      </c>
      <c r="I2720">
        <v>3385.37</v>
      </c>
    </row>
    <row r="2721" spans="1:9" x14ac:dyDescent="0.25">
      <c r="A2721" t="s">
        <v>9616</v>
      </c>
      <c r="C2721" t="s">
        <v>9617</v>
      </c>
      <c r="D2721" t="str">
        <f>"2022008860"</f>
        <v>2022008860</v>
      </c>
      <c r="E2721" t="s">
        <v>10963</v>
      </c>
      <c r="F2721" s="1">
        <v>44881</v>
      </c>
      <c r="G2721" t="str">
        <f>"300191"</f>
        <v>300191</v>
      </c>
      <c r="H2721" t="s">
        <v>3008</v>
      </c>
      <c r="I2721">
        <v>3546.08</v>
      </c>
    </row>
    <row r="2722" spans="1:9" x14ac:dyDescent="0.25">
      <c r="A2722" t="s">
        <v>9616</v>
      </c>
      <c r="C2722" t="s">
        <v>9617</v>
      </c>
      <c r="D2722" t="str">
        <f>"2022008861"</f>
        <v>2022008861</v>
      </c>
      <c r="E2722" t="s">
        <v>10968</v>
      </c>
      <c r="F2722" s="1">
        <v>44881</v>
      </c>
      <c r="G2722" t="str">
        <f>"300191"</f>
        <v>300191</v>
      </c>
      <c r="H2722" t="s">
        <v>3008</v>
      </c>
      <c r="I2722">
        <v>3385.37</v>
      </c>
    </row>
    <row r="2723" spans="1:9" x14ac:dyDescent="0.25">
      <c r="A2723" t="s">
        <v>9616</v>
      </c>
      <c r="C2723" t="s">
        <v>9617</v>
      </c>
      <c r="D2723" t="str">
        <f>"76577"</f>
        <v>76577</v>
      </c>
      <c r="E2723" t="s">
        <v>10976</v>
      </c>
      <c r="F2723" s="1">
        <v>44882</v>
      </c>
      <c r="G2723" t="str">
        <f>"300043"</f>
        <v>300043</v>
      </c>
      <c r="H2723" t="s">
        <v>2876</v>
      </c>
      <c r="I2723">
        <v>1446</v>
      </c>
    </row>
    <row r="2724" spans="1:9" x14ac:dyDescent="0.25">
      <c r="A2724" t="s">
        <v>9616</v>
      </c>
      <c r="C2724" t="s">
        <v>9617</v>
      </c>
      <c r="D2724" t="s">
        <v>10977</v>
      </c>
      <c r="E2724" t="s">
        <v>9615</v>
      </c>
      <c r="F2724" s="1">
        <v>44882</v>
      </c>
      <c r="G2724" t="str">
        <f>"300133"</f>
        <v>300133</v>
      </c>
      <c r="H2724" t="s">
        <v>2955</v>
      </c>
      <c r="I2724">
        <v>8162.4</v>
      </c>
    </row>
    <row r="2725" spans="1:9" x14ac:dyDescent="0.25">
      <c r="A2725" t="s">
        <v>9616</v>
      </c>
      <c r="C2725" t="s">
        <v>9617</v>
      </c>
      <c r="D2725" t="str">
        <f>"10145271"</f>
        <v>10145271</v>
      </c>
      <c r="E2725" t="s">
        <v>1332</v>
      </c>
      <c r="F2725" s="1">
        <v>44883</v>
      </c>
      <c r="G2725" t="str">
        <f t="shared" ref="G2725:G2730" si="16">"300115"</f>
        <v>300115</v>
      </c>
      <c r="H2725" t="s">
        <v>2938</v>
      </c>
      <c r="I2725">
        <v>130623.57</v>
      </c>
    </row>
    <row r="2726" spans="1:9" x14ac:dyDescent="0.25">
      <c r="A2726" t="s">
        <v>9616</v>
      </c>
      <c r="C2726" t="s">
        <v>9617</v>
      </c>
      <c r="D2726" t="str">
        <f>"10145294"</f>
        <v>10145294</v>
      </c>
      <c r="E2726" t="s">
        <v>9797</v>
      </c>
      <c r="F2726" s="1">
        <v>44883</v>
      </c>
      <c r="G2726" t="str">
        <f t="shared" si="16"/>
        <v>300115</v>
      </c>
      <c r="H2726" t="s">
        <v>2938</v>
      </c>
      <c r="I2726">
        <v>174274.17809999999</v>
      </c>
    </row>
    <row r="2727" spans="1:9" x14ac:dyDescent="0.25">
      <c r="A2727" t="s">
        <v>9616</v>
      </c>
      <c r="C2727" t="s">
        <v>9617</v>
      </c>
      <c r="D2727" t="str">
        <f>"10145295"</f>
        <v>10145295</v>
      </c>
      <c r="E2727" t="s">
        <v>10879</v>
      </c>
      <c r="F2727" s="1">
        <v>44883</v>
      </c>
      <c r="G2727" t="str">
        <f t="shared" si="16"/>
        <v>300115</v>
      </c>
      <c r="H2727" t="s">
        <v>2938</v>
      </c>
      <c r="I2727">
        <v>103874.3728</v>
      </c>
    </row>
    <row r="2728" spans="1:9" x14ac:dyDescent="0.25">
      <c r="A2728" t="s">
        <v>9616</v>
      </c>
      <c r="C2728" t="s">
        <v>9617</v>
      </c>
      <c r="D2728" t="str">
        <f>"10145296"</f>
        <v>10145296</v>
      </c>
      <c r="E2728" t="s">
        <v>1332</v>
      </c>
      <c r="F2728" s="1">
        <v>44883</v>
      </c>
      <c r="G2728" t="str">
        <f t="shared" si="16"/>
        <v>300115</v>
      </c>
      <c r="H2728" t="s">
        <v>2938</v>
      </c>
      <c r="I2728">
        <v>130623.57</v>
      </c>
    </row>
    <row r="2729" spans="1:9" x14ac:dyDescent="0.25">
      <c r="A2729" t="s">
        <v>9616</v>
      </c>
      <c r="C2729" t="s">
        <v>9617</v>
      </c>
      <c r="D2729" t="str">
        <f>"10145327"</f>
        <v>10145327</v>
      </c>
      <c r="E2729" t="s">
        <v>9189</v>
      </c>
      <c r="F2729" s="1">
        <v>44883</v>
      </c>
      <c r="G2729" t="str">
        <f t="shared" si="16"/>
        <v>300115</v>
      </c>
      <c r="H2729" t="s">
        <v>2938</v>
      </c>
      <c r="I2729">
        <v>384311.79599999997</v>
      </c>
    </row>
    <row r="2730" spans="1:9" x14ac:dyDescent="0.25">
      <c r="A2730" t="s">
        <v>9616</v>
      </c>
      <c r="C2730" t="s">
        <v>9617</v>
      </c>
      <c r="D2730" t="str">
        <f>"10145328"</f>
        <v>10145328</v>
      </c>
      <c r="E2730" t="s">
        <v>2172</v>
      </c>
      <c r="F2730" s="1">
        <v>44883</v>
      </c>
      <c r="G2730" t="str">
        <f t="shared" si="16"/>
        <v>300115</v>
      </c>
      <c r="H2730" t="s">
        <v>2938</v>
      </c>
      <c r="I2730">
        <v>384044.49599999998</v>
      </c>
    </row>
    <row r="2731" spans="1:9" x14ac:dyDescent="0.25">
      <c r="A2731" t="s">
        <v>9616</v>
      </c>
      <c r="C2731" t="s">
        <v>9617</v>
      </c>
      <c r="D2731" t="s">
        <v>10978</v>
      </c>
      <c r="E2731" t="s">
        <v>10979</v>
      </c>
      <c r="F2731" s="1">
        <v>44883</v>
      </c>
      <c r="G2731" t="str">
        <f>"300321"</f>
        <v>300321</v>
      </c>
      <c r="H2731" t="s">
        <v>2706</v>
      </c>
      <c r="I2731">
        <v>19000</v>
      </c>
    </row>
    <row r="2732" spans="1:9" x14ac:dyDescent="0.25">
      <c r="A2732" t="s">
        <v>9616</v>
      </c>
      <c r="C2732" t="s">
        <v>9617</v>
      </c>
      <c r="D2732" t="s">
        <v>10980</v>
      </c>
      <c r="E2732" t="s">
        <v>10981</v>
      </c>
      <c r="F2732" s="1">
        <v>44883</v>
      </c>
      <c r="G2732" t="str">
        <f>"300321"</f>
        <v>300321</v>
      </c>
      <c r="H2732" t="s">
        <v>2706</v>
      </c>
      <c r="I2732">
        <v>18000</v>
      </c>
    </row>
    <row r="2733" spans="1:9" x14ac:dyDescent="0.25">
      <c r="A2733" t="s">
        <v>9616</v>
      </c>
      <c r="C2733" t="s">
        <v>9617</v>
      </c>
      <c r="D2733" t="s">
        <v>10982</v>
      </c>
      <c r="E2733" t="s">
        <v>10983</v>
      </c>
      <c r="F2733" s="1">
        <v>44884</v>
      </c>
      <c r="G2733" t="str">
        <f>"300133"</f>
        <v>300133</v>
      </c>
      <c r="H2733" t="s">
        <v>2955</v>
      </c>
      <c r="I2733">
        <v>6949.44</v>
      </c>
    </row>
    <row r="2734" spans="1:9" x14ac:dyDescent="0.25">
      <c r="A2734" t="s">
        <v>9616</v>
      </c>
      <c r="C2734" t="s">
        <v>9617</v>
      </c>
      <c r="D2734" t="s">
        <v>10984</v>
      </c>
      <c r="E2734" t="s">
        <v>10983</v>
      </c>
      <c r="F2734" s="1">
        <v>44884</v>
      </c>
      <c r="G2734" t="str">
        <f>"300133"</f>
        <v>300133</v>
      </c>
      <c r="H2734" t="s">
        <v>2955</v>
      </c>
      <c r="I2734">
        <v>100572.96</v>
      </c>
    </row>
    <row r="2735" spans="1:9" x14ac:dyDescent="0.25">
      <c r="A2735" t="s">
        <v>9616</v>
      </c>
      <c r="C2735" t="s">
        <v>9617</v>
      </c>
      <c r="D2735" t="str">
        <f>"2022008974"</f>
        <v>2022008974</v>
      </c>
      <c r="E2735" t="s">
        <v>10970</v>
      </c>
      <c r="F2735" s="1">
        <v>44886</v>
      </c>
      <c r="G2735" t="str">
        <f>"300191"</f>
        <v>300191</v>
      </c>
      <c r="H2735" t="s">
        <v>3008</v>
      </c>
      <c r="I2735">
        <v>3547.83</v>
      </c>
    </row>
    <row r="2736" spans="1:9" x14ac:dyDescent="0.25">
      <c r="A2736" t="s">
        <v>9616</v>
      </c>
      <c r="C2736" t="s">
        <v>9617</v>
      </c>
      <c r="D2736" t="str">
        <f>"2022008976"</f>
        <v>2022008976</v>
      </c>
      <c r="E2736" t="s">
        <v>10976</v>
      </c>
      <c r="F2736" s="1">
        <v>44886</v>
      </c>
      <c r="G2736" t="str">
        <f>"300191"</f>
        <v>300191</v>
      </c>
      <c r="H2736" t="s">
        <v>3008</v>
      </c>
      <c r="I2736">
        <v>3241.17</v>
      </c>
    </row>
    <row r="2737" spans="1:9" x14ac:dyDescent="0.25">
      <c r="A2737" t="s">
        <v>9616</v>
      </c>
      <c r="C2737" t="s">
        <v>9617</v>
      </c>
      <c r="D2737" t="str">
        <f>"2022008977"</f>
        <v>2022008977</v>
      </c>
      <c r="E2737" t="s">
        <v>10974</v>
      </c>
      <c r="F2737" s="1">
        <v>44886</v>
      </c>
      <c r="G2737" t="str">
        <f>"300191"</f>
        <v>300191</v>
      </c>
      <c r="H2737" t="s">
        <v>3008</v>
      </c>
      <c r="I2737">
        <v>3226.17</v>
      </c>
    </row>
    <row r="2738" spans="1:9" x14ac:dyDescent="0.25">
      <c r="A2738" t="s">
        <v>9616</v>
      </c>
      <c r="C2738" t="s">
        <v>9617</v>
      </c>
      <c r="D2738" t="str">
        <f>"77375"</f>
        <v>77375</v>
      </c>
      <c r="E2738" t="s">
        <v>10985</v>
      </c>
      <c r="F2738" s="1">
        <v>44887</v>
      </c>
      <c r="G2738" t="str">
        <f>"300043"</f>
        <v>300043</v>
      </c>
      <c r="H2738" t="s">
        <v>2876</v>
      </c>
      <c r="I2738">
        <v>605</v>
      </c>
    </row>
    <row r="2739" spans="1:9" x14ac:dyDescent="0.25">
      <c r="A2739" t="s">
        <v>9616</v>
      </c>
      <c r="C2739" t="s">
        <v>9617</v>
      </c>
      <c r="D2739" t="str">
        <f>"77502"</f>
        <v>77502</v>
      </c>
      <c r="E2739" t="s">
        <v>10979</v>
      </c>
      <c r="F2739" s="1">
        <v>44887</v>
      </c>
      <c r="G2739" t="str">
        <f>"300043"</f>
        <v>300043</v>
      </c>
      <c r="H2739" t="s">
        <v>2876</v>
      </c>
      <c r="I2739">
        <v>1489</v>
      </c>
    </row>
    <row r="2740" spans="1:9" x14ac:dyDescent="0.25">
      <c r="A2740" t="s">
        <v>9616</v>
      </c>
      <c r="C2740" t="s">
        <v>9617</v>
      </c>
      <c r="D2740" t="str">
        <f>"774441"</f>
        <v>774441</v>
      </c>
      <c r="E2740" t="s">
        <v>10986</v>
      </c>
      <c r="F2740" s="1">
        <v>44887</v>
      </c>
      <c r="G2740" t="str">
        <f>"300043"</f>
        <v>300043</v>
      </c>
      <c r="H2740" t="s">
        <v>2876</v>
      </c>
      <c r="I2740">
        <v>605</v>
      </c>
    </row>
    <row r="2741" spans="1:9" x14ac:dyDescent="0.25">
      <c r="A2741" t="s">
        <v>9616</v>
      </c>
      <c r="C2741" t="s">
        <v>9617</v>
      </c>
      <c r="D2741" t="str">
        <f>"612122"</f>
        <v>612122</v>
      </c>
      <c r="E2741" t="s">
        <v>10986</v>
      </c>
      <c r="F2741" s="1">
        <v>44887</v>
      </c>
      <c r="G2741" t="str">
        <f>"300101"</f>
        <v>300101</v>
      </c>
      <c r="H2741" t="s">
        <v>2926</v>
      </c>
      <c r="I2741">
        <v>3864.73</v>
      </c>
    </row>
    <row r="2742" spans="1:9" x14ac:dyDescent="0.25">
      <c r="A2742" t="s">
        <v>9616</v>
      </c>
      <c r="C2742" t="s">
        <v>9617</v>
      </c>
      <c r="D2742" t="str">
        <f>"612622"</f>
        <v>612622</v>
      </c>
      <c r="E2742" t="s">
        <v>10985</v>
      </c>
      <c r="F2742" s="1">
        <v>44887</v>
      </c>
      <c r="G2742" t="str">
        <f>"300101"</f>
        <v>300101</v>
      </c>
      <c r="H2742" t="s">
        <v>2926</v>
      </c>
      <c r="I2742">
        <v>4034.64</v>
      </c>
    </row>
    <row r="2743" spans="1:9" x14ac:dyDescent="0.25">
      <c r="A2743" t="s">
        <v>9616</v>
      </c>
      <c r="C2743" t="s">
        <v>9617</v>
      </c>
      <c r="D2743" t="str">
        <f>"24771"</f>
        <v>24771</v>
      </c>
      <c r="F2743" s="1">
        <v>44888</v>
      </c>
      <c r="G2743" t="str">
        <f>"300043"</f>
        <v>300043</v>
      </c>
      <c r="H2743" t="s">
        <v>2876</v>
      </c>
      <c r="I2743">
        <v>3795</v>
      </c>
    </row>
    <row r="2744" spans="1:9" x14ac:dyDescent="0.25">
      <c r="A2744" t="s">
        <v>9616</v>
      </c>
      <c r="C2744" t="s">
        <v>9617</v>
      </c>
      <c r="D2744" t="str">
        <f>"77674"</f>
        <v>77674</v>
      </c>
      <c r="E2744" t="s">
        <v>10987</v>
      </c>
      <c r="F2744" s="1">
        <v>44888</v>
      </c>
      <c r="G2744" t="str">
        <f>"300043"</f>
        <v>300043</v>
      </c>
      <c r="H2744" t="s">
        <v>2876</v>
      </c>
      <c r="I2744">
        <v>603</v>
      </c>
    </row>
    <row r="2745" spans="1:9" x14ac:dyDescent="0.25">
      <c r="A2745" t="s">
        <v>9616</v>
      </c>
      <c r="C2745" t="s">
        <v>9617</v>
      </c>
      <c r="D2745" t="str">
        <f>"612022"</f>
        <v>612022</v>
      </c>
      <c r="E2745" t="s">
        <v>10987</v>
      </c>
      <c r="F2745" s="1">
        <v>44888</v>
      </c>
      <c r="G2745" t="str">
        <f>"300101"</f>
        <v>300101</v>
      </c>
      <c r="H2745" t="s">
        <v>2926</v>
      </c>
      <c r="I2745">
        <v>3708.75</v>
      </c>
    </row>
    <row r="2746" spans="1:9" x14ac:dyDescent="0.25">
      <c r="A2746" t="s">
        <v>9616</v>
      </c>
      <c r="C2746" t="s">
        <v>9617</v>
      </c>
      <c r="D2746" t="str">
        <f>"77093"</f>
        <v>77093</v>
      </c>
      <c r="E2746" t="s">
        <v>10988</v>
      </c>
      <c r="F2746" s="1">
        <v>44889</v>
      </c>
      <c r="G2746" t="str">
        <f>"300043"</f>
        <v>300043</v>
      </c>
      <c r="H2746" t="s">
        <v>2876</v>
      </c>
      <c r="I2746">
        <v>605</v>
      </c>
    </row>
    <row r="2747" spans="1:9" x14ac:dyDescent="0.25">
      <c r="A2747" t="s">
        <v>9616</v>
      </c>
      <c r="C2747" t="s">
        <v>9617</v>
      </c>
      <c r="D2747" t="str">
        <f>"78010"</f>
        <v>78010</v>
      </c>
      <c r="E2747" t="s">
        <v>10981</v>
      </c>
      <c r="F2747" s="1">
        <v>44889</v>
      </c>
      <c r="G2747" t="str">
        <f>"300043"</f>
        <v>300043</v>
      </c>
      <c r="H2747" t="s">
        <v>2876</v>
      </c>
      <c r="I2747">
        <v>1481</v>
      </c>
    </row>
    <row r="2748" spans="1:9" x14ac:dyDescent="0.25">
      <c r="A2748" t="s">
        <v>9616</v>
      </c>
      <c r="C2748" t="s">
        <v>9617</v>
      </c>
      <c r="D2748" t="str">
        <f>"78173"</f>
        <v>78173</v>
      </c>
      <c r="E2748" t="s">
        <v>10989</v>
      </c>
      <c r="F2748" s="1">
        <v>44889</v>
      </c>
      <c r="G2748" t="str">
        <f>"300043"</f>
        <v>300043</v>
      </c>
      <c r="H2748" t="s">
        <v>2876</v>
      </c>
      <c r="I2748">
        <v>1101</v>
      </c>
    </row>
    <row r="2749" spans="1:9" x14ac:dyDescent="0.25">
      <c r="A2749" t="s">
        <v>9616</v>
      </c>
      <c r="C2749" t="s">
        <v>9617</v>
      </c>
      <c r="D2749" t="str">
        <f>"611822"</f>
        <v>611822</v>
      </c>
      <c r="E2749" t="s">
        <v>10989</v>
      </c>
      <c r="F2749" s="1">
        <v>44889</v>
      </c>
      <c r="G2749" t="str">
        <f>"300101"</f>
        <v>300101</v>
      </c>
      <c r="H2749" t="s">
        <v>2926</v>
      </c>
      <c r="I2749">
        <v>3712.96</v>
      </c>
    </row>
    <row r="2750" spans="1:9" x14ac:dyDescent="0.25">
      <c r="A2750" t="s">
        <v>9616</v>
      </c>
      <c r="C2750" t="s">
        <v>9617</v>
      </c>
      <c r="D2750" t="str">
        <f>"612222"</f>
        <v>612222</v>
      </c>
      <c r="E2750" t="s">
        <v>10988</v>
      </c>
      <c r="F2750" s="1">
        <v>44889</v>
      </c>
      <c r="G2750" t="str">
        <f>"300101"</f>
        <v>300101</v>
      </c>
      <c r="H2750" t="s">
        <v>2926</v>
      </c>
      <c r="I2750">
        <v>4027.79</v>
      </c>
    </row>
    <row r="2751" spans="1:9" x14ac:dyDescent="0.25">
      <c r="A2751" t="s">
        <v>9616</v>
      </c>
      <c r="C2751" t="s">
        <v>9617</v>
      </c>
      <c r="D2751" t="str">
        <f>"122310890"</f>
        <v>122310890</v>
      </c>
      <c r="E2751" t="s">
        <v>10826</v>
      </c>
      <c r="F2751" s="1">
        <v>44890</v>
      </c>
      <c r="G2751" t="str">
        <f>"300080"</f>
        <v>300080</v>
      </c>
      <c r="H2751" t="s">
        <v>2907</v>
      </c>
      <c r="I2751">
        <v>114114</v>
      </c>
    </row>
    <row r="2752" spans="1:9" x14ac:dyDescent="0.25">
      <c r="A2752" t="s">
        <v>9616</v>
      </c>
      <c r="C2752" t="s">
        <v>9617</v>
      </c>
      <c r="D2752" t="str">
        <f>"2022009147"</f>
        <v>2022009147</v>
      </c>
      <c r="E2752" t="s">
        <v>10979</v>
      </c>
      <c r="F2752" s="1">
        <v>44890</v>
      </c>
      <c r="G2752" t="str">
        <f>"300191"</f>
        <v>300191</v>
      </c>
      <c r="H2752" t="s">
        <v>3008</v>
      </c>
      <c r="I2752">
        <v>3386.01</v>
      </c>
    </row>
    <row r="2753" spans="1:9" x14ac:dyDescent="0.25">
      <c r="A2753" t="s">
        <v>9616</v>
      </c>
      <c r="C2753" t="s">
        <v>9617</v>
      </c>
      <c r="D2753" t="str">
        <f>"100005879"</f>
        <v>100005879</v>
      </c>
      <c r="E2753" t="s">
        <v>9326</v>
      </c>
      <c r="F2753" s="1">
        <v>44890</v>
      </c>
      <c r="G2753" t="str">
        <f>"300226"</f>
        <v>300226</v>
      </c>
      <c r="H2753" t="s">
        <v>3025</v>
      </c>
      <c r="I2753">
        <v>326189.7</v>
      </c>
    </row>
    <row r="2754" spans="1:9" x14ac:dyDescent="0.25">
      <c r="A2754" t="s">
        <v>9616</v>
      </c>
      <c r="C2754" t="s">
        <v>9617</v>
      </c>
      <c r="D2754" t="str">
        <f>"10145572"</f>
        <v>10145572</v>
      </c>
      <c r="E2754" t="s">
        <v>9189</v>
      </c>
      <c r="F2754" s="1">
        <v>44894</v>
      </c>
      <c r="G2754" t="str">
        <f>"300115"</f>
        <v>300115</v>
      </c>
      <c r="H2754" t="s">
        <v>2938</v>
      </c>
      <c r="I2754">
        <v>368883.25760000001</v>
      </c>
    </row>
    <row r="2755" spans="1:9" x14ac:dyDescent="0.25">
      <c r="A2755" t="s">
        <v>9616</v>
      </c>
      <c r="C2755" t="s">
        <v>9617</v>
      </c>
      <c r="D2755" t="str">
        <f>"10145574"</f>
        <v>10145574</v>
      </c>
      <c r="E2755" t="s">
        <v>9189</v>
      </c>
      <c r="F2755" s="1">
        <v>44894</v>
      </c>
      <c r="G2755" t="str">
        <f>"300115"</f>
        <v>300115</v>
      </c>
      <c r="H2755" t="s">
        <v>2938</v>
      </c>
      <c r="I2755">
        <v>375070.60800000001</v>
      </c>
    </row>
    <row r="2756" spans="1:9" x14ac:dyDescent="0.25">
      <c r="A2756" t="s">
        <v>9616</v>
      </c>
      <c r="C2756" t="s">
        <v>9617</v>
      </c>
      <c r="D2756" t="str">
        <f>"10145579"</f>
        <v>10145579</v>
      </c>
      <c r="E2756" t="s">
        <v>9189</v>
      </c>
      <c r="F2756" s="1">
        <v>44894</v>
      </c>
      <c r="G2756" t="str">
        <f>"300115"</f>
        <v>300115</v>
      </c>
      <c r="H2756" t="s">
        <v>2938</v>
      </c>
      <c r="I2756">
        <v>368883.25760000001</v>
      </c>
    </row>
    <row r="2757" spans="1:9" x14ac:dyDescent="0.25">
      <c r="A2757" t="s">
        <v>9616</v>
      </c>
      <c r="C2757" t="s">
        <v>9617</v>
      </c>
      <c r="D2757" t="str">
        <f>"2022009228"</f>
        <v>2022009228</v>
      </c>
      <c r="E2757" t="s">
        <v>10981</v>
      </c>
      <c r="F2757" s="1">
        <v>44894</v>
      </c>
      <c r="G2757" t="str">
        <f>"300191"</f>
        <v>300191</v>
      </c>
      <c r="H2757" t="s">
        <v>3008</v>
      </c>
      <c r="I2757">
        <v>3393.39</v>
      </c>
    </row>
    <row r="2758" spans="1:9" x14ac:dyDescent="0.25">
      <c r="A2758" t="s">
        <v>9616</v>
      </c>
      <c r="C2758" t="s">
        <v>9617</v>
      </c>
      <c r="D2758" t="s">
        <v>10990</v>
      </c>
      <c r="E2758" t="s">
        <v>10991</v>
      </c>
      <c r="F2758" s="1">
        <v>44894</v>
      </c>
      <c r="G2758" t="str">
        <f>"300321"</f>
        <v>300321</v>
      </c>
      <c r="H2758" t="s">
        <v>2706</v>
      </c>
      <c r="I2758">
        <v>19000</v>
      </c>
    </row>
    <row r="2759" spans="1:9" x14ac:dyDescent="0.25">
      <c r="A2759" t="s">
        <v>9616</v>
      </c>
      <c r="C2759" t="s">
        <v>9617</v>
      </c>
      <c r="D2759" t="s">
        <v>10992</v>
      </c>
      <c r="E2759" t="s">
        <v>10993</v>
      </c>
      <c r="F2759" s="1">
        <v>44894</v>
      </c>
      <c r="G2759" t="str">
        <f>"300321"</f>
        <v>300321</v>
      </c>
      <c r="H2759" t="s">
        <v>2706</v>
      </c>
      <c r="I2759">
        <v>19000</v>
      </c>
    </row>
    <row r="2760" spans="1:9" x14ac:dyDescent="0.25">
      <c r="A2760" t="s">
        <v>9616</v>
      </c>
      <c r="C2760" t="s">
        <v>9617</v>
      </c>
      <c r="D2760" t="s">
        <v>10994</v>
      </c>
      <c r="E2760" t="s">
        <v>10995</v>
      </c>
      <c r="F2760" s="1">
        <v>44894</v>
      </c>
      <c r="G2760" t="str">
        <f>"300321"</f>
        <v>300321</v>
      </c>
      <c r="H2760" t="s">
        <v>2706</v>
      </c>
      <c r="I2760">
        <v>19000</v>
      </c>
    </row>
    <row r="2761" spans="1:9" x14ac:dyDescent="0.25">
      <c r="A2761" t="s">
        <v>9616</v>
      </c>
      <c r="C2761" t="s">
        <v>9617</v>
      </c>
      <c r="D2761" t="str">
        <f>"79642"</f>
        <v>79642</v>
      </c>
      <c r="E2761" t="s">
        <v>10993</v>
      </c>
      <c r="F2761" s="1">
        <v>44895</v>
      </c>
      <c r="G2761" t="str">
        <f>"300043"</f>
        <v>300043</v>
      </c>
      <c r="H2761" t="s">
        <v>2876</v>
      </c>
      <c r="I2761">
        <v>1464</v>
      </c>
    </row>
    <row r="2762" spans="1:9" x14ac:dyDescent="0.25">
      <c r="A2762" t="s">
        <v>9616</v>
      </c>
      <c r="C2762" t="s">
        <v>9617</v>
      </c>
      <c r="D2762" t="str">
        <f>"10145619"</f>
        <v>10145619</v>
      </c>
      <c r="E2762" t="s">
        <v>10996</v>
      </c>
      <c r="F2762" s="1">
        <v>44895</v>
      </c>
      <c r="G2762" t="str">
        <f>"300115"</f>
        <v>300115</v>
      </c>
      <c r="H2762" t="s">
        <v>2938</v>
      </c>
      <c r="I2762">
        <v>384311.79599999997</v>
      </c>
    </row>
    <row r="2763" spans="1:9" x14ac:dyDescent="0.25">
      <c r="A2763" t="s">
        <v>9616</v>
      </c>
      <c r="C2763" t="s">
        <v>9617</v>
      </c>
      <c r="D2763" t="str">
        <f>"10145620"</f>
        <v>10145620</v>
      </c>
      <c r="E2763" t="s">
        <v>10996</v>
      </c>
      <c r="F2763" s="1">
        <v>44895</v>
      </c>
      <c r="G2763" t="str">
        <f>"300115"</f>
        <v>300115</v>
      </c>
      <c r="H2763" t="s">
        <v>2938</v>
      </c>
      <c r="I2763">
        <v>384389.63199999998</v>
      </c>
    </row>
    <row r="2764" spans="1:9" x14ac:dyDescent="0.25">
      <c r="A2764" t="s">
        <v>9616</v>
      </c>
      <c r="C2764" t="s">
        <v>9617</v>
      </c>
      <c r="D2764" t="str">
        <f>"2022009358"</f>
        <v>2022009358</v>
      </c>
      <c r="E2764" t="s">
        <v>10993</v>
      </c>
      <c r="F2764" s="1">
        <v>44895</v>
      </c>
      <c r="G2764" t="str">
        <f>"300191"</f>
        <v>300191</v>
      </c>
      <c r="H2764" t="s">
        <v>3008</v>
      </c>
      <c r="I2764">
        <v>3235.56</v>
      </c>
    </row>
    <row r="2765" spans="1:9" x14ac:dyDescent="0.25">
      <c r="A2765" t="s">
        <v>9616</v>
      </c>
      <c r="C2765" t="s">
        <v>9617</v>
      </c>
      <c r="D2765" t="str">
        <f>"2022009364"</f>
        <v>2022009364</v>
      </c>
      <c r="E2765" t="s">
        <v>10991</v>
      </c>
      <c r="F2765" s="1">
        <v>44895</v>
      </c>
      <c r="G2765" t="str">
        <f>"300191"</f>
        <v>300191</v>
      </c>
      <c r="H2765" t="s">
        <v>3008</v>
      </c>
      <c r="I2765">
        <v>3235.56</v>
      </c>
    </row>
    <row r="2766" spans="1:9" x14ac:dyDescent="0.25">
      <c r="A2766" t="s">
        <v>9616</v>
      </c>
      <c r="C2766" t="s">
        <v>9617</v>
      </c>
      <c r="D2766" t="str">
        <f>"2022009366"</f>
        <v>2022009366</v>
      </c>
      <c r="E2766" t="s">
        <v>10995</v>
      </c>
      <c r="F2766" s="1">
        <v>44895</v>
      </c>
      <c r="G2766" t="str">
        <f>"300191"</f>
        <v>300191</v>
      </c>
      <c r="H2766" t="s">
        <v>3008</v>
      </c>
      <c r="I2766">
        <v>3235.56</v>
      </c>
    </row>
    <row r="2767" spans="1:9" x14ac:dyDescent="0.25">
      <c r="A2767" t="s">
        <v>9616</v>
      </c>
      <c r="C2767" t="s">
        <v>9617</v>
      </c>
      <c r="D2767" t="s">
        <v>10997</v>
      </c>
      <c r="E2767" t="s">
        <v>10998</v>
      </c>
      <c r="F2767" s="1">
        <v>44895</v>
      </c>
      <c r="G2767" t="str">
        <f>"300321"</f>
        <v>300321</v>
      </c>
      <c r="H2767" t="s">
        <v>2706</v>
      </c>
      <c r="I2767">
        <v>19000</v>
      </c>
    </row>
    <row r="2768" spans="1:9" x14ac:dyDescent="0.25">
      <c r="A2768" t="s">
        <v>9616</v>
      </c>
      <c r="C2768" t="s">
        <v>9617</v>
      </c>
      <c r="D2768" t="s">
        <v>10999</v>
      </c>
      <c r="E2768" t="s">
        <v>11000</v>
      </c>
      <c r="F2768" s="1">
        <v>44895</v>
      </c>
      <c r="G2768" t="str">
        <f>"300321"</f>
        <v>300321</v>
      </c>
      <c r="H2768" t="s">
        <v>2706</v>
      </c>
      <c r="I2768">
        <v>19000</v>
      </c>
    </row>
    <row r="2769" spans="1:9" x14ac:dyDescent="0.25">
      <c r="A2769" t="s">
        <v>9616</v>
      </c>
      <c r="C2769" t="s">
        <v>9617</v>
      </c>
      <c r="D2769" t="str">
        <f>"220010299"</f>
        <v>220010299</v>
      </c>
      <c r="E2769" t="s">
        <v>9191</v>
      </c>
      <c r="F2769" s="1">
        <v>44895</v>
      </c>
      <c r="G2769" t="str">
        <f>"300344"</f>
        <v>300344</v>
      </c>
      <c r="H2769" t="s">
        <v>3084</v>
      </c>
      <c r="I2769">
        <v>33796.65</v>
      </c>
    </row>
    <row r="2770" spans="1:9" x14ac:dyDescent="0.25">
      <c r="A2770" t="s">
        <v>9616</v>
      </c>
      <c r="C2770" t="s">
        <v>9617</v>
      </c>
      <c r="D2770" t="str">
        <f>"79625"</f>
        <v>79625</v>
      </c>
      <c r="E2770" t="s">
        <v>10991</v>
      </c>
      <c r="F2770" s="1">
        <v>44896</v>
      </c>
      <c r="G2770" t="str">
        <f>"300043"</f>
        <v>300043</v>
      </c>
      <c r="H2770" t="s">
        <v>2876</v>
      </c>
      <c r="I2770">
        <v>1444</v>
      </c>
    </row>
    <row r="2771" spans="1:9" x14ac:dyDescent="0.25">
      <c r="A2771" t="s">
        <v>9616</v>
      </c>
      <c r="C2771" t="s">
        <v>9617</v>
      </c>
      <c r="D2771" t="str">
        <f>"79638"</f>
        <v>79638</v>
      </c>
      <c r="E2771" t="s">
        <v>10995</v>
      </c>
      <c r="F2771" s="1">
        <v>44896</v>
      </c>
      <c r="G2771" t="str">
        <f>"300043"</f>
        <v>300043</v>
      </c>
      <c r="H2771" t="s">
        <v>2876</v>
      </c>
      <c r="I2771">
        <v>1444</v>
      </c>
    </row>
    <row r="2772" spans="1:9" x14ac:dyDescent="0.25">
      <c r="A2772" t="s">
        <v>9616</v>
      </c>
      <c r="C2772" t="s">
        <v>9617</v>
      </c>
      <c r="D2772" t="str">
        <f>"79830"</f>
        <v>79830</v>
      </c>
      <c r="E2772" t="s">
        <v>11000</v>
      </c>
      <c r="F2772" s="1">
        <v>44896</v>
      </c>
      <c r="G2772" t="str">
        <f>"300043"</f>
        <v>300043</v>
      </c>
      <c r="H2772" t="s">
        <v>2876</v>
      </c>
      <c r="I2772">
        <v>1493</v>
      </c>
    </row>
    <row r="2773" spans="1:9" x14ac:dyDescent="0.25">
      <c r="A2773" t="s">
        <v>9616</v>
      </c>
      <c r="C2773" t="s">
        <v>9617</v>
      </c>
      <c r="D2773" t="str">
        <f>"79848"</f>
        <v>79848</v>
      </c>
      <c r="E2773" t="s">
        <v>10998</v>
      </c>
      <c r="F2773" s="1">
        <v>44896</v>
      </c>
      <c r="G2773" t="str">
        <f>"300043"</f>
        <v>300043</v>
      </c>
      <c r="H2773" t="s">
        <v>2876</v>
      </c>
      <c r="I2773">
        <v>1493</v>
      </c>
    </row>
    <row r="2774" spans="1:9" x14ac:dyDescent="0.25">
      <c r="A2774" t="s">
        <v>9616</v>
      </c>
      <c r="C2774" t="s">
        <v>9617</v>
      </c>
      <c r="D2774" t="str">
        <f>"25641"</f>
        <v>25641</v>
      </c>
      <c r="F2774" s="1">
        <v>44900</v>
      </c>
      <c r="G2774" t="str">
        <f>"300043"</f>
        <v>300043</v>
      </c>
      <c r="H2774" t="s">
        <v>2876</v>
      </c>
      <c r="I2774">
        <v>2119</v>
      </c>
    </row>
    <row r="2775" spans="1:9" x14ac:dyDescent="0.25">
      <c r="A2775" t="s">
        <v>9616</v>
      </c>
      <c r="C2775" t="s">
        <v>9617</v>
      </c>
      <c r="D2775" t="str">
        <f>"10145758"</f>
        <v>10145758</v>
      </c>
      <c r="E2775" t="s">
        <v>11001</v>
      </c>
      <c r="F2775" s="1">
        <v>44900</v>
      </c>
      <c r="G2775" t="str">
        <f>"300115"</f>
        <v>300115</v>
      </c>
      <c r="H2775" t="s">
        <v>2938</v>
      </c>
      <c r="I2775">
        <v>130623.57</v>
      </c>
    </row>
    <row r="2776" spans="1:9" x14ac:dyDescent="0.25">
      <c r="A2776" t="s">
        <v>9616</v>
      </c>
      <c r="C2776" t="s">
        <v>9617</v>
      </c>
      <c r="D2776" t="str">
        <f>"2022009414"</f>
        <v>2022009414</v>
      </c>
      <c r="E2776" t="s">
        <v>11000</v>
      </c>
      <c r="F2776" s="1">
        <v>44900</v>
      </c>
      <c r="G2776" t="str">
        <f>"300191"</f>
        <v>300191</v>
      </c>
      <c r="H2776" t="s">
        <v>3008</v>
      </c>
      <c r="I2776">
        <v>3233.24</v>
      </c>
    </row>
    <row r="2777" spans="1:9" x14ac:dyDescent="0.25">
      <c r="A2777" t="s">
        <v>9616</v>
      </c>
      <c r="C2777" t="s">
        <v>9617</v>
      </c>
      <c r="D2777" t="str">
        <f>"2022009417"</f>
        <v>2022009417</v>
      </c>
      <c r="E2777" t="s">
        <v>10998</v>
      </c>
      <c r="F2777" s="1">
        <v>44900</v>
      </c>
      <c r="G2777" t="str">
        <f>"300191"</f>
        <v>300191</v>
      </c>
      <c r="H2777" t="s">
        <v>3008</v>
      </c>
      <c r="I2777">
        <v>3233.24</v>
      </c>
    </row>
    <row r="2778" spans="1:9" x14ac:dyDescent="0.25">
      <c r="A2778" t="s">
        <v>9616</v>
      </c>
      <c r="C2778" t="s">
        <v>9617</v>
      </c>
      <c r="D2778" t="str">
        <f>"10145761"</f>
        <v>10145761</v>
      </c>
      <c r="E2778" t="s">
        <v>1332</v>
      </c>
      <c r="F2778" s="1">
        <v>44902</v>
      </c>
      <c r="G2778" t="str">
        <f>"300115"</f>
        <v>300115</v>
      </c>
      <c r="H2778" t="s">
        <v>2938</v>
      </c>
      <c r="I2778">
        <v>130623.57</v>
      </c>
    </row>
    <row r="2779" spans="1:9" x14ac:dyDescent="0.25">
      <c r="A2779" t="s">
        <v>9616</v>
      </c>
      <c r="C2779" t="s">
        <v>9617</v>
      </c>
      <c r="D2779" t="str">
        <f>"10145763"</f>
        <v>10145763</v>
      </c>
      <c r="E2779" t="s">
        <v>9323</v>
      </c>
      <c r="F2779" s="1">
        <v>44902</v>
      </c>
      <c r="G2779" t="str">
        <f>"300115"</f>
        <v>300115</v>
      </c>
      <c r="H2779" t="s">
        <v>2938</v>
      </c>
      <c r="I2779">
        <v>366790.31839999999</v>
      </c>
    </row>
    <row r="2780" spans="1:9" x14ac:dyDescent="0.25">
      <c r="A2780" t="s">
        <v>9616</v>
      </c>
      <c r="C2780" t="s">
        <v>9617</v>
      </c>
      <c r="D2780" t="str">
        <f>"10145764"</f>
        <v>10145764</v>
      </c>
      <c r="E2780" t="s">
        <v>10898</v>
      </c>
      <c r="F2780" s="1">
        <v>44902</v>
      </c>
      <c r="G2780" t="str">
        <f>"300115"</f>
        <v>300115</v>
      </c>
      <c r="H2780" t="s">
        <v>2938</v>
      </c>
      <c r="I2780">
        <v>368883.25760000001</v>
      </c>
    </row>
    <row r="2781" spans="1:9" x14ac:dyDescent="0.25">
      <c r="A2781" t="s">
        <v>9616</v>
      </c>
      <c r="C2781" t="s">
        <v>9617</v>
      </c>
      <c r="D2781" t="s">
        <v>11002</v>
      </c>
      <c r="E2781" t="s">
        <v>11003</v>
      </c>
      <c r="F2781" s="1">
        <v>44902</v>
      </c>
      <c r="G2781" t="str">
        <f>"300321"</f>
        <v>300321</v>
      </c>
      <c r="H2781" t="s">
        <v>2706</v>
      </c>
      <c r="I2781">
        <v>19000</v>
      </c>
    </row>
    <row r="2782" spans="1:9" x14ac:dyDescent="0.25">
      <c r="A2782" t="s">
        <v>9616</v>
      </c>
      <c r="C2782" t="s">
        <v>9617</v>
      </c>
      <c r="D2782" t="s">
        <v>11004</v>
      </c>
      <c r="E2782" t="s">
        <v>11005</v>
      </c>
      <c r="F2782" s="1">
        <v>44902</v>
      </c>
      <c r="G2782" t="str">
        <f>"300321"</f>
        <v>300321</v>
      </c>
      <c r="H2782" t="s">
        <v>2706</v>
      </c>
      <c r="I2782">
        <v>19000</v>
      </c>
    </row>
    <row r="2783" spans="1:9" x14ac:dyDescent="0.25">
      <c r="A2783" t="s">
        <v>9616</v>
      </c>
      <c r="C2783" t="s">
        <v>9617</v>
      </c>
      <c r="D2783" t="str">
        <f>"81362"</f>
        <v>81362</v>
      </c>
      <c r="E2783" t="s">
        <v>11003</v>
      </c>
      <c r="F2783" s="1">
        <v>44903</v>
      </c>
      <c r="G2783" t="str">
        <f>"300043"</f>
        <v>300043</v>
      </c>
      <c r="H2783" t="s">
        <v>2876</v>
      </c>
      <c r="I2783">
        <v>1436</v>
      </c>
    </row>
    <row r="2784" spans="1:9" x14ac:dyDescent="0.25">
      <c r="A2784" t="s">
        <v>9616</v>
      </c>
      <c r="C2784" t="s">
        <v>9617</v>
      </c>
      <c r="D2784" t="str">
        <f>"81500"</f>
        <v>81500</v>
      </c>
      <c r="E2784" t="s">
        <v>11005</v>
      </c>
      <c r="F2784" s="1">
        <v>44903</v>
      </c>
      <c r="G2784" t="str">
        <f>"300043"</f>
        <v>300043</v>
      </c>
      <c r="H2784" t="s">
        <v>2876</v>
      </c>
      <c r="I2784">
        <v>1442</v>
      </c>
    </row>
    <row r="2785" spans="1:9" x14ac:dyDescent="0.25">
      <c r="A2785" t="s">
        <v>9616</v>
      </c>
      <c r="C2785" t="s">
        <v>9617</v>
      </c>
      <c r="D2785" t="str">
        <f>"122310948"</f>
        <v>122310948</v>
      </c>
      <c r="E2785" t="s">
        <v>9714</v>
      </c>
      <c r="F2785" s="1">
        <v>44905</v>
      </c>
      <c r="G2785" t="str">
        <f>"300080"</f>
        <v>300080</v>
      </c>
      <c r="H2785" t="s">
        <v>2907</v>
      </c>
      <c r="I2785">
        <v>114114</v>
      </c>
    </row>
    <row r="2786" spans="1:9" x14ac:dyDescent="0.25">
      <c r="A2786" t="s">
        <v>9616</v>
      </c>
      <c r="C2786" t="s">
        <v>9617</v>
      </c>
      <c r="D2786" t="str">
        <f>"649522"</f>
        <v>649522</v>
      </c>
      <c r="E2786" t="s">
        <v>11006</v>
      </c>
      <c r="F2786" s="1">
        <v>44905</v>
      </c>
      <c r="G2786" t="str">
        <f>"300101"</f>
        <v>300101</v>
      </c>
      <c r="H2786" t="s">
        <v>2926</v>
      </c>
      <c r="I2786">
        <v>3727.6</v>
      </c>
    </row>
    <row r="2787" spans="1:9" x14ac:dyDescent="0.25">
      <c r="A2787" t="s">
        <v>9616</v>
      </c>
      <c r="C2787" t="s">
        <v>9617</v>
      </c>
      <c r="D2787" t="str">
        <f>"81668"</f>
        <v>81668</v>
      </c>
      <c r="E2787" t="s">
        <v>11006</v>
      </c>
      <c r="F2787" s="1">
        <v>44906</v>
      </c>
      <c r="G2787" t="str">
        <f>"300043"</f>
        <v>300043</v>
      </c>
      <c r="H2787" t="s">
        <v>2876</v>
      </c>
      <c r="I2787">
        <v>607</v>
      </c>
    </row>
    <row r="2788" spans="1:9" x14ac:dyDescent="0.25">
      <c r="A2788" t="s">
        <v>9616</v>
      </c>
      <c r="C2788" t="s">
        <v>9617</v>
      </c>
      <c r="D2788" t="str">
        <f>"81672"</f>
        <v>81672</v>
      </c>
      <c r="E2788" t="s">
        <v>11007</v>
      </c>
      <c r="F2788" s="1">
        <v>44907</v>
      </c>
      <c r="G2788" t="str">
        <f>"300043"</f>
        <v>300043</v>
      </c>
      <c r="H2788" t="s">
        <v>2876</v>
      </c>
      <c r="I2788">
        <v>607</v>
      </c>
    </row>
    <row r="2789" spans="1:9" x14ac:dyDescent="0.25">
      <c r="A2789" t="s">
        <v>9616</v>
      </c>
      <c r="C2789" t="s">
        <v>9617</v>
      </c>
      <c r="D2789" t="str">
        <f>"649122"</f>
        <v>649122</v>
      </c>
      <c r="E2789" t="s">
        <v>11007</v>
      </c>
      <c r="F2789" s="1">
        <v>44907</v>
      </c>
      <c r="G2789" t="str">
        <f>"300101"</f>
        <v>300101</v>
      </c>
      <c r="H2789" t="s">
        <v>2926</v>
      </c>
      <c r="I2789">
        <v>4049.36</v>
      </c>
    </row>
    <row r="2790" spans="1:9" x14ac:dyDescent="0.25">
      <c r="A2790" t="s">
        <v>9616</v>
      </c>
      <c r="C2790" t="s">
        <v>9617</v>
      </c>
      <c r="D2790" t="str">
        <f>"143269"</f>
        <v>143269</v>
      </c>
      <c r="E2790" t="s">
        <v>11008</v>
      </c>
      <c r="F2790" s="1">
        <v>44908</v>
      </c>
      <c r="G2790" t="str">
        <f>"300043"</f>
        <v>300043</v>
      </c>
      <c r="H2790" t="s">
        <v>2876</v>
      </c>
      <c r="I2790">
        <v>1312</v>
      </c>
    </row>
    <row r="2791" spans="1:9" x14ac:dyDescent="0.25">
      <c r="A2791" t="s">
        <v>9616</v>
      </c>
      <c r="C2791" t="s">
        <v>9617</v>
      </c>
      <c r="D2791" t="str">
        <f>"10145900"</f>
        <v>10145900</v>
      </c>
      <c r="E2791" t="s">
        <v>272</v>
      </c>
      <c r="F2791" s="1">
        <v>44908</v>
      </c>
      <c r="G2791" t="str">
        <f>"300115"</f>
        <v>300115</v>
      </c>
      <c r="H2791" t="s">
        <v>2938</v>
      </c>
      <c r="I2791">
        <v>130623.57</v>
      </c>
    </row>
    <row r="2792" spans="1:9" x14ac:dyDescent="0.25">
      <c r="A2792" t="s">
        <v>9616</v>
      </c>
      <c r="C2792" t="s">
        <v>9617</v>
      </c>
      <c r="D2792" t="str">
        <f>"10145907"</f>
        <v>10145907</v>
      </c>
      <c r="E2792" t="s">
        <v>9189</v>
      </c>
      <c r="F2792" s="1">
        <v>44909</v>
      </c>
      <c r="G2792" t="str">
        <f>"300115"</f>
        <v>300115</v>
      </c>
      <c r="H2792" t="s">
        <v>2938</v>
      </c>
      <c r="I2792">
        <v>384311.79599999997</v>
      </c>
    </row>
    <row r="2793" spans="1:9" x14ac:dyDescent="0.25">
      <c r="A2793" t="s">
        <v>9616</v>
      </c>
      <c r="C2793" t="s">
        <v>9617</v>
      </c>
      <c r="D2793" t="str">
        <f>"10145910"</f>
        <v>10145910</v>
      </c>
      <c r="E2793" t="s">
        <v>2014</v>
      </c>
      <c r="F2793" s="1">
        <v>44909</v>
      </c>
      <c r="G2793" t="str">
        <f>"300115"</f>
        <v>300115</v>
      </c>
      <c r="H2793" t="s">
        <v>2938</v>
      </c>
      <c r="I2793">
        <v>130623.57</v>
      </c>
    </row>
    <row r="2794" spans="1:9" x14ac:dyDescent="0.25">
      <c r="A2794" t="s">
        <v>9616</v>
      </c>
      <c r="C2794" t="s">
        <v>9617</v>
      </c>
      <c r="D2794" t="str">
        <f>"2022009680"</f>
        <v>2022009680</v>
      </c>
      <c r="E2794" t="s">
        <v>11005</v>
      </c>
      <c r="F2794" s="1">
        <v>44909</v>
      </c>
      <c r="G2794" t="str">
        <f>"300191"</f>
        <v>300191</v>
      </c>
      <c r="H2794" t="s">
        <v>3008</v>
      </c>
      <c r="I2794">
        <v>3237.89</v>
      </c>
    </row>
    <row r="2795" spans="1:9" x14ac:dyDescent="0.25">
      <c r="A2795" t="s">
        <v>9616</v>
      </c>
      <c r="C2795" t="s">
        <v>9617</v>
      </c>
      <c r="D2795" t="str">
        <f>"2022009692"</f>
        <v>2022009692</v>
      </c>
      <c r="E2795" t="s">
        <v>11003</v>
      </c>
      <c r="F2795" s="1">
        <v>44909</v>
      </c>
      <c r="G2795" t="str">
        <f>"300191"</f>
        <v>300191</v>
      </c>
      <c r="H2795" t="s">
        <v>3008</v>
      </c>
      <c r="I2795">
        <v>3237.89</v>
      </c>
    </row>
    <row r="2796" spans="1:9" x14ac:dyDescent="0.25">
      <c r="A2796" t="s">
        <v>9616</v>
      </c>
      <c r="C2796" t="s">
        <v>9617</v>
      </c>
      <c r="D2796" t="s">
        <v>11009</v>
      </c>
      <c r="E2796" t="s">
        <v>11010</v>
      </c>
      <c r="F2796" s="1">
        <v>44909</v>
      </c>
      <c r="G2796" t="str">
        <f>"300321"</f>
        <v>300321</v>
      </c>
      <c r="H2796" t="s">
        <v>2706</v>
      </c>
      <c r="I2796">
        <v>19000</v>
      </c>
    </row>
    <row r="2797" spans="1:9" x14ac:dyDescent="0.25">
      <c r="A2797" t="s">
        <v>9616</v>
      </c>
      <c r="C2797" t="s">
        <v>9617</v>
      </c>
      <c r="D2797" t="str">
        <f>"10145940"</f>
        <v>10145940</v>
      </c>
      <c r="E2797" t="s">
        <v>2172</v>
      </c>
      <c r="F2797" s="1">
        <v>44910</v>
      </c>
      <c r="G2797" t="str">
        <f>"300115"</f>
        <v>300115</v>
      </c>
      <c r="H2797" t="s">
        <v>2938</v>
      </c>
      <c r="I2797">
        <v>368883.25760000001</v>
      </c>
    </row>
    <row r="2798" spans="1:9" x14ac:dyDescent="0.25">
      <c r="A2798" t="s">
        <v>9616</v>
      </c>
      <c r="C2798" t="s">
        <v>9617</v>
      </c>
      <c r="D2798" t="str">
        <f>"10145943"</f>
        <v>10145943</v>
      </c>
      <c r="E2798" t="s">
        <v>9189</v>
      </c>
      <c r="F2798" s="1">
        <v>44910</v>
      </c>
      <c r="G2798" t="str">
        <f>"300115"</f>
        <v>300115</v>
      </c>
      <c r="H2798" t="s">
        <v>2938</v>
      </c>
      <c r="I2798">
        <v>384311.79599999997</v>
      </c>
    </row>
    <row r="2799" spans="1:9" x14ac:dyDescent="0.25">
      <c r="A2799" t="s">
        <v>9616</v>
      </c>
      <c r="C2799" t="s">
        <v>9617</v>
      </c>
      <c r="D2799" t="str">
        <f>"10145944"</f>
        <v>10145944</v>
      </c>
      <c r="E2799" t="s">
        <v>9189</v>
      </c>
      <c r="F2799" s="1">
        <v>44910</v>
      </c>
      <c r="G2799" t="str">
        <f>"300115"</f>
        <v>300115</v>
      </c>
      <c r="H2799" t="s">
        <v>2938</v>
      </c>
      <c r="I2799">
        <v>384311.79599999997</v>
      </c>
    </row>
    <row r="2800" spans="1:9" x14ac:dyDescent="0.25">
      <c r="A2800" t="s">
        <v>9616</v>
      </c>
      <c r="C2800" t="s">
        <v>9617</v>
      </c>
      <c r="D2800" t="str">
        <f>"10145945"</f>
        <v>10145945</v>
      </c>
      <c r="E2800" t="s">
        <v>9189</v>
      </c>
      <c r="F2800" s="1">
        <v>44910</v>
      </c>
      <c r="G2800" t="str">
        <f>"300115"</f>
        <v>300115</v>
      </c>
      <c r="H2800" t="s">
        <v>2938</v>
      </c>
      <c r="I2800">
        <v>368883.25760000001</v>
      </c>
    </row>
    <row r="2801" spans="1:9" x14ac:dyDescent="0.25">
      <c r="A2801" t="s">
        <v>9616</v>
      </c>
      <c r="C2801" t="s">
        <v>9617</v>
      </c>
      <c r="D2801" t="s">
        <v>11011</v>
      </c>
      <c r="E2801" t="s">
        <v>11012</v>
      </c>
      <c r="F2801" s="1">
        <v>44910</v>
      </c>
      <c r="G2801" t="str">
        <f>"300321"</f>
        <v>300321</v>
      </c>
      <c r="H2801" t="s">
        <v>2706</v>
      </c>
      <c r="I2801">
        <v>18000</v>
      </c>
    </row>
    <row r="2802" spans="1:9" x14ac:dyDescent="0.25">
      <c r="A2802" t="s">
        <v>9616</v>
      </c>
      <c r="C2802" t="s">
        <v>9617</v>
      </c>
      <c r="D2802" t="s">
        <v>11013</v>
      </c>
      <c r="E2802" t="s">
        <v>11014</v>
      </c>
      <c r="F2802" s="1">
        <v>44910</v>
      </c>
      <c r="G2802" t="str">
        <f>"300321"</f>
        <v>300321</v>
      </c>
      <c r="H2802" t="s">
        <v>2706</v>
      </c>
      <c r="I2802">
        <v>19000</v>
      </c>
    </row>
    <row r="2803" spans="1:9" x14ac:dyDescent="0.25">
      <c r="A2803" t="s">
        <v>9616</v>
      </c>
      <c r="C2803" t="s">
        <v>9617</v>
      </c>
      <c r="D2803" t="s">
        <v>11015</v>
      </c>
      <c r="E2803" t="s">
        <v>11016</v>
      </c>
      <c r="F2803" s="1">
        <v>44910</v>
      </c>
      <c r="G2803" t="str">
        <f>"300321"</f>
        <v>300321</v>
      </c>
      <c r="H2803" t="s">
        <v>2706</v>
      </c>
      <c r="I2803">
        <v>19000</v>
      </c>
    </row>
    <row r="2804" spans="1:9" x14ac:dyDescent="0.25">
      <c r="A2804" t="s">
        <v>9616</v>
      </c>
      <c r="C2804" t="s">
        <v>9617</v>
      </c>
      <c r="D2804" t="str">
        <f>"82963"</f>
        <v>82963</v>
      </c>
      <c r="E2804" t="s">
        <v>11014</v>
      </c>
      <c r="F2804" s="1">
        <v>44911</v>
      </c>
      <c r="G2804" t="str">
        <f>"300043"</f>
        <v>300043</v>
      </c>
      <c r="H2804" t="s">
        <v>2876</v>
      </c>
      <c r="I2804">
        <v>1498</v>
      </c>
    </row>
    <row r="2805" spans="1:9" x14ac:dyDescent="0.25">
      <c r="A2805" t="s">
        <v>9616</v>
      </c>
      <c r="C2805" t="s">
        <v>9617</v>
      </c>
      <c r="D2805" t="str">
        <f>"82967"</f>
        <v>82967</v>
      </c>
      <c r="E2805" t="s">
        <v>11016</v>
      </c>
      <c r="F2805" s="1">
        <v>44911</v>
      </c>
      <c r="G2805" t="str">
        <f>"300043"</f>
        <v>300043</v>
      </c>
      <c r="H2805" t="s">
        <v>2876</v>
      </c>
      <c r="I2805">
        <v>1498</v>
      </c>
    </row>
    <row r="2806" spans="1:9" x14ac:dyDescent="0.25">
      <c r="A2806" t="s">
        <v>9616</v>
      </c>
      <c r="C2806" t="s">
        <v>9617</v>
      </c>
      <c r="D2806" t="str">
        <f>"83022"</f>
        <v>83022</v>
      </c>
      <c r="E2806" t="s">
        <v>11012</v>
      </c>
      <c r="F2806" s="1">
        <v>44911</v>
      </c>
      <c r="G2806" t="str">
        <f>"300043"</f>
        <v>300043</v>
      </c>
      <c r="H2806" t="s">
        <v>2876</v>
      </c>
      <c r="I2806">
        <v>1442</v>
      </c>
    </row>
    <row r="2807" spans="1:9" x14ac:dyDescent="0.25">
      <c r="A2807" t="s">
        <v>9616</v>
      </c>
      <c r="C2807" t="s">
        <v>9617</v>
      </c>
      <c r="D2807" t="str">
        <f>"83062"</f>
        <v>83062</v>
      </c>
      <c r="E2807" t="s">
        <v>11017</v>
      </c>
      <c r="F2807" s="1">
        <v>44911</v>
      </c>
      <c r="G2807" t="str">
        <f>"300043"</f>
        <v>300043</v>
      </c>
      <c r="H2807" t="s">
        <v>2876</v>
      </c>
      <c r="I2807">
        <v>1442</v>
      </c>
    </row>
    <row r="2808" spans="1:9" x14ac:dyDescent="0.25">
      <c r="A2808" t="s">
        <v>9616</v>
      </c>
      <c r="C2808" t="s">
        <v>9617</v>
      </c>
      <c r="D2808" t="str">
        <f>"10145999"</f>
        <v>10145999</v>
      </c>
      <c r="E2808" t="s">
        <v>9189</v>
      </c>
      <c r="F2808" s="1">
        <v>44911</v>
      </c>
      <c r="G2808" t="str">
        <f>"300115"</f>
        <v>300115</v>
      </c>
      <c r="H2808" t="s">
        <v>2938</v>
      </c>
      <c r="I2808">
        <v>408148.71899999998</v>
      </c>
    </row>
    <row r="2809" spans="1:9" x14ac:dyDescent="0.25">
      <c r="A2809" t="s">
        <v>9616</v>
      </c>
      <c r="C2809" t="s">
        <v>9617</v>
      </c>
      <c r="D2809" t="str">
        <f>"2022009766"</f>
        <v>2022009766</v>
      </c>
      <c r="E2809" t="s">
        <v>11008</v>
      </c>
      <c r="F2809" s="1">
        <v>44911</v>
      </c>
      <c r="G2809" t="str">
        <f>"300191"</f>
        <v>300191</v>
      </c>
      <c r="H2809" t="s">
        <v>3008</v>
      </c>
      <c r="I2809">
        <v>9027.42</v>
      </c>
    </row>
    <row r="2810" spans="1:9" x14ac:dyDescent="0.25">
      <c r="A2810" t="s">
        <v>9616</v>
      </c>
      <c r="C2810" t="s">
        <v>9617</v>
      </c>
      <c r="D2810" t="s">
        <v>11018</v>
      </c>
      <c r="E2810" t="s">
        <v>11017</v>
      </c>
      <c r="F2810" s="1">
        <v>44911</v>
      </c>
      <c r="G2810" t="str">
        <f>"300321"</f>
        <v>300321</v>
      </c>
      <c r="H2810" t="s">
        <v>2706</v>
      </c>
      <c r="I2810">
        <v>19000</v>
      </c>
    </row>
    <row r="2811" spans="1:9" x14ac:dyDescent="0.25">
      <c r="A2811" t="s">
        <v>9616</v>
      </c>
      <c r="C2811" t="s">
        <v>9617</v>
      </c>
      <c r="D2811" t="str">
        <f>"83480"</f>
        <v>83480</v>
      </c>
      <c r="E2811" t="s">
        <v>11019</v>
      </c>
      <c r="F2811" s="1">
        <v>44914</v>
      </c>
      <c r="G2811" t="str">
        <f>"300043"</f>
        <v>300043</v>
      </c>
      <c r="H2811" t="s">
        <v>2876</v>
      </c>
      <c r="I2811">
        <v>605</v>
      </c>
    </row>
    <row r="2812" spans="1:9" x14ac:dyDescent="0.25">
      <c r="A2812" t="s">
        <v>9616</v>
      </c>
      <c r="C2812" t="s">
        <v>9617</v>
      </c>
      <c r="D2812" t="str">
        <f>"662722"</f>
        <v>662722</v>
      </c>
      <c r="E2812" t="s">
        <v>11019</v>
      </c>
      <c r="F2812" s="1">
        <v>44914</v>
      </c>
      <c r="G2812" t="str">
        <f>"300101"</f>
        <v>300101</v>
      </c>
      <c r="H2812" t="s">
        <v>2926</v>
      </c>
      <c r="I2812">
        <v>3891.85</v>
      </c>
    </row>
    <row r="2813" spans="1:9" x14ac:dyDescent="0.25">
      <c r="A2813" t="s">
        <v>9616</v>
      </c>
      <c r="C2813" t="s">
        <v>9617</v>
      </c>
      <c r="D2813" t="str">
        <f>"10146001"</f>
        <v>10146001</v>
      </c>
      <c r="E2813" t="s">
        <v>10844</v>
      </c>
      <c r="F2813" s="1">
        <v>44914</v>
      </c>
      <c r="G2813" t="str">
        <f>"300115"</f>
        <v>300115</v>
      </c>
      <c r="H2813" t="s">
        <v>2938</v>
      </c>
      <c r="I2813">
        <v>144410.11199999999</v>
      </c>
    </row>
    <row r="2814" spans="1:9" x14ac:dyDescent="0.25">
      <c r="A2814" t="s">
        <v>9616</v>
      </c>
      <c r="C2814" t="s">
        <v>9617</v>
      </c>
      <c r="D2814" t="str">
        <f>"82651"</f>
        <v>82651</v>
      </c>
      <c r="E2814" t="s">
        <v>11010</v>
      </c>
      <c r="F2814" s="1">
        <v>44915</v>
      </c>
      <c r="G2814" t="str">
        <f>"300043"</f>
        <v>300043</v>
      </c>
      <c r="H2814" t="s">
        <v>2876</v>
      </c>
      <c r="I2814">
        <v>1502</v>
      </c>
    </row>
    <row r="2815" spans="1:9" x14ac:dyDescent="0.25">
      <c r="A2815" t="s">
        <v>9616</v>
      </c>
      <c r="C2815" t="s">
        <v>9617</v>
      </c>
      <c r="D2815" t="str">
        <f>"10146072"</f>
        <v>10146072</v>
      </c>
      <c r="E2815" t="s">
        <v>9189</v>
      </c>
      <c r="F2815" s="1">
        <v>44915</v>
      </c>
      <c r="G2815" t="str">
        <f>"300115"</f>
        <v>300115</v>
      </c>
      <c r="H2815" t="s">
        <v>2938</v>
      </c>
      <c r="I2815">
        <v>368883.25760000001</v>
      </c>
    </row>
    <row r="2816" spans="1:9" x14ac:dyDescent="0.25">
      <c r="A2816" t="s">
        <v>9616</v>
      </c>
      <c r="C2816" t="s">
        <v>9617</v>
      </c>
      <c r="D2816" t="s">
        <v>11020</v>
      </c>
      <c r="E2816" t="s">
        <v>9565</v>
      </c>
      <c r="F2816" s="1">
        <v>44915</v>
      </c>
      <c r="G2816" t="str">
        <f>"300133"</f>
        <v>300133</v>
      </c>
      <c r="H2816" t="s">
        <v>2955</v>
      </c>
      <c r="I2816">
        <v>41342.400000000001</v>
      </c>
    </row>
    <row r="2817" spans="1:9" x14ac:dyDescent="0.25">
      <c r="A2817" t="s">
        <v>9616</v>
      </c>
      <c r="C2817" t="s">
        <v>9617</v>
      </c>
      <c r="D2817" t="str">
        <f>"2022009826"</f>
        <v>2022009826</v>
      </c>
      <c r="E2817" t="s">
        <v>11010</v>
      </c>
      <c r="F2817" s="1">
        <v>44915</v>
      </c>
      <c r="G2817" t="str">
        <f>"300191"</f>
        <v>300191</v>
      </c>
      <c r="H2817" t="s">
        <v>3008</v>
      </c>
      <c r="I2817">
        <v>3247.14</v>
      </c>
    </row>
    <row r="2818" spans="1:9" x14ac:dyDescent="0.25">
      <c r="A2818" t="s">
        <v>9616</v>
      </c>
      <c r="C2818" t="s">
        <v>9617</v>
      </c>
      <c r="D2818" t="str">
        <f>"2022009827"</f>
        <v>2022009827</v>
      </c>
      <c r="E2818" t="s">
        <v>11016</v>
      </c>
      <c r="F2818" s="1">
        <v>44915</v>
      </c>
      <c r="G2818" t="str">
        <f>"300191"</f>
        <v>300191</v>
      </c>
      <c r="H2818" t="s">
        <v>3008</v>
      </c>
      <c r="I2818">
        <v>3240.83</v>
      </c>
    </row>
    <row r="2819" spans="1:9" x14ac:dyDescent="0.25">
      <c r="A2819" t="s">
        <v>9616</v>
      </c>
      <c r="C2819" t="s">
        <v>9617</v>
      </c>
      <c r="D2819" t="str">
        <f>"2022009835"</f>
        <v>2022009835</v>
      </c>
      <c r="E2819" t="s">
        <v>11012</v>
      </c>
      <c r="F2819" s="1">
        <v>44915</v>
      </c>
      <c r="G2819" t="str">
        <f>"300191"</f>
        <v>300191</v>
      </c>
      <c r="H2819" t="s">
        <v>3008</v>
      </c>
      <c r="I2819">
        <v>3240.83</v>
      </c>
    </row>
    <row r="2820" spans="1:9" x14ac:dyDescent="0.25">
      <c r="A2820" t="s">
        <v>9616</v>
      </c>
      <c r="C2820" t="s">
        <v>9617</v>
      </c>
      <c r="D2820" t="str">
        <f>"2022009837"</f>
        <v>2022009837</v>
      </c>
      <c r="E2820" t="s">
        <v>11017</v>
      </c>
      <c r="F2820" s="1">
        <v>44915</v>
      </c>
      <c r="G2820" t="str">
        <f>"300191"</f>
        <v>300191</v>
      </c>
      <c r="H2820" t="s">
        <v>3008</v>
      </c>
      <c r="I2820">
        <v>3219.08</v>
      </c>
    </row>
    <row r="2821" spans="1:9" x14ac:dyDescent="0.25">
      <c r="A2821" t="s">
        <v>9616</v>
      </c>
      <c r="C2821" t="s">
        <v>9617</v>
      </c>
      <c r="D2821" t="str">
        <f>"2022009838"</f>
        <v>2022009838</v>
      </c>
      <c r="E2821" t="s">
        <v>11014</v>
      </c>
      <c r="F2821" s="1">
        <v>44915</v>
      </c>
      <c r="G2821" t="str">
        <f>"300191"</f>
        <v>300191</v>
      </c>
      <c r="H2821" t="s">
        <v>3008</v>
      </c>
      <c r="I2821">
        <v>3240.83</v>
      </c>
    </row>
    <row r="2822" spans="1:9" x14ac:dyDescent="0.25">
      <c r="A2822" t="s">
        <v>9616</v>
      </c>
      <c r="C2822" t="s">
        <v>9617</v>
      </c>
      <c r="D2822" t="s">
        <v>11021</v>
      </c>
      <c r="E2822" t="s">
        <v>11022</v>
      </c>
      <c r="F2822" s="1">
        <v>44915</v>
      </c>
      <c r="G2822" t="str">
        <f>"300321"</f>
        <v>300321</v>
      </c>
      <c r="H2822" t="s">
        <v>2706</v>
      </c>
      <c r="I2822">
        <v>19000</v>
      </c>
    </row>
    <row r="2823" spans="1:9" x14ac:dyDescent="0.25">
      <c r="A2823" t="s">
        <v>9616</v>
      </c>
      <c r="C2823" t="s">
        <v>9617</v>
      </c>
      <c r="D2823" t="str">
        <f>"83765"</f>
        <v>83765</v>
      </c>
      <c r="E2823" t="s">
        <v>11023</v>
      </c>
      <c r="F2823" s="1">
        <v>44916</v>
      </c>
      <c r="G2823" t="str">
        <f>"300043"</f>
        <v>300043</v>
      </c>
      <c r="H2823" t="s">
        <v>2876</v>
      </c>
      <c r="I2823">
        <v>607</v>
      </c>
    </row>
    <row r="2824" spans="1:9" x14ac:dyDescent="0.25">
      <c r="A2824" t="s">
        <v>9616</v>
      </c>
      <c r="C2824" t="s">
        <v>9617</v>
      </c>
      <c r="D2824" t="str">
        <f>"83822"</f>
        <v>83822</v>
      </c>
      <c r="E2824" t="s">
        <v>11024</v>
      </c>
      <c r="F2824" s="1">
        <v>44916</v>
      </c>
      <c r="G2824" t="str">
        <f>"300043"</f>
        <v>300043</v>
      </c>
      <c r="H2824" t="s">
        <v>2876</v>
      </c>
      <c r="I2824">
        <v>1546</v>
      </c>
    </row>
    <row r="2825" spans="1:9" x14ac:dyDescent="0.25">
      <c r="A2825" t="s">
        <v>9616</v>
      </c>
      <c r="C2825" t="s">
        <v>9617</v>
      </c>
      <c r="D2825" t="str">
        <f>"662422"</f>
        <v>662422</v>
      </c>
      <c r="E2825" t="s">
        <v>11024</v>
      </c>
      <c r="F2825" s="1">
        <v>44916</v>
      </c>
      <c r="G2825" t="str">
        <f>"300101"</f>
        <v>300101</v>
      </c>
      <c r="H2825" t="s">
        <v>2926</v>
      </c>
      <c r="I2825">
        <v>3404.21</v>
      </c>
    </row>
    <row r="2826" spans="1:9" x14ac:dyDescent="0.25">
      <c r="A2826" t="s">
        <v>9616</v>
      </c>
      <c r="C2826" t="s">
        <v>9617</v>
      </c>
      <c r="D2826" t="str">
        <f>"662822"</f>
        <v>662822</v>
      </c>
      <c r="E2826" t="s">
        <v>11023</v>
      </c>
      <c r="F2826" s="1">
        <v>44916</v>
      </c>
      <c r="G2826" t="str">
        <f>"300101"</f>
        <v>300101</v>
      </c>
      <c r="H2826" t="s">
        <v>2926</v>
      </c>
      <c r="I2826">
        <v>3891.29</v>
      </c>
    </row>
    <row r="2827" spans="1:9" x14ac:dyDescent="0.25">
      <c r="A2827" t="s">
        <v>9616</v>
      </c>
      <c r="C2827" t="s">
        <v>9617</v>
      </c>
      <c r="D2827" t="str">
        <f>"10146075"</f>
        <v>10146075</v>
      </c>
      <c r="E2827" t="s">
        <v>9189</v>
      </c>
      <c r="F2827" s="1">
        <v>44916</v>
      </c>
      <c r="G2827" t="str">
        <f>"300115"</f>
        <v>300115</v>
      </c>
      <c r="H2827" t="s">
        <v>2938</v>
      </c>
      <c r="I2827">
        <v>368883.25760000001</v>
      </c>
    </row>
    <row r="2828" spans="1:9" x14ac:dyDescent="0.25">
      <c r="A2828" t="s">
        <v>9616</v>
      </c>
      <c r="C2828" t="s">
        <v>9617</v>
      </c>
      <c r="D2828" t="s">
        <v>11025</v>
      </c>
      <c r="E2828" t="s">
        <v>11026</v>
      </c>
      <c r="F2828" s="1">
        <v>44916</v>
      </c>
      <c r="G2828" t="str">
        <f>"300321"</f>
        <v>300321</v>
      </c>
      <c r="H2828" t="s">
        <v>2706</v>
      </c>
      <c r="I2828">
        <v>19000</v>
      </c>
    </row>
    <row r="2829" spans="1:9" x14ac:dyDescent="0.25">
      <c r="A2829" t="s">
        <v>9616</v>
      </c>
      <c r="C2829" t="s">
        <v>9617</v>
      </c>
      <c r="D2829" t="str">
        <f>"84218"</f>
        <v>84218</v>
      </c>
      <c r="E2829" t="s">
        <v>11022</v>
      </c>
      <c r="F2829" s="1">
        <v>44917</v>
      </c>
      <c r="G2829" t="str">
        <f>"300043"</f>
        <v>300043</v>
      </c>
      <c r="H2829" t="s">
        <v>2876</v>
      </c>
      <c r="I2829">
        <v>1451</v>
      </c>
    </row>
    <row r="2830" spans="1:9" x14ac:dyDescent="0.25">
      <c r="A2830" t="s">
        <v>9616</v>
      </c>
      <c r="C2830" t="s">
        <v>9617</v>
      </c>
      <c r="D2830" t="str">
        <f>"27265"</f>
        <v>27265</v>
      </c>
      <c r="F2830" s="1">
        <v>44918</v>
      </c>
      <c r="G2830" t="str">
        <f>"300043"</f>
        <v>300043</v>
      </c>
      <c r="H2830" t="s">
        <v>2876</v>
      </c>
      <c r="I2830">
        <v>2684</v>
      </c>
    </row>
    <row r="2831" spans="1:9" x14ac:dyDescent="0.25">
      <c r="A2831" t="s">
        <v>9616</v>
      </c>
      <c r="C2831" t="s">
        <v>9617</v>
      </c>
      <c r="D2831" t="str">
        <f>"84381"</f>
        <v>84381</v>
      </c>
      <c r="E2831" t="s">
        <v>11027</v>
      </c>
      <c r="F2831" s="1">
        <v>44918</v>
      </c>
      <c r="G2831" t="str">
        <f>"300043"</f>
        <v>300043</v>
      </c>
      <c r="H2831" t="s">
        <v>2876</v>
      </c>
      <c r="I2831">
        <v>653</v>
      </c>
    </row>
    <row r="2832" spans="1:9" x14ac:dyDescent="0.25">
      <c r="A2832" t="s">
        <v>9616</v>
      </c>
      <c r="C2832" t="s">
        <v>9617</v>
      </c>
      <c r="D2832" t="str">
        <f>"84396"</f>
        <v>84396</v>
      </c>
      <c r="E2832" t="s">
        <v>11026</v>
      </c>
      <c r="F2832" s="1">
        <v>44918</v>
      </c>
      <c r="G2832" t="str">
        <f>"300043"</f>
        <v>300043</v>
      </c>
      <c r="H2832" t="s">
        <v>2876</v>
      </c>
      <c r="I2832">
        <v>1451</v>
      </c>
    </row>
    <row r="2833" spans="1:9" x14ac:dyDescent="0.25">
      <c r="A2833" t="s">
        <v>9616</v>
      </c>
      <c r="C2833" t="s">
        <v>9617</v>
      </c>
      <c r="D2833" t="str">
        <f>"662222"</f>
        <v>662222</v>
      </c>
      <c r="E2833" t="s">
        <v>11027</v>
      </c>
      <c r="F2833" s="1">
        <v>44918</v>
      </c>
      <c r="G2833" t="str">
        <f>"300101"</f>
        <v>300101</v>
      </c>
      <c r="H2833" t="s">
        <v>2926</v>
      </c>
      <c r="I2833">
        <v>3567.57</v>
      </c>
    </row>
    <row r="2834" spans="1:9" x14ac:dyDescent="0.25">
      <c r="A2834" t="s">
        <v>9616</v>
      </c>
      <c r="C2834" t="s">
        <v>9617</v>
      </c>
      <c r="D2834" t="str">
        <f>"2022010026"</f>
        <v>2022010026</v>
      </c>
      <c r="E2834" t="s">
        <v>11026</v>
      </c>
      <c r="F2834" s="1">
        <v>44921</v>
      </c>
      <c r="G2834" t="str">
        <f>"300191"</f>
        <v>300191</v>
      </c>
      <c r="H2834" t="s">
        <v>3008</v>
      </c>
      <c r="I2834">
        <v>3227.52</v>
      </c>
    </row>
    <row r="2835" spans="1:9" x14ac:dyDescent="0.25">
      <c r="A2835" t="s">
        <v>9616</v>
      </c>
      <c r="C2835" t="s">
        <v>9617</v>
      </c>
      <c r="D2835" t="str">
        <f>"2022010034"</f>
        <v>2022010034</v>
      </c>
      <c r="E2835" t="s">
        <v>11022</v>
      </c>
      <c r="F2835" s="1">
        <v>44921</v>
      </c>
      <c r="G2835" t="str">
        <f>"300191"</f>
        <v>300191</v>
      </c>
      <c r="H2835" t="s">
        <v>3008</v>
      </c>
      <c r="I2835">
        <v>3249.27</v>
      </c>
    </row>
    <row r="2836" spans="1:9" x14ac:dyDescent="0.25">
      <c r="A2836" t="s">
        <v>9616</v>
      </c>
      <c r="C2836" t="s">
        <v>9617</v>
      </c>
      <c r="D2836" t="str">
        <f>"10146145"</f>
        <v>10146145</v>
      </c>
      <c r="E2836" t="s">
        <v>9189</v>
      </c>
      <c r="F2836" s="1">
        <v>44922</v>
      </c>
      <c r="G2836" t="str">
        <f>"300115"</f>
        <v>300115</v>
      </c>
      <c r="H2836" t="s">
        <v>2938</v>
      </c>
      <c r="I2836">
        <v>384311.79599999997</v>
      </c>
    </row>
    <row r="2837" spans="1:9" x14ac:dyDescent="0.25">
      <c r="A2837" t="s">
        <v>9616</v>
      </c>
      <c r="C2837" t="s">
        <v>9617</v>
      </c>
      <c r="D2837" t="s">
        <v>11028</v>
      </c>
      <c r="E2837" t="s">
        <v>11029</v>
      </c>
      <c r="F2837" s="1">
        <v>44922</v>
      </c>
      <c r="G2837" t="str">
        <f>"300321"</f>
        <v>300321</v>
      </c>
      <c r="H2837" t="s">
        <v>2706</v>
      </c>
      <c r="I2837">
        <v>19000</v>
      </c>
    </row>
    <row r="2838" spans="1:9" x14ac:dyDescent="0.25">
      <c r="A2838" t="s">
        <v>9616</v>
      </c>
      <c r="C2838" t="s">
        <v>9617</v>
      </c>
      <c r="D2838" t="str">
        <f>"85568"</f>
        <v>85568</v>
      </c>
      <c r="E2838" t="s">
        <v>11029</v>
      </c>
      <c r="F2838" s="1">
        <v>44923</v>
      </c>
      <c r="G2838" t="str">
        <f>"300043"</f>
        <v>300043</v>
      </c>
      <c r="H2838" t="s">
        <v>2876</v>
      </c>
      <c r="I2838">
        <v>1500</v>
      </c>
    </row>
    <row r="2839" spans="1:9" x14ac:dyDescent="0.25">
      <c r="A2839" t="s">
        <v>9616</v>
      </c>
      <c r="C2839" t="s">
        <v>9617</v>
      </c>
      <c r="D2839" t="str">
        <f>"10146157"</f>
        <v>10146157</v>
      </c>
      <c r="E2839" t="s">
        <v>9189</v>
      </c>
      <c r="F2839" s="1">
        <v>44923</v>
      </c>
      <c r="G2839" t="str">
        <f>"300115"</f>
        <v>300115</v>
      </c>
      <c r="H2839" t="s">
        <v>2938</v>
      </c>
      <c r="I2839">
        <v>384376.212</v>
      </c>
    </row>
    <row r="2840" spans="1:9" x14ac:dyDescent="0.25">
      <c r="A2840" t="s">
        <v>9616</v>
      </c>
      <c r="C2840" t="s">
        <v>9617</v>
      </c>
      <c r="D2840" t="str">
        <f>"10146158"</f>
        <v>10146158</v>
      </c>
      <c r="E2840" t="s">
        <v>9189</v>
      </c>
      <c r="F2840" s="1">
        <v>44923</v>
      </c>
      <c r="G2840" t="str">
        <f>"300115"</f>
        <v>300115</v>
      </c>
      <c r="H2840" t="s">
        <v>2938</v>
      </c>
      <c r="I2840">
        <v>384311.79599999997</v>
      </c>
    </row>
    <row r="2841" spans="1:9" x14ac:dyDescent="0.25">
      <c r="A2841" t="s">
        <v>9616</v>
      </c>
      <c r="C2841" t="s">
        <v>9617</v>
      </c>
      <c r="D2841" t="s">
        <v>11030</v>
      </c>
      <c r="F2841" s="1">
        <v>44923</v>
      </c>
      <c r="G2841" t="str">
        <f>"300321"</f>
        <v>300321</v>
      </c>
      <c r="H2841" t="s">
        <v>2706</v>
      </c>
      <c r="I2841">
        <v>19000</v>
      </c>
    </row>
    <row r="2842" spans="1:9" x14ac:dyDescent="0.25">
      <c r="A2842" t="s">
        <v>9616</v>
      </c>
      <c r="C2842" t="s">
        <v>9617</v>
      </c>
      <c r="D2842" t="s">
        <v>11031</v>
      </c>
      <c r="F2842" s="1">
        <v>44923</v>
      </c>
      <c r="G2842" t="str">
        <f>"300321"</f>
        <v>300321</v>
      </c>
      <c r="H2842" t="s">
        <v>2706</v>
      </c>
      <c r="I2842">
        <v>19000</v>
      </c>
    </row>
    <row r="2843" spans="1:9" x14ac:dyDescent="0.25">
      <c r="A2843" t="s">
        <v>9616</v>
      </c>
      <c r="C2843" t="s">
        <v>9617</v>
      </c>
      <c r="D2843" t="str">
        <f>"85684"</f>
        <v>85684</v>
      </c>
      <c r="E2843" t="s">
        <v>11032</v>
      </c>
      <c r="F2843" s="1">
        <v>44924</v>
      </c>
      <c r="G2843" t="str">
        <f>"300043"</f>
        <v>300043</v>
      </c>
      <c r="H2843" t="s">
        <v>2876</v>
      </c>
      <c r="I2843">
        <v>1498</v>
      </c>
    </row>
    <row r="2844" spans="1:9" x14ac:dyDescent="0.25">
      <c r="A2844" t="s">
        <v>9616</v>
      </c>
      <c r="C2844" t="s">
        <v>9617</v>
      </c>
      <c r="D2844" t="str">
        <f>"10146159"</f>
        <v>10146159</v>
      </c>
      <c r="E2844" t="s">
        <v>9189</v>
      </c>
      <c r="F2844" s="1">
        <v>44924</v>
      </c>
      <c r="G2844" t="str">
        <f>"300115"</f>
        <v>300115</v>
      </c>
      <c r="H2844" t="s">
        <v>2938</v>
      </c>
      <c r="I2844">
        <v>384311.79599999997</v>
      </c>
    </row>
    <row r="2845" spans="1:9" x14ac:dyDescent="0.25">
      <c r="A2845" t="s">
        <v>9616</v>
      </c>
      <c r="C2845" t="s">
        <v>9617</v>
      </c>
      <c r="D2845" t="s">
        <v>11033</v>
      </c>
      <c r="E2845" t="s">
        <v>11034</v>
      </c>
      <c r="F2845" s="1">
        <v>44924</v>
      </c>
      <c r="G2845" t="str">
        <f>"300321"</f>
        <v>300321</v>
      </c>
      <c r="H2845" t="s">
        <v>2706</v>
      </c>
      <c r="I2845">
        <v>19000</v>
      </c>
    </row>
    <row r="2846" spans="1:9" x14ac:dyDescent="0.25">
      <c r="A2846" t="s">
        <v>9616</v>
      </c>
      <c r="C2846" t="s">
        <v>9617</v>
      </c>
      <c r="D2846" t="str">
        <f>"85979"</f>
        <v>85979</v>
      </c>
      <c r="E2846" t="s">
        <v>11034</v>
      </c>
      <c r="F2846" s="1">
        <v>44925</v>
      </c>
      <c r="G2846" t="str">
        <f>"300043"</f>
        <v>300043</v>
      </c>
      <c r="H2846" t="s">
        <v>2876</v>
      </c>
      <c r="I2846">
        <v>1501</v>
      </c>
    </row>
    <row r="2847" spans="1:9" x14ac:dyDescent="0.25">
      <c r="A2847" t="s">
        <v>9616</v>
      </c>
      <c r="C2847" t="s">
        <v>9617</v>
      </c>
      <c r="D2847" t="str">
        <f>"2022010244"</f>
        <v>2022010244</v>
      </c>
      <c r="E2847" t="s">
        <v>11029</v>
      </c>
      <c r="F2847" s="1">
        <v>44926</v>
      </c>
      <c r="G2847" t="str">
        <f>"300191"</f>
        <v>300191</v>
      </c>
      <c r="H2847" t="s">
        <v>3008</v>
      </c>
      <c r="I2847">
        <v>3244.37</v>
      </c>
    </row>
    <row r="2848" spans="1:9" x14ac:dyDescent="0.25">
      <c r="A2848" t="s">
        <v>9616</v>
      </c>
      <c r="C2848" t="s">
        <v>9617</v>
      </c>
      <c r="D2848" t="str">
        <f>"2022010268"</f>
        <v>2022010268</v>
      </c>
      <c r="E2848" t="s">
        <v>11034</v>
      </c>
      <c r="F2848" s="1">
        <v>44926</v>
      </c>
      <c r="G2848" t="str">
        <f>"300191"</f>
        <v>300191</v>
      </c>
      <c r="H2848" t="s">
        <v>3008</v>
      </c>
      <c r="I2848">
        <v>3246.17</v>
      </c>
    </row>
    <row r="2849" spans="1:9" x14ac:dyDescent="0.25">
      <c r="A2849" t="s">
        <v>9616</v>
      </c>
      <c r="C2849" t="s">
        <v>9617</v>
      </c>
      <c r="D2849" t="str">
        <f>"20013667"</f>
        <v>20013667</v>
      </c>
      <c r="E2849" t="s">
        <v>11035</v>
      </c>
      <c r="F2849" s="1">
        <v>44928</v>
      </c>
      <c r="G2849" t="str">
        <f>"300115"</f>
        <v>300115</v>
      </c>
      <c r="H2849" t="s">
        <v>2938</v>
      </c>
      <c r="I2849">
        <v>1259546.75</v>
      </c>
    </row>
    <row r="2850" spans="1:9" x14ac:dyDescent="0.25">
      <c r="A2850" t="s">
        <v>9616</v>
      </c>
      <c r="C2850" t="s">
        <v>9617</v>
      </c>
      <c r="D2850" t="str">
        <f>"85689"</f>
        <v>85689</v>
      </c>
      <c r="E2850" t="s">
        <v>11036</v>
      </c>
      <c r="F2850" s="1">
        <v>44930</v>
      </c>
      <c r="G2850" t="str">
        <f>"300043"</f>
        <v>300043</v>
      </c>
      <c r="H2850" t="s">
        <v>2876</v>
      </c>
      <c r="I2850">
        <v>1498</v>
      </c>
    </row>
    <row r="2851" spans="1:9" x14ac:dyDescent="0.25">
      <c r="A2851" t="s">
        <v>9616</v>
      </c>
      <c r="C2851" t="s">
        <v>9617</v>
      </c>
      <c r="D2851" t="str">
        <f>"202300033"</f>
        <v>202300033</v>
      </c>
      <c r="E2851" t="s">
        <v>11036</v>
      </c>
      <c r="F2851" s="1">
        <v>44930</v>
      </c>
      <c r="G2851" t="str">
        <f>"300191"</f>
        <v>300191</v>
      </c>
      <c r="H2851" t="s">
        <v>3008</v>
      </c>
      <c r="I2851">
        <v>3891.67</v>
      </c>
    </row>
    <row r="2852" spans="1:9" x14ac:dyDescent="0.25">
      <c r="A2852" t="s">
        <v>9616</v>
      </c>
      <c r="C2852" t="s">
        <v>9617</v>
      </c>
      <c r="D2852" t="str">
        <f>"202300035"</f>
        <v>202300035</v>
      </c>
      <c r="E2852" t="s">
        <v>11032</v>
      </c>
      <c r="F2852" s="1">
        <v>44930</v>
      </c>
      <c r="G2852" t="str">
        <f>"300191"</f>
        <v>300191</v>
      </c>
      <c r="H2852" t="s">
        <v>3008</v>
      </c>
      <c r="I2852">
        <v>3891.67</v>
      </c>
    </row>
    <row r="2853" spans="1:9" x14ac:dyDescent="0.25">
      <c r="A2853" t="s">
        <v>9616</v>
      </c>
      <c r="C2853" t="s">
        <v>9617</v>
      </c>
      <c r="D2853" t="str">
        <f>"200006"</f>
        <v>200006</v>
      </c>
      <c r="E2853" t="s">
        <v>11037</v>
      </c>
      <c r="F2853" s="1">
        <v>44930</v>
      </c>
      <c r="G2853" t="str">
        <f>"300312"</f>
        <v>300312</v>
      </c>
      <c r="H2853" t="s">
        <v>3053</v>
      </c>
      <c r="I2853">
        <v>472243.20000000001</v>
      </c>
    </row>
    <row r="2854" spans="1:9" x14ac:dyDescent="0.25">
      <c r="A2854" t="s">
        <v>9616</v>
      </c>
      <c r="C2854" t="s">
        <v>9617</v>
      </c>
      <c r="D2854" t="str">
        <f>"3292"</f>
        <v>3292</v>
      </c>
      <c r="E2854" t="s">
        <v>11038</v>
      </c>
      <c r="F2854" s="1">
        <v>44942</v>
      </c>
      <c r="G2854" t="str">
        <f>"300043"</f>
        <v>300043</v>
      </c>
      <c r="H2854" t="s">
        <v>2876</v>
      </c>
      <c r="I2854">
        <v>3803</v>
      </c>
    </row>
    <row r="2855" spans="1:9" x14ac:dyDescent="0.25">
      <c r="A2855" t="s">
        <v>9616</v>
      </c>
      <c r="C2855" t="s">
        <v>9617</v>
      </c>
      <c r="D2855" t="str">
        <f>"2609"</f>
        <v>2609</v>
      </c>
      <c r="E2855" t="s">
        <v>11039</v>
      </c>
      <c r="F2855" s="1">
        <v>44943</v>
      </c>
      <c r="G2855" t="str">
        <f>"300043"</f>
        <v>300043</v>
      </c>
      <c r="H2855" t="s">
        <v>2876</v>
      </c>
      <c r="I2855">
        <v>6449</v>
      </c>
    </row>
    <row r="2856" spans="1:9" x14ac:dyDescent="0.25">
      <c r="A2856" t="s">
        <v>9616</v>
      </c>
      <c r="C2856" t="s">
        <v>9617</v>
      </c>
      <c r="D2856" t="str">
        <f>"202300289"</f>
        <v>202300289</v>
      </c>
      <c r="E2856" t="s">
        <v>11038</v>
      </c>
      <c r="F2856" s="1">
        <v>44943</v>
      </c>
      <c r="G2856" t="str">
        <f>"300191"</f>
        <v>300191</v>
      </c>
      <c r="H2856" t="s">
        <v>3008</v>
      </c>
      <c r="I2856">
        <v>4335.3900000000003</v>
      </c>
    </row>
    <row r="2857" spans="1:9" x14ac:dyDescent="0.25">
      <c r="A2857" t="s">
        <v>9616</v>
      </c>
      <c r="C2857" t="s">
        <v>9617</v>
      </c>
      <c r="D2857" t="str">
        <f>"123310021"</f>
        <v>123310021</v>
      </c>
      <c r="E2857" t="s">
        <v>9729</v>
      </c>
      <c r="F2857" s="1">
        <v>44944</v>
      </c>
      <c r="G2857" t="str">
        <f>"300080"</f>
        <v>300080</v>
      </c>
      <c r="H2857" t="s">
        <v>2907</v>
      </c>
      <c r="I2857">
        <v>148500</v>
      </c>
    </row>
    <row r="2858" spans="1:9" x14ac:dyDescent="0.25">
      <c r="A2858" t="s">
        <v>9616</v>
      </c>
      <c r="C2858" t="s">
        <v>9617</v>
      </c>
      <c r="D2858" t="str">
        <f>"10146491"</f>
        <v>10146491</v>
      </c>
      <c r="E2858" t="s">
        <v>10898</v>
      </c>
      <c r="F2858" s="1">
        <v>44944</v>
      </c>
      <c r="G2858" t="str">
        <f>"300115"</f>
        <v>300115</v>
      </c>
      <c r="H2858" t="s">
        <v>2938</v>
      </c>
      <c r="I2858">
        <v>368883.25760000001</v>
      </c>
    </row>
    <row r="2859" spans="1:9" x14ac:dyDescent="0.25">
      <c r="A2859" t="s">
        <v>9616</v>
      </c>
      <c r="C2859" t="s">
        <v>9617</v>
      </c>
      <c r="D2859" t="str">
        <f>"10146494"</f>
        <v>10146494</v>
      </c>
      <c r="E2859" t="s">
        <v>9323</v>
      </c>
      <c r="F2859" s="1">
        <v>44945</v>
      </c>
      <c r="G2859" t="str">
        <f>"300115"</f>
        <v>300115</v>
      </c>
      <c r="H2859" t="s">
        <v>2938</v>
      </c>
      <c r="I2859">
        <v>368883.25760000001</v>
      </c>
    </row>
    <row r="2860" spans="1:9" x14ac:dyDescent="0.25">
      <c r="A2860" t="s">
        <v>9616</v>
      </c>
      <c r="C2860" t="s">
        <v>9617</v>
      </c>
      <c r="D2860" t="str">
        <f>"10146498"</f>
        <v>10146498</v>
      </c>
      <c r="E2860" t="s">
        <v>9189</v>
      </c>
      <c r="F2860" s="1">
        <v>44945</v>
      </c>
      <c r="G2860" t="str">
        <f>"300115"</f>
        <v>300115</v>
      </c>
      <c r="H2860" t="s">
        <v>2938</v>
      </c>
      <c r="I2860">
        <v>366055.37760000001</v>
      </c>
    </row>
    <row r="2861" spans="1:9" x14ac:dyDescent="0.25">
      <c r="A2861" t="s">
        <v>9616</v>
      </c>
      <c r="C2861" t="s">
        <v>9617</v>
      </c>
      <c r="D2861" t="str">
        <f>"202300341"</f>
        <v>202300341</v>
      </c>
      <c r="E2861" t="s">
        <v>11039</v>
      </c>
      <c r="F2861" s="1">
        <v>44945</v>
      </c>
      <c r="G2861" t="str">
        <f>"300191"</f>
        <v>300191</v>
      </c>
      <c r="H2861" t="s">
        <v>3008</v>
      </c>
      <c r="I2861">
        <v>4858.97</v>
      </c>
    </row>
    <row r="2862" spans="1:9" x14ac:dyDescent="0.25">
      <c r="A2862" t="s">
        <v>9616</v>
      </c>
      <c r="C2862" t="s">
        <v>9617</v>
      </c>
      <c r="D2862" t="s">
        <v>11040</v>
      </c>
      <c r="E2862" t="s">
        <v>11041</v>
      </c>
      <c r="F2862" s="1">
        <v>44945</v>
      </c>
      <c r="G2862" t="str">
        <f>"300321"</f>
        <v>300321</v>
      </c>
      <c r="H2862" t="s">
        <v>2706</v>
      </c>
      <c r="I2862">
        <v>19000</v>
      </c>
    </row>
    <row r="2863" spans="1:9" x14ac:dyDescent="0.25">
      <c r="A2863" t="s">
        <v>9616</v>
      </c>
      <c r="C2863" t="s">
        <v>9617</v>
      </c>
      <c r="D2863" t="s">
        <v>11042</v>
      </c>
      <c r="E2863" t="s">
        <v>11043</v>
      </c>
      <c r="F2863" s="1">
        <v>44945</v>
      </c>
      <c r="G2863" t="str">
        <f>"300321"</f>
        <v>300321</v>
      </c>
      <c r="H2863" t="s">
        <v>2706</v>
      </c>
      <c r="I2863">
        <v>19000</v>
      </c>
    </row>
    <row r="2864" spans="1:9" x14ac:dyDescent="0.25">
      <c r="A2864" t="s">
        <v>9616</v>
      </c>
      <c r="C2864" t="s">
        <v>9617</v>
      </c>
      <c r="D2864" t="str">
        <f>"3907"</f>
        <v>3907</v>
      </c>
      <c r="E2864" t="s">
        <v>11043</v>
      </c>
      <c r="F2864" s="1">
        <v>44946</v>
      </c>
      <c r="G2864" t="str">
        <f>"300043"</f>
        <v>300043</v>
      </c>
      <c r="H2864" t="s">
        <v>2876</v>
      </c>
      <c r="I2864">
        <v>1434</v>
      </c>
    </row>
    <row r="2865" spans="1:9" x14ac:dyDescent="0.25">
      <c r="A2865" t="s">
        <v>9616</v>
      </c>
      <c r="C2865" t="s">
        <v>9617</v>
      </c>
      <c r="D2865" t="str">
        <f>"123310024"</f>
        <v>123310024</v>
      </c>
      <c r="E2865" t="s">
        <v>11044</v>
      </c>
      <c r="F2865" s="1">
        <v>44946</v>
      </c>
      <c r="G2865" t="str">
        <f>"300080"</f>
        <v>300080</v>
      </c>
      <c r="H2865" t="s">
        <v>2907</v>
      </c>
      <c r="I2865">
        <v>196396.2</v>
      </c>
    </row>
    <row r="2866" spans="1:9" x14ac:dyDescent="0.25">
      <c r="A2866" t="s">
        <v>9616</v>
      </c>
      <c r="C2866" t="s">
        <v>9617</v>
      </c>
      <c r="D2866" t="str">
        <f>"10146525"</f>
        <v>10146525</v>
      </c>
      <c r="E2866" t="s">
        <v>9189</v>
      </c>
      <c r="F2866" s="1">
        <v>44946</v>
      </c>
      <c r="G2866" t="str">
        <f>"300115"</f>
        <v>300115</v>
      </c>
      <c r="H2866" t="s">
        <v>2938</v>
      </c>
      <c r="I2866">
        <v>384311.79599999997</v>
      </c>
    </row>
    <row r="2867" spans="1:9" x14ac:dyDescent="0.25">
      <c r="A2867" t="s">
        <v>9616</v>
      </c>
      <c r="C2867" t="s">
        <v>9617</v>
      </c>
      <c r="D2867" t="s">
        <v>11045</v>
      </c>
      <c r="E2867" t="s">
        <v>11046</v>
      </c>
      <c r="F2867" s="1">
        <v>44946</v>
      </c>
      <c r="G2867" t="str">
        <f>"300321"</f>
        <v>300321</v>
      </c>
      <c r="H2867" t="s">
        <v>2706</v>
      </c>
      <c r="I2867">
        <v>19000</v>
      </c>
    </row>
    <row r="2868" spans="1:9" x14ac:dyDescent="0.25">
      <c r="A2868" t="s">
        <v>9616</v>
      </c>
      <c r="C2868" t="s">
        <v>9617</v>
      </c>
      <c r="D2868" t="str">
        <f>"3869"</f>
        <v>3869</v>
      </c>
      <c r="E2868" t="s">
        <v>11041</v>
      </c>
      <c r="F2868" s="1">
        <v>44949</v>
      </c>
      <c r="G2868" t="str">
        <f>"300043"</f>
        <v>300043</v>
      </c>
      <c r="H2868" t="s">
        <v>2876</v>
      </c>
      <c r="I2868">
        <v>1434</v>
      </c>
    </row>
    <row r="2869" spans="1:9" x14ac:dyDescent="0.25">
      <c r="A2869" t="s">
        <v>9616</v>
      </c>
      <c r="C2869" t="s">
        <v>9617</v>
      </c>
      <c r="D2869" t="str">
        <f>"4268"</f>
        <v>4268</v>
      </c>
      <c r="E2869" t="s">
        <v>11046</v>
      </c>
      <c r="F2869" s="1">
        <v>44949</v>
      </c>
      <c r="G2869" t="str">
        <f>"300043"</f>
        <v>300043</v>
      </c>
      <c r="H2869" t="s">
        <v>2876</v>
      </c>
      <c r="I2869">
        <v>1492</v>
      </c>
    </row>
    <row r="2870" spans="1:9" x14ac:dyDescent="0.25">
      <c r="A2870" t="s">
        <v>9616</v>
      </c>
      <c r="C2870" t="s">
        <v>9617</v>
      </c>
      <c r="D2870" t="str">
        <f>"10146583"</f>
        <v>10146583</v>
      </c>
      <c r="E2870" t="s">
        <v>9189</v>
      </c>
      <c r="F2870" s="1">
        <v>44949</v>
      </c>
      <c r="G2870" t="str">
        <f>"300115"</f>
        <v>300115</v>
      </c>
      <c r="H2870" t="s">
        <v>2938</v>
      </c>
      <c r="I2870">
        <v>368883.25760000001</v>
      </c>
    </row>
    <row r="2871" spans="1:9" x14ac:dyDescent="0.25">
      <c r="A2871" t="s">
        <v>9616</v>
      </c>
      <c r="C2871" t="s">
        <v>9617</v>
      </c>
      <c r="D2871" t="str">
        <f>"202300413"</f>
        <v>202300413</v>
      </c>
      <c r="E2871" t="s">
        <v>11043</v>
      </c>
      <c r="F2871" s="1">
        <v>44949</v>
      </c>
      <c r="G2871" t="str">
        <f>"300191"</f>
        <v>300191</v>
      </c>
      <c r="H2871" t="s">
        <v>3008</v>
      </c>
      <c r="I2871">
        <v>3197.59</v>
      </c>
    </row>
    <row r="2872" spans="1:9" x14ac:dyDescent="0.25">
      <c r="A2872" t="s">
        <v>9616</v>
      </c>
      <c r="C2872" t="s">
        <v>9617</v>
      </c>
      <c r="D2872" t="s">
        <v>11047</v>
      </c>
      <c r="E2872" t="s">
        <v>11048</v>
      </c>
      <c r="F2872" s="1">
        <v>44949</v>
      </c>
      <c r="G2872" t="str">
        <f>"300321"</f>
        <v>300321</v>
      </c>
      <c r="H2872" t="s">
        <v>2706</v>
      </c>
      <c r="I2872">
        <v>19000</v>
      </c>
    </row>
    <row r="2873" spans="1:9" x14ac:dyDescent="0.25">
      <c r="A2873" t="s">
        <v>9616</v>
      </c>
      <c r="C2873" t="s">
        <v>9617</v>
      </c>
      <c r="D2873" t="str">
        <f>"4767"</f>
        <v>4767</v>
      </c>
      <c r="E2873" s="4">
        <v>44927</v>
      </c>
      <c r="F2873" s="1">
        <v>44950</v>
      </c>
      <c r="G2873" t="str">
        <f>"300043"</f>
        <v>300043</v>
      </c>
      <c r="H2873" t="s">
        <v>2876</v>
      </c>
      <c r="I2873">
        <v>1398</v>
      </c>
    </row>
    <row r="2874" spans="1:9" x14ac:dyDescent="0.25">
      <c r="A2874" t="s">
        <v>9616</v>
      </c>
      <c r="C2874" t="s">
        <v>9617</v>
      </c>
      <c r="D2874" t="str">
        <f>"067023"</f>
        <v>067023</v>
      </c>
      <c r="E2874" s="4">
        <v>44927</v>
      </c>
      <c r="F2874" s="1">
        <v>44950</v>
      </c>
      <c r="G2874" t="str">
        <f>"300101"</f>
        <v>300101</v>
      </c>
      <c r="H2874" t="s">
        <v>2926</v>
      </c>
      <c r="I2874">
        <v>3667.76</v>
      </c>
    </row>
    <row r="2875" spans="1:9" x14ac:dyDescent="0.25">
      <c r="A2875" t="s">
        <v>9616</v>
      </c>
      <c r="C2875" t="s">
        <v>9617</v>
      </c>
      <c r="D2875" t="str">
        <f>"10146590"</f>
        <v>10146590</v>
      </c>
      <c r="E2875" t="s">
        <v>9189</v>
      </c>
      <c r="F2875" s="1">
        <v>44950</v>
      </c>
      <c r="G2875" t="str">
        <f>"300115"</f>
        <v>300115</v>
      </c>
      <c r="H2875" t="s">
        <v>2938</v>
      </c>
      <c r="I2875">
        <v>368883.25760000001</v>
      </c>
    </row>
    <row r="2876" spans="1:9" x14ac:dyDescent="0.25">
      <c r="A2876" t="s">
        <v>9616</v>
      </c>
      <c r="C2876" t="s">
        <v>9617</v>
      </c>
      <c r="D2876" t="str">
        <f>"10146591"</f>
        <v>10146591</v>
      </c>
      <c r="E2876" t="s">
        <v>9189</v>
      </c>
      <c r="F2876" s="1">
        <v>44950</v>
      </c>
      <c r="G2876" t="str">
        <f>"300115"</f>
        <v>300115</v>
      </c>
      <c r="H2876" t="s">
        <v>2938</v>
      </c>
      <c r="I2876">
        <v>384311.79599999997</v>
      </c>
    </row>
    <row r="2877" spans="1:9" x14ac:dyDescent="0.25">
      <c r="A2877" t="s">
        <v>9616</v>
      </c>
      <c r="C2877" t="s">
        <v>9617</v>
      </c>
      <c r="D2877" t="s">
        <v>11049</v>
      </c>
      <c r="E2877" t="s">
        <v>11050</v>
      </c>
      <c r="F2877" s="1">
        <v>44950</v>
      </c>
      <c r="G2877" t="str">
        <f>"300321"</f>
        <v>300321</v>
      </c>
      <c r="H2877" t="s">
        <v>2706</v>
      </c>
      <c r="I2877">
        <v>19000</v>
      </c>
    </row>
    <row r="2878" spans="1:9" x14ac:dyDescent="0.25">
      <c r="A2878" t="s">
        <v>9616</v>
      </c>
      <c r="C2878" t="s">
        <v>9617</v>
      </c>
      <c r="D2878" t="s">
        <v>11051</v>
      </c>
      <c r="E2878" t="s">
        <v>11052</v>
      </c>
      <c r="F2878" s="1">
        <v>44950</v>
      </c>
      <c r="G2878" t="str">
        <f>"300321"</f>
        <v>300321</v>
      </c>
      <c r="H2878" t="s">
        <v>2706</v>
      </c>
      <c r="I2878">
        <v>19000</v>
      </c>
    </row>
    <row r="2879" spans="1:9" x14ac:dyDescent="0.25">
      <c r="A2879" t="s">
        <v>9616</v>
      </c>
      <c r="C2879" t="s">
        <v>9617</v>
      </c>
      <c r="D2879" t="str">
        <f>"4973"</f>
        <v>4973</v>
      </c>
      <c r="E2879" t="s">
        <v>11048</v>
      </c>
      <c r="F2879" s="1">
        <v>44951</v>
      </c>
      <c r="G2879" t="str">
        <f>"300043"</f>
        <v>300043</v>
      </c>
      <c r="H2879" t="s">
        <v>2876</v>
      </c>
      <c r="I2879">
        <v>1437</v>
      </c>
    </row>
    <row r="2880" spans="1:9" x14ac:dyDescent="0.25">
      <c r="A2880" t="s">
        <v>9616</v>
      </c>
      <c r="C2880" t="s">
        <v>9617</v>
      </c>
      <c r="D2880" t="str">
        <f>"5013"</f>
        <v>5013</v>
      </c>
      <c r="E2880" t="s">
        <v>11052</v>
      </c>
      <c r="F2880" s="1">
        <v>44951</v>
      </c>
      <c r="G2880" t="str">
        <f>"300043"</f>
        <v>300043</v>
      </c>
      <c r="H2880" t="s">
        <v>2876</v>
      </c>
      <c r="I2880">
        <v>1489</v>
      </c>
    </row>
    <row r="2881" spans="1:9" x14ac:dyDescent="0.25">
      <c r="A2881" t="s">
        <v>9616</v>
      </c>
      <c r="C2881" t="s">
        <v>9617</v>
      </c>
      <c r="D2881" t="str">
        <f>"5075"</f>
        <v>5075</v>
      </c>
      <c r="E2881" t="s">
        <v>11050</v>
      </c>
      <c r="F2881" s="1">
        <v>44951</v>
      </c>
      <c r="G2881" t="str">
        <f>"300043"</f>
        <v>300043</v>
      </c>
      <c r="H2881" t="s">
        <v>2876</v>
      </c>
      <c r="I2881">
        <v>1434</v>
      </c>
    </row>
    <row r="2882" spans="1:9" x14ac:dyDescent="0.25">
      <c r="A2882" t="s">
        <v>9616</v>
      </c>
      <c r="C2882" t="s">
        <v>9617</v>
      </c>
      <c r="D2882" t="str">
        <f>"202300475"</f>
        <v>202300475</v>
      </c>
      <c r="E2882" t="s">
        <v>11041</v>
      </c>
      <c r="F2882" s="1">
        <v>44951</v>
      </c>
      <c r="G2882" t="str">
        <f>"300191"</f>
        <v>300191</v>
      </c>
      <c r="H2882" t="s">
        <v>3008</v>
      </c>
      <c r="I2882">
        <v>3513.37</v>
      </c>
    </row>
    <row r="2883" spans="1:9" x14ac:dyDescent="0.25">
      <c r="A2883" t="s">
        <v>9616</v>
      </c>
      <c r="C2883" t="s">
        <v>9617</v>
      </c>
      <c r="D2883" t="str">
        <f>"202300482"</f>
        <v>202300482</v>
      </c>
      <c r="E2883" t="s">
        <v>11046</v>
      </c>
      <c r="F2883" s="1">
        <v>44951</v>
      </c>
      <c r="G2883" t="str">
        <f>"300191"</f>
        <v>300191</v>
      </c>
      <c r="H2883" t="s">
        <v>3008</v>
      </c>
      <c r="I2883">
        <v>3333.73</v>
      </c>
    </row>
    <row r="2884" spans="1:9" x14ac:dyDescent="0.25">
      <c r="A2884" t="s">
        <v>9616</v>
      </c>
      <c r="C2884" t="s">
        <v>9617</v>
      </c>
      <c r="D2884" t="str">
        <f>"10146650"</f>
        <v>10146650</v>
      </c>
      <c r="E2884" t="s">
        <v>9189</v>
      </c>
      <c r="F2884" s="1">
        <v>44952</v>
      </c>
      <c r="G2884" t="str">
        <f>"300115"</f>
        <v>300115</v>
      </c>
      <c r="H2884" t="s">
        <v>2938</v>
      </c>
      <c r="I2884">
        <v>352542.74550000002</v>
      </c>
    </row>
    <row r="2885" spans="1:9" x14ac:dyDescent="0.25">
      <c r="A2885" t="s">
        <v>9616</v>
      </c>
      <c r="C2885" t="s">
        <v>9617</v>
      </c>
      <c r="D2885" t="s">
        <v>11053</v>
      </c>
      <c r="E2885" t="s">
        <v>11054</v>
      </c>
      <c r="F2885" s="1">
        <v>44952</v>
      </c>
      <c r="G2885" t="str">
        <f>"300321"</f>
        <v>300321</v>
      </c>
      <c r="H2885" t="s">
        <v>2706</v>
      </c>
      <c r="I2885">
        <v>19000</v>
      </c>
    </row>
    <row r="2886" spans="1:9" x14ac:dyDescent="0.25">
      <c r="A2886" t="s">
        <v>9616</v>
      </c>
      <c r="C2886" t="s">
        <v>9617</v>
      </c>
      <c r="D2886" t="str">
        <f>"5728"</f>
        <v>5728</v>
      </c>
      <c r="E2886" t="s">
        <v>11054</v>
      </c>
      <c r="F2886" s="1">
        <v>44953</v>
      </c>
      <c r="G2886" t="str">
        <f>"300043"</f>
        <v>300043</v>
      </c>
      <c r="H2886" t="s">
        <v>2876</v>
      </c>
      <c r="I2886">
        <v>1382</v>
      </c>
    </row>
    <row r="2887" spans="1:9" x14ac:dyDescent="0.25">
      <c r="A2887" t="s">
        <v>9616</v>
      </c>
      <c r="C2887" t="s">
        <v>9617</v>
      </c>
      <c r="D2887" t="str">
        <f>"202300586"</f>
        <v>202300586</v>
      </c>
      <c r="E2887" t="s">
        <v>11050</v>
      </c>
      <c r="F2887" s="1">
        <v>44956</v>
      </c>
      <c r="G2887" t="str">
        <f>"300191"</f>
        <v>300191</v>
      </c>
      <c r="H2887" t="s">
        <v>3008</v>
      </c>
      <c r="I2887">
        <v>3197.59</v>
      </c>
    </row>
    <row r="2888" spans="1:9" x14ac:dyDescent="0.25">
      <c r="A2888" t="s">
        <v>9616</v>
      </c>
      <c r="C2888" t="s">
        <v>9617</v>
      </c>
      <c r="D2888" t="str">
        <f>"202300589"</f>
        <v>202300589</v>
      </c>
      <c r="E2888" t="s">
        <v>11052</v>
      </c>
      <c r="F2888" s="1">
        <v>44956</v>
      </c>
      <c r="G2888" t="str">
        <f>"300191"</f>
        <v>300191</v>
      </c>
      <c r="H2888" t="s">
        <v>3008</v>
      </c>
      <c r="I2888">
        <v>3175.84</v>
      </c>
    </row>
    <row r="2889" spans="1:9" x14ac:dyDescent="0.25">
      <c r="A2889" t="s">
        <v>9616</v>
      </c>
      <c r="C2889" t="s">
        <v>9617</v>
      </c>
      <c r="D2889" t="str">
        <f>"202300590"</f>
        <v>202300590</v>
      </c>
      <c r="E2889" t="s">
        <v>11048</v>
      </c>
      <c r="F2889" s="1">
        <v>44956</v>
      </c>
      <c r="G2889" t="str">
        <f>"300191"</f>
        <v>300191</v>
      </c>
      <c r="H2889" t="s">
        <v>3008</v>
      </c>
      <c r="I2889">
        <v>3333.73</v>
      </c>
    </row>
    <row r="2890" spans="1:9" x14ac:dyDescent="0.25">
      <c r="A2890" t="s">
        <v>9616</v>
      </c>
      <c r="C2890" t="s">
        <v>9617</v>
      </c>
      <c r="D2890" t="str">
        <f>"10146834"</f>
        <v>10146834</v>
      </c>
      <c r="E2890" t="s">
        <v>2172</v>
      </c>
      <c r="F2890" s="1">
        <v>44958</v>
      </c>
      <c r="G2890" t="str">
        <f>"300115"</f>
        <v>300115</v>
      </c>
      <c r="H2890" t="s">
        <v>2938</v>
      </c>
      <c r="I2890">
        <v>415222.522</v>
      </c>
    </row>
    <row r="2891" spans="1:9" x14ac:dyDescent="0.25">
      <c r="A2891" t="s">
        <v>9616</v>
      </c>
      <c r="C2891" t="s">
        <v>9617</v>
      </c>
      <c r="D2891" t="s">
        <v>11055</v>
      </c>
      <c r="E2891" t="s">
        <v>11056</v>
      </c>
      <c r="F2891" s="1">
        <v>44958</v>
      </c>
      <c r="G2891" t="str">
        <f>"300321"</f>
        <v>300321</v>
      </c>
      <c r="H2891" t="s">
        <v>2706</v>
      </c>
      <c r="I2891">
        <v>18000</v>
      </c>
    </row>
    <row r="2892" spans="1:9" x14ac:dyDescent="0.25">
      <c r="A2892" t="s">
        <v>9616</v>
      </c>
      <c r="C2892" t="s">
        <v>9617</v>
      </c>
      <c r="D2892" t="str">
        <f>"10146836"</f>
        <v>10146836</v>
      </c>
      <c r="E2892" t="s">
        <v>9633</v>
      </c>
      <c r="F2892" s="1">
        <v>44959</v>
      </c>
      <c r="G2892" t="str">
        <f>"300115"</f>
        <v>300115</v>
      </c>
      <c r="H2892" t="s">
        <v>2938</v>
      </c>
      <c r="I2892">
        <v>190182.6784</v>
      </c>
    </row>
    <row r="2893" spans="1:9" x14ac:dyDescent="0.25">
      <c r="A2893" t="s">
        <v>9616</v>
      </c>
      <c r="C2893" t="s">
        <v>9617</v>
      </c>
      <c r="D2893" t="str">
        <f>"10146837"</f>
        <v>10146837</v>
      </c>
      <c r="E2893" t="s">
        <v>10049</v>
      </c>
      <c r="F2893" s="1">
        <v>44959</v>
      </c>
      <c r="G2893" t="str">
        <f>"300115"</f>
        <v>300115</v>
      </c>
      <c r="H2893" t="s">
        <v>2938</v>
      </c>
      <c r="I2893">
        <v>178879.6152</v>
      </c>
    </row>
    <row r="2894" spans="1:9" x14ac:dyDescent="0.25">
      <c r="A2894" t="s">
        <v>9616</v>
      </c>
      <c r="C2894" t="s">
        <v>9617</v>
      </c>
      <c r="D2894" t="str">
        <f>"10146838"</f>
        <v>10146838</v>
      </c>
      <c r="E2894" t="s">
        <v>9189</v>
      </c>
      <c r="F2894" s="1">
        <v>44959</v>
      </c>
      <c r="G2894" t="str">
        <f>"300115"</f>
        <v>300115</v>
      </c>
      <c r="H2894" t="s">
        <v>2938</v>
      </c>
      <c r="I2894">
        <v>368883.25760000001</v>
      </c>
    </row>
    <row r="2895" spans="1:9" x14ac:dyDescent="0.25">
      <c r="A2895" t="s">
        <v>9616</v>
      </c>
      <c r="C2895" t="s">
        <v>9617</v>
      </c>
      <c r="D2895" t="s">
        <v>11057</v>
      </c>
      <c r="E2895" t="s">
        <v>11058</v>
      </c>
      <c r="F2895" s="1">
        <v>44959</v>
      </c>
      <c r="G2895" t="str">
        <f>"300133"</f>
        <v>300133</v>
      </c>
      <c r="H2895" t="s">
        <v>2955</v>
      </c>
      <c r="I2895">
        <v>68570.111999999994</v>
      </c>
    </row>
    <row r="2896" spans="1:9" x14ac:dyDescent="0.25">
      <c r="A2896" t="s">
        <v>9616</v>
      </c>
      <c r="C2896" t="s">
        <v>9617</v>
      </c>
      <c r="D2896" t="s">
        <v>11059</v>
      </c>
      <c r="E2896" t="s">
        <v>11060</v>
      </c>
      <c r="F2896" s="1">
        <v>44959</v>
      </c>
      <c r="G2896" t="str">
        <f>"300321"</f>
        <v>300321</v>
      </c>
      <c r="H2896" t="s">
        <v>2706</v>
      </c>
      <c r="I2896">
        <v>19000</v>
      </c>
    </row>
    <row r="2897" spans="1:9" x14ac:dyDescent="0.25">
      <c r="A2897" t="s">
        <v>9616</v>
      </c>
      <c r="C2897" t="s">
        <v>9617</v>
      </c>
      <c r="D2897" t="s">
        <v>11061</v>
      </c>
      <c r="E2897" t="s">
        <v>11062</v>
      </c>
      <c r="F2897" s="1">
        <v>44959</v>
      </c>
      <c r="G2897" t="str">
        <f>"300321"</f>
        <v>300321</v>
      </c>
      <c r="H2897" t="s">
        <v>2706</v>
      </c>
      <c r="I2897">
        <v>19000</v>
      </c>
    </row>
    <row r="2898" spans="1:9" x14ac:dyDescent="0.25">
      <c r="A2898" t="s">
        <v>9616</v>
      </c>
      <c r="C2898" t="s">
        <v>9617</v>
      </c>
      <c r="D2898" t="str">
        <f>"230003116"</f>
        <v>230003116</v>
      </c>
      <c r="E2898" t="s">
        <v>11063</v>
      </c>
      <c r="F2898" s="1">
        <v>44959</v>
      </c>
      <c r="G2898" t="str">
        <f>"300344"</f>
        <v>300344</v>
      </c>
      <c r="H2898" t="s">
        <v>3084</v>
      </c>
      <c r="I2898">
        <v>156723.93</v>
      </c>
    </row>
    <row r="2899" spans="1:9" x14ac:dyDescent="0.25">
      <c r="A2899" t="s">
        <v>9616</v>
      </c>
      <c r="C2899" t="s">
        <v>9617</v>
      </c>
      <c r="D2899" t="str">
        <f>"7284"</f>
        <v>7284</v>
      </c>
      <c r="E2899" t="s">
        <v>11060</v>
      </c>
      <c r="F2899" s="1">
        <v>44960</v>
      </c>
      <c r="G2899" t="str">
        <f>"300043"</f>
        <v>300043</v>
      </c>
      <c r="H2899" t="s">
        <v>2876</v>
      </c>
      <c r="I2899">
        <v>1447</v>
      </c>
    </row>
    <row r="2900" spans="1:9" x14ac:dyDescent="0.25">
      <c r="A2900" t="s">
        <v>9616</v>
      </c>
      <c r="C2900" t="s">
        <v>9617</v>
      </c>
      <c r="D2900" t="str">
        <f>"7359"</f>
        <v>7359</v>
      </c>
      <c r="E2900" t="s">
        <v>11062</v>
      </c>
      <c r="F2900" s="1">
        <v>44960</v>
      </c>
      <c r="G2900" t="str">
        <f>"300043"</f>
        <v>300043</v>
      </c>
      <c r="H2900" t="s">
        <v>2876</v>
      </c>
      <c r="I2900">
        <v>1446</v>
      </c>
    </row>
    <row r="2901" spans="1:9" x14ac:dyDescent="0.25">
      <c r="A2901" t="s">
        <v>9616</v>
      </c>
      <c r="C2901" t="s">
        <v>9617</v>
      </c>
      <c r="D2901" t="str">
        <f>"7374"</f>
        <v>7374</v>
      </c>
      <c r="E2901" t="s">
        <v>11056</v>
      </c>
      <c r="F2901" s="1">
        <v>44960</v>
      </c>
      <c r="G2901" t="str">
        <f>"300043"</f>
        <v>300043</v>
      </c>
      <c r="H2901" t="s">
        <v>2876</v>
      </c>
      <c r="I2901">
        <v>1602</v>
      </c>
    </row>
    <row r="2902" spans="1:9" x14ac:dyDescent="0.25">
      <c r="A2902" t="s">
        <v>9616</v>
      </c>
      <c r="C2902" t="s">
        <v>9617</v>
      </c>
      <c r="D2902" t="s">
        <v>11064</v>
      </c>
      <c r="E2902" t="s">
        <v>10350</v>
      </c>
      <c r="F2902" s="1">
        <v>44960</v>
      </c>
      <c r="G2902" t="str">
        <f>"300133"</f>
        <v>300133</v>
      </c>
      <c r="H2902" t="s">
        <v>2955</v>
      </c>
      <c r="I2902">
        <v>31269.887999999999</v>
      </c>
    </row>
    <row r="2903" spans="1:9" x14ac:dyDescent="0.25">
      <c r="A2903" t="s">
        <v>9616</v>
      </c>
      <c r="C2903" t="s">
        <v>9617</v>
      </c>
      <c r="D2903" t="str">
        <f>"202300725"</f>
        <v>202300725</v>
      </c>
      <c r="E2903" t="s">
        <v>11054</v>
      </c>
      <c r="F2903" s="1">
        <v>44960</v>
      </c>
      <c r="G2903" t="str">
        <f>"300191"</f>
        <v>300191</v>
      </c>
      <c r="H2903" t="s">
        <v>3008</v>
      </c>
      <c r="I2903">
        <v>1043.5</v>
      </c>
    </row>
    <row r="2904" spans="1:9" x14ac:dyDescent="0.25">
      <c r="A2904" t="s">
        <v>9616</v>
      </c>
      <c r="C2904" t="s">
        <v>9617</v>
      </c>
      <c r="D2904" t="str">
        <f>"10146927"</f>
        <v>10146927</v>
      </c>
      <c r="E2904" t="s">
        <v>2566</v>
      </c>
      <c r="F2904" s="1">
        <v>44963</v>
      </c>
      <c r="G2904" t="str">
        <f>"300115"</f>
        <v>300115</v>
      </c>
      <c r="H2904" t="s">
        <v>2938</v>
      </c>
      <c r="I2904">
        <v>250034.4</v>
      </c>
    </row>
    <row r="2905" spans="1:9" x14ac:dyDescent="0.25">
      <c r="A2905" t="s">
        <v>9616</v>
      </c>
      <c r="C2905" t="s">
        <v>9617</v>
      </c>
      <c r="D2905" t="str">
        <f>"10146928"</f>
        <v>10146928</v>
      </c>
      <c r="E2905" t="s">
        <v>2172</v>
      </c>
      <c r="F2905" s="1">
        <v>44963</v>
      </c>
      <c r="G2905" t="str">
        <f>"300115"</f>
        <v>300115</v>
      </c>
      <c r="H2905" t="s">
        <v>2938</v>
      </c>
      <c r="I2905">
        <v>415222.522</v>
      </c>
    </row>
    <row r="2906" spans="1:9" x14ac:dyDescent="0.25">
      <c r="A2906" t="s">
        <v>9616</v>
      </c>
      <c r="C2906" t="s">
        <v>9617</v>
      </c>
      <c r="D2906" t="s">
        <v>11065</v>
      </c>
      <c r="E2906" t="s">
        <v>11066</v>
      </c>
      <c r="F2906" s="1">
        <v>44963</v>
      </c>
      <c r="G2906" t="str">
        <f>"300321"</f>
        <v>300321</v>
      </c>
      <c r="H2906" t="s">
        <v>2706</v>
      </c>
      <c r="I2906">
        <v>18000</v>
      </c>
    </row>
    <row r="2907" spans="1:9" x14ac:dyDescent="0.25">
      <c r="A2907" t="s">
        <v>9616</v>
      </c>
      <c r="C2907" t="s">
        <v>9617</v>
      </c>
      <c r="D2907" t="str">
        <f>"202300804"</f>
        <v>202300804</v>
      </c>
      <c r="E2907" t="s">
        <v>11060</v>
      </c>
      <c r="F2907" s="1">
        <v>44964</v>
      </c>
      <c r="G2907" t="str">
        <f>"300191"</f>
        <v>300191</v>
      </c>
      <c r="H2907" t="s">
        <v>3008</v>
      </c>
      <c r="I2907">
        <v>3197.59</v>
      </c>
    </row>
    <row r="2908" spans="1:9" x14ac:dyDescent="0.25">
      <c r="A2908" t="s">
        <v>9616</v>
      </c>
      <c r="C2908" t="s">
        <v>9617</v>
      </c>
      <c r="D2908" t="str">
        <f>"202300811"</f>
        <v>202300811</v>
      </c>
      <c r="E2908" t="s">
        <v>11062</v>
      </c>
      <c r="F2908" s="1">
        <v>44964</v>
      </c>
      <c r="G2908" t="str">
        <f>"300191"</f>
        <v>300191</v>
      </c>
      <c r="H2908" t="s">
        <v>3008</v>
      </c>
      <c r="I2908">
        <v>3197.59</v>
      </c>
    </row>
    <row r="2909" spans="1:9" x14ac:dyDescent="0.25">
      <c r="A2909" t="s">
        <v>9616</v>
      </c>
      <c r="C2909" t="s">
        <v>9617</v>
      </c>
      <c r="D2909" t="str">
        <f>"202300812"</f>
        <v>202300812</v>
      </c>
      <c r="E2909" t="s">
        <v>11056</v>
      </c>
      <c r="F2909" s="1">
        <v>44964</v>
      </c>
      <c r="G2909" t="str">
        <f>"300191"</f>
        <v>300191</v>
      </c>
      <c r="H2909" t="s">
        <v>3008</v>
      </c>
      <c r="I2909">
        <v>3197.59</v>
      </c>
    </row>
    <row r="2910" spans="1:9" x14ac:dyDescent="0.25">
      <c r="A2910" t="s">
        <v>9616</v>
      </c>
      <c r="C2910" t="s">
        <v>9617</v>
      </c>
      <c r="D2910" t="str">
        <f>"230003479"</f>
        <v>230003479</v>
      </c>
      <c r="E2910" t="s">
        <v>11067</v>
      </c>
      <c r="F2910" s="1">
        <v>44964</v>
      </c>
      <c r="G2910" t="str">
        <f>"300344"</f>
        <v>300344</v>
      </c>
      <c r="H2910" t="s">
        <v>3084</v>
      </c>
      <c r="I2910">
        <v>192098.83</v>
      </c>
    </row>
    <row r="2911" spans="1:9" x14ac:dyDescent="0.25">
      <c r="A2911" t="s">
        <v>9616</v>
      </c>
      <c r="C2911" t="s">
        <v>9617</v>
      </c>
      <c r="D2911" t="str">
        <f>"8275"</f>
        <v>8275</v>
      </c>
      <c r="E2911" t="s">
        <v>11066</v>
      </c>
      <c r="F2911" s="1">
        <v>44965</v>
      </c>
      <c r="G2911" t="str">
        <f>"300043"</f>
        <v>300043</v>
      </c>
      <c r="H2911" t="s">
        <v>2876</v>
      </c>
      <c r="I2911">
        <v>1586</v>
      </c>
    </row>
    <row r="2912" spans="1:9" x14ac:dyDescent="0.25">
      <c r="A2912" t="s">
        <v>9616</v>
      </c>
      <c r="C2912" t="s">
        <v>9617</v>
      </c>
      <c r="D2912" t="str">
        <f>"8675"</f>
        <v>8675</v>
      </c>
      <c r="E2912" s="4">
        <v>44958</v>
      </c>
      <c r="F2912" s="1">
        <v>44966</v>
      </c>
      <c r="G2912" t="str">
        <f>"300043"</f>
        <v>300043</v>
      </c>
      <c r="H2912" t="s">
        <v>2876</v>
      </c>
      <c r="I2912">
        <v>1000</v>
      </c>
    </row>
    <row r="2913" spans="1:9" x14ac:dyDescent="0.25">
      <c r="A2913" t="s">
        <v>9616</v>
      </c>
      <c r="C2913" t="s">
        <v>9617</v>
      </c>
      <c r="D2913" t="str">
        <f>"070923"</f>
        <v>070923</v>
      </c>
      <c r="E2913" s="4">
        <v>44958</v>
      </c>
      <c r="F2913" s="1">
        <v>44966</v>
      </c>
      <c r="G2913" t="str">
        <f>"300101"</f>
        <v>300101</v>
      </c>
      <c r="H2913" t="s">
        <v>2926</v>
      </c>
      <c r="I2913">
        <v>3143.98</v>
      </c>
    </row>
    <row r="2914" spans="1:9" x14ac:dyDescent="0.25">
      <c r="A2914" t="s">
        <v>9616</v>
      </c>
      <c r="C2914" t="s">
        <v>9617</v>
      </c>
      <c r="D2914" t="str">
        <f>"10147094"</f>
        <v>10147094</v>
      </c>
      <c r="E2914" t="s">
        <v>2172</v>
      </c>
      <c r="F2914" s="1">
        <v>44972</v>
      </c>
      <c r="G2914" t="str">
        <f>"300115"</f>
        <v>300115</v>
      </c>
      <c r="H2914" t="s">
        <v>2938</v>
      </c>
      <c r="I2914">
        <v>410742.61800000002</v>
      </c>
    </row>
    <row r="2915" spans="1:9" x14ac:dyDescent="0.25">
      <c r="A2915" t="s">
        <v>9616</v>
      </c>
      <c r="C2915" t="s">
        <v>9617</v>
      </c>
      <c r="D2915" t="s">
        <v>11068</v>
      </c>
      <c r="E2915" t="s">
        <v>9565</v>
      </c>
      <c r="F2915" s="1">
        <v>44972</v>
      </c>
      <c r="G2915" t="str">
        <f>"300133"</f>
        <v>300133</v>
      </c>
      <c r="H2915" t="s">
        <v>2955</v>
      </c>
      <c r="I2915">
        <v>33115.5</v>
      </c>
    </row>
    <row r="2916" spans="1:9" x14ac:dyDescent="0.25">
      <c r="A2916" t="s">
        <v>9616</v>
      </c>
      <c r="C2916" t="s">
        <v>9617</v>
      </c>
      <c r="D2916" t="s">
        <v>11069</v>
      </c>
      <c r="E2916" t="s">
        <v>9565</v>
      </c>
      <c r="F2916" s="1">
        <v>44972</v>
      </c>
      <c r="G2916" t="str">
        <f>"300133"</f>
        <v>300133</v>
      </c>
      <c r="H2916" t="s">
        <v>2955</v>
      </c>
      <c r="I2916">
        <v>33115.5</v>
      </c>
    </row>
    <row r="2917" spans="1:9" x14ac:dyDescent="0.25">
      <c r="A2917" t="s">
        <v>9616</v>
      </c>
      <c r="C2917" t="s">
        <v>9617</v>
      </c>
      <c r="D2917" t="s">
        <v>11070</v>
      </c>
      <c r="E2917" t="s">
        <v>11071</v>
      </c>
      <c r="F2917" s="1">
        <v>44972</v>
      </c>
      <c r="G2917" t="str">
        <f>"300321"</f>
        <v>300321</v>
      </c>
      <c r="H2917" t="s">
        <v>2706</v>
      </c>
      <c r="I2917">
        <v>18000</v>
      </c>
    </row>
    <row r="2918" spans="1:9" x14ac:dyDescent="0.25">
      <c r="A2918" t="s">
        <v>9616</v>
      </c>
      <c r="C2918" t="s">
        <v>9617</v>
      </c>
      <c r="D2918" t="str">
        <f>"10147127"</f>
        <v>10147127</v>
      </c>
      <c r="E2918" t="s">
        <v>1313</v>
      </c>
      <c r="F2918" s="1">
        <v>44973</v>
      </c>
      <c r="G2918" t="str">
        <f>"300115"</f>
        <v>300115</v>
      </c>
      <c r="H2918" t="s">
        <v>2938</v>
      </c>
      <c r="I2918">
        <v>384311.79599999997</v>
      </c>
    </row>
    <row r="2919" spans="1:9" x14ac:dyDescent="0.25">
      <c r="A2919" t="s">
        <v>9616</v>
      </c>
      <c r="C2919" t="s">
        <v>9617</v>
      </c>
      <c r="D2919" t="str">
        <f>"10147131"</f>
        <v>10147131</v>
      </c>
      <c r="E2919" t="s">
        <v>1313</v>
      </c>
      <c r="F2919" s="1">
        <v>44973</v>
      </c>
      <c r="G2919" t="str">
        <f>"300115"</f>
        <v>300115</v>
      </c>
      <c r="H2919" t="s">
        <v>2938</v>
      </c>
      <c r="I2919">
        <v>384311.79599999997</v>
      </c>
    </row>
    <row r="2920" spans="1:9" x14ac:dyDescent="0.25">
      <c r="A2920" t="s">
        <v>9616</v>
      </c>
      <c r="C2920" t="s">
        <v>9617</v>
      </c>
      <c r="D2920" t="s">
        <v>11072</v>
      </c>
      <c r="E2920" t="s">
        <v>11073</v>
      </c>
      <c r="F2920" s="1">
        <v>44973</v>
      </c>
      <c r="G2920" t="str">
        <f>"300321"</f>
        <v>300321</v>
      </c>
      <c r="H2920" t="s">
        <v>2706</v>
      </c>
      <c r="I2920">
        <v>18000</v>
      </c>
    </row>
    <row r="2921" spans="1:9" x14ac:dyDescent="0.25">
      <c r="A2921" t="s">
        <v>9616</v>
      </c>
      <c r="C2921" t="s">
        <v>9617</v>
      </c>
      <c r="D2921" t="s">
        <v>11074</v>
      </c>
      <c r="E2921" t="s">
        <v>11075</v>
      </c>
      <c r="F2921" s="1">
        <v>44973</v>
      </c>
      <c r="G2921" t="str">
        <f>"300321"</f>
        <v>300321</v>
      </c>
      <c r="H2921" t="s">
        <v>2706</v>
      </c>
      <c r="I2921">
        <v>18000</v>
      </c>
    </row>
    <row r="2922" spans="1:9" x14ac:dyDescent="0.25">
      <c r="A2922" t="s">
        <v>9616</v>
      </c>
      <c r="C2922" t="s">
        <v>9617</v>
      </c>
      <c r="D2922" t="str">
        <f>"10521"</f>
        <v>10521</v>
      </c>
      <c r="E2922" t="s">
        <v>11071</v>
      </c>
      <c r="F2922" s="1">
        <v>44974</v>
      </c>
      <c r="G2922" t="str">
        <f>"300043"</f>
        <v>300043</v>
      </c>
      <c r="H2922" t="s">
        <v>2876</v>
      </c>
      <c r="I2922">
        <v>1576</v>
      </c>
    </row>
    <row r="2923" spans="1:9" x14ac:dyDescent="0.25">
      <c r="A2923" t="s">
        <v>9616</v>
      </c>
      <c r="C2923" t="s">
        <v>9617</v>
      </c>
      <c r="D2923" t="str">
        <f>"123310080"</f>
        <v>123310080</v>
      </c>
      <c r="E2923" s="2">
        <v>46116</v>
      </c>
      <c r="F2923" s="1">
        <v>44974</v>
      </c>
      <c r="G2923" t="str">
        <f>"300080"</f>
        <v>300080</v>
      </c>
      <c r="H2923" t="s">
        <v>2907</v>
      </c>
      <c r="I2923">
        <v>46854.8</v>
      </c>
    </row>
    <row r="2924" spans="1:9" x14ac:dyDescent="0.25">
      <c r="A2924" t="s">
        <v>9616</v>
      </c>
      <c r="C2924" t="s">
        <v>9617</v>
      </c>
      <c r="D2924" t="str">
        <f>"10147161"</f>
        <v>10147161</v>
      </c>
      <c r="E2924" t="s">
        <v>10049</v>
      </c>
      <c r="F2924" s="1">
        <v>44974</v>
      </c>
      <c r="G2924" t="str">
        <f>"300115"</f>
        <v>300115</v>
      </c>
      <c r="H2924" t="s">
        <v>2938</v>
      </c>
      <c r="I2924">
        <v>257105.87760000001</v>
      </c>
    </row>
    <row r="2925" spans="1:9" x14ac:dyDescent="0.25">
      <c r="A2925" t="s">
        <v>9616</v>
      </c>
      <c r="C2925" t="s">
        <v>9617</v>
      </c>
      <c r="D2925" t="str">
        <f>"10147162"</f>
        <v>10147162</v>
      </c>
      <c r="E2925" t="s">
        <v>9633</v>
      </c>
      <c r="F2925" s="1">
        <v>44974</v>
      </c>
      <c r="G2925" t="str">
        <f>"300115"</f>
        <v>300115</v>
      </c>
      <c r="H2925" t="s">
        <v>2938</v>
      </c>
      <c r="I2925">
        <v>116514.728</v>
      </c>
    </row>
    <row r="2926" spans="1:9" x14ac:dyDescent="0.25">
      <c r="A2926" t="s">
        <v>9616</v>
      </c>
      <c r="C2926" t="s">
        <v>9617</v>
      </c>
      <c r="D2926" t="str">
        <f>"10147169"</f>
        <v>10147169</v>
      </c>
      <c r="E2926" t="s">
        <v>1313</v>
      </c>
      <c r="F2926" s="1">
        <v>44974</v>
      </c>
      <c r="G2926" t="str">
        <f>"300115"</f>
        <v>300115</v>
      </c>
      <c r="H2926" t="s">
        <v>2938</v>
      </c>
      <c r="I2926">
        <v>418403.89140000002</v>
      </c>
    </row>
    <row r="2927" spans="1:9" x14ac:dyDescent="0.25">
      <c r="A2927" t="s">
        <v>9616</v>
      </c>
      <c r="C2927" t="s">
        <v>9617</v>
      </c>
      <c r="D2927" t="str">
        <f>"202301160"</f>
        <v>202301160</v>
      </c>
      <c r="E2927" t="s">
        <v>11066</v>
      </c>
      <c r="F2927" s="1">
        <v>44974</v>
      </c>
      <c r="G2927" t="str">
        <f>"300191"</f>
        <v>300191</v>
      </c>
      <c r="H2927" t="s">
        <v>3008</v>
      </c>
      <c r="I2927">
        <v>3535.12</v>
      </c>
    </row>
    <row r="2928" spans="1:9" x14ac:dyDescent="0.25">
      <c r="A2928" t="s">
        <v>9616</v>
      </c>
      <c r="C2928" t="s">
        <v>9617</v>
      </c>
      <c r="D2928" t="s">
        <v>11076</v>
      </c>
      <c r="E2928" t="s">
        <v>11077</v>
      </c>
      <c r="F2928" s="1">
        <v>44974</v>
      </c>
      <c r="G2928" t="str">
        <f>"300321"</f>
        <v>300321</v>
      </c>
      <c r="H2928" t="s">
        <v>2706</v>
      </c>
      <c r="I2928">
        <v>19000</v>
      </c>
    </row>
    <row r="2929" spans="1:9" x14ac:dyDescent="0.25">
      <c r="A2929" t="s">
        <v>9616</v>
      </c>
      <c r="C2929" t="s">
        <v>9617</v>
      </c>
      <c r="D2929" t="s">
        <v>11078</v>
      </c>
      <c r="E2929" t="s">
        <v>11079</v>
      </c>
      <c r="F2929" s="1">
        <v>44974</v>
      </c>
      <c r="G2929" t="str">
        <f>"300321"</f>
        <v>300321</v>
      </c>
      <c r="H2929" t="s">
        <v>2706</v>
      </c>
      <c r="I2929">
        <v>18000</v>
      </c>
    </row>
    <row r="2930" spans="1:9" x14ac:dyDescent="0.25">
      <c r="A2930" t="s">
        <v>9616</v>
      </c>
      <c r="C2930" t="s">
        <v>9617</v>
      </c>
      <c r="D2930" t="str">
        <f>"11008"</f>
        <v>11008</v>
      </c>
      <c r="E2930" t="s">
        <v>11079</v>
      </c>
      <c r="F2930" s="1">
        <v>44977</v>
      </c>
      <c r="G2930" t="str">
        <f>"300043"</f>
        <v>300043</v>
      </c>
      <c r="H2930" t="s">
        <v>2876</v>
      </c>
      <c r="I2930">
        <v>1596</v>
      </c>
    </row>
    <row r="2931" spans="1:9" x14ac:dyDescent="0.25">
      <c r="A2931" t="s">
        <v>9616</v>
      </c>
      <c r="C2931" t="s">
        <v>9617</v>
      </c>
      <c r="D2931" t="str">
        <f>"11026"</f>
        <v>11026</v>
      </c>
      <c r="E2931" t="s">
        <v>11077</v>
      </c>
      <c r="F2931" s="1">
        <v>44977</v>
      </c>
      <c r="G2931" t="str">
        <f>"300043"</f>
        <v>300043</v>
      </c>
      <c r="H2931" t="s">
        <v>2876</v>
      </c>
      <c r="I2931">
        <v>1452</v>
      </c>
    </row>
    <row r="2932" spans="1:9" x14ac:dyDescent="0.25">
      <c r="A2932" t="s">
        <v>9616</v>
      </c>
      <c r="C2932" t="s">
        <v>9617</v>
      </c>
      <c r="D2932" t="str">
        <f>"10995"</f>
        <v>10995</v>
      </c>
      <c r="E2932" t="s">
        <v>11073</v>
      </c>
      <c r="F2932" s="1">
        <v>44978</v>
      </c>
      <c r="G2932" t="str">
        <f>"300043"</f>
        <v>300043</v>
      </c>
      <c r="H2932" t="s">
        <v>2876</v>
      </c>
      <c r="I2932">
        <v>1485</v>
      </c>
    </row>
    <row r="2933" spans="1:9" x14ac:dyDescent="0.25">
      <c r="A2933" t="s">
        <v>9616</v>
      </c>
      <c r="C2933" t="s">
        <v>9617</v>
      </c>
      <c r="D2933" t="str">
        <f>"11054"</f>
        <v>11054</v>
      </c>
      <c r="E2933" t="s">
        <v>11075</v>
      </c>
      <c r="F2933" s="1">
        <v>44978</v>
      </c>
      <c r="G2933" t="str">
        <f>"300043"</f>
        <v>300043</v>
      </c>
      <c r="H2933" t="s">
        <v>2876</v>
      </c>
      <c r="I2933">
        <v>1485</v>
      </c>
    </row>
    <row r="2934" spans="1:9" x14ac:dyDescent="0.25">
      <c r="A2934" t="s">
        <v>9616</v>
      </c>
      <c r="C2934" t="s">
        <v>9617</v>
      </c>
      <c r="D2934" t="str">
        <f>"202301227"</f>
        <v>202301227</v>
      </c>
      <c r="E2934" t="s">
        <v>11071</v>
      </c>
      <c r="F2934" s="1">
        <v>44978</v>
      </c>
      <c r="G2934" t="str">
        <f>"300191"</f>
        <v>300191</v>
      </c>
      <c r="H2934" t="s">
        <v>3008</v>
      </c>
      <c r="I2934">
        <v>3197.61</v>
      </c>
    </row>
    <row r="2935" spans="1:9" x14ac:dyDescent="0.25">
      <c r="A2935" t="s">
        <v>9616</v>
      </c>
      <c r="C2935" t="s">
        <v>9617</v>
      </c>
      <c r="D2935" t="str">
        <f>"10147260"</f>
        <v>10147260</v>
      </c>
      <c r="E2935" t="s">
        <v>1313</v>
      </c>
      <c r="F2935" s="1">
        <v>44979</v>
      </c>
      <c r="G2935" t="str">
        <f>"300115"</f>
        <v>300115</v>
      </c>
      <c r="H2935" t="s">
        <v>2938</v>
      </c>
      <c r="I2935">
        <v>414129.15500000003</v>
      </c>
    </row>
    <row r="2936" spans="1:9" x14ac:dyDescent="0.25">
      <c r="A2936" t="s">
        <v>9616</v>
      </c>
      <c r="C2936" t="s">
        <v>9617</v>
      </c>
      <c r="D2936" t="str">
        <f>"202301274"</f>
        <v>202301274</v>
      </c>
      <c r="E2936" t="s">
        <v>11075</v>
      </c>
      <c r="F2936" s="1">
        <v>44979</v>
      </c>
      <c r="G2936" t="str">
        <f>"300191"</f>
        <v>300191</v>
      </c>
      <c r="H2936" t="s">
        <v>3008</v>
      </c>
      <c r="I2936">
        <v>3513.39</v>
      </c>
    </row>
    <row r="2937" spans="1:9" x14ac:dyDescent="0.25">
      <c r="A2937" t="s">
        <v>9616</v>
      </c>
      <c r="C2937" t="s">
        <v>9617</v>
      </c>
      <c r="D2937" t="str">
        <f>"202301279"</f>
        <v>202301279</v>
      </c>
      <c r="E2937" t="s">
        <v>11079</v>
      </c>
      <c r="F2937" s="1">
        <v>44979</v>
      </c>
      <c r="G2937" t="str">
        <f>"300191"</f>
        <v>300191</v>
      </c>
      <c r="H2937" t="s">
        <v>3008</v>
      </c>
      <c r="I2937">
        <v>3535.14</v>
      </c>
    </row>
    <row r="2938" spans="1:9" x14ac:dyDescent="0.25">
      <c r="A2938" t="s">
        <v>9616</v>
      </c>
      <c r="C2938" t="s">
        <v>9617</v>
      </c>
      <c r="D2938" t="str">
        <f>"202301283"</f>
        <v>202301283</v>
      </c>
      <c r="E2938" t="s">
        <v>11077</v>
      </c>
      <c r="F2938" s="1">
        <v>44979</v>
      </c>
      <c r="G2938" t="str">
        <f>"300191"</f>
        <v>300191</v>
      </c>
      <c r="H2938" t="s">
        <v>3008</v>
      </c>
      <c r="I2938">
        <v>3513.39</v>
      </c>
    </row>
    <row r="2939" spans="1:9" x14ac:dyDescent="0.25">
      <c r="A2939" t="s">
        <v>9616</v>
      </c>
      <c r="C2939" t="s">
        <v>9617</v>
      </c>
      <c r="D2939" t="s">
        <v>11080</v>
      </c>
      <c r="E2939" t="s">
        <v>11081</v>
      </c>
      <c r="F2939" s="1">
        <v>44979</v>
      </c>
      <c r="G2939" t="str">
        <f>"300321"</f>
        <v>300321</v>
      </c>
      <c r="H2939" t="s">
        <v>2706</v>
      </c>
      <c r="I2939">
        <v>18000</v>
      </c>
    </row>
    <row r="2940" spans="1:9" x14ac:dyDescent="0.25">
      <c r="A2940" t="s">
        <v>9616</v>
      </c>
      <c r="C2940" t="s">
        <v>9617</v>
      </c>
      <c r="D2940" t="str">
        <f>"12132"</f>
        <v>12132</v>
      </c>
      <c r="E2940" t="s">
        <v>11081</v>
      </c>
      <c r="F2940" s="1">
        <v>44980</v>
      </c>
      <c r="G2940" t="str">
        <f>"300043"</f>
        <v>300043</v>
      </c>
      <c r="H2940" t="s">
        <v>2876</v>
      </c>
      <c r="I2940">
        <v>1584</v>
      </c>
    </row>
    <row r="2941" spans="1:9" x14ac:dyDescent="0.25">
      <c r="A2941" t="s">
        <v>9616</v>
      </c>
      <c r="C2941" t="s">
        <v>9617</v>
      </c>
      <c r="D2941" t="str">
        <f>"10147278"</f>
        <v>10147278</v>
      </c>
      <c r="E2941" t="s">
        <v>1313</v>
      </c>
      <c r="F2941" s="1">
        <v>44980</v>
      </c>
      <c r="G2941" t="str">
        <f>"300115"</f>
        <v>300115</v>
      </c>
      <c r="H2941" t="s">
        <v>2938</v>
      </c>
      <c r="I2941">
        <v>418599.62099999998</v>
      </c>
    </row>
    <row r="2942" spans="1:9" x14ac:dyDescent="0.25">
      <c r="A2942" t="s">
        <v>9616</v>
      </c>
      <c r="C2942" t="s">
        <v>9617</v>
      </c>
      <c r="D2942" t="str">
        <f>"202301302"</f>
        <v>202301302</v>
      </c>
      <c r="E2942" t="s">
        <v>11073</v>
      </c>
      <c r="F2942" s="1">
        <v>44980</v>
      </c>
      <c r="G2942" t="str">
        <f>"300191"</f>
        <v>300191</v>
      </c>
      <c r="H2942" t="s">
        <v>3008</v>
      </c>
      <c r="I2942">
        <v>3671.28</v>
      </c>
    </row>
    <row r="2943" spans="1:9" x14ac:dyDescent="0.25">
      <c r="A2943" t="s">
        <v>9616</v>
      </c>
      <c r="C2943" t="s">
        <v>9617</v>
      </c>
      <c r="D2943" t="s">
        <v>11082</v>
      </c>
      <c r="E2943" t="s">
        <v>11083</v>
      </c>
      <c r="F2943" s="1">
        <v>44980</v>
      </c>
      <c r="G2943" t="str">
        <f>"300321"</f>
        <v>300321</v>
      </c>
      <c r="H2943" t="s">
        <v>2706</v>
      </c>
      <c r="I2943">
        <v>18000</v>
      </c>
    </row>
    <row r="2944" spans="1:9" x14ac:dyDescent="0.25">
      <c r="A2944" t="s">
        <v>9616</v>
      </c>
      <c r="C2944" t="s">
        <v>9617</v>
      </c>
      <c r="D2944" t="str">
        <f>"12388"</f>
        <v>12388</v>
      </c>
      <c r="E2944" t="s">
        <v>11083</v>
      </c>
      <c r="F2944" s="1">
        <v>44981</v>
      </c>
      <c r="G2944" t="str">
        <f>"300043"</f>
        <v>300043</v>
      </c>
      <c r="H2944" t="s">
        <v>2876</v>
      </c>
      <c r="I2944">
        <v>1601</v>
      </c>
    </row>
    <row r="2945" spans="1:9" x14ac:dyDescent="0.25">
      <c r="A2945" t="s">
        <v>9616</v>
      </c>
      <c r="C2945" t="s">
        <v>9617</v>
      </c>
      <c r="D2945" t="str">
        <f>"10147307"</f>
        <v>10147307</v>
      </c>
      <c r="E2945" t="s">
        <v>1313</v>
      </c>
      <c r="F2945" s="1">
        <v>44981</v>
      </c>
      <c r="G2945" t="str">
        <f>"300115"</f>
        <v>300115</v>
      </c>
      <c r="H2945" t="s">
        <v>2938</v>
      </c>
      <c r="I2945">
        <v>418599.62099999998</v>
      </c>
    </row>
    <row r="2946" spans="1:9" x14ac:dyDescent="0.25">
      <c r="A2946" t="s">
        <v>9616</v>
      </c>
      <c r="C2946" t="s">
        <v>9617</v>
      </c>
      <c r="D2946" t="str">
        <f>"10147310"</f>
        <v>10147310</v>
      </c>
      <c r="E2946" t="s">
        <v>1313</v>
      </c>
      <c r="F2946" s="1">
        <v>44981</v>
      </c>
      <c r="G2946" t="str">
        <f>"300115"</f>
        <v>300115</v>
      </c>
      <c r="H2946" t="s">
        <v>2938</v>
      </c>
      <c r="I2946">
        <v>391245.99800000002</v>
      </c>
    </row>
    <row r="2947" spans="1:9" x14ac:dyDescent="0.25">
      <c r="A2947" t="s">
        <v>9616</v>
      </c>
      <c r="C2947" t="s">
        <v>9617</v>
      </c>
      <c r="D2947" t="s">
        <v>11084</v>
      </c>
      <c r="E2947" t="s">
        <v>11085</v>
      </c>
      <c r="F2947" s="1">
        <v>44981</v>
      </c>
      <c r="G2947" t="str">
        <f>"300321"</f>
        <v>300321</v>
      </c>
      <c r="H2947" t="s">
        <v>2706</v>
      </c>
      <c r="I2947">
        <v>18000</v>
      </c>
    </row>
    <row r="2948" spans="1:9" x14ac:dyDescent="0.25">
      <c r="A2948" t="s">
        <v>9616</v>
      </c>
      <c r="C2948" t="s">
        <v>9617</v>
      </c>
      <c r="D2948" t="s">
        <v>11086</v>
      </c>
      <c r="E2948" t="s">
        <v>11087</v>
      </c>
      <c r="F2948" s="1">
        <v>44981</v>
      </c>
      <c r="G2948" t="str">
        <f>"300321"</f>
        <v>300321</v>
      </c>
      <c r="H2948" t="s">
        <v>2706</v>
      </c>
      <c r="I2948">
        <v>18000</v>
      </c>
    </row>
    <row r="2949" spans="1:9" x14ac:dyDescent="0.25">
      <c r="A2949" t="s">
        <v>9616</v>
      </c>
      <c r="C2949" t="s">
        <v>9617</v>
      </c>
      <c r="D2949" t="str">
        <f>"12932"</f>
        <v>12932</v>
      </c>
      <c r="E2949" t="s">
        <v>11087</v>
      </c>
      <c r="F2949" s="1">
        <v>44984</v>
      </c>
      <c r="G2949" t="str">
        <f>"300043"</f>
        <v>300043</v>
      </c>
      <c r="H2949" t="s">
        <v>2876</v>
      </c>
      <c r="I2949">
        <v>1508</v>
      </c>
    </row>
    <row r="2950" spans="1:9" x14ac:dyDescent="0.25">
      <c r="A2950" t="s">
        <v>9616</v>
      </c>
      <c r="C2950" t="s">
        <v>9617</v>
      </c>
      <c r="D2950" t="str">
        <f>"202301396"</f>
        <v>202301396</v>
      </c>
      <c r="E2950" t="s">
        <v>11083</v>
      </c>
      <c r="F2950" s="1">
        <v>44984</v>
      </c>
      <c r="G2950" t="str">
        <f>"300191"</f>
        <v>300191</v>
      </c>
      <c r="H2950" t="s">
        <v>3008</v>
      </c>
      <c r="I2950">
        <v>3175.86</v>
      </c>
    </row>
    <row r="2951" spans="1:9" x14ac:dyDescent="0.25">
      <c r="A2951" t="s">
        <v>9616</v>
      </c>
      <c r="C2951" t="s">
        <v>9617</v>
      </c>
      <c r="D2951" t="str">
        <f>"202301405"</f>
        <v>202301405</v>
      </c>
      <c r="E2951" t="s">
        <v>11081</v>
      </c>
      <c r="F2951" s="1">
        <v>44984</v>
      </c>
      <c r="G2951" t="str">
        <f>"300191"</f>
        <v>300191</v>
      </c>
      <c r="H2951" t="s">
        <v>3008</v>
      </c>
      <c r="I2951">
        <v>3175.86</v>
      </c>
    </row>
    <row r="2952" spans="1:9" x14ac:dyDescent="0.25">
      <c r="A2952" t="s">
        <v>9616</v>
      </c>
      <c r="C2952" t="s">
        <v>9617</v>
      </c>
      <c r="D2952" t="str">
        <f>"12920"</f>
        <v>12920</v>
      </c>
      <c r="E2952" t="s">
        <v>11085</v>
      </c>
      <c r="F2952" s="1">
        <v>44985</v>
      </c>
      <c r="G2952" t="str">
        <f>"300043"</f>
        <v>300043</v>
      </c>
      <c r="H2952" t="s">
        <v>2876</v>
      </c>
      <c r="I2952">
        <v>1600</v>
      </c>
    </row>
    <row r="2953" spans="1:9" x14ac:dyDescent="0.25">
      <c r="A2953" t="s">
        <v>9616</v>
      </c>
      <c r="C2953" t="s">
        <v>9617</v>
      </c>
      <c r="D2953" t="str">
        <f>"10147411"</f>
        <v>10147411</v>
      </c>
      <c r="E2953" t="s">
        <v>9189</v>
      </c>
      <c r="F2953" s="1">
        <v>44985</v>
      </c>
      <c r="G2953" t="str">
        <f>"300115"</f>
        <v>300115</v>
      </c>
      <c r="H2953" t="s">
        <v>2938</v>
      </c>
      <c r="I2953">
        <v>311649.7329</v>
      </c>
    </row>
    <row r="2954" spans="1:9" x14ac:dyDescent="0.25">
      <c r="A2954" t="s">
        <v>9616</v>
      </c>
      <c r="C2954" t="s">
        <v>9617</v>
      </c>
      <c r="D2954" t="str">
        <f>"202301505"</f>
        <v>202301505</v>
      </c>
      <c r="E2954" t="s">
        <v>11087</v>
      </c>
      <c r="F2954" s="1">
        <v>44985</v>
      </c>
      <c r="G2954" t="str">
        <f>"300191"</f>
        <v>300191</v>
      </c>
      <c r="H2954" t="s">
        <v>3008</v>
      </c>
      <c r="I2954">
        <v>3377.25</v>
      </c>
    </row>
    <row r="2955" spans="1:9" x14ac:dyDescent="0.25">
      <c r="A2955" t="s">
        <v>9616</v>
      </c>
      <c r="C2955" t="s">
        <v>9617</v>
      </c>
      <c r="D2955" t="str">
        <f>"202301521"</f>
        <v>202301521</v>
      </c>
      <c r="E2955" t="s">
        <v>11085</v>
      </c>
      <c r="F2955" s="1">
        <v>44985</v>
      </c>
      <c r="G2955" t="str">
        <f>"300191"</f>
        <v>300191</v>
      </c>
      <c r="H2955" t="s">
        <v>3008</v>
      </c>
      <c r="I2955">
        <v>3693.04</v>
      </c>
    </row>
    <row r="2956" spans="1:9" x14ac:dyDescent="0.25">
      <c r="A2956" t="s">
        <v>9616</v>
      </c>
      <c r="C2956" t="s">
        <v>9617</v>
      </c>
      <c r="D2956" t="str">
        <f>"10147438"</f>
        <v>10147438</v>
      </c>
      <c r="E2956" t="s">
        <v>9183</v>
      </c>
      <c r="F2956" s="1">
        <v>44987</v>
      </c>
      <c r="G2956" t="str">
        <f>"300115"</f>
        <v>300115</v>
      </c>
      <c r="H2956" t="s">
        <v>2938</v>
      </c>
      <c r="I2956">
        <v>131489.10500000001</v>
      </c>
    </row>
    <row r="2957" spans="1:9" x14ac:dyDescent="0.25">
      <c r="A2957" t="s">
        <v>9616</v>
      </c>
      <c r="C2957" t="s">
        <v>9617</v>
      </c>
      <c r="D2957" t="str">
        <f>"10147439"</f>
        <v>10147439</v>
      </c>
      <c r="E2957" t="s">
        <v>11088</v>
      </c>
      <c r="F2957" s="1">
        <v>44987</v>
      </c>
      <c r="G2957" t="str">
        <f>"300115"</f>
        <v>300115</v>
      </c>
      <c r="H2957" t="s">
        <v>2938</v>
      </c>
      <c r="I2957">
        <v>431145.23100000003</v>
      </c>
    </row>
    <row r="2958" spans="1:9" x14ac:dyDescent="0.25">
      <c r="A2958" t="s">
        <v>9616</v>
      </c>
      <c r="C2958" t="s">
        <v>9617</v>
      </c>
      <c r="D2958" t="str">
        <f>"417803"</f>
        <v>417803</v>
      </c>
      <c r="E2958" t="s">
        <v>9189</v>
      </c>
      <c r="F2958" s="1">
        <v>44987</v>
      </c>
      <c r="G2958" t="str">
        <f>"300220"</f>
        <v>300220</v>
      </c>
      <c r="H2958" t="s">
        <v>2170</v>
      </c>
      <c r="I2958">
        <v>928541.39399999997</v>
      </c>
    </row>
    <row r="2959" spans="1:9" x14ac:dyDescent="0.25">
      <c r="A2959" t="s">
        <v>9616</v>
      </c>
      <c r="C2959" t="s">
        <v>9617</v>
      </c>
      <c r="D2959" t="s">
        <v>11089</v>
      </c>
      <c r="E2959" t="s">
        <v>11090</v>
      </c>
      <c r="F2959" s="1">
        <v>44987</v>
      </c>
      <c r="G2959" t="str">
        <f>"300321"</f>
        <v>300321</v>
      </c>
      <c r="H2959" t="s">
        <v>2706</v>
      </c>
      <c r="I2959">
        <v>18000</v>
      </c>
    </row>
    <row r="2960" spans="1:9" x14ac:dyDescent="0.25">
      <c r="A2960" t="s">
        <v>9616</v>
      </c>
      <c r="C2960" t="s">
        <v>9617</v>
      </c>
      <c r="D2960" t="str">
        <f>"10147466"</f>
        <v>10147466</v>
      </c>
      <c r="E2960" t="s">
        <v>11088</v>
      </c>
      <c r="F2960" s="1">
        <v>44988</v>
      </c>
      <c r="G2960" t="str">
        <f>"300115"</f>
        <v>300115</v>
      </c>
      <c r="H2960" t="s">
        <v>2938</v>
      </c>
      <c r="I2960">
        <v>431145.23100000003</v>
      </c>
    </row>
    <row r="2961" spans="1:9" x14ac:dyDescent="0.25">
      <c r="A2961" t="s">
        <v>9616</v>
      </c>
      <c r="C2961" t="s">
        <v>9617</v>
      </c>
      <c r="D2961" t="s">
        <v>11091</v>
      </c>
      <c r="E2961" t="s">
        <v>11092</v>
      </c>
      <c r="F2961" s="1">
        <v>44988</v>
      </c>
      <c r="G2961" t="str">
        <f>"300321"</f>
        <v>300321</v>
      </c>
      <c r="H2961" t="s">
        <v>2706</v>
      </c>
      <c r="I2961">
        <v>18000</v>
      </c>
    </row>
    <row r="2962" spans="1:9" x14ac:dyDescent="0.25">
      <c r="A2962" t="s">
        <v>9616</v>
      </c>
      <c r="C2962" t="s">
        <v>9617</v>
      </c>
      <c r="D2962" t="str">
        <f>"14435"</f>
        <v>14435</v>
      </c>
      <c r="E2962" s="4">
        <v>45047</v>
      </c>
      <c r="F2962" s="1">
        <v>44991</v>
      </c>
      <c r="G2962" t="str">
        <f>"300043"</f>
        <v>300043</v>
      </c>
      <c r="H2962" t="s">
        <v>2876</v>
      </c>
      <c r="I2962">
        <v>1279</v>
      </c>
    </row>
    <row r="2963" spans="1:9" x14ac:dyDescent="0.25">
      <c r="A2963" t="s">
        <v>9616</v>
      </c>
      <c r="C2963" t="s">
        <v>9617</v>
      </c>
      <c r="D2963" t="str">
        <f>"14868"</f>
        <v>14868</v>
      </c>
      <c r="E2963" t="s">
        <v>11092</v>
      </c>
      <c r="F2963" s="1">
        <v>44991</v>
      </c>
      <c r="G2963" t="str">
        <f>"300043"</f>
        <v>300043</v>
      </c>
      <c r="H2963" t="s">
        <v>2876</v>
      </c>
      <c r="I2963">
        <v>1642</v>
      </c>
    </row>
    <row r="2964" spans="1:9" x14ac:dyDescent="0.25">
      <c r="A2964" t="s">
        <v>9616</v>
      </c>
      <c r="C2964" t="s">
        <v>9617</v>
      </c>
      <c r="D2964" t="str">
        <f>"14869"</f>
        <v>14869</v>
      </c>
      <c r="E2964" t="s">
        <v>11090</v>
      </c>
      <c r="F2964" s="1">
        <v>44991</v>
      </c>
      <c r="G2964" t="str">
        <f>"300043"</f>
        <v>300043</v>
      </c>
      <c r="H2964" t="s">
        <v>2876</v>
      </c>
      <c r="I2964">
        <v>1634</v>
      </c>
    </row>
    <row r="2965" spans="1:9" x14ac:dyDescent="0.25">
      <c r="A2965" t="s">
        <v>9616</v>
      </c>
      <c r="C2965" t="s">
        <v>9617</v>
      </c>
      <c r="D2965" t="str">
        <f>"168623"</f>
        <v>168623</v>
      </c>
      <c r="E2965" s="4">
        <v>45047</v>
      </c>
      <c r="F2965" s="1">
        <v>44991</v>
      </c>
      <c r="G2965" t="str">
        <f>"300101"</f>
        <v>300101</v>
      </c>
      <c r="H2965" t="s">
        <v>2926</v>
      </c>
      <c r="I2965">
        <v>3459.79</v>
      </c>
    </row>
    <row r="2966" spans="1:9" x14ac:dyDescent="0.25">
      <c r="A2966" t="s">
        <v>9616</v>
      </c>
      <c r="C2966" t="s">
        <v>9617</v>
      </c>
      <c r="D2966" t="str">
        <f>"15037"</f>
        <v>15037</v>
      </c>
      <c r="E2966" s="4">
        <v>44986</v>
      </c>
      <c r="F2966" s="1">
        <v>44992</v>
      </c>
      <c r="G2966" t="str">
        <f>"300043"</f>
        <v>300043</v>
      </c>
      <c r="H2966" t="s">
        <v>2876</v>
      </c>
      <c r="I2966">
        <v>608</v>
      </c>
    </row>
    <row r="2967" spans="1:9" x14ac:dyDescent="0.25">
      <c r="A2967" t="s">
        <v>9616</v>
      </c>
      <c r="C2967" t="s">
        <v>9617</v>
      </c>
      <c r="D2967" t="str">
        <f>"137123"</f>
        <v>137123</v>
      </c>
      <c r="E2967" s="4">
        <v>44986</v>
      </c>
      <c r="F2967" s="1">
        <v>44992</v>
      </c>
      <c r="G2967" t="str">
        <f>"300101"</f>
        <v>300101</v>
      </c>
      <c r="H2967" t="s">
        <v>2926</v>
      </c>
      <c r="I2967">
        <v>3301.9</v>
      </c>
    </row>
    <row r="2968" spans="1:9" x14ac:dyDescent="0.25">
      <c r="A2968" t="s">
        <v>9616</v>
      </c>
      <c r="C2968" t="s">
        <v>9617</v>
      </c>
      <c r="D2968" t="str">
        <f>"10147537"</f>
        <v>10147537</v>
      </c>
      <c r="E2968" t="s">
        <v>2566</v>
      </c>
      <c r="F2968" s="1">
        <v>44992</v>
      </c>
      <c r="G2968" t="str">
        <f>"300115"</f>
        <v>300115</v>
      </c>
      <c r="H2968" t="s">
        <v>2938</v>
      </c>
      <c r="I2968">
        <v>204315.2936</v>
      </c>
    </row>
    <row r="2969" spans="1:9" x14ac:dyDescent="0.25">
      <c r="A2969" t="s">
        <v>9616</v>
      </c>
      <c r="C2969" t="s">
        <v>9617</v>
      </c>
      <c r="D2969" t="str">
        <f>"202301673"</f>
        <v>202301673</v>
      </c>
      <c r="E2969" t="s">
        <v>11092</v>
      </c>
      <c r="F2969" s="1">
        <v>44992</v>
      </c>
      <c r="G2969" t="str">
        <f>"300191"</f>
        <v>300191</v>
      </c>
      <c r="H2969" t="s">
        <v>3008</v>
      </c>
      <c r="I2969">
        <v>3355.5</v>
      </c>
    </row>
    <row r="2970" spans="1:9" x14ac:dyDescent="0.25">
      <c r="A2970" t="s">
        <v>9616</v>
      </c>
      <c r="C2970" t="s">
        <v>9617</v>
      </c>
      <c r="D2970" t="str">
        <f>"202301674"</f>
        <v>202301674</v>
      </c>
      <c r="E2970" t="s">
        <v>11090</v>
      </c>
      <c r="F2970" s="1">
        <v>44992</v>
      </c>
      <c r="G2970" t="str">
        <f>"300191"</f>
        <v>300191</v>
      </c>
      <c r="H2970" t="s">
        <v>3008</v>
      </c>
      <c r="I2970">
        <v>3535.15</v>
      </c>
    </row>
    <row r="2971" spans="1:9" x14ac:dyDescent="0.25">
      <c r="A2971" t="s">
        <v>9616</v>
      </c>
      <c r="C2971" t="s">
        <v>9617</v>
      </c>
      <c r="D2971" t="str">
        <f>"10147583"</f>
        <v>10147583</v>
      </c>
      <c r="E2971" t="s">
        <v>9341</v>
      </c>
      <c r="F2971" s="1">
        <v>44993</v>
      </c>
      <c r="G2971" t="str">
        <f>"300115"</f>
        <v>300115</v>
      </c>
      <c r="H2971" t="s">
        <v>2938</v>
      </c>
      <c r="I2971">
        <v>431145.23100000003</v>
      </c>
    </row>
    <row r="2972" spans="1:9" x14ac:dyDescent="0.25">
      <c r="A2972" t="s">
        <v>9616</v>
      </c>
      <c r="C2972" t="s">
        <v>9617</v>
      </c>
      <c r="D2972" t="str">
        <f>"20013746"</f>
        <v>20013746</v>
      </c>
      <c r="E2972" t="s">
        <v>10465</v>
      </c>
      <c r="F2972" s="1">
        <v>44993</v>
      </c>
      <c r="G2972" t="str">
        <f>"300115"</f>
        <v>300115</v>
      </c>
      <c r="H2972" t="s">
        <v>2938</v>
      </c>
      <c r="I2972">
        <v>76351.967999999993</v>
      </c>
    </row>
    <row r="2973" spans="1:9" x14ac:dyDescent="0.25">
      <c r="A2973" t="s">
        <v>9616</v>
      </c>
      <c r="C2973" t="s">
        <v>9617</v>
      </c>
      <c r="D2973" t="s">
        <v>11093</v>
      </c>
      <c r="E2973" t="s">
        <v>11094</v>
      </c>
      <c r="F2973" s="1">
        <v>44993</v>
      </c>
      <c r="G2973" t="str">
        <f>"300321"</f>
        <v>300321</v>
      </c>
      <c r="H2973" t="s">
        <v>2706</v>
      </c>
      <c r="I2973">
        <v>18000</v>
      </c>
    </row>
    <row r="2974" spans="1:9" x14ac:dyDescent="0.25">
      <c r="A2974" t="s">
        <v>9616</v>
      </c>
      <c r="C2974" t="s">
        <v>9617</v>
      </c>
      <c r="D2974" t="str">
        <f>"123310131"</f>
        <v>123310131</v>
      </c>
      <c r="E2974" t="s">
        <v>9714</v>
      </c>
      <c r="F2974" s="1">
        <v>44994</v>
      </c>
      <c r="G2974" t="str">
        <f>"300080"</f>
        <v>300080</v>
      </c>
      <c r="H2974" t="s">
        <v>2907</v>
      </c>
      <c r="I2974">
        <v>212347.2</v>
      </c>
    </row>
    <row r="2975" spans="1:9" x14ac:dyDescent="0.25">
      <c r="A2975" t="s">
        <v>9616</v>
      </c>
      <c r="C2975" t="s">
        <v>9617</v>
      </c>
      <c r="D2975" t="str">
        <f>"16319"</f>
        <v>16319</v>
      </c>
      <c r="E2975" s="4">
        <v>45017</v>
      </c>
      <c r="F2975" s="1">
        <v>44995</v>
      </c>
      <c r="G2975" t="str">
        <f>"300043"</f>
        <v>300043</v>
      </c>
      <c r="H2975" t="s">
        <v>2876</v>
      </c>
      <c r="I2975">
        <v>851</v>
      </c>
    </row>
    <row r="2976" spans="1:9" x14ac:dyDescent="0.25">
      <c r="A2976" t="s">
        <v>9616</v>
      </c>
      <c r="C2976" t="s">
        <v>9617</v>
      </c>
      <c r="D2976" t="str">
        <f>"16347"</f>
        <v>16347</v>
      </c>
      <c r="E2976" t="s">
        <v>11094</v>
      </c>
      <c r="F2976" s="1">
        <v>44995</v>
      </c>
      <c r="G2976" t="str">
        <f>"300043"</f>
        <v>300043</v>
      </c>
      <c r="H2976" t="s">
        <v>2876</v>
      </c>
      <c r="I2976">
        <v>1648</v>
      </c>
    </row>
    <row r="2977" spans="1:9" x14ac:dyDescent="0.25">
      <c r="A2977" t="s">
        <v>9616</v>
      </c>
      <c r="C2977" t="s">
        <v>9617</v>
      </c>
      <c r="D2977" t="str">
        <f>"138423"</f>
        <v>138423</v>
      </c>
      <c r="E2977" s="4">
        <v>45017</v>
      </c>
      <c r="F2977" s="1">
        <v>44995</v>
      </c>
      <c r="G2977" t="str">
        <f>"300101"</f>
        <v>300101</v>
      </c>
      <c r="H2977" t="s">
        <v>2926</v>
      </c>
      <c r="I2977">
        <v>3144</v>
      </c>
    </row>
    <row r="2978" spans="1:9" x14ac:dyDescent="0.25">
      <c r="A2978" t="s">
        <v>9616</v>
      </c>
      <c r="C2978" t="s">
        <v>9617</v>
      </c>
      <c r="D2978" t="str">
        <f>"10147645"</f>
        <v>10147645</v>
      </c>
      <c r="E2978" t="s">
        <v>2172</v>
      </c>
      <c r="F2978" s="1">
        <v>44998</v>
      </c>
      <c r="G2978" t="str">
        <f>"300115"</f>
        <v>300115</v>
      </c>
      <c r="H2978" t="s">
        <v>2938</v>
      </c>
      <c r="I2978">
        <v>368883.25760000001</v>
      </c>
    </row>
    <row r="2979" spans="1:9" x14ac:dyDescent="0.25">
      <c r="A2979" t="s">
        <v>9616</v>
      </c>
      <c r="C2979" t="s">
        <v>9617</v>
      </c>
      <c r="D2979" t="str">
        <f>"100008333"</f>
        <v>100008333</v>
      </c>
      <c r="E2979" t="s">
        <v>11095</v>
      </c>
      <c r="F2979" s="1">
        <v>44998</v>
      </c>
      <c r="G2979" t="str">
        <f>"300226"</f>
        <v>300226</v>
      </c>
      <c r="H2979" t="s">
        <v>3025</v>
      </c>
      <c r="I2979">
        <v>304847.40000000002</v>
      </c>
    </row>
    <row r="2980" spans="1:9" x14ac:dyDescent="0.25">
      <c r="A2980" t="s">
        <v>9616</v>
      </c>
      <c r="C2980" t="s">
        <v>9617</v>
      </c>
      <c r="D2980" t="s">
        <v>11096</v>
      </c>
      <c r="E2980" t="s">
        <v>11097</v>
      </c>
      <c r="F2980" s="1">
        <v>44998</v>
      </c>
      <c r="G2980" t="str">
        <f>"300321"</f>
        <v>300321</v>
      </c>
      <c r="H2980" t="s">
        <v>2706</v>
      </c>
      <c r="I2980">
        <v>18000</v>
      </c>
    </row>
    <row r="2981" spans="1:9" x14ac:dyDescent="0.25">
      <c r="A2981" t="s">
        <v>9616</v>
      </c>
      <c r="C2981" t="s">
        <v>9617</v>
      </c>
      <c r="D2981" t="str">
        <f>"17258"</f>
        <v>17258</v>
      </c>
      <c r="E2981" t="s">
        <v>11097</v>
      </c>
      <c r="F2981" s="1">
        <v>44999</v>
      </c>
      <c r="G2981" t="str">
        <f>"300043"</f>
        <v>300043</v>
      </c>
      <c r="H2981" t="s">
        <v>2876</v>
      </c>
      <c r="I2981">
        <v>1442</v>
      </c>
    </row>
    <row r="2982" spans="1:9" x14ac:dyDescent="0.25">
      <c r="A2982" t="s">
        <v>9616</v>
      </c>
      <c r="C2982" t="s">
        <v>9617</v>
      </c>
      <c r="D2982" t="s">
        <v>11098</v>
      </c>
      <c r="E2982" t="s">
        <v>9562</v>
      </c>
      <c r="F2982" s="1">
        <v>44999</v>
      </c>
      <c r="G2982" t="str">
        <f>"300133"</f>
        <v>300133</v>
      </c>
      <c r="H2982" t="s">
        <v>2955</v>
      </c>
      <c r="I2982">
        <v>60936.192000000003</v>
      </c>
    </row>
    <row r="2983" spans="1:9" x14ac:dyDescent="0.25">
      <c r="A2983" t="s">
        <v>9616</v>
      </c>
      <c r="C2983" t="s">
        <v>9617</v>
      </c>
      <c r="D2983" t="s">
        <v>11099</v>
      </c>
      <c r="E2983" t="s">
        <v>9562</v>
      </c>
      <c r="F2983" s="1">
        <v>44999</v>
      </c>
      <c r="G2983" t="str">
        <f>"300133"</f>
        <v>300133</v>
      </c>
      <c r="H2983" t="s">
        <v>2955</v>
      </c>
      <c r="I2983">
        <v>46847.807999999997</v>
      </c>
    </row>
    <row r="2984" spans="1:9" x14ac:dyDescent="0.25">
      <c r="A2984" t="s">
        <v>9616</v>
      </c>
      <c r="C2984" t="s">
        <v>9617</v>
      </c>
      <c r="D2984" t="str">
        <f>"10147700"</f>
        <v>10147700</v>
      </c>
      <c r="E2984" t="s">
        <v>9633</v>
      </c>
      <c r="F2984" s="1">
        <v>45000</v>
      </c>
      <c r="G2984" t="str">
        <f>"300115"</f>
        <v>300115</v>
      </c>
      <c r="H2984" t="s">
        <v>2938</v>
      </c>
      <c r="I2984">
        <v>69560.427200000006</v>
      </c>
    </row>
    <row r="2985" spans="1:9" x14ac:dyDescent="0.25">
      <c r="A2985" t="s">
        <v>9616</v>
      </c>
      <c r="C2985" t="s">
        <v>9617</v>
      </c>
      <c r="D2985" t="str">
        <f>"10147701"</f>
        <v>10147701</v>
      </c>
      <c r="E2985" t="s">
        <v>10085</v>
      </c>
      <c r="F2985" s="1">
        <v>45000</v>
      </c>
      <c r="G2985" t="str">
        <f>"300115"</f>
        <v>300115</v>
      </c>
      <c r="H2985" t="s">
        <v>2938</v>
      </c>
      <c r="I2985">
        <v>301960.05839999998</v>
      </c>
    </row>
    <row r="2986" spans="1:9" x14ac:dyDescent="0.25">
      <c r="A2986" t="s">
        <v>9616</v>
      </c>
      <c r="C2986" t="s">
        <v>9617</v>
      </c>
      <c r="D2986" t="str">
        <f>"10147732"</f>
        <v>10147732</v>
      </c>
      <c r="E2986" t="s">
        <v>11100</v>
      </c>
      <c r="F2986" s="1">
        <v>45000</v>
      </c>
      <c r="G2986" t="str">
        <f>"300115"</f>
        <v>300115</v>
      </c>
      <c r="H2986" t="s">
        <v>2938</v>
      </c>
      <c r="I2986">
        <v>384311.79599999997</v>
      </c>
    </row>
    <row r="2987" spans="1:9" x14ac:dyDescent="0.25">
      <c r="A2987" t="s">
        <v>9616</v>
      </c>
      <c r="C2987" t="s">
        <v>9617</v>
      </c>
      <c r="D2987" t="s">
        <v>11101</v>
      </c>
      <c r="E2987" t="s">
        <v>10797</v>
      </c>
      <c r="F2987" s="1">
        <v>45000</v>
      </c>
      <c r="G2987" t="str">
        <f>"300133"</f>
        <v>300133</v>
      </c>
      <c r="H2987" t="s">
        <v>2955</v>
      </c>
      <c r="I2987">
        <v>65139.8</v>
      </c>
    </row>
    <row r="2988" spans="1:9" x14ac:dyDescent="0.25">
      <c r="A2988" t="s">
        <v>9616</v>
      </c>
      <c r="C2988" t="s">
        <v>9617</v>
      </c>
      <c r="D2988" t="str">
        <f>"202301974"</f>
        <v>202301974</v>
      </c>
      <c r="E2988" t="s">
        <v>11094</v>
      </c>
      <c r="F2988" s="1">
        <v>45000</v>
      </c>
      <c r="G2988" t="str">
        <f>"300191"</f>
        <v>300191</v>
      </c>
      <c r="H2988" t="s">
        <v>3008</v>
      </c>
      <c r="I2988">
        <v>3219.36</v>
      </c>
    </row>
    <row r="2989" spans="1:9" x14ac:dyDescent="0.25">
      <c r="A2989" t="s">
        <v>9616</v>
      </c>
      <c r="C2989" t="s">
        <v>9617</v>
      </c>
      <c r="D2989" t="s">
        <v>11102</v>
      </c>
      <c r="E2989" t="s">
        <v>11103</v>
      </c>
      <c r="F2989" s="1">
        <v>45000</v>
      </c>
      <c r="G2989" t="str">
        <f>"300321"</f>
        <v>300321</v>
      </c>
      <c r="H2989" t="s">
        <v>2706</v>
      </c>
      <c r="I2989">
        <v>19000</v>
      </c>
    </row>
    <row r="2990" spans="1:9" x14ac:dyDescent="0.25">
      <c r="A2990" t="s">
        <v>9616</v>
      </c>
      <c r="C2990" t="s">
        <v>9617</v>
      </c>
      <c r="D2990" t="s">
        <v>11104</v>
      </c>
      <c r="E2990" t="s">
        <v>11105</v>
      </c>
      <c r="F2990" s="1">
        <v>45000</v>
      </c>
      <c r="G2990" t="str">
        <f>"300321"</f>
        <v>300321</v>
      </c>
      <c r="H2990" t="s">
        <v>2706</v>
      </c>
      <c r="I2990">
        <v>18000</v>
      </c>
    </row>
    <row r="2991" spans="1:9" x14ac:dyDescent="0.25">
      <c r="A2991" t="s">
        <v>9616</v>
      </c>
      <c r="C2991" t="s">
        <v>9617</v>
      </c>
      <c r="D2991" t="str">
        <f>"18059"</f>
        <v>18059</v>
      </c>
      <c r="E2991" t="s">
        <v>11103</v>
      </c>
      <c r="F2991" s="1">
        <v>45001</v>
      </c>
      <c r="G2991" t="str">
        <f>"300043"</f>
        <v>300043</v>
      </c>
      <c r="H2991" t="s">
        <v>2876</v>
      </c>
      <c r="I2991">
        <v>1446</v>
      </c>
    </row>
    <row r="2992" spans="1:9" x14ac:dyDescent="0.25">
      <c r="A2992" t="s">
        <v>9616</v>
      </c>
      <c r="C2992" t="s">
        <v>9617</v>
      </c>
      <c r="D2992" t="str">
        <f>"18231"</f>
        <v>18231</v>
      </c>
      <c r="E2992" t="s">
        <v>11105</v>
      </c>
      <c r="F2992" s="1">
        <v>45002</v>
      </c>
      <c r="G2992" t="str">
        <f>"300043"</f>
        <v>300043</v>
      </c>
      <c r="H2992" t="s">
        <v>2876</v>
      </c>
      <c r="I2992">
        <v>1488</v>
      </c>
    </row>
    <row r="2993" spans="1:9" x14ac:dyDescent="0.25">
      <c r="A2993" t="s">
        <v>9616</v>
      </c>
      <c r="C2993" t="s">
        <v>9617</v>
      </c>
      <c r="D2993" t="str">
        <f>"10147734"</f>
        <v>10147734</v>
      </c>
      <c r="E2993" t="s">
        <v>2172</v>
      </c>
      <c r="F2993" s="1">
        <v>45002</v>
      </c>
      <c r="G2993" t="str">
        <f>"300115"</f>
        <v>300115</v>
      </c>
      <c r="H2993" t="s">
        <v>2938</v>
      </c>
      <c r="I2993">
        <v>368883.25760000001</v>
      </c>
    </row>
    <row r="2994" spans="1:9" x14ac:dyDescent="0.25">
      <c r="A2994" t="s">
        <v>9616</v>
      </c>
      <c r="C2994" t="s">
        <v>9617</v>
      </c>
      <c r="D2994" t="str">
        <f>"10147761"</f>
        <v>10147761</v>
      </c>
      <c r="E2994" t="s">
        <v>10059</v>
      </c>
      <c r="F2994" s="1">
        <v>45002</v>
      </c>
      <c r="G2994" t="str">
        <f>"300115"</f>
        <v>300115</v>
      </c>
      <c r="H2994" t="s">
        <v>2938</v>
      </c>
      <c r="I2994">
        <v>384311.79599999997</v>
      </c>
    </row>
    <row r="2995" spans="1:9" x14ac:dyDescent="0.25">
      <c r="A2995" t="s">
        <v>9616</v>
      </c>
      <c r="C2995" t="s">
        <v>9617</v>
      </c>
      <c r="D2995" t="str">
        <f>"10147764"</f>
        <v>10147764</v>
      </c>
      <c r="E2995" t="s">
        <v>2172</v>
      </c>
      <c r="F2995" s="1">
        <v>45002</v>
      </c>
      <c r="G2995" t="str">
        <f>"300115"</f>
        <v>300115</v>
      </c>
      <c r="H2995" t="s">
        <v>2938</v>
      </c>
      <c r="I2995">
        <v>368883.25760000001</v>
      </c>
    </row>
    <row r="2996" spans="1:9" x14ac:dyDescent="0.25">
      <c r="A2996" t="s">
        <v>9616</v>
      </c>
      <c r="C2996" t="s">
        <v>9617</v>
      </c>
      <c r="D2996" t="s">
        <v>11106</v>
      </c>
      <c r="E2996" t="s">
        <v>11107</v>
      </c>
      <c r="F2996" s="1">
        <v>45002</v>
      </c>
      <c r="G2996" t="str">
        <f>"300321"</f>
        <v>300321</v>
      </c>
      <c r="H2996" t="s">
        <v>2706</v>
      </c>
      <c r="I2996">
        <v>18000</v>
      </c>
    </row>
    <row r="2997" spans="1:9" x14ac:dyDescent="0.25">
      <c r="A2997" t="s">
        <v>9616</v>
      </c>
      <c r="C2997" t="s">
        <v>9617</v>
      </c>
      <c r="D2997" t="s">
        <v>11108</v>
      </c>
      <c r="E2997" t="s">
        <v>11109</v>
      </c>
      <c r="F2997" s="1">
        <v>45002</v>
      </c>
      <c r="G2997" t="str">
        <f>"300321"</f>
        <v>300321</v>
      </c>
      <c r="H2997" t="s">
        <v>2706</v>
      </c>
      <c r="I2997">
        <v>18000</v>
      </c>
    </row>
    <row r="2998" spans="1:9" x14ac:dyDescent="0.25">
      <c r="A2998" t="s">
        <v>9616</v>
      </c>
      <c r="C2998" t="s">
        <v>9617</v>
      </c>
      <c r="D2998" t="s">
        <v>11110</v>
      </c>
      <c r="E2998" t="s">
        <v>11111</v>
      </c>
      <c r="F2998" s="1">
        <v>45002</v>
      </c>
      <c r="G2998" t="str">
        <f>"300321"</f>
        <v>300321</v>
      </c>
      <c r="H2998" t="s">
        <v>2706</v>
      </c>
      <c r="I2998">
        <v>18000</v>
      </c>
    </row>
    <row r="2999" spans="1:9" x14ac:dyDescent="0.25">
      <c r="A2999" t="s">
        <v>9616</v>
      </c>
      <c r="C2999" t="s">
        <v>9617</v>
      </c>
      <c r="D2999" t="str">
        <f>"18487"</f>
        <v>18487</v>
      </c>
      <c r="E2999" t="s">
        <v>11107</v>
      </c>
      <c r="F2999" s="1">
        <v>45003</v>
      </c>
      <c r="G2999" t="str">
        <f>"300043"</f>
        <v>300043</v>
      </c>
      <c r="H2999" t="s">
        <v>2876</v>
      </c>
      <c r="I2999">
        <v>1489</v>
      </c>
    </row>
    <row r="3000" spans="1:9" x14ac:dyDescent="0.25">
      <c r="A3000" t="s">
        <v>9616</v>
      </c>
      <c r="C3000" t="s">
        <v>9617</v>
      </c>
      <c r="D3000" t="str">
        <f>"202302106"</f>
        <v>202302106</v>
      </c>
      <c r="E3000" t="s">
        <v>11103</v>
      </c>
      <c r="F3000" s="1">
        <v>45005</v>
      </c>
      <c r="G3000" t="str">
        <f>"300191"</f>
        <v>300191</v>
      </c>
      <c r="H3000" t="s">
        <v>3008</v>
      </c>
      <c r="I3000">
        <v>3219.36</v>
      </c>
    </row>
    <row r="3001" spans="1:9" x14ac:dyDescent="0.25">
      <c r="A3001" t="s">
        <v>9616</v>
      </c>
      <c r="C3001" t="s">
        <v>9617</v>
      </c>
      <c r="D3001" t="str">
        <f>"202302109"</f>
        <v>202302109</v>
      </c>
      <c r="E3001" t="s">
        <v>11105</v>
      </c>
      <c r="F3001" s="1">
        <v>45005</v>
      </c>
      <c r="G3001" t="str">
        <f>"300191"</f>
        <v>300191</v>
      </c>
      <c r="H3001" t="s">
        <v>3008</v>
      </c>
      <c r="I3001">
        <v>3219.36</v>
      </c>
    </row>
    <row r="3002" spans="1:9" x14ac:dyDescent="0.25">
      <c r="A3002" t="s">
        <v>9616</v>
      </c>
      <c r="C3002" t="s">
        <v>9617</v>
      </c>
      <c r="D3002" t="str">
        <f>"202302110"</f>
        <v>202302110</v>
      </c>
      <c r="E3002" t="s">
        <v>11097</v>
      </c>
      <c r="F3002" s="1">
        <v>45005</v>
      </c>
      <c r="G3002" t="str">
        <f>"300191"</f>
        <v>300191</v>
      </c>
      <c r="H3002" t="s">
        <v>3008</v>
      </c>
      <c r="I3002">
        <v>3219.36</v>
      </c>
    </row>
    <row r="3003" spans="1:9" x14ac:dyDescent="0.25">
      <c r="A3003" t="s">
        <v>9616</v>
      </c>
      <c r="C3003" t="s">
        <v>9617</v>
      </c>
      <c r="D3003" t="str">
        <f>"19279"</f>
        <v>19279</v>
      </c>
      <c r="E3003" t="s">
        <v>11109</v>
      </c>
      <c r="F3003" s="1">
        <v>45006</v>
      </c>
      <c r="G3003" t="str">
        <f>"300043"</f>
        <v>300043</v>
      </c>
      <c r="H3003" t="s">
        <v>2876</v>
      </c>
      <c r="I3003">
        <v>1440</v>
      </c>
    </row>
    <row r="3004" spans="1:9" x14ac:dyDescent="0.25">
      <c r="A3004" t="s">
        <v>9616</v>
      </c>
      <c r="C3004" t="s">
        <v>9617</v>
      </c>
      <c r="D3004" t="str">
        <f>"25017"</f>
        <v>25017</v>
      </c>
      <c r="E3004" t="s">
        <v>11112</v>
      </c>
      <c r="F3004" s="1">
        <v>45006</v>
      </c>
      <c r="G3004" t="str">
        <f>"300043"</f>
        <v>300043</v>
      </c>
      <c r="H3004" t="s">
        <v>2876</v>
      </c>
      <c r="I3004">
        <v>51098</v>
      </c>
    </row>
    <row r="3005" spans="1:9" x14ac:dyDescent="0.25">
      <c r="A3005" t="s">
        <v>9616</v>
      </c>
      <c r="C3005" t="s">
        <v>9617</v>
      </c>
      <c r="D3005" t="str">
        <f>"202302122"</f>
        <v>202302122</v>
      </c>
      <c r="E3005" t="s">
        <v>11107</v>
      </c>
      <c r="F3005" s="1">
        <v>45006</v>
      </c>
      <c r="G3005" t="str">
        <f>"300191"</f>
        <v>300191</v>
      </c>
      <c r="H3005" t="s">
        <v>3008</v>
      </c>
      <c r="I3005">
        <v>3197.61</v>
      </c>
    </row>
    <row r="3006" spans="1:9" x14ac:dyDescent="0.25">
      <c r="A3006" t="s">
        <v>9616</v>
      </c>
      <c r="C3006" t="s">
        <v>9617</v>
      </c>
      <c r="D3006" t="str">
        <f>"19673"</f>
        <v>19673</v>
      </c>
      <c r="E3006" t="s">
        <v>11113</v>
      </c>
      <c r="F3006" s="1">
        <v>45007</v>
      </c>
      <c r="G3006" t="str">
        <f>"300043"</f>
        <v>300043</v>
      </c>
      <c r="H3006" t="s">
        <v>2876</v>
      </c>
      <c r="I3006">
        <v>1434</v>
      </c>
    </row>
    <row r="3007" spans="1:9" x14ac:dyDescent="0.25">
      <c r="A3007" t="s">
        <v>9616</v>
      </c>
      <c r="C3007" t="s">
        <v>9617</v>
      </c>
      <c r="D3007" t="str">
        <f>"10147868"</f>
        <v>10147868</v>
      </c>
      <c r="E3007" t="s">
        <v>9640</v>
      </c>
      <c r="F3007" s="1">
        <v>45007</v>
      </c>
      <c r="G3007" t="str">
        <f>"300115"</f>
        <v>300115</v>
      </c>
      <c r="H3007" t="s">
        <v>2938</v>
      </c>
      <c r="I3007">
        <v>200182.54740000001</v>
      </c>
    </row>
    <row r="3008" spans="1:9" x14ac:dyDescent="0.25">
      <c r="A3008" t="s">
        <v>9616</v>
      </c>
      <c r="C3008" t="s">
        <v>9617</v>
      </c>
      <c r="D3008" t="str">
        <f>"202302190"</f>
        <v>202302190</v>
      </c>
      <c r="E3008" t="s">
        <v>11109</v>
      </c>
      <c r="F3008" s="1">
        <v>45007</v>
      </c>
      <c r="G3008" t="str">
        <f>"300191"</f>
        <v>300191</v>
      </c>
      <c r="H3008" t="s">
        <v>3008</v>
      </c>
      <c r="I3008">
        <v>3197.61</v>
      </c>
    </row>
    <row r="3009" spans="1:9" x14ac:dyDescent="0.25">
      <c r="A3009" t="s">
        <v>9616</v>
      </c>
      <c r="C3009" t="s">
        <v>9617</v>
      </c>
      <c r="D3009" t="str">
        <f>"10147898"</f>
        <v>10147898</v>
      </c>
      <c r="E3009" t="s">
        <v>9189</v>
      </c>
      <c r="F3009" s="1">
        <v>45008</v>
      </c>
      <c r="G3009" t="str">
        <f>"300115"</f>
        <v>300115</v>
      </c>
      <c r="H3009" t="s">
        <v>2938</v>
      </c>
      <c r="I3009">
        <v>291088.21830000001</v>
      </c>
    </row>
    <row r="3010" spans="1:9" x14ac:dyDescent="0.25">
      <c r="A3010" t="s">
        <v>9616</v>
      </c>
      <c r="C3010" t="s">
        <v>9617</v>
      </c>
      <c r="D3010" t="s">
        <v>11114</v>
      </c>
      <c r="E3010" t="s">
        <v>11115</v>
      </c>
      <c r="F3010" s="1">
        <v>45008</v>
      </c>
      <c r="G3010" t="str">
        <f>"300340"</f>
        <v>300340</v>
      </c>
      <c r="H3010" t="s">
        <v>3080</v>
      </c>
      <c r="I3010">
        <v>3274</v>
      </c>
    </row>
    <row r="3011" spans="1:9" x14ac:dyDescent="0.25">
      <c r="A3011" t="s">
        <v>9616</v>
      </c>
      <c r="C3011" t="s">
        <v>9617</v>
      </c>
      <c r="D3011" t="str">
        <f>"202302258"</f>
        <v>202302258</v>
      </c>
      <c r="E3011" t="s">
        <v>11111</v>
      </c>
      <c r="F3011" s="1">
        <v>45009</v>
      </c>
      <c r="G3011" t="str">
        <f>"300191"</f>
        <v>300191</v>
      </c>
      <c r="H3011" t="s">
        <v>3008</v>
      </c>
      <c r="I3011">
        <v>3693.04</v>
      </c>
    </row>
    <row r="3012" spans="1:9" x14ac:dyDescent="0.25">
      <c r="A3012" t="s">
        <v>9616</v>
      </c>
      <c r="C3012" t="s">
        <v>9617</v>
      </c>
      <c r="D3012" t="str">
        <f>"20436"</f>
        <v>20436</v>
      </c>
      <c r="E3012" s="4">
        <v>45170</v>
      </c>
      <c r="F3012" s="1">
        <v>45010</v>
      </c>
      <c r="G3012" t="str">
        <f>"300043"</f>
        <v>300043</v>
      </c>
      <c r="H3012" t="s">
        <v>2876</v>
      </c>
      <c r="I3012">
        <v>841</v>
      </c>
    </row>
    <row r="3013" spans="1:9" x14ac:dyDescent="0.25">
      <c r="A3013" t="s">
        <v>9616</v>
      </c>
      <c r="C3013" t="s">
        <v>9617</v>
      </c>
      <c r="D3013" t="str">
        <f>"182123"</f>
        <v>182123</v>
      </c>
      <c r="E3013" s="4">
        <v>45170</v>
      </c>
      <c r="F3013" s="1">
        <v>45010</v>
      </c>
      <c r="G3013" t="str">
        <f>"300101"</f>
        <v>300101</v>
      </c>
      <c r="H3013" t="s">
        <v>2926</v>
      </c>
      <c r="I3013">
        <v>3825.68</v>
      </c>
    </row>
    <row r="3014" spans="1:9" x14ac:dyDescent="0.25">
      <c r="A3014" t="s">
        <v>9616</v>
      </c>
      <c r="C3014" t="s">
        <v>9617</v>
      </c>
      <c r="D3014" t="str">
        <f>"202302272"</f>
        <v>202302272</v>
      </c>
      <c r="E3014" t="s">
        <v>11112</v>
      </c>
      <c r="F3014" s="1">
        <v>45010</v>
      </c>
      <c r="G3014" t="str">
        <f>"300191"</f>
        <v>300191</v>
      </c>
      <c r="H3014" t="s">
        <v>3008</v>
      </c>
      <c r="I3014">
        <v>5934.51</v>
      </c>
    </row>
    <row r="3015" spans="1:9" x14ac:dyDescent="0.25">
      <c r="A3015" t="s">
        <v>9616</v>
      </c>
      <c r="C3015" t="s">
        <v>9617</v>
      </c>
      <c r="D3015" t="str">
        <f>"10147965"</f>
        <v>10147965</v>
      </c>
      <c r="E3015" t="s">
        <v>9748</v>
      </c>
      <c r="F3015" s="1">
        <v>45012</v>
      </c>
      <c r="G3015" t="str">
        <f>"300115"</f>
        <v>300115</v>
      </c>
      <c r="H3015" t="s">
        <v>2938</v>
      </c>
      <c r="I3015">
        <v>39942.163800000002</v>
      </c>
    </row>
    <row r="3016" spans="1:9" x14ac:dyDescent="0.25">
      <c r="A3016" t="s">
        <v>9616</v>
      </c>
      <c r="C3016" t="s">
        <v>9617</v>
      </c>
      <c r="D3016" t="str">
        <f>"10147966"</f>
        <v>10147966</v>
      </c>
      <c r="E3016" t="s">
        <v>9207</v>
      </c>
      <c r="F3016" s="1">
        <v>45012</v>
      </c>
      <c r="G3016" t="str">
        <f>"300115"</f>
        <v>300115</v>
      </c>
      <c r="H3016" t="s">
        <v>2938</v>
      </c>
      <c r="I3016">
        <v>216865.23759999999</v>
      </c>
    </row>
    <row r="3017" spans="1:9" x14ac:dyDescent="0.25">
      <c r="A3017" t="s">
        <v>9616</v>
      </c>
      <c r="C3017" t="s">
        <v>9617</v>
      </c>
      <c r="D3017" t="str">
        <f>"20822"</f>
        <v>20822</v>
      </c>
      <c r="E3017" s="4">
        <v>45108</v>
      </c>
      <c r="F3017" s="1">
        <v>45013</v>
      </c>
      <c r="G3017" t="str">
        <f>"300043"</f>
        <v>300043</v>
      </c>
      <c r="H3017" t="s">
        <v>2876</v>
      </c>
      <c r="I3017">
        <v>1215</v>
      </c>
    </row>
    <row r="3018" spans="1:9" x14ac:dyDescent="0.25">
      <c r="A3018" t="s">
        <v>9616</v>
      </c>
      <c r="C3018" t="s">
        <v>9617</v>
      </c>
      <c r="D3018" t="str">
        <f>"181923"</f>
        <v>181923</v>
      </c>
      <c r="E3018" s="4">
        <v>45108</v>
      </c>
      <c r="F3018" s="1">
        <v>45013</v>
      </c>
      <c r="G3018" t="str">
        <f>"300101"</f>
        <v>300101</v>
      </c>
      <c r="H3018" t="s">
        <v>2926</v>
      </c>
      <c r="I3018">
        <v>3617.68</v>
      </c>
    </row>
    <row r="3019" spans="1:9" x14ac:dyDescent="0.25">
      <c r="A3019" t="s">
        <v>9616</v>
      </c>
      <c r="C3019" t="s">
        <v>9617</v>
      </c>
      <c r="D3019" t="str">
        <f>"10147999"</f>
        <v>10147999</v>
      </c>
      <c r="E3019" t="s">
        <v>9233</v>
      </c>
      <c r="F3019" s="1">
        <v>45013</v>
      </c>
      <c r="G3019" t="str">
        <f>"300115"</f>
        <v>300115</v>
      </c>
      <c r="H3019" t="s">
        <v>2938</v>
      </c>
      <c r="I3019">
        <v>292975.65000000002</v>
      </c>
    </row>
    <row r="3020" spans="1:9" x14ac:dyDescent="0.25">
      <c r="A3020" t="s">
        <v>9616</v>
      </c>
      <c r="C3020" t="s">
        <v>9617</v>
      </c>
      <c r="D3020" t="str">
        <f>"1436"</f>
        <v>1436</v>
      </c>
      <c r="E3020" t="s">
        <v>11115</v>
      </c>
      <c r="F3020" s="1">
        <v>45014</v>
      </c>
      <c r="G3020" t="str">
        <f>"300043"</f>
        <v>300043</v>
      </c>
      <c r="H3020" t="s">
        <v>2876</v>
      </c>
      <c r="I3020">
        <v>3480</v>
      </c>
    </row>
    <row r="3021" spans="1:9" x14ac:dyDescent="0.25">
      <c r="A3021" t="s">
        <v>9616</v>
      </c>
      <c r="C3021" t="s">
        <v>9617</v>
      </c>
      <c r="D3021" t="str">
        <f>"21932"</f>
        <v>21932</v>
      </c>
      <c r="E3021" s="4">
        <v>45078</v>
      </c>
      <c r="F3021" s="1">
        <v>45016</v>
      </c>
      <c r="G3021" t="str">
        <f>"300043"</f>
        <v>300043</v>
      </c>
      <c r="H3021" t="s">
        <v>2876</v>
      </c>
      <c r="I3021">
        <v>1151</v>
      </c>
    </row>
    <row r="3022" spans="1:9" x14ac:dyDescent="0.25">
      <c r="A3022" t="s">
        <v>9616</v>
      </c>
      <c r="C3022" t="s">
        <v>9617</v>
      </c>
      <c r="D3022" t="str">
        <f>"22188"</f>
        <v>22188</v>
      </c>
      <c r="E3022" s="4">
        <v>45139</v>
      </c>
      <c r="F3022" s="1">
        <v>45016</v>
      </c>
      <c r="G3022" t="str">
        <f>"300043"</f>
        <v>300043</v>
      </c>
      <c r="H3022" t="s">
        <v>2876</v>
      </c>
      <c r="I3022">
        <v>1031</v>
      </c>
    </row>
    <row r="3023" spans="1:9" x14ac:dyDescent="0.25">
      <c r="A3023" t="s">
        <v>9616</v>
      </c>
      <c r="C3023" t="s">
        <v>9617</v>
      </c>
      <c r="D3023" t="str">
        <f>"181823"</f>
        <v>181823</v>
      </c>
      <c r="E3023" s="4">
        <v>45078</v>
      </c>
      <c r="F3023" s="1">
        <v>45016</v>
      </c>
      <c r="G3023" t="str">
        <f>"300101"</f>
        <v>300101</v>
      </c>
      <c r="H3023" t="s">
        <v>2926</v>
      </c>
      <c r="I3023">
        <v>3301.9</v>
      </c>
    </row>
    <row r="3024" spans="1:9" x14ac:dyDescent="0.25">
      <c r="A3024" t="s">
        <v>9616</v>
      </c>
      <c r="C3024" t="s">
        <v>9617</v>
      </c>
      <c r="D3024" t="str">
        <f>"182023"</f>
        <v>182023</v>
      </c>
      <c r="E3024" s="4">
        <v>45139</v>
      </c>
      <c r="F3024" s="1">
        <v>45016</v>
      </c>
      <c r="G3024" t="str">
        <f>"300101"</f>
        <v>300101</v>
      </c>
      <c r="H3024" t="s">
        <v>2926</v>
      </c>
      <c r="I3024">
        <v>3459.79</v>
      </c>
    </row>
    <row r="3025" spans="1:9" x14ac:dyDescent="0.25">
      <c r="A3025" t="s">
        <v>9616</v>
      </c>
      <c r="C3025" t="s">
        <v>9617</v>
      </c>
      <c r="D3025" t="str">
        <f>"202302573"</f>
        <v>202302573</v>
      </c>
      <c r="E3025" t="s">
        <v>11115</v>
      </c>
      <c r="F3025" s="1">
        <v>45021</v>
      </c>
      <c r="G3025" t="str">
        <f>"300191"</f>
        <v>300191</v>
      </c>
      <c r="H3025" t="s">
        <v>3008</v>
      </c>
      <c r="I3025">
        <v>5420.9</v>
      </c>
    </row>
    <row r="3026" spans="1:9" x14ac:dyDescent="0.25">
      <c r="A3026" t="s">
        <v>9616</v>
      </c>
      <c r="C3026" t="s">
        <v>9617</v>
      </c>
      <c r="D3026" t="str">
        <f>"419277"</f>
        <v>419277</v>
      </c>
      <c r="E3026" t="s">
        <v>9343</v>
      </c>
      <c r="F3026" s="1">
        <v>45021</v>
      </c>
      <c r="G3026" t="str">
        <f>"300220"</f>
        <v>300220</v>
      </c>
      <c r="H3026" t="s">
        <v>2170</v>
      </c>
      <c r="I3026">
        <v>928541.39399999997</v>
      </c>
    </row>
    <row r="3027" spans="1:9" x14ac:dyDescent="0.25">
      <c r="A3027" t="s">
        <v>9616</v>
      </c>
      <c r="C3027" t="s">
        <v>9617</v>
      </c>
      <c r="D3027" t="str">
        <f>"39758"</f>
        <v>39758</v>
      </c>
      <c r="E3027" t="s">
        <v>11116</v>
      </c>
      <c r="F3027" s="1">
        <v>45022</v>
      </c>
      <c r="G3027" t="str">
        <f>"300043"</f>
        <v>300043</v>
      </c>
      <c r="H3027" t="s">
        <v>2876</v>
      </c>
      <c r="I3027">
        <v>1210</v>
      </c>
    </row>
    <row r="3028" spans="1:9" x14ac:dyDescent="0.25">
      <c r="A3028" t="s">
        <v>9616</v>
      </c>
      <c r="C3028" t="s">
        <v>9617</v>
      </c>
      <c r="D3028" t="s">
        <v>11117</v>
      </c>
      <c r="E3028" t="s">
        <v>11118</v>
      </c>
      <c r="F3028" s="1">
        <v>45022</v>
      </c>
      <c r="G3028" t="str">
        <f>"300133"</f>
        <v>300133</v>
      </c>
      <c r="H3028" t="s">
        <v>2955</v>
      </c>
      <c r="I3028">
        <v>70182</v>
      </c>
    </row>
    <row r="3029" spans="1:9" x14ac:dyDescent="0.25">
      <c r="A3029" t="s">
        <v>9616</v>
      </c>
      <c r="C3029" t="s">
        <v>9617</v>
      </c>
      <c r="D3029" t="s">
        <v>11119</v>
      </c>
      <c r="E3029" t="s">
        <v>10126</v>
      </c>
      <c r="F3029" s="1">
        <v>45022</v>
      </c>
      <c r="G3029" t="str">
        <f>"300133"</f>
        <v>300133</v>
      </c>
      <c r="H3029" t="s">
        <v>2955</v>
      </c>
      <c r="I3029">
        <v>56580</v>
      </c>
    </row>
    <row r="3030" spans="1:9" x14ac:dyDescent="0.25">
      <c r="A3030" t="s">
        <v>9616</v>
      </c>
      <c r="C3030" t="s">
        <v>9617</v>
      </c>
      <c r="D3030" t="str">
        <f>"230264"</f>
        <v>230264</v>
      </c>
      <c r="E3030" t="s">
        <v>11120</v>
      </c>
      <c r="F3030" s="1">
        <v>45027</v>
      </c>
      <c r="G3030" t="str">
        <f>"300081"</f>
        <v>300081</v>
      </c>
      <c r="H3030" t="s">
        <v>2045</v>
      </c>
      <c r="I3030">
        <v>117328.38</v>
      </c>
    </row>
    <row r="3031" spans="1:9" x14ac:dyDescent="0.25">
      <c r="A3031" t="s">
        <v>9616</v>
      </c>
      <c r="C3031" t="s">
        <v>9617</v>
      </c>
      <c r="D3031" t="str">
        <f>"202302743"</f>
        <v>202302743</v>
      </c>
      <c r="E3031" t="s">
        <v>11116</v>
      </c>
      <c r="F3031" s="1">
        <v>45027</v>
      </c>
      <c r="G3031" t="str">
        <f>"300191"</f>
        <v>300191</v>
      </c>
      <c r="H3031" t="s">
        <v>3008</v>
      </c>
      <c r="I3031">
        <v>14243.94</v>
      </c>
    </row>
    <row r="3032" spans="1:9" x14ac:dyDescent="0.25">
      <c r="A3032" t="s">
        <v>9616</v>
      </c>
      <c r="C3032" t="s">
        <v>9617</v>
      </c>
      <c r="D3032" t="s">
        <v>11121</v>
      </c>
      <c r="E3032" t="s">
        <v>9565</v>
      </c>
      <c r="F3032" s="1">
        <v>45028</v>
      </c>
      <c r="G3032" t="str">
        <f>"300133"</f>
        <v>300133</v>
      </c>
      <c r="H3032" t="s">
        <v>2955</v>
      </c>
      <c r="I3032">
        <v>26492.400000000001</v>
      </c>
    </row>
    <row r="3033" spans="1:9" x14ac:dyDescent="0.25">
      <c r="A3033" t="s">
        <v>9616</v>
      </c>
      <c r="C3033" t="s">
        <v>9617</v>
      </c>
      <c r="D3033" t="s">
        <v>11122</v>
      </c>
      <c r="E3033" t="s">
        <v>9562</v>
      </c>
      <c r="F3033" s="1">
        <v>45028</v>
      </c>
      <c r="G3033" t="str">
        <f>"300133"</f>
        <v>300133</v>
      </c>
      <c r="H3033" t="s">
        <v>2955</v>
      </c>
      <c r="I3033">
        <v>95040</v>
      </c>
    </row>
    <row r="3034" spans="1:9" x14ac:dyDescent="0.25">
      <c r="A3034" t="s">
        <v>9616</v>
      </c>
      <c r="C3034" t="s">
        <v>9617</v>
      </c>
      <c r="D3034" t="str">
        <f>"230003480"</f>
        <v>230003480</v>
      </c>
      <c r="E3034" t="s">
        <v>11123</v>
      </c>
      <c r="F3034" s="1">
        <v>45029</v>
      </c>
      <c r="G3034" t="str">
        <f>"300043"</f>
        <v>300043</v>
      </c>
      <c r="H3034" t="s">
        <v>2876</v>
      </c>
      <c r="I3034">
        <v>5865</v>
      </c>
    </row>
    <row r="3035" spans="1:9" x14ac:dyDescent="0.25">
      <c r="A3035" t="s">
        <v>9616</v>
      </c>
      <c r="C3035" t="s">
        <v>9617</v>
      </c>
      <c r="D3035" t="str">
        <f>"10148327"</f>
        <v>10148327</v>
      </c>
      <c r="E3035" t="s">
        <v>9341</v>
      </c>
      <c r="F3035" s="1">
        <v>45029</v>
      </c>
      <c r="G3035" t="str">
        <f>"300115"</f>
        <v>300115</v>
      </c>
      <c r="H3035" t="s">
        <v>2938</v>
      </c>
      <c r="I3035">
        <v>431145.23100000003</v>
      </c>
    </row>
    <row r="3036" spans="1:9" x14ac:dyDescent="0.25">
      <c r="A3036" t="s">
        <v>9616</v>
      </c>
      <c r="C3036" t="s">
        <v>9617</v>
      </c>
      <c r="D3036" t="s">
        <v>11124</v>
      </c>
      <c r="E3036" t="s">
        <v>11125</v>
      </c>
      <c r="F3036" s="1">
        <v>45029</v>
      </c>
      <c r="G3036" t="str">
        <f>"300321"</f>
        <v>300321</v>
      </c>
      <c r="H3036" t="s">
        <v>2706</v>
      </c>
      <c r="I3036">
        <v>18000</v>
      </c>
    </row>
    <row r="3037" spans="1:9" x14ac:dyDescent="0.25">
      <c r="A3037" t="s">
        <v>9616</v>
      </c>
      <c r="C3037" t="s">
        <v>9617</v>
      </c>
      <c r="D3037" t="str">
        <f>"25574"</f>
        <v>25574</v>
      </c>
      <c r="E3037" t="s">
        <v>11125</v>
      </c>
      <c r="F3037" s="1">
        <v>45030</v>
      </c>
      <c r="G3037" t="str">
        <f>"300043"</f>
        <v>300043</v>
      </c>
      <c r="H3037" t="s">
        <v>2876</v>
      </c>
      <c r="I3037">
        <v>1660</v>
      </c>
    </row>
    <row r="3038" spans="1:9" x14ac:dyDescent="0.25">
      <c r="A3038" t="s">
        <v>9616</v>
      </c>
      <c r="C3038" t="s">
        <v>9617</v>
      </c>
      <c r="D3038" t="str">
        <f>"202302856"</f>
        <v>202302856</v>
      </c>
      <c r="E3038" t="s">
        <v>11126</v>
      </c>
      <c r="F3038" s="1">
        <v>45030</v>
      </c>
      <c r="G3038" t="str">
        <f>"300191"</f>
        <v>300191</v>
      </c>
      <c r="H3038" t="s">
        <v>3008</v>
      </c>
      <c r="I3038">
        <v>8371.2999999999993</v>
      </c>
    </row>
    <row r="3039" spans="1:9" x14ac:dyDescent="0.25">
      <c r="A3039" t="s">
        <v>9616</v>
      </c>
      <c r="C3039" t="s">
        <v>9617</v>
      </c>
      <c r="D3039" t="str">
        <f>"6966"</f>
        <v>6966</v>
      </c>
      <c r="F3039" s="1">
        <v>45033</v>
      </c>
      <c r="G3039" t="str">
        <f>"300043"</f>
        <v>300043</v>
      </c>
      <c r="H3039" t="s">
        <v>2876</v>
      </c>
      <c r="I3039">
        <v>3588</v>
      </c>
    </row>
    <row r="3040" spans="1:9" x14ac:dyDescent="0.25">
      <c r="A3040" t="s">
        <v>9616</v>
      </c>
      <c r="C3040" t="s">
        <v>9617</v>
      </c>
      <c r="D3040" t="str">
        <f>"202302916"</f>
        <v>202302916</v>
      </c>
      <c r="E3040" t="s">
        <v>11125</v>
      </c>
      <c r="F3040" s="1">
        <v>45033</v>
      </c>
      <c r="G3040" t="str">
        <f>"300191"</f>
        <v>300191</v>
      </c>
      <c r="H3040" t="s">
        <v>3008</v>
      </c>
      <c r="I3040">
        <v>3179.42</v>
      </c>
    </row>
    <row r="3041" spans="1:9" x14ac:dyDescent="0.25">
      <c r="A3041" t="s">
        <v>9616</v>
      </c>
      <c r="C3041" t="s">
        <v>9617</v>
      </c>
      <c r="D3041" t="str">
        <f>"2301200129"</f>
        <v>2301200129</v>
      </c>
      <c r="E3041" t="s">
        <v>9352</v>
      </c>
      <c r="F3041" s="1">
        <v>45033</v>
      </c>
      <c r="G3041" t="str">
        <f>"300312"</f>
        <v>300312</v>
      </c>
      <c r="H3041" t="s">
        <v>3053</v>
      </c>
      <c r="I3041">
        <v>444787.20000000001</v>
      </c>
    </row>
    <row r="3042" spans="1:9" x14ac:dyDescent="0.25">
      <c r="A3042" t="s">
        <v>9616</v>
      </c>
      <c r="C3042" t="s">
        <v>9617</v>
      </c>
      <c r="D3042" t="str">
        <f>"20235854"</f>
        <v>20235854</v>
      </c>
      <c r="E3042" t="s">
        <v>11127</v>
      </c>
      <c r="F3042" s="1">
        <v>45034</v>
      </c>
      <c r="G3042" t="str">
        <f>"300354"</f>
        <v>300354</v>
      </c>
      <c r="H3042" t="s">
        <v>3092</v>
      </c>
      <c r="I3042">
        <v>202617.58</v>
      </c>
    </row>
    <row r="3043" spans="1:9" x14ac:dyDescent="0.25">
      <c r="A3043" t="s">
        <v>9616</v>
      </c>
      <c r="C3043" t="s">
        <v>9617</v>
      </c>
      <c r="D3043" t="str">
        <f>"10148479"</f>
        <v>10148479</v>
      </c>
      <c r="E3043" t="s">
        <v>9189</v>
      </c>
      <c r="F3043" s="1">
        <v>45036</v>
      </c>
      <c r="G3043" t="str">
        <f>"300115"</f>
        <v>300115</v>
      </c>
      <c r="H3043" t="s">
        <v>2938</v>
      </c>
      <c r="I3043">
        <v>292171.20130000002</v>
      </c>
    </row>
    <row r="3044" spans="1:9" x14ac:dyDescent="0.25">
      <c r="A3044" t="s">
        <v>9616</v>
      </c>
      <c r="C3044" t="s">
        <v>9617</v>
      </c>
      <c r="D3044" t="str">
        <f>"10148505"</f>
        <v>10148505</v>
      </c>
      <c r="E3044" t="s">
        <v>10844</v>
      </c>
      <c r="F3044" s="1">
        <v>45037</v>
      </c>
      <c r="G3044" t="str">
        <f>"300115"</f>
        <v>300115</v>
      </c>
      <c r="H3044" t="s">
        <v>2938</v>
      </c>
      <c r="I3044">
        <v>139157.24679999999</v>
      </c>
    </row>
    <row r="3045" spans="1:9" x14ac:dyDescent="0.25">
      <c r="A3045" t="s">
        <v>9616</v>
      </c>
      <c r="C3045" t="s">
        <v>9617</v>
      </c>
      <c r="D3045" t="str">
        <f>"10148529"</f>
        <v>10148529</v>
      </c>
      <c r="E3045" t="s">
        <v>9640</v>
      </c>
      <c r="F3045" s="1">
        <v>45040</v>
      </c>
      <c r="G3045" t="str">
        <f>"300115"</f>
        <v>300115</v>
      </c>
      <c r="H3045" t="s">
        <v>2938</v>
      </c>
      <c r="I3045">
        <v>213378.45759999999</v>
      </c>
    </row>
    <row r="3046" spans="1:9" x14ac:dyDescent="0.25">
      <c r="A3046" t="s">
        <v>9616</v>
      </c>
      <c r="C3046" t="s">
        <v>9617</v>
      </c>
      <c r="D3046" t="str">
        <f>"27558"</f>
        <v>27558</v>
      </c>
      <c r="E3046" s="4">
        <v>45231</v>
      </c>
      <c r="F3046" s="1">
        <v>45041</v>
      </c>
      <c r="G3046" t="str">
        <f>"300043"</f>
        <v>300043</v>
      </c>
      <c r="H3046" t="s">
        <v>2876</v>
      </c>
      <c r="I3046">
        <v>1150</v>
      </c>
    </row>
    <row r="3047" spans="1:9" x14ac:dyDescent="0.25">
      <c r="A3047" t="s">
        <v>9616</v>
      </c>
      <c r="C3047" t="s">
        <v>9617</v>
      </c>
      <c r="D3047" t="str">
        <f>"27579"</f>
        <v>27579</v>
      </c>
      <c r="E3047" s="4">
        <v>45261</v>
      </c>
      <c r="F3047" s="1">
        <v>45041</v>
      </c>
      <c r="G3047" t="str">
        <f>"300043"</f>
        <v>300043</v>
      </c>
      <c r="H3047" t="s">
        <v>2876</v>
      </c>
      <c r="I3047">
        <v>633</v>
      </c>
    </row>
    <row r="3048" spans="1:9" x14ac:dyDescent="0.25">
      <c r="A3048" t="s">
        <v>9616</v>
      </c>
      <c r="C3048" t="s">
        <v>9617</v>
      </c>
      <c r="D3048" t="str">
        <f>"240123"</f>
        <v>240123</v>
      </c>
      <c r="E3048" s="4">
        <v>45231</v>
      </c>
      <c r="F3048" s="1">
        <v>45041</v>
      </c>
      <c r="G3048" t="str">
        <f>"300101"</f>
        <v>300101</v>
      </c>
      <c r="H3048" t="s">
        <v>2926</v>
      </c>
      <c r="I3048">
        <v>3622.41</v>
      </c>
    </row>
    <row r="3049" spans="1:9" x14ac:dyDescent="0.25">
      <c r="A3049" t="s">
        <v>9616</v>
      </c>
      <c r="C3049" t="s">
        <v>9617</v>
      </c>
      <c r="D3049" t="str">
        <f>"240223"</f>
        <v>240223</v>
      </c>
      <c r="E3049" s="4">
        <v>45261</v>
      </c>
      <c r="F3049" s="1">
        <v>45041</v>
      </c>
      <c r="G3049" t="str">
        <f>"300101"</f>
        <v>300101</v>
      </c>
      <c r="H3049" t="s">
        <v>2926</v>
      </c>
      <c r="I3049">
        <v>3464.25</v>
      </c>
    </row>
    <row r="3050" spans="1:9" x14ac:dyDescent="0.25">
      <c r="A3050" t="s">
        <v>9616</v>
      </c>
      <c r="C3050" t="s">
        <v>9617</v>
      </c>
      <c r="D3050" t="str">
        <f>"7531"</f>
        <v>7531</v>
      </c>
      <c r="F3050" s="1">
        <v>45042</v>
      </c>
      <c r="G3050" t="str">
        <f>"300043"</f>
        <v>300043</v>
      </c>
      <c r="H3050" t="s">
        <v>2876</v>
      </c>
      <c r="I3050">
        <v>4087</v>
      </c>
    </row>
    <row r="3051" spans="1:9" x14ac:dyDescent="0.25">
      <c r="A3051" t="s">
        <v>9616</v>
      </c>
      <c r="C3051" t="s">
        <v>9617</v>
      </c>
      <c r="D3051" t="str">
        <f>"28689"</f>
        <v>28689</v>
      </c>
      <c r="E3051" s="4">
        <v>45200</v>
      </c>
      <c r="F3051" s="1">
        <v>45044</v>
      </c>
      <c r="G3051" t="str">
        <f>"300043"</f>
        <v>300043</v>
      </c>
      <c r="H3051" t="s">
        <v>2876</v>
      </c>
      <c r="I3051">
        <v>884</v>
      </c>
    </row>
    <row r="3052" spans="1:9" x14ac:dyDescent="0.25">
      <c r="A3052" t="s">
        <v>9616</v>
      </c>
      <c r="C3052" t="s">
        <v>9617</v>
      </c>
      <c r="D3052" t="str">
        <f>"240023"</f>
        <v>240023</v>
      </c>
      <c r="E3052" s="4">
        <v>45200</v>
      </c>
      <c r="F3052" s="1">
        <v>45044</v>
      </c>
      <c r="G3052" t="str">
        <f>"300101"</f>
        <v>300101</v>
      </c>
      <c r="H3052" t="s">
        <v>2926</v>
      </c>
      <c r="I3052">
        <v>3147.93</v>
      </c>
    </row>
    <row r="3053" spans="1:9" x14ac:dyDescent="0.25">
      <c r="A3053" t="s">
        <v>9616</v>
      </c>
      <c r="C3053" t="s">
        <v>9617</v>
      </c>
      <c r="D3053" t="s">
        <v>11128</v>
      </c>
      <c r="E3053" t="s">
        <v>11129</v>
      </c>
      <c r="F3053" s="1">
        <v>45044</v>
      </c>
      <c r="G3053" t="str">
        <f>"300340"</f>
        <v>300340</v>
      </c>
      <c r="H3053" t="s">
        <v>3080</v>
      </c>
      <c r="I3053">
        <v>3274</v>
      </c>
    </row>
    <row r="3054" spans="1:9" x14ac:dyDescent="0.25">
      <c r="A3054" t="s">
        <v>9616</v>
      </c>
      <c r="C3054" t="s">
        <v>9617</v>
      </c>
      <c r="D3054" t="str">
        <f>"202303267"</f>
        <v>202303267</v>
      </c>
      <c r="E3054" t="s">
        <v>11130</v>
      </c>
      <c r="F3054" s="1">
        <v>45045</v>
      </c>
      <c r="G3054" t="str">
        <f>"300191"</f>
        <v>300191</v>
      </c>
      <c r="H3054" t="s">
        <v>3008</v>
      </c>
      <c r="I3054">
        <v>4253.91</v>
      </c>
    </row>
    <row r="3055" spans="1:9" x14ac:dyDescent="0.25">
      <c r="A3055" t="s">
        <v>9616</v>
      </c>
      <c r="C3055" t="s">
        <v>9617</v>
      </c>
      <c r="D3055" t="str">
        <f>"8130"</f>
        <v>8130</v>
      </c>
      <c r="F3055" s="1">
        <v>45049</v>
      </c>
      <c r="G3055" t="str">
        <f>"300043"</f>
        <v>300043</v>
      </c>
      <c r="H3055" t="s">
        <v>2876</v>
      </c>
      <c r="I3055">
        <v>3420</v>
      </c>
    </row>
    <row r="3056" spans="1:9" x14ac:dyDescent="0.25">
      <c r="A3056" t="s">
        <v>9616</v>
      </c>
      <c r="C3056" t="s">
        <v>9617</v>
      </c>
      <c r="D3056" t="str">
        <f>"10148711"</f>
        <v>10148711</v>
      </c>
      <c r="E3056" t="s">
        <v>9189</v>
      </c>
      <c r="F3056" s="1">
        <v>45049</v>
      </c>
      <c r="G3056" t="str">
        <f>"300115"</f>
        <v>300115</v>
      </c>
      <c r="H3056" t="s">
        <v>2938</v>
      </c>
      <c r="I3056">
        <v>396020.98800000001</v>
      </c>
    </row>
    <row r="3057" spans="1:9" x14ac:dyDescent="0.25">
      <c r="A3057" t="s">
        <v>9616</v>
      </c>
      <c r="C3057" t="s">
        <v>9617</v>
      </c>
      <c r="D3057" t="str">
        <f>"10148712"</f>
        <v>10148712</v>
      </c>
      <c r="E3057" t="s">
        <v>9189</v>
      </c>
      <c r="F3057" s="1">
        <v>45049</v>
      </c>
      <c r="G3057" t="str">
        <f>"300115"</f>
        <v>300115</v>
      </c>
      <c r="H3057" t="s">
        <v>2938</v>
      </c>
      <c r="I3057">
        <v>396020.98800000001</v>
      </c>
    </row>
    <row r="3058" spans="1:9" x14ac:dyDescent="0.25">
      <c r="A3058" t="s">
        <v>9616</v>
      </c>
      <c r="C3058" t="s">
        <v>9617</v>
      </c>
      <c r="D3058" t="s">
        <v>11131</v>
      </c>
      <c r="E3058" t="s">
        <v>11132</v>
      </c>
      <c r="F3058" s="1">
        <v>45049</v>
      </c>
      <c r="G3058" t="str">
        <f>"300321"</f>
        <v>300321</v>
      </c>
      <c r="H3058" t="s">
        <v>2706</v>
      </c>
      <c r="I3058">
        <v>19000</v>
      </c>
    </row>
    <row r="3059" spans="1:9" x14ac:dyDescent="0.25">
      <c r="A3059" t="s">
        <v>9616</v>
      </c>
      <c r="C3059" t="s">
        <v>9617</v>
      </c>
      <c r="D3059" t="s">
        <v>11133</v>
      </c>
      <c r="E3059" t="s">
        <v>11134</v>
      </c>
      <c r="F3059" s="1">
        <v>45049</v>
      </c>
      <c r="G3059" t="str">
        <f>"300321"</f>
        <v>300321</v>
      </c>
      <c r="H3059" t="s">
        <v>2706</v>
      </c>
      <c r="I3059">
        <v>19000</v>
      </c>
    </row>
    <row r="3060" spans="1:9" x14ac:dyDescent="0.25">
      <c r="A3060" t="s">
        <v>9616</v>
      </c>
      <c r="C3060" t="s">
        <v>9617</v>
      </c>
      <c r="D3060" t="str">
        <f>"29975"</f>
        <v>29975</v>
      </c>
      <c r="E3060" t="s">
        <v>11134</v>
      </c>
      <c r="F3060" s="1">
        <v>45050</v>
      </c>
      <c r="G3060" t="str">
        <f>"300043"</f>
        <v>300043</v>
      </c>
      <c r="H3060" t="s">
        <v>2876</v>
      </c>
      <c r="I3060">
        <v>1533</v>
      </c>
    </row>
    <row r="3061" spans="1:9" x14ac:dyDescent="0.25">
      <c r="A3061" t="s">
        <v>9616</v>
      </c>
      <c r="C3061" t="s">
        <v>9617</v>
      </c>
      <c r="D3061" t="str">
        <f>"29987"</f>
        <v>29987</v>
      </c>
      <c r="E3061" t="s">
        <v>11132</v>
      </c>
      <c r="F3061" s="1">
        <v>45050</v>
      </c>
      <c r="G3061" t="str">
        <f>"300043"</f>
        <v>300043</v>
      </c>
      <c r="H3061" t="s">
        <v>2876</v>
      </c>
      <c r="I3061">
        <v>1533</v>
      </c>
    </row>
    <row r="3062" spans="1:9" x14ac:dyDescent="0.25">
      <c r="A3062" t="s">
        <v>9616</v>
      </c>
      <c r="C3062" t="s">
        <v>9617</v>
      </c>
      <c r="D3062" t="str">
        <f>"10148758"</f>
        <v>10148758</v>
      </c>
      <c r="E3062" t="s">
        <v>9189</v>
      </c>
      <c r="F3062" s="1">
        <v>45050</v>
      </c>
      <c r="G3062" t="str">
        <f>"300115"</f>
        <v>300115</v>
      </c>
      <c r="H3062" t="s">
        <v>2938</v>
      </c>
      <c r="I3062">
        <v>396020.98800000001</v>
      </c>
    </row>
    <row r="3063" spans="1:9" x14ac:dyDescent="0.25">
      <c r="A3063" t="s">
        <v>9616</v>
      </c>
      <c r="C3063" t="s">
        <v>9617</v>
      </c>
      <c r="D3063" t="str">
        <f>"100009738"</f>
        <v>100009738</v>
      </c>
      <c r="E3063" t="s">
        <v>10152</v>
      </c>
      <c r="F3063" s="1">
        <v>45050</v>
      </c>
      <c r="G3063" t="str">
        <f>"300226"</f>
        <v>300226</v>
      </c>
      <c r="H3063" t="s">
        <v>3025</v>
      </c>
      <c r="I3063">
        <v>339427.44</v>
      </c>
    </row>
    <row r="3064" spans="1:9" x14ac:dyDescent="0.25">
      <c r="A3064" t="s">
        <v>9616</v>
      </c>
      <c r="C3064" t="s">
        <v>9617</v>
      </c>
      <c r="D3064" t="s">
        <v>11135</v>
      </c>
      <c r="E3064" t="s">
        <v>11136</v>
      </c>
      <c r="F3064" s="1">
        <v>45050</v>
      </c>
      <c r="G3064" t="str">
        <f>"300321"</f>
        <v>300321</v>
      </c>
      <c r="H3064" t="s">
        <v>2706</v>
      </c>
      <c r="I3064">
        <v>19000</v>
      </c>
    </row>
    <row r="3065" spans="1:9" x14ac:dyDescent="0.25">
      <c r="A3065" t="s">
        <v>9616</v>
      </c>
      <c r="C3065" t="s">
        <v>9617</v>
      </c>
      <c r="D3065" t="str">
        <f>"10148762"</f>
        <v>10148762</v>
      </c>
      <c r="E3065" t="s">
        <v>9189</v>
      </c>
      <c r="F3065" s="1">
        <v>45051</v>
      </c>
      <c r="G3065" t="str">
        <f>"300115"</f>
        <v>300115</v>
      </c>
      <c r="H3065" t="s">
        <v>2938</v>
      </c>
      <c r="I3065">
        <v>396020.98800000001</v>
      </c>
    </row>
    <row r="3066" spans="1:9" x14ac:dyDescent="0.25">
      <c r="A3066" t="s">
        <v>9616</v>
      </c>
      <c r="C3066" t="s">
        <v>9617</v>
      </c>
      <c r="D3066" t="s">
        <v>11137</v>
      </c>
      <c r="E3066" t="s">
        <v>11138</v>
      </c>
      <c r="F3066" s="1">
        <v>45051</v>
      </c>
      <c r="G3066" t="str">
        <f>"300321"</f>
        <v>300321</v>
      </c>
      <c r="H3066" t="s">
        <v>2706</v>
      </c>
      <c r="I3066">
        <v>19000</v>
      </c>
    </row>
    <row r="3067" spans="1:9" x14ac:dyDescent="0.25">
      <c r="A3067" t="s">
        <v>9616</v>
      </c>
      <c r="C3067" t="s">
        <v>9617</v>
      </c>
      <c r="D3067" t="str">
        <f>"2038"</f>
        <v>2038</v>
      </c>
      <c r="E3067" t="s">
        <v>11129</v>
      </c>
      <c r="F3067" s="1">
        <v>45052</v>
      </c>
      <c r="G3067" t="str">
        <f>"300043"</f>
        <v>300043</v>
      </c>
      <c r="H3067" t="s">
        <v>2876</v>
      </c>
      <c r="I3067">
        <v>3459</v>
      </c>
    </row>
    <row r="3068" spans="1:9" x14ac:dyDescent="0.25">
      <c r="A3068" t="s">
        <v>9616</v>
      </c>
      <c r="C3068" t="s">
        <v>9617</v>
      </c>
      <c r="D3068" t="str">
        <f>"20230808"</f>
        <v>20230808</v>
      </c>
      <c r="E3068" t="s">
        <v>11139</v>
      </c>
      <c r="F3068" s="1">
        <v>45053</v>
      </c>
      <c r="G3068" t="str">
        <f>"300357"</f>
        <v>300357</v>
      </c>
      <c r="H3068" t="s">
        <v>3095</v>
      </c>
      <c r="I3068">
        <v>20312.88</v>
      </c>
    </row>
    <row r="3069" spans="1:9" x14ac:dyDescent="0.25">
      <c r="A3069" t="s">
        <v>9616</v>
      </c>
      <c r="C3069" t="s">
        <v>9617</v>
      </c>
      <c r="D3069" t="str">
        <f>"30643"</f>
        <v>30643</v>
      </c>
      <c r="E3069" t="s">
        <v>11138</v>
      </c>
      <c r="F3069" s="1">
        <v>45054</v>
      </c>
      <c r="G3069" t="str">
        <f>"300043"</f>
        <v>300043</v>
      </c>
      <c r="H3069" t="s">
        <v>2876</v>
      </c>
      <c r="I3069">
        <v>1528</v>
      </c>
    </row>
    <row r="3070" spans="1:9" x14ac:dyDescent="0.25">
      <c r="A3070" t="s">
        <v>9616</v>
      </c>
      <c r="C3070" t="s">
        <v>9617</v>
      </c>
      <c r="D3070" t="str">
        <f>"30732"</f>
        <v>30732</v>
      </c>
      <c r="E3070" t="s">
        <v>11136</v>
      </c>
      <c r="F3070" s="1">
        <v>45054</v>
      </c>
      <c r="G3070" t="str">
        <f>"300043"</f>
        <v>300043</v>
      </c>
      <c r="H3070" t="s">
        <v>2876</v>
      </c>
      <c r="I3070">
        <v>1528</v>
      </c>
    </row>
    <row r="3071" spans="1:9" x14ac:dyDescent="0.25">
      <c r="A3071" t="s">
        <v>9616</v>
      </c>
      <c r="C3071" t="s">
        <v>9617</v>
      </c>
      <c r="D3071" t="str">
        <f>"20013826"</f>
        <v>20013826</v>
      </c>
      <c r="E3071" t="s">
        <v>1313</v>
      </c>
      <c r="F3071" s="1">
        <v>45054</v>
      </c>
      <c r="G3071" t="str">
        <f>"300115"</f>
        <v>300115</v>
      </c>
      <c r="H3071" t="s">
        <v>2938</v>
      </c>
      <c r="I3071">
        <v>2227.5</v>
      </c>
    </row>
    <row r="3072" spans="1:9" x14ac:dyDescent="0.25">
      <c r="A3072" t="s">
        <v>9616</v>
      </c>
      <c r="C3072" t="s">
        <v>9617</v>
      </c>
      <c r="D3072" t="s">
        <v>11140</v>
      </c>
      <c r="E3072" t="s">
        <v>9565</v>
      </c>
      <c r="F3072" s="1">
        <v>45054</v>
      </c>
      <c r="G3072" t="str">
        <f>"300133"</f>
        <v>300133</v>
      </c>
      <c r="H3072" t="s">
        <v>2955</v>
      </c>
      <c r="I3072">
        <v>46361.7</v>
      </c>
    </row>
    <row r="3073" spans="1:9" x14ac:dyDescent="0.25">
      <c r="A3073" t="s">
        <v>9616</v>
      </c>
      <c r="C3073" t="s">
        <v>9617</v>
      </c>
      <c r="D3073" t="str">
        <f>"202303439"</f>
        <v>202303439</v>
      </c>
      <c r="E3073" t="s">
        <v>11134</v>
      </c>
      <c r="F3073" s="1">
        <v>45054</v>
      </c>
      <c r="G3073" t="str">
        <f>"300191"</f>
        <v>300191</v>
      </c>
      <c r="H3073" t="s">
        <v>3008</v>
      </c>
      <c r="I3073">
        <v>3359.43</v>
      </c>
    </row>
    <row r="3074" spans="1:9" x14ac:dyDescent="0.25">
      <c r="A3074" t="s">
        <v>9616</v>
      </c>
      <c r="C3074" t="s">
        <v>9617</v>
      </c>
      <c r="D3074" t="str">
        <f>"202303463"</f>
        <v>202303463</v>
      </c>
      <c r="E3074" t="s">
        <v>11132</v>
      </c>
      <c r="F3074" s="1">
        <v>45054</v>
      </c>
      <c r="G3074" t="str">
        <f>"300191"</f>
        <v>300191</v>
      </c>
      <c r="H3074" t="s">
        <v>3008</v>
      </c>
      <c r="I3074">
        <v>3201.27</v>
      </c>
    </row>
    <row r="3075" spans="1:9" x14ac:dyDescent="0.25">
      <c r="A3075" t="s">
        <v>9616</v>
      </c>
      <c r="C3075" t="s">
        <v>9617</v>
      </c>
      <c r="D3075" t="str">
        <f>"10148858"</f>
        <v>10148858</v>
      </c>
      <c r="E3075" t="s">
        <v>9341</v>
      </c>
      <c r="F3075" s="1">
        <v>45055</v>
      </c>
      <c r="G3075" t="str">
        <f>"300115"</f>
        <v>300115</v>
      </c>
      <c r="H3075" t="s">
        <v>2938</v>
      </c>
      <c r="I3075">
        <v>431145.23100000003</v>
      </c>
    </row>
    <row r="3076" spans="1:9" x14ac:dyDescent="0.25">
      <c r="A3076" t="s">
        <v>9616</v>
      </c>
      <c r="C3076" t="s">
        <v>9617</v>
      </c>
      <c r="D3076" t="s">
        <v>11141</v>
      </c>
      <c r="E3076" t="s">
        <v>11142</v>
      </c>
      <c r="F3076" s="1">
        <v>45055</v>
      </c>
      <c r="G3076" t="str">
        <f>"300321"</f>
        <v>300321</v>
      </c>
      <c r="H3076" t="s">
        <v>2706</v>
      </c>
      <c r="I3076">
        <v>18000</v>
      </c>
    </row>
    <row r="3077" spans="1:9" x14ac:dyDescent="0.25">
      <c r="A3077" t="s">
        <v>9616</v>
      </c>
      <c r="C3077" t="s">
        <v>9617</v>
      </c>
      <c r="D3077" t="str">
        <f>"31550"</f>
        <v>31550</v>
      </c>
      <c r="E3077" t="s">
        <v>11142</v>
      </c>
      <c r="F3077" s="1">
        <v>45056</v>
      </c>
      <c r="G3077" t="str">
        <f>"300043"</f>
        <v>300043</v>
      </c>
      <c r="H3077" t="s">
        <v>2876</v>
      </c>
      <c r="I3077">
        <v>1641</v>
      </c>
    </row>
    <row r="3078" spans="1:9" x14ac:dyDescent="0.25">
      <c r="A3078" t="s">
        <v>9616</v>
      </c>
      <c r="C3078" t="s">
        <v>9617</v>
      </c>
      <c r="D3078" t="s">
        <v>11143</v>
      </c>
      <c r="E3078" t="s">
        <v>10092</v>
      </c>
      <c r="F3078" s="1">
        <v>45056</v>
      </c>
      <c r="G3078" t="str">
        <f>"300133"</f>
        <v>300133</v>
      </c>
      <c r="H3078" t="s">
        <v>2955</v>
      </c>
      <c r="I3078">
        <v>28800</v>
      </c>
    </row>
    <row r="3079" spans="1:9" x14ac:dyDescent="0.25">
      <c r="A3079" t="s">
        <v>9616</v>
      </c>
      <c r="C3079" t="s">
        <v>9617</v>
      </c>
      <c r="D3079" t="str">
        <f>"202303549"</f>
        <v>202303549</v>
      </c>
      <c r="E3079" t="s">
        <v>11138</v>
      </c>
      <c r="F3079" s="1">
        <v>45056</v>
      </c>
      <c r="G3079" t="str">
        <f>"300191"</f>
        <v>300191</v>
      </c>
      <c r="H3079" t="s">
        <v>3008</v>
      </c>
      <c r="I3079">
        <v>3359.43</v>
      </c>
    </row>
    <row r="3080" spans="1:9" x14ac:dyDescent="0.25">
      <c r="A3080" t="s">
        <v>9616</v>
      </c>
      <c r="C3080" t="s">
        <v>9617</v>
      </c>
      <c r="D3080" t="str">
        <f>"202303557"</f>
        <v>202303557</v>
      </c>
      <c r="E3080" t="s">
        <v>11136</v>
      </c>
      <c r="F3080" s="1">
        <v>45056</v>
      </c>
      <c r="G3080" t="str">
        <f>"300191"</f>
        <v>300191</v>
      </c>
      <c r="H3080" t="s">
        <v>3008</v>
      </c>
      <c r="I3080">
        <v>3697.5</v>
      </c>
    </row>
    <row r="3081" spans="1:9" x14ac:dyDescent="0.25">
      <c r="A3081" t="s">
        <v>9616</v>
      </c>
      <c r="C3081" t="s">
        <v>9617</v>
      </c>
      <c r="D3081" t="str">
        <f>"230011953"</f>
        <v>230011953</v>
      </c>
      <c r="F3081" s="1">
        <v>45056</v>
      </c>
      <c r="G3081" t="str">
        <f>"300344"</f>
        <v>300344</v>
      </c>
      <c r="H3081" t="s">
        <v>3084</v>
      </c>
      <c r="I3081">
        <v>318463.86</v>
      </c>
    </row>
    <row r="3082" spans="1:9" x14ac:dyDescent="0.25">
      <c r="A3082" t="s">
        <v>9616</v>
      </c>
      <c r="C3082" t="s">
        <v>9617</v>
      </c>
      <c r="D3082" t="str">
        <f>"10148934"</f>
        <v>10148934</v>
      </c>
      <c r="E3082" t="s">
        <v>11144</v>
      </c>
      <c r="F3082" s="1">
        <v>45057</v>
      </c>
      <c r="G3082" t="str">
        <f>"300115"</f>
        <v>300115</v>
      </c>
      <c r="H3082" t="s">
        <v>2938</v>
      </c>
      <c r="I3082">
        <v>139772.75399999999</v>
      </c>
    </row>
    <row r="3083" spans="1:9" x14ac:dyDescent="0.25">
      <c r="A3083" t="s">
        <v>9616</v>
      </c>
      <c r="C3083" t="s">
        <v>9617</v>
      </c>
      <c r="D3083" t="str">
        <f>"202303636"</f>
        <v>202303636</v>
      </c>
      <c r="E3083" t="s">
        <v>11142</v>
      </c>
      <c r="F3083" s="1">
        <v>45058</v>
      </c>
      <c r="G3083" t="str">
        <f>"300191"</f>
        <v>300191</v>
      </c>
      <c r="H3083" t="s">
        <v>3008</v>
      </c>
      <c r="I3083">
        <v>3223.02</v>
      </c>
    </row>
    <row r="3084" spans="1:9" x14ac:dyDescent="0.25">
      <c r="A3084" t="s">
        <v>9616</v>
      </c>
      <c r="C3084" t="s">
        <v>9617</v>
      </c>
      <c r="D3084" t="str">
        <f>"32736"</f>
        <v>32736</v>
      </c>
      <c r="E3084" t="s">
        <v>11145</v>
      </c>
      <c r="F3084" s="1">
        <v>45062</v>
      </c>
      <c r="G3084" t="str">
        <f>"300043"</f>
        <v>300043</v>
      </c>
      <c r="H3084" t="s">
        <v>2876</v>
      </c>
      <c r="I3084">
        <v>631</v>
      </c>
    </row>
    <row r="3085" spans="1:9" x14ac:dyDescent="0.25">
      <c r="A3085" t="s">
        <v>9616</v>
      </c>
      <c r="C3085" t="s">
        <v>9617</v>
      </c>
      <c r="D3085" t="str">
        <f>"250823"</f>
        <v>250823</v>
      </c>
      <c r="E3085" t="s">
        <v>11145</v>
      </c>
      <c r="F3085" s="1">
        <v>45062</v>
      </c>
      <c r="G3085" t="str">
        <f>"300101"</f>
        <v>300101</v>
      </c>
      <c r="H3085" t="s">
        <v>2926</v>
      </c>
      <c r="I3085">
        <v>3147.93</v>
      </c>
    </row>
    <row r="3086" spans="1:9" x14ac:dyDescent="0.25">
      <c r="A3086" t="s">
        <v>9616</v>
      </c>
      <c r="C3086" t="s">
        <v>9617</v>
      </c>
      <c r="D3086" t="str">
        <f>"251523"</f>
        <v>251523</v>
      </c>
      <c r="E3086" t="s">
        <v>11145</v>
      </c>
      <c r="F3086" s="1">
        <v>45064</v>
      </c>
      <c r="G3086" t="str">
        <f>"300101"</f>
        <v>300101</v>
      </c>
      <c r="H3086" t="s">
        <v>2926</v>
      </c>
      <c r="I3086">
        <v>158.16</v>
      </c>
    </row>
    <row r="3087" spans="1:9" x14ac:dyDescent="0.25">
      <c r="A3087" t="s">
        <v>9616</v>
      </c>
      <c r="C3087" t="s">
        <v>9617</v>
      </c>
      <c r="D3087" t="str">
        <f>"10149136"</f>
        <v>10149136</v>
      </c>
      <c r="E3087" t="s">
        <v>9189</v>
      </c>
      <c r="F3087" s="1">
        <v>45064</v>
      </c>
      <c r="G3087" t="str">
        <f>"300115"</f>
        <v>300115</v>
      </c>
      <c r="H3087" t="s">
        <v>2938</v>
      </c>
      <c r="I3087">
        <v>375590.0148</v>
      </c>
    </row>
    <row r="3088" spans="1:9" x14ac:dyDescent="0.25">
      <c r="A3088" t="s">
        <v>9616</v>
      </c>
      <c r="C3088" t="s">
        <v>9617</v>
      </c>
      <c r="D3088" t="s">
        <v>11146</v>
      </c>
      <c r="E3088" t="s">
        <v>11147</v>
      </c>
      <c r="F3088" s="1">
        <v>45064</v>
      </c>
      <c r="G3088" t="str">
        <f>"300321"</f>
        <v>300321</v>
      </c>
      <c r="H3088" t="s">
        <v>2706</v>
      </c>
      <c r="I3088">
        <v>19000</v>
      </c>
    </row>
    <row r="3089" spans="1:9" x14ac:dyDescent="0.25">
      <c r="A3089" t="s">
        <v>9616</v>
      </c>
      <c r="C3089" t="s">
        <v>9617</v>
      </c>
      <c r="D3089" t="str">
        <f>"10149171"</f>
        <v>10149171</v>
      </c>
      <c r="E3089" t="s">
        <v>9189</v>
      </c>
      <c r="F3089" s="1">
        <v>45065</v>
      </c>
      <c r="G3089" t="str">
        <f>"300115"</f>
        <v>300115</v>
      </c>
      <c r="H3089" t="s">
        <v>2938</v>
      </c>
      <c r="I3089">
        <v>396070.88400000002</v>
      </c>
    </row>
    <row r="3090" spans="1:9" x14ac:dyDescent="0.25">
      <c r="A3090" t="s">
        <v>9616</v>
      </c>
      <c r="C3090" t="s">
        <v>9617</v>
      </c>
      <c r="D3090" t="s">
        <v>11148</v>
      </c>
      <c r="E3090" t="s">
        <v>11149</v>
      </c>
      <c r="F3090" s="1">
        <v>45065</v>
      </c>
      <c r="G3090" t="str">
        <f>"300321"</f>
        <v>300321</v>
      </c>
      <c r="H3090" t="s">
        <v>2706</v>
      </c>
      <c r="I3090">
        <v>19000</v>
      </c>
    </row>
    <row r="3091" spans="1:9" x14ac:dyDescent="0.25">
      <c r="A3091" t="s">
        <v>9616</v>
      </c>
      <c r="C3091" t="s">
        <v>9617</v>
      </c>
      <c r="D3091" t="str">
        <f>"9337"</f>
        <v>9337</v>
      </c>
      <c r="F3091" s="1">
        <v>45068</v>
      </c>
      <c r="G3091" t="str">
        <f>"300043"</f>
        <v>300043</v>
      </c>
      <c r="H3091" t="s">
        <v>2876</v>
      </c>
      <c r="I3091">
        <v>4025</v>
      </c>
    </row>
    <row r="3092" spans="1:9" x14ac:dyDescent="0.25">
      <c r="A3092" t="s">
        <v>9616</v>
      </c>
      <c r="C3092" t="s">
        <v>9617</v>
      </c>
      <c r="D3092" t="str">
        <f>"34523"</f>
        <v>34523</v>
      </c>
      <c r="E3092" t="s">
        <v>11147</v>
      </c>
      <c r="F3092" s="1">
        <v>45068</v>
      </c>
      <c r="G3092" t="str">
        <f>"300043"</f>
        <v>300043</v>
      </c>
      <c r="H3092" t="s">
        <v>2876</v>
      </c>
      <c r="I3092">
        <v>1370</v>
      </c>
    </row>
    <row r="3093" spans="1:9" x14ac:dyDescent="0.25">
      <c r="A3093" t="s">
        <v>9616</v>
      </c>
      <c r="C3093" t="s">
        <v>9617</v>
      </c>
      <c r="D3093" t="str">
        <f>"10149241"</f>
        <v>10149241</v>
      </c>
      <c r="E3093" t="s">
        <v>9189</v>
      </c>
      <c r="F3093" s="1">
        <v>45069</v>
      </c>
      <c r="G3093" t="str">
        <f>"300115"</f>
        <v>300115</v>
      </c>
      <c r="H3093" t="s">
        <v>2938</v>
      </c>
      <c r="I3093">
        <v>375589.21399999998</v>
      </c>
    </row>
    <row r="3094" spans="1:9" x14ac:dyDescent="0.25">
      <c r="A3094" t="s">
        <v>9616</v>
      </c>
      <c r="C3094" t="s">
        <v>9617</v>
      </c>
      <c r="D3094" t="str">
        <f>"202303999"</f>
        <v>202303999</v>
      </c>
      <c r="E3094" t="s">
        <v>11147</v>
      </c>
      <c r="F3094" s="1">
        <v>45069</v>
      </c>
      <c r="G3094" t="str">
        <f>"300191"</f>
        <v>300191</v>
      </c>
      <c r="H3094" t="s">
        <v>3008</v>
      </c>
      <c r="I3094">
        <v>3359.43</v>
      </c>
    </row>
    <row r="3095" spans="1:9" x14ac:dyDescent="0.25">
      <c r="A3095" t="s">
        <v>9616</v>
      </c>
      <c r="C3095" t="s">
        <v>9617</v>
      </c>
      <c r="D3095" t="s">
        <v>11150</v>
      </c>
      <c r="E3095" t="s">
        <v>11151</v>
      </c>
      <c r="F3095" s="1">
        <v>45069</v>
      </c>
      <c r="G3095" t="str">
        <f>"300321"</f>
        <v>300321</v>
      </c>
      <c r="H3095" t="s">
        <v>2706</v>
      </c>
      <c r="I3095">
        <v>19000</v>
      </c>
    </row>
    <row r="3096" spans="1:9" x14ac:dyDescent="0.25">
      <c r="A3096" t="s">
        <v>9616</v>
      </c>
      <c r="C3096" t="s">
        <v>9617</v>
      </c>
      <c r="D3096" t="str">
        <f>"230000473"</f>
        <v>230000473</v>
      </c>
      <c r="E3096" t="s">
        <v>10852</v>
      </c>
      <c r="F3096" s="1">
        <v>45069</v>
      </c>
      <c r="G3096" t="str">
        <f>"300344"</f>
        <v>300344</v>
      </c>
      <c r="H3096" t="s">
        <v>3084</v>
      </c>
      <c r="I3096">
        <v>70.14</v>
      </c>
    </row>
    <row r="3097" spans="1:9" x14ac:dyDescent="0.25">
      <c r="A3097" t="s">
        <v>9616</v>
      </c>
      <c r="C3097" t="s">
        <v>9617</v>
      </c>
      <c r="D3097" t="str">
        <f>"421201"</f>
        <v>421201</v>
      </c>
      <c r="E3097" t="s">
        <v>10914</v>
      </c>
      <c r="F3097" s="1">
        <v>45070</v>
      </c>
      <c r="G3097" t="str">
        <f>"300220"</f>
        <v>300220</v>
      </c>
      <c r="H3097" t="s">
        <v>2170</v>
      </c>
      <c r="I3097">
        <v>1255364.352</v>
      </c>
    </row>
    <row r="3098" spans="1:9" x14ac:dyDescent="0.25">
      <c r="A3098" t="s">
        <v>9616</v>
      </c>
      <c r="C3098" t="s">
        <v>9617</v>
      </c>
      <c r="D3098" t="str">
        <f>"421207"</f>
        <v>421207</v>
      </c>
      <c r="E3098" t="s">
        <v>10049</v>
      </c>
      <c r="F3098" s="1">
        <v>45070</v>
      </c>
      <c r="G3098" t="str">
        <f>"300220"</f>
        <v>300220</v>
      </c>
      <c r="H3098" t="s">
        <v>2170</v>
      </c>
      <c r="I3098">
        <v>1255364.352</v>
      </c>
    </row>
    <row r="3099" spans="1:9" x14ac:dyDescent="0.25">
      <c r="A3099" t="s">
        <v>9616</v>
      </c>
      <c r="C3099" t="s">
        <v>9617</v>
      </c>
      <c r="D3099" t="str">
        <f>"27292"</f>
        <v>27292</v>
      </c>
      <c r="E3099" t="s">
        <v>11130</v>
      </c>
      <c r="F3099" s="1">
        <v>45071</v>
      </c>
      <c r="G3099" t="str">
        <f>"300043"</f>
        <v>300043</v>
      </c>
      <c r="H3099" t="s">
        <v>2876</v>
      </c>
      <c r="I3099">
        <v>6191</v>
      </c>
    </row>
    <row r="3100" spans="1:9" x14ac:dyDescent="0.25">
      <c r="A3100" t="s">
        <v>9616</v>
      </c>
      <c r="C3100" t="s">
        <v>9617</v>
      </c>
      <c r="D3100" t="str">
        <f>"35091"</f>
        <v>35091</v>
      </c>
      <c r="E3100" t="s">
        <v>11149</v>
      </c>
      <c r="F3100" s="1">
        <v>45071</v>
      </c>
      <c r="G3100" t="str">
        <f>"300043"</f>
        <v>300043</v>
      </c>
      <c r="H3100" t="s">
        <v>2876</v>
      </c>
      <c r="I3100">
        <v>1529</v>
      </c>
    </row>
    <row r="3101" spans="1:9" x14ac:dyDescent="0.25">
      <c r="A3101" t="s">
        <v>9616</v>
      </c>
      <c r="C3101" t="s">
        <v>9617</v>
      </c>
      <c r="D3101" t="str">
        <f>"35937"</f>
        <v>35937</v>
      </c>
      <c r="E3101" t="s">
        <v>11151</v>
      </c>
      <c r="F3101" s="1">
        <v>45071</v>
      </c>
      <c r="G3101" t="str">
        <f>"300043"</f>
        <v>300043</v>
      </c>
      <c r="H3101" t="s">
        <v>2876</v>
      </c>
      <c r="I3101">
        <v>1460</v>
      </c>
    </row>
    <row r="3102" spans="1:9" x14ac:dyDescent="0.25">
      <c r="A3102" t="s">
        <v>9616</v>
      </c>
      <c r="C3102" t="s">
        <v>9617</v>
      </c>
      <c r="D3102" t="str">
        <f>"10149279"</f>
        <v>10149279</v>
      </c>
      <c r="E3102" t="s">
        <v>9189</v>
      </c>
      <c r="F3102" s="1">
        <v>45071</v>
      </c>
      <c r="G3102" t="str">
        <f>"300115"</f>
        <v>300115</v>
      </c>
      <c r="H3102" t="s">
        <v>2938</v>
      </c>
      <c r="I3102">
        <v>375590.0148</v>
      </c>
    </row>
    <row r="3103" spans="1:9" x14ac:dyDescent="0.25">
      <c r="A3103" t="s">
        <v>9616</v>
      </c>
      <c r="C3103" t="s">
        <v>9617</v>
      </c>
      <c r="D3103" t="str">
        <f>"202304096"</f>
        <v>202304096</v>
      </c>
      <c r="E3103" t="s">
        <v>11149</v>
      </c>
      <c r="F3103" s="1">
        <v>45071</v>
      </c>
      <c r="G3103" t="str">
        <f>"300191"</f>
        <v>300191</v>
      </c>
      <c r="H3103" t="s">
        <v>3008</v>
      </c>
      <c r="I3103">
        <v>3859.43</v>
      </c>
    </row>
    <row r="3104" spans="1:9" x14ac:dyDescent="0.25">
      <c r="A3104" t="s">
        <v>9616</v>
      </c>
      <c r="C3104" t="s">
        <v>9617</v>
      </c>
      <c r="D3104" t="str">
        <f>"421276"</f>
        <v>421276</v>
      </c>
      <c r="E3104" t="s">
        <v>9191</v>
      </c>
      <c r="F3104" s="1">
        <v>45071</v>
      </c>
      <c r="G3104" t="str">
        <f>"300220"</f>
        <v>300220</v>
      </c>
      <c r="H3104" t="s">
        <v>2170</v>
      </c>
      <c r="I3104">
        <v>945069.554</v>
      </c>
    </row>
    <row r="3105" spans="1:9" x14ac:dyDescent="0.25">
      <c r="A3105" t="s">
        <v>9616</v>
      </c>
      <c r="C3105" t="s">
        <v>9617</v>
      </c>
      <c r="D3105" t="s">
        <v>11152</v>
      </c>
      <c r="E3105" t="s">
        <v>11153</v>
      </c>
      <c r="F3105" s="1">
        <v>45071</v>
      </c>
      <c r="G3105" t="str">
        <f>"300321"</f>
        <v>300321</v>
      </c>
      <c r="H3105" t="s">
        <v>2706</v>
      </c>
      <c r="I3105">
        <v>19000</v>
      </c>
    </row>
    <row r="3106" spans="1:9" x14ac:dyDescent="0.25">
      <c r="A3106" t="s">
        <v>9616</v>
      </c>
      <c r="C3106" t="s">
        <v>9617</v>
      </c>
      <c r="D3106" t="str">
        <f>"9698"</f>
        <v>9698</v>
      </c>
      <c r="F3106" s="1">
        <v>45072</v>
      </c>
      <c r="G3106" t="str">
        <f>"300043"</f>
        <v>300043</v>
      </c>
      <c r="H3106" t="s">
        <v>2876</v>
      </c>
      <c r="I3106">
        <v>4703</v>
      </c>
    </row>
    <row r="3107" spans="1:9" x14ac:dyDescent="0.25">
      <c r="A3107" t="s">
        <v>9616</v>
      </c>
      <c r="C3107" t="s">
        <v>9617</v>
      </c>
      <c r="D3107" t="str">
        <f>"36338"</f>
        <v>36338</v>
      </c>
      <c r="E3107" t="s">
        <v>11153</v>
      </c>
      <c r="F3107" s="1">
        <v>45072</v>
      </c>
      <c r="G3107" t="str">
        <f>"300043"</f>
        <v>300043</v>
      </c>
      <c r="H3107" t="s">
        <v>2876</v>
      </c>
      <c r="I3107">
        <v>1453</v>
      </c>
    </row>
    <row r="3108" spans="1:9" x14ac:dyDescent="0.25">
      <c r="A3108" t="s">
        <v>9616</v>
      </c>
      <c r="C3108" t="s">
        <v>9617</v>
      </c>
      <c r="D3108" t="s">
        <v>11154</v>
      </c>
      <c r="E3108" t="s">
        <v>9565</v>
      </c>
      <c r="F3108" s="1">
        <v>45072</v>
      </c>
      <c r="G3108" t="str">
        <f>"300133"</f>
        <v>300133</v>
      </c>
      <c r="H3108" t="s">
        <v>2955</v>
      </c>
      <c r="I3108">
        <v>46361.7</v>
      </c>
    </row>
    <row r="3109" spans="1:9" x14ac:dyDescent="0.25">
      <c r="A3109" t="s">
        <v>9616</v>
      </c>
      <c r="C3109" t="s">
        <v>9617</v>
      </c>
      <c r="D3109" t="s">
        <v>11155</v>
      </c>
      <c r="E3109" t="s">
        <v>10092</v>
      </c>
      <c r="F3109" s="1">
        <v>45072</v>
      </c>
      <c r="G3109" t="str">
        <f>"300133"</f>
        <v>300133</v>
      </c>
      <c r="H3109" t="s">
        <v>2955</v>
      </c>
      <c r="I3109">
        <v>26400</v>
      </c>
    </row>
    <row r="3110" spans="1:9" x14ac:dyDescent="0.25">
      <c r="A3110" t="s">
        <v>9616</v>
      </c>
      <c r="C3110" t="s">
        <v>9617</v>
      </c>
      <c r="D3110" t="str">
        <f>"202304168"</f>
        <v>202304168</v>
      </c>
      <c r="E3110" t="s">
        <v>11151</v>
      </c>
      <c r="F3110" s="1">
        <v>45075</v>
      </c>
      <c r="G3110" t="str">
        <f>"300191"</f>
        <v>300191</v>
      </c>
      <c r="H3110" t="s">
        <v>3008</v>
      </c>
      <c r="I3110">
        <v>3201.27</v>
      </c>
    </row>
    <row r="3111" spans="1:9" x14ac:dyDescent="0.25">
      <c r="A3111" t="s">
        <v>9616</v>
      </c>
      <c r="C3111" t="s">
        <v>9617</v>
      </c>
      <c r="D3111" t="str">
        <f>"202304183"</f>
        <v>202304183</v>
      </c>
      <c r="E3111" t="s">
        <v>11129</v>
      </c>
      <c r="F3111" s="1">
        <v>45075</v>
      </c>
      <c r="G3111" t="str">
        <f>"300191"</f>
        <v>300191</v>
      </c>
      <c r="H3111" t="s">
        <v>3008</v>
      </c>
      <c r="I3111">
        <v>5425.9</v>
      </c>
    </row>
    <row r="3112" spans="1:9" x14ac:dyDescent="0.25">
      <c r="A3112" t="s">
        <v>9616</v>
      </c>
      <c r="C3112" t="s">
        <v>9617</v>
      </c>
      <c r="D3112" t="str">
        <f>"123310337"</f>
        <v>123310337</v>
      </c>
      <c r="E3112" t="s">
        <v>9729</v>
      </c>
      <c r="F3112" s="1">
        <v>45076</v>
      </c>
      <c r="G3112" t="str">
        <f>"300080"</f>
        <v>300080</v>
      </c>
      <c r="H3112" t="s">
        <v>2907</v>
      </c>
      <c r="I3112">
        <v>47416.04</v>
      </c>
    </row>
    <row r="3113" spans="1:9" x14ac:dyDescent="0.25">
      <c r="A3113" t="s">
        <v>9616</v>
      </c>
      <c r="C3113" t="s">
        <v>9617</v>
      </c>
      <c r="D3113" t="str">
        <f>"202304259"</f>
        <v>202304259</v>
      </c>
      <c r="E3113" t="s">
        <v>11153</v>
      </c>
      <c r="F3113" s="1">
        <v>45077</v>
      </c>
      <c r="G3113" t="str">
        <f>"300191"</f>
        <v>300191</v>
      </c>
      <c r="H3113" t="s">
        <v>3008</v>
      </c>
      <c r="I3113">
        <v>3244.77</v>
      </c>
    </row>
    <row r="3114" spans="1:9" x14ac:dyDescent="0.25">
      <c r="A3114" t="s">
        <v>9616</v>
      </c>
      <c r="C3114" t="s">
        <v>9617</v>
      </c>
      <c r="D3114" t="str">
        <f>"421496"</f>
        <v>421496</v>
      </c>
      <c r="E3114" t="s">
        <v>9189</v>
      </c>
      <c r="F3114" s="1">
        <v>45077</v>
      </c>
      <c r="G3114" t="str">
        <f>"300220"</f>
        <v>300220</v>
      </c>
      <c r="H3114" t="s">
        <v>2170</v>
      </c>
      <c r="I3114">
        <v>1255285.0728</v>
      </c>
    </row>
    <row r="3115" spans="1:9" x14ac:dyDescent="0.25">
      <c r="A3115" t="s">
        <v>9616</v>
      </c>
      <c r="C3115" t="s">
        <v>9617</v>
      </c>
      <c r="D3115" t="str">
        <f>"10149495"</f>
        <v>10149495</v>
      </c>
      <c r="E3115" t="s">
        <v>9189</v>
      </c>
      <c r="F3115" s="1">
        <v>45078</v>
      </c>
      <c r="G3115" t="str">
        <f>"300115"</f>
        <v>300115</v>
      </c>
      <c r="H3115" t="s">
        <v>2938</v>
      </c>
      <c r="I3115">
        <v>375590.0148</v>
      </c>
    </row>
    <row r="3116" spans="1:9" x14ac:dyDescent="0.25">
      <c r="A3116" t="s">
        <v>9616</v>
      </c>
      <c r="C3116" t="s">
        <v>9617</v>
      </c>
      <c r="D3116" t="str">
        <f>"38094"</f>
        <v>38094</v>
      </c>
      <c r="E3116" t="s">
        <v>11156</v>
      </c>
      <c r="F3116" s="1">
        <v>45079</v>
      </c>
      <c r="G3116" t="str">
        <f>"300043"</f>
        <v>300043</v>
      </c>
      <c r="H3116" t="s">
        <v>2876</v>
      </c>
      <c r="I3116">
        <v>1443</v>
      </c>
    </row>
    <row r="3117" spans="1:9" x14ac:dyDescent="0.25">
      <c r="A3117" t="s">
        <v>9616</v>
      </c>
      <c r="C3117" t="s">
        <v>9617</v>
      </c>
      <c r="D3117" t="s">
        <v>11157</v>
      </c>
      <c r="E3117" t="s">
        <v>11156</v>
      </c>
      <c r="F3117" s="1">
        <v>45079</v>
      </c>
      <c r="G3117" t="str">
        <f>"300321"</f>
        <v>300321</v>
      </c>
      <c r="H3117" t="s">
        <v>2706</v>
      </c>
      <c r="I3117">
        <v>19000</v>
      </c>
    </row>
    <row r="3118" spans="1:9" x14ac:dyDescent="0.25">
      <c r="A3118" t="s">
        <v>9616</v>
      </c>
      <c r="C3118" t="s">
        <v>9617</v>
      </c>
      <c r="D3118" t="str">
        <f>"66510"</f>
        <v>66510</v>
      </c>
      <c r="E3118" t="s">
        <v>11158</v>
      </c>
      <c r="F3118" s="1">
        <v>45082</v>
      </c>
      <c r="G3118" t="str">
        <f>"300043"</f>
        <v>300043</v>
      </c>
      <c r="H3118" t="s">
        <v>2876</v>
      </c>
      <c r="I3118">
        <v>1212</v>
      </c>
    </row>
    <row r="3119" spans="1:9" x14ac:dyDescent="0.25">
      <c r="A3119" t="s">
        <v>9616</v>
      </c>
      <c r="C3119" t="s">
        <v>9617</v>
      </c>
      <c r="D3119" t="str">
        <f>"202304392"</f>
        <v>202304392</v>
      </c>
      <c r="E3119" t="s">
        <v>11156</v>
      </c>
      <c r="F3119" s="1">
        <v>45082</v>
      </c>
      <c r="G3119" t="str">
        <f>"300191"</f>
        <v>300191</v>
      </c>
      <c r="H3119" t="s">
        <v>3008</v>
      </c>
      <c r="I3119">
        <v>3223.02</v>
      </c>
    </row>
    <row r="3120" spans="1:9" x14ac:dyDescent="0.25">
      <c r="A3120" t="s">
        <v>9616</v>
      </c>
      <c r="C3120" t="s">
        <v>9617</v>
      </c>
      <c r="D3120" t="str">
        <f>"50105"</f>
        <v>50105</v>
      </c>
      <c r="E3120" t="s">
        <v>11159</v>
      </c>
      <c r="F3120" s="1">
        <v>45083</v>
      </c>
      <c r="G3120" t="str">
        <f>"300043"</f>
        <v>300043</v>
      </c>
      <c r="H3120" t="s">
        <v>2876</v>
      </c>
      <c r="I3120">
        <v>21555</v>
      </c>
    </row>
    <row r="3121" spans="1:9" x14ac:dyDescent="0.25">
      <c r="A3121" t="s">
        <v>9616</v>
      </c>
      <c r="C3121" t="s">
        <v>9617</v>
      </c>
      <c r="D3121" t="str">
        <f>"50574"</f>
        <v>50574</v>
      </c>
      <c r="E3121" t="s">
        <v>11139</v>
      </c>
      <c r="F3121" s="1">
        <v>45083</v>
      </c>
      <c r="G3121" t="str">
        <f>"300043"</f>
        <v>300043</v>
      </c>
      <c r="H3121" t="s">
        <v>2876</v>
      </c>
      <c r="I3121">
        <v>12982</v>
      </c>
    </row>
    <row r="3122" spans="1:9" x14ac:dyDescent="0.25">
      <c r="A3122" t="s">
        <v>9616</v>
      </c>
      <c r="C3122" t="s">
        <v>9617</v>
      </c>
      <c r="D3122" t="str">
        <f>"202304443"</f>
        <v>202304443</v>
      </c>
      <c r="E3122" t="s">
        <v>11158</v>
      </c>
      <c r="F3122" s="1">
        <v>45083</v>
      </c>
      <c r="G3122" t="str">
        <f>"300191"</f>
        <v>300191</v>
      </c>
      <c r="H3122" t="s">
        <v>3008</v>
      </c>
      <c r="I3122">
        <v>7960.67</v>
      </c>
    </row>
    <row r="3123" spans="1:9" x14ac:dyDescent="0.25">
      <c r="A3123" t="s">
        <v>9616</v>
      </c>
      <c r="C3123" t="s">
        <v>9617</v>
      </c>
      <c r="D3123" t="str">
        <f>"0354"</f>
        <v>0354</v>
      </c>
      <c r="F3123" s="1">
        <v>45084</v>
      </c>
      <c r="G3123" t="str">
        <f>"300043"</f>
        <v>300043</v>
      </c>
      <c r="H3123" t="s">
        <v>2876</v>
      </c>
      <c r="I3123">
        <v>4698</v>
      </c>
    </row>
    <row r="3124" spans="1:9" x14ac:dyDescent="0.25">
      <c r="A3124" t="s">
        <v>9616</v>
      </c>
      <c r="C3124" t="s">
        <v>9617</v>
      </c>
      <c r="D3124" t="s">
        <v>11160</v>
      </c>
      <c r="E3124" t="s">
        <v>9562</v>
      </c>
      <c r="F3124" s="1">
        <v>45084</v>
      </c>
      <c r="G3124" t="str">
        <f>"300133"</f>
        <v>300133</v>
      </c>
      <c r="H3124" t="s">
        <v>2955</v>
      </c>
      <c r="I3124">
        <v>69995.520000000004</v>
      </c>
    </row>
    <row r="3125" spans="1:9" x14ac:dyDescent="0.25">
      <c r="A3125" t="s">
        <v>9616</v>
      </c>
      <c r="C3125" t="s">
        <v>9617</v>
      </c>
      <c r="D3125" t="str">
        <f>"202304467"</f>
        <v>202304467</v>
      </c>
      <c r="E3125" t="s">
        <v>11159</v>
      </c>
      <c r="F3125" s="1">
        <v>45084</v>
      </c>
      <c r="G3125" t="str">
        <f>"300191"</f>
        <v>300191</v>
      </c>
      <c r="H3125" t="s">
        <v>3008</v>
      </c>
      <c r="I3125">
        <v>6533.06</v>
      </c>
    </row>
    <row r="3126" spans="1:9" x14ac:dyDescent="0.25">
      <c r="A3126" t="s">
        <v>9616</v>
      </c>
      <c r="C3126" t="s">
        <v>9617</v>
      </c>
      <c r="D3126" t="s">
        <v>11161</v>
      </c>
      <c r="E3126" t="s">
        <v>9562</v>
      </c>
      <c r="F3126" s="1">
        <v>45085</v>
      </c>
      <c r="G3126" t="str">
        <f>"300133"</f>
        <v>300133</v>
      </c>
      <c r="H3126" t="s">
        <v>2955</v>
      </c>
      <c r="I3126">
        <v>37100.160000000003</v>
      </c>
    </row>
    <row r="3127" spans="1:9" x14ac:dyDescent="0.25">
      <c r="A3127" t="s">
        <v>9616</v>
      </c>
      <c r="C3127" t="s">
        <v>9617</v>
      </c>
      <c r="D3127" t="str">
        <f>"202304492"</f>
        <v>202304492</v>
      </c>
      <c r="E3127" t="s">
        <v>11139</v>
      </c>
      <c r="F3127" s="1">
        <v>45085</v>
      </c>
      <c r="G3127" t="str">
        <f>"300191"</f>
        <v>300191</v>
      </c>
      <c r="H3127" t="s">
        <v>3008</v>
      </c>
      <c r="I3127">
        <v>2807.92</v>
      </c>
    </row>
    <row r="3128" spans="1:9" x14ac:dyDescent="0.25">
      <c r="A3128" t="s">
        <v>9616</v>
      </c>
      <c r="C3128" t="s">
        <v>9617</v>
      </c>
      <c r="D3128" t="str">
        <f>"48749"</f>
        <v>48749</v>
      </c>
      <c r="E3128" t="s">
        <v>11162</v>
      </c>
      <c r="F3128" s="1">
        <v>45086</v>
      </c>
      <c r="G3128" t="str">
        <f>"300043"</f>
        <v>300043</v>
      </c>
      <c r="H3128" t="s">
        <v>2876</v>
      </c>
      <c r="I3128">
        <v>1626</v>
      </c>
    </row>
    <row r="3129" spans="1:9" x14ac:dyDescent="0.25">
      <c r="A3129" t="s">
        <v>9616</v>
      </c>
      <c r="C3129" t="s">
        <v>9617</v>
      </c>
      <c r="D3129" t="str">
        <f>"0672"</f>
        <v>0672</v>
      </c>
      <c r="F3129" s="1">
        <v>45090</v>
      </c>
      <c r="G3129" t="str">
        <f>"300043"</f>
        <v>300043</v>
      </c>
      <c r="H3129" t="s">
        <v>2876</v>
      </c>
      <c r="I3129">
        <v>3360</v>
      </c>
    </row>
    <row r="3130" spans="1:9" x14ac:dyDescent="0.25">
      <c r="A3130" t="s">
        <v>9616</v>
      </c>
      <c r="C3130" t="s">
        <v>9617</v>
      </c>
      <c r="D3130" t="str">
        <f>"10149853"</f>
        <v>10149853</v>
      </c>
      <c r="E3130" t="s">
        <v>9189</v>
      </c>
      <c r="F3130" s="1">
        <v>45091</v>
      </c>
      <c r="G3130" t="str">
        <f>"300115"</f>
        <v>300115</v>
      </c>
      <c r="H3130" t="s">
        <v>2938</v>
      </c>
      <c r="I3130">
        <v>375590.0148</v>
      </c>
    </row>
    <row r="3131" spans="1:9" x14ac:dyDescent="0.25">
      <c r="A3131" t="s">
        <v>9616</v>
      </c>
      <c r="C3131" t="s">
        <v>9617</v>
      </c>
      <c r="D3131" t="str">
        <f>"202304687"</f>
        <v>202304687</v>
      </c>
      <c r="E3131" t="s">
        <v>11162</v>
      </c>
      <c r="F3131" s="1">
        <v>45091</v>
      </c>
      <c r="G3131" t="str">
        <f>"300191"</f>
        <v>300191</v>
      </c>
      <c r="H3131" t="s">
        <v>3008</v>
      </c>
      <c r="I3131">
        <v>6218.5</v>
      </c>
    </row>
    <row r="3132" spans="1:9" x14ac:dyDescent="0.25">
      <c r="A3132" t="s">
        <v>9616</v>
      </c>
      <c r="C3132" t="s">
        <v>9617</v>
      </c>
      <c r="D3132" t="s">
        <v>11163</v>
      </c>
      <c r="E3132" t="s">
        <v>11164</v>
      </c>
      <c r="F3132" s="1">
        <v>45091</v>
      </c>
      <c r="G3132" t="str">
        <f>"300321"</f>
        <v>300321</v>
      </c>
      <c r="H3132" t="s">
        <v>2706</v>
      </c>
      <c r="I3132">
        <v>19000</v>
      </c>
    </row>
    <row r="3133" spans="1:9" x14ac:dyDescent="0.25">
      <c r="A3133" t="s">
        <v>9616</v>
      </c>
      <c r="C3133" t="s">
        <v>9617</v>
      </c>
      <c r="D3133" t="str">
        <f>"42104"</f>
        <v>42104</v>
      </c>
      <c r="E3133" t="s">
        <v>11164</v>
      </c>
      <c r="F3133" s="1">
        <v>45092</v>
      </c>
      <c r="G3133" t="str">
        <f>"300043"</f>
        <v>300043</v>
      </c>
      <c r="H3133" t="s">
        <v>2876</v>
      </c>
      <c r="I3133">
        <v>1448</v>
      </c>
    </row>
    <row r="3134" spans="1:9" x14ac:dyDescent="0.25">
      <c r="A3134" t="s">
        <v>9616</v>
      </c>
      <c r="C3134" t="s">
        <v>9617</v>
      </c>
      <c r="D3134" t="str">
        <f>"72318"</f>
        <v>72318</v>
      </c>
      <c r="E3134" t="s">
        <v>11165</v>
      </c>
      <c r="F3134" s="1">
        <v>45092</v>
      </c>
      <c r="G3134" t="str">
        <f>"300043"</f>
        <v>300043</v>
      </c>
      <c r="H3134" t="s">
        <v>2876</v>
      </c>
      <c r="I3134">
        <v>3294</v>
      </c>
    </row>
    <row r="3135" spans="1:9" x14ac:dyDescent="0.25">
      <c r="A3135" t="s">
        <v>9616</v>
      </c>
      <c r="C3135" t="s">
        <v>9617</v>
      </c>
      <c r="D3135" t="str">
        <f>"10149885"</f>
        <v>10149885</v>
      </c>
      <c r="E3135" t="s">
        <v>1313</v>
      </c>
      <c r="F3135" s="1">
        <v>45092</v>
      </c>
      <c r="G3135" t="str">
        <f t="shared" ref="G3135:G3142" si="17">"300115"</f>
        <v>300115</v>
      </c>
      <c r="H3135" t="s">
        <v>2938</v>
      </c>
      <c r="I3135">
        <v>165420.288</v>
      </c>
    </row>
    <row r="3136" spans="1:9" x14ac:dyDescent="0.25">
      <c r="A3136" t="s">
        <v>9616</v>
      </c>
      <c r="C3136" t="s">
        <v>9617</v>
      </c>
      <c r="D3136" t="str">
        <f>"10149886"</f>
        <v>10149886</v>
      </c>
      <c r="E3136" t="s">
        <v>9189</v>
      </c>
      <c r="F3136" s="1">
        <v>45092</v>
      </c>
      <c r="G3136" t="str">
        <f t="shared" si="17"/>
        <v>300115</v>
      </c>
      <c r="H3136" t="s">
        <v>2938</v>
      </c>
      <c r="I3136">
        <v>375590.0148</v>
      </c>
    </row>
    <row r="3137" spans="1:9" x14ac:dyDescent="0.25">
      <c r="A3137" t="s">
        <v>9616</v>
      </c>
      <c r="C3137" t="s">
        <v>9617</v>
      </c>
      <c r="D3137" t="str">
        <f>"10149887"</f>
        <v>10149887</v>
      </c>
      <c r="E3137" t="s">
        <v>1928</v>
      </c>
      <c r="F3137" s="1">
        <v>45092</v>
      </c>
      <c r="G3137" t="str">
        <f t="shared" si="17"/>
        <v>300115</v>
      </c>
      <c r="H3137" t="s">
        <v>2938</v>
      </c>
      <c r="I3137">
        <v>134539.21799999999</v>
      </c>
    </row>
    <row r="3138" spans="1:9" x14ac:dyDescent="0.25">
      <c r="A3138" t="s">
        <v>9616</v>
      </c>
      <c r="C3138" t="s">
        <v>9617</v>
      </c>
      <c r="D3138" t="str">
        <f>"10149888"</f>
        <v>10149888</v>
      </c>
      <c r="E3138" t="s">
        <v>11166</v>
      </c>
      <c r="F3138" s="1">
        <v>45092</v>
      </c>
      <c r="G3138" t="str">
        <f t="shared" si="17"/>
        <v>300115</v>
      </c>
      <c r="H3138" t="s">
        <v>2938</v>
      </c>
      <c r="I3138">
        <v>134539.21799999999</v>
      </c>
    </row>
    <row r="3139" spans="1:9" x14ac:dyDescent="0.25">
      <c r="A3139" t="s">
        <v>9616</v>
      </c>
      <c r="C3139" t="s">
        <v>9617</v>
      </c>
      <c r="D3139" t="str">
        <f>"10149891"</f>
        <v>10149891</v>
      </c>
      <c r="E3139" t="s">
        <v>9189</v>
      </c>
      <c r="F3139" s="1">
        <v>45092</v>
      </c>
      <c r="G3139" t="str">
        <f t="shared" si="17"/>
        <v>300115</v>
      </c>
      <c r="H3139" t="s">
        <v>2938</v>
      </c>
      <c r="I3139">
        <v>396020.98800000001</v>
      </c>
    </row>
    <row r="3140" spans="1:9" x14ac:dyDescent="0.25">
      <c r="A3140" t="s">
        <v>9616</v>
      </c>
      <c r="C3140" t="s">
        <v>9617</v>
      </c>
      <c r="D3140" t="str">
        <f>"10149919"</f>
        <v>10149919</v>
      </c>
      <c r="E3140" t="s">
        <v>9189</v>
      </c>
      <c r="F3140" s="1">
        <v>45092</v>
      </c>
      <c r="G3140" t="str">
        <f t="shared" si="17"/>
        <v>300115</v>
      </c>
      <c r="H3140" t="s">
        <v>2938</v>
      </c>
      <c r="I3140">
        <v>375590.0148</v>
      </c>
    </row>
    <row r="3141" spans="1:9" x14ac:dyDescent="0.25">
      <c r="A3141" t="s">
        <v>9616</v>
      </c>
      <c r="C3141" t="s">
        <v>9617</v>
      </c>
      <c r="D3141" t="str">
        <f>"10149921"</f>
        <v>10149921</v>
      </c>
      <c r="E3141" t="s">
        <v>9189</v>
      </c>
      <c r="F3141" s="1">
        <v>45092</v>
      </c>
      <c r="G3141" t="str">
        <f t="shared" si="17"/>
        <v>300115</v>
      </c>
      <c r="H3141" t="s">
        <v>2938</v>
      </c>
      <c r="I3141">
        <v>396020.98800000001</v>
      </c>
    </row>
    <row r="3142" spans="1:9" x14ac:dyDescent="0.25">
      <c r="A3142" t="s">
        <v>9616</v>
      </c>
      <c r="C3142" t="s">
        <v>9617</v>
      </c>
      <c r="D3142" t="str">
        <f>"10149922"</f>
        <v>10149922</v>
      </c>
      <c r="E3142" t="s">
        <v>2640</v>
      </c>
      <c r="F3142" s="1">
        <v>45092</v>
      </c>
      <c r="G3142" t="str">
        <f t="shared" si="17"/>
        <v>300115</v>
      </c>
      <c r="H3142" t="s">
        <v>2938</v>
      </c>
      <c r="I3142">
        <v>396020.98800000001</v>
      </c>
    </row>
    <row r="3143" spans="1:9" x14ac:dyDescent="0.25">
      <c r="A3143" t="s">
        <v>9616</v>
      </c>
      <c r="C3143" t="s">
        <v>9617</v>
      </c>
      <c r="D3143" t="s">
        <v>11167</v>
      </c>
      <c r="E3143" t="s">
        <v>11168</v>
      </c>
      <c r="F3143" s="1">
        <v>45092</v>
      </c>
      <c r="G3143" t="str">
        <f>"300321"</f>
        <v>300321</v>
      </c>
      <c r="H3143" t="s">
        <v>2706</v>
      </c>
      <c r="I3143">
        <v>19000</v>
      </c>
    </row>
    <row r="3144" spans="1:9" x14ac:dyDescent="0.25">
      <c r="A3144" t="s">
        <v>9616</v>
      </c>
      <c r="C3144" t="s">
        <v>9617</v>
      </c>
      <c r="D3144" t="s">
        <v>11169</v>
      </c>
      <c r="E3144" t="s">
        <v>11170</v>
      </c>
      <c r="F3144" s="1">
        <v>45092</v>
      </c>
      <c r="G3144" t="str">
        <f>"300321"</f>
        <v>300321</v>
      </c>
      <c r="H3144" t="s">
        <v>2706</v>
      </c>
      <c r="I3144">
        <v>19000</v>
      </c>
    </row>
    <row r="3145" spans="1:9" x14ac:dyDescent="0.25">
      <c r="A3145" t="s">
        <v>9616</v>
      </c>
      <c r="C3145" t="s">
        <v>9617</v>
      </c>
      <c r="D3145" t="s">
        <v>11171</v>
      </c>
      <c r="E3145" t="s">
        <v>11172</v>
      </c>
      <c r="F3145" s="1">
        <v>45092</v>
      </c>
      <c r="G3145" t="str">
        <f>"300321"</f>
        <v>300321</v>
      </c>
      <c r="H3145" t="s">
        <v>2706</v>
      </c>
      <c r="I3145">
        <v>16000</v>
      </c>
    </row>
    <row r="3146" spans="1:9" x14ac:dyDescent="0.25">
      <c r="A3146" t="s">
        <v>9616</v>
      </c>
      <c r="C3146" t="s">
        <v>9617</v>
      </c>
      <c r="D3146" t="s">
        <v>11173</v>
      </c>
      <c r="E3146" t="s">
        <v>11174</v>
      </c>
      <c r="F3146" s="1">
        <v>45092</v>
      </c>
      <c r="G3146" t="str">
        <f>"300321"</f>
        <v>300321</v>
      </c>
      <c r="H3146" t="s">
        <v>2706</v>
      </c>
      <c r="I3146">
        <v>19000</v>
      </c>
    </row>
    <row r="3147" spans="1:9" x14ac:dyDescent="0.25">
      <c r="A3147" t="s">
        <v>9616</v>
      </c>
      <c r="C3147" t="s">
        <v>9617</v>
      </c>
      <c r="D3147" t="s">
        <v>11175</v>
      </c>
      <c r="E3147" t="s">
        <v>11176</v>
      </c>
      <c r="F3147" s="1">
        <v>45092</v>
      </c>
      <c r="G3147" t="str">
        <f>"300321"</f>
        <v>300321</v>
      </c>
      <c r="H3147" t="s">
        <v>2706</v>
      </c>
      <c r="I3147">
        <v>19000</v>
      </c>
    </row>
    <row r="3148" spans="1:9" x14ac:dyDescent="0.25">
      <c r="A3148" t="s">
        <v>9616</v>
      </c>
      <c r="C3148" t="s">
        <v>9617</v>
      </c>
      <c r="D3148" t="str">
        <f>"42339"</f>
        <v>42339</v>
      </c>
      <c r="E3148" t="s">
        <v>11168</v>
      </c>
      <c r="F3148" s="1">
        <v>45093</v>
      </c>
      <c r="G3148" t="str">
        <f>"300043"</f>
        <v>300043</v>
      </c>
      <c r="H3148" t="s">
        <v>2876</v>
      </c>
      <c r="I3148">
        <v>1446</v>
      </c>
    </row>
    <row r="3149" spans="1:9" x14ac:dyDescent="0.25">
      <c r="A3149" t="s">
        <v>9616</v>
      </c>
      <c r="C3149" t="s">
        <v>9617</v>
      </c>
      <c r="D3149" t="str">
        <f>"73866"</f>
        <v>73866</v>
      </c>
      <c r="E3149" t="s">
        <v>8967</v>
      </c>
      <c r="F3149" s="1">
        <v>45093</v>
      </c>
      <c r="G3149" t="str">
        <f>"300093"</f>
        <v>300093</v>
      </c>
      <c r="H3149" t="s">
        <v>2918</v>
      </c>
      <c r="I3149">
        <v>231430.98</v>
      </c>
    </row>
    <row r="3150" spans="1:9" x14ac:dyDescent="0.25">
      <c r="A3150" t="s">
        <v>9616</v>
      </c>
      <c r="C3150" t="s">
        <v>9617</v>
      </c>
      <c r="D3150" t="str">
        <f>"10149923"</f>
        <v>10149923</v>
      </c>
      <c r="E3150" t="s">
        <v>1313</v>
      </c>
      <c r="F3150" s="1">
        <v>45093</v>
      </c>
      <c r="G3150" t="str">
        <f>"300115"</f>
        <v>300115</v>
      </c>
      <c r="H3150" t="s">
        <v>2938</v>
      </c>
      <c r="I3150">
        <v>165420.288</v>
      </c>
    </row>
    <row r="3151" spans="1:9" x14ac:dyDescent="0.25">
      <c r="A3151" t="s">
        <v>9616</v>
      </c>
      <c r="C3151" t="s">
        <v>9617</v>
      </c>
      <c r="D3151" t="s">
        <v>11177</v>
      </c>
      <c r="E3151" t="s">
        <v>9562</v>
      </c>
      <c r="F3151" s="1">
        <v>45093</v>
      </c>
      <c r="G3151" t="str">
        <f>"300133"</f>
        <v>300133</v>
      </c>
      <c r="H3151" t="s">
        <v>2955</v>
      </c>
      <c r="I3151">
        <v>35464.32</v>
      </c>
    </row>
    <row r="3152" spans="1:9" x14ac:dyDescent="0.25">
      <c r="A3152" t="s">
        <v>9616</v>
      </c>
      <c r="C3152" t="s">
        <v>9617</v>
      </c>
      <c r="D3152" t="str">
        <f>"42745"</f>
        <v>42745</v>
      </c>
      <c r="E3152" t="s">
        <v>11170</v>
      </c>
      <c r="F3152" s="1">
        <v>45096</v>
      </c>
      <c r="G3152" t="str">
        <f>"300043"</f>
        <v>300043</v>
      </c>
      <c r="H3152" t="s">
        <v>2876</v>
      </c>
      <c r="I3152">
        <v>1445</v>
      </c>
    </row>
    <row r="3153" spans="1:9" x14ac:dyDescent="0.25">
      <c r="A3153" t="s">
        <v>9616</v>
      </c>
      <c r="C3153" t="s">
        <v>9617</v>
      </c>
      <c r="D3153" t="str">
        <f>"42990"</f>
        <v>42990</v>
      </c>
      <c r="E3153" t="s">
        <v>11178</v>
      </c>
      <c r="F3153" s="1">
        <v>45096</v>
      </c>
      <c r="G3153" t="str">
        <f>"300043"</f>
        <v>300043</v>
      </c>
      <c r="H3153" t="s">
        <v>2876</v>
      </c>
      <c r="I3153">
        <v>712</v>
      </c>
    </row>
    <row r="3154" spans="1:9" x14ac:dyDescent="0.25">
      <c r="A3154" t="s">
        <v>9616</v>
      </c>
      <c r="C3154" t="s">
        <v>9617</v>
      </c>
      <c r="D3154" t="str">
        <f>"43040"</f>
        <v>43040</v>
      </c>
      <c r="E3154" t="s">
        <v>11179</v>
      </c>
      <c r="F3154" s="1">
        <v>45096</v>
      </c>
      <c r="G3154" t="str">
        <f>"300043"</f>
        <v>300043</v>
      </c>
      <c r="H3154" t="s">
        <v>2876</v>
      </c>
      <c r="I3154">
        <v>712</v>
      </c>
    </row>
    <row r="3155" spans="1:9" x14ac:dyDescent="0.25">
      <c r="A3155" t="s">
        <v>9616</v>
      </c>
      <c r="C3155" t="s">
        <v>9617</v>
      </c>
      <c r="D3155" t="str">
        <f>"43050"</f>
        <v>43050</v>
      </c>
      <c r="E3155" t="s">
        <v>11172</v>
      </c>
      <c r="F3155" s="1">
        <v>45096</v>
      </c>
      <c r="G3155" t="str">
        <f>"300043"</f>
        <v>300043</v>
      </c>
      <c r="H3155" t="s">
        <v>2876</v>
      </c>
      <c r="I3155">
        <v>1506</v>
      </c>
    </row>
    <row r="3156" spans="1:9" x14ac:dyDescent="0.25">
      <c r="A3156" t="s">
        <v>9616</v>
      </c>
      <c r="C3156" t="s">
        <v>9617</v>
      </c>
      <c r="D3156" t="str">
        <f>"328323"</f>
        <v>328323</v>
      </c>
      <c r="E3156" t="s">
        <v>11179</v>
      </c>
      <c r="F3156" s="1">
        <v>45096</v>
      </c>
      <c r="G3156" t="str">
        <f>"300101"</f>
        <v>300101</v>
      </c>
      <c r="H3156" t="s">
        <v>2926</v>
      </c>
      <c r="I3156">
        <v>3147.93</v>
      </c>
    </row>
    <row r="3157" spans="1:9" x14ac:dyDescent="0.25">
      <c r="A3157" t="s">
        <v>9616</v>
      </c>
      <c r="C3157" t="s">
        <v>9617</v>
      </c>
      <c r="D3157" t="str">
        <f>"328423"</f>
        <v>328423</v>
      </c>
      <c r="E3157" t="s">
        <v>11180</v>
      </c>
      <c r="F3157" s="1">
        <v>45096</v>
      </c>
      <c r="G3157" t="str">
        <f>"300101"</f>
        <v>300101</v>
      </c>
      <c r="H3157" t="s">
        <v>2926</v>
      </c>
      <c r="I3157">
        <v>3306.09</v>
      </c>
    </row>
    <row r="3158" spans="1:9" x14ac:dyDescent="0.25">
      <c r="A3158" t="s">
        <v>9616</v>
      </c>
      <c r="C3158" t="s">
        <v>9617</v>
      </c>
      <c r="D3158" t="str">
        <f>"10149960"</f>
        <v>10149960</v>
      </c>
      <c r="E3158" t="s">
        <v>1313</v>
      </c>
      <c r="F3158" s="1">
        <v>45096</v>
      </c>
      <c r="G3158" t="str">
        <f>"300115"</f>
        <v>300115</v>
      </c>
      <c r="H3158" t="s">
        <v>2938</v>
      </c>
      <c r="I3158">
        <v>165420.288</v>
      </c>
    </row>
    <row r="3159" spans="1:9" x14ac:dyDescent="0.25">
      <c r="A3159" t="s">
        <v>9616</v>
      </c>
      <c r="C3159" t="s">
        <v>9617</v>
      </c>
      <c r="D3159" t="str">
        <f>"10149961"</f>
        <v>10149961</v>
      </c>
      <c r="E3159" t="s">
        <v>1313</v>
      </c>
      <c r="F3159" s="1">
        <v>45096</v>
      </c>
      <c r="G3159" t="str">
        <f>"300115"</f>
        <v>300115</v>
      </c>
      <c r="H3159" t="s">
        <v>2938</v>
      </c>
      <c r="I3159">
        <v>165420.288</v>
      </c>
    </row>
    <row r="3160" spans="1:9" x14ac:dyDescent="0.25">
      <c r="A3160" t="s">
        <v>9616</v>
      </c>
      <c r="C3160" t="s">
        <v>9617</v>
      </c>
      <c r="D3160" t="str">
        <f>"10149989"</f>
        <v>10149989</v>
      </c>
      <c r="E3160" t="s">
        <v>9189</v>
      </c>
      <c r="F3160" s="1">
        <v>45096</v>
      </c>
      <c r="G3160" t="str">
        <f>"300115"</f>
        <v>300115</v>
      </c>
      <c r="H3160" t="s">
        <v>2938</v>
      </c>
      <c r="I3160">
        <v>396020.98800000001</v>
      </c>
    </row>
    <row r="3161" spans="1:9" x14ac:dyDescent="0.25">
      <c r="A3161" t="s">
        <v>9616</v>
      </c>
      <c r="C3161" t="s">
        <v>9617</v>
      </c>
      <c r="D3161" t="str">
        <f>"202304838"</f>
        <v>202304838</v>
      </c>
      <c r="E3161" t="s">
        <v>11165</v>
      </c>
      <c r="F3161" s="1">
        <v>45096</v>
      </c>
      <c r="G3161" t="str">
        <f>"300191"</f>
        <v>300191</v>
      </c>
      <c r="H3161" t="s">
        <v>3008</v>
      </c>
      <c r="I3161">
        <v>7517.26</v>
      </c>
    </row>
    <row r="3162" spans="1:9" x14ac:dyDescent="0.25">
      <c r="A3162" t="s">
        <v>9616</v>
      </c>
      <c r="C3162" t="s">
        <v>9617</v>
      </c>
      <c r="D3162" t="s">
        <v>11181</v>
      </c>
      <c r="E3162" t="s">
        <v>11182</v>
      </c>
      <c r="F3162" s="1">
        <v>45096</v>
      </c>
      <c r="G3162" t="str">
        <f>"300321"</f>
        <v>300321</v>
      </c>
      <c r="H3162" t="s">
        <v>2706</v>
      </c>
      <c r="I3162">
        <v>19000</v>
      </c>
    </row>
    <row r="3163" spans="1:9" x14ac:dyDescent="0.25">
      <c r="A3163" t="s">
        <v>9616</v>
      </c>
      <c r="C3163" t="s">
        <v>9617</v>
      </c>
      <c r="D3163" t="str">
        <f>"18143"</f>
        <v>18143</v>
      </c>
      <c r="F3163" s="1">
        <v>45097</v>
      </c>
      <c r="G3163" t="str">
        <f>"300043"</f>
        <v>300043</v>
      </c>
      <c r="H3163" t="s">
        <v>2876</v>
      </c>
      <c r="I3163">
        <v>4670</v>
      </c>
    </row>
    <row r="3164" spans="1:9" x14ac:dyDescent="0.25">
      <c r="A3164" t="s">
        <v>9616</v>
      </c>
      <c r="C3164" t="s">
        <v>9617</v>
      </c>
      <c r="D3164" t="str">
        <f>"43420"</f>
        <v>43420</v>
      </c>
      <c r="E3164" t="s">
        <v>11174</v>
      </c>
      <c r="F3164" s="1">
        <v>45097</v>
      </c>
      <c r="G3164" t="str">
        <f>"300043"</f>
        <v>300043</v>
      </c>
      <c r="H3164" t="s">
        <v>2876</v>
      </c>
      <c r="I3164">
        <v>1513</v>
      </c>
    </row>
    <row r="3165" spans="1:9" x14ac:dyDescent="0.25">
      <c r="A3165" t="s">
        <v>9616</v>
      </c>
      <c r="C3165" t="s">
        <v>9617</v>
      </c>
      <c r="D3165" t="str">
        <f>"43772"</f>
        <v>43772</v>
      </c>
      <c r="E3165" t="s">
        <v>11183</v>
      </c>
      <c r="F3165" s="1">
        <v>45097</v>
      </c>
      <c r="G3165" t="str">
        <f>"300043"</f>
        <v>300043</v>
      </c>
      <c r="H3165" t="s">
        <v>2876</v>
      </c>
      <c r="I3165">
        <v>713</v>
      </c>
    </row>
    <row r="3166" spans="1:9" x14ac:dyDescent="0.25">
      <c r="A3166" t="s">
        <v>9616</v>
      </c>
      <c r="C3166" t="s">
        <v>9617</v>
      </c>
      <c r="D3166" t="str">
        <f>"102023"</f>
        <v>102023</v>
      </c>
      <c r="F3166" s="1">
        <v>45097</v>
      </c>
      <c r="G3166" t="str">
        <f>"300043"</f>
        <v>300043</v>
      </c>
      <c r="H3166" t="s">
        <v>2876</v>
      </c>
      <c r="I3166">
        <v>4670</v>
      </c>
    </row>
    <row r="3167" spans="1:9" x14ac:dyDescent="0.25">
      <c r="A3167" t="s">
        <v>9616</v>
      </c>
      <c r="C3167" t="s">
        <v>9617</v>
      </c>
      <c r="D3167" t="str">
        <f>"328923"</f>
        <v>328923</v>
      </c>
      <c r="E3167" t="s">
        <v>11183</v>
      </c>
      <c r="F3167" s="1">
        <v>45097</v>
      </c>
      <c r="G3167" t="str">
        <f>"300101"</f>
        <v>300101</v>
      </c>
      <c r="H3167" t="s">
        <v>2926</v>
      </c>
      <c r="I3167">
        <v>3147.93</v>
      </c>
    </row>
    <row r="3168" spans="1:9" x14ac:dyDescent="0.25">
      <c r="A3168" t="s">
        <v>9616</v>
      </c>
      <c r="C3168" t="s">
        <v>9617</v>
      </c>
      <c r="D3168" t="str">
        <f>"10149990"</f>
        <v>10149990</v>
      </c>
      <c r="E3168" t="s">
        <v>1313</v>
      </c>
      <c r="F3168" s="1">
        <v>45097</v>
      </c>
      <c r="G3168" t="str">
        <f t="shared" ref="G3168:G3173" si="18">"300115"</f>
        <v>300115</v>
      </c>
      <c r="H3168" t="s">
        <v>2938</v>
      </c>
      <c r="I3168">
        <v>165420.288</v>
      </c>
    </row>
    <row r="3169" spans="1:9" x14ac:dyDescent="0.25">
      <c r="A3169" t="s">
        <v>9616</v>
      </c>
      <c r="C3169" t="s">
        <v>9617</v>
      </c>
      <c r="D3169" t="str">
        <f>"10149992"</f>
        <v>10149992</v>
      </c>
      <c r="E3169" t="s">
        <v>1928</v>
      </c>
      <c r="F3169" s="1">
        <v>45097</v>
      </c>
      <c r="G3169" t="str">
        <f t="shared" si="18"/>
        <v>300115</v>
      </c>
      <c r="H3169" t="s">
        <v>2938</v>
      </c>
      <c r="I3169">
        <v>134539.21799999999</v>
      </c>
    </row>
    <row r="3170" spans="1:9" x14ac:dyDescent="0.25">
      <c r="A3170" t="s">
        <v>9616</v>
      </c>
      <c r="C3170" t="s">
        <v>9617</v>
      </c>
      <c r="D3170" t="str">
        <f>"10149993"</f>
        <v>10149993</v>
      </c>
      <c r="E3170" t="s">
        <v>9189</v>
      </c>
      <c r="F3170" s="1">
        <v>45097</v>
      </c>
      <c r="G3170" t="str">
        <f t="shared" si="18"/>
        <v>300115</v>
      </c>
      <c r="H3170" t="s">
        <v>2938</v>
      </c>
      <c r="I3170">
        <v>396020.98800000001</v>
      </c>
    </row>
    <row r="3171" spans="1:9" x14ac:dyDescent="0.25">
      <c r="A3171" t="s">
        <v>9616</v>
      </c>
      <c r="C3171" t="s">
        <v>9617</v>
      </c>
      <c r="D3171" t="str">
        <f>"10149994"</f>
        <v>10149994</v>
      </c>
      <c r="E3171" t="s">
        <v>1313</v>
      </c>
      <c r="F3171" s="1">
        <v>45097</v>
      </c>
      <c r="G3171" t="str">
        <f t="shared" si="18"/>
        <v>300115</v>
      </c>
      <c r="H3171" t="s">
        <v>2938</v>
      </c>
      <c r="I3171">
        <v>131948.52660000001</v>
      </c>
    </row>
    <row r="3172" spans="1:9" x14ac:dyDescent="0.25">
      <c r="A3172" t="s">
        <v>9616</v>
      </c>
      <c r="C3172" t="s">
        <v>9617</v>
      </c>
      <c r="D3172" t="str">
        <f>"10149995"</f>
        <v>10149995</v>
      </c>
      <c r="E3172" t="s">
        <v>9189</v>
      </c>
      <c r="F3172" s="1">
        <v>45097</v>
      </c>
      <c r="G3172" t="str">
        <f t="shared" si="18"/>
        <v>300115</v>
      </c>
      <c r="H3172" t="s">
        <v>2938</v>
      </c>
      <c r="I3172">
        <v>390715.38</v>
      </c>
    </row>
    <row r="3173" spans="1:9" x14ac:dyDescent="0.25">
      <c r="A3173" t="s">
        <v>9616</v>
      </c>
      <c r="C3173" t="s">
        <v>9617</v>
      </c>
      <c r="D3173" t="str">
        <f>"10149996"</f>
        <v>10149996</v>
      </c>
      <c r="E3173" t="s">
        <v>1928</v>
      </c>
      <c r="F3173" s="1">
        <v>45097</v>
      </c>
      <c r="G3173" t="str">
        <f t="shared" si="18"/>
        <v>300115</v>
      </c>
      <c r="H3173" t="s">
        <v>2938</v>
      </c>
      <c r="I3173">
        <v>134539.21799999999</v>
      </c>
    </row>
    <row r="3174" spans="1:9" x14ac:dyDescent="0.25">
      <c r="A3174" t="s">
        <v>9616</v>
      </c>
      <c r="C3174" t="s">
        <v>9617</v>
      </c>
      <c r="D3174" t="s">
        <v>11184</v>
      </c>
      <c r="E3174" t="s">
        <v>11185</v>
      </c>
      <c r="F3174" s="1">
        <v>45097</v>
      </c>
      <c r="G3174" t="str">
        <f>"300321"</f>
        <v>300321</v>
      </c>
      <c r="H3174" t="s">
        <v>2706</v>
      </c>
      <c r="I3174">
        <v>19000</v>
      </c>
    </row>
    <row r="3175" spans="1:9" x14ac:dyDescent="0.25">
      <c r="A3175" t="s">
        <v>9616</v>
      </c>
      <c r="C3175" t="s">
        <v>9617</v>
      </c>
      <c r="D3175" t="s">
        <v>11186</v>
      </c>
      <c r="E3175" t="s">
        <v>11187</v>
      </c>
      <c r="F3175" s="1">
        <v>45097</v>
      </c>
      <c r="G3175" t="str">
        <f>"300321"</f>
        <v>300321</v>
      </c>
      <c r="H3175" t="s">
        <v>2706</v>
      </c>
      <c r="I3175">
        <v>19000</v>
      </c>
    </row>
    <row r="3176" spans="1:9" x14ac:dyDescent="0.25">
      <c r="A3176" t="s">
        <v>9616</v>
      </c>
      <c r="C3176" t="s">
        <v>9617</v>
      </c>
      <c r="D3176" t="str">
        <f>"43478"</f>
        <v>43478</v>
      </c>
      <c r="E3176" t="s">
        <v>11188</v>
      </c>
      <c r="F3176" s="1">
        <v>45098</v>
      </c>
      <c r="G3176" t="str">
        <f>"300043"</f>
        <v>300043</v>
      </c>
      <c r="H3176" t="s">
        <v>2876</v>
      </c>
      <c r="I3176">
        <v>1513</v>
      </c>
    </row>
    <row r="3177" spans="1:9" x14ac:dyDescent="0.25">
      <c r="A3177" t="s">
        <v>9616</v>
      </c>
      <c r="C3177" t="s">
        <v>9617</v>
      </c>
      <c r="D3177" t="str">
        <f>"43934"</f>
        <v>43934</v>
      </c>
      <c r="E3177" t="s">
        <v>11182</v>
      </c>
      <c r="F3177" s="1">
        <v>45098</v>
      </c>
      <c r="G3177" t="str">
        <f>"300043"</f>
        <v>300043</v>
      </c>
      <c r="H3177" t="s">
        <v>2876</v>
      </c>
      <c r="I3177">
        <v>1517</v>
      </c>
    </row>
    <row r="3178" spans="1:9" x14ac:dyDescent="0.25">
      <c r="A3178" t="s">
        <v>9616</v>
      </c>
      <c r="C3178" t="s">
        <v>9617</v>
      </c>
      <c r="D3178" t="str">
        <f>"44159"</f>
        <v>44159</v>
      </c>
      <c r="E3178" t="s">
        <v>11189</v>
      </c>
      <c r="F3178" s="1">
        <v>45098</v>
      </c>
      <c r="G3178" t="str">
        <f>"300043"</f>
        <v>300043</v>
      </c>
      <c r="H3178" t="s">
        <v>2876</v>
      </c>
      <c r="I3178">
        <v>609</v>
      </c>
    </row>
    <row r="3179" spans="1:9" x14ac:dyDescent="0.25">
      <c r="A3179" t="s">
        <v>9616</v>
      </c>
      <c r="C3179" t="s">
        <v>9617</v>
      </c>
      <c r="D3179" t="str">
        <f>"44163"</f>
        <v>44163</v>
      </c>
      <c r="E3179" t="s">
        <v>11190</v>
      </c>
      <c r="F3179" s="1">
        <v>45098</v>
      </c>
      <c r="G3179" t="str">
        <f>"300043"</f>
        <v>300043</v>
      </c>
      <c r="H3179" t="s">
        <v>2876</v>
      </c>
      <c r="I3179">
        <v>609</v>
      </c>
    </row>
    <row r="3180" spans="1:9" x14ac:dyDescent="0.25">
      <c r="A3180" t="s">
        <v>9616</v>
      </c>
      <c r="C3180" t="s">
        <v>9617</v>
      </c>
      <c r="D3180" t="str">
        <f>"44167"</f>
        <v>44167</v>
      </c>
      <c r="E3180" t="s">
        <v>11187</v>
      </c>
      <c r="F3180" s="1">
        <v>45098</v>
      </c>
      <c r="G3180" t="str">
        <f>"300043"</f>
        <v>300043</v>
      </c>
      <c r="H3180" t="s">
        <v>2876</v>
      </c>
      <c r="I3180">
        <v>1498</v>
      </c>
    </row>
    <row r="3181" spans="1:9" x14ac:dyDescent="0.25">
      <c r="A3181" t="s">
        <v>9616</v>
      </c>
      <c r="C3181" t="s">
        <v>9617</v>
      </c>
      <c r="D3181" t="str">
        <f>"328723"</f>
        <v>328723</v>
      </c>
      <c r="E3181" t="s">
        <v>11191</v>
      </c>
      <c r="F3181" s="1">
        <v>45098</v>
      </c>
      <c r="G3181" t="str">
        <f>"300101"</f>
        <v>300101</v>
      </c>
      <c r="H3181" t="s">
        <v>2926</v>
      </c>
      <c r="I3181">
        <v>1622.8</v>
      </c>
    </row>
    <row r="3182" spans="1:9" x14ac:dyDescent="0.25">
      <c r="A3182" t="s">
        <v>9616</v>
      </c>
      <c r="C3182" t="s">
        <v>9617</v>
      </c>
      <c r="D3182" t="str">
        <f>"328823"</f>
        <v>328823</v>
      </c>
      <c r="E3182" t="s">
        <v>11192</v>
      </c>
      <c r="F3182" s="1">
        <v>45098</v>
      </c>
      <c r="G3182" t="str">
        <f>"300101"</f>
        <v>300101</v>
      </c>
      <c r="H3182" t="s">
        <v>2926</v>
      </c>
      <c r="I3182">
        <v>3780.57</v>
      </c>
    </row>
    <row r="3183" spans="1:9" x14ac:dyDescent="0.25">
      <c r="A3183" t="s">
        <v>9616</v>
      </c>
      <c r="C3183" t="s">
        <v>9617</v>
      </c>
      <c r="D3183" t="str">
        <f>"10150019"</f>
        <v>10150019</v>
      </c>
      <c r="E3183" t="s">
        <v>2640</v>
      </c>
      <c r="F3183" s="1">
        <v>45098</v>
      </c>
      <c r="G3183" t="str">
        <f>"300115"</f>
        <v>300115</v>
      </c>
      <c r="H3183" t="s">
        <v>2938</v>
      </c>
      <c r="I3183">
        <v>396020.98800000001</v>
      </c>
    </row>
    <row r="3184" spans="1:9" x14ac:dyDescent="0.25">
      <c r="A3184" t="s">
        <v>9616</v>
      </c>
      <c r="C3184" t="s">
        <v>9617</v>
      </c>
      <c r="D3184" t="str">
        <f>"10150058"</f>
        <v>10150058</v>
      </c>
      <c r="E3184" t="s">
        <v>1332</v>
      </c>
      <c r="F3184" s="1">
        <v>45098</v>
      </c>
      <c r="G3184" t="str">
        <f>"300115"</f>
        <v>300115</v>
      </c>
      <c r="H3184" t="s">
        <v>2938</v>
      </c>
      <c r="I3184">
        <v>134539.21799999999</v>
      </c>
    </row>
    <row r="3185" spans="1:9" x14ac:dyDescent="0.25">
      <c r="A3185" t="s">
        <v>9616</v>
      </c>
      <c r="C3185" t="s">
        <v>9617</v>
      </c>
      <c r="D3185" t="s">
        <v>11193</v>
      </c>
      <c r="E3185" t="s">
        <v>9921</v>
      </c>
      <c r="F3185" s="1">
        <v>45098</v>
      </c>
      <c r="G3185" t="str">
        <f>"300133"</f>
        <v>300133</v>
      </c>
      <c r="H3185" t="s">
        <v>2955</v>
      </c>
      <c r="I3185">
        <v>55290</v>
      </c>
    </row>
    <row r="3186" spans="1:9" x14ac:dyDescent="0.25">
      <c r="A3186" t="s">
        <v>9616</v>
      </c>
      <c r="C3186" t="s">
        <v>9617</v>
      </c>
      <c r="D3186" t="str">
        <f>"202304884"</f>
        <v>202304884</v>
      </c>
      <c r="E3186" t="s">
        <v>11174</v>
      </c>
      <c r="F3186" s="1">
        <v>45098</v>
      </c>
      <c r="G3186" t="str">
        <f>"300191"</f>
        <v>300191</v>
      </c>
      <c r="H3186" t="s">
        <v>3008</v>
      </c>
      <c r="I3186">
        <v>3675.75</v>
      </c>
    </row>
    <row r="3187" spans="1:9" x14ac:dyDescent="0.25">
      <c r="A3187" t="s">
        <v>9616</v>
      </c>
      <c r="C3187" t="s">
        <v>9617</v>
      </c>
      <c r="D3187" t="str">
        <f>"202304885"</f>
        <v>202304885</v>
      </c>
      <c r="E3187" t="s">
        <v>11164</v>
      </c>
      <c r="F3187" s="1">
        <v>45098</v>
      </c>
      <c r="G3187" t="str">
        <f>"300191"</f>
        <v>300191</v>
      </c>
      <c r="H3187" t="s">
        <v>3008</v>
      </c>
      <c r="I3187">
        <v>3223.02</v>
      </c>
    </row>
    <row r="3188" spans="1:9" x14ac:dyDescent="0.25">
      <c r="A3188" t="s">
        <v>9616</v>
      </c>
      <c r="C3188" t="s">
        <v>9617</v>
      </c>
      <c r="D3188" t="str">
        <f>"202304887"</f>
        <v>202304887</v>
      </c>
      <c r="E3188" t="s">
        <v>11168</v>
      </c>
      <c r="F3188" s="1">
        <v>45098</v>
      </c>
      <c r="G3188" t="str">
        <f>"300191"</f>
        <v>300191</v>
      </c>
      <c r="H3188" t="s">
        <v>3008</v>
      </c>
      <c r="I3188">
        <v>3223.02</v>
      </c>
    </row>
    <row r="3189" spans="1:9" x14ac:dyDescent="0.25">
      <c r="A3189" t="s">
        <v>9616</v>
      </c>
      <c r="C3189" t="s">
        <v>9617</v>
      </c>
      <c r="D3189" t="str">
        <f>"202304889"</f>
        <v>202304889</v>
      </c>
      <c r="E3189" t="s">
        <v>11172</v>
      </c>
      <c r="F3189" s="1">
        <v>45098</v>
      </c>
      <c r="G3189" t="str">
        <f>"300191"</f>
        <v>300191</v>
      </c>
      <c r="H3189" t="s">
        <v>3008</v>
      </c>
      <c r="I3189">
        <v>3539.34</v>
      </c>
    </row>
    <row r="3190" spans="1:9" x14ac:dyDescent="0.25">
      <c r="A3190" t="s">
        <v>9616</v>
      </c>
      <c r="C3190" t="s">
        <v>9617</v>
      </c>
      <c r="D3190" t="str">
        <f>"202304890"</f>
        <v>202304890</v>
      </c>
      <c r="E3190" t="s">
        <v>11170</v>
      </c>
      <c r="F3190" s="1">
        <v>45098</v>
      </c>
      <c r="G3190" t="str">
        <f>"300191"</f>
        <v>300191</v>
      </c>
      <c r="H3190" t="s">
        <v>3008</v>
      </c>
      <c r="I3190">
        <v>3517.59</v>
      </c>
    </row>
    <row r="3191" spans="1:9" x14ac:dyDescent="0.25">
      <c r="A3191" t="s">
        <v>9616</v>
      </c>
      <c r="C3191" t="s">
        <v>9617</v>
      </c>
      <c r="D3191" t="s">
        <v>11194</v>
      </c>
      <c r="E3191" t="s">
        <v>11195</v>
      </c>
      <c r="F3191" s="1">
        <v>45098</v>
      </c>
      <c r="G3191" t="str">
        <f>"300321"</f>
        <v>300321</v>
      </c>
      <c r="H3191" t="s">
        <v>2706</v>
      </c>
      <c r="I3191">
        <v>16000</v>
      </c>
    </row>
    <row r="3192" spans="1:9" x14ac:dyDescent="0.25">
      <c r="A3192" t="s">
        <v>9616</v>
      </c>
      <c r="C3192" t="s">
        <v>9617</v>
      </c>
      <c r="D3192" t="s">
        <v>11196</v>
      </c>
      <c r="E3192" t="s">
        <v>11197</v>
      </c>
      <c r="F3192" s="1">
        <v>45098</v>
      </c>
      <c r="G3192" t="str">
        <f>"300340"</f>
        <v>300340</v>
      </c>
      <c r="H3192" t="s">
        <v>3080</v>
      </c>
      <c r="I3192">
        <v>6248</v>
      </c>
    </row>
    <row r="3193" spans="1:9" x14ac:dyDescent="0.25">
      <c r="A3193" t="s">
        <v>9616</v>
      </c>
      <c r="C3193" t="s">
        <v>9617</v>
      </c>
      <c r="D3193" t="s">
        <v>11198</v>
      </c>
      <c r="E3193" t="s">
        <v>11199</v>
      </c>
      <c r="F3193" s="1">
        <v>45098</v>
      </c>
      <c r="G3193" t="str">
        <f>"300340"</f>
        <v>300340</v>
      </c>
      <c r="H3193" t="s">
        <v>3080</v>
      </c>
      <c r="I3193">
        <v>3274</v>
      </c>
    </row>
    <row r="3194" spans="1:9" x14ac:dyDescent="0.25">
      <c r="A3194" t="s">
        <v>9616</v>
      </c>
      <c r="C3194" t="s">
        <v>9617</v>
      </c>
      <c r="D3194" t="str">
        <f>"43794"</f>
        <v>43794</v>
      </c>
      <c r="E3194" t="s">
        <v>11200</v>
      </c>
      <c r="F3194" s="1">
        <v>45099</v>
      </c>
      <c r="G3194" t="str">
        <f>"300043"</f>
        <v>300043</v>
      </c>
      <c r="H3194" t="s">
        <v>2876</v>
      </c>
      <c r="I3194">
        <v>715</v>
      </c>
    </row>
    <row r="3195" spans="1:9" x14ac:dyDescent="0.25">
      <c r="A3195" t="s">
        <v>9616</v>
      </c>
      <c r="C3195" t="s">
        <v>9617</v>
      </c>
      <c r="D3195" t="str">
        <f>"44336"</f>
        <v>44336</v>
      </c>
      <c r="E3195" t="s">
        <v>11185</v>
      </c>
      <c r="F3195" s="1">
        <v>45099</v>
      </c>
      <c r="G3195" t="str">
        <f>"300043"</f>
        <v>300043</v>
      </c>
      <c r="H3195" t="s">
        <v>2876</v>
      </c>
      <c r="I3195">
        <v>1516</v>
      </c>
    </row>
    <row r="3196" spans="1:9" x14ac:dyDescent="0.25">
      <c r="A3196" t="s">
        <v>9616</v>
      </c>
      <c r="C3196" t="s">
        <v>9617</v>
      </c>
      <c r="D3196" t="str">
        <f>"44575"</f>
        <v>44575</v>
      </c>
      <c r="E3196" t="s">
        <v>11201</v>
      </c>
      <c r="F3196" s="1">
        <v>45099</v>
      </c>
      <c r="G3196" t="str">
        <f>"300043"</f>
        <v>300043</v>
      </c>
      <c r="H3196" t="s">
        <v>2876</v>
      </c>
      <c r="I3196">
        <v>601</v>
      </c>
    </row>
    <row r="3197" spans="1:9" x14ac:dyDescent="0.25">
      <c r="A3197" t="s">
        <v>9616</v>
      </c>
      <c r="C3197" t="s">
        <v>9617</v>
      </c>
      <c r="D3197" t="str">
        <f>"44634"</f>
        <v>44634</v>
      </c>
      <c r="E3197" t="s">
        <v>11195</v>
      </c>
      <c r="F3197" s="1">
        <v>45099</v>
      </c>
      <c r="G3197" t="str">
        <f>"300043"</f>
        <v>300043</v>
      </c>
      <c r="H3197" t="s">
        <v>2876</v>
      </c>
      <c r="I3197">
        <v>1509</v>
      </c>
    </row>
    <row r="3198" spans="1:9" x14ac:dyDescent="0.25">
      <c r="A3198" t="s">
        <v>9616</v>
      </c>
      <c r="C3198" t="s">
        <v>9617</v>
      </c>
      <c r="D3198" t="str">
        <f>"328623"</f>
        <v>328623</v>
      </c>
      <c r="E3198" t="s">
        <v>11200</v>
      </c>
      <c r="F3198" s="1">
        <v>45099</v>
      </c>
      <c r="G3198" t="str">
        <f>"300101"</f>
        <v>300101</v>
      </c>
      <c r="H3198" t="s">
        <v>2926</v>
      </c>
      <c r="I3198">
        <v>2025.51</v>
      </c>
    </row>
    <row r="3199" spans="1:9" x14ac:dyDescent="0.25">
      <c r="A3199" t="s">
        <v>9616</v>
      </c>
      <c r="C3199" t="s">
        <v>9617</v>
      </c>
      <c r="D3199" t="str">
        <f>"330323"</f>
        <v>330323</v>
      </c>
      <c r="E3199" t="s">
        <v>11201</v>
      </c>
      <c r="F3199" s="1">
        <v>45099</v>
      </c>
      <c r="G3199" t="str">
        <f>"300101"</f>
        <v>300101</v>
      </c>
      <c r="H3199" t="s">
        <v>2926</v>
      </c>
      <c r="I3199">
        <v>2989.77</v>
      </c>
    </row>
    <row r="3200" spans="1:9" x14ac:dyDescent="0.25">
      <c r="A3200" t="s">
        <v>9616</v>
      </c>
      <c r="C3200" t="s">
        <v>9617</v>
      </c>
      <c r="D3200" t="s">
        <v>11202</v>
      </c>
      <c r="E3200" t="s">
        <v>9615</v>
      </c>
      <c r="F3200" s="1">
        <v>45099</v>
      </c>
      <c r="G3200" t="str">
        <f>"300133"</f>
        <v>300133</v>
      </c>
      <c r="H3200" t="s">
        <v>2955</v>
      </c>
      <c r="I3200">
        <v>25194</v>
      </c>
    </row>
    <row r="3201" spans="1:9" x14ac:dyDescent="0.25">
      <c r="A3201" t="s">
        <v>9616</v>
      </c>
      <c r="C3201" t="s">
        <v>9617</v>
      </c>
      <c r="D3201" t="str">
        <f>"4345"</f>
        <v>4345</v>
      </c>
      <c r="F3201" s="1">
        <v>45100</v>
      </c>
      <c r="G3201" t="str">
        <f>"300043"</f>
        <v>300043</v>
      </c>
      <c r="H3201" t="s">
        <v>2876</v>
      </c>
      <c r="I3201">
        <v>2932</v>
      </c>
    </row>
    <row r="3202" spans="1:9" x14ac:dyDescent="0.25">
      <c r="A3202" t="s">
        <v>9616</v>
      </c>
      <c r="C3202" t="s">
        <v>9617</v>
      </c>
      <c r="D3202" t="str">
        <f>"45045"</f>
        <v>45045</v>
      </c>
      <c r="E3202" t="s">
        <v>11203</v>
      </c>
      <c r="F3202" s="1">
        <v>45100</v>
      </c>
      <c r="G3202" t="str">
        <f>"300043"</f>
        <v>300043</v>
      </c>
      <c r="H3202" t="s">
        <v>2876</v>
      </c>
      <c r="I3202">
        <v>611</v>
      </c>
    </row>
    <row r="3203" spans="1:9" x14ac:dyDescent="0.25">
      <c r="A3203" t="s">
        <v>9616</v>
      </c>
      <c r="C3203" t="s">
        <v>9617</v>
      </c>
      <c r="D3203" t="str">
        <f>"45054"</f>
        <v>45054</v>
      </c>
      <c r="E3203" t="s">
        <v>11204</v>
      </c>
      <c r="F3203" s="1">
        <v>45100</v>
      </c>
      <c r="G3203" t="str">
        <f>"300043"</f>
        <v>300043</v>
      </c>
      <c r="H3203" t="s">
        <v>2876</v>
      </c>
      <c r="I3203">
        <v>713</v>
      </c>
    </row>
    <row r="3204" spans="1:9" x14ac:dyDescent="0.25">
      <c r="A3204" t="s">
        <v>9616</v>
      </c>
      <c r="C3204" t="s">
        <v>9617</v>
      </c>
      <c r="D3204" t="str">
        <f>"350823"</f>
        <v>350823</v>
      </c>
      <c r="E3204" t="s">
        <v>11205</v>
      </c>
      <c r="F3204" s="1">
        <v>45100</v>
      </c>
      <c r="G3204" t="str">
        <f>"300101"</f>
        <v>300101</v>
      </c>
      <c r="H3204" t="s">
        <v>2926</v>
      </c>
      <c r="I3204">
        <v>3147.93</v>
      </c>
    </row>
    <row r="3205" spans="1:9" x14ac:dyDescent="0.25">
      <c r="A3205" t="s">
        <v>9616</v>
      </c>
      <c r="C3205" t="s">
        <v>9617</v>
      </c>
      <c r="D3205" t="str">
        <f>"351223"</f>
        <v>351223</v>
      </c>
      <c r="E3205" t="s">
        <v>11203</v>
      </c>
      <c r="F3205" s="1">
        <v>45100</v>
      </c>
      <c r="G3205" t="str">
        <f>"300101"</f>
        <v>300101</v>
      </c>
      <c r="H3205" t="s">
        <v>2926</v>
      </c>
      <c r="I3205">
        <v>5814.07</v>
      </c>
    </row>
    <row r="3206" spans="1:9" x14ac:dyDescent="0.25">
      <c r="A3206" t="s">
        <v>9616</v>
      </c>
      <c r="C3206" t="s">
        <v>9617</v>
      </c>
      <c r="D3206" t="str">
        <f>"202304986"</f>
        <v>202304986</v>
      </c>
      <c r="E3206" t="s">
        <v>11182</v>
      </c>
      <c r="F3206" s="1">
        <v>45100</v>
      </c>
      <c r="G3206" t="str">
        <f>"300191"</f>
        <v>300191</v>
      </c>
      <c r="H3206" t="s">
        <v>3008</v>
      </c>
      <c r="I3206">
        <v>3223.02</v>
      </c>
    </row>
    <row r="3207" spans="1:9" x14ac:dyDescent="0.25">
      <c r="A3207" t="s">
        <v>9616</v>
      </c>
      <c r="C3207" t="s">
        <v>9617</v>
      </c>
      <c r="D3207" t="str">
        <f>"202304988"</f>
        <v>202304988</v>
      </c>
      <c r="E3207" t="s">
        <v>11187</v>
      </c>
      <c r="F3207" s="1">
        <v>45100</v>
      </c>
      <c r="G3207" t="str">
        <f>"300191"</f>
        <v>300191</v>
      </c>
      <c r="H3207" t="s">
        <v>3008</v>
      </c>
      <c r="I3207">
        <v>3223.02</v>
      </c>
    </row>
    <row r="3208" spans="1:9" x14ac:dyDescent="0.25">
      <c r="A3208" t="s">
        <v>9616</v>
      </c>
      <c r="C3208" t="s">
        <v>9617</v>
      </c>
      <c r="D3208" t="str">
        <f>"202304994"</f>
        <v>202304994</v>
      </c>
      <c r="E3208" t="s">
        <v>11188</v>
      </c>
      <c r="F3208" s="1">
        <v>45100</v>
      </c>
      <c r="G3208" t="str">
        <f>"300191"</f>
        <v>300191</v>
      </c>
      <c r="H3208" t="s">
        <v>3008</v>
      </c>
      <c r="I3208">
        <v>3833.91</v>
      </c>
    </row>
    <row r="3209" spans="1:9" x14ac:dyDescent="0.25">
      <c r="A3209" t="s">
        <v>9616</v>
      </c>
      <c r="C3209" t="s">
        <v>9617</v>
      </c>
      <c r="D3209" t="str">
        <f>"330623"</f>
        <v>330623</v>
      </c>
      <c r="E3209" t="s">
        <v>11200</v>
      </c>
      <c r="F3209" s="1">
        <v>45101</v>
      </c>
      <c r="G3209" t="str">
        <f>"300101"</f>
        <v>300101</v>
      </c>
      <c r="H3209" t="s">
        <v>2926</v>
      </c>
      <c r="I3209">
        <v>2157.77</v>
      </c>
    </row>
    <row r="3210" spans="1:9" x14ac:dyDescent="0.25">
      <c r="A3210" t="s">
        <v>9616</v>
      </c>
      <c r="C3210" t="s">
        <v>9617</v>
      </c>
      <c r="D3210" t="str">
        <f>"4343"</f>
        <v>4343</v>
      </c>
      <c r="F3210" s="1">
        <v>45103</v>
      </c>
      <c r="G3210" t="str">
        <f>"300043"</f>
        <v>300043</v>
      </c>
      <c r="H3210" t="s">
        <v>2876</v>
      </c>
      <c r="I3210">
        <v>3112</v>
      </c>
    </row>
    <row r="3211" spans="1:9" x14ac:dyDescent="0.25">
      <c r="A3211" t="s">
        <v>9616</v>
      </c>
      <c r="C3211" t="s">
        <v>9617</v>
      </c>
      <c r="D3211" t="str">
        <f>"4467"</f>
        <v>4467</v>
      </c>
      <c r="F3211" s="1">
        <v>45103</v>
      </c>
      <c r="G3211" t="str">
        <f>"300043"</f>
        <v>300043</v>
      </c>
      <c r="H3211" t="s">
        <v>2876</v>
      </c>
      <c r="I3211">
        <v>4307</v>
      </c>
    </row>
    <row r="3212" spans="1:9" x14ac:dyDescent="0.25">
      <c r="A3212" t="s">
        <v>9616</v>
      </c>
      <c r="C3212" t="s">
        <v>9617</v>
      </c>
      <c r="D3212" t="str">
        <f>"45223"</f>
        <v>45223</v>
      </c>
      <c r="E3212" t="s">
        <v>11206</v>
      </c>
      <c r="F3212" s="1">
        <v>45103</v>
      </c>
      <c r="G3212" t="str">
        <f>"300043"</f>
        <v>300043</v>
      </c>
      <c r="H3212" t="s">
        <v>2876</v>
      </c>
      <c r="I3212">
        <v>611</v>
      </c>
    </row>
    <row r="3213" spans="1:9" x14ac:dyDescent="0.25">
      <c r="A3213" t="s">
        <v>9616</v>
      </c>
      <c r="C3213" t="s">
        <v>9617</v>
      </c>
      <c r="D3213" t="str">
        <f>"350923"</f>
        <v>350923</v>
      </c>
      <c r="E3213" t="s">
        <v>11206</v>
      </c>
      <c r="F3213" s="1">
        <v>45103</v>
      </c>
      <c r="G3213" t="str">
        <f>"300101"</f>
        <v>300101</v>
      </c>
      <c r="H3213" t="s">
        <v>2926</v>
      </c>
      <c r="I3213">
        <v>3622.41</v>
      </c>
    </row>
    <row r="3214" spans="1:9" x14ac:dyDescent="0.25">
      <c r="A3214" t="s">
        <v>9616</v>
      </c>
      <c r="C3214" t="s">
        <v>9617</v>
      </c>
      <c r="D3214" t="str">
        <f>"202305032"</f>
        <v>202305032</v>
      </c>
      <c r="E3214" t="s">
        <v>11185</v>
      </c>
      <c r="F3214" s="1">
        <v>45103</v>
      </c>
      <c r="G3214" t="str">
        <f>"300191"</f>
        <v>300191</v>
      </c>
      <c r="H3214" t="s">
        <v>3008</v>
      </c>
      <c r="I3214">
        <v>3223.02</v>
      </c>
    </row>
    <row r="3215" spans="1:9" x14ac:dyDescent="0.25">
      <c r="A3215" t="s">
        <v>9616</v>
      </c>
      <c r="C3215" t="s">
        <v>9617</v>
      </c>
      <c r="D3215" t="str">
        <f>"202305033"</f>
        <v>202305033</v>
      </c>
      <c r="E3215" t="s">
        <v>11195</v>
      </c>
      <c r="F3215" s="1">
        <v>45103</v>
      </c>
      <c r="G3215" t="str">
        <f>"300191"</f>
        <v>300191</v>
      </c>
      <c r="H3215" t="s">
        <v>3008</v>
      </c>
      <c r="I3215">
        <v>3201.27</v>
      </c>
    </row>
    <row r="3216" spans="1:9" x14ac:dyDescent="0.25">
      <c r="A3216" t="s">
        <v>9616</v>
      </c>
      <c r="C3216" t="s">
        <v>9617</v>
      </c>
      <c r="D3216" t="str">
        <f>"3266"</f>
        <v>3266</v>
      </c>
      <c r="E3216" t="s">
        <v>11199</v>
      </c>
      <c r="F3216" s="1">
        <v>45104</v>
      </c>
      <c r="G3216" t="str">
        <f>"300043"</f>
        <v>300043</v>
      </c>
      <c r="H3216" t="s">
        <v>2876</v>
      </c>
      <c r="I3216">
        <v>4304</v>
      </c>
    </row>
    <row r="3217" spans="1:9" x14ac:dyDescent="0.25">
      <c r="A3217" t="s">
        <v>9616</v>
      </c>
      <c r="C3217" t="s">
        <v>9617</v>
      </c>
      <c r="D3217" t="str">
        <f>"3267"</f>
        <v>3267</v>
      </c>
      <c r="E3217" t="s">
        <v>11197</v>
      </c>
      <c r="F3217" s="1">
        <v>45105</v>
      </c>
      <c r="G3217" t="str">
        <f>"300043"</f>
        <v>300043</v>
      </c>
      <c r="H3217" t="s">
        <v>2876</v>
      </c>
      <c r="I3217">
        <v>8456</v>
      </c>
    </row>
    <row r="3218" spans="1:9" x14ac:dyDescent="0.25">
      <c r="A3218" t="s">
        <v>9616</v>
      </c>
      <c r="C3218" t="s">
        <v>9617</v>
      </c>
      <c r="D3218" t="str">
        <f>"78743"</f>
        <v>78743</v>
      </c>
      <c r="E3218" t="s">
        <v>11207</v>
      </c>
      <c r="F3218" s="1">
        <v>45105</v>
      </c>
      <c r="G3218" t="str">
        <f>"300043"</f>
        <v>300043</v>
      </c>
      <c r="H3218" t="s">
        <v>2876</v>
      </c>
      <c r="I3218">
        <v>929</v>
      </c>
    </row>
    <row r="3219" spans="1:9" x14ac:dyDescent="0.25">
      <c r="A3219" t="s">
        <v>9616</v>
      </c>
      <c r="C3219" t="s">
        <v>9617</v>
      </c>
      <c r="D3219" t="str">
        <f>"24055"</f>
        <v>24055</v>
      </c>
      <c r="E3219" t="s">
        <v>10486</v>
      </c>
      <c r="F3219" s="1">
        <v>45106</v>
      </c>
      <c r="G3219" t="str">
        <f>"300356"</f>
        <v>300356</v>
      </c>
      <c r="H3219" t="s">
        <v>3094</v>
      </c>
      <c r="I3219">
        <v>196312.16219999999</v>
      </c>
    </row>
    <row r="3220" spans="1:9" x14ac:dyDescent="0.25">
      <c r="A3220" t="s">
        <v>9616</v>
      </c>
      <c r="C3220" t="s">
        <v>9617</v>
      </c>
      <c r="D3220" t="str">
        <f>"338523"</f>
        <v>338523</v>
      </c>
      <c r="E3220" t="s">
        <v>11190</v>
      </c>
      <c r="F3220" s="1">
        <v>45111</v>
      </c>
      <c r="G3220" t="str">
        <f>"300101"</f>
        <v>300101</v>
      </c>
      <c r="H3220" t="s">
        <v>2926</v>
      </c>
      <c r="I3220">
        <v>2157.77</v>
      </c>
    </row>
    <row r="3221" spans="1:9" x14ac:dyDescent="0.25">
      <c r="A3221" t="s">
        <v>9616</v>
      </c>
      <c r="C3221" t="s">
        <v>9617</v>
      </c>
      <c r="D3221" t="str">
        <f>"10150360"</f>
        <v>10150360</v>
      </c>
      <c r="E3221" t="s">
        <v>2172</v>
      </c>
      <c r="F3221" s="1">
        <v>45111</v>
      </c>
      <c r="G3221" t="str">
        <f>"300115"</f>
        <v>300115</v>
      </c>
      <c r="H3221" t="s">
        <v>2938</v>
      </c>
      <c r="I3221">
        <v>396020.98800000001</v>
      </c>
    </row>
    <row r="3222" spans="1:9" x14ac:dyDescent="0.25">
      <c r="A3222" t="s">
        <v>9616</v>
      </c>
      <c r="C3222" t="s">
        <v>9617</v>
      </c>
      <c r="D3222" t="str">
        <f>"202305223"</f>
        <v>202305223</v>
      </c>
      <c r="E3222" t="s">
        <v>11207</v>
      </c>
      <c r="F3222" s="1">
        <v>45111</v>
      </c>
      <c r="G3222" t="str">
        <f>"300191"</f>
        <v>300191</v>
      </c>
      <c r="H3222" t="s">
        <v>3008</v>
      </c>
      <c r="I3222">
        <v>7473.76</v>
      </c>
    </row>
    <row r="3223" spans="1:9" x14ac:dyDescent="0.25">
      <c r="A3223" t="s">
        <v>9616</v>
      </c>
      <c r="C3223" t="s">
        <v>9617</v>
      </c>
      <c r="D3223" t="s">
        <v>11208</v>
      </c>
      <c r="E3223" t="s">
        <v>11209</v>
      </c>
      <c r="F3223" s="1">
        <v>45111</v>
      </c>
      <c r="G3223" t="str">
        <f>"300321"</f>
        <v>300321</v>
      </c>
      <c r="H3223" t="s">
        <v>2706</v>
      </c>
      <c r="I3223">
        <v>18000</v>
      </c>
    </row>
    <row r="3224" spans="1:9" x14ac:dyDescent="0.25">
      <c r="A3224" t="s">
        <v>9616</v>
      </c>
      <c r="C3224" t="s">
        <v>9617</v>
      </c>
      <c r="D3224" t="str">
        <f>"47067"</f>
        <v>47067</v>
      </c>
      <c r="E3224" t="s">
        <v>11209</v>
      </c>
      <c r="F3224" s="1">
        <v>45112</v>
      </c>
      <c r="G3224" t="str">
        <f>"300043"</f>
        <v>300043</v>
      </c>
      <c r="H3224" t="s">
        <v>2876</v>
      </c>
      <c r="I3224">
        <v>1502</v>
      </c>
    </row>
    <row r="3225" spans="1:9" x14ac:dyDescent="0.25">
      <c r="A3225" t="s">
        <v>9616</v>
      </c>
      <c r="C3225" t="s">
        <v>9617</v>
      </c>
      <c r="D3225" t="str">
        <f>"47010"</f>
        <v>47010</v>
      </c>
      <c r="E3225" t="s">
        <v>11210</v>
      </c>
      <c r="F3225" s="1">
        <v>45113</v>
      </c>
      <c r="G3225" t="str">
        <f>"300043"</f>
        <v>300043</v>
      </c>
      <c r="H3225" t="s">
        <v>2876</v>
      </c>
      <c r="I3225">
        <v>814</v>
      </c>
    </row>
    <row r="3226" spans="1:9" x14ac:dyDescent="0.25">
      <c r="A3226" t="s">
        <v>9616</v>
      </c>
      <c r="C3226" t="s">
        <v>9617</v>
      </c>
      <c r="D3226" t="str">
        <f>"47219"</f>
        <v>47219</v>
      </c>
      <c r="E3226" t="s">
        <v>11211</v>
      </c>
      <c r="F3226" s="1">
        <v>45113</v>
      </c>
      <c r="G3226" t="str">
        <f>"300043"</f>
        <v>300043</v>
      </c>
      <c r="H3226" t="s">
        <v>2876</v>
      </c>
      <c r="I3226">
        <v>597</v>
      </c>
    </row>
    <row r="3227" spans="1:9" x14ac:dyDescent="0.25">
      <c r="A3227" t="s">
        <v>9616</v>
      </c>
      <c r="C3227" t="s">
        <v>9617</v>
      </c>
      <c r="D3227" t="str">
        <f>"350623"</f>
        <v>350623</v>
      </c>
      <c r="E3227" t="s">
        <v>11211</v>
      </c>
      <c r="F3227" s="1">
        <v>45113</v>
      </c>
      <c r="G3227" t="str">
        <f>"300101"</f>
        <v>300101</v>
      </c>
      <c r="H3227" t="s">
        <v>2926</v>
      </c>
      <c r="I3227">
        <v>5610.72</v>
      </c>
    </row>
    <row r="3228" spans="1:9" x14ac:dyDescent="0.25">
      <c r="A3228" t="s">
        <v>9616</v>
      </c>
      <c r="C3228" t="s">
        <v>9617</v>
      </c>
      <c r="D3228" t="str">
        <f>"361123"</f>
        <v>361123</v>
      </c>
      <c r="E3228" t="s">
        <v>11210</v>
      </c>
      <c r="F3228" s="1">
        <v>45113</v>
      </c>
      <c r="G3228" t="str">
        <f>"300101"</f>
        <v>300101</v>
      </c>
      <c r="H3228" t="s">
        <v>2926</v>
      </c>
      <c r="I3228">
        <v>4096.8999999999996</v>
      </c>
    </row>
    <row r="3229" spans="1:9" x14ac:dyDescent="0.25">
      <c r="A3229" t="s">
        <v>9616</v>
      </c>
      <c r="C3229" t="s">
        <v>9617</v>
      </c>
      <c r="D3229" t="str">
        <f>"10150411"</f>
        <v>10150411</v>
      </c>
      <c r="E3229" t="s">
        <v>9189</v>
      </c>
      <c r="F3229" s="1">
        <v>45113</v>
      </c>
      <c r="G3229" t="str">
        <f>"300115"</f>
        <v>300115</v>
      </c>
      <c r="H3229" t="s">
        <v>2938</v>
      </c>
      <c r="I3229">
        <v>396020.98800000001</v>
      </c>
    </row>
    <row r="3230" spans="1:9" x14ac:dyDescent="0.25">
      <c r="A3230" t="s">
        <v>9616</v>
      </c>
      <c r="C3230" t="s">
        <v>9617</v>
      </c>
      <c r="D3230" t="s">
        <v>11212</v>
      </c>
      <c r="E3230" t="s">
        <v>11213</v>
      </c>
      <c r="F3230" s="1">
        <v>45113</v>
      </c>
      <c r="G3230" t="str">
        <f>"300321"</f>
        <v>300321</v>
      </c>
      <c r="H3230" t="s">
        <v>2706</v>
      </c>
      <c r="I3230">
        <v>18000</v>
      </c>
    </row>
    <row r="3231" spans="1:9" x14ac:dyDescent="0.25">
      <c r="A3231" t="s">
        <v>9616</v>
      </c>
      <c r="C3231" t="s">
        <v>9617</v>
      </c>
      <c r="D3231" t="str">
        <f>"10150507"</f>
        <v>10150507</v>
      </c>
      <c r="E3231" t="s">
        <v>9189</v>
      </c>
      <c r="F3231" s="1">
        <v>45114</v>
      </c>
      <c r="G3231" t="str">
        <f>"300115"</f>
        <v>300115</v>
      </c>
      <c r="H3231" t="s">
        <v>2938</v>
      </c>
      <c r="I3231">
        <v>396020.98800000001</v>
      </c>
    </row>
    <row r="3232" spans="1:9" x14ac:dyDescent="0.25">
      <c r="A3232" t="s">
        <v>9616</v>
      </c>
      <c r="C3232" t="s">
        <v>9617</v>
      </c>
      <c r="D3232" t="str">
        <f>"202305330"</f>
        <v>202305330</v>
      </c>
      <c r="E3232" t="s">
        <v>11209</v>
      </c>
      <c r="F3232" s="1">
        <v>45114</v>
      </c>
      <c r="G3232" t="str">
        <f>"300191"</f>
        <v>300191</v>
      </c>
      <c r="H3232" t="s">
        <v>3008</v>
      </c>
      <c r="I3232">
        <v>3201.27</v>
      </c>
    </row>
    <row r="3233" spans="1:9" x14ac:dyDescent="0.25">
      <c r="A3233" t="s">
        <v>9616</v>
      </c>
      <c r="C3233" t="s">
        <v>9617</v>
      </c>
      <c r="D3233" t="s">
        <v>11214</v>
      </c>
      <c r="E3233" t="s">
        <v>11215</v>
      </c>
      <c r="F3233" s="1">
        <v>45114</v>
      </c>
      <c r="G3233" t="str">
        <f>"300321"</f>
        <v>300321</v>
      </c>
      <c r="H3233" t="s">
        <v>2706</v>
      </c>
      <c r="I3233">
        <v>18000</v>
      </c>
    </row>
    <row r="3234" spans="1:9" x14ac:dyDescent="0.25">
      <c r="A3234" t="s">
        <v>9616</v>
      </c>
      <c r="C3234" t="s">
        <v>9617</v>
      </c>
      <c r="D3234" t="str">
        <f>"57297"</f>
        <v>57297</v>
      </c>
      <c r="E3234" t="s">
        <v>11216</v>
      </c>
      <c r="F3234" s="1">
        <v>45117</v>
      </c>
      <c r="G3234" t="str">
        <f>"300043"</f>
        <v>300043</v>
      </c>
      <c r="H3234" t="s">
        <v>2876</v>
      </c>
      <c r="I3234">
        <v>169</v>
      </c>
    </row>
    <row r="3235" spans="1:9" x14ac:dyDescent="0.25">
      <c r="A3235" t="s">
        <v>9616</v>
      </c>
      <c r="C3235" t="s">
        <v>9617</v>
      </c>
      <c r="D3235" t="str">
        <f>"10150508"</f>
        <v>10150508</v>
      </c>
      <c r="E3235" t="s">
        <v>2172</v>
      </c>
      <c r="F3235" s="1">
        <v>45117</v>
      </c>
      <c r="G3235" t="str">
        <f>"300115"</f>
        <v>300115</v>
      </c>
      <c r="H3235" t="s">
        <v>2938</v>
      </c>
      <c r="I3235">
        <v>375590.0148</v>
      </c>
    </row>
    <row r="3236" spans="1:9" x14ac:dyDescent="0.25">
      <c r="A3236" t="s">
        <v>9616</v>
      </c>
      <c r="C3236" t="s">
        <v>9617</v>
      </c>
      <c r="D3236" t="s">
        <v>11217</v>
      </c>
      <c r="E3236" t="s">
        <v>11218</v>
      </c>
      <c r="F3236" s="1">
        <v>45117</v>
      </c>
      <c r="G3236" t="str">
        <f>"300321"</f>
        <v>300321</v>
      </c>
      <c r="H3236" t="s">
        <v>2706</v>
      </c>
      <c r="I3236">
        <v>18000</v>
      </c>
    </row>
    <row r="3237" spans="1:9" x14ac:dyDescent="0.25">
      <c r="A3237" t="s">
        <v>9616</v>
      </c>
      <c r="C3237" t="s">
        <v>9617</v>
      </c>
      <c r="D3237" t="str">
        <f>"47784"</f>
        <v>47784</v>
      </c>
      <c r="E3237" t="s">
        <v>11213</v>
      </c>
      <c r="F3237" s="1">
        <v>45118</v>
      </c>
      <c r="G3237" t="str">
        <f>"300043"</f>
        <v>300043</v>
      </c>
      <c r="H3237" t="s">
        <v>2876</v>
      </c>
      <c r="I3237">
        <v>1505</v>
      </c>
    </row>
    <row r="3238" spans="1:9" x14ac:dyDescent="0.25">
      <c r="A3238" t="s">
        <v>9616</v>
      </c>
      <c r="C3238" t="s">
        <v>9617</v>
      </c>
      <c r="D3238" t="str">
        <f>"48102"</f>
        <v>48102</v>
      </c>
      <c r="E3238" t="s">
        <v>11215</v>
      </c>
      <c r="F3238" s="1">
        <v>45118</v>
      </c>
      <c r="G3238" t="str">
        <f>"300043"</f>
        <v>300043</v>
      </c>
      <c r="H3238" t="s">
        <v>2876</v>
      </c>
      <c r="I3238">
        <v>1510</v>
      </c>
    </row>
    <row r="3239" spans="1:9" x14ac:dyDescent="0.25">
      <c r="A3239" t="s">
        <v>9616</v>
      </c>
      <c r="C3239" t="s">
        <v>9617</v>
      </c>
      <c r="D3239" t="str">
        <f>"48123"</f>
        <v>48123</v>
      </c>
      <c r="E3239" t="s">
        <v>11218</v>
      </c>
      <c r="F3239" s="1">
        <v>45118</v>
      </c>
      <c r="G3239" t="str">
        <f>"300043"</f>
        <v>300043</v>
      </c>
      <c r="H3239" t="s">
        <v>2876</v>
      </c>
      <c r="I3239">
        <v>1444</v>
      </c>
    </row>
    <row r="3240" spans="1:9" x14ac:dyDescent="0.25">
      <c r="A3240" t="s">
        <v>9616</v>
      </c>
      <c r="C3240" t="s">
        <v>9617</v>
      </c>
      <c r="D3240" t="str">
        <f>"10150537"</f>
        <v>10150537</v>
      </c>
      <c r="E3240" t="s">
        <v>9189</v>
      </c>
      <c r="F3240" s="1">
        <v>45118</v>
      </c>
      <c r="G3240" t="str">
        <f>"300115"</f>
        <v>300115</v>
      </c>
      <c r="H3240" t="s">
        <v>2938</v>
      </c>
      <c r="I3240">
        <v>375590.0148</v>
      </c>
    </row>
    <row r="3241" spans="1:9" x14ac:dyDescent="0.25">
      <c r="A3241" t="s">
        <v>9616</v>
      </c>
      <c r="C3241" t="s">
        <v>9617</v>
      </c>
      <c r="D3241" t="str">
        <f>"10150542"</f>
        <v>10150542</v>
      </c>
      <c r="E3241" t="s">
        <v>2172</v>
      </c>
      <c r="F3241" s="1">
        <v>45118</v>
      </c>
      <c r="G3241" t="str">
        <f>"300115"</f>
        <v>300115</v>
      </c>
      <c r="H3241" t="s">
        <v>2938</v>
      </c>
      <c r="I3241">
        <v>396020.98800000001</v>
      </c>
    </row>
    <row r="3242" spans="1:9" x14ac:dyDescent="0.25">
      <c r="A3242" t="s">
        <v>9616</v>
      </c>
      <c r="C3242" t="s">
        <v>9617</v>
      </c>
      <c r="D3242" t="s">
        <v>11219</v>
      </c>
      <c r="E3242" t="s">
        <v>11220</v>
      </c>
      <c r="F3242" s="1">
        <v>45118</v>
      </c>
      <c r="G3242" t="str">
        <f>"300321"</f>
        <v>300321</v>
      </c>
      <c r="H3242" t="s">
        <v>2706</v>
      </c>
      <c r="I3242">
        <v>18000</v>
      </c>
    </row>
    <row r="3243" spans="1:9" x14ac:dyDescent="0.25">
      <c r="A3243" t="s">
        <v>9616</v>
      </c>
      <c r="C3243" t="s">
        <v>9617</v>
      </c>
      <c r="D3243" t="s">
        <v>11221</v>
      </c>
      <c r="E3243" t="s">
        <v>11222</v>
      </c>
      <c r="F3243" s="1">
        <v>45118</v>
      </c>
      <c r="G3243" t="str">
        <f>"300321"</f>
        <v>300321</v>
      </c>
      <c r="H3243" t="s">
        <v>2706</v>
      </c>
      <c r="I3243">
        <v>18000</v>
      </c>
    </row>
    <row r="3244" spans="1:9" x14ac:dyDescent="0.25">
      <c r="A3244" t="s">
        <v>9616</v>
      </c>
      <c r="C3244" t="s">
        <v>9617</v>
      </c>
      <c r="D3244" t="str">
        <f>"100011374"</f>
        <v>100011374</v>
      </c>
      <c r="E3244" t="s">
        <v>9191</v>
      </c>
      <c r="F3244" s="1">
        <v>45119</v>
      </c>
      <c r="G3244" t="str">
        <f>"300226"</f>
        <v>300226</v>
      </c>
      <c r="H3244" t="s">
        <v>3025</v>
      </c>
      <c r="I3244">
        <v>321424.52100000001</v>
      </c>
    </row>
    <row r="3245" spans="1:9" x14ac:dyDescent="0.25">
      <c r="A3245" t="s">
        <v>9616</v>
      </c>
      <c r="C3245" t="s">
        <v>9617</v>
      </c>
      <c r="D3245" t="str">
        <f>"48593"</f>
        <v>48593</v>
      </c>
      <c r="E3245" t="s">
        <v>11222</v>
      </c>
      <c r="F3245" s="1">
        <v>45120</v>
      </c>
      <c r="G3245" t="str">
        <f>"300043"</f>
        <v>300043</v>
      </c>
      <c r="H3245" t="s">
        <v>2876</v>
      </c>
      <c r="I3245">
        <v>1451</v>
      </c>
    </row>
    <row r="3246" spans="1:9" x14ac:dyDescent="0.25">
      <c r="A3246" t="s">
        <v>9616</v>
      </c>
      <c r="C3246" t="s">
        <v>9617</v>
      </c>
      <c r="D3246" t="str">
        <f>"48634"</f>
        <v>48634</v>
      </c>
      <c r="E3246" t="s">
        <v>11220</v>
      </c>
      <c r="F3246" s="1">
        <v>45120</v>
      </c>
      <c r="G3246" t="str">
        <f>"300043"</f>
        <v>300043</v>
      </c>
      <c r="H3246" t="s">
        <v>2876</v>
      </c>
      <c r="I3246">
        <v>1517</v>
      </c>
    </row>
    <row r="3247" spans="1:9" x14ac:dyDescent="0.25">
      <c r="A3247" t="s">
        <v>9616</v>
      </c>
      <c r="C3247" t="s">
        <v>9617</v>
      </c>
      <c r="D3247" t="str">
        <f>"202305507"</f>
        <v>202305507</v>
      </c>
      <c r="E3247" t="s">
        <v>11218</v>
      </c>
      <c r="F3247" s="1">
        <v>45120</v>
      </c>
      <c r="G3247" t="str">
        <f>"300191"</f>
        <v>300191</v>
      </c>
      <c r="H3247" t="s">
        <v>3008</v>
      </c>
      <c r="I3247">
        <v>3201.27</v>
      </c>
    </row>
    <row r="3248" spans="1:9" x14ac:dyDescent="0.25">
      <c r="A3248" t="s">
        <v>9616</v>
      </c>
      <c r="C3248" t="s">
        <v>9617</v>
      </c>
      <c r="D3248" t="str">
        <f>"202305513"</f>
        <v>202305513</v>
      </c>
      <c r="E3248" t="s">
        <v>11215</v>
      </c>
      <c r="F3248" s="1">
        <v>45120</v>
      </c>
      <c r="G3248" t="str">
        <f>"300191"</f>
        <v>300191</v>
      </c>
      <c r="H3248" t="s">
        <v>3008</v>
      </c>
      <c r="I3248">
        <v>3001.27</v>
      </c>
    </row>
    <row r="3249" spans="1:9" x14ac:dyDescent="0.25">
      <c r="A3249" t="s">
        <v>9616</v>
      </c>
      <c r="C3249" t="s">
        <v>9617</v>
      </c>
      <c r="D3249" t="str">
        <f>"8000423569"</f>
        <v>8000423569</v>
      </c>
      <c r="E3249" t="s">
        <v>9189</v>
      </c>
      <c r="F3249" s="1">
        <v>45120</v>
      </c>
      <c r="G3249" t="str">
        <f>"300220"</f>
        <v>300220</v>
      </c>
      <c r="H3249" t="s">
        <v>2170</v>
      </c>
      <c r="I3249">
        <v>945739.47600000002</v>
      </c>
    </row>
    <row r="3250" spans="1:9" x14ac:dyDescent="0.25">
      <c r="A3250" t="s">
        <v>9616</v>
      </c>
      <c r="C3250" t="s">
        <v>9617</v>
      </c>
      <c r="D3250" t="str">
        <f>"202305563"</f>
        <v>202305563</v>
      </c>
      <c r="E3250" t="s">
        <v>11216</v>
      </c>
      <c r="F3250" s="1">
        <v>45121</v>
      </c>
      <c r="G3250" t="str">
        <f>"300191"</f>
        <v>300191</v>
      </c>
      <c r="H3250" t="s">
        <v>3008</v>
      </c>
      <c r="I3250">
        <v>2993.95</v>
      </c>
    </row>
    <row r="3251" spans="1:9" x14ac:dyDescent="0.25">
      <c r="A3251" t="s">
        <v>9616</v>
      </c>
      <c r="C3251" t="s">
        <v>9617</v>
      </c>
      <c r="D3251" t="str">
        <f>"202305606"</f>
        <v>202305606</v>
      </c>
      <c r="E3251" t="s">
        <v>11213</v>
      </c>
      <c r="F3251" s="1">
        <v>45122</v>
      </c>
      <c r="G3251" t="str">
        <f>"300191"</f>
        <v>300191</v>
      </c>
      <c r="H3251" t="s">
        <v>3008</v>
      </c>
      <c r="I3251">
        <v>3315.93</v>
      </c>
    </row>
    <row r="3252" spans="1:9" x14ac:dyDescent="0.25">
      <c r="A3252" t="s">
        <v>9616</v>
      </c>
      <c r="C3252" t="s">
        <v>9617</v>
      </c>
      <c r="D3252" t="str">
        <f>"202305607"</f>
        <v>202305607</v>
      </c>
      <c r="E3252" t="s">
        <v>11222</v>
      </c>
      <c r="F3252" s="1">
        <v>45122</v>
      </c>
      <c r="G3252" t="str">
        <f>"300191"</f>
        <v>300191</v>
      </c>
      <c r="H3252" t="s">
        <v>3008</v>
      </c>
      <c r="I3252">
        <v>3359.43</v>
      </c>
    </row>
    <row r="3253" spans="1:9" x14ac:dyDescent="0.25">
      <c r="A3253" t="s">
        <v>9616</v>
      </c>
      <c r="C3253" t="s">
        <v>9617</v>
      </c>
      <c r="D3253" t="str">
        <f>"202305608"</f>
        <v>202305608</v>
      </c>
      <c r="E3253" t="s">
        <v>11220</v>
      </c>
      <c r="F3253" s="1">
        <v>45122</v>
      </c>
      <c r="G3253" t="str">
        <f>"300191"</f>
        <v>300191</v>
      </c>
      <c r="H3253" t="s">
        <v>3008</v>
      </c>
      <c r="I3253">
        <v>3201.27</v>
      </c>
    </row>
    <row r="3254" spans="1:9" x14ac:dyDescent="0.25">
      <c r="A3254" t="s">
        <v>9616</v>
      </c>
      <c r="C3254" t="s">
        <v>9617</v>
      </c>
      <c r="D3254" t="str">
        <f>"10150697"</f>
        <v>10150697</v>
      </c>
      <c r="E3254" t="s">
        <v>1332</v>
      </c>
      <c r="F3254" s="1">
        <v>45124</v>
      </c>
      <c r="G3254" t="str">
        <f>"300115"</f>
        <v>300115</v>
      </c>
      <c r="H3254" t="s">
        <v>2938</v>
      </c>
      <c r="I3254">
        <v>134539.21799999999</v>
      </c>
    </row>
    <row r="3255" spans="1:9" x14ac:dyDescent="0.25">
      <c r="A3255" t="s">
        <v>9616</v>
      </c>
      <c r="C3255" t="s">
        <v>9617</v>
      </c>
      <c r="D3255" t="str">
        <f>"10150698"</f>
        <v>10150698</v>
      </c>
      <c r="E3255" t="s">
        <v>1332</v>
      </c>
      <c r="F3255" s="1">
        <v>45124</v>
      </c>
      <c r="G3255" t="str">
        <f>"300115"</f>
        <v>300115</v>
      </c>
      <c r="H3255" t="s">
        <v>2938</v>
      </c>
      <c r="I3255">
        <v>134539.21799999999</v>
      </c>
    </row>
    <row r="3256" spans="1:9" x14ac:dyDescent="0.25">
      <c r="A3256" t="s">
        <v>9616</v>
      </c>
      <c r="C3256" t="s">
        <v>9617</v>
      </c>
      <c r="D3256" t="str">
        <f>"202305626"</f>
        <v>202305626</v>
      </c>
      <c r="E3256" t="s">
        <v>11199</v>
      </c>
      <c r="F3256" s="1">
        <v>45124</v>
      </c>
      <c r="G3256" t="str">
        <f>"300191"</f>
        <v>300191</v>
      </c>
      <c r="H3256" t="s">
        <v>3008</v>
      </c>
      <c r="I3256">
        <v>5868.79</v>
      </c>
    </row>
    <row r="3257" spans="1:9" x14ac:dyDescent="0.25">
      <c r="A3257" t="s">
        <v>9616</v>
      </c>
      <c r="C3257" t="s">
        <v>9617</v>
      </c>
      <c r="D3257" t="str">
        <f>"202305627"</f>
        <v>202305627</v>
      </c>
      <c r="E3257" t="s">
        <v>11197</v>
      </c>
      <c r="F3257" s="1">
        <v>45124</v>
      </c>
      <c r="G3257" t="str">
        <f>"300191"</f>
        <v>300191</v>
      </c>
      <c r="H3257" t="s">
        <v>3008</v>
      </c>
      <c r="I3257">
        <v>11036.48</v>
      </c>
    </row>
    <row r="3258" spans="1:9" x14ac:dyDescent="0.25">
      <c r="A3258" t="s">
        <v>9616</v>
      </c>
      <c r="C3258" t="s">
        <v>9617</v>
      </c>
      <c r="D3258" t="str">
        <f>"10150739"</f>
        <v>10150739</v>
      </c>
      <c r="E3258" t="s">
        <v>1928</v>
      </c>
      <c r="F3258" s="1">
        <v>45125</v>
      </c>
      <c r="G3258" t="str">
        <f>"300115"</f>
        <v>300115</v>
      </c>
      <c r="H3258" t="s">
        <v>2938</v>
      </c>
      <c r="I3258">
        <v>134539.21799999999</v>
      </c>
    </row>
    <row r="3259" spans="1:9" x14ac:dyDescent="0.25">
      <c r="A3259" t="s">
        <v>9616</v>
      </c>
      <c r="C3259" t="s">
        <v>9617</v>
      </c>
      <c r="D3259" t="str">
        <f>"10150779"</f>
        <v>10150779</v>
      </c>
      <c r="E3259" t="s">
        <v>1928</v>
      </c>
      <c r="F3259" s="1">
        <v>45126</v>
      </c>
      <c r="G3259" t="str">
        <f>"300115"</f>
        <v>300115</v>
      </c>
      <c r="H3259" t="s">
        <v>2938</v>
      </c>
      <c r="I3259">
        <v>134539.21799999999</v>
      </c>
    </row>
    <row r="3260" spans="1:9" x14ac:dyDescent="0.25">
      <c r="A3260" t="s">
        <v>9616</v>
      </c>
      <c r="C3260" t="s">
        <v>9617</v>
      </c>
      <c r="D3260" t="str">
        <f>"532"</f>
        <v>532</v>
      </c>
      <c r="F3260" s="1">
        <v>45127</v>
      </c>
      <c r="G3260" t="str">
        <f>"300043"</f>
        <v>300043</v>
      </c>
      <c r="H3260" t="s">
        <v>2876</v>
      </c>
      <c r="I3260">
        <v>3486</v>
      </c>
    </row>
    <row r="3261" spans="1:9" x14ac:dyDescent="0.25">
      <c r="A3261" t="s">
        <v>9616</v>
      </c>
      <c r="C3261" t="s">
        <v>9617</v>
      </c>
      <c r="D3261" t="str">
        <f>"50114"</f>
        <v>50114</v>
      </c>
      <c r="E3261" t="s">
        <v>11094</v>
      </c>
      <c r="F3261" s="1">
        <v>45127</v>
      </c>
      <c r="G3261" t="str">
        <f>"300043"</f>
        <v>300043</v>
      </c>
      <c r="H3261" t="s">
        <v>2876</v>
      </c>
      <c r="I3261">
        <v>612</v>
      </c>
    </row>
    <row r="3262" spans="1:9" x14ac:dyDescent="0.25">
      <c r="A3262" t="s">
        <v>9616</v>
      </c>
      <c r="C3262" t="s">
        <v>9617</v>
      </c>
      <c r="D3262" t="str">
        <f>"50245"</f>
        <v>50245</v>
      </c>
      <c r="E3262" t="s">
        <v>11223</v>
      </c>
      <c r="F3262" s="1">
        <v>45127</v>
      </c>
      <c r="G3262" t="str">
        <f>"300043"</f>
        <v>300043</v>
      </c>
      <c r="H3262" t="s">
        <v>2876</v>
      </c>
      <c r="I3262">
        <v>612</v>
      </c>
    </row>
    <row r="3263" spans="1:9" x14ac:dyDescent="0.25">
      <c r="A3263" t="s">
        <v>9616</v>
      </c>
      <c r="C3263" t="s">
        <v>9617</v>
      </c>
      <c r="D3263" t="str">
        <f>"377823"</f>
        <v>377823</v>
      </c>
      <c r="E3263" t="s">
        <v>11223</v>
      </c>
      <c r="F3263" s="1">
        <v>45127</v>
      </c>
      <c r="G3263" t="str">
        <f>"300101"</f>
        <v>300101</v>
      </c>
      <c r="H3263" t="s">
        <v>2926</v>
      </c>
      <c r="I3263">
        <v>3147.93</v>
      </c>
    </row>
    <row r="3264" spans="1:9" x14ac:dyDescent="0.25">
      <c r="A3264" t="s">
        <v>9616</v>
      </c>
      <c r="C3264" t="s">
        <v>9617</v>
      </c>
      <c r="D3264" t="str">
        <f>"737923"</f>
        <v>737923</v>
      </c>
      <c r="E3264" t="s">
        <v>11224</v>
      </c>
      <c r="F3264" s="1">
        <v>45127</v>
      </c>
      <c r="G3264" t="str">
        <f>"300101"</f>
        <v>300101</v>
      </c>
      <c r="H3264" t="s">
        <v>2926</v>
      </c>
      <c r="I3264">
        <v>3306.09</v>
      </c>
    </row>
    <row r="3265" spans="1:9" x14ac:dyDescent="0.25">
      <c r="A3265" t="s">
        <v>9616</v>
      </c>
      <c r="C3265" t="s">
        <v>9617</v>
      </c>
      <c r="D3265" t="str">
        <f>"50093"</f>
        <v>50093</v>
      </c>
      <c r="E3265" t="s">
        <v>11225</v>
      </c>
      <c r="F3265" s="1">
        <v>45128</v>
      </c>
      <c r="G3265" t="str">
        <f>"300043"</f>
        <v>300043</v>
      </c>
      <c r="H3265" t="s">
        <v>2876</v>
      </c>
      <c r="I3265">
        <v>611</v>
      </c>
    </row>
    <row r="3266" spans="1:9" x14ac:dyDescent="0.25">
      <c r="A3266" t="s">
        <v>9616</v>
      </c>
      <c r="C3266" t="s">
        <v>9617</v>
      </c>
      <c r="D3266" t="str">
        <f>"378023"</f>
        <v>378023</v>
      </c>
      <c r="E3266" t="s">
        <v>11225</v>
      </c>
      <c r="F3266" s="1">
        <v>45128</v>
      </c>
      <c r="G3266" t="str">
        <f>"300101"</f>
        <v>300101</v>
      </c>
      <c r="H3266" t="s">
        <v>2926</v>
      </c>
      <c r="I3266">
        <v>3306.09</v>
      </c>
    </row>
    <row r="3267" spans="1:9" x14ac:dyDescent="0.25">
      <c r="A3267" t="s">
        <v>9616</v>
      </c>
      <c r="C3267" t="s">
        <v>9617</v>
      </c>
      <c r="D3267" t="str">
        <f>"10150858"</f>
        <v>10150858</v>
      </c>
      <c r="E3267" t="s">
        <v>11226</v>
      </c>
      <c r="F3267" s="1">
        <v>45128</v>
      </c>
      <c r="G3267" t="str">
        <f>"300115"</f>
        <v>300115</v>
      </c>
      <c r="H3267" t="s">
        <v>2938</v>
      </c>
      <c r="I3267">
        <v>393576.86940000003</v>
      </c>
    </row>
    <row r="3268" spans="1:9" x14ac:dyDescent="0.25">
      <c r="A3268" t="s">
        <v>9616</v>
      </c>
      <c r="C3268" t="s">
        <v>9617</v>
      </c>
      <c r="D3268" t="str">
        <f>"10150860"</f>
        <v>10150860</v>
      </c>
      <c r="E3268" t="s">
        <v>11226</v>
      </c>
      <c r="F3268" s="1">
        <v>45128</v>
      </c>
      <c r="G3268" t="str">
        <f>"300115"</f>
        <v>300115</v>
      </c>
      <c r="H3268" t="s">
        <v>2938</v>
      </c>
      <c r="I3268">
        <v>393576.86940000003</v>
      </c>
    </row>
    <row r="3269" spans="1:9" x14ac:dyDescent="0.25">
      <c r="A3269" t="s">
        <v>9616</v>
      </c>
      <c r="C3269" t="s">
        <v>9617</v>
      </c>
      <c r="D3269" t="str">
        <f>"10150898"</f>
        <v>10150898</v>
      </c>
      <c r="E3269" t="s">
        <v>9189</v>
      </c>
      <c r="F3269" s="1">
        <v>45128</v>
      </c>
      <c r="G3269" t="str">
        <f>"300115"</f>
        <v>300115</v>
      </c>
      <c r="H3269" t="s">
        <v>2938</v>
      </c>
      <c r="I3269">
        <v>357779.99400000001</v>
      </c>
    </row>
    <row r="3270" spans="1:9" x14ac:dyDescent="0.25">
      <c r="A3270" t="s">
        <v>9616</v>
      </c>
      <c r="C3270" t="s">
        <v>9617</v>
      </c>
      <c r="D3270" t="str">
        <f>"10150901"</f>
        <v>10150901</v>
      </c>
      <c r="E3270" t="s">
        <v>8852</v>
      </c>
      <c r="F3270" s="1">
        <v>45128</v>
      </c>
      <c r="G3270" t="str">
        <f>"300115"</f>
        <v>300115</v>
      </c>
      <c r="H3270" t="s">
        <v>2938</v>
      </c>
      <c r="I3270">
        <v>345718.93949999998</v>
      </c>
    </row>
    <row r="3271" spans="1:9" x14ac:dyDescent="0.25">
      <c r="A3271" t="s">
        <v>9616</v>
      </c>
      <c r="C3271" t="s">
        <v>9617</v>
      </c>
      <c r="D3271" t="str">
        <f>"20013918"</f>
        <v>20013918</v>
      </c>
      <c r="E3271" t="s">
        <v>8852</v>
      </c>
      <c r="F3271" s="1">
        <v>45131</v>
      </c>
      <c r="G3271" t="str">
        <f>"300115"</f>
        <v>300115</v>
      </c>
      <c r="H3271" t="s">
        <v>2938</v>
      </c>
      <c r="I3271">
        <v>1976.8320000000001</v>
      </c>
    </row>
    <row r="3272" spans="1:9" x14ac:dyDescent="0.25">
      <c r="A3272" t="s">
        <v>9616</v>
      </c>
      <c r="C3272" t="s">
        <v>9617</v>
      </c>
      <c r="D3272" t="str">
        <f>"048"</f>
        <v>048</v>
      </c>
      <c r="F3272" s="1">
        <v>45132</v>
      </c>
      <c r="G3272" t="str">
        <f>"300043"</f>
        <v>300043</v>
      </c>
      <c r="H3272" t="s">
        <v>2876</v>
      </c>
      <c r="I3272">
        <v>4610</v>
      </c>
    </row>
    <row r="3273" spans="1:9" x14ac:dyDescent="0.25">
      <c r="A3273" t="s">
        <v>9616</v>
      </c>
      <c r="C3273" t="s">
        <v>9617</v>
      </c>
      <c r="D3273" t="str">
        <f>"10150943"</f>
        <v>10150943</v>
      </c>
      <c r="E3273" t="s">
        <v>1313</v>
      </c>
      <c r="F3273" s="1">
        <v>45132</v>
      </c>
      <c r="G3273" t="str">
        <f>"300115"</f>
        <v>300115</v>
      </c>
      <c r="H3273" t="s">
        <v>2938</v>
      </c>
      <c r="I3273">
        <v>165420.288</v>
      </c>
    </row>
    <row r="3274" spans="1:9" x14ac:dyDescent="0.25">
      <c r="A3274" t="s">
        <v>9616</v>
      </c>
      <c r="C3274" t="s">
        <v>9617</v>
      </c>
      <c r="D3274" t="str">
        <f>"51437"</f>
        <v>51437</v>
      </c>
      <c r="E3274" t="s">
        <v>11227</v>
      </c>
      <c r="F3274" s="1">
        <v>45133</v>
      </c>
      <c r="G3274" t="str">
        <f>"300043"</f>
        <v>300043</v>
      </c>
      <c r="H3274" t="s">
        <v>2876</v>
      </c>
      <c r="I3274">
        <v>1457</v>
      </c>
    </row>
    <row r="3275" spans="1:9" x14ac:dyDescent="0.25">
      <c r="A3275" t="s">
        <v>9616</v>
      </c>
      <c r="C3275" t="s">
        <v>9617</v>
      </c>
      <c r="D3275" t="str">
        <f>"395623"</f>
        <v>395623</v>
      </c>
      <c r="E3275" t="s">
        <v>11227</v>
      </c>
      <c r="F3275" s="1">
        <v>45133</v>
      </c>
      <c r="G3275" t="str">
        <f>"300101"</f>
        <v>300101</v>
      </c>
      <c r="H3275" t="s">
        <v>2926</v>
      </c>
      <c r="I3275">
        <v>3306.09</v>
      </c>
    </row>
    <row r="3276" spans="1:9" x14ac:dyDescent="0.25">
      <c r="A3276" t="s">
        <v>9616</v>
      </c>
      <c r="C3276" t="s">
        <v>9617</v>
      </c>
      <c r="D3276" t="s">
        <v>11228</v>
      </c>
      <c r="E3276" t="s">
        <v>11229</v>
      </c>
      <c r="F3276" s="1">
        <v>45133</v>
      </c>
      <c r="G3276" t="str">
        <f>"300364"</f>
        <v>300364</v>
      </c>
      <c r="H3276" t="s">
        <v>3101</v>
      </c>
      <c r="I3276">
        <v>8576.6</v>
      </c>
    </row>
    <row r="3277" spans="1:9" x14ac:dyDescent="0.25">
      <c r="A3277" t="s">
        <v>9616</v>
      </c>
      <c r="C3277" t="s">
        <v>9617</v>
      </c>
      <c r="D3277" t="str">
        <f>"50945"</f>
        <v>50945</v>
      </c>
      <c r="E3277" t="s">
        <v>11230</v>
      </c>
      <c r="F3277" s="1">
        <v>45134</v>
      </c>
      <c r="G3277" t="str">
        <f>"300043"</f>
        <v>300043</v>
      </c>
      <c r="H3277" t="s">
        <v>2876</v>
      </c>
      <c r="I3277">
        <v>608</v>
      </c>
    </row>
    <row r="3278" spans="1:9" x14ac:dyDescent="0.25">
      <c r="A3278" t="s">
        <v>9616</v>
      </c>
      <c r="C3278" t="s">
        <v>9617</v>
      </c>
      <c r="D3278" t="str">
        <f>"396123"</f>
        <v>396123</v>
      </c>
      <c r="E3278" t="s">
        <v>11230</v>
      </c>
      <c r="F3278" s="1">
        <v>45134</v>
      </c>
      <c r="G3278" t="str">
        <f>"300101"</f>
        <v>300101</v>
      </c>
      <c r="H3278" t="s">
        <v>2926</v>
      </c>
      <c r="I3278">
        <v>3780.57</v>
      </c>
    </row>
    <row r="3279" spans="1:9" x14ac:dyDescent="0.25">
      <c r="A3279" t="s">
        <v>9616</v>
      </c>
      <c r="C3279" t="s">
        <v>9617</v>
      </c>
      <c r="D3279" t="str">
        <f>"10151024"</f>
        <v>10151024</v>
      </c>
      <c r="E3279" t="s">
        <v>11231</v>
      </c>
      <c r="F3279" s="1">
        <v>45134</v>
      </c>
      <c r="G3279" t="str">
        <f>"300115"</f>
        <v>300115</v>
      </c>
      <c r="H3279" t="s">
        <v>2938</v>
      </c>
      <c r="I3279">
        <v>134551.89000000001</v>
      </c>
    </row>
    <row r="3280" spans="1:9" x14ac:dyDescent="0.25">
      <c r="A3280" t="s">
        <v>9616</v>
      </c>
      <c r="C3280" t="s">
        <v>9617</v>
      </c>
      <c r="D3280" t="str">
        <f>"10151053"</f>
        <v>10151053</v>
      </c>
      <c r="E3280" t="s">
        <v>11232</v>
      </c>
      <c r="F3280" s="1">
        <v>45134</v>
      </c>
      <c r="G3280" t="str">
        <f>"300115"</f>
        <v>300115</v>
      </c>
      <c r="H3280" t="s">
        <v>2938</v>
      </c>
      <c r="I3280">
        <v>134539.21799999999</v>
      </c>
    </row>
    <row r="3281" spans="1:9" x14ac:dyDescent="0.25">
      <c r="A3281" t="s">
        <v>9616</v>
      </c>
      <c r="C3281" t="s">
        <v>9617</v>
      </c>
      <c r="D3281" t="str">
        <f>"51052"</f>
        <v>51052</v>
      </c>
      <c r="E3281" t="s">
        <v>11233</v>
      </c>
      <c r="F3281" s="1">
        <v>45135</v>
      </c>
      <c r="G3281" t="str">
        <f>"300043"</f>
        <v>300043</v>
      </c>
      <c r="H3281" t="s">
        <v>2876</v>
      </c>
      <c r="I3281">
        <v>1461</v>
      </c>
    </row>
    <row r="3282" spans="1:9" x14ac:dyDescent="0.25">
      <c r="A3282" t="s">
        <v>9616</v>
      </c>
      <c r="C3282" t="s">
        <v>9617</v>
      </c>
      <c r="D3282" t="str">
        <f>"91820"</f>
        <v>91820</v>
      </c>
      <c r="E3282" t="s">
        <v>11229</v>
      </c>
      <c r="F3282" s="1">
        <v>45135</v>
      </c>
      <c r="G3282" t="str">
        <f>"300043"</f>
        <v>300043</v>
      </c>
      <c r="H3282" t="s">
        <v>2876</v>
      </c>
      <c r="I3282">
        <v>1118</v>
      </c>
    </row>
    <row r="3283" spans="1:9" x14ac:dyDescent="0.25">
      <c r="A3283" t="s">
        <v>9616</v>
      </c>
      <c r="C3283" t="s">
        <v>9617</v>
      </c>
      <c r="D3283" t="s">
        <v>11234</v>
      </c>
      <c r="E3283" t="s">
        <v>9112</v>
      </c>
      <c r="F3283" s="1">
        <v>45135</v>
      </c>
      <c r="G3283" t="str">
        <f>"300064"</f>
        <v>300064</v>
      </c>
      <c r="H3283" t="s">
        <v>2896</v>
      </c>
      <c r="I3283">
        <v>140980</v>
      </c>
    </row>
    <row r="3284" spans="1:9" x14ac:dyDescent="0.25">
      <c r="A3284" t="s">
        <v>9616</v>
      </c>
      <c r="C3284" t="s">
        <v>9617</v>
      </c>
      <c r="D3284" t="s">
        <v>11235</v>
      </c>
      <c r="E3284" t="s">
        <v>9112</v>
      </c>
      <c r="F3284" s="1">
        <v>45135</v>
      </c>
      <c r="G3284" t="str">
        <f>"300064"</f>
        <v>300064</v>
      </c>
      <c r="H3284" t="s">
        <v>2896</v>
      </c>
      <c r="I3284">
        <v>140770</v>
      </c>
    </row>
    <row r="3285" spans="1:9" x14ac:dyDescent="0.25">
      <c r="A3285" t="s">
        <v>9616</v>
      </c>
      <c r="C3285" t="s">
        <v>9617</v>
      </c>
      <c r="D3285" t="s">
        <v>11236</v>
      </c>
      <c r="E3285" t="s">
        <v>9112</v>
      </c>
      <c r="F3285" s="1">
        <v>45135</v>
      </c>
      <c r="G3285" t="str">
        <f>"300064"</f>
        <v>300064</v>
      </c>
      <c r="H3285" t="s">
        <v>2896</v>
      </c>
      <c r="I3285">
        <v>140980</v>
      </c>
    </row>
    <row r="3286" spans="1:9" x14ac:dyDescent="0.25">
      <c r="A3286" t="s">
        <v>9616</v>
      </c>
      <c r="C3286" t="s">
        <v>9617</v>
      </c>
      <c r="D3286" t="s">
        <v>11237</v>
      </c>
      <c r="E3286" t="s">
        <v>9112</v>
      </c>
      <c r="F3286" s="1">
        <v>45135</v>
      </c>
      <c r="G3286" t="str">
        <f>"300064"</f>
        <v>300064</v>
      </c>
      <c r="H3286" t="s">
        <v>2896</v>
      </c>
      <c r="I3286">
        <v>140980</v>
      </c>
    </row>
    <row r="3287" spans="1:9" x14ac:dyDescent="0.25">
      <c r="A3287" t="s">
        <v>9616</v>
      </c>
      <c r="C3287" t="s">
        <v>9617</v>
      </c>
      <c r="D3287" t="str">
        <f>"395723"</f>
        <v>395723</v>
      </c>
      <c r="E3287" t="s">
        <v>11233</v>
      </c>
      <c r="F3287" s="1">
        <v>45135</v>
      </c>
      <c r="G3287" t="str">
        <f>"300101"</f>
        <v>300101</v>
      </c>
      <c r="H3287" t="s">
        <v>2926</v>
      </c>
      <c r="I3287">
        <v>3780.57</v>
      </c>
    </row>
    <row r="3288" spans="1:9" x14ac:dyDescent="0.25">
      <c r="A3288" t="s">
        <v>9616</v>
      </c>
      <c r="C3288" t="s">
        <v>9617</v>
      </c>
      <c r="D3288" t="str">
        <f>"10151054"</f>
        <v>10151054</v>
      </c>
      <c r="E3288" t="s">
        <v>1928</v>
      </c>
      <c r="F3288" s="1">
        <v>45135</v>
      </c>
      <c r="G3288" t="str">
        <f>"300115"</f>
        <v>300115</v>
      </c>
      <c r="H3288" t="s">
        <v>2938</v>
      </c>
      <c r="I3288">
        <v>134539.21799999999</v>
      </c>
    </row>
    <row r="3289" spans="1:9" x14ac:dyDescent="0.25">
      <c r="A3289" t="s">
        <v>9616</v>
      </c>
      <c r="C3289" t="s">
        <v>9617</v>
      </c>
      <c r="D3289" t="str">
        <f>"10151055"</f>
        <v>10151055</v>
      </c>
      <c r="E3289" t="s">
        <v>11232</v>
      </c>
      <c r="F3289" s="1">
        <v>45135</v>
      </c>
      <c r="G3289" t="str">
        <f>"300115"</f>
        <v>300115</v>
      </c>
      <c r="H3289" t="s">
        <v>2938</v>
      </c>
      <c r="I3289">
        <v>134539.21799999999</v>
      </c>
    </row>
    <row r="3290" spans="1:9" x14ac:dyDescent="0.25">
      <c r="A3290" t="s">
        <v>9616</v>
      </c>
      <c r="C3290" t="s">
        <v>9617</v>
      </c>
      <c r="D3290" t="str">
        <f>"51987"</f>
        <v>51987</v>
      </c>
      <c r="E3290" t="s">
        <v>11238</v>
      </c>
      <c r="F3290" s="1">
        <v>45136</v>
      </c>
      <c r="G3290" t="str">
        <f>"300043"</f>
        <v>300043</v>
      </c>
      <c r="H3290" t="s">
        <v>2876</v>
      </c>
      <c r="I3290">
        <v>703</v>
      </c>
    </row>
    <row r="3291" spans="1:9" x14ac:dyDescent="0.25">
      <c r="A3291" t="s">
        <v>9616</v>
      </c>
      <c r="C3291" t="s">
        <v>9617</v>
      </c>
      <c r="D3291" t="str">
        <f>"52372"</f>
        <v>52372</v>
      </c>
      <c r="E3291" t="s">
        <v>11113</v>
      </c>
      <c r="F3291" s="1">
        <v>45136</v>
      </c>
      <c r="G3291" t="str">
        <f>"300043"</f>
        <v>300043</v>
      </c>
      <c r="H3291" t="s">
        <v>2876</v>
      </c>
      <c r="I3291">
        <v>1385</v>
      </c>
    </row>
    <row r="3292" spans="1:9" x14ac:dyDescent="0.25">
      <c r="A3292" t="s">
        <v>9616</v>
      </c>
      <c r="C3292" t="s">
        <v>9617</v>
      </c>
      <c r="D3292" t="str">
        <f>"395823"</f>
        <v>395823</v>
      </c>
      <c r="E3292" t="s">
        <v>11238</v>
      </c>
      <c r="F3292" s="1">
        <v>45136</v>
      </c>
      <c r="G3292" t="str">
        <f>"300101"</f>
        <v>300101</v>
      </c>
      <c r="H3292" t="s">
        <v>2926</v>
      </c>
      <c r="I3292">
        <v>3622.41</v>
      </c>
    </row>
    <row r="3293" spans="1:9" x14ac:dyDescent="0.25">
      <c r="A3293" t="s">
        <v>9616</v>
      </c>
      <c r="C3293" t="s">
        <v>9617</v>
      </c>
      <c r="D3293" t="str">
        <f>"396023"</f>
        <v>396023</v>
      </c>
      <c r="E3293" t="s">
        <v>11113</v>
      </c>
      <c r="F3293" s="1">
        <v>45136</v>
      </c>
      <c r="G3293" t="str">
        <f>"300101"</f>
        <v>300101</v>
      </c>
      <c r="H3293" t="s">
        <v>2926</v>
      </c>
      <c r="I3293">
        <v>3780.57</v>
      </c>
    </row>
    <row r="3294" spans="1:9" x14ac:dyDescent="0.25">
      <c r="A3294" t="s">
        <v>9616</v>
      </c>
      <c r="C3294" t="s">
        <v>9617</v>
      </c>
      <c r="D3294" t="str">
        <f>"4676"</f>
        <v>4676</v>
      </c>
      <c r="F3294" s="1">
        <v>45138</v>
      </c>
      <c r="G3294" t="str">
        <f>"300043"</f>
        <v>300043</v>
      </c>
      <c r="H3294" t="s">
        <v>2876</v>
      </c>
      <c r="I3294">
        <v>3717</v>
      </c>
    </row>
    <row r="3295" spans="1:9" x14ac:dyDescent="0.25">
      <c r="A3295" t="s">
        <v>9616</v>
      </c>
      <c r="C3295" t="s">
        <v>9617</v>
      </c>
      <c r="D3295" t="str">
        <f>"52368"</f>
        <v>52368</v>
      </c>
      <c r="E3295" t="s">
        <v>11239</v>
      </c>
      <c r="F3295" s="1">
        <v>45138</v>
      </c>
      <c r="G3295" t="str">
        <f>"300043"</f>
        <v>300043</v>
      </c>
      <c r="H3295" t="s">
        <v>2876</v>
      </c>
      <c r="I3295">
        <v>1293</v>
      </c>
    </row>
    <row r="3296" spans="1:9" x14ac:dyDescent="0.25">
      <c r="A3296" t="s">
        <v>9616</v>
      </c>
      <c r="C3296" t="s">
        <v>9617</v>
      </c>
      <c r="D3296" t="s">
        <v>11240</v>
      </c>
      <c r="F3296" s="1">
        <v>45138</v>
      </c>
      <c r="G3296" t="str">
        <f>"300064"</f>
        <v>300064</v>
      </c>
      <c r="H3296" t="s">
        <v>2896</v>
      </c>
      <c r="I3296">
        <v>15120</v>
      </c>
    </row>
    <row r="3297" spans="1:9" x14ac:dyDescent="0.25">
      <c r="A3297" t="s">
        <v>9616</v>
      </c>
      <c r="C3297" t="s">
        <v>9617</v>
      </c>
      <c r="D3297" t="s">
        <v>11241</v>
      </c>
      <c r="E3297" t="s">
        <v>9112</v>
      </c>
      <c r="F3297" s="1">
        <v>45138</v>
      </c>
      <c r="G3297" t="str">
        <f>"300064"</f>
        <v>300064</v>
      </c>
      <c r="H3297" t="s">
        <v>2896</v>
      </c>
      <c r="I3297">
        <v>140980</v>
      </c>
    </row>
    <row r="3298" spans="1:9" x14ac:dyDescent="0.25">
      <c r="A3298" t="s">
        <v>9616</v>
      </c>
      <c r="C3298" t="s">
        <v>9617</v>
      </c>
      <c r="D3298" t="str">
        <f>"395923"</f>
        <v>395923</v>
      </c>
      <c r="E3298" t="s">
        <v>11239</v>
      </c>
      <c r="F3298" s="1">
        <v>45138</v>
      </c>
      <c r="G3298" t="str">
        <f>"300101"</f>
        <v>300101</v>
      </c>
      <c r="H3298" t="s">
        <v>2926</v>
      </c>
      <c r="I3298">
        <v>3780.57</v>
      </c>
    </row>
    <row r="3299" spans="1:9" x14ac:dyDescent="0.25">
      <c r="A3299" t="s">
        <v>9616</v>
      </c>
      <c r="C3299" t="s">
        <v>9617</v>
      </c>
      <c r="D3299" t="str">
        <f>"10151097"</f>
        <v>10151097</v>
      </c>
      <c r="E3299" t="s">
        <v>1928</v>
      </c>
      <c r="F3299" s="1">
        <v>45138</v>
      </c>
      <c r="G3299" t="str">
        <f>"300115"</f>
        <v>300115</v>
      </c>
      <c r="H3299" t="s">
        <v>2938</v>
      </c>
      <c r="I3299">
        <v>134539.21799999999</v>
      </c>
    </row>
    <row r="3300" spans="1:9" x14ac:dyDescent="0.25">
      <c r="A3300" t="s">
        <v>9616</v>
      </c>
      <c r="C3300" t="s">
        <v>9617</v>
      </c>
      <c r="D3300" t="str">
        <f>"10151098"</f>
        <v>10151098</v>
      </c>
      <c r="E3300" t="s">
        <v>2172</v>
      </c>
      <c r="F3300" s="1">
        <v>45138</v>
      </c>
      <c r="G3300" t="str">
        <f>"300115"</f>
        <v>300115</v>
      </c>
      <c r="H3300" t="s">
        <v>2938</v>
      </c>
      <c r="I3300">
        <v>396020.98800000001</v>
      </c>
    </row>
    <row r="3301" spans="1:9" x14ac:dyDescent="0.25">
      <c r="A3301" t="s">
        <v>9616</v>
      </c>
      <c r="C3301" t="s">
        <v>9617</v>
      </c>
      <c r="D3301" t="str">
        <f>"202306094"</f>
        <v>202306094</v>
      </c>
      <c r="E3301" t="s">
        <v>11229</v>
      </c>
      <c r="F3301" s="1">
        <v>45138</v>
      </c>
      <c r="G3301" t="str">
        <f>"300191"</f>
        <v>300191</v>
      </c>
      <c r="H3301" t="s">
        <v>3008</v>
      </c>
      <c r="I3301">
        <v>8788.5</v>
      </c>
    </row>
    <row r="3302" spans="1:9" x14ac:dyDescent="0.25">
      <c r="A3302" t="s">
        <v>9616</v>
      </c>
      <c r="C3302" t="s">
        <v>9617</v>
      </c>
      <c r="D3302" t="s">
        <v>11242</v>
      </c>
      <c r="E3302" t="s">
        <v>11243</v>
      </c>
      <c r="F3302" s="1">
        <v>45138</v>
      </c>
      <c r="G3302" t="str">
        <f>"300321"</f>
        <v>300321</v>
      </c>
      <c r="H3302" t="s">
        <v>2706</v>
      </c>
      <c r="I3302">
        <v>18000</v>
      </c>
    </row>
    <row r="3303" spans="1:9" x14ac:dyDescent="0.25">
      <c r="A3303" t="s">
        <v>9616</v>
      </c>
      <c r="C3303" t="s">
        <v>9617</v>
      </c>
      <c r="D3303" t="str">
        <f>"52976"</f>
        <v>52976</v>
      </c>
      <c r="E3303" t="s">
        <v>11244</v>
      </c>
      <c r="F3303" s="1">
        <v>45139</v>
      </c>
      <c r="G3303" t="str">
        <f>"300043"</f>
        <v>300043</v>
      </c>
      <c r="H3303" t="s">
        <v>2876</v>
      </c>
      <c r="I3303">
        <v>607</v>
      </c>
    </row>
    <row r="3304" spans="1:9" x14ac:dyDescent="0.25">
      <c r="A3304" t="s">
        <v>9616</v>
      </c>
      <c r="C3304" t="s">
        <v>9617</v>
      </c>
      <c r="D3304" t="str">
        <f>"53005"</f>
        <v>53005</v>
      </c>
      <c r="E3304" t="s">
        <v>11245</v>
      </c>
      <c r="F3304" s="1">
        <v>45139</v>
      </c>
      <c r="G3304" t="str">
        <f>"300043"</f>
        <v>300043</v>
      </c>
      <c r="H3304" t="s">
        <v>2876</v>
      </c>
      <c r="I3304">
        <v>607</v>
      </c>
    </row>
    <row r="3305" spans="1:9" x14ac:dyDescent="0.25">
      <c r="A3305" t="s">
        <v>9616</v>
      </c>
      <c r="C3305" t="s">
        <v>9617</v>
      </c>
      <c r="D3305" t="str">
        <f>"53019"</f>
        <v>53019</v>
      </c>
      <c r="E3305" t="s">
        <v>11246</v>
      </c>
      <c r="F3305" s="1">
        <v>45139</v>
      </c>
      <c r="G3305" t="str">
        <f>"300043"</f>
        <v>300043</v>
      </c>
      <c r="H3305" t="s">
        <v>2876</v>
      </c>
      <c r="I3305">
        <v>607</v>
      </c>
    </row>
    <row r="3306" spans="1:9" x14ac:dyDescent="0.25">
      <c r="A3306" t="s">
        <v>9616</v>
      </c>
      <c r="C3306" t="s">
        <v>9617</v>
      </c>
      <c r="D3306" t="str">
        <f>"53024"</f>
        <v>53024</v>
      </c>
      <c r="E3306" t="s">
        <v>11247</v>
      </c>
      <c r="F3306" s="1">
        <v>45139</v>
      </c>
      <c r="G3306" t="str">
        <f>"300043"</f>
        <v>300043</v>
      </c>
      <c r="H3306" t="s">
        <v>2876</v>
      </c>
      <c r="I3306">
        <v>608</v>
      </c>
    </row>
    <row r="3307" spans="1:9" x14ac:dyDescent="0.25">
      <c r="A3307" t="s">
        <v>9616</v>
      </c>
      <c r="C3307" t="s">
        <v>9617</v>
      </c>
      <c r="D3307" t="str">
        <f>"411823"</f>
        <v>411823</v>
      </c>
      <c r="E3307" t="s">
        <v>11245</v>
      </c>
      <c r="F3307" s="1">
        <v>45139</v>
      </c>
      <c r="G3307" t="str">
        <f>"300101"</f>
        <v>300101</v>
      </c>
      <c r="H3307" t="s">
        <v>2926</v>
      </c>
      <c r="I3307">
        <v>3306.09</v>
      </c>
    </row>
    <row r="3308" spans="1:9" x14ac:dyDescent="0.25">
      <c r="A3308" t="s">
        <v>9616</v>
      </c>
      <c r="C3308" t="s">
        <v>9617</v>
      </c>
      <c r="D3308" t="str">
        <f>"412323"</f>
        <v>412323</v>
      </c>
      <c r="E3308" t="s">
        <v>11247</v>
      </c>
      <c r="F3308" s="1">
        <v>45139</v>
      </c>
      <c r="G3308" t="str">
        <f>"300101"</f>
        <v>300101</v>
      </c>
      <c r="H3308" t="s">
        <v>2926</v>
      </c>
      <c r="I3308">
        <v>3147.93</v>
      </c>
    </row>
    <row r="3309" spans="1:9" x14ac:dyDescent="0.25">
      <c r="A3309" t="s">
        <v>9616</v>
      </c>
      <c r="C3309" t="s">
        <v>9617</v>
      </c>
      <c r="D3309" t="str">
        <f>"412723"</f>
        <v>412723</v>
      </c>
      <c r="E3309" t="s">
        <v>11244</v>
      </c>
      <c r="F3309" s="1">
        <v>45139</v>
      </c>
      <c r="G3309" t="str">
        <f>"300101"</f>
        <v>300101</v>
      </c>
      <c r="H3309" t="s">
        <v>2926</v>
      </c>
      <c r="I3309">
        <v>3147.93</v>
      </c>
    </row>
    <row r="3310" spans="1:9" x14ac:dyDescent="0.25">
      <c r="A3310" t="s">
        <v>9616</v>
      </c>
      <c r="C3310" t="s">
        <v>9617</v>
      </c>
      <c r="D3310" t="str">
        <f>"412823"</f>
        <v>412823</v>
      </c>
      <c r="E3310" t="s">
        <v>11246</v>
      </c>
      <c r="F3310" s="1">
        <v>45139</v>
      </c>
      <c r="G3310" t="str">
        <f>"300101"</f>
        <v>300101</v>
      </c>
      <c r="H3310" t="s">
        <v>2926</v>
      </c>
      <c r="I3310">
        <v>3306.09</v>
      </c>
    </row>
    <row r="3311" spans="1:9" x14ac:dyDescent="0.25">
      <c r="A3311" t="s">
        <v>9616</v>
      </c>
      <c r="C3311" t="s">
        <v>9617</v>
      </c>
      <c r="D3311" t="str">
        <f>"10151178"</f>
        <v>10151178</v>
      </c>
      <c r="E3311" t="s">
        <v>2640</v>
      </c>
      <c r="F3311" s="1">
        <v>45139</v>
      </c>
      <c r="G3311" t="str">
        <f>"300115"</f>
        <v>300115</v>
      </c>
      <c r="H3311" t="s">
        <v>2938</v>
      </c>
      <c r="I3311">
        <v>396020.98800000001</v>
      </c>
    </row>
    <row r="3312" spans="1:9" x14ac:dyDescent="0.25">
      <c r="A3312" t="s">
        <v>9616</v>
      </c>
      <c r="C3312" t="s">
        <v>9617</v>
      </c>
      <c r="D3312" t="str">
        <f>"10151180"</f>
        <v>10151180</v>
      </c>
      <c r="E3312" t="s">
        <v>1928</v>
      </c>
      <c r="F3312" s="1">
        <v>45139</v>
      </c>
      <c r="G3312" t="str">
        <f>"300115"</f>
        <v>300115</v>
      </c>
      <c r="H3312" t="s">
        <v>2938</v>
      </c>
      <c r="I3312">
        <v>134539.21799999999</v>
      </c>
    </row>
    <row r="3313" spans="1:9" x14ac:dyDescent="0.25">
      <c r="A3313" t="s">
        <v>9616</v>
      </c>
      <c r="C3313" t="s">
        <v>9617</v>
      </c>
      <c r="D3313" t="str">
        <f>"10151186"</f>
        <v>10151186</v>
      </c>
      <c r="E3313" t="s">
        <v>1928</v>
      </c>
      <c r="F3313" s="1">
        <v>45139</v>
      </c>
      <c r="G3313" t="str">
        <f>"300115"</f>
        <v>300115</v>
      </c>
      <c r="H3313" t="s">
        <v>2938</v>
      </c>
      <c r="I3313">
        <v>134539.21799999999</v>
      </c>
    </row>
    <row r="3314" spans="1:9" x14ac:dyDescent="0.25">
      <c r="A3314" t="s">
        <v>9616</v>
      </c>
      <c r="C3314" t="s">
        <v>9617</v>
      </c>
      <c r="D3314" t="s">
        <v>11248</v>
      </c>
      <c r="E3314" t="s">
        <v>11249</v>
      </c>
      <c r="F3314" s="1">
        <v>45139</v>
      </c>
      <c r="G3314" t="str">
        <f>"300321"</f>
        <v>300321</v>
      </c>
      <c r="H3314" t="s">
        <v>2706</v>
      </c>
      <c r="I3314">
        <v>18000</v>
      </c>
    </row>
    <row r="3315" spans="1:9" x14ac:dyDescent="0.25">
      <c r="A3315" t="s">
        <v>9616</v>
      </c>
      <c r="C3315" t="s">
        <v>9617</v>
      </c>
      <c r="D3315" t="str">
        <f>"53264"</f>
        <v>53264</v>
      </c>
      <c r="E3315" t="s">
        <v>11243</v>
      </c>
      <c r="F3315" s="1">
        <v>45140</v>
      </c>
      <c r="G3315" t="str">
        <f>"300043"</f>
        <v>300043</v>
      </c>
      <c r="H3315" t="s">
        <v>2876</v>
      </c>
      <c r="I3315">
        <v>1522</v>
      </c>
    </row>
    <row r="3316" spans="1:9" x14ac:dyDescent="0.25">
      <c r="A3316" t="s">
        <v>9616</v>
      </c>
      <c r="C3316" t="s">
        <v>9617</v>
      </c>
      <c r="D3316" t="str">
        <f>"10151182"</f>
        <v>10151182</v>
      </c>
      <c r="E3316" t="s">
        <v>1928</v>
      </c>
      <c r="F3316" s="1">
        <v>45140</v>
      </c>
      <c r="G3316" t="str">
        <f>"300115"</f>
        <v>300115</v>
      </c>
      <c r="H3316" t="s">
        <v>2938</v>
      </c>
      <c r="I3316">
        <v>134539.21799999999</v>
      </c>
    </row>
    <row r="3317" spans="1:9" x14ac:dyDescent="0.25">
      <c r="A3317" t="s">
        <v>9616</v>
      </c>
      <c r="C3317" t="s">
        <v>9617</v>
      </c>
      <c r="D3317" t="str">
        <f>"10151222"</f>
        <v>10151222</v>
      </c>
      <c r="E3317" t="s">
        <v>1928</v>
      </c>
      <c r="F3317" s="1">
        <v>45140</v>
      </c>
      <c r="G3317" t="str">
        <f>"300115"</f>
        <v>300115</v>
      </c>
      <c r="H3317" t="s">
        <v>2938</v>
      </c>
      <c r="I3317">
        <v>134539.21799999999</v>
      </c>
    </row>
    <row r="3318" spans="1:9" x14ac:dyDescent="0.25">
      <c r="A3318" t="s">
        <v>9616</v>
      </c>
      <c r="C3318" t="s">
        <v>9617</v>
      </c>
      <c r="D3318" t="str">
        <f>"10151224"</f>
        <v>10151224</v>
      </c>
      <c r="E3318" t="s">
        <v>1928</v>
      </c>
      <c r="F3318" s="1">
        <v>45140</v>
      </c>
      <c r="G3318" t="str">
        <f>"300115"</f>
        <v>300115</v>
      </c>
      <c r="H3318" t="s">
        <v>2938</v>
      </c>
      <c r="I3318">
        <v>134539.21799999999</v>
      </c>
    </row>
    <row r="3319" spans="1:9" x14ac:dyDescent="0.25">
      <c r="A3319" t="s">
        <v>9616</v>
      </c>
      <c r="C3319" t="s">
        <v>9617</v>
      </c>
      <c r="D3319" t="str">
        <f>"53350"</f>
        <v>53350</v>
      </c>
      <c r="E3319" t="s">
        <v>11250</v>
      </c>
      <c r="F3319" s="1">
        <v>45141</v>
      </c>
      <c r="G3319" t="str">
        <f>"300043"</f>
        <v>300043</v>
      </c>
      <c r="H3319" t="s">
        <v>2876</v>
      </c>
      <c r="I3319">
        <v>1518</v>
      </c>
    </row>
    <row r="3320" spans="1:9" x14ac:dyDescent="0.25">
      <c r="A3320" t="s">
        <v>9616</v>
      </c>
      <c r="C3320" t="s">
        <v>9617</v>
      </c>
      <c r="D3320" t="str">
        <f>"53676"</f>
        <v>53676</v>
      </c>
      <c r="E3320" t="s">
        <v>11251</v>
      </c>
      <c r="F3320" s="1">
        <v>45141</v>
      </c>
      <c r="G3320" t="str">
        <f>"300043"</f>
        <v>300043</v>
      </c>
      <c r="H3320" t="s">
        <v>2876</v>
      </c>
      <c r="I3320">
        <v>605</v>
      </c>
    </row>
    <row r="3321" spans="1:9" x14ac:dyDescent="0.25">
      <c r="A3321" t="s">
        <v>9616</v>
      </c>
      <c r="C3321" t="s">
        <v>9617</v>
      </c>
      <c r="D3321" t="str">
        <f>"53683"</f>
        <v>53683</v>
      </c>
      <c r="E3321" t="s">
        <v>11252</v>
      </c>
      <c r="F3321" s="1">
        <v>45141</v>
      </c>
      <c r="G3321" t="str">
        <f>"300043"</f>
        <v>300043</v>
      </c>
      <c r="H3321" t="s">
        <v>2876</v>
      </c>
      <c r="I3321">
        <v>605</v>
      </c>
    </row>
    <row r="3322" spans="1:9" x14ac:dyDescent="0.25">
      <c r="A3322" t="s">
        <v>9616</v>
      </c>
      <c r="C3322" t="s">
        <v>9617</v>
      </c>
      <c r="D3322" t="str">
        <f>"412023"</f>
        <v>412023</v>
      </c>
      <c r="E3322" t="s">
        <v>11251</v>
      </c>
      <c r="F3322" s="1">
        <v>45141</v>
      </c>
      <c r="G3322" t="str">
        <f>"300101"</f>
        <v>300101</v>
      </c>
      <c r="H3322" t="s">
        <v>2926</v>
      </c>
      <c r="I3322">
        <v>2989.77</v>
      </c>
    </row>
    <row r="3323" spans="1:9" x14ac:dyDescent="0.25">
      <c r="A3323" t="s">
        <v>9616</v>
      </c>
      <c r="C3323" t="s">
        <v>9617</v>
      </c>
      <c r="D3323" t="str">
        <f>"412623"</f>
        <v>412623</v>
      </c>
      <c r="E3323" t="s">
        <v>11252</v>
      </c>
      <c r="F3323" s="1">
        <v>45141</v>
      </c>
      <c r="G3323" t="str">
        <f>"300101"</f>
        <v>300101</v>
      </c>
      <c r="H3323" t="s">
        <v>2926</v>
      </c>
      <c r="I3323">
        <v>3306.09</v>
      </c>
    </row>
    <row r="3324" spans="1:9" x14ac:dyDescent="0.25">
      <c r="A3324" t="s">
        <v>9616</v>
      </c>
      <c r="C3324" t="s">
        <v>9617</v>
      </c>
      <c r="D3324" t="str">
        <f>"10151225"</f>
        <v>10151225</v>
      </c>
      <c r="E3324" t="s">
        <v>1928</v>
      </c>
      <c r="F3324" s="1">
        <v>45141</v>
      </c>
      <c r="G3324" t="str">
        <f>"300115"</f>
        <v>300115</v>
      </c>
      <c r="H3324" t="s">
        <v>2938</v>
      </c>
      <c r="I3324">
        <v>134539.21799999999</v>
      </c>
    </row>
    <row r="3325" spans="1:9" x14ac:dyDescent="0.25">
      <c r="A3325" t="s">
        <v>9616</v>
      </c>
      <c r="C3325" t="s">
        <v>9617</v>
      </c>
      <c r="D3325" t="str">
        <f>"10151226"</f>
        <v>10151226</v>
      </c>
      <c r="E3325" t="s">
        <v>9189</v>
      </c>
      <c r="F3325" s="1">
        <v>45141</v>
      </c>
      <c r="G3325" t="str">
        <f>"300115"</f>
        <v>300115</v>
      </c>
      <c r="H3325" t="s">
        <v>2938</v>
      </c>
      <c r="I3325">
        <v>412748.35800000001</v>
      </c>
    </row>
    <row r="3326" spans="1:9" x14ac:dyDescent="0.25">
      <c r="A3326" t="s">
        <v>9616</v>
      </c>
      <c r="C3326" t="s">
        <v>9617</v>
      </c>
      <c r="D3326" t="str">
        <f>"53829"</f>
        <v>53829</v>
      </c>
      <c r="E3326" t="s">
        <v>11253</v>
      </c>
      <c r="F3326" s="1">
        <v>45142</v>
      </c>
      <c r="G3326" t="str">
        <f>"300043"</f>
        <v>300043</v>
      </c>
      <c r="H3326" t="s">
        <v>2876</v>
      </c>
      <c r="I3326">
        <v>605</v>
      </c>
    </row>
    <row r="3327" spans="1:9" x14ac:dyDescent="0.25">
      <c r="A3327" t="s">
        <v>9616</v>
      </c>
      <c r="C3327" t="s">
        <v>9617</v>
      </c>
      <c r="D3327" t="str">
        <f>"53861"</f>
        <v>53861</v>
      </c>
      <c r="E3327" t="s">
        <v>11254</v>
      </c>
      <c r="F3327" s="1">
        <v>45142</v>
      </c>
      <c r="G3327" t="str">
        <f>"300043"</f>
        <v>300043</v>
      </c>
      <c r="H3327" t="s">
        <v>2876</v>
      </c>
      <c r="I3327">
        <v>605</v>
      </c>
    </row>
    <row r="3328" spans="1:9" x14ac:dyDescent="0.25">
      <c r="A3328" t="s">
        <v>9616</v>
      </c>
      <c r="C3328" t="s">
        <v>9617</v>
      </c>
      <c r="D3328" t="str">
        <f>"411923"</f>
        <v>411923</v>
      </c>
      <c r="E3328" t="s">
        <v>11253</v>
      </c>
      <c r="F3328" s="1">
        <v>45142</v>
      </c>
      <c r="G3328" t="str">
        <f>"300101"</f>
        <v>300101</v>
      </c>
      <c r="H3328" t="s">
        <v>2926</v>
      </c>
      <c r="I3328">
        <v>3147.93</v>
      </c>
    </row>
    <row r="3329" spans="1:9" x14ac:dyDescent="0.25">
      <c r="A3329" t="s">
        <v>9616</v>
      </c>
      <c r="C3329" t="s">
        <v>9617</v>
      </c>
      <c r="D3329" t="str">
        <f>"412223"</f>
        <v>412223</v>
      </c>
      <c r="E3329" t="s">
        <v>11254</v>
      </c>
      <c r="F3329" s="1">
        <v>45142</v>
      </c>
      <c r="G3329" t="str">
        <f>"300101"</f>
        <v>300101</v>
      </c>
      <c r="H3329" t="s">
        <v>2926</v>
      </c>
      <c r="I3329">
        <v>2989.77</v>
      </c>
    </row>
    <row r="3330" spans="1:9" x14ac:dyDescent="0.25">
      <c r="A3330" t="s">
        <v>9616</v>
      </c>
      <c r="C3330" t="s">
        <v>9617</v>
      </c>
      <c r="D3330" t="str">
        <f>"10151257"</f>
        <v>10151257</v>
      </c>
      <c r="E3330" t="s">
        <v>9189</v>
      </c>
      <c r="F3330" s="1">
        <v>45142</v>
      </c>
      <c r="G3330" t="str">
        <f>"300115"</f>
        <v>300115</v>
      </c>
      <c r="H3330" t="s">
        <v>2938</v>
      </c>
      <c r="I3330">
        <v>412748.35800000001</v>
      </c>
    </row>
    <row r="3331" spans="1:9" x14ac:dyDescent="0.25">
      <c r="A3331" t="s">
        <v>9616</v>
      </c>
      <c r="C3331" t="s">
        <v>9617</v>
      </c>
      <c r="D3331" t="str">
        <f>"10151299"</f>
        <v>10151299</v>
      </c>
      <c r="E3331" t="s">
        <v>11232</v>
      </c>
      <c r="F3331" s="1">
        <v>45142</v>
      </c>
      <c r="G3331" t="str">
        <f>"300115"</f>
        <v>300115</v>
      </c>
      <c r="H3331" t="s">
        <v>2938</v>
      </c>
      <c r="I3331">
        <v>107661.9654</v>
      </c>
    </row>
    <row r="3332" spans="1:9" x14ac:dyDescent="0.25">
      <c r="A3332" t="s">
        <v>9616</v>
      </c>
      <c r="C3332" t="s">
        <v>9617</v>
      </c>
      <c r="D3332" t="str">
        <f>"10151301"</f>
        <v>10151301</v>
      </c>
      <c r="E3332" t="s">
        <v>11255</v>
      </c>
      <c r="F3332" s="1">
        <v>45142</v>
      </c>
      <c r="G3332" t="str">
        <f>"300115"</f>
        <v>300115</v>
      </c>
      <c r="H3332" t="s">
        <v>2938</v>
      </c>
      <c r="I3332">
        <v>107661.9654</v>
      </c>
    </row>
    <row r="3333" spans="1:9" x14ac:dyDescent="0.25">
      <c r="A3333" t="s">
        <v>9616</v>
      </c>
      <c r="C3333" t="s">
        <v>9617</v>
      </c>
      <c r="D3333" t="s">
        <v>11256</v>
      </c>
      <c r="E3333" t="s">
        <v>11257</v>
      </c>
      <c r="F3333" s="1">
        <v>45143</v>
      </c>
      <c r="G3333" t="str">
        <f>"300340"</f>
        <v>300340</v>
      </c>
      <c r="H3333" t="s">
        <v>3080</v>
      </c>
      <c r="I3333">
        <v>3274</v>
      </c>
    </row>
    <row r="3334" spans="1:9" x14ac:dyDescent="0.25">
      <c r="A3334" t="s">
        <v>9616</v>
      </c>
      <c r="C3334" t="s">
        <v>9617</v>
      </c>
      <c r="D3334" t="str">
        <f>"54210"</f>
        <v>54210</v>
      </c>
      <c r="E3334" t="s">
        <v>11258</v>
      </c>
      <c r="F3334" s="1">
        <v>45145</v>
      </c>
      <c r="G3334" t="str">
        <f>"300043"</f>
        <v>300043</v>
      </c>
      <c r="H3334" t="s">
        <v>2876</v>
      </c>
      <c r="I3334">
        <v>605</v>
      </c>
    </row>
    <row r="3335" spans="1:9" x14ac:dyDescent="0.25">
      <c r="A3335" t="s">
        <v>9616</v>
      </c>
      <c r="C3335" t="s">
        <v>9617</v>
      </c>
      <c r="D3335" t="str">
        <f>"54274"</f>
        <v>54274</v>
      </c>
      <c r="E3335" t="s">
        <v>11259</v>
      </c>
      <c r="F3335" s="1">
        <v>45145</v>
      </c>
      <c r="G3335" t="str">
        <f>"300043"</f>
        <v>300043</v>
      </c>
      <c r="H3335" t="s">
        <v>2876</v>
      </c>
      <c r="I3335">
        <v>604</v>
      </c>
    </row>
    <row r="3336" spans="1:9" x14ac:dyDescent="0.25">
      <c r="A3336" t="s">
        <v>9616</v>
      </c>
      <c r="C3336" t="s">
        <v>9617</v>
      </c>
      <c r="D3336" t="str">
        <f>"54280"</f>
        <v>54280</v>
      </c>
      <c r="E3336" t="s">
        <v>11260</v>
      </c>
      <c r="F3336" s="1">
        <v>45145</v>
      </c>
      <c r="G3336" t="str">
        <f>"300043"</f>
        <v>300043</v>
      </c>
      <c r="H3336" t="s">
        <v>2876</v>
      </c>
      <c r="I3336">
        <v>604</v>
      </c>
    </row>
    <row r="3337" spans="1:9" x14ac:dyDescent="0.25">
      <c r="A3337" t="s">
        <v>9616</v>
      </c>
      <c r="C3337" t="s">
        <v>9617</v>
      </c>
      <c r="D3337" t="str">
        <f>"54286"</f>
        <v>54286</v>
      </c>
      <c r="E3337" t="s">
        <v>11261</v>
      </c>
      <c r="F3337" s="1">
        <v>45145</v>
      </c>
      <c r="G3337" t="str">
        <f>"300043"</f>
        <v>300043</v>
      </c>
      <c r="H3337" t="s">
        <v>2876</v>
      </c>
      <c r="I3337">
        <v>1510</v>
      </c>
    </row>
    <row r="3338" spans="1:9" x14ac:dyDescent="0.25">
      <c r="A3338" t="s">
        <v>9616</v>
      </c>
      <c r="C3338" t="s">
        <v>9617</v>
      </c>
      <c r="D3338" t="str">
        <f>"412423"</f>
        <v>412423</v>
      </c>
      <c r="E3338" t="s">
        <v>11260</v>
      </c>
      <c r="F3338" s="1">
        <v>45145</v>
      </c>
      <c r="G3338" t="str">
        <f>"300101"</f>
        <v>300101</v>
      </c>
      <c r="H3338" t="s">
        <v>2926</v>
      </c>
      <c r="I3338">
        <v>3147.93</v>
      </c>
    </row>
    <row r="3339" spans="1:9" x14ac:dyDescent="0.25">
      <c r="A3339" t="s">
        <v>9616</v>
      </c>
      <c r="C3339" t="s">
        <v>9617</v>
      </c>
      <c r="D3339" t="str">
        <f>"412523"</f>
        <v>412523</v>
      </c>
      <c r="E3339" t="s">
        <v>11259</v>
      </c>
      <c r="F3339" s="1">
        <v>45145</v>
      </c>
      <c r="G3339" t="str">
        <f>"300101"</f>
        <v>300101</v>
      </c>
      <c r="H3339" t="s">
        <v>2926</v>
      </c>
      <c r="I3339">
        <v>3147.93</v>
      </c>
    </row>
    <row r="3340" spans="1:9" x14ac:dyDescent="0.25">
      <c r="A3340" t="s">
        <v>9616</v>
      </c>
      <c r="C3340" t="s">
        <v>9617</v>
      </c>
      <c r="D3340" t="str">
        <f>"412923"</f>
        <v>412923</v>
      </c>
      <c r="E3340" t="s">
        <v>11258</v>
      </c>
      <c r="F3340" s="1">
        <v>45145</v>
      </c>
      <c r="G3340" t="str">
        <f>"300101"</f>
        <v>300101</v>
      </c>
      <c r="H3340" t="s">
        <v>2926</v>
      </c>
      <c r="I3340">
        <v>3306.09</v>
      </c>
    </row>
    <row r="3341" spans="1:9" x14ac:dyDescent="0.25">
      <c r="A3341" t="s">
        <v>9616</v>
      </c>
      <c r="C3341" t="s">
        <v>9617</v>
      </c>
      <c r="D3341" t="str">
        <f>"413023"</f>
        <v>413023</v>
      </c>
      <c r="E3341" t="s">
        <v>11261</v>
      </c>
      <c r="F3341" s="1">
        <v>45145</v>
      </c>
      <c r="G3341" t="str">
        <f>"300101"</f>
        <v>300101</v>
      </c>
      <c r="H3341" t="s">
        <v>2926</v>
      </c>
      <c r="I3341">
        <v>3147.93</v>
      </c>
    </row>
    <row r="3342" spans="1:9" x14ac:dyDescent="0.25">
      <c r="A3342" t="s">
        <v>9616</v>
      </c>
      <c r="C3342" t="s">
        <v>9617</v>
      </c>
      <c r="D3342" t="str">
        <f>"10151300"</f>
        <v>10151300</v>
      </c>
      <c r="E3342" t="s">
        <v>9189</v>
      </c>
      <c r="F3342" s="1">
        <v>45145</v>
      </c>
      <c r="G3342" t="str">
        <f>"300115"</f>
        <v>300115</v>
      </c>
      <c r="H3342" t="s">
        <v>2938</v>
      </c>
      <c r="I3342">
        <v>412748.35800000001</v>
      </c>
    </row>
    <row r="3343" spans="1:9" x14ac:dyDescent="0.25">
      <c r="A3343" t="s">
        <v>9616</v>
      </c>
      <c r="C3343" t="s">
        <v>9617</v>
      </c>
      <c r="D3343" t="str">
        <f>"10151303"</f>
        <v>10151303</v>
      </c>
      <c r="E3343" t="s">
        <v>9189</v>
      </c>
      <c r="F3343" s="1">
        <v>45145</v>
      </c>
      <c r="G3343" t="str">
        <f>"300115"</f>
        <v>300115</v>
      </c>
      <c r="H3343" t="s">
        <v>2938</v>
      </c>
      <c r="I3343">
        <v>396020.98800000001</v>
      </c>
    </row>
    <row r="3344" spans="1:9" x14ac:dyDescent="0.25">
      <c r="A3344" t="s">
        <v>9616</v>
      </c>
      <c r="C3344" t="s">
        <v>9617</v>
      </c>
      <c r="D3344" t="str">
        <f>"10151304"</f>
        <v>10151304</v>
      </c>
      <c r="E3344" t="s">
        <v>9323</v>
      </c>
      <c r="F3344" s="1">
        <v>45145</v>
      </c>
      <c r="G3344" t="str">
        <f>"300115"</f>
        <v>300115</v>
      </c>
      <c r="H3344" t="s">
        <v>2938</v>
      </c>
      <c r="I3344">
        <v>396020.98800000001</v>
      </c>
    </row>
    <row r="3345" spans="1:9" x14ac:dyDescent="0.25">
      <c r="A3345" t="s">
        <v>9616</v>
      </c>
      <c r="C3345" t="s">
        <v>9617</v>
      </c>
      <c r="D3345" t="str">
        <f>"10151340"</f>
        <v>10151340</v>
      </c>
      <c r="E3345" t="s">
        <v>9189</v>
      </c>
      <c r="F3345" s="1">
        <v>45145</v>
      </c>
      <c r="G3345" t="str">
        <f>"300115"</f>
        <v>300115</v>
      </c>
      <c r="H3345" t="s">
        <v>2938</v>
      </c>
      <c r="I3345">
        <v>412748.35800000001</v>
      </c>
    </row>
    <row r="3346" spans="1:9" x14ac:dyDescent="0.25">
      <c r="A3346" t="s">
        <v>9616</v>
      </c>
      <c r="C3346" t="s">
        <v>9617</v>
      </c>
      <c r="D3346" t="str">
        <f>"202306264"</f>
        <v>202306264</v>
      </c>
      <c r="E3346" t="s">
        <v>11250</v>
      </c>
      <c r="F3346" s="1">
        <v>45145</v>
      </c>
      <c r="G3346" t="str">
        <f>"300191"</f>
        <v>300191</v>
      </c>
      <c r="H3346" t="s">
        <v>3008</v>
      </c>
      <c r="I3346">
        <v>2957.77</v>
      </c>
    </row>
    <row r="3347" spans="1:9" x14ac:dyDescent="0.25">
      <c r="A3347" t="s">
        <v>9616</v>
      </c>
      <c r="C3347" t="s">
        <v>9617</v>
      </c>
      <c r="D3347" t="s">
        <v>11262</v>
      </c>
      <c r="E3347" t="s">
        <v>11263</v>
      </c>
      <c r="F3347" s="1">
        <v>45145</v>
      </c>
      <c r="G3347" t="str">
        <f>"300321"</f>
        <v>300321</v>
      </c>
      <c r="H3347" t="s">
        <v>2706</v>
      </c>
      <c r="I3347">
        <v>18000</v>
      </c>
    </row>
    <row r="3348" spans="1:9" x14ac:dyDescent="0.25">
      <c r="A3348" t="s">
        <v>9616</v>
      </c>
      <c r="C3348" t="s">
        <v>9617</v>
      </c>
      <c r="D3348" t="s">
        <v>11264</v>
      </c>
      <c r="E3348" t="s">
        <v>11265</v>
      </c>
      <c r="F3348" s="1">
        <v>45145</v>
      </c>
      <c r="G3348" t="str">
        <f>"300321"</f>
        <v>300321</v>
      </c>
      <c r="H3348" t="s">
        <v>2706</v>
      </c>
      <c r="I3348">
        <v>18000</v>
      </c>
    </row>
    <row r="3349" spans="1:9" x14ac:dyDescent="0.25">
      <c r="A3349" t="s">
        <v>9616</v>
      </c>
      <c r="C3349" t="s">
        <v>9617</v>
      </c>
      <c r="D3349" t="str">
        <f>"54586"</f>
        <v>54586</v>
      </c>
      <c r="E3349" t="s">
        <v>11266</v>
      </c>
      <c r="F3349" s="1">
        <v>45146</v>
      </c>
      <c r="G3349" t="str">
        <f>"300043"</f>
        <v>300043</v>
      </c>
      <c r="H3349" t="s">
        <v>2876</v>
      </c>
      <c r="I3349">
        <v>1508</v>
      </c>
    </row>
    <row r="3350" spans="1:9" x14ac:dyDescent="0.25">
      <c r="A3350" t="s">
        <v>9616</v>
      </c>
      <c r="C3350" t="s">
        <v>9617</v>
      </c>
      <c r="D3350" t="str">
        <f>"54644"</f>
        <v>54644</v>
      </c>
      <c r="E3350" t="s">
        <v>11267</v>
      </c>
      <c r="F3350" s="1">
        <v>45146</v>
      </c>
      <c r="G3350" t="str">
        <f>"300043"</f>
        <v>300043</v>
      </c>
      <c r="H3350" t="s">
        <v>2876</v>
      </c>
      <c r="I3350">
        <v>1508</v>
      </c>
    </row>
    <row r="3351" spans="1:9" x14ac:dyDescent="0.25">
      <c r="A3351" t="s">
        <v>9616</v>
      </c>
      <c r="C3351" t="s">
        <v>9617</v>
      </c>
      <c r="D3351" t="str">
        <f>"54713"</f>
        <v>54713</v>
      </c>
      <c r="E3351" t="s">
        <v>11268</v>
      </c>
      <c r="F3351" s="1">
        <v>45146</v>
      </c>
      <c r="G3351" t="str">
        <f>"300043"</f>
        <v>300043</v>
      </c>
      <c r="H3351" t="s">
        <v>2876</v>
      </c>
      <c r="I3351">
        <v>515</v>
      </c>
    </row>
    <row r="3352" spans="1:9" x14ac:dyDescent="0.25">
      <c r="A3352" t="s">
        <v>9616</v>
      </c>
      <c r="C3352" t="s">
        <v>9617</v>
      </c>
      <c r="D3352" t="str">
        <f>"413123"</f>
        <v>413123</v>
      </c>
      <c r="E3352" t="s">
        <v>11266</v>
      </c>
      <c r="F3352" s="1">
        <v>45146</v>
      </c>
      <c r="G3352" t="str">
        <f>"300101"</f>
        <v>300101</v>
      </c>
      <c r="H3352" t="s">
        <v>2926</v>
      </c>
      <c r="I3352">
        <v>3306.09</v>
      </c>
    </row>
    <row r="3353" spans="1:9" x14ac:dyDescent="0.25">
      <c r="A3353" t="s">
        <v>9616</v>
      </c>
      <c r="C3353" t="s">
        <v>9617</v>
      </c>
      <c r="D3353" t="str">
        <f>"415323"</f>
        <v>415323</v>
      </c>
      <c r="E3353" t="s">
        <v>11268</v>
      </c>
      <c r="F3353" s="1">
        <v>45146</v>
      </c>
      <c r="G3353" t="str">
        <f>"300101"</f>
        <v>300101</v>
      </c>
      <c r="H3353" t="s">
        <v>2926</v>
      </c>
      <c r="I3353">
        <v>2989.77</v>
      </c>
    </row>
    <row r="3354" spans="1:9" x14ac:dyDescent="0.25">
      <c r="A3354" t="s">
        <v>9616</v>
      </c>
      <c r="C3354" t="s">
        <v>9617</v>
      </c>
      <c r="D3354" t="str">
        <f>"416923"</f>
        <v>416923</v>
      </c>
      <c r="E3354" t="s">
        <v>11267</v>
      </c>
      <c r="F3354" s="1">
        <v>45146</v>
      </c>
      <c r="G3354" t="str">
        <f>"300101"</f>
        <v>300101</v>
      </c>
      <c r="H3354" t="s">
        <v>2926</v>
      </c>
      <c r="I3354">
        <v>2989.77</v>
      </c>
    </row>
    <row r="3355" spans="1:9" x14ac:dyDescent="0.25">
      <c r="A3355" t="s">
        <v>9616</v>
      </c>
      <c r="C3355" t="s">
        <v>9617</v>
      </c>
      <c r="D3355" t="str">
        <f>"230020076"</f>
        <v>230020076</v>
      </c>
      <c r="E3355" t="s">
        <v>11269</v>
      </c>
      <c r="F3355" s="1">
        <v>45146</v>
      </c>
      <c r="G3355" t="str">
        <f>"300344"</f>
        <v>300344</v>
      </c>
      <c r="H3355" t="s">
        <v>3084</v>
      </c>
      <c r="I3355">
        <v>545741.49300000002</v>
      </c>
    </row>
    <row r="3356" spans="1:9" x14ac:dyDescent="0.25">
      <c r="A3356" t="s">
        <v>9616</v>
      </c>
      <c r="C3356" t="s">
        <v>9617</v>
      </c>
      <c r="D3356" t="str">
        <f>"54768"</f>
        <v>54768</v>
      </c>
      <c r="E3356" t="s">
        <v>11270</v>
      </c>
      <c r="F3356" s="1">
        <v>45147</v>
      </c>
      <c r="G3356" t="str">
        <f>"300043"</f>
        <v>300043</v>
      </c>
      <c r="H3356" t="s">
        <v>2876</v>
      </c>
      <c r="I3356">
        <v>515</v>
      </c>
    </row>
    <row r="3357" spans="1:9" x14ac:dyDescent="0.25">
      <c r="A3357" t="s">
        <v>9616</v>
      </c>
      <c r="C3357" t="s">
        <v>9617</v>
      </c>
      <c r="D3357" t="str">
        <f>"54771"</f>
        <v>54771</v>
      </c>
      <c r="E3357" t="s">
        <v>11263</v>
      </c>
      <c r="F3357" s="1">
        <v>45147</v>
      </c>
      <c r="G3357" t="str">
        <f>"300043"</f>
        <v>300043</v>
      </c>
      <c r="H3357" t="s">
        <v>2876</v>
      </c>
      <c r="I3357">
        <v>1505</v>
      </c>
    </row>
    <row r="3358" spans="1:9" x14ac:dyDescent="0.25">
      <c r="A3358" t="s">
        <v>9616</v>
      </c>
      <c r="C3358" t="s">
        <v>9617</v>
      </c>
      <c r="D3358" t="str">
        <f>"544735"</f>
        <v>544735</v>
      </c>
      <c r="E3358" t="s">
        <v>11271</v>
      </c>
      <c r="F3358" s="1">
        <v>45147</v>
      </c>
      <c r="G3358" t="str">
        <f>"300043"</f>
        <v>300043</v>
      </c>
      <c r="H3358" t="s">
        <v>2876</v>
      </c>
      <c r="I3358">
        <v>1510</v>
      </c>
    </row>
    <row r="3359" spans="1:9" x14ac:dyDescent="0.25">
      <c r="A3359" t="s">
        <v>9616</v>
      </c>
      <c r="C3359" t="s">
        <v>9617</v>
      </c>
      <c r="D3359" t="str">
        <f>"412123"</f>
        <v>412123</v>
      </c>
      <c r="E3359" t="s">
        <v>11270</v>
      </c>
      <c r="F3359" s="1">
        <v>45147</v>
      </c>
      <c r="G3359" t="str">
        <f>"300101"</f>
        <v>300101</v>
      </c>
      <c r="H3359" t="s">
        <v>2926</v>
      </c>
      <c r="I3359">
        <v>3147.93</v>
      </c>
    </row>
    <row r="3360" spans="1:9" x14ac:dyDescent="0.25">
      <c r="A3360" t="s">
        <v>9616</v>
      </c>
      <c r="C3360" t="s">
        <v>9617</v>
      </c>
      <c r="D3360" t="str">
        <f>"10151407"</f>
        <v>10151407</v>
      </c>
      <c r="E3360" t="s">
        <v>11272</v>
      </c>
      <c r="F3360" s="1">
        <v>45147</v>
      </c>
      <c r="G3360" t="str">
        <f>"300115"</f>
        <v>300115</v>
      </c>
      <c r="H3360" t="s">
        <v>2938</v>
      </c>
      <c r="I3360">
        <v>134539.21799999999</v>
      </c>
    </row>
    <row r="3361" spans="1:9" x14ac:dyDescent="0.25">
      <c r="A3361" t="s">
        <v>9616</v>
      </c>
      <c r="C3361" t="s">
        <v>9617</v>
      </c>
      <c r="D3361" t="str">
        <f>"202306370"</f>
        <v>202306370</v>
      </c>
      <c r="E3361" t="s">
        <v>11243</v>
      </c>
      <c r="F3361" s="1">
        <v>45147</v>
      </c>
      <c r="G3361" t="str">
        <f>"300191"</f>
        <v>300191</v>
      </c>
      <c r="H3361" t="s">
        <v>3008</v>
      </c>
      <c r="I3361">
        <v>3223.02</v>
      </c>
    </row>
    <row r="3362" spans="1:9" x14ac:dyDescent="0.25">
      <c r="A3362" t="s">
        <v>9616</v>
      </c>
      <c r="C3362" t="s">
        <v>9617</v>
      </c>
      <c r="D3362" t="str">
        <f>"8000424211"</f>
        <v>8000424211</v>
      </c>
      <c r="E3362" t="s">
        <v>10914</v>
      </c>
      <c r="F3362" s="1">
        <v>45147</v>
      </c>
      <c r="G3362" t="str">
        <f>"300220"</f>
        <v>300220</v>
      </c>
      <c r="H3362" t="s">
        <v>2170</v>
      </c>
      <c r="I3362">
        <v>1255158.6850000001</v>
      </c>
    </row>
    <row r="3363" spans="1:9" x14ac:dyDescent="0.25">
      <c r="A3363" t="s">
        <v>9616</v>
      </c>
      <c r="C3363" t="s">
        <v>9617</v>
      </c>
      <c r="D3363" t="str">
        <f>"8000424216"</f>
        <v>8000424216</v>
      </c>
      <c r="E3363" t="s">
        <v>10085</v>
      </c>
      <c r="F3363" s="1">
        <v>45147</v>
      </c>
      <c r="G3363" t="str">
        <f>"300220"</f>
        <v>300220</v>
      </c>
      <c r="H3363" t="s">
        <v>2170</v>
      </c>
      <c r="I3363">
        <v>1255166.352</v>
      </c>
    </row>
    <row r="3364" spans="1:9" x14ac:dyDescent="0.25">
      <c r="A3364" t="s">
        <v>9616</v>
      </c>
      <c r="C3364" t="s">
        <v>9617</v>
      </c>
      <c r="D3364" t="str">
        <f>"55087"</f>
        <v>55087</v>
      </c>
      <c r="E3364" t="s">
        <v>11273</v>
      </c>
      <c r="F3364" s="1">
        <v>45148</v>
      </c>
      <c r="G3364" t="str">
        <f>"300043"</f>
        <v>300043</v>
      </c>
      <c r="H3364" t="s">
        <v>2876</v>
      </c>
      <c r="I3364">
        <v>1508</v>
      </c>
    </row>
    <row r="3365" spans="1:9" x14ac:dyDescent="0.25">
      <c r="A3365" t="s">
        <v>9616</v>
      </c>
      <c r="C3365" t="s">
        <v>9617</v>
      </c>
      <c r="D3365" t="str">
        <f>"415423"</f>
        <v>415423</v>
      </c>
      <c r="E3365" t="s">
        <v>11273</v>
      </c>
      <c r="F3365" s="1">
        <v>45148</v>
      </c>
      <c r="G3365" t="str">
        <f>"300101"</f>
        <v>300101</v>
      </c>
      <c r="H3365" t="s">
        <v>2926</v>
      </c>
      <c r="I3365">
        <v>2989.77</v>
      </c>
    </row>
    <row r="3366" spans="1:9" x14ac:dyDescent="0.25">
      <c r="A3366" t="s">
        <v>9616</v>
      </c>
      <c r="C3366" t="s">
        <v>9617</v>
      </c>
      <c r="D3366" t="str">
        <f>"10151410"</f>
        <v>10151410</v>
      </c>
      <c r="E3366" t="s">
        <v>9189</v>
      </c>
      <c r="F3366" s="1">
        <v>45148</v>
      </c>
      <c r="G3366" t="str">
        <f>"300115"</f>
        <v>300115</v>
      </c>
      <c r="H3366" t="s">
        <v>2938</v>
      </c>
      <c r="I3366">
        <v>412748.35800000001</v>
      </c>
    </row>
    <row r="3367" spans="1:9" x14ac:dyDescent="0.25">
      <c r="A3367" t="s">
        <v>9616</v>
      </c>
      <c r="C3367" t="s">
        <v>9617</v>
      </c>
      <c r="D3367" t="str">
        <f>"10151449"</f>
        <v>10151449</v>
      </c>
      <c r="E3367" t="s">
        <v>11272</v>
      </c>
      <c r="F3367" s="1">
        <v>45148</v>
      </c>
      <c r="G3367" t="str">
        <f>"300115"</f>
        <v>300115</v>
      </c>
      <c r="H3367" t="s">
        <v>2938</v>
      </c>
      <c r="I3367">
        <v>134539.21799999999</v>
      </c>
    </row>
    <row r="3368" spans="1:9" x14ac:dyDescent="0.25">
      <c r="A3368" t="s">
        <v>9616</v>
      </c>
      <c r="C3368" t="s">
        <v>9617</v>
      </c>
      <c r="D3368" t="str">
        <f>"444"</f>
        <v>444</v>
      </c>
      <c r="F3368" s="1">
        <v>45149</v>
      </c>
      <c r="G3368" t="str">
        <f>"300043"</f>
        <v>300043</v>
      </c>
      <c r="H3368" t="s">
        <v>2876</v>
      </c>
      <c r="I3368">
        <v>5347</v>
      </c>
    </row>
    <row r="3369" spans="1:9" x14ac:dyDescent="0.25">
      <c r="A3369" t="s">
        <v>9616</v>
      </c>
      <c r="C3369" t="s">
        <v>9617</v>
      </c>
      <c r="D3369" t="str">
        <f>"10151451"</f>
        <v>10151451</v>
      </c>
      <c r="E3369" t="s">
        <v>1928</v>
      </c>
      <c r="F3369" s="1">
        <v>45149</v>
      </c>
      <c r="G3369" t="str">
        <f>"300115"</f>
        <v>300115</v>
      </c>
      <c r="H3369" t="s">
        <v>2938</v>
      </c>
      <c r="I3369">
        <v>134539.21799999999</v>
      </c>
    </row>
    <row r="3370" spans="1:9" x14ac:dyDescent="0.25">
      <c r="A3370" t="s">
        <v>9616</v>
      </c>
      <c r="C3370" t="s">
        <v>9617</v>
      </c>
      <c r="D3370" t="str">
        <f>"10151452"</f>
        <v>10151452</v>
      </c>
      <c r="E3370" t="s">
        <v>1928</v>
      </c>
      <c r="F3370" s="1">
        <v>45149</v>
      </c>
      <c r="G3370" t="str">
        <f>"300115"</f>
        <v>300115</v>
      </c>
      <c r="H3370" t="s">
        <v>2938</v>
      </c>
      <c r="I3370">
        <v>134539.21799999999</v>
      </c>
    </row>
    <row r="3371" spans="1:9" x14ac:dyDescent="0.25">
      <c r="A3371" t="s">
        <v>9616</v>
      </c>
      <c r="C3371" t="s">
        <v>9617</v>
      </c>
      <c r="D3371" t="str">
        <f>"202306463"</f>
        <v>202306463</v>
      </c>
      <c r="E3371" t="s">
        <v>11263</v>
      </c>
      <c r="F3371" s="1">
        <v>45149</v>
      </c>
      <c r="G3371" t="str">
        <f>"300191"</f>
        <v>300191</v>
      </c>
      <c r="H3371" t="s">
        <v>3008</v>
      </c>
      <c r="I3371">
        <v>3201.27</v>
      </c>
    </row>
    <row r="3372" spans="1:9" x14ac:dyDescent="0.25">
      <c r="A3372" t="s">
        <v>9616</v>
      </c>
      <c r="C3372" t="s">
        <v>9617</v>
      </c>
      <c r="D3372" t="str">
        <f>"56288"</f>
        <v>56288</v>
      </c>
      <c r="E3372" t="s">
        <v>11274</v>
      </c>
      <c r="F3372" s="1">
        <v>45154</v>
      </c>
      <c r="G3372" t="str">
        <f>"300043"</f>
        <v>300043</v>
      </c>
      <c r="H3372" t="s">
        <v>2876</v>
      </c>
      <c r="I3372">
        <v>608</v>
      </c>
    </row>
    <row r="3373" spans="1:9" x14ac:dyDescent="0.25">
      <c r="A3373" t="s">
        <v>9616</v>
      </c>
      <c r="C3373" t="s">
        <v>9617</v>
      </c>
      <c r="D3373" t="str">
        <f>"422423"</f>
        <v>422423</v>
      </c>
      <c r="E3373" t="s">
        <v>11274</v>
      </c>
      <c r="F3373" s="1">
        <v>45154</v>
      </c>
      <c r="G3373" t="str">
        <f>"300101"</f>
        <v>300101</v>
      </c>
      <c r="H3373" t="s">
        <v>2926</v>
      </c>
      <c r="I3373">
        <v>3622.41</v>
      </c>
    </row>
    <row r="3374" spans="1:9" x14ac:dyDescent="0.25">
      <c r="A3374" t="s">
        <v>9616</v>
      </c>
      <c r="C3374" t="s">
        <v>9617</v>
      </c>
      <c r="D3374" t="str">
        <f>"10151520"</f>
        <v>10151520</v>
      </c>
      <c r="E3374" t="s">
        <v>1928</v>
      </c>
      <c r="F3374" s="1">
        <v>45154</v>
      </c>
      <c r="G3374" t="str">
        <f>"300115"</f>
        <v>300115</v>
      </c>
      <c r="H3374" t="s">
        <v>2938</v>
      </c>
      <c r="I3374">
        <v>134539.21799999999</v>
      </c>
    </row>
    <row r="3375" spans="1:9" x14ac:dyDescent="0.25">
      <c r="A3375" t="s">
        <v>9616</v>
      </c>
      <c r="C3375" t="s">
        <v>9617</v>
      </c>
      <c r="D3375" t="str">
        <f>"10151523"</f>
        <v>10151523</v>
      </c>
      <c r="E3375" t="s">
        <v>1313</v>
      </c>
      <c r="F3375" s="1">
        <v>45154</v>
      </c>
      <c r="G3375" t="str">
        <f>"300115"</f>
        <v>300115</v>
      </c>
      <c r="H3375" t="s">
        <v>2938</v>
      </c>
      <c r="I3375">
        <v>431144.90100000001</v>
      </c>
    </row>
    <row r="3376" spans="1:9" x14ac:dyDescent="0.25">
      <c r="A3376" t="s">
        <v>9616</v>
      </c>
      <c r="C3376" t="s">
        <v>9617</v>
      </c>
      <c r="D3376" t="str">
        <f>"10151559"</f>
        <v>10151559</v>
      </c>
      <c r="E3376" t="s">
        <v>9189</v>
      </c>
      <c r="F3376" s="1">
        <v>45154</v>
      </c>
      <c r="G3376" t="str">
        <f>"300115"</f>
        <v>300115</v>
      </c>
      <c r="H3376" t="s">
        <v>2938</v>
      </c>
      <c r="I3376">
        <v>250453.4032</v>
      </c>
    </row>
    <row r="3377" spans="1:9" x14ac:dyDescent="0.25">
      <c r="A3377" t="s">
        <v>9616</v>
      </c>
      <c r="C3377" t="s">
        <v>9617</v>
      </c>
      <c r="D3377" t="str">
        <f>"10151560"</f>
        <v>10151560</v>
      </c>
      <c r="E3377" t="s">
        <v>11275</v>
      </c>
      <c r="F3377" s="1">
        <v>45154</v>
      </c>
      <c r="G3377" t="str">
        <f>"300115"</f>
        <v>300115</v>
      </c>
      <c r="H3377" t="s">
        <v>2938</v>
      </c>
      <c r="I3377">
        <v>120064.82399999999</v>
      </c>
    </row>
    <row r="3378" spans="1:9" x14ac:dyDescent="0.25">
      <c r="A3378" t="s">
        <v>9616</v>
      </c>
      <c r="C3378" t="s">
        <v>9617</v>
      </c>
      <c r="D3378" t="s">
        <v>11276</v>
      </c>
      <c r="E3378" t="s">
        <v>11277</v>
      </c>
      <c r="F3378" s="1">
        <v>45154</v>
      </c>
      <c r="G3378" t="str">
        <f>"300321"</f>
        <v>300321</v>
      </c>
      <c r="H3378" t="s">
        <v>2706</v>
      </c>
      <c r="I3378">
        <v>18000</v>
      </c>
    </row>
    <row r="3379" spans="1:9" x14ac:dyDescent="0.25">
      <c r="A3379" t="s">
        <v>9616</v>
      </c>
      <c r="C3379" t="s">
        <v>9617</v>
      </c>
      <c r="D3379" t="s">
        <v>11278</v>
      </c>
      <c r="E3379" t="s">
        <v>11279</v>
      </c>
      <c r="F3379" s="1">
        <v>45154</v>
      </c>
      <c r="G3379" t="str">
        <f>"300321"</f>
        <v>300321</v>
      </c>
      <c r="H3379" t="s">
        <v>2706</v>
      </c>
      <c r="I3379">
        <v>18000</v>
      </c>
    </row>
    <row r="3380" spans="1:9" x14ac:dyDescent="0.25">
      <c r="A3380" t="s">
        <v>9616</v>
      </c>
      <c r="C3380" t="s">
        <v>9617</v>
      </c>
      <c r="D3380" t="str">
        <f>"0522"</f>
        <v>0522</v>
      </c>
      <c r="F3380" s="1">
        <v>45155</v>
      </c>
      <c r="G3380" t="str">
        <f>"300043"</f>
        <v>300043</v>
      </c>
      <c r="H3380" t="s">
        <v>2876</v>
      </c>
      <c r="I3380">
        <v>4791</v>
      </c>
    </row>
    <row r="3381" spans="1:9" x14ac:dyDescent="0.25">
      <c r="A3381" t="s">
        <v>9616</v>
      </c>
      <c r="C3381" t="s">
        <v>9617</v>
      </c>
      <c r="D3381" t="str">
        <f>"56425"</f>
        <v>56425</v>
      </c>
      <c r="E3381" t="s">
        <v>11280</v>
      </c>
      <c r="F3381" s="1">
        <v>45155</v>
      </c>
      <c r="G3381" t="str">
        <f>"300043"</f>
        <v>300043</v>
      </c>
      <c r="H3381" t="s">
        <v>2876</v>
      </c>
      <c r="I3381">
        <v>1516</v>
      </c>
    </row>
    <row r="3382" spans="1:9" x14ac:dyDescent="0.25">
      <c r="A3382" t="s">
        <v>9616</v>
      </c>
      <c r="C3382" t="s">
        <v>9617</v>
      </c>
      <c r="D3382" t="str">
        <f>"56544"</f>
        <v>56544</v>
      </c>
      <c r="E3382" t="s">
        <v>11277</v>
      </c>
      <c r="F3382" s="1">
        <v>45155</v>
      </c>
      <c r="G3382" t="str">
        <f>"300043"</f>
        <v>300043</v>
      </c>
      <c r="H3382" t="s">
        <v>2876</v>
      </c>
      <c r="I3382">
        <v>1633</v>
      </c>
    </row>
    <row r="3383" spans="1:9" x14ac:dyDescent="0.25">
      <c r="A3383" t="s">
        <v>9616</v>
      </c>
      <c r="C3383" t="s">
        <v>9617</v>
      </c>
      <c r="D3383" t="str">
        <f>"56583"</f>
        <v>56583</v>
      </c>
      <c r="E3383" t="s">
        <v>11279</v>
      </c>
      <c r="F3383" s="1">
        <v>45155</v>
      </c>
      <c r="G3383" t="str">
        <f>"300043"</f>
        <v>300043</v>
      </c>
      <c r="H3383" t="s">
        <v>2876</v>
      </c>
      <c r="I3383">
        <v>1434</v>
      </c>
    </row>
    <row r="3384" spans="1:9" x14ac:dyDescent="0.25">
      <c r="A3384" t="s">
        <v>9616</v>
      </c>
      <c r="C3384" t="s">
        <v>9617</v>
      </c>
      <c r="D3384" t="str">
        <f>"422823"</f>
        <v>422823</v>
      </c>
      <c r="E3384" t="s">
        <v>11280</v>
      </c>
      <c r="F3384" s="1">
        <v>45155</v>
      </c>
      <c r="G3384" t="str">
        <f>"300101"</f>
        <v>300101</v>
      </c>
      <c r="H3384" t="s">
        <v>2926</v>
      </c>
      <c r="I3384">
        <v>3780.57</v>
      </c>
    </row>
    <row r="3385" spans="1:9" x14ac:dyDescent="0.25">
      <c r="A3385" t="s">
        <v>9616</v>
      </c>
      <c r="C3385" t="s">
        <v>9617</v>
      </c>
      <c r="D3385" t="str">
        <f>"10151562"</f>
        <v>10151562</v>
      </c>
      <c r="E3385" t="s">
        <v>1819</v>
      </c>
      <c r="F3385" s="1">
        <v>45155</v>
      </c>
      <c r="G3385" t="str">
        <f>"300115"</f>
        <v>300115</v>
      </c>
      <c r="H3385" t="s">
        <v>2938</v>
      </c>
      <c r="I3385">
        <v>134539.21799999999</v>
      </c>
    </row>
    <row r="3386" spans="1:9" x14ac:dyDescent="0.25">
      <c r="A3386" t="s">
        <v>9616</v>
      </c>
      <c r="C3386" t="s">
        <v>9617</v>
      </c>
      <c r="D3386" t="str">
        <f>"4237"</f>
        <v>4237</v>
      </c>
      <c r="E3386" t="s">
        <v>11257</v>
      </c>
      <c r="F3386" s="1">
        <v>45156</v>
      </c>
      <c r="G3386" t="str">
        <f>"300043"</f>
        <v>300043</v>
      </c>
      <c r="H3386" t="s">
        <v>2876</v>
      </c>
      <c r="I3386">
        <v>3270</v>
      </c>
    </row>
    <row r="3387" spans="1:9" x14ac:dyDescent="0.25">
      <c r="A3387" t="s">
        <v>9616</v>
      </c>
      <c r="C3387" t="s">
        <v>9617</v>
      </c>
      <c r="D3387" t="str">
        <f>"56754"</f>
        <v>56754</v>
      </c>
      <c r="E3387" t="s">
        <v>11281</v>
      </c>
      <c r="F3387" s="1">
        <v>45156</v>
      </c>
      <c r="G3387" t="str">
        <f>"300043"</f>
        <v>300043</v>
      </c>
      <c r="H3387" t="s">
        <v>2876</v>
      </c>
      <c r="I3387">
        <v>607</v>
      </c>
    </row>
    <row r="3388" spans="1:9" x14ac:dyDescent="0.25">
      <c r="A3388" t="s">
        <v>9616</v>
      </c>
      <c r="C3388" t="s">
        <v>9617</v>
      </c>
      <c r="D3388" t="str">
        <f>"56757"</f>
        <v>56757</v>
      </c>
      <c r="E3388" t="s">
        <v>11282</v>
      </c>
      <c r="F3388" s="1">
        <v>45156</v>
      </c>
      <c r="G3388" t="str">
        <f>"300043"</f>
        <v>300043</v>
      </c>
      <c r="H3388" t="s">
        <v>2876</v>
      </c>
      <c r="I3388">
        <v>607</v>
      </c>
    </row>
    <row r="3389" spans="1:9" x14ac:dyDescent="0.25">
      <c r="A3389" t="s">
        <v>9616</v>
      </c>
      <c r="C3389" t="s">
        <v>9617</v>
      </c>
      <c r="D3389" t="str">
        <f>"56759"</f>
        <v>56759</v>
      </c>
      <c r="E3389" t="s">
        <v>11283</v>
      </c>
      <c r="F3389" s="1">
        <v>45156</v>
      </c>
      <c r="G3389" t="str">
        <f>"300043"</f>
        <v>300043</v>
      </c>
      <c r="H3389" t="s">
        <v>2876</v>
      </c>
      <c r="I3389">
        <v>607</v>
      </c>
    </row>
    <row r="3390" spans="1:9" x14ac:dyDescent="0.25">
      <c r="A3390" t="s">
        <v>9616</v>
      </c>
      <c r="C3390" t="s">
        <v>9617</v>
      </c>
      <c r="D3390" t="str">
        <f>"422123"</f>
        <v>422123</v>
      </c>
      <c r="E3390" t="s">
        <v>11283</v>
      </c>
      <c r="F3390" s="1">
        <v>45156</v>
      </c>
      <c r="G3390" t="str">
        <f>"300101"</f>
        <v>300101</v>
      </c>
      <c r="H3390" t="s">
        <v>2926</v>
      </c>
      <c r="I3390">
        <v>3780.57</v>
      </c>
    </row>
    <row r="3391" spans="1:9" x14ac:dyDescent="0.25">
      <c r="A3391" t="s">
        <v>9616</v>
      </c>
      <c r="C3391" t="s">
        <v>9617</v>
      </c>
      <c r="D3391" t="str">
        <f>"422223"</f>
        <v>422223</v>
      </c>
      <c r="E3391" t="s">
        <v>11282</v>
      </c>
      <c r="F3391" s="1">
        <v>45156</v>
      </c>
      <c r="G3391" t="str">
        <f>"300101"</f>
        <v>300101</v>
      </c>
      <c r="H3391" t="s">
        <v>2926</v>
      </c>
      <c r="I3391">
        <v>3780.57</v>
      </c>
    </row>
    <row r="3392" spans="1:9" x14ac:dyDescent="0.25">
      <c r="A3392" t="s">
        <v>9616</v>
      </c>
      <c r="C3392" t="s">
        <v>9617</v>
      </c>
      <c r="D3392" t="str">
        <f>"422323"</f>
        <v>422323</v>
      </c>
      <c r="E3392" t="s">
        <v>11281</v>
      </c>
      <c r="F3392" s="1">
        <v>45156</v>
      </c>
      <c r="G3392" t="str">
        <f>"300101"</f>
        <v>300101</v>
      </c>
      <c r="H3392" t="s">
        <v>2926</v>
      </c>
      <c r="I3392">
        <v>3938.73</v>
      </c>
    </row>
    <row r="3393" spans="1:9" x14ac:dyDescent="0.25">
      <c r="A3393" t="s">
        <v>9616</v>
      </c>
      <c r="C3393" t="s">
        <v>9617</v>
      </c>
      <c r="D3393" t="str">
        <f>"10151589"</f>
        <v>10151589</v>
      </c>
      <c r="E3393" t="s">
        <v>2640</v>
      </c>
      <c r="F3393" s="1">
        <v>45156</v>
      </c>
      <c r="G3393" t="str">
        <f>"300115"</f>
        <v>300115</v>
      </c>
      <c r="H3393" t="s">
        <v>2938</v>
      </c>
      <c r="I3393">
        <v>396020.98800000001</v>
      </c>
    </row>
    <row r="3394" spans="1:9" x14ac:dyDescent="0.25">
      <c r="A3394" t="s">
        <v>9616</v>
      </c>
      <c r="C3394" t="s">
        <v>9617</v>
      </c>
      <c r="D3394" t="str">
        <f>"10151590"</f>
        <v>10151590</v>
      </c>
      <c r="E3394" t="s">
        <v>11284</v>
      </c>
      <c r="F3394" s="1">
        <v>45156</v>
      </c>
      <c r="G3394" t="str">
        <f>"300115"</f>
        <v>300115</v>
      </c>
      <c r="H3394" t="s">
        <v>2938</v>
      </c>
      <c r="I3394">
        <v>134539.21799999999</v>
      </c>
    </row>
    <row r="3395" spans="1:9" x14ac:dyDescent="0.25">
      <c r="A3395" t="s">
        <v>9616</v>
      </c>
      <c r="C3395" t="s">
        <v>9617</v>
      </c>
      <c r="D3395" t="str">
        <f>"10151592"</f>
        <v>10151592</v>
      </c>
      <c r="E3395" t="s">
        <v>11284</v>
      </c>
      <c r="F3395" s="1">
        <v>45156</v>
      </c>
      <c r="G3395" t="str">
        <f>"300115"</f>
        <v>300115</v>
      </c>
      <c r="H3395" t="s">
        <v>2938</v>
      </c>
      <c r="I3395">
        <v>130966.86900000001</v>
      </c>
    </row>
    <row r="3396" spans="1:9" x14ac:dyDescent="0.25">
      <c r="A3396" t="s">
        <v>9616</v>
      </c>
      <c r="C3396" t="s">
        <v>9617</v>
      </c>
      <c r="D3396" t="str">
        <f>"10151594"</f>
        <v>10151594</v>
      </c>
      <c r="E3396" t="s">
        <v>11231</v>
      </c>
      <c r="F3396" s="1">
        <v>45156</v>
      </c>
      <c r="G3396" t="str">
        <f>"300115"</f>
        <v>300115</v>
      </c>
      <c r="H3396" t="s">
        <v>2938</v>
      </c>
      <c r="I3396">
        <v>134539.21799999999</v>
      </c>
    </row>
    <row r="3397" spans="1:9" x14ac:dyDescent="0.25">
      <c r="A3397" t="s">
        <v>9616</v>
      </c>
      <c r="C3397" t="s">
        <v>9617</v>
      </c>
      <c r="D3397" t="s">
        <v>11285</v>
      </c>
      <c r="E3397" t="s">
        <v>11286</v>
      </c>
      <c r="F3397" s="1">
        <v>45156</v>
      </c>
      <c r="G3397" t="str">
        <f>"300321"</f>
        <v>300321</v>
      </c>
      <c r="H3397" t="s">
        <v>2706</v>
      </c>
      <c r="I3397">
        <v>18000</v>
      </c>
    </row>
    <row r="3398" spans="1:9" x14ac:dyDescent="0.25">
      <c r="A3398" t="s">
        <v>9616</v>
      </c>
      <c r="C3398" t="s">
        <v>9617</v>
      </c>
      <c r="D3398" t="str">
        <f>"56856"</f>
        <v>56856</v>
      </c>
      <c r="E3398" t="s">
        <v>11287</v>
      </c>
      <c r="F3398" s="1">
        <v>45157</v>
      </c>
      <c r="G3398" t="str">
        <f>"300043"</f>
        <v>300043</v>
      </c>
      <c r="H3398" t="s">
        <v>2876</v>
      </c>
      <c r="I3398">
        <v>1525</v>
      </c>
    </row>
    <row r="3399" spans="1:9" x14ac:dyDescent="0.25">
      <c r="A3399" t="s">
        <v>9616</v>
      </c>
      <c r="C3399" t="s">
        <v>9617</v>
      </c>
      <c r="D3399" t="str">
        <f>"10151635"</f>
        <v>10151635</v>
      </c>
      <c r="E3399" t="s">
        <v>11288</v>
      </c>
      <c r="F3399" s="1">
        <v>45159</v>
      </c>
      <c r="G3399" t="str">
        <f>"300115"</f>
        <v>300115</v>
      </c>
      <c r="H3399" t="s">
        <v>2938</v>
      </c>
      <c r="I3399">
        <v>375590.0148</v>
      </c>
    </row>
    <row r="3400" spans="1:9" x14ac:dyDescent="0.25">
      <c r="A3400" t="s">
        <v>9616</v>
      </c>
      <c r="C3400" t="s">
        <v>9617</v>
      </c>
      <c r="D3400" t="s">
        <v>11289</v>
      </c>
      <c r="E3400" t="s">
        <v>11290</v>
      </c>
      <c r="F3400" s="1">
        <v>45159</v>
      </c>
      <c r="G3400" t="str">
        <f>"300321"</f>
        <v>300321</v>
      </c>
      <c r="H3400" t="s">
        <v>2706</v>
      </c>
      <c r="I3400">
        <v>18000</v>
      </c>
    </row>
    <row r="3401" spans="1:9" x14ac:dyDescent="0.25">
      <c r="A3401" t="s">
        <v>9616</v>
      </c>
      <c r="C3401" t="s">
        <v>9617</v>
      </c>
      <c r="D3401" t="s">
        <v>11291</v>
      </c>
      <c r="E3401" t="s">
        <v>11292</v>
      </c>
      <c r="F3401" s="1">
        <v>45159</v>
      </c>
      <c r="G3401" t="str">
        <f>"300321"</f>
        <v>300321</v>
      </c>
      <c r="H3401" t="s">
        <v>2706</v>
      </c>
      <c r="I3401">
        <v>18000</v>
      </c>
    </row>
    <row r="3402" spans="1:9" x14ac:dyDescent="0.25">
      <c r="A3402" t="s">
        <v>9616</v>
      </c>
      <c r="C3402" t="s">
        <v>9617</v>
      </c>
      <c r="D3402" t="str">
        <f>"57130"</f>
        <v>57130</v>
      </c>
      <c r="E3402" t="s">
        <v>11293</v>
      </c>
      <c r="F3402" s="1">
        <v>45160</v>
      </c>
      <c r="G3402" t="str">
        <f>"300043"</f>
        <v>300043</v>
      </c>
      <c r="H3402" t="s">
        <v>2876</v>
      </c>
      <c r="I3402">
        <v>596</v>
      </c>
    </row>
    <row r="3403" spans="1:9" x14ac:dyDescent="0.25">
      <c r="A3403" t="s">
        <v>9616</v>
      </c>
      <c r="C3403" t="s">
        <v>9617</v>
      </c>
      <c r="D3403" t="str">
        <f>"57284"</f>
        <v>57284</v>
      </c>
      <c r="E3403" t="s">
        <v>11294</v>
      </c>
      <c r="F3403" s="1">
        <v>45160</v>
      </c>
      <c r="G3403" t="str">
        <f>"300043"</f>
        <v>300043</v>
      </c>
      <c r="H3403" t="s">
        <v>2876</v>
      </c>
      <c r="I3403">
        <v>1460</v>
      </c>
    </row>
    <row r="3404" spans="1:9" x14ac:dyDescent="0.25">
      <c r="A3404" t="s">
        <v>9616</v>
      </c>
      <c r="C3404" t="s">
        <v>9617</v>
      </c>
      <c r="D3404" t="str">
        <f>"425323"</f>
        <v>425323</v>
      </c>
      <c r="E3404" t="s">
        <v>11293</v>
      </c>
      <c r="F3404" s="1">
        <v>45160</v>
      </c>
      <c r="G3404" t="str">
        <f>"300101"</f>
        <v>300101</v>
      </c>
      <c r="H3404" t="s">
        <v>2926</v>
      </c>
      <c r="I3404">
        <v>3147.93</v>
      </c>
    </row>
    <row r="3405" spans="1:9" x14ac:dyDescent="0.25">
      <c r="A3405" t="s">
        <v>9616</v>
      </c>
      <c r="C3405" t="s">
        <v>9617</v>
      </c>
      <c r="D3405" t="str">
        <f>"10151671"</f>
        <v>10151671</v>
      </c>
      <c r="E3405" t="s">
        <v>9189</v>
      </c>
      <c r="F3405" s="1">
        <v>45160</v>
      </c>
      <c r="G3405" t="str">
        <f>"300115"</f>
        <v>300115</v>
      </c>
      <c r="H3405" t="s">
        <v>2938</v>
      </c>
      <c r="I3405">
        <v>396020.98800000001</v>
      </c>
    </row>
    <row r="3406" spans="1:9" x14ac:dyDescent="0.25">
      <c r="A3406" t="s">
        <v>9616</v>
      </c>
      <c r="C3406" t="s">
        <v>9617</v>
      </c>
      <c r="D3406" t="str">
        <f>"10151673"</f>
        <v>10151673</v>
      </c>
      <c r="E3406" t="s">
        <v>11272</v>
      </c>
      <c r="F3406" s="1">
        <v>45160</v>
      </c>
      <c r="G3406" t="str">
        <f>"300115"</f>
        <v>300115</v>
      </c>
      <c r="H3406" t="s">
        <v>2938</v>
      </c>
      <c r="I3406">
        <v>134539.21799999999</v>
      </c>
    </row>
    <row r="3407" spans="1:9" x14ac:dyDescent="0.25">
      <c r="A3407" t="s">
        <v>9616</v>
      </c>
      <c r="C3407" t="s">
        <v>9617</v>
      </c>
      <c r="D3407" t="str">
        <f>"4988"</f>
        <v>4988</v>
      </c>
      <c r="F3407" s="1">
        <v>45161</v>
      </c>
      <c r="G3407" t="str">
        <f>"300043"</f>
        <v>300043</v>
      </c>
      <c r="H3407" t="s">
        <v>2876</v>
      </c>
      <c r="I3407">
        <v>4897</v>
      </c>
    </row>
    <row r="3408" spans="1:9" x14ac:dyDescent="0.25">
      <c r="A3408" t="s">
        <v>9616</v>
      </c>
      <c r="C3408" t="s">
        <v>9617</v>
      </c>
      <c r="D3408" t="str">
        <f>"57306"</f>
        <v>57306</v>
      </c>
      <c r="E3408" t="s">
        <v>11295</v>
      </c>
      <c r="F3408" s="1">
        <v>45161</v>
      </c>
      <c r="G3408" t="str">
        <f>"300043"</f>
        <v>300043</v>
      </c>
      <c r="H3408" t="s">
        <v>2876</v>
      </c>
      <c r="I3408">
        <v>608</v>
      </c>
    </row>
    <row r="3409" spans="1:9" x14ac:dyDescent="0.25">
      <c r="A3409" t="s">
        <v>9616</v>
      </c>
      <c r="C3409" t="s">
        <v>9617</v>
      </c>
      <c r="D3409" t="str">
        <f>"57442"</f>
        <v>57442</v>
      </c>
      <c r="E3409" t="s">
        <v>11296</v>
      </c>
      <c r="F3409" s="1">
        <v>45161</v>
      </c>
      <c r="G3409" t="str">
        <f>"300043"</f>
        <v>300043</v>
      </c>
      <c r="H3409" t="s">
        <v>2876</v>
      </c>
      <c r="I3409">
        <v>1525</v>
      </c>
    </row>
    <row r="3410" spans="1:9" x14ac:dyDescent="0.25">
      <c r="A3410" t="s">
        <v>9616</v>
      </c>
      <c r="C3410" t="s">
        <v>9617</v>
      </c>
      <c r="D3410" t="str">
        <f>"428023"</f>
        <v>428023</v>
      </c>
      <c r="E3410" t="s">
        <v>11295</v>
      </c>
      <c r="F3410" s="1">
        <v>45161</v>
      </c>
      <c r="G3410" t="str">
        <f>"300101"</f>
        <v>300101</v>
      </c>
      <c r="H3410" t="s">
        <v>2926</v>
      </c>
      <c r="I3410">
        <v>3938.73</v>
      </c>
    </row>
    <row r="3411" spans="1:9" x14ac:dyDescent="0.25">
      <c r="A3411" t="s">
        <v>9616</v>
      </c>
      <c r="C3411" t="s">
        <v>9617</v>
      </c>
      <c r="D3411" t="str">
        <f>"10151745"</f>
        <v>10151745</v>
      </c>
      <c r="E3411" t="s">
        <v>9189</v>
      </c>
      <c r="F3411" s="1">
        <v>45161</v>
      </c>
      <c r="G3411" t="str">
        <f>"300115"</f>
        <v>300115</v>
      </c>
      <c r="H3411" t="s">
        <v>2938</v>
      </c>
      <c r="I3411">
        <v>396020.98800000001</v>
      </c>
    </row>
    <row r="3412" spans="1:9" x14ac:dyDescent="0.25">
      <c r="A3412" t="s">
        <v>9616</v>
      </c>
      <c r="C3412" t="s">
        <v>9617</v>
      </c>
      <c r="D3412" t="str">
        <f>"202306741"</f>
        <v>202306741</v>
      </c>
      <c r="E3412" t="s">
        <v>11277</v>
      </c>
      <c r="F3412" s="1">
        <v>45161</v>
      </c>
      <c r="G3412" t="str">
        <f>"300191"</f>
        <v>300191</v>
      </c>
      <c r="H3412" t="s">
        <v>3008</v>
      </c>
      <c r="I3412">
        <v>3204.17</v>
      </c>
    </row>
    <row r="3413" spans="1:9" x14ac:dyDescent="0.25">
      <c r="A3413" t="s">
        <v>9616</v>
      </c>
      <c r="C3413" t="s">
        <v>9617</v>
      </c>
      <c r="D3413" t="str">
        <f>"202306750"</f>
        <v>202306750</v>
      </c>
      <c r="E3413" t="s">
        <v>11279</v>
      </c>
      <c r="F3413" s="1">
        <v>45161</v>
      </c>
      <c r="G3413" t="str">
        <f>"300191"</f>
        <v>300191</v>
      </c>
      <c r="H3413" t="s">
        <v>3008</v>
      </c>
      <c r="I3413">
        <v>3157.77</v>
      </c>
    </row>
    <row r="3414" spans="1:9" x14ac:dyDescent="0.25">
      <c r="A3414" t="s">
        <v>9616</v>
      </c>
      <c r="C3414" t="s">
        <v>9617</v>
      </c>
      <c r="D3414" t="s">
        <v>11297</v>
      </c>
      <c r="E3414" t="s">
        <v>11298</v>
      </c>
      <c r="F3414" s="1">
        <v>45161</v>
      </c>
      <c r="G3414" t="str">
        <f>"300321"</f>
        <v>300321</v>
      </c>
      <c r="H3414" t="s">
        <v>2706</v>
      </c>
      <c r="I3414">
        <v>18000</v>
      </c>
    </row>
    <row r="3415" spans="1:9" x14ac:dyDescent="0.25">
      <c r="A3415" t="s">
        <v>9616</v>
      </c>
      <c r="C3415" t="s">
        <v>9617</v>
      </c>
      <c r="D3415" t="str">
        <f>"57617"</f>
        <v>57617</v>
      </c>
      <c r="E3415" t="s">
        <v>11299</v>
      </c>
      <c r="F3415" s="1">
        <v>45162</v>
      </c>
      <c r="G3415" t="str">
        <f>"300043"</f>
        <v>300043</v>
      </c>
      <c r="H3415" t="s">
        <v>2876</v>
      </c>
      <c r="I3415">
        <v>609</v>
      </c>
    </row>
    <row r="3416" spans="1:9" x14ac:dyDescent="0.25">
      <c r="A3416" t="s">
        <v>9616</v>
      </c>
      <c r="C3416" t="s">
        <v>9617</v>
      </c>
      <c r="D3416" t="str">
        <f>"57622"</f>
        <v>57622</v>
      </c>
      <c r="E3416" t="s">
        <v>11300</v>
      </c>
      <c r="F3416" s="1">
        <v>45162</v>
      </c>
      <c r="G3416" t="str">
        <f>"300043"</f>
        <v>300043</v>
      </c>
      <c r="H3416" t="s">
        <v>2876</v>
      </c>
      <c r="I3416">
        <v>608</v>
      </c>
    </row>
    <row r="3417" spans="1:9" x14ac:dyDescent="0.25">
      <c r="A3417" t="s">
        <v>9616</v>
      </c>
      <c r="C3417" t="s">
        <v>9617</v>
      </c>
      <c r="D3417" t="str">
        <f>"426323"</f>
        <v>426323</v>
      </c>
      <c r="E3417" t="s">
        <v>11293</v>
      </c>
      <c r="F3417" s="1">
        <v>45162</v>
      </c>
      <c r="G3417" t="str">
        <f>"300101"</f>
        <v>300101</v>
      </c>
      <c r="H3417" t="s">
        <v>2926</v>
      </c>
      <c r="I3417">
        <v>158.16</v>
      </c>
    </row>
    <row r="3418" spans="1:9" x14ac:dyDescent="0.25">
      <c r="A3418" t="s">
        <v>9616</v>
      </c>
      <c r="C3418" t="s">
        <v>9617</v>
      </c>
      <c r="D3418" t="str">
        <f>"430623"</f>
        <v>430623</v>
      </c>
      <c r="E3418" t="s">
        <v>11299</v>
      </c>
      <c r="F3418" s="1">
        <v>45162</v>
      </c>
      <c r="G3418" t="str">
        <f>"300101"</f>
        <v>300101</v>
      </c>
      <c r="H3418" t="s">
        <v>2926</v>
      </c>
      <c r="I3418">
        <v>3464.25</v>
      </c>
    </row>
    <row r="3419" spans="1:9" x14ac:dyDescent="0.25">
      <c r="A3419" t="s">
        <v>9616</v>
      </c>
      <c r="C3419" t="s">
        <v>9617</v>
      </c>
      <c r="D3419" t="str">
        <f>"441123"</f>
        <v>441123</v>
      </c>
      <c r="E3419" t="s">
        <v>11300</v>
      </c>
      <c r="F3419" s="1">
        <v>45162</v>
      </c>
      <c r="G3419" t="str">
        <f>"300101"</f>
        <v>300101</v>
      </c>
      <c r="H3419" t="s">
        <v>2926</v>
      </c>
      <c r="I3419">
        <v>3622.41</v>
      </c>
    </row>
    <row r="3420" spans="1:9" x14ac:dyDescent="0.25">
      <c r="A3420" t="s">
        <v>9616</v>
      </c>
      <c r="C3420" t="s">
        <v>9617</v>
      </c>
      <c r="D3420" t="str">
        <f>"57930"</f>
        <v>57930</v>
      </c>
      <c r="E3420" t="s">
        <v>11301</v>
      </c>
      <c r="F3420" s="1">
        <v>45163</v>
      </c>
      <c r="G3420" t="str">
        <f>"300043"</f>
        <v>300043</v>
      </c>
      <c r="H3420" t="s">
        <v>2876</v>
      </c>
      <c r="I3420">
        <v>611</v>
      </c>
    </row>
    <row r="3421" spans="1:9" x14ac:dyDescent="0.25">
      <c r="A3421" t="s">
        <v>9616</v>
      </c>
      <c r="C3421" t="s">
        <v>9617</v>
      </c>
      <c r="D3421" t="str">
        <f>"57934"</f>
        <v>57934</v>
      </c>
      <c r="E3421" t="s">
        <v>11302</v>
      </c>
      <c r="F3421" s="1">
        <v>45163</v>
      </c>
      <c r="G3421" t="str">
        <f>"300043"</f>
        <v>300043</v>
      </c>
      <c r="H3421" t="s">
        <v>2876</v>
      </c>
      <c r="I3421">
        <v>1529</v>
      </c>
    </row>
    <row r="3422" spans="1:9" x14ac:dyDescent="0.25">
      <c r="A3422" t="s">
        <v>9616</v>
      </c>
      <c r="C3422" t="s">
        <v>9617</v>
      </c>
      <c r="D3422" t="str">
        <f>"4411223"</f>
        <v>4411223</v>
      </c>
      <c r="E3422" t="s">
        <v>11301</v>
      </c>
      <c r="F3422" s="1">
        <v>45163</v>
      </c>
      <c r="G3422" t="str">
        <f>"300101"</f>
        <v>300101</v>
      </c>
      <c r="H3422" t="s">
        <v>2926</v>
      </c>
      <c r="I3422">
        <v>4932.8900000000003</v>
      </c>
    </row>
    <row r="3423" spans="1:9" x14ac:dyDescent="0.25">
      <c r="A3423" t="s">
        <v>9616</v>
      </c>
      <c r="C3423" t="s">
        <v>9617</v>
      </c>
      <c r="D3423" t="str">
        <f>"10151773"</f>
        <v>10151773</v>
      </c>
      <c r="E3423" t="s">
        <v>1928</v>
      </c>
      <c r="F3423" s="1">
        <v>45163</v>
      </c>
      <c r="G3423" t="str">
        <f>"300115"</f>
        <v>300115</v>
      </c>
      <c r="H3423" t="s">
        <v>2938</v>
      </c>
      <c r="I3423">
        <v>134539.21799999999</v>
      </c>
    </row>
    <row r="3424" spans="1:9" x14ac:dyDescent="0.25">
      <c r="A3424" t="s">
        <v>9616</v>
      </c>
      <c r="C3424" t="s">
        <v>9617</v>
      </c>
      <c r="D3424" t="str">
        <f>"10151810"</f>
        <v>10151810</v>
      </c>
      <c r="E3424" t="s">
        <v>9191</v>
      </c>
      <c r="F3424" s="1">
        <v>45163</v>
      </c>
      <c r="G3424" t="str">
        <f>"300115"</f>
        <v>300115</v>
      </c>
      <c r="H3424" t="s">
        <v>2938</v>
      </c>
      <c r="I3424">
        <v>383156.04359999998</v>
      </c>
    </row>
    <row r="3425" spans="1:9" x14ac:dyDescent="0.25">
      <c r="A3425" t="s">
        <v>9616</v>
      </c>
      <c r="C3425" t="s">
        <v>9617</v>
      </c>
      <c r="D3425" t="s">
        <v>11303</v>
      </c>
      <c r="E3425" t="s">
        <v>9565</v>
      </c>
      <c r="F3425" s="1">
        <v>45163</v>
      </c>
      <c r="G3425" t="str">
        <f>"300133"</f>
        <v>300133</v>
      </c>
      <c r="H3425" t="s">
        <v>2955</v>
      </c>
      <c r="I3425">
        <v>46361.7</v>
      </c>
    </row>
    <row r="3426" spans="1:9" x14ac:dyDescent="0.25">
      <c r="A3426" t="s">
        <v>9616</v>
      </c>
      <c r="C3426" t="s">
        <v>9617</v>
      </c>
      <c r="D3426" t="s">
        <v>11304</v>
      </c>
      <c r="E3426" t="s">
        <v>11305</v>
      </c>
      <c r="F3426" s="1">
        <v>45163</v>
      </c>
      <c r="G3426" t="str">
        <f>"300133"</f>
        <v>300133</v>
      </c>
      <c r="H3426" t="s">
        <v>2955</v>
      </c>
      <c r="I3426">
        <v>25253.5</v>
      </c>
    </row>
    <row r="3427" spans="1:9" x14ac:dyDescent="0.25">
      <c r="A3427" t="s">
        <v>9616</v>
      </c>
      <c r="C3427" t="s">
        <v>9617</v>
      </c>
      <c r="D3427" t="str">
        <f>"202306805"</f>
        <v>202306805</v>
      </c>
      <c r="E3427" t="s">
        <v>11296</v>
      </c>
      <c r="F3427" s="1">
        <v>45163</v>
      </c>
      <c r="G3427" t="str">
        <f>"300191"</f>
        <v>300191</v>
      </c>
      <c r="H3427" t="s">
        <v>3008</v>
      </c>
      <c r="I3427">
        <v>3204.17</v>
      </c>
    </row>
    <row r="3428" spans="1:9" x14ac:dyDescent="0.25">
      <c r="A3428" t="s">
        <v>9616</v>
      </c>
      <c r="C3428" t="s">
        <v>9617</v>
      </c>
      <c r="D3428" t="str">
        <f>"202306806"</f>
        <v>202306806</v>
      </c>
      <c r="E3428" t="s">
        <v>11294</v>
      </c>
      <c r="F3428" s="1">
        <v>45163</v>
      </c>
      <c r="G3428" t="str">
        <f>"300191"</f>
        <v>300191</v>
      </c>
      <c r="H3428" t="s">
        <v>3008</v>
      </c>
      <c r="I3428">
        <v>3180.97</v>
      </c>
    </row>
    <row r="3429" spans="1:9" x14ac:dyDescent="0.25">
      <c r="A3429" t="s">
        <v>9616</v>
      </c>
      <c r="C3429" t="s">
        <v>9617</v>
      </c>
      <c r="D3429" t="str">
        <f>"202306821"</f>
        <v>202306821</v>
      </c>
      <c r="E3429" t="s">
        <v>11287</v>
      </c>
      <c r="F3429" s="1">
        <v>45163</v>
      </c>
      <c r="G3429" t="str">
        <f>"300191"</f>
        <v>300191</v>
      </c>
      <c r="H3429" t="s">
        <v>3008</v>
      </c>
      <c r="I3429">
        <v>3204.17</v>
      </c>
    </row>
    <row r="3430" spans="1:9" x14ac:dyDescent="0.25">
      <c r="A3430" t="s">
        <v>9616</v>
      </c>
      <c r="C3430" t="s">
        <v>9617</v>
      </c>
      <c r="D3430" t="str">
        <f>"202306836"</f>
        <v>202306836</v>
      </c>
      <c r="E3430" t="s">
        <v>11271</v>
      </c>
      <c r="F3430" s="1">
        <v>45163</v>
      </c>
      <c r="G3430" t="str">
        <f>"300191"</f>
        <v>300191</v>
      </c>
      <c r="H3430" t="s">
        <v>3008</v>
      </c>
      <c r="I3430">
        <v>3204.17</v>
      </c>
    </row>
    <row r="3431" spans="1:9" x14ac:dyDescent="0.25">
      <c r="A3431" t="s">
        <v>9616</v>
      </c>
      <c r="C3431" t="s">
        <v>9617</v>
      </c>
      <c r="D3431" t="s">
        <v>11306</v>
      </c>
      <c r="E3431" t="s">
        <v>11307</v>
      </c>
      <c r="F3431" s="1">
        <v>45163</v>
      </c>
      <c r="G3431" t="str">
        <f>"300321"</f>
        <v>300321</v>
      </c>
      <c r="H3431" t="s">
        <v>2706</v>
      </c>
      <c r="I3431">
        <v>18000</v>
      </c>
    </row>
    <row r="3432" spans="1:9" x14ac:dyDescent="0.25">
      <c r="A3432" t="s">
        <v>9616</v>
      </c>
      <c r="C3432" t="s">
        <v>9617</v>
      </c>
      <c r="D3432" t="str">
        <f>"202306850"</f>
        <v>202306850</v>
      </c>
      <c r="E3432" t="s">
        <v>11302</v>
      </c>
      <c r="F3432" s="1">
        <v>45164</v>
      </c>
      <c r="G3432" t="str">
        <f>"300191"</f>
        <v>300191</v>
      </c>
      <c r="H3432" t="s">
        <v>3008</v>
      </c>
      <c r="I3432">
        <v>3204.17</v>
      </c>
    </row>
    <row r="3433" spans="1:9" x14ac:dyDescent="0.25">
      <c r="A3433" t="s">
        <v>9616</v>
      </c>
      <c r="C3433" t="s">
        <v>9617</v>
      </c>
      <c r="D3433" t="str">
        <f>"433123"</f>
        <v>433123</v>
      </c>
      <c r="E3433" t="s">
        <v>11299</v>
      </c>
      <c r="F3433" s="1">
        <v>45166</v>
      </c>
      <c r="G3433" t="str">
        <f>"300101"</f>
        <v>300101</v>
      </c>
      <c r="H3433" t="s">
        <v>2926</v>
      </c>
      <c r="I3433">
        <v>158.16</v>
      </c>
    </row>
    <row r="3434" spans="1:9" x14ac:dyDescent="0.25">
      <c r="A3434" t="s">
        <v>9616</v>
      </c>
      <c r="C3434" t="s">
        <v>9617</v>
      </c>
      <c r="D3434" t="str">
        <f>"10151813"</f>
        <v>10151813</v>
      </c>
      <c r="E3434" t="s">
        <v>8852</v>
      </c>
      <c r="F3434" s="1">
        <v>45166</v>
      </c>
      <c r="G3434" t="str">
        <f>"300115"</f>
        <v>300115</v>
      </c>
      <c r="H3434" t="s">
        <v>2938</v>
      </c>
      <c r="I3434">
        <v>325079.96399999998</v>
      </c>
    </row>
    <row r="3435" spans="1:9" x14ac:dyDescent="0.25">
      <c r="A3435" t="s">
        <v>9616</v>
      </c>
      <c r="C3435" t="s">
        <v>9617</v>
      </c>
      <c r="D3435" t="str">
        <f>"58066"</f>
        <v>58066</v>
      </c>
      <c r="E3435" t="s">
        <v>11308</v>
      </c>
      <c r="F3435" s="1">
        <v>45167</v>
      </c>
      <c r="G3435" t="str">
        <f>"300043"</f>
        <v>300043</v>
      </c>
      <c r="H3435" t="s">
        <v>2876</v>
      </c>
      <c r="I3435">
        <v>611</v>
      </c>
    </row>
    <row r="3436" spans="1:9" x14ac:dyDescent="0.25">
      <c r="A3436" t="s">
        <v>9616</v>
      </c>
      <c r="C3436" t="s">
        <v>9617</v>
      </c>
      <c r="D3436" t="str">
        <f>"58580"</f>
        <v>58580</v>
      </c>
      <c r="E3436" t="s">
        <v>11307</v>
      </c>
      <c r="F3436" s="1">
        <v>45167</v>
      </c>
      <c r="G3436" t="str">
        <f>"300043"</f>
        <v>300043</v>
      </c>
      <c r="H3436" t="s">
        <v>2876</v>
      </c>
      <c r="I3436">
        <v>1496</v>
      </c>
    </row>
    <row r="3437" spans="1:9" x14ac:dyDescent="0.25">
      <c r="A3437" t="s">
        <v>9616</v>
      </c>
      <c r="C3437" t="s">
        <v>9617</v>
      </c>
      <c r="D3437" t="str">
        <f>"230639"</f>
        <v>230639</v>
      </c>
      <c r="E3437" t="s">
        <v>11309</v>
      </c>
      <c r="F3437" s="1">
        <v>45167</v>
      </c>
      <c r="G3437" t="str">
        <f>"300081"</f>
        <v>300081</v>
      </c>
      <c r="H3437" t="s">
        <v>2045</v>
      </c>
      <c r="I3437">
        <v>208.4</v>
      </c>
    </row>
    <row r="3438" spans="1:9" x14ac:dyDescent="0.25">
      <c r="A3438" t="s">
        <v>9616</v>
      </c>
      <c r="C3438" t="s">
        <v>9617</v>
      </c>
      <c r="D3438" t="str">
        <f>"454523"</f>
        <v>454523</v>
      </c>
      <c r="E3438" t="s">
        <v>11308</v>
      </c>
      <c r="F3438" s="1">
        <v>45167</v>
      </c>
      <c r="G3438" t="str">
        <f>"300101"</f>
        <v>300101</v>
      </c>
      <c r="H3438" t="s">
        <v>2926</v>
      </c>
      <c r="I3438">
        <v>3825.76</v>
      </c>
    </row>
    <row r="3439" spans="1:9" x14ac:dyDescent="0.25">
      <c r="A3439" t="s">
        <v>9616</v>
      </c>
      <c r="C3439" t="s">
        <v>9617</v>
      </c>
      <c r="D3439" t="str">
        <f>"10151845"</f>
        <v>10151845</v>
      </c>
      <c r="E3439" t="s">
        <v>9189</v>
      </c>
      <c r="F3439" s="1">
        <v>45167</v>
      </c>
      <c r="G3439" t="str">
        <f>"300115"</f>
        <v>300115</v>
      </c>
      <c r="H3439" t="s">
        <v>2938</v>
      </c>
      <c r="I3439">
        <v>375590.0148</v>
      </c>
    </row>
    <row r="3440" spans="1:9" x14ac:dyDescent="0.25">
      <c r="A3440" t="s">
        <v>9616</v>
      </c>
      <c r="C3440" t="s">
        <v>9617</v>
      </c>
      <c r="D3440" t="str">
        <f>"10151847"</f>
        <v>10151847</v>
      </c>
      <c r="E3440" t="s">
        <v>10809</v>
      </c>
      <c r="F3440" s="1">
        <v>45167</v>
      </c>
      <c r="G3440" t="str">
        <f>"300115"</f>
        <v>300115</v>
      </c>
      <c r="H3440" t="s">
        <v>2938</v>
      </c>
      <c r="I3440">
        <v>95576.166400000002</v>
      </c>
    </row>
    <row r="3441" spans="1:9" x14ac:dyDescent="0.25">
      <c r="A3441" t="s">
        <v>9616</v>
      </c>
      <c r="C3441" t="s">
        <v>9617</v>
      </c>
      <c r="D3441" t="str">
        <f>"10151849"</f>
        <v>10151849</v>
      </c>
      <c r="E3441" t="s">
        <v>10879</v>
      </c>
      <c r="F3441" s="1">
        <v>45167</v>
      </c>
      <c r="G3441" t="str">
        <f>"300115"</f>
        <v>300115</v>
      </c>
      <c r="H3441" t="s">
        <v>2938</v>
      </c>
      <c r="I3441">
        <v>162396.51999999999</v>
      </c>
    </row>
    <row r="3442" spans="1:9" x14ac:dyDescent="0.25">
      <c r="A3442" t="s">
        <v>9616</v>
      </c>
      <c r="C3442" t="s">
        <v>9617</v>
      </c>
      <c r="D3442" t="str">
        <f>"10151907"</f>
        <v>10151907</v>
      </c>
      <c r="E3442" t="s">
        <v>1928</v>
      </c>
      <c r="F3442" s="1">
        <v>45167</v>
      </c>
      <c r="G3442" t="str">
        <f>"300115"</f>
        <v>300115</v>
      </c>
      <c r="H3442" t="s">
        <v>2938</v>
      </c>
      <c r="I3442">
        <v>134539.21799999999</v>
      </c>
    </row>
    <row r="3443" spans="1:9" x14ac:dyDescent="0.25">
      <c r="A3443" t="s">
        <v>9616</v>
      </c>
      <c r="C3443" t="s">
        <v>9617</v>
      </c>
      <c r="D3443" t="s">
        <v>11310</v>
      </c>
      <c r="E3443" t="s">
        <v>11311</v>
      </c>
      <c r="F3443" s="1">
        <v>45167</v>
      </c>
      <c r="G3443" t="str">
        <f>"300321"</f>
        <v>300321</v>
      </c>
      <c r="H3443" t="s">
        <v>2706</v>
      </c>
      <c r="I3443">
        <v>18000</v>
      </c>
    </row>
    <row r="3444" spans="1:9" x14ac:dyDescent="0.25">
      <c r="A3444" t="s">
        <v>9616</v>
      </c>
      <c r="C3444" t="s">
        <v>9617</v>
      </c>
      <c r="D3444" t="str">
        <f>"58705"</f>
        <v>58705</v>
      </c>
      <c r="E3444" t="s">
        <v>11312</v>
      </c>
      <c r="F3444" s="1">
        <v>45168</v>
      </c>
      <c r="G3444" t="str">
        <f>"300043"</f>
        <v>300043</v>
      </c>
      <c r="H3444" t="s">
        <v>2876</v>
      </c>
      <c r="I3444">
        <v>613</v>
      </c>
    </row>
    <row r="3445" spans="1:9" x14ac:dyDescent="0.25">
      <c r="A3445" t="s">
        <v>9616</v>
      </c>
      <c r="C3445" t="s">
        <v>9617</v>
      </c>
      <c r="D3445" t="str">
        <f>"58757"</f>
        <v>58757</v>
      </c>
      <c r="E3445" t="s">
        <v>11311</v>
      </c>
      <c r="F3445" s="1">
        <v>45168</v>
      </c>
      <c r="G3445" t="str">
        <f>"300043"</f>
        <v>300043</v>
      </c>
      <c r="H3445" t="s">
        <v>2876</v>
      </c>
      <c r="I3445">
        <v>1472</v>
      </c>
    </row>
    <row r="3446" spans="1:9" x14ac:dyDescent="0.25">
      <c r="A3446" t="s">
        <v>9616</v>
      </c>
      <c r="C3446" t="s">
        <v>9617</v>
      </c>
      <c r="D3446" t="str">
        <f>"454423"</f>
        <v>454423</v>
      </c>
      <c r="E3446" t="s">
        <v>11312</v>
      </c>
      <c r="F3446" s="1">
        <v>45168</v>
      </c>
      <c r="G3446" t="str">
        <f>"300101"</f>
        <v>300101</v>
      </c>
      <c r="H3446" t="s">
        <v>2926</v>
      </c>
      <c r="I3446">
        <v>3306.09</v>
      </c>
    </row>
    <row r="3447" spans="1:9" x14ac:dyDescent="0.25">
      <c r="A3447" t="s">
        <v>9616</v>
      </c>
      <c r="C3447" t="s">
        <v>9617</v>
      </c>
      <c r="D3447" t="str">
        <f>"10151947"</f>
        <v>10151947</v>
      </c>
      <c r="E3447" t="s">
        <v>1819</v>
      </c>
      <c r="F3447" s="1">
        <v>45168</v>
      </c>
      <c r="G3447" t="str">
        <f>"300115"</f>
        <v>300115</v>
      </c>
      <c r="H3447" t="s">
        <v>2938</v>
      </c>
      <c r="I3447">
        <v>134539.21799999999</v>
      </c>
    </row>
    <row r="3448" spans="1:9" x14ac:dyDescent="0.25">
      <c r="A3448" t="s">
        <v>9616</v>
      </c>
      <c r="C3448" t="s">
        <v>9617</v>
      </c>
      <c r="D3448" t="str">
        <f>"8000425230"</f>
        <v>8000425230</v>
      </c>
      <c r="E3448" t="s">
        <v>9360</v>
      </c>
      <c r="F3448" s="1">
        <v>45168</v>
      </c>
      <c r="G3448" t="str">
        <f>"300220"</f>
        <v>300220</v>
      </c>
      <c r="H3448" t="s">
        <v>2170</v>
      </c>
      <c r="I3448">
        <v>1256270.3999999999</v>
      </c>
    </row>
    <row r="3449" spans="1:9" x14ac:dyDescent="0.25">
      <c r="A3449" t="s">
        <v>9616</v>
      </c>
      <c r="C3449" t="s">
        <v>9617</v>
      </c>
      <c r="D3449" t="s">
        <v>11313</v>
      </c>
      <c r="E3449" t="s">
        <v>11314</v>
      </c>
      <c r="F3449" s="1">
        <v>45168</v>
      </c>
      <c r="G3449" t="str">
        <f>"300340"</f>
        <v>300340</v>
      </c>
      <c r="H3449" t="s">
        <v>3080</v>
      </c>
      <c r="I3449">
        <v>6248</v>
      </c>
    </row>
    <row r="3450" spans="1:9" x14ac:dyDescent="0.25">
      <c r="A3450" t="s">
        <v>9616</v>
      </c>
      <c r="C3450" t="s">
        <v>9617</v>
      </c>
      <c r="D3450" t="str">
        <f>"74245"</f>
        <v>74245</v>
      </c>
      <c r="E3450" t="s">
        <v>9191</v>
      </c>
      <c r="F3450" s="1">
        <v>45169</v>
      </c>
      <c r="G3450" t="str">
        <f>"300093"</f>
        <v>300093</v>
      </c>
      <c r="H3450" t="s">
        <v>2918</v>
      </c>
      <c r="I3450">
        <v>231718.74</v>
      </c>
    </row>
    <row r="3451" spans="1:9" x14ac:dyDescent="0.25">
      <c r="A3451" t="s">
        <v>9616</v>
      </c>
      <c r="C3451" t="s">
        <v>9617</v>
      </c>
      <c r="D3451" t="str">
        <f>"10151952"</f>
        <v>10151952</v>
      </c>
      <c r="E3451" t="s">
        <v>9710</v>
      </c>
      <c r="F3451" s="1">
        <v>45169</v>
      </c>
      <c r="G3451" t="str">
        <f>"300115"</f>
        <v>300115</v>
      </c>
      <c r="H3451" t="s">
        <v>2938</v>
      </c>
      <c r="I3451">
        <v>396020.98800000001</v>
      </c>
    </row>
    <row r="3452" spans="1:9" x14ac:dyDescent="0.25">
      <c r="A3452" t="s">
        <v>9616</v>
      </c>
      <c r="C3452" t="s">
        <v>9617</v>
      </c>
      <c r="D3452" t="str">
        <f>"20013963"</f>
        <v>20013963</v>
      </c>
      <c r="E3452" t="s">
        <v>8852</v>
      </c>
      <c r="F3452" s="1">
        <v>45169</v>
      </c>
      <c r="G3452" t="str">
        <f>"300115"</f>
        <v>300115</v>
      </c>
      <c r="H3452" t="s">
        <v>2938</v>
      </c>
      <c r="I3452">
        <v>7847.268</v>
      </c>
    </row>
    <row r="3453" spans="1:9" x14ac:dyDescent="0.25">
      <c r="A3453" t="s">
        <v>9616</v>
      </c>
      <c r="C3453" t="s">
        <v>9617</v>
      </c>
      <c r="D3453" t="str">
        <f>"202307065"</f>
        <v>202307065</v>
      </c>
      <c r="E3453" t="s">
        <v>11307</v>
      </c>
      <c r="F3453" s="1">
        <v>45169</v>
      </c>
      <c r="G3453" t="str">
        <f>"300191"</f>
        <v>300191</v>
      </c>
      <c r="H3453" t="s">
        <v>3008</v>
      </c>
      <c r="I3453">
        <v>3180.97</v>
      </c>
    </row>
    <row r="3454" spans="1:9" x14ac:dyDescent="0.25">
      <c r="A3454" t="s">
        <v>9616</v>
      </c>
      <c r="C3454" t="s">
        <v>9617</v>
      </c>
      <c r="D3454" t="str">
        <f>"202307066"</f>
        <v>202307066</v>
      </c>
      <c r="E3454" t="s">
        <v>11311</v>
      </c>
      <c r="F3454" s="1">
        <v>45169</v>
      </c>
      <c r="G3454" t="str">
        <f>"300191"</f>
        <v>300191</v>
      </c>
      <c r="H3454" t="s">
        <v>3008</v>
      </c>
      <c r="I3454">
        <v>3204.17</v>
      </c>
    </row>
    <row r="3455" spans="1:9" x14ac:dyDescent="0.25">
      <c r="A3455" t="s">
        <v>9616</v>
      </c>
      <c r="C3455" t="s">
        <v>9617</v>
      </c>
      <c r="D3455" t="s">
        <v>11315</v>
      </c>
      <c r="E3455" t="s">
        <v>11316</v>
      </c>
      <c r="F3455" s="1">
        <v>45169</v>
      </c>
      <c r="G3455" t="str">
        <f>"300321"</f>
        <v>300321</v>
      </c>
      <c r="H3455" t="s">
        <v>2706</v>
      </c>
      <c r="I3455">
        <v>18000</v>
      </c>
    </row>
    <row r="3456" spans="1:9" x14ac:dyDescent="0.25">
      <c r="A3456" t="s">
        <v>9616</v>
      </c>
      <c r="C3456" t="s">
        <v>9617</v>
      </c>
      <c r="D3456" t="str">
        <f>"59226"</f>
        <v>59226</v>
      </c>
      <c r="E3456" t="s">
        <v>11317</v>
      </c>
      <c r="F3456" s="1">
        <v>45170</v>
      </c>
      <c r="G3456" t="str">
        <f>"300043"</f>
        <v>300043</v>
      </c>
      <c r="H3456" t="s">
        <v>2876</v>
      </c>
      <c r="I3456">
        <v>615</v>
      </c>
    </row>
    <row r="3457" spans="1:9" x14ac:dyDescent="0.25">
      <c r="A3457" t="s">
        <v>9616</v>
      </c>
      <c r="C3457" t="s">
        <v>9617</v>
      </c>
      <c r="D3457" t="str">
        <f>"59228"</f>
        <v>59228</v>
      </c>
      <c r="E3457" t="s">
        <v>11318</v>
      </c>
      <c r="F3457" s="1">
        <v>45170</v>
      </c>
      <c r="G3457" t="str">
        <f>"300043"</f>
        <v>300043</v>
      </c>
      <c r="H3457" t="s">
        <v>2876</v>
      </c>
      <c r="I3457">
        <v>1252</v>
      </c>
    </row>
    <row r="3458" spans="1:9" x14ac:dyDescent="0.25">
      <c r="A3458" t="s">
        <v>9616</v>
      </c>
      <c r="C3458" t="s">
        <v>9617</v>
      </c>
      <c r="D3458" t="str">
        <f>"467123"</f>
        <v>467123</v>
      </c>
      <c r="E3458" t="s">
        <v>11318</v>
      </c>
      <c r="F3458" s="1">
        <v>45170</v>
      </c>
      <c r="G3458" t="str">
        <f>"300101"</f>
        <v>300101</v>
      </c>
      <c r="H3458" t="s">
        <v>2926</v>
      </c>
      <c r="I3458">
        <v>3307.57</v>
      </c>
    </row>
    <row r="3459" spans="1:9" x14ac:dyDescent="0.25">
      <c r="A3459" t="s">
        <v>9616</v>
      </c>
      <c r="C3459" t="s">
        <v>9617</v>
      </c>
      <c r="D3459" t="str">
        <f>"467323"</f>
        <v>467323</v>
      </c>
      <c r="E3459" t="s">
        <v>11317</v>
      </c>
      <c r="F3459" s="1">
        <v>45170</v>
      </c>
      <c r="G3459" t="str">
        <f>"300101"</f>
        <v>300101</v>
      </c>
      <c r="H3459" t="s">
        <v>2926</v>
      </c>
      <c r="I3459">
        <v>3307.58</v>
      </c>
    </row>
    <row r="3460" spans="1:9" x14ac:dyDescent="0.25">
      <c r="A3460" t="s">
        <v>9616</v>
      </c>
      <c r="C3460" t="s">
        <v>9617</v>
      </c>
      <c r="D3460" t="str">
        <f>"59316"</f>
        <v>59316</v>
      </c>
      <c r="E3460" t="s">
        <v>11316</v>
      </c>
      <c r="F3460" s="1">
        <v>45171</v>
      </c>
      <c r="G3460" t="str">
        <f>"300043"</f>
        <v>300043</v>
      </c>
      <c r="H3460" t="s">
        <v>2876</v>
      </c>
      <c r="I3460">
        <v>1545</v>
      </c>
    </row>
    <row r="3461" spans="1:9" x14ac:dyDescent="0.25">
      <c r="A3461" t="s">
        <v>9616</v>
      </c>
      <c r="C3461" t="s">
        <v>9617</v>
      </c>
      <c r="D3461" t="str">
        <f>"5116"</f>
        <v>5116</v>
      </c>
      <c r="F3461" s="1">
        <v>45173</v>
      </c>
      <c r="G3461" t="str">
        <f>"300043"</f>
        <v>300043</v>
      </c>
      <c r="H3461" t="s">
        <v>2876</v>
      </c>
      <c r="I3461">
        <v>4931</v>
      </c>
    </row>
    <row r="3462" spans="1:9" x14ac:dyDescent="0.25">
      <c r="A3462" t="s">
        <v>9616</v>
      </c>
      <c r="C3462" t="s">
        <v>9617</v>
      </c>
      <c r="D3462" t="str">
        <f>"10152031"</f>
        <v>10152031</v>
      </c>
      <c r="E3462" t="s">
        <v>8852</v>
      </c>
      <c r="F3462" s="1">
        <v>45173</v>
      </c>
      <c r="G3462" t="str">
        <f>"300115"</f>
        <v>300115</v>
      </c>
      <c r="H3462" t="s">
        <v>2938</v>
      </c>
      <c r="I3462">
        <v>154504.62719999999</v>
      </c>
    </row>
    <row r="3463" spans="1:9" x14ac:dyDescent="0.25">
      <c r="A3463" t="s">
        <v>9616</v>
      </c>
      <c r="C3463" t="s">
        <v>9617</v>
      </c>
      <c r="D3463" t="str">
        <f>"24488"</f>
        <v>24488</v>
      </c>
      <c r="E3463" t="s">
        <v>9191</v>
      </c>
      <c r="F3463" s="1">
        <v>45173</v>
      </c>
      <c r="G3463" t="str">
        <f>"300356"</f>
        <v>300356</v>
      </c>
      <c r="H3463" t="s">
        <v>3094</v>
      </c>
      <c r="I3463">
        <v>228441.4418</v>
      </c>
    </row>
    <row r="3464" spans="1:9" x14ac:dyDescent="0.25">
      <c r="A3464" t="s">
        <v>9616</v>
      </c>
      <c r="C3464" t="s">
        <v>9617</v>
      </c>
      <c r="D3464" t="str">
        <f>"4534"</f>
        <v>4534</v>
      </c>
      <c r="E3464" t="s">
        <v>11314</v>
      </c>
      <c r="F3464" s="1">
        <v>45175</v>
      </c>
      <c r="G3464" t="str">
        <f>"300043"</f>
        <v>300043</v>
      </c>
      <c r="H3464" t="s">
        <v>2876</v>
      </c>
      <c r="I3464">
        <v>8498</v>
      </c>
    </row>
    <row r="3465" spans="1:9" x14ac:dyDescent="0.25">
      <c r="A3465" t="s">
        <v>9616</v>
      </c>
      <c r="C3465" t="s">
        <v>9617</v>
      </c>
      <c r="D3465" t="str">
        <f>"60043"</f>
        <v>60043</v>
      </c>
      <c r="E3465" t="s">
        <v>11319</v>
      </c>
      <c r="F3465" s="1">
        <v>45175</v>
      </c>
      <c r="G3465" t="str">
        <f>"300043"</f>
        <v>300043</v>
      </c>
      <c r="H3465" t="s">
        <v>2876</v>
      </c>
      <c r="I3465">
        <v>676</v>
      </c>
    </row>
    <row r="3466" spans="1:9" x14ac:dyDescent="0.25">
      <c r="A3466" t="s">
        <v>9616</v>
      </c>
      <c r="C3466" t="s">
        <v>9617</v>
      </c>
      <c r="D3466" t="str">
        <f>"60046"</f>
        <v>60046</v>
      </c>
      <c r="E3466" t="s">
        <v>11320</v>
      </c>
      <c r="F3466" s="1">
        <v>45175</v>
      </c>
      <c r="G3466" t="str">
        <f>"300043"</f>
        <v>300043</v>
      </c>
      <c r="H3466" t="s">
        <v>2876</v>
      </c>
      <c r="I3466">
        <v>1020</v>
      </c>
    </row>
    <row r="3467" spans="1:9" x14ac:dyDescent="0.25">
      <c r="A3467" t="s">
        <v>9616</v>
      </c>
      <c r="C3467" t="s">
        <v>9617</v>
      </c>
      <c r="D3467" t="str">
        <f>"467023"</f>
        <v>467023</v>
      </c>
      <c r="E3467" t="s">
        <v>11319</v>
      </c>
      <c r="F3467" s="1">
        <v>45175</v>
      </c>
      <c r="G3467" t="str">
        <f>"300101"</f>
        <v>300101</v>
      </c>
      <c r="H3467" t="s">
        <v>2926</v>
      </c>
      <c r="I3467">
        <v>3149.32</v>
      </c>
    </row>
    <row r="3468" spans="1:9" x14ac:dyDescent="0.25">
      <c r="A3468" t="s">
        <v>9616</v>
      </c>
      <c r="C3468" t="s">
        <v>9617</v>
      </c>
      <c r="D3468" t="str">
        <f>"467923"</f>
        <v>467923</v>
      </c>
      <c r="E3468" t="s">
        <v>11320</v>
      </c>
      <c r="F3468" s="1">
        <v>45175</v>
      </c>
      <c r="G3468" t="str">
        <f>"300101"</f>
        <v>300101</v>
      </c>
      <c r="H3468" t="s">
        <v>2926</v>
      </c>
      <c r="I3468">
        <v>4257.1000000000004</v>
      </c>
    </row>
    <row r="3469" spans="1:9" x14ac:dyDescent="0.25">
      <c r="A3469" t="s">
        <v>9616</v>
      </c>
      <c r="C3469" t="s">
        <v>9617</v>
      </c>
      <c r="D3469" t="str">
        <f>"202307179"</f>
        <v>202307179</v>
      </c>
      <c r="E3469" t="s">
        <v>11316</v>
      </c>
      <c r="F3469" s="1">
        <v>45175</v>
      </c>
      <c r="G3469" t="str">
        <f>"300191"</f>
        <v>300191</v>
      </c>
      <c r="H3469" t="s">
        <v>3008</v>
      </c>
      <c r="I3469">
        <v>3521.97</v>
      </c>
    </row>
    <row r="3470" spans="1:9" x14ac:dyDescent="0.25">
      <c r="A3470" t="s">
        <v>9616</v>
      </c>
      <c r="C3470" t="s">
        <v>9617</v>
      </c>
      <c r="D3470" t="str">
        <f>"60081"</f>
        <v>60081</v>
      </c>
      <c r="E3470" t="s">
        <v>11321</v>
      </c>
      <c r="F3470" s="1">
        <v>45176</v>
      </c>
      <c r="G3470" t="str">
        <f>"300043"</f>
        <v>300043</v>
      </c>
      <c r="H3470" t="s">
        <v>2876</v>
      </c>
      <c r="I3470">
        <v>612</v>
      </c>
    </row>
    <row r="3471" spans="1:9" x14ac:dyDescent="0.25">
      <c r="A3471" t="s">
        <v>9616</v>
      </c>
      <c r="C3471" t="s">
        <v>9617</v>
      </c>
      <c r="D3471" t="str">
        <f>"60164"</f>
        <v>60164</v>
      </c>
      <c r="E3471" t="s">
        <v>11322</v>
      </c>
      <c r="F3471" s="1">
        <v>45176</v>
      </c>
      <c r="G3471" t="str">
        <f>"300043"</f>
        <v>300043</v>
      </c>
      <c r="H3471" t="s">
        <v>2876</v>
      </c>
      <c r="I3471">
        <v>923</v>
      </c>
    </row>
    <row r="3472" spans="1:9" x14ac:dyDescent="0.25">
      <c r="A3472" t="s">
        <v>9616</v>
      </c>
      <c r="C3472" t="s">
        <v>9617</v>
      </c>
      <c r="D3472" t="str">
        <f>"467623"</f>
        <v>467623</v>
      </c>
      <c r="E3472" t="s">
        <v>11322</v>
      </c>
      <c r="F3472" s="1">
        <v>45176</v>
      </c>
      <c r="G3472" t="str">
        <f>"300101"</f>
        <v>300101</v>
      </c>
      <c r="H3472" t="s">
        <v>2926</v>
      </c>
      <c r="I3472">
        <v>2991.06</v>
      </c>
    </row>
    <row r="3473" spans="1:9" x14ac:dyDescent="0.25">
      <c r="A3473" t="s">
        <v>9616</v>
      </c>
      <c r="C3473" t="s">
        <v>9617</v>
      </c>
      <c r="D3473" t="str">
        <f>"467823"</f>
        <v>467823</v>
      </c>
      <c r="E3473" t="s">
        <v>11321</v>
      </c>
      <c r="F3473" s="1">
        <v>45176</v>
      </c>
      <c r="G3473" t="str">
        <f>"300101"</f>
        <v>300101</v>
      </c>
      <c r="H3473" t="s">
        <v>2926</v>
      </c>
      <c r="I3473">
        <v>3985.81</v>
      </c>
    </row>
    <row r="3474" spans="1:9" x14ac:dyDescent="0.25">
      <c r="A3474" t="s">
        <v>9616</v>
      </c>
      <c r="C3474" t="s">
        <v>9617</v>
      </c>
      <c r="D3474" t="str">
        <f>"10152175"</f>
        <v>10152175</v>
      </c>
      <c r="E3474" t="s">
        <v>9189</v>
      </c>
      <c r="F3474" s="1">
        <v>45177</v>
      </c>
      <c r="G3474" t="str">
        <f>"300115"</f>
        <v>300115</v>
      </c>
      <c r="H3474" t="s">
        <v>2938</v>
      </c>
      <c r="I3474">
        <v>396087.516</v>
      </c>
    </row>
    <row r="3475" spans="1:9" x14ac:dyDescent="0.25">
      <c r="A3475" t="s">
        <v>9616</v>
      </c>
      <c r="C3475" t="s">
        <v>9617</v>
      </c>
      <c r="D3475" t="s">
        <v>11323</v>
      </c>
      <c r="E3475" t="s">
        <v>11324</v>
      </c>
      <c r="F3475" s="1">
        <v>45177</v>
      </c>
      <c r="G3475" t="str">
        <f>"300321"</f>
        <v>300321</v>
      </c>
      <c r="H3475" t="s">
        <v>2706</v>
      </c>
      <c r="I3475">
        <v>18000</v>
      </c>
    </row>
    <row r="3476" spans="1:9" x14ac:dyDescent="0.25">
      <c r="A3476" t="s">
        <v>9616</v>
      </c>
      <c r="C3476" t="s">
        <v>9617</v>
      </c>
      <c r="D3476" t="str">
        <f>"10152211"</f>
        <v>10152211</v>
      </c>
      <c r="E3476" t="s">
        <v>9189</v>
      </c>
      <c r="F3476" s="1">
        <v>45180</v>
      </c>
      <c r="G3476" t="str">
        <f>"300115"</f>
        <v>300115</v>
      </c>
      <c r="H3476" t="s">
        <v>2938</v>
      </c>
      <c r="I3476">
        <v>396043.16399999999</v>
      </c>
    </row>
    <row r="3477" spans="1:9" x14ac:dyDescent="0.25">
      <c r="A3477" t="s">
        <v>9616</v>
      </c>
      <c r="C3477" t="s">
        <v>9617</v>
      </c>
      <c r="D3477" t="s">
        <v>11325</v>
      </c>
      <c r="E3477" t="s">
        <v>11326</v>
      </c>
      <c r="F3477" s="1">
        <v>45180</v>
      </c>
      <c r="G3477" t="str">
        <f>"300321"</f>
        <v>300321</v>
      </c>
      <c r="H3477" t="s">
        <v>2706</v>
      </c>
      <c r="I3477">
        <v>18000</v>
      </c>
    </row>
    <row r="3478" spans="1:9" x14ac:dyDescent="0.25">
      <c r="A3478" t="s">
        <v>9616</v>
      </c>
      <c r="C3478" t="s">
        <v>9617</v>
      </c>
      <c r="D3478" t="str">
        <f>"60835"</f>
        <v>60835</v>
      </c>
      <c r="E3478" t="s">
        <v>11324</v>
      </c>
      <c r="F3478" s="1">
        <v>45181</v>
      </c>
      <c r="G3478" t="str">
        <f>"300043"</f>
        <v>300043</v>
      </c>
      <c r="H3478" t="s">
        <v>2876</v>
      </c>
      <c r="I3478">
        <v>1528</v>
      </c>
    </row>
    <row r="3479" spans="1:9" x14ac:dyDescent="0.25">
      <c r="A3479" t="s">
        <v>9616</v>
      </c>
      <c r="C3479" t="s">
        <v>9617</v>
      </c>
      <c r="D3479" t="str">
        <f>"61291"</f>
        <v>61291</v>
      </c>
      <c r="E3479" t="s">
        <v>11326</v>
      </c>
      <c r="F3479" s="1">
        <v>45181</v>
      </c>
      <c r="G3479" t="str">
        <f>"300043"</f>
        <v>300043</v>
      </c>
      <c r="H3479" t="s">
        <v>2876</v>
      </c>
      <c r="I3479">
        <v>1529</v>
      </c>
    </row>
    <row r="3480" spans="1:9" x14ac:dyDescent="0.25">
      <c r="A3480" t="s">
        <v>9616</v>
      </c>
      <c r="C3480" t="s">
        <v>9617</v>
      </c>
      <c r="D3480" t="str">
        <f>"10152248"</f>
        <v>10152248</v>
      </c>
      <c r="E3480" t="s">
        <v>1313</v>
      </c>
      <c r="F3480" s="1">
        <v>45181</v>
      </c>
      <c r="G3480" t="str">
        <f>"300115"</f>
        <v>300115</v>
      </c>
      <c r="H3480" t="s">
        <v>2938</v>
      </c>
      <c r="I3480">
        <v>159547.2934</v>
      </c>
    </row>
    <row r="3481" spans="1:9" x14ac:dyDescent="0.25">
      <c r="A3481" t="s">
        <v>9616</v>
      </c>
      <c r="C3481" t="s">
        <v>9617</v>
      </c>
      <c r="D3481" t="str">
        <f>"10152275"</f>
        <v>10152275</v>
      </c>
      <c r="E3481" t="s">
        <v>9189</v>
      </c>
      <c r="F3481" s="1">
        <v>45181</v>
      </c>
      <c r="G3481" t="str">
        <f>"300115"</f>
        <v>300115</v>
      </c>
      <c r="H3481" t="s">
        <v>2938</v>
      </c>
      <c r="I3481">
        <v>412800.234</v>
      </c>
    </row>
    <row r="3482" spans="1:9" x14ac:dyDescent="0.25">
      <c r="A3482" t="s">
        <v>9616</v>
      </c>
      <c r="C3482" t="s">
        <v>9617</v>
      </c>
      <c r="D3482" t="s">
        <v>11327</v>
      </c>
      <c r="E3482" t="s">
        <v>11328</v>
      </c>
      <c r="F3482" s="1">
        <v>45181</v>
      </c>
      <c r="G3482" t="str">
        <f>"300133"</f>
        <v>300133</v>
      </c>
      <c r="H3482" t="s">
        <v>2955</v>
      </c>
      <c r="I3482">
        <v>54328.32</v>
      </c>
    </row>
    <row r="3483" spans="1:9" x14ac:dyDescent="0.25">
      <c r="A3483" t="s">
        <v>9616</v>
      </c>
      <c r="C3483" t="s">
        <v>9617</v>
      </c>
      <c r="D3483" t="s">
        <v>11329</v>
      </c>
      <c r="E3483" t="s">
        <v>9565</v>
      </c>
      <c r="F3483" s="1">
        <v>45181</v>
      </c>
      <c r="G3483" t="str">
        <f>"300133"</f>
        <v>300133</v>
      </c>
      <c r="H3483" t="s">
        <v>2955</v>
      </c>
      <c r="I3483">
        <v>46361.7</v>
      </c>
    </row>
    <row r="3484" spans="1:9" x14ac:dyDescent="0.25">
      <c r="A3484" t="s">
        <v>9616</v>
      </c>
      <c r="C3484" t="s">
        <v>9617</v>
      </c>
      <c r="D3484" t="s">
        <v>11330</v>
      </c>
      <c r="E3484" t="s">
        <v>11331</v>
      </c>
      <c r="F3484" s="1">
        <v>45181</v>
      </c>
      <c r="G3484" t="str">
        <f>"300133"</f>
        <v>300133</v>
      </c>
      <c r="H3484" t="s">
        <v>2955</v>
      </c>
      <c r="I3484">
        <v>46869.25</v>
      </c>
    </row>
    <row r="3485" spans="1:9" x14ac:dyDescent="0.25">
      <c r="A3485" t="s">
        <v>9616</v>
      </c>
      <c r="C3485" t="s">
        <v>9617</v>
      </c>
      <c r="D3485" t="s">
        <v>11332</v>
      </c>
      <c r="E3485" t="s">
        <v>9562</v>
      </c>
      <c r="F3485" s="1">
        <v>45182</v>
      </c>
      <c r="G3485" t="str">
        <f>"300133"</f>
        <v>300133</v>
      </c>
      <c r="H3485" t="s">
        <v>2955</v>
      </c>
      <c r="I3485">
        <v>40711.68</v>
      </c>
    </row>
    <row r="3486" spans="1:9" x14ac:dyDescent="0.25">
      <c r="A3486" t="s">
        <v>9616</v>
      </c>
      <c r="C3486" t="s">
        <v>9617</v>
      </c>
      <c r="D3486" t="str">
        <f>"202307358"</f>
        <v>202307358</v>
      </c>
      <c r="E3486" t="s">
        <v>11257</v>
      </c>
      <c r="F3486" s="1">
        <v>45182</v>
      </c>
      <c r="G3486" t="str">
        <f>"300191"</f>
        <v>300191</v>
      </c>
      <c r="H3486" t="s">
        <v>3008</v>
      </c>
      <c r="I3486">
        <v>8675.69</v>
      </c>
    </row>
    <row r="3487" spans="1:9" x14ac:dyDescent="0.25">
      <c r="A3487" t="s">
        <v>9616</v>
      </c>
      <c r="C3487" t="s">
        <v>9617</v>
      </c>
      <c r="D3487" t="str">
        <f>"202307363"</f>
        <v>202307363</v>
      </c>
      <c r="E3487" t="s">
        <v>11314</v>
      </c>
      <c r="F3487" s="1">
        <v>45182</v>
      </c>
      <c r="G3487" t="str">
        <f>"300191"</f>
        <v>300191</v>
      </c>
      <c r="H3487" t="s">
        <v>3008</v>
      </c>
      <c r="I3487">
        <v>10960.51</v>
      </c>
    </row>
    <row r="3488" spans="1:9" x14ac:dyDescent="0.25">
      <c r="A3488" t="s">
        <v>9616</v>
      </c>
      <c r="C3488" t="s">
        <v>9617</v>
      </c>
      <c r="D3488" t="str">
        <f>"202307379"</f>
        <v>202307379</v>
      </c>
      <c r="E3488" t="s">
        <v>11324</v>
      </c>
      <c r="F3488" s="1">
        <v>45183</v>
      </c>
      <c r="G3488" t="str">
        <f>"300191"</f>
        <v>300191</v>
      </c>
      <c r="H3488" t="s">
        <v>3008</v>
      </c>
      <c r="I3488">
        <v>3680.23</v>
      </c>
    </row>
    <row r="3489" spans="1:9" x14ac:dyDescent="0.25">
      <c r="A3489" t="s">
        <v>9616</v>
      </c>
      <c r="C3489" t="s">
        <v>9617</v>
      </c>
      <c r="D3489" t="str">
        <f>"202307381"</f>
        <v>202307381</v>
      </c>
      <c r="E3489" t="s">
        <v>11326</v>
      </c>
      <c r="F3489" s="1">
        <v>45183</v>
      </c>
      <c r="G3489" t="str">
        <f>"300191"</f>
        <v>300191</v>
      </c>
      <c r="H3489" t="s">
        <v>3008</v>
      </c>
      <c r="I3489">
        <v>3205.46</v>
      </c>
    </row>
    <row r="3490" spans="1:9" x14ac:dyDescent="0.25">
      <c r="A3490" t="s">
        <v>9616</v>
      </c>
      <c r="C3490" t="s">
        <v>9617</v>
      </c>
      <c r="D3490" t="str">
        <f>"61638"</f>
        <v>61638</v>
      </c>
      <c r="E3490" t="s">
        <v>11333</v>
      </c>
      <c r="F3490" s="1">
        <v>45184</v>
      </c>
      <c r="G3490" t="str">
        <f>"300043"</f>
        <v>300043</v>
      </c>
      <c r="H3490" t="s">
        <v>2876</v>
      </c>
      <c r="I3490">
        <v>693</v>
      </c>
    </row>
    <row r="3491" spans="1:9" x14ac:dyDescent="0.25">
      <c r="A3491" t="s">
        <v>9616</v>
      </c>
      <c r="C3491" t="s">
        <v>9617</v>
      </c>
      <c r="D3491" t="str">
        <f>"82927"</f>
        <v>82927</v>
      </c>
      <c r="E3491" t="s">
        <v>11334</v>
      </c>
      <c r="F3491" s="1">
        <v>45184</v>
      </c>
      <c r="G3491" t="str">
        <f>"300043"</f>
        <v>300043</v>
      </c>
      <c r="H3491" t="s">
        <v>2876</v>
      </c>
      <c r="I3491">
        <v>67224</v>
      </c>
    </row>
    <row r="3492" spans="1:9" x14ac:dyDescent="0.25">
      <c r="A3492" t="s">
        <v>9616</v>
      </c>
      <c r="C3492" t="s">
        <v>9617</v>
      </c>
      <c r="D3492" t="str">
        <f>"467223"</f>
        <v>467223</v>
      </c>
      <c r="E3492" t="s">
        <v>11333</v>
      </c>
      <c r="F3492" s="1">
        <v>45184</v>
      </c>
      <c r="G3492" t="str">
        <f>"300101"</f>
        <v>300101</v>
      </c>
      <c r="H3492" t="s">
        <v>2926</v>
      </c>
      <c r="I3492">
        <v>3624.08</v>
      </c>
    </row>
    <row r="3493" spans="1:9" x14ac:dyDescent="0.25">
      <c r="A3493" t="s">
        <v>9616</v>
      </c>
      <c r="C3493" t="s">
        <v>9617</v>
      </c>
      <c r="D3493" t="str">
        <f>"10152372"</f>
        <v>10152372</v>
      </c>
      <c r="E3493" t="s">
        <v>9189</v>
      </c>
      <c r="F3493" s="1">
        <v>45184</v>
      </c>
      <c r="G3493" t="str">
        <f>"300115"</f>
        <v>300115</v>
      </c>
      <c r="H3493" t="s">
        <v>2938</v>
      </c>
      <c r="I3493">
        <v>412800.234</v>
      </c>
    </row>
    <row r="3494" spans="1:9" x14ac:dyDescent="0.25">
      <c r="A3494" t="s">
        <v>9616</v>
      </c>
      <c r="C3494" t="s">
        <v>9617</v>
      </c>
      <c r="D3494" t="str">
        <f>"62150"</f>
        <v>62150</v>
      </c>
      <c r="E3494" t="s">
        <v>11335</v>
      </c>
      <c r="F3494" s="1">
        <v>45187</v>
      </c>
      <c r="G3494" t="str">
        <f>"300043"</f>
        <v>300043</v>
      </c>
      <c r="H3494" t="s">
        <v>2876</v>
      </c>
      <c r="I3494">
        <v>1536</v>
      </c>
    </row>
    <row r="3495" spans="1:9" x14ac:dyDescent="0.25">
      <c r="A3495" t="s">
        <v>9616</v>
      </c>
      <c r="C3495" t="s">
        <v>9617</v>
      </c>
      <c r="D3495" t="str">
        <f>"466923"</f>
        <v>466923</v>
      </c>
      <c r="E3495" t="s">
        <v>11335</v>
      </c>
      <c r="F3495" s="1">
        <v>45187</v>
      </c>
      <c r="G3495" t="str">
        <f>"300101"</f>
        <v>300101</v>
      </c>
      <c r="H3495" t="s">
        <v>2926</v>
      </c>
      <c r="I3495">
        <v>3624.09</v>
      </c>
    </row>
    <row r="3496" spans="1:9" x14ac:dyDescent="0.25">
      <c r="A3496" t="s">
        <v>9616</v>
      </c>
      <c r="C3496" t="s">
        <v>9617</v>
      </c>
      <c r="D3496" t="str">
        <f>"10152374"</f>
        <v>10152374</v>
      </c>
      <c r="E3496" t="s">
        <v>10996</v>
      </c>
      <c r="F3496" s="1">
        <v>45187</v>
      </c>
      <c r="G3496" t="str">
        <f>"300115"</f>
        <v>300115</v>
      </c>
      <c r="H3496" t="s">
        <v>2938</v>
      </c>
      <c r="I3496">
        <v>396070.88400000002</v>
      </c>
    </row>
    <row r="3497" spans="1:9" x14ac:dyDescent="0.25">
      <c r="A3497" t="s">
        <v>9616</v>
      </c>
      <c r="C3497" t="s">
        <v>9617</v>
      </c>
      <c r="D3497" t="str">
        <f>"100013009"</f>
        <v>100013009</v>
      </c>
      <c r="E3497" t="s">
        <v>9189</v>
      </c>
      <c r="F3497" s="1">
        <v>45187</v>
      </c>
      <c r="G3497" t="str">
        <f>"300226"</f>
        <v>300226</v>
      </c>
      <c r="H3497" t="s">
        <v>3025</v>
      </c>
      <c r="I3497">
        <v>340911.45</v>
      </c>
    </row>
    <row r="3498" spans="1:9" x14ac:dyDescent="0.25">
      <c r="A3498" t="s">
        <v>9616</v>
      </c>
      <c r="C3498" t="s">
        <v>9617</v>
      </c>
      <c r="D3498" t="s">
        <v>11336</v>
      </c>
      <c r="E3498" t="s">
        <v>11337</v>
      </c>
      <c r="F3498" s="1">
        <v>45187</v>
      </c>
      <c r="G3498" t="str">
        <f>"300321"</f>
        <v>300321</v>
      </c>
      <c r="H3498" t="s">
        <v>2706</v>
      </c>
      <c r="I3498">
        <v>18000</v>
      </c>
    </row>
    <row r="3499" spans="1:9" x14ac:dyDescent="0.25">
      <c r="A3499" t="s">
        <v>9616</v>
      </c>
      <c r="C3499" t="s">
        <v>9617</v>
      </c>
      <c r="D3499" t="str">
        <f>"62516"</f>
        <v>62516</v>
      </c>
      <c r="E3499" t="s">
        <v>11338</v>
      </c>
      <c r="F3499" s="1">
        <v>45188</v>
      </c>
      <c r="G3499" t="str">
        <f>"300043"</f>
        <v>300043</v>
      </c>
      <c r="H3499" t="s">
        <v>2876</v>
      </c>
      <c r="I3499">
        <v>1540</v>
      </c>
    </row>
    <row r="3500" spans="1:9" x14ac:dyDescent="0.25">
      <c r="A3500" t="s">
        <v>9616</v>
      </c>
      <c r="C3500" t="s">
        <v>9617</v>
      </c>
      <c r="D3500" t="str">
        <f>"62591"</f>
        <v>62591</v>
      </c>
      <c r="E3500" t="s">
        <v>11337</v>
      </c>
      <c r="F3500" s="1">
        <v>45188</v>
      </c>
      <c r="G3500" t="str">
        <f>"300043"</f>
        <v>300043</v>
      </c>
      <c r="H3500" t="s">
        <v>2876</v>
      </c>
      <c r="I3500">
        <v>1540</v>
      </c>
    </row>
    <row r="3501" spans="1:9" x14ac:dyDescent="0.25">
      <c r="A3501" t="s">
        <v>9616</v>
      </c>
      <c r="C3501" t="s">
        <v>9617</v>
      </c>
      <c r="D3501" t="str">
        <f>"483823"</f>
        <v>483823</v>
      </c>
      <c r="E3501" t="s">
        <v>11338</v>
      </c>
      <c r="F3501" s="1">
        <v>45188</v>
      </c>
      <c r="G3501" t="str">
        <f>"300101"</f>
        <v>300101</v>
      </c>
      <c r="H3501" t="s">
        <v>2926</v>
      </c>
      <c r="I3501">
        <v>3149.32</v>
      </c>
    </row>
    <row r="3502" spans="1:9" x14ac:dyDescent="0.25">
      <c r="A3502" t="s">
        <v>9616</v>
      </c>
      <c r="C3502" t="s">
        <v>9617</v>
      </c>
      <c r="D3502" t="str">
        <f>"10152376"</f>
        <v>10152376</v>
      </c>
      <c r="E3502" t="s">
        <v>9633</v>
      </c>
      <c r="F3502" s="1">
        <v>45188</v>
      </c>
      <c r="G3502" t="str">
        <f>"300115"</f>
        <v>300115</v>
      </c>
      <c r="H3502" t="s">
        <v>2938</v>
      </c>
      <c r="I3502">
        <v>68668.723199999993</v>
      </c>
    </row>
    <row r="3503" spans="1:9" x14ac:dyDescent="0.25">
      <c r="A3503" t="s">
        <v>9616</v>
      </c>
      <c r="C3503" t="s">
        <v>9617</v>
      </c>
      <c r="D3503" t="str">
        <f>"10152377"</f>
        <v>10152377</v>
      </c>
      <c r="E3503" t="s">
        <v>11339</v>
      </c>
      <c r="F3503" s="1">
        <v>45188</v>
      </c>
      <c r="G3503" t="str">
        <f>"300115"</f>
        <v>300115</v>
      </c>
      <c r="H3503" t="s">
        <v>2938</v>
      </c>
      <c r="I3503">
        <v>85835.903999999995</v>
      </c>
    </row>
    <row r="3504" spans="1:9" x14ac:dyDescent="0.25">
      <c r="A3504" t="s">
        <v>9616</v>
      </c>
      <c r="C3504" t="s">
        <v>9617</v>
      </c>
      <c r="D3504" t="str">
        <f>"10152496"</f>
        <v>10152496</v>
      </c>
      <c r="E3504" t="s">
        <v>8852</v>
      </c>
      <c r="F3504" s="1">
        <v>45189</v>
      </c>
      <c r="G3504" t="str">
        <f>"300115"</f>
        <v>300115</v>
      </c>
      <c r="H3504" t="s">
        <v>2938</v>
      </c>
      <c r="I3504">
        <v>311734.14799999999</v>
      </c>
    </row>
    <row r="3505" spans="1:9" x14ac:dyDescent="0.25">
      <c r="A3505" t="s">
        <v>9616</v>
      </c>
      <c r="C3505" t="s">
        <v>9617</v>
      </c>
      <c r="D3505" t="str">
        <f>"202307566"</f>
        <v>202307566</v>
      </c>
      <c r="E3505" t="s">
        <v>11337</v>
      </c>
      <c r="F3505" s="1">
        <v>45189</v>
      </c>
      <c r="G3505" t="str">
        <f>"300191"</f>
        <v>300191</v>
      </c>
      <c r="H3505" t="s">
        <v>3008</v>
      </c>
      <c r="I3505">
        <v>3182.26</v>
      </c>
    </row>
    <row r="3506" spans="1:9" x14ac:dyDescent="0.25">
      <c r="A3506" t="s">
        <v>9616</v>
      </c>
      <c r="C3506" t="s">
        <v>9617</v>
      </c>
      <c r="D3506" t="str">
        <f>"5220"</f>
        <v>5220</v>
      </c>
      <c r="F3506" s="1">
        <v>45191</v>
      </c>
      <c r="G3506" t="str">
        <f>"300043"</f>
        <v>300043</v>
      </c>
      <c r="H3506" t="s">
        <v>2876</v>
      </c>
      <c r="I3506">
        <v>3999</v>
      </c>
    </row>
    <row r="3507" spans="1:9" x14ac:dyDescent="0.25">
      <c r="A3507" t="s">
        <v>9616</v>
      </c>
      <c r="C3507" t="s">
        <v>9617</v>
      </c>
      <c r="D3507" t="str">
        <f>"63454"</f>
        <v>63454</v>
      </c>
      <c r="E3507" t="s">
        <v>11340</v>
      </c>
      <c r="F3507" s="1">
        <v>45191</v>
      </c>
      <c r="G3507" t="str">
        <f>"300043"</f>
        <v>300043</v>
      </c>
      <c r="H3507" t="s">
        <v>2876</v>
      </c>
      <c r="I3507">
        <v>677</v>
      </c>
    </row>
    <row r="3508" spans="1:9" x14ac:dyDescent="0.25">
      <c r="A3508" t="s">
        <v>9616</v>
      </c>
      <c r="C3508" t="s">
        <v>9617</v>
      </c>
      <c r="D3508" t="str">
        <f>"483923"</f>
        <v>483923</v>
      </c>
      <c r="E3508" t="s">
        <v>11340</v>
      </c>
      <c r="F3508" s="1">
        <v>45191</v>
      </c>
      <c r="G3508" t="str">
        <f>"300101"</f>
        <v>300101</v>
      </c>
      <c r="H3508" t="s">
        <v>2926</v>
      </c>
      <c r="I3508">
        <v>3149.32</v>
      </c>
    </row>
    <row r="3509" spans="1:9" x14ac:dyDescent="0.25">
      <c r="A3509" t="s">
        <v>9616</v>
      </c>
      <c r="C3509" t="s">
        <v>9617</v>
      </c>
      <c r="D3509" t="s">
        <v>11341</v>
      </c>
      <c r="E3509" t="s">
        <v>11342</v>
      </c>
      <c r="F3509" s="1">
        <v>45191</v>
      </c>
      <c r="G3509" t="str">
        <f>"300340"</f>
        <v>300340</v>
      </c>
      <c r="H3509" t="s">
        <v>3080</v>
      </c>
      <c r="I3509">
        <v>3274</v>
      </c>
    </row>
    <row r="3510" spans="1:9" x14ac:dyDescent="0.25">
      <c r="A3510" t="s">
        <v>9616</v>
      </c>
      <c r="C3510" t="s">
        <v>9617</v>
      </c>
      <c r="D3510" t="str">
        <f>"63722"</f>
        <v>63722</v>
      </c>
      <c r="E3510" t="s">
        <v>11343</v>
      </c>
      <c r="F3510" s="1">
        <v>45194</v>
      </c>
      <c r="G3510" t="str">
        <f>"300043"</f>
        <v>300043</v>
      </c>
      <c r="H3510" t="s">
        <v>2876</v>
      </c>
      <c r="I3510">
        <v>1198</v>
      </c>
    </row>
    <row r="3511" spans="1:9" x14ac:dyDescent="0.25">
      <c r="A3511" t="s">
        <v>9616</v>
      </c>
      <c r="C3511" t="s">
        <v>9617</v>
      </c>
      <c r="D3511" t="str">
        <f>"116378"</f>
        <v>116378</v>
      </c>
      <c r="E3511" t="s">
        <v>11344</v>
      </c>
      <c r="F3511" s="1">
        <v>45194</v>
      </c>
      <c r="G3511" t="str">
        <f>"300043"</f>
        <v>300043</v>
      </c>
      <c r="H3511" t="s">
        <v>2876</v>
      </c>
      <c r="I3511">
        <v>936</v>
      </c>
    </row>
    <row r="3512" spans="1:9" x14ac:dyDescent="0.25">
      <c r="A3512" t="s">
        <v>9616</v>
      </c>
      <c r="C3512" t="s">
        <v>9617</v>
      </c>
      <c r="D3512" t="str">
        <f>"484023"</f>
        <v>484023</v>
      </c>
      <c r="E3512" t="s">
        <v>11343</v>
      </c>
      <c r="F3512" s="1">
        <v>45194</v>
      </c>
      <c r="G3512" t="str">
        <f>"300101"</f>
        <v>300101</v>
      </c>
      <c r="H3512" t="s">
        <v>2926</v>
      </c>
      <c r="I3512">
        <v>3307.57</v>
      </c>
    </row>
    <row r="3513" spans="1:9" x14ac:dyDescent="0.25">
      <c r="A3513" t="s">
        <v>9616</v>
      </c>
      <c r="C3513" t="s">
        <v>9617</v>
      </c>
      <c r="D3513" t="str">
        <f>"4892"</f>
        <v>4892</v>
      </c>
      <c r="E3513" t="s">
        <v>11345</v>
      </c>
      <c r="F3513" s="1">
        <v>45195</v>
      </c>
      <c r="G3513" t="str">
        <f>"300043"</f>
        <v>300043</v>
      </c>
      <c r="H3513" t="s">
        <v>2876</v>
      </c>
      <c r="I3513">
        <v>4323</v>
      </c>
    </row>
    <row r="3514" spans="1:9" x14ac:dyDescent="0.25">
      <c r="A3514" t="s">
        <v>9616</v>
      </c>
      <c r="C3514" t="s">
        <v>9617</v>
      </c>
      <c r="D3514" t="str">
        <f>"20014003"</f>
        <v>20014003</v>
      </c>
      <c r="E3514" t="s">
        <v>9191</v>
      </c>
      <c r="F3514" s="1">
        <v>45195</v>
      </c>
      <c r="G3514" t="str">
        <f>"300115"</f>
        <v>300115</v>
      </c>
      <c r="H3514" t="s">
        <v>2938</v>
      </c>
      <c r="I3514">
        <v>9579.3389999999999</v>
      </c>
    </row>
    <row r="3515" spans="1:9" x14ac:dyDescent="0.25">
      <c r="A3515" t="s">
        <v>9616</v>
      </c>
      <c r="C3515" t="s">
        <v>9617</v>
      </c>
      <c r="D3515" t="str">
        <f>"10152846"</f>
        <v>10152846</v>
      </c>
      <c r="E3515" t="s">
        <v>2640</v>
      </c>
      <c r="F3515" s="1">
        <v>45198</v>
      </c>
      <c r="G3515" t="str">
        <f>"300115"</f>
        <v>300115</v>
      </c>
      <c r="H3515" t="s">
        <v>2938</v>
      </c>
      <c r="I3515">
        <v>396070.88400000002</v>
      </c>
    </row>
    <row r="3516" spans="1:9" x14ac:dyDescent="0.25">
      <c r="A3516" t="s">
        <v>9616</v>
      </c>
      <c r="C3516" t="s">
        <v>9617</v>
      </c>
      <c r="D3516" t="s">
        <v>11346</v>
      </c>
      <c r="E3516" t="s">
        <v>11334</v>
      </c>
      <c r="F3516" s="1">
        <v>45198</v>
      </c>
      <c r="G3516" t="str">
        <f>"300321"</f>
        <v>300321</v>
      </c>
      <c r="H3516" t="s">
        <v>2706</v>
      </c>
      <c r="I3516">
        <v>11500</v>
      </c>
    </row>
    <row r="3517" spans="1:9" x14ac:dyDescent="0.25">
      <c r="A3517" t="s">
        <v>9616</v>
      </c>
      <c r="C3517" t="s">
        <v>9617</v>
      </c>
      <c r="D3517" t="str">
        <f>"202307790"</f>
        <v>202307790</v>
      </c>
      <c r="E3517" t="s">
        <v>11344</v>
      </c>
      <c r="F3517" s="1">
        <v>45199</v>
      </c>
      <c r="G3517" t="str">
        <f>"300191"</f>
        <v>300191</v>
      </c>
      <c r="H3517" t="s">
        <v>3008</v>
      </c>
      <c r="I3517">
        <v>9080.24</v>
      </c>
    </row>
    <row r="3518" spans="1:9" x14ac:dyDescent="0.25">
      <c r="A3518" t="s">
        <v>9616</v>
      </c>
      <c r="C3518" t="s">
        <v>9617</v>
      </c>
      <c r="D3518" t="str">
        <f>"14972"</f>
        <v>14972</v>
      </c>
      <c r="E3518" t="s">
        <v>11347</v>
      </c>
      <c r="F3518" s="1">
        <v>45200</v>
      </c>
      <c r="G3518" t="str">
        <f>"300043"</f>
        <v>300043</v>
      </c>
      <c r="H3518" t="s">
        <v>2876</v>
      </c>
      <c r="I3518">
        <v>4897</v>
      </c>
    </row>
    <row r="3519" spans="1:9" x14ac:dyDescent="0.25">
      <c r="A3519" t="s">
        <v>9616</v>
      </c>
      <c r="C3519" t="s">
        <v>9617</v>
      </c>
      <c r="D3519" t="str">
        <f>"10152848"</f>
        <v>10152848</v>
      </c>
      <c r="E3519" t="s">
        <v>9341</v>
      </c>
      <c r="F3519" s="1">
        <v>45201</v>
      </c>
      <c r="G3519" t="str">
        <f>"300115"</f>
        <v>300115</v>
      </c>
      <c r="H3519" t="s">
        <v>2938</v>
      </c>
      <c r="I3519">
        <v>431144.90100000001</v>
      </c>
    </row>
    <row r="3520" spans="1:9" x14ac:dyDescent="0.25">
      <c r="A3520" t="s">
        <v>9616</v>
      </c>
      <c r="C3520" t="s">
        <v>9617</v>
      </c>
      <c r="D3520" t="s">
        <v>11348</v>
      </c>
      <c r="E3520" t="s">
        <v>11349</v>
      </c>
      <c r="F3520" s="1">
        <v>45201</v>
      </c>
      <c r="G3520" t="str">
        <f>"300321"</f>
        <v>300321</v>
      </c>
      <c r="H3520" t="s">
        <v>2706</v>
      </c>
      <c r="I3520">
        <v>18000</v>
      </c>
    </row>
    <row r="3521" spans="1:9" x14ac:dyDescent="0.25">
      <c r="A3521" t="s">
        <v>9616</v>
      </c>
      <c r="C3521" t="s">
        <v>9617</v>
      </c>
      <c r="D3521" t="str">
        <f>"17441"</f>
        <v>17441</v>
      </c>
      <c r="E3521" t="s">
        <v>11350</v>
      </c>
      <c r="F3521" s="1">
        <v>45202</v>
      </c>
      <c r="G3521" t="str">
        <f>"300043"</f>
        <v>300043</v>
      </c>
      <c r="H3521" t="s">
        <v>2876</v>
      </c>
      <c r="I3521">
        <v>3496</v>
      </c>
    </row>
    <row r="3522" spans="1:9" x14ac:dyDescent="0.25">
      <c r="A3522" t="s">
        <v>9616</v>
      </c>
      <c r="C3522" t="s">
        <v>9617</v>
      </c>
      <c r="D3522" t="str">
        <f>"10152893"</f>
        <v>10152893</v>
      </c>
      <c r="E3522" t="s">
        <v>9341</v>
      </c>
      <c r="F3522" s="1">
        <v>45202</v>
      </c>
      <c r="G3522" t="str">
        <f>"300115"</f>
        <v>300115</v>
      </c>
      <c r="H3522" t="s">
        <v>2938</v>
      </c>
      <c r="I3522">
        <v>453308.75699999998</v>
      </c>
    </row>
    <row r="3523" spans="1:9" x14ac:dyDescent="0.25">
      <c r="A3523" t="s">
        <v>9616</v>
      </c>
      <c r="C3523" t="s">
        <v>9617</v>
      </c>
      <c r="D3523" t="str">
        <f>"65753"</f>
        <v>65753</v>
      </c>
      <c r="E3523" t="s">
        <v>11349</v>
      </c>
      <c r="F3523" s="1">
        <v>45203</v>
      </c>
      <c r="G3523" t="str">
        <f>"300043"</f>
        <v>300043</v>
      </c>
      <c r="H3523" t="s">
        <v>2876</v>
      </c>
      <c r="I3523">
        <v>1642</v>
      </c>
    </row>
    <row r="3524" spans="1:9" x14ac:dyDescent="0.25">
      <c r="A3524" t="s">
        <v>9616</v>
      </c>
      <c r="C3524" t="s">
        <v>9617</v>
      </c>
      <c r="D3524" t="str">
        <f>"65829"</f>
        <v>65829</v>
      </c>
      <c r="E3524" t="s">
        <v>11334</v>
      </c>
      <c r="F3524" s="1">
        <v>45203</v>
      </c>
      <c r="G3524" t="str">
        <f>"300043"</f>
        <v>300043</v>
      </c>
      <c r="H3524" t="s">
        <v>2876</v>
      </c>
      <c r="I3524">
        <v>1505</v>
      </c>
    </row>
    <row r="3525" spans="1:9" x14ac:dyDescent="0.25">
      <c r="A3525" t="s">
        <v>9616</v>
      </c>
      <c r="C3525" t="s">
        <v>9617</v>
      </c>
      <c r="D3525" t="str">
        <f>"21542"</f>
        <v>21542</v>
      </c>
      <c r="E3525" t="s">
        <v>11351</v>
      </c>
      <c r="F3525" s="1">
        <v>45204</v>
      </c>
      <c r="G3525" t="str">
        <f>"300043"</f>
        <v>300043</v>
      </c>
      <c r="H3525" t="s">
        <v>2876</v>
      </c>
      <c r="I3525">
        <v>1228</v>
      </c>
    </row>
    <row r="3526" spans="1:9" x14ac:dyDescent="0.25">
      <c r="A3526" t="s">
        <v>9616</v>
      </c>
      <c r="C3526" t="s">
        <v>9617</v>
      </c>
      <c r="D3526" t="str">
        <f>"202307956"</f>
        <v>202307956</v>
      </c>
      <c r="E3526" t="s">
        <v>11334</v>
      </c>
      <c r="F3526" s="1">
        <v>45205</v>
      </c>
      <c r="G3526" t="str">
        <f>"300191"</f>
        <v>300191</v>
      </c>
      <c r="H3526" t="s">
        <v>3008</v>
      </c>
      <c r="I3526">
        <v>3363.72</v>
      </c>
    </row>
    <row r="3527" spans="1:9" x14ac:dyDescent="0.25">
      <c r="A3527" t="s">
        <v>9616</v>
      </c>
      <c r="C3527" t="s">
        <v>9617</v>
      </c>
      <c r="D3527" t="str">
        <f>"202307967"</f>
        <v>202307967</v>
      </c>
      <c r="E3527" t="s">
        <v>11351</v>
      </c>
      <c r="F3527" s="1">
        <v>45205</v>
      </c>
      <c r="G3527" t="str">
        <f>"300191"</f>
        <v>300191</v>
      </c>
      <c r="H3527" t="s">
        <v>3008</v>
      </c>
      <c r="I3527">
        <v>7812.16</v>
      </c>
    </row>
    <row r="3528" spans="1:9" x14ac:dyDescent="0.25">
      <c r="A3528" t="s">
        <v>9616</v>
      </c>
      <c r="C3528" t="s">
        <v>9617</v>
      </c>
      <c r="D3528" t="str">
        <f>"202307968"</f>
        <v>202307968</v>
      </c>
      <c r="E3528" t="s">
        <v>11349</v>
      </c>
      <c r="F3528" s="1">
        <v>45205</v>
      </c>
      <c r="G3528" t="str">
        <f>"300191"</f>
        <v>300191</v>
      </c>
      <c r="H3528" t="s">
        <v>3008</v>
      </c>
      <c r="I3528">
        <v>3363.72</v>
      </c>
    </row>
    <row r="3529" spans="1:9" x14ac:dyDescent="0.25">
      <c r="A3529" t="s">
        <v>9616</v>
      </c>
      <c r="C3529" t="s">
        <v>9617</v>
      </c>
      <c r="D3529" t="str">
        <f>"202307974"</f>
        <v>202307974</v>
      </c>
      <c r="E3529" t="s">
        <v>11352</v>
      </c>
      <c r="F3529" s="1">
        <v>45205</v>
      </c>
      <c r="G3529" t="str">
        <f>"300191"</f>
        <v>300191</v>
      </c>
      <c r="H3529" t="s">
        <v>3008</v>
      </c>
      <c r="I3529">
        <v>23810.39</v>
      </c>
    </row>
    <row r="3530" spans="1:9" x14ac:dyDescent="0.25">
      <c r="A3530" t="s">
        <v>9616</v>
      </c>
      <c r="C3530" t="s">
        <v>9617</v>
      </c>
      <c r="D3530" t="s">
        <v>11353</v>
      </c>
      <c r="E3530" t="s">
        <v>6648</v>
      </c>
      <c r="F3530" s="1">
        <v>45208</v>
      </c>
      <c r="G3530" t="str">
        <f>"300064"</f>
        <v>300064</v>
      </c>
      <c r="H3530" t="s">
        <v>2896</v>
      </c>
      <c r="I3530">
        <v>38460</v>
      </c>
    </row>
    <row r="3531" spans="1:9" x14ac:dyDescent="0.25">
      <c r="A3531" t="s">
        <v>9616</v>
      </c>
      <c r="C3531" t="s">
        <v>9617</v>
      </c>
      <c r="D3531" t="s">
        <v>11354</v>
      </c>
      <c r="E3531" t="s">
        <v>10677</v>
      </c>
      <c r="F3531" s="1">
        <v>45208</v>
      </c>
      <c r="G3531" t="str">
        <f>"300064"</f>
        <v>300064</v>
      </c>
      <c r="H3531" t="s">
        <v>2896</v>
      </c>
      <c r="I3531">
        <v>38460</v>
      </c>
    </row>
    <row r="3532" spans="1:9" x14ac:dyDescent="0.25">
      <c r="A3532" t="s">
        <v>9616</v>
      </c>
      <c r="C3532" t="s">
        <v>9617</v>
      </c>
      <c r="D3532" t="str">
        <f>"66665"</f>
        <v>66665</v>
      </c>
      <c r="E3532" t="s">
        <v>11355</v>
      </c>
      <c r="F3532" s="1">
        <v>45210</v>
      </c>
      <c r="G3532" t="str">
        <f>"300043"</f>
        <v>300043</v>
      </c>
      <c r="H3532" t="s">
        <v>2876</v>
      </c>
      <c r="I3532">
        <v>1657</v>
      </c>
    </row>
    <row r="3533" spans="1:9" x14ac:dyDescent="0.25">
      <c r="A3533" t="s">
        <v>9616</v>
      </c>
      <c r="C3533" t="s">
        <v>9617</v>
      </c>
      <c r="D3533" t="str">
        <f>"516223"</f>
        <v>516223</v>
      </c>
      <c r="E3533" t="s">
        <v>11355</v>
      </c>
      <c r="F3533" s="1">
        <v>45210</v>
      </c>
      <c r="G3533" t="str">
        <f>"300101"</f>
        <v>300101</v>
      </c>
      <c r="H3533" t="s">
        <v>2926</v>
      </c>
      <c r="I3533">
        <v>4144.07</v>
      </c>
    </row>
    <row r="3534" spans="1:9" x14ac:dyDescent="0.25">
      <c r="A3534" t="s">
        <v>9616</v>
      </c>
      <c r="C3534" t="s">
        <v>9617</v>
      </c>
      <c r="D3534" t="s">
        <v>11356</v>
      </c>
      <c r="E3534" t="s">
        <v>11357</v>
      </c>
      <c r="F3534" s="1">
        <v>45211</v>
      </c>
      <c r="G3534" t="str">
        <f>"300064"</f>
        <v>300064</v>
      </c>
      <c r="H3534" t="s">
        <v>2896</v>
      </c>
      <c r="I3534">
        <v>3150</v>
      </c>
    </row>
    <row r="3535" spans="1:9" x14ac:dyDescent="0.25">
      <c r="A3535" t="s">
        <v>9616</v>
      </c>
      <c r="C3535" t="s">
        <v>9617</v>
      </c>
      <c r="D3535" t="str">
        <f>"24800"</f>
        <v>24800</v>
      </c>
      <c r="E3535" t="s">
        <v>8967</v>
      </c>
      <c r="F3535" s="1">
        <v>45212</v>
      </c>
      <c r="G3535" t="str">
        <f>"300356"</f>
        <v>300356</v>
      </c>
      <c r="H3535" t="s">
        <v>3094</v>
      </c>
      <c r="I3535">
        <v>198608.1053</v>
      </c>
    </row>
    <row r="3536" spans="1:9" x14ac:dyDescent="0.25">
      <c r="A3536" t="s">
        <v>9616</v>
      </c>
      <c r="C3536" t="s">
        <v>9617</v>
      </c>
      <c r="D3536" t="s">
        <v>11358</v>
      </c>
      <c r="E3536" t="s">
        <v>11305</v>
      </c>
      <c r="F3536" s="1">
        <v>45216</v>
      </c>
      <c r="G3536" t="str">
        <f>"300133"</f>
        <v>300133</v>
      </c>
      <c r="H3536" t="s">
        <v>2955</v>
      </c>
      <c r="I3536">
        <v>30241.200000000001</v>
      </c>
    </row>
    <row r="3537" spans="1:9" x14ac:dyDescent="0.25">
      <c r="A3537" t="s">
        <v>9616</v>
      </c>
      <c r="C3537" t="s">
        <v>9617</v>
      </c>
      <c r="D3537" t="str">
        <f>"69491"</f>
        <v>69491</v>
      </c>
      <c r="E3537" t="s">
        <v>11359</v>
      </c>
      <c r="F3537" s="1">
        <v>45217</v>
      </c>
      <c r="G3537" t="str">
        <f>"300043"</f>
        <v>300043</v>
      </c>
      <c r="H3537" t="s">
        <v>2876</v>
      </c>
      <c r="I3537">
        <v>817</v>
      </c>
    </row>
    <row r="3538" spans="1:9" x14ac:dyDescent="0.25">
      <c r="A3538" t="s">
        <v>9616</v>
      </c>
      <c r="C3538" t="s">
        <v>9617</v>
      </c>
      <c r="D3538" t="str">
        <f>"530923"</f>
        <v>530923</v>
      </c>
      <c r="E3538" t="s">
        <v>11359</v>
      </c>
      <c r="F3538" s="1">
        <v>45217</v>
      </c>
      <c r="G3538" t="str">
        <f>"300101"</f>
        <v>300101</v>
      </c>
      <c r="H3538" t="s">
        <v>2926</v>
      </c>
      <c r="I3538">
        <v>3149.32</v>
      </c>
    </row>
    <row r="3539" spans="1:9" x14ac:dyDescent="0.25">
      <c r="A3539" t="s">
        <v>9616</v>
      </c>
      <c r="C3539" t="s">
        <v>9617</v>
      </c>
      <c r="D3539" t="str">
        <f>"10153257"</f>
        <v>10153257</v>
      </c>
      <c r="E3539" t="s">
        <v>2172</v>
      </c>
      <c r="F3539" s="1">
        <v>45217</v>
      </c>
      <c r="G3539" t="str">
        <f>"300115"</f>
        <v>300115</v>
      </c>
      <c r="H3539" t="s">
        <v>2938</v>
      </c>
      <c r="I3539">
        <v>422410.03200000001</v>
      </c>
    </row>
    <row r="3540" spans="1:9" x14ac:dyDescent="0.25">
      <c r="A3540" t="s">
        <v>9616</v>
      </c>
      <c r="C3540" t="s">
        <v>9617</v>
      </c>
      <c r="D3540" t="str">
        <f>"18560"</f>
        <v>18560</v>
      </c>
      <c r="E3540" t="s">
        <v>11360</v>
      </c>
      <c r="F3540" s="1">
        <v>45218</v>
      </c>
      <c r="G3540" t="str">
        <f>"300043"</f>
        <v>300043</v>
      </c>
      <c r="H3540" t="s">
        <v>2876</v>
      </c>
      <c r="I3540">
        <v>3058</v>
      </c>
    </row>
    <row r="3541" spans="1:9" x14ac:dyDescent="0.25">
      <c r="A3541" t="s">
        <v>9616</v>
      </c>
      <c r="C3541" t="s">
        <v>9617</v>
      </c>
      <c r="D3541" t="str">
        <f>"10153298"</f>
        <v>10153298</v>
      </c>
      <c r="E3541" t="s">
        <v>8852</v>
      </c>
      <c r="F3541" s="1">
        <v>45218</v>
      </c>
      <c r="G3541" t="str">
        <f>"300115"</f>
        <v>300115</v>
      </c>
      <c r="H3541" t="s">
        <v>2938</v>
      </c>
      <c r="I3541">
        <v>329662.27360000001</v>
      </c>
    </row>
    <row r="3542" spans="1:9" x14ac:dyDescent="0.25">
      <c r="A3542" t="s">
        <v>9616</v>
      </c>
      <c r="C3542" t="s">
        <v>9617</v>
      </c>
      <c r="D3542" t="s">
        <v>11361</v>
      </c>
      <c r="E3542" t="s">
        <v>11345</v>
      </c>
      <c r="F3542" s="1">
        <v>45218</v>
      </c>
      <c r="G3542" t="str">
        <f>"300191"</f>
        <v>300191</v>
      </c>
      <c r="H3542" t="s">
        <v>3008</v>
      </c>
      <c r="I3542">
        <v>5872.84</v>
      </c>
    </row>
    <row r="3543" spans="1:9" x14ac:dyDescent="0.25">
      <c r="A3543" t="s">
        <v>9616</v>
      </c>
      <c r="C3543" t="s">
        <v>9617</v>
      </c>
      <c r="D3543" t="str">
        <f>"427984"</f>
        <v>427984</v>
      </c>
      <c r="E3543" t="s">
        <v>9189</v>
      </c>
      <c r="F3543" s="1">
        <v>45218</v>
      </c>
      <c r="G3543" t="str">
        <f>"300220"</f>
        <v>300220</v>
      </c>
      <c r="H3543" t="s">
        <v>2170</v>
      </c>
      <c r="I3543">
        <v>1256270.3999999999</v>
      </c>
    </row>
    <row r="3544" spans="1:9" x14ac:dyDescent="0.25">
      <c r="A3544" t="s">
        <v>9616</v>
      </c>
      <c r="C3544" t="s">
        <v>9617</v>
      </c>
      <c r="D3544" t="str">
        <f>"10153378"</f>
        <v>10153378</v>
      </c>
      <c r="E3544" t="s">
        <v>11362</v>
      </c>
      <c r="F3544" s="1">
        <v>45222</v>
      </c>
      <c r="G3544" t="str">
        <f>"300115"</f>
        <v>300115</v>
      </c>
      <c r="H3544" t="s">
        <v>2938</v>
      </c>
      <c r="I3544">
        <v>411903.36</v>
      </c>
    </row>
    <row r="3545" spans="1:9" x14ac:dyDescent="0.25">
      <c r="A3545" t="s">
        <v>9616</v>
      </c>
      <c r="C3545" t="s">
        <v>9617</v>
      </c>
      <c r="D3545" t="str">
        <f>"230027438"</f>
        <v>230027438</v>
      </c>
      <c r="F3545" s="1">
        <v>45222</v>
      </c>
      <c r="G3545" t="str">
        <f>"300344"</f>
        <v>300344</v>
      </c>
      <c r="H3545" t="s">
        <v>3084</v>
      </c>
      <c r="I3545">
        <v>170725.87770000001</v>
      </c>
    </row>
    <row r="3546" spans="1:9" x14ac:dyDescent="0.25">
      <c r="A3546" t="s">
        <v>9616</v>
      </c>
      <c r="C3546" t="s">
        <v>9617</v>
      </c>
      <c r="D3546" t="str">
        <f>"70634"</f>
        <v>70634</v>
      </c>
      <c r="E3546" t="s">
        <v>11249</v>
      </c>
      <c r="F3546" s="1">
        <v>45223</v>
      </c>
      <c r="G3546" t="str">
        <f>"300043"</f>
        <v>300043</v>
      </c>
      <c r="H3546" t="s">
        <v>2876</v>
      </c>
      <c r="I3546">
        <v>1566</v>
      </c>
    </row>
    <row r="3547" spans="1:9" x14ac:dyDescent="0.25">
      <c r="A3547" t="s">
        <v>9616</v>
      </c>
      <c r="C3547" t="s">
        <v>9617</v>
      </c>
      <c r="D3547" t="str">
        <f>"531523"</f>
        <v>531523</v>
      </c>
      <c r="E3547" t="s">
        <v>11249</v>
      </c>
      <c r="F3547" s="1">
        <v>45223</v>
      </c>
      <c r="G3547" t="str">
        <f>"300101"</f>
        <v>300101</v>
      </c>
      <c r="H3547" t="s">
        <v>2926</v>
      </c>
      <c r="I3547">
        <v>3465.83</v>
      </c>
    </row>
    <row r="3548" spans="1:9" x14ac:dyDescent="0.25">
      <c r="A3548" t="s">
        <v>9616</v>
      </c>
      <c r="C3548" t="s">
        <v>9617</v>
      </c>
      <c r="D3548" t="str">
        <f>"10153410"</f>
        <v>10153410</v>
      </c>
      <c r="E3548" t="s">
        <v>9189</v>
      </c>
      <c r="F3548" s="1">
        <v>45223</v>
      </c>
      <c r="G3548" t="str">
        <f>"300115"</f>
        <v>300115</v>
      </c>
      <c r="H3548" t="s">
        <v>2938</v>
      </c>
      <c r="I3548">
        <v>396020.98800000001</v>
      </c>
    </row>
    <row r="3549" spans="1:9" x14ac:dyDescent="0.25">
      <c r="A3549" t="s">
        <v>9616</v>
      </c>
      <c r="C3549" t="s">
        <v>9617</v>
      </c>
      <c r="D3549" t="s">
        <v>11363</v>
      </c>
      <c r="E3549" t="s">
        <v>11364</v>
      </c>
      <c r="F3549" s="1">
        <v>45223</v>
      </c>
      <c r="G3549" t="str">
        <f>"300321"</f>
        <v>300321</v>
      </c>
      <c r="H3549" t="s">
        <v>2706</v>
      </c>
      <c r="I3549">
        <v>19000</v>
      </c>
    </row>
    <row r="3550" spans="1:9" x14ac:dyDescent="0.25">
      <c r="A3550" t="s">
        <v>9616</v>
      </c>
      <c r="C3550" t="s">
        <v>9617</v>
      </c>
      <c r="D3550" t="str">
        <f>"18969"</f>
        <v>18969</v>
      </c>
      <c r="E3550" t="s">
        <v>11365</v>
      </c>
      <c r="F3550" s="1">
        <v>45224</v>
      </c>
      <c r="G3550" t="str">
        <f>"300043"</f>
        <v>300043</v>
      </c>
      <c r="H3550" t="s">
        <v>2876</v>
      </c>
      <c r="I3550">
        <v>5063</v>
      </c>
    </row>
    <row r="3551" spans="1:9" x14ac:dyDescent="0.25">
      <c r="A3551" t="s">
        <v>9616</v>
      </c>
      <c r="C3551" t="s">
        <v>9617</v>
      </c>
      <c r="D3551" t="str">
        <f>"71234"</f>
        <v>71234</v>
      </c>
      <c r="E3551" t="s">
        <v>11364</v>
      </c>
      <c r="F3551" s="1">
        <v>45224</v>
      </c>
      <c r="G3551" t="str">
        <f>"300043"</f>
        <v>300043</v>
      </c>
      <c r="H3551" t="s">
        <v>2876</v>
      </c>
      <c r="I3551">
        <v>1522</v>
      </c>
    </row>
    <row r="3552" spans="1:9" x14ac:dyDescent="0.25">
      <c r="A3552" t="s">
        <v>9616</v>
      </c>
      <c r="C3552" t="s">
        <v>9617</v>
      </c>
      <c r="D3552" t="str">
        <f>"71281"</f>
        <v>71281</v>
      </c>
      <c r="E3552" t="s">
        <v>11366</v>
      </c>
      <c r="F3552" s="1">
        <v>45224</v>
      </c>
      <c r="G3552" t="str">
        <f>"300043"</f>
        <v>300043</v>
      </c>
      <c r="H3552" t="s">
        <v>2876</v>
      </c>
      <c r="I3552">
        <v>1261</v>
      </c>
    </row>
    <row r="3553" spans="1:9" x14ac:dyDescent="0.25">
      <c r="A3553" t="s">
        <v>9616</v>
      </c>
      <c r="C3553" t="s">
        <v>9617</v>
      </c>
      <c r="D3553" t="str">
        <f>"538623"</f>
        <v>538623</v>
      </c>
      <c r="E3553" t="s">
        <v>11366</v>
      </c>
      <c r="F3553" s="1">
        <v>45224</v>
      </c>
      <c r="G3553" t="str">
        <f>"300101"</f>
        <v>300101</v>
      </c>
      <c r="H3553" t="s">
        <v>2926</v>
      </c>
      <c r="I3553">
        <v>3832.08</v>
      </c>
    </row>
    <row r="3554" spans="1:9" x14ac:dyDescent="0.25">
      <c r="A3554" t="s">
        <v>9616</v>
      </c>
      <c r="C3554" t="s">
        <v>9617</v>
      </c>
      <c r="D3554" t="str">
        <f>"10153448"</f>
        <v>10153448</v>
      </c>
      <c r="E3554" t="s">
        <v>2172</v>
      </c>
      <c r="F3554" s="1">
        <v>45224</v>
      </c>
      <c r="G3554" t="str">
        <f>"300115"</f>
        <v>300115</v>
      </c>
      <c r="H3554" t="s">
        <v>2938</v>
      </c>
      <c r="I3554">
        <v>411911.94</v>
      </c>
    </row>
    <row r="3555" spans="1:9" x14ac:dyDescent="0.25">
      <c r="A3555" t="s">
        <v>9616</v>
      </c>
      <c r="C3555" t="s">
        <v>9617</v>
      </c>
      <c r="D3555" t="str">
        <f>"10153482"</f>
        <v>10153482</v>
      </c>
      <c r="E3555" t="s">
        <v>9189</v>
      </c>
      <c r="F3555" s="1">
        <v>45224</v>
      </c>
      <c r="G3555" t="str">
        <f>"300115"</f>
        <v>300115</v>
      </c>
      <c r="H3555" t="s">
        <v>2938</v>
      </c>
      <c r="I3555">
        <v>396020.98800000001</v>
      </c>
    </row>
    <row r="3556" spans="1:9" x14ac:dyDescent="0.25">
      <c r="A3556" t="s">
        <v>9616</v>
      </c>
      <c r="C3556" t="s">
        <v>9617</v>
      </c>
      <c r="D3556" t="s">
        <v>11367</v>
      </c>
      <c r="E3556" t="s">
        <v>11368</v>
      </c>
      <c r="F3556" s="1">
        <v>45224</v>
      </c>
      <c r="G3556" t="str">
        <f>"300133"</f>
        <v>300133</v>
      </c>
      <c r="H3556" t="s">
        <v>2955</v>
      </c>
      <c r="I3556">
        <v>5697</v>
      </c>
    </row>
    <row r="3557" spans="1:9" x14ac:dyDescent="0.25">
      <c r="A3557" t="s">
        <v>9616</v>
      </c>
      <c r="C3557" t="s">
        <v>9617</v>
      </c>
      <c r="D3557" t="s">
        <v>11369</v>
      </c>
      <c r="E3557" t="s">
        <v>10266</v>
      </c>
      <c r="F3557" s="1">
        <v>45224</v>
      </c>
      <c r="G3557" t="str">
        <f>"300133"</f>
        <v>300133</v>
      </c>
      <c r="H3557" t="s">
        <v>2955</v>
      </c>
      <c r="I3557">
        <v>5574.6</v>
      </c>
    </row>
    <row r="3558" spans="1:9" x14ac:dyDescent="0.25">
      <c r="A3558" t="s">
        <v>9616</v>
      </c>
      <c r="C3558" t="s">
        <v>9617</v>
      </c>
      <c r="D3558" t="s">
        <v>11370</v>
      </c>
      <c r="E3558" t="s">
        <v>10797</v>
      </c>
      <c r="F3558" s="1">
        <v>45224</v>
      </c>
      <c r="G3558" t="str">
        <f>"300133"</f>
        <v>300133</v>
      </c>
      <c r="H3558" t="s">
        <v>2955</v>
      </c>
      <c r="I3558">
        <v>33465</v>
      </c>
    </row>
    <row r="3559" spans="1:9" x14ac:dyDescent="0.25">
      <c r="A3559" t="s">
        <v>9616</v>
      </c>
      <c r="C3559" t="s">
        <v>9617</v>
      </c>
      <c r="D3559" t="s">
        <v>11371</v>
      </c>
      <c r="E3559" t="s">
        <v>11372</v>
      </c>
      <c r="F3559" s="1">
        <v>45224</v>
      </c>
      <c r="G3559" t="str">
        <f>"300321"</f>
        <v>300321</v>
      </c>
      <c r="H3559" t="s">
        <v>2706</v>
      </c>
      <c r="I3559">
        <v>19000</v>
      </c>
    </row>
    <row r="3560" spans="1:9" x14ac:dyDescent="0.25">
      <c r="A3560" t="s">
        <v>9616</v>
      </c>
      <c r="C3560" t="s">
        <v>9617</v>
      </c>
      <c r="D3560" t="str">
        <f>"071912"</f>
        <v>071912</v>
      </c>
      <c r="E3560" t="s">
        <v>11373</v>
      </c>
      <c r="F3560" s="1">
        <v>45226</v>
      </c>
      <c r="G3560" t="str">
        <f>"300043"</f>
        <v>300043</v>
      </c>
      <c r="H3560" t="s">
        <v>2876</v>
      </c>
      <c r="I3560">
        <v>1521</v>
      </c>
    </row>
    <row r="3561" spans="1:9" x14ac:dyDescent="0.25">
      <c r="A3561" t="s">
        <v>9616</v>
      </c>
      <c r="C3561" t="s">
        <v>9617</v>
      </c>
      <c r="D3561" t="str">
        <f>"538423"</f>
        <v>538423</v>
      </c>
      <c r="E3561" t="s">
        <v>11373</v>
      </c>
      <c r="F3561" s="1">
        <v>45226</v>
      </c>
      <c r="G3561" t="str">
        <f>"300101"</f>
        <v>300101</v>
      </c>
      <c r="H3561" t="s">
        <v>2926</v>
      </c>
      <c r="I3561">
        <v>3199.06</v>
      </c>
    </row>
    <row r="3562" spans="1:9" x14ac:dyDescent="0.25">
      <c r="A3562" t="s">
        <v>9616</v>
      </c>
      <c r="C3562" t="s">
        <v>9617</v>
      </c>
      <c r="D3562" t="str">
        <f>"10153561"</f>
        <v>10153561</v>
      </c>
      <c r="E3562" t="s">
        <v>9189</v>
      </c>
      <c r="F3562" s="1">
        <v>45226</v>
      </c>
      <c r="G3562" t="str">
        <f>"300115"</f>
        <v>300115</v>
      </c>
      <c r="H3562" t="s">
        <v>2938</v>
      </c>
      <c r="I3562">
        <v>396020.98800000001</v>
      </c>
    </row>
    <row r="3563" spans="1:9" x14ac:dyDescent="0.25">
      <c r="A3563" t="s">
        <v>9616</v>
      </c>
      <c r="C3563" t="s">
        <v>9617</v>
      </c>
      <c r="D3563" t="s">
        <v>11374</v>
      </c>
      <c r="E3563" t="s">
        <v>11375</v>
      </c>
      <c r="F3563" s="1">
        <v>45226</v>
      </c>
      <c r="G3563" t="str">
        <f>"300321"</f>
        <v>300321</v>
      </c>
      <c r="H3563" t="s">
        <v>2706</v>
      </c>
      <c r="I3563">
        <v>19000</v>
      </c>
    </row>
    <row r="3564" spans="1:9" x14ac:dyDescent="0.25">
      <c r="A3564" t="s">
        <v>9616</v>
      </c>
      <c r="C3564" t="s">
        <v>9617</v>
      </c>
      <c r="D3564" t="str">
        <f>"72001"</f>
        <v>72001</v>
      </c>
      <c r="E3564" t="s">
        <v>11372</v>
      </c>
      <c r="F3564" s="1">
        <v>45227</v>
      </c>
      <c r="G3564" t="str">
        <f>"300043"</f>
        <v>300043</v>
      </c>
      <c r="H3564" t="s">
        <v>2876</v>
      </c>
      <c r="I3564">
        <v>1509</v>
      </c>
    </row>
    <row r="3565" spans="1:9" x14ac:dyDescent="0.25">
      <c r="A3565" t="s">
        <v>9616</v>
      </c>
      <c r="C3565" t="s">
        <v>9617</v>
      </c>
      <c r="D3565" t="str">
        <f>"72367"</f>
        <v>72367</v>
      </c>
      <c r="E3565" t="s">
        <v>11296</v>
      </c>
      <c r="F3565" s="1">
        <v>45229</v>
      </c>
      <c r="G3565" t="str">
        <f>"300043"</f>
        <v>300043</v>
      </c>
      <c r="H3565" t="s">
        <v>2876</v>
      </c>
      <c r="I3565">
        <v>1523</v>
      </c>
    </row>
    <row r="3566" spans="1:9" x14ac:dyDescent="0.25">
      <c r="A3566" t="s">
        <v>9616</v>
      </c>
      <c r="C3566" t="s">
        <v>9617</v>
      </c>
      <c r="D3566" t="s">
        <v>11376</v>
      </c>
      <c r="E3566" t="s">
        <v>11372</v>
      </c>
      <c r="F3566" s="1">
        <v>45229</v>
      </c>
      <c r="G3566" t="str">
        <f>"300191"</f>
        <v>300191</v>
      </c>
      <c r="H3566" t="s">
        <v>3008</v>
      </c>
      <c r="I3566">
        <v>3364.72</v>
      </c>
    </row>
    <row r="3567" spans="1:9" x14ac:dyDescent="0.25">
      <c r="A3567" t="s">
        <v>9616</v>
      </c>
      <c r="C3567" t="s">
        <v>9617</v>
      </c>
      <c r="D3567" t="s">
        <v>11377</v>
      </c>
      <c r="E3567" t="s">
        <v>11364</v>
      </c>
      <c r="F3567" s="1">
        <v>45229</v>
      </c>
      <c r="G3567" t="str">
        <f>"300191"</f>
        <v>300191</v>
      </c>
      <c r="H3567" t="s">
        <v>3008</v>
      </c>
      <c r="I3567">
        <v>3206.46</v>
      </c>
    </row>
    <row r="3568" spans="1:9" x14ac:dyDescent="0.25">
      <c r="A3568" t="s">
        <v>9616</v>
      </c>
      <c r="C3568" t="s">
        <v>9617</v>
      </c>
      <c r="D3568" t="str">
        <f>"72875"</f>
        <v>72875</v>
      </c>
      <c r="E3568" t="s">
        <v>11375</v>
      </c>
      <c r="F3568" s="1">
        <v>45230</v>
      </c>
      <c r="G3568" t="str">
        <f>"300043"</f>
        <v>300043</v>
      </c>
      <c r="H3568" t="s">
        <v>2876</v>
      </c>
      <c r="I3568">
        <v>1517</v>
      </c>
    </row>
    <row r="3569" spans="1:9" x14ac:dyDescent="0.25">
      <c r="A3569" t="s">
        <v>9616</v>
      </c>
      <c r="C3569" t="s">
        <v>9617</v>
      </c>
      <c r="D3569" t="s">
        <v>11378</v>
      </c>
      <c r="E3569" t="s">
        <v>11375</v>
      </c>
      <c r="F3569" s="1">
        <v>45230</v>
      </c>
      <c r="G3569" t="str">
        <f>"300191"</f>
        <v>300191</v>
      </c>
      <c r="H3569" t="s">
        <v>3008</v>
      </c>
      <c r="I3569">
        <v>3206.46</v>
      </c>
    </row>
    <row r="3570" spans="1:9" x14ac:dyDescent="0.25">
      <c r="A3570" t="s">
        <v>9616</v>
      </c>
      <c r="C3570" t="s">
        <v>9617</v>
      </c>
      <c r="D3570" t="s">
        <v>11379</v>
      </c>
      <c r="E3570" t="s">
        <v>9076</v>
      </c>
      <c r="F3570" s="1">
        <v>45231</v>
      </c>
      <c r="G3570" t="str">
        <f>"300369"</f>
        <v>300369</v>
      </c>
      <c r="H3570" t="s">
        <v>3106</v>
      </c>
      <c r="I3570">
        <v>155234.079</v>
      </c>
    </row>
    <row r="3571" spans="1:9" x14ac:dyDescent="0.25">
      <c r="A3571" t="s">
        <v>9616</v>
      </c>
      <c r="C3571" t="s">
        <v>9617</v>
      </c>
      <c r="D3571" t="str">
        <f>"10153631"</f>
        <v>10153631</v>
      </c>
      <c r="E3571" t="s">
        <v>9341</v>
      </c>
      <c r="F3571" s="1">
        <v>45232</v>
      </c>
      <c r="G3571" t="str">
        <f>"300115"</f>
        <v>300115</v>
      </c>
      <c r="H3571" t="s">
        <v>2938</v>
      </c>
      <c r="I3571">
        <v>431144.90100000001</v>
      </c>
    </row>
    <row r="3572" spans="1:9" x14ac:dyDescent="0.25">
      <c r="A3572" t="s">
        <v>9616</v>
      </c>
      <c r="C3572" t="s">
        <v>9617</v>
      </c>
      <c r="D3572" t="s">
        <v>11380</v>
      </c>
      <c r="E3572" t="s">
        <v>9629</v>
      </c>
      <c r="F3572" s="1">
        <v>45232</v>
      </c>
      <c r="G3572" t="str">
        <f>"300133"</f>
        <v>300133</v>
      </c>
      <c r="H3572" t="s">
        <v>2955</v>
      </c>
      <c r="I3572">
        <v>8520</v>
      </c>
    </row>
    <row r="3573" spans="1:9" x14ac:dyDescent="0.25">
      <c r="A3573" t="s">
        <v>9616</v>
      </c>
      <c r="C3573" t="s">
        <v>9617</v>
      </c>
      <c r="D3573" t="s">
        <v>11381</v>
      </c>
      <c r="E3573" t="s">
        <v>9629</v>
      </c>
      <c r="F3573" s="1">
        <v>45232</v>
      </c>
      <c r="G3573" t="str">
        <f>"300133"</f>
        <v>300133</v>
      </c>
      <c r="H3573" t="s">
        <v>2955</v>
      </c>
      <c r="I3573">
        <v>6270</v>
      </c>
    </row>
    <row r="3574" spans="1:9" x14ac:dyDescent="0.25">
      <c r="A3574" t="s">
        <v>9616</v>
      </c>
      <c r="C3574" t="s">
        <v>9617</v>
      </c>
      <c r="D3574" t="s">
        <v>11382</v>
      </c>
      <c r="E3574" t="s">
        <v>9629</v>
      </c>
      <c r="F3574" s="1">
        <v>45232</v>
      </c>
      <c r="G3574" t="str">
        <f>"300133"</f>
        <v>300133</v>
      </c>
      <c r="H3574" t="s">
        <v>2955</v>
      </c>
      <c r="I3574">
        <v>40435.199999999997</v>
      </c>
    </row>
    <row r="3575" spans="1:9" x14ac:dyDescent="0.25">
      <c r="A3575" t="s">
        <v>9616</v>
      </c>
      <c r="C3575" t="s">
        <v>9617</v>
      </c>
      <c r="D3575" t="str">
        <f>"428775"</f>
        <v>428775</v>
      </c>
      <c r="E3575" t="s">
        <v>9189</v>
      </c>
      <c r="F3575" s="1">
        <v>45232</v>
      </c>
      <c r="G3575" t="str">
        <f>"300220"</f>
        <v>300220</v>
      </c>
      <c r="H3575" t="s">
        <v>2170</v>
      </c>
      <c r="I3575">
        <v>1182175.852</v>
      </c>
    </row>
    <row r="3576" spans="1:9" x14ac:dyDescent="0.25">
      <c r="A3576" t="s">
        <v>9616</v>
      </c>
      <c r="C3576" t="s">
        <v>9617</v>
      </c>
      <c r="D3576" t="s">
        <v>11383</v>
      </c>
      <c r="E3576" t="s">
        <v>11384</v>
      </c>
      <c r="F3576" s="1">
        <v>45232</v>
      </c>
      <c r="G3576" t="str">
        <f>"300321"</f>
        <v>300321</v>
      </c>
      <c r="H3576" t="s">
        <v>2706</v>
      </c>
      <c r="I3576">
        <v>18000</v>
      </c>
    </row>
    <row r="3577" spans="1:9" x14ac:dyDescent="0.25">
      <c r="A3577" t="s">
        <v>9616</v>
      </c>
      <c r="C3577" t="s">
        <v>9617</v>
      </c>
      <c r="D3577" t="str">
        <f>"10153665"</f>
        <v>10153665</v>
      </c>
      <c r="E3577" t="s">
        <v>1819</v>
      </c>
      <c r="F3577" s="1">
        <v>45233</v>
      </c>
      <c r="G3577" t="str">
        <f>"300115"</f>
        <v>300115</v>
      </c>
      <c r="H3577" t="s">
        <v>2938</v>
      </c>
      <c r="I3577">
        <v>134539.21799999999</v>
      </c>
    </row>
    <row r="3578" spans="1:9" x14ac:dyDescent="0.25">
      <c r="A3578" t="s">
        <v>9616</v>
      </c>
      <c r="C3578" t="s">
        <v>9617</v>
      </c>
      <c r="D3578" t="str">
        <f>"73945"</f>
        <v>73945</v>
      </c>
      <c r="E3578" t="s">
        <v>11384</v>
      </c>
      <c r="F3578" s="1">
        <v>45234</v>
      </c>
      <c r="G3578" t="str">
        <f>"300043"</f>
        <v>300043</v>
      </c>
      <c r="H3578" t="s">
        <v>2876</v>
      </c>
      <c r="I3578">
        <v>1632</v>
      </c>
    </row>
    <row r="3579" spans="1:9" x14ac:dyDescent="0.25">
      <c r="A3579" t="s">
        <v>9616</v>
      </c>
      <c r="C3579" t="s">
        <v>9617</v>
      </c>
      <c r="D3579" t="s">
        <v>11385</v>
      </c>
      <c r="E3579" t="s">
        <v>10126</v>
      </c>
      <c r="F3579" s="1">
        <v>45234</v>
      </c>
      <c r="G3579" t="str">
        <f>"300133"</f>
        <v>300133</v>
      </c>
      <c r="H3579" t="s">
        <v>2955</v>
      </c>
      <c r="I3579">
        <v>19200</v>
      </c>
    </row>
    <row r="3580" spans="1:9" x14ac:dyDescent="0.25">
      <c r="A3580" t="s">
        <v>9616</v>
      </c>
      <c r="C3580" t="s">
        <v>9617</v>
      </c>
      <c r="D3580" t="str">
        <f>"10153702"</f>
        <v>10153702</v>
      </c>
      <c r="E3580" t="s">
        <v>10844</v>
      </c>
      <c r="F3580" s="1">
        <v>45236</v>
      </c>
      <c r="G3580" t="str">
        <f>"300115"</f>
        <v>300115</v>
      </c>
      <c r="H3580" t="s">
        <v>2938</v>
      </c>
      <c r="I3580">
        <v>134539.21799999999</v>
      </c>
    </row>
    <row r="3581" spans="1:9" x14ac:dyDescent="0.25">
      <c r="A3581" t="s">
        <v>9616</v>
      </c>
      <c r="C3581" t="s">
        <v>9617</v>
      </c>
      <c r="D3581" t="str">
        <f>"19732"</f>
        <v>19732</v>
      </c>
      <c r="E3581" t="s">
        <v>11350</v>
      </c>
      <c r="F3581" s="1">
        <v>45237</v>
      </c>
      <c r="G3581" t="str">
        <f>"300043"</f>
        <v>300043</v>
      </c>
      <c r="H3581" t="s">
        <v>2876</v>
      </c>
      <c r="I3581">
        <v>3548</v>
      </c>
    </row>
    <row r="3582" spans="1:9" x14ac:dyDescent="0.25">
      <c r="A3582" t="s">
        <v>9616</v>
      </c>
      <c r="C3582" t="s">
        <v>9617</v>
      </c>
      <c r="D3582" t="str">
        <f>"74493"</f>
        <v>74493</v>
      </c>
      <c r="E3582" t="s">
        <v>11386</v>
      </c>
      <c r="F3582" s="1">
        <v>45237</v>
      </c>
      <c r="G3582" t="str">
        <f>"300043"</f>
        <v>300043</v>
      </c>
      <c r="H3582" t="s">
        <v>2876</v>
      </c>
      <c r="I3582">
        <v>609</v>
      </c>
    </row>
    <row r="3583" spans="1:9" x14ac:dyDescent="0.25">
      <c r="A3583" t="s">
        <v>9616</v>
      </c>
      <c r="C3583" t="s">
        <v>9617</v>
      </c>
      <c r="D3583" t="s">
        <v>11387</v>
      </c>
      <c r="E3583" t="s">
        <v>11272</v>
      </c>
      <c r="F3583" s="1">
        <v>45237</v>
      </c>
      <c r="G3583" t="str">
        <f>"300064"</f>
        <v>300064</v>
      </c>
      <c r="H3583" t="s">
        <v>2896</v>
      </c>
      <c r="I3583">
        <v>140944</v>
      </c>
    </row>
    <row r="3584" spans="1:9" x14ac:dyDescent="0.25">
      <c r="A3584" t="s">
        <v>9616</v>
      </c>
      <c r="C3584" t="s">
        <v>9617</v>
      </c>
      <c r="D3584" t="str">
        <f>"74838"</f>
        <v>74838</v>
      </c>
      <c r="E3584" t="s">
        <v>11388</v>
      </c>
      <c r="F3584" s="1">
        <v>45238</v>
      </c>
      <c r="G3584" t="str">
        <f>"300043"</f>
        <v>300043</v>
      </c>
      <c r="H3584" t="s">
        <v>2876</v>
      </c>
      <c r="I3584">
        <v>611</v>
      </c>
    </row>
    <row r="3585" spans="1:9" x14ac:dyDescent="0.25">
      <c r="A3585" t="s">
        <v>9616</v>
      </c>
      <c r="C3585" t="s">
        <v>9617</v>
      </c>
      <c r="D3585" t="s">
        <v>11389</v>
      </c>
      <c r="E3585" t="s">
        <v>11384</v>
      </c>
      <c r="F3585" s="1">
        <v>45238</v>
      </c>
      <c r="G3585" t="str">
        <f>"300191"</f>
        <v>300191</v>
      </c>
      <c r="H3585" t="s">
        <v>3008</v>
      </c>
      <c r="I3585">
        <v>3206.46</v>
      </c>
    </row>
    <row r="3586" spans="1:9" x14ac:dyDescent="0.25">
      <c r="A3586" t="s">
        <v>9616</v>
      </c>
      <c r="C3586" t="s">
        <v>9617</v>
      </c>
      <c r="D3586" t="str">
        <f>"10153813"</f>
        <v>10153813</v>
      </c>
      <c r="E3586" t="s">
        <v>2172</v>
      </c>
      <c r="F3586" s="1">
        <v>45239</v>
      </c>
      <c r="G3586" t="str">
        <f>"300115"</f>
        <v>300115</v>
      </c>
      <c r="H3586" t="s">
        <v>2938</v>
      </c>
      <c r="I3586">
        <v>396020.98800000001</v>
      </c>
    </row>
    <row r="3587" spans="1:9" x14ac:dyDescent="0.25">
      <c r="A3587" t="s">
        <v>9616</v>
      </c>
      <c r="C3587" t="s">
        <v>9617</v>
      </c>
      <c r="D3587" t="s">
        <v>11390</v>
      </c>
      <c r="E3587" t="s">
        <v>11391</v>
      </c>
      <c r="F3587" s="1">
        <v>45239</v>
      </c>
      <c r="G3587" t="str">
        <f>"300321"</f>
        <v>300321</v>
      </c>
      <c r="H3587" t="s">
        <v>2706</v>
      </c>
      <c r="I3587">
        <v>18000</v>
      </c>
    </row>
    <row r="3588" spans="1:9" x14ac:dyDescent="0.25">
      <c r="A3588" t="s">
        <v>9616</v>
      </c>
      <c r="C3588" t="s">
        <v>9617</v>
      </c>
      <c r="D3588" t="str">
        <f>"232200514"</f>
        <v>232200514</v>
      </c>
      <c r="E3588" t="s">
        <v>11392</v>
      </c>
      <c r="F3588" s="1">
        <v>45239</v>
      </c>
      <c r="G3588" t="str">
        <f>"300373"</f>
        <v>300373</v>
      </c>
      <c r="H3588" t="s">
        <v>3110</v>
      </c>
      <c r="I3588">
        <v>230122.10759999999</v>
      </c>
    </row>
    <row r="3589" spans="1:9" x14ac:dyDescent="0.25">
      <c r="A3589" t="s">
        <v>9616</v>
      </c>
      <c r="C3589" t="s">
        <v>9617</v>
      </c>
      <c r="D3589" t="str">
        <f>"75722"</f>
        <v>75722</v>
      </c>
      <c r="E3589" t="s">
        <v>11391</v>
      </c>
      <c r="F3589" s="1">
        <v>45240</v>
      </c>
      <c r="G3589" t="str">
        <f>"300043"</f>
        <v>300043</v>
      </c>
      <c r="H3589" t="s">
        <v>2876</v>
      </c>
      <c r="I3589">
        <v>1515</v>
      </c>
    </row>
    <row r="3590" spans="1:9" x14ac:dyDescent="0.25">
      <c r="A3590" t="s">
        <v>9616</v>
      </c>
      <c r="C3590" t="s">
        <v>9617</v>
      </c>
      <c r="D3590" t="str">
        <f>"100646"</f>
        <v>100646</v>
      </c>
      <c r="E3590" t="s">
        <v>11393</v>
      </c>
      <c r="F3590" s="1">
        <v>45240</v>
      </c>
      <c r="G3590" t="str">
        <f>"300043"</f>
        <v>300043</v>
      </c>
      <c r="H3590" t="s">
        <v>2876</v>
      </c>
      <c r="I3590">
        <v>9754</v>
      </c>
    </row>
    <row r="3591" spans="1:9" x14ac:dyDescent="0.25">
      <c r="A3591" t="s">
        <v>9616</v>
      </c>
      <c r="C3591" t="s">
        <v>9617</v>
      </c>
      <c r="D3591" t="s">
        <v>11394</v>
      </c>
      <c r="E3591" t="s">
        <v>10843</v>
      </c>
      <c r="F3591" s="1">
        <v>45240</v>
      </c>
      <c r="G3591" t="str">
        <f>"300064"</f>
        <v>300064</v>
      </c>
      <c r="H3591" t="s">
        <v>2896</v>
      </c>
      <c r="I3591">
        <v>140980</v>
      </c>
    </row>
    <row r="3592" spans="1:9" x14ac:dyDescent="0.25">
      <c r="A3592" t="s">
        <v>9616</v>
      </c>
      <c r="C3592" t="s">
        <v>9617</v>
      </c>
      <c r="D3592" t="str">
        <f>"10153821"</f>
        <v>10153821</v>
      </c>
      <c r="E3592" t="s">
        <v>9189</v>
      </c>
      <c r="F3592" s="1">
        <v>45240</v>
      </c>
      <c r="G3592" t="str">
        <f>"300115"</f>
        <v>300115</v>
      </c>
      <c r="H3592" t="s">
        <v>2938</v>
      </c>
      <c r="I3592">
        <v>396020.98800000001</v>
      </c>
    </row>
    <row r="3593" spans="1:9" x14ac:dyDescent="0.25">
      <c r="A3593" t="s">
        <v>9616</v>
      </c>
      <c r="C3593" t="s">
        <v>9617</v>
      </c>
      <c r="D3593" t="str">
        <f>"10153896"</f>
        <v>10153896</v>
      </c>
      <c r="E3593" t="s">
        <v>9189</v>
      </c>
      <c r="F3593" s="1">
        <v>45240</v>
      </c>
      <c r="G3593" t="str">
        <f>"300115"</f>
        <v>300115</v>
      </c>
      <c r="H3593" t="s">
        <v>2938</v>
      </c>
      <c r="I3593">
        <v>396020.98800000001</v>
      </c>
    </row>
    <row r="3594" spans="1:9" x14ac:dyDescent="0.25">
      <c r="A3594" t="s">
        <v>9616</v>
      </c>
      <c r="C3594" t="s">
        <v>9617</v>
      </c>
      <c r="D3594" t="s">
        <v>11395</v>
      </c>
      <c r="E3594" t="s">
        <v>11396</v>
      </c>
      <c r="F3594" s="1">
        <v>45240</v>
      </c>
      <c r="G3594" t="str">
        <f>"300321"</f>
        <v>300321</v>
      </c>
      <c r="H3594" t="s">
        <v>2706</v>
      </c>
      <c r="I3594">
        <v>19000</v>
      </c>
    </row>
    <row r="3595" spans="1:9" x14ac:dyDescent="0.25">
      <c r="A3595" t="s">
        <v>9616</v>
      </c>
      <c r="C3595" t="s">
        <v>9617</v>
      </c>
      <c r="D3595" t="s">
        <v>11397</v>
      </c>
      <c r="E3595" t="s">
        <v>11398</v>
      </c>
      <c r="F3595" s="1">
        <v>45240</v>
      </c>
      <c r="G3595" t="str">
        <f>"300321"</f>
        <v>300321</v>
      </c>
      <c r="H3595" t="s">
        <v>2706</v>
      </c>
      <c r="I3595">
        <v>19000</v>
      </c>
    </row>
    <row r="3596" spans="1:9" x14ac:dyDescent="0.25">
      <c r="A3596" t="s">
        <v>9616</v>
      </c>
      <c r="C3596" t="s">
        <v>9617</v>
      </c>
      <c r="D3596" t="s">
        <v>11399</v>
      </c>
      <c r="E3596" t="s">
        <v>11400</v>
      </c>
      <c r="F3596" s="1">
        <v>45240</v>
      </c>
      <c r="G3596" t="str">
        <f>"300340"</f>
        <v>300340</v>
      </c>
      <c r="H3596" t="s">
        <v>3080</v>
      </c>
      <c r="I3596">
        <v>3274</v>
      </c>
    </row>
    <row r="3597" spans="1:9" x14ac:dyDescent="0.25">
      <c r="A3597" t="s">
        <v>9616</v>
      </c>
      <c r="C3597" t="s">
        <v>9617</v>
      </c>
      <c r="D3597" t="str">
        <f>"20069"</f>
        <v>20069</v>
      </c>
      <c r="E3597" t="s">
        <v>11401</v>
      </c>
      <c r="F3597" s="1">
        <v>45243</v>
      </c>
      <c r="G3597" t="str">
        <f>"300043"</f>
        <v>300043</v>
      </c>
      <c r="H3597" t="s">
        <v>2876</v>
      </c>
      <c r="I3597">
        <v>3097</v>
      </c>
    </row>
    <row r="3598" spans="1:9" x14ac:dyDescent="0.25">
      <c r="A3598" t="s">
        <v>9616</v>
      </c>
      <c r="C3598" t="s">
        <v>9617</v>
      </c>
      <c r="D3598" t="str">
        <f>"76300"</f>
        <v>76300</v>
      </c>
      <c r="E3598" t="s">
        <v>11402</v>
      </c>
      <c r="F3598" s="1">
        <v>45243</v>
      </c>
      <c r="G3598" t="str">
        <f>"300043"</f>
        <v>300043</v>
      </c>
      <c r="H3598" t="s">
        <v>2876</v>
      </c>
      <c r="I3598">
        <v>1520</v>
      </c>
    </row>
    <row r="3599" spans="1:9" x14ac:dyDescent="0.25">
      <c r="A3599" t="s">
        <v>9616</v>
      </c>
      <c r="C3599" t="s">
        <v>9617</v>
      </c>
      <c r="D3599" t="str">
        <f>"202309064"</f>
        <v>202309064</v>
      </c>
      <c r="E3599" t="s">
        <v>11391</v>
      </c>
      <c r="F3599" s="1">
        <v>45243</v>
      </c>
      <c r="G3599" t="str">
        <f>"300191"</f>
        <v>300191</v>
      </c>
      <c r="H3599" t="s">
        <v>3008</v>
      </c>
      <c r="I3599">
        <v>3277.56</v>
      </c>
    </row>
    <row r="3600" spans="1:9" x14ac:dyDescent="0.25">
      <c r="A3600" t="s">
        <v>9616</v>
      </c>
      <c r="C3600" t="s">
        <v>9617</v>
      </c>
      <c r="D3600" t="str">
        <f>"76618"</f>
        <v>76618</v>
      </c>
      <c r="E3600" t="s">
        <v>11398</v>
      </c>
      <c r="F3600" s="1">
        <v>45244</v>
      </c>
      <c r="G3600" t="str">
        <f>"300043"</f>
        <v>300043</v>
      </c>
      <c r="H3600" t="s">
        <v>2876</v>
      </c>
      <c r="I3600">
        <v>1518</v>
      </c>
    </row>
    <row r="3601" spans="1:9" x14ac:dyDescent="0.25">
      <c r="A3601" t="s">
        <v>9616</v>
      </c>
      <c r="C3601" t="s">
        <v>9617</v>
      </c>
      <c r="D3601" t="str">
        <f>"10153925"</f>
        <v>10153925</v>
      </c>
      <c r="E3601" t="s">
        <v>9189</v>
      </c>
      <c r="F3601" s="1">
        <v>45244</v>
      </c>
      <c r="G3601" t="str">
        <f>"300115"</f>
        <v>300115</v>
      </c>
      <c r="H3601" t="s">
        <v>2938</v>
      </c>
      <c r="I3601">
        <v>386612.46360000002</v>
      </c>
    </row>
    <row r="3602" spans="1:9" x14ac:dyDescent="0.25">
      <c r="A3602" t="s">
        <v>9616</v>
      </c>
      <c r="C3602" t="s">
        <v>9617</v>
      </c>
      <c r="D3602" t="s">
        <v>11403</v>
      </c>
      <c r="E3602" t="s">
        <v>11404</v>
      </c>
      <c r="F3602" s="1">
        <v>45244</v>
      </c>
      <c r="G3602" t="str">
        <f>"300321"</f>
        <v>300321</v>
      </c>
      <c r="H3602" t="s">
        <v>2706</v>
      </c>
      <c r="I3602">
        <v>19000</v>
      </c>
    </row>
    <row r="3603" spans="1:9" x14ac:dyDescent="0.25">
      <c r="A3603" t="s">
        <v>9616</v>
      </c>
      <c r="C3603" t="s">
        <v>9617</v>
      </c>
      <c r="D3603" t="str">
        <f>"76886"</f>
        <v>76886</v>
      </c>
      <c r="E3603" t="s">
        <v>11404</v>
      </c>
      <c r="F3603" s="1">
        <v>45245</v>
      </c>
      <c r="G3603" t="str">
        <f>"300043"</f>
        <v>300043</v>
      </c>
      <c r="H3603" t="s">
        <v>2876</v>
      </c>
      <c r="I3603">
        <v>1488</v>
      </c>
    </row>
    <row r="3604" spans="1:9" x14ac:dyDescent="0.25">
      <c r="A3604" t="s">
        <v>9616</v>
      </c>
      <c r="C3604" t="s">
        <v>9617</v>
      </c>
      <c r="D3604" t="str">
        <f>"202309174"</f>
        <v>202309174</v>
      </c>
      <c r="E3604" t="s">
        <v>11402</v>
      </c>
      <c r="F3604" s="1">
        <v>45245</v>
      </c>
      <c r="G3604" t="str">
        <f>"300191"</f>
        <v>300191</v>
      </c>
      <c r="H3604" t="s">
        <v>3008</v>
      </c>
      <c r="I3604">
        <v>3522.98</v>
      </c>
    </row>
    <row r="3605" spans="1:9" x14ac:dyDescent="0.25">
      <c r="A3605" t="s">
        <v>9616</v>
      </c>
      <c r="C3605" t="s">
        <v>9617</v>
      </c>
      <c r="D3605" t="str">
        <f>"563023"</f>
        <v>563023</v>
      </c>
      <c r="E3605" t="s">
        <v>11388</v>
      </c>
      <c r="F3605" s="1">
        <v>45246</v>
      </c>
      <c r="G3605" t="str">
        <f>"300101"</f>
        <v>300101</v>
      </c>
      <c r="H3605" t="s">
        <v>2926</v>
      </c>
      <c r="I3605">
        <v>2991.06</v>
      </c>
    </row>
    <row r="3606" spans="1:9" x14ac:dyDescent="0.25">
      <c r="A3606" t="s">
        <v>9616</v>
      </c>
      <c r="C3606" t="s">
        <v>9617</v>
      </c>
      <c r="D3606" t="str">
        <f>"563123"</f>
        <v>563123</v>
      </c>
      <c r="E3606" t="s">
        <v>11386</v>
      </c>
      <c r="F3606" s="1">
        <v>45246</v>
      </c>
      <c r="G3606" t="str">
        <f>"300101"</f>
        <v>300101</v>
      </c>
      <c r="H3606" t="s">
        <v>2926</v>
      </c>
      <c r="I3606">
        <v>3149.32</v>
      </c>
    </row>
    <row r="3607" spans="1:9" x14ac:dyDescent="0.25">
      <c r="A3607" t="s">
        <v>9616</v>
      </c>
      <c r="C3607" t="s">
        <v>9617</v>
      </c>
      <c r="D3607" t="str">
        <f>"563223"</f>
        <v>563223</v>
      </c>
      <c r="E3607" t="s">
        <v>11296</v>
      </c>
      <c r="F3607" s="1">
        <v>45246</v>
      </c>
      <c r="G3607" t="str">
        <f>"300101"</f>
        <v>300101</v>
      </c>
      <c r="H3607" t="s">
        <v>2926</v>
      </c>
      <c r="I3607">
        <v>3782.34</v>
      </c>
    </row>
    <row r="3608" spans="1:9" x14ac:dyDescent="0.25">
      <c r="A3608" t="s">
        <v>9616</v>
      </c>
      <c r="C3608" t="s">
        <v>9617</v>
      </c>
      <c r="D3608" t="str">
        <f>"10153976"</f>
        <v>10153976</v>
      </c>
      <c r="E3608" t="s">
        <v>9189</v>
      </c>
      <c r="F3608" s="1">
        <v>45246</v>
      </c>
      <c r="G3608" t="str">
        <f>"300115"</f>
        <v>300115</v>
      </c>
      <c r="H3608" t="s">
        <v>2938</v>
      </c>
      <c r="I3608">
        <v>346707.50400000002</v>
      </c>
    </row>
    <row r="3609" spans="1:9" x14ac:dyDescent="0.25">
      <c r="A3609" t="s">
        <v>9616</v>
      </c>
      <c r="C3609" t="s">
        <v>9617</v>
      </c>
      <c r="D3609" t="str">
        <f>"10153977"</f>
        <v>10153977</v>
      </c>
      <c r="E3609" t="s">
        <v>2172</v>
      </c>
      <c r="F3609" s="1">
        <v>45246</v>
      </c>
      <c r="G3609" t="str">
        <f>"300115"</f>
        <v>300115</v>
      </c>
      <c r="H3609" t="s">
        <v>2938</v>
      </c>
      <c r="I3609">
        <v>396020.98800000001</v>
      </c>
    </row>
    <row r="3610" spans="1:9" x14ac:dyDescent="0.25">
      <c r="A3610" t="s">
        <v>9616</v>
      </c>
      <c r="C3610" t="s">
        <v>9617</v>
      </c>
      <c r="D3610" t="str">
        <f>"202309190"</f>
        <v>202309190</v>
      </c>
      <c r="E3610" t="s">
        <v>11398</v>
      </c>
      <c r="F3610" s="1">
        <v>45246</v>
      </c>
      <c r="G3610" t="str">
        <f>"300191"</f>
        <v>300191</v>
      </c>
      <c r="H3610" t="s">
        <v>3008</v>
      </c>
      <c r="I3610">
        <v>3206.46</v>
      </c>
    </row>
    <row r="3611" spans="1:9" x14ac:dyDescent="0.25">
      <c r="A3611" t="s">
        <v>9616</v>
      </c>
      <c r="C3611" t="s">
        <v>9617</v>
      </c>
      <c r="D3611" t="str">
        <f>"202309197"</f>
        <v>202309197</v>
      </c>
      <c r="E3611" t="s">
        <v>11393</v>
      </c>
      <c r="F3611" s="1">
        <v>45246</v>
      </c>
      <c r="G3611" t="str">
        <f>"300191"</f>
        <v>300191</v>
      </c>
      <c r="H3611" t="s">
        <v>3008</v>
      </c>
      <c r="I3611">
        <v>5247.74</v>
      </c>
    </row>
    <row r="3612" spans="1:9" x14ac:dyDescent="0.25">
      <c r="A3612" t="s">
        <v>9616</v>
      </c>
      <c r="C3612" t="s">
        <v>9617</v>
      </c>
      <c r="D3612" t="str">
        <f>"202309207"</f>
        <v>202309207</v>
      </c>
      <c r="E3612" t="s">
        <v>11404</v>
      </c>
      <c r="F3612" s="1">
        <v>45246</v>
      </c>
      <c r="G3612" t="str">
        <f>"300191"</f>
        <v>300191</v>
      </c>
      <c r="H3612" t="s">
        <v>3008</v>
      </c>
      <c r="I3612">
        <v>3206.46</v>
      </c>
    </row>
    <row r="3613" spans="1:9" x14ac:dyDescent="0.25">
      <c r="A3613" t="s">
        <v>9616</v>
      </c>
      <c r="C3613" t="s">
        <v>9617</v>
      </c>
      <c r="D3613" t="s">
        <v>11405</v>
      </c>
      <c r="E3613" t="s">
        <v>11406</v>
      </c>
      <c r="F3613" s="1">
        <v>45246</v>
      </c>
      <c r="G3613" t="str">
        <f>"300321"</f>
        <v>300321</v>
      </c>
      <c r="H3613" t="s">
        <v>2706</v>
      </c>
      <c r="I3613">
        <v>19000</v>
      </c>
    </row>
    <row r="3614" spans="1:9" x14ac:dyDescent="0.25">
      <c r="A3614" t="s">
        <v>9616</v>
      </c>
      <c r="C3614" t="s">
        <v>9617</v>
      </c>
      <c r="D3614" t="s">
        <v>11407</v>
      </c>
      <c r="E3614" t="s">
        <v>11408</v>
      </c>
      <c r="F3614" s="1">
        <v>45246</v>
      </c>
      <c r="G3614" t="str">
        <f>"300321"</f>
        <v>300321</v>
      </c>
      <c r="H3614" t="s">
        <v>2706</v>
      </c>
      <c r="I3614">
        <v>18000</v>
      </c>
    </row>
    <row r="3615" spans="1:9" x14ac:dyDescent="0.25">
      <c r="A3615" t="s">
        <v>9616</v>
      </c>
      <c r="C3615" t="s">
        <v>9617</v>
      </c>
      <c r="D3615" t="str">
        <f>"1597"</f>
        <v>1597</v>
      </c>
      <c r="E3615" t="s">
        <v>9729</v>
      </c>
      <c r="F3615" s="1">
        <v>45246</v>
      </c>
      <c r="G3615" t="str">
        <f>"300356"</f>
        <v>300356</v>
      </c>
      <c r="H3615" t="s">
        <v>3094</v>
      </c>
      <c r="I3615">
        <v>1820.2635</v>
      </c>
    </row>
    <row r="3616" spans="1:9" x14ac:dyDescent="0.25">
      <c r="A3616" t="s">
        <v>9616</v>
      </c>
      <c r="C3616" t="s">
        <v>9617</v>
      </c>
      <c r="D3616" t="s">
        <v>11409</v>
      </c>
      <c r="E3616" t="s">
        <v>9633</v>
      </c>
      <c r="F3616" s="1">
        <v>45246</v>
      </c>
      <c r="G3616" t="str">
        <f>"300375"</f>
        <v>300375</v>
      </c>
      <c r="H3616" t="s">
        <v>3112</v>
      </c>
      <c r="I3616">
        <v>176592.54689999999</v>
      </c>
    </row>
    <row r="3617" spans="1:9" x14ac:dyDescent="0.25">
      <c r="A3617" t="s">
        <v>9616</v>
      </c>
      <c r="C3617" t="s">
        <v>9617</v>
      </c>
      <c r="D3617" t="str">
        <f>"77651"</f>
        <v>77651</v>
      </c>
      <c r="E3617" t="s">
        <v>11406</v>
      </c>
      <c r="F3617" s="1">
        <v>45247</v>
      </c>
      <c r="G3617" t="str">
        <f>"300043"</f>
        <v>300043</v>
      </c>
      <c r="H3617" t="s">
        <v>2876</v>
      </c>
      <c r="I3617">
        <v>1364</v>
      </c>
    </row>
    <row r="3618" spans="1:9" x14ac:dyDescent="0.25">
      <c r="A3618" t="s">
        <v>9616</v>
      </c>
      <c r="C3618" t="s">
        <v>9617</v>
      </c>
      <c r="D3618" t="str">
        <f>"77664"</f>
        <v>77664</v>
      </c>
      <c r="E3618" t="s">
        <v>11408</v>
      </c>
      <c r="F3618" s="1">
        <v>45247</v>
      </c>
      <c r="G3618" t="str">
        <f>"300043"</f>
        <v>300043</v>
      </c>
      <c r="H3618" t="s">
        <v>2876</v>
      </c>
      <c r="I3618">
        <v>1528</v>
      </c>
    </row>
    <row r="3619" spans="1:9" x14ac:dyDescent="0.25">
      <c r="A3619" t="s">
        <v>9616</v>
      </c>
      <c r="C3619" t="s">
        <v>9617</v>
      </c>
      <c r="D3619" t="str">
        <f>"10154007"</f>
        <v>10154007</v>
      </c>
      <c r="E3619" t="s">
        <v>11410</v>
      </c>
      <c r="F3619" s="1">
        <v>45247</v>
      </c>
      <c r="G3619" t="str">
        <f>"300115"</f>
        <v>300115</v>
      </c>
      <c r="H3619" t="s">
        <v>2938</v>
      </c>
      <c r="I3619">
        <v>178543.28580000001</v>
      </c>
    </row>
    <row r="3620" spans="1:9" x14ac:dyDescent="0.25">
      <c r="A3620" t="s">
        <v>9616</v>
      </c>
      <c r="C3620" t="s">
        <v>9617</v>
      </c>
      <c r="D3620" t="str">
        <f>"10154008"</f>
        <v>10154008</v>
      </c>
      <c r="E3620" t="s">
        <v>9189</v>
      </c>
      <c r="F3620" s="1">
        <v>45247</v>
      </c>
      <c r="G3620" t="str">
        <f>"300115"</f>
        <v>300115</v>
      </c>
      <c r="H3620" t="s">
        <v>2938</v>
      </c>
      <c r="I3620">
        <v>200150.80799999999</v>
      </c>
    </row>
    <row r="3621" spans="1:9" x14ac:dyDescent="0.25">
      <c r="A3621" t="s">
        <v>9616</v>
      </c>
      <c r="C3621" t="s">
        <v>9617</v>
      </c>
      <c r="D3621" t="s">
        <v>11411</v>
      </c>
      <c r="E3621" t="s">
        <v>11412</v>
      </c>
      <c r="F3621" s="1">
        <v>45248</v>
      </c>
      <c r="G3621" t="str">
        <f>"300371"</f>
        <v>300371</v>
      </c>
      <c r="H3621" t="s">
        <v>3108</v>
      </c>
      <c r="I3621">
        <v>30860.41</v>
      </c>
    </row>
    <row r="3622" spans="1:9" x14ac:dyDescent="0.25">
      <c r="A3622" t="s">
        <v>9616</v>
      </c>
      <c r="C3622" t="s">
        <v>9617</v>
      </c>
      <c r="D3622" t="str">
        <f>"200549"</f>
        <v>200549</v>
      </c>
      <c r="F3622" s="1">
        <v>45250</v>
      </c>
      <c r="G3622" t="str">
        <f>"300043"</f>
        <v>300043</v>
      </c>
      <c r="H3622" t="s">
        <v>2876</v>
      </c>
      <c r="I3622">
        <v>3237</v>
      </c>
    </row>
    <row r="3623" spans="1:9" x14ac:dyDescent="0.25">
      <c r="A3623" t="s">
        <v>9616</v>
      </c>
      <c r="C3623" t="s">
        <v>9617</v>
      </c>
      <c r="D3623" t="str">
        <f>"10154053"</f>
        <v>10154053</v>
      </c>
      <c r="E3623" t="s">
        <v>10147</v>
      </c>
      <c r="F3623" s="1">
        <v>45250</v>
      </c>
      <c r="G3623" t="str">
        <f>"300115"</f>
        <v>300115</v>
      </c>
      <c r="H3623" t="s">
        <v>2938</v>
      </c>
      <c r="I3623">
        <v>396020.98800000001</v>
      </c>
    </row>
    <row r="3624" spans="1:9" x14ac:dyDescent="0.25">
      <c r="A3624" t="s">
        <v>9616</v>
      </c>
      <c r="C3624" t="s">
        <v>9617</v>
      </c>
      <c r="D3624" t="str">
        <f>"202309303"</f>
        <v>202309303</v>
      </c>
      <c r="E3624" t="s">
        <v>11350</v>
      </c>
      <c r="F3624" s="1">
        <v>45250</v>
      </c>
      <c r="G3624" t="str">
        <f>"300191"</f>
        <v>300191</v>
      </c>
      <c r="H3624" t="s">
        <v>3008</v>
      </c>
      <c r="I3624">
        <v>63.75</v>
      </c>
    </row>
    <row r="3625" spans="1:9" x14ac:dyDescent="0.25">
      <c r="A3625" t="s">
        <v>9616</v>
      </c>
      <c r="C3625" t="s">
        <v>9617</v>
      </c>
      <c r="D3625" t="str">
        <f>"202309346"</f>
        <v>202309346</v>
      </c>
      <c r="E3625" t="s">
        <v>11408</v>
      </c>
      <c r="F3625" s="1">
        <v>45250</v>
      </c>
      <c r="G3625" t="str">
        <f>"300191"</f>
        <v>300191</v>
      </c>
      <c r="H3625" t="s">
        <v>3008</v>
      </c>
      <c r="I3625">
        <v>3230.16</v>
      </c>
    </row>
    <row r="3626" spans="1:9" x14ac:dyDescent="0.25">
      <c r="A3626" t="s">
        <v>9616</v>
      </c>
      <c r="C3626" t="s">
        <v>9617</v>
      </c>
      <c r="D3626" t="str">
        <f>"202309351"</f>
        <v>202309351</v>
      </c>
      <c r="E3626" t="s">
        <v>11406</v>
      </c>
      <c r="F3626" s="1">
        <v>45250</v>
      </c>
      <c r="G3626" t="str">
        <f>"300191"</f>
        <v>300191</v>
      </c>
      <c r="H3626" t="s">
        <v>3008</v>
      </c>
      <c r="I3626">
        <v>3206.46</v>
      </c>
    </row>
    <row r="3627" spans="1:9" x14ac:dyDescent="0.25">
      <c r="A3627" t="s">
        <v>9616</v>
      </c>
      <c r="C3627" t="s">
        <v>9617</v>
      </c>
      <c r="D3627" t="s">
        <v>11413</v>
      </c>
      <c r="E3627" t="s">
        <v>11414</v>
      </c>
      <c r="F3627" s="1">
        <v>45250</v>
      </c>
      <c r="G3627" t="str">
        <f>"300321"</f>
        <v>300321</v>
      </c>
      <c r="H3627" t="s">
        <v>2706</v>
      </c>
      <c r="I3627">
        <v>18000</v>
      </c>
    </row>
    <row r="3628" spans="1:9" x14ac:dyDescent="0.25">
      <c r="A3628" t="s">
        <v>9616</v>
      </c>
      <c r="C3628" t="s">
        <v>9617</v>
      </c>
      <c r="D3628" t="str">
        <f>"78908"</f>
        <v>78908</v>
      </c>
      <c r="E3628" t="s">
        <v>11414</v>
      </c>
      <c r="F3628" s="1">
        <v>45251</v>
      </c>
      <c r="G3628" t="str">
        <f>"300043"</f>
        <v>300043</v>
      </c>
      <c r="H3628" t="s">
        <v>2876</v>
      </c>
      <c r="I3628">
        <v>1536</v>
      </c>
    </row>
    <row r="3629" spans="1:9" x14ac:dyDescent="0.25">
      <c r="A3629" t="s">
        <v>9616</v>
      </c>
      <c r="C3629" t="s">
        <v>9617</v>
      </c>
      <c r="D3629" t="str">
        <f>"10154090"</f>
        <v>10154090</v>
      </c>
      <c r="E3629" t="s">
        <v>2640</v>
      </c>
      <c r="F3629" s="1">
        <v>45251</v>
      </c>
      <c r="G3629" t="str">
        <f>"300115"</f>
        <v>300115</v>
      </c>
      <c r="H3629" t="s">
        <v>2938</v>
      </c>
      <c r="I3629">
        <v>396020.98800000001</v>
      </c>
    </row>
    <row r="3630" spans="1:9" x14ac:dyDescent="0.25">
      <c r="A3630" t="s">
        <v>9616</v>
      </c>
      <c r="C3630" t="s">
        <v>9617</v>
      </c>
      <c r="D3630" t="s">
        <v>11415</v>
      </c>
      <c r="E3630" t="s">
        <v>11416</v>
      </c>
      <c r="F3630" s="1">
        <v>45251</v>
      </c>
      <c r="G3630" t="str">
        <f>"300321"</f>
        <v>300321</v>
      </c>
      <c r="H3630" t="s">
        <v>2706</v>
      </c>
      <c r="I3630">
        <v>18000</v>
      </c>
    </row>
    <row r="3631" spans="1:9" x14ac:dyDescent="0.25">
      <c r="A3631" t="s">
        <v>9616</v>
      </c>
      <c r="C3631" t="s">
        <v>9617</v>
      </c>
      <c r="D3631" t="s">
        <v>11417</v>
      </c>
      <c r="E3631" t="s">
        <v>10879</v>
      </c>
      <c r="F3631" s="1">
        <v>45251</v>
      </c>
      <c r="G3631" t="str">
        <f>"300375"</f>
        <v>300375</v>
      </c>
      <c r="H3631" t="s">
        <v>3112</v>
      </c>
      <c r="I3631">
        <v>182872.16639999999</v>
      </c>
    </row>
    <row r="3632" spans="1:9" x14ac:dyDescent="0.25">
      <c r="A3632" t="s">
        <v>9616</v>
      </c>
      <c r="C3632" t="s">
        <v>9617</v>
      </c>
      <c r="D3632" t="str">
        <f>"79252"</f>
        <v>79252</v>
      </c>
      <c r="E3632" t="s">
        <v>11294</v>
      </c>
      <c r="F3632" s="1">
        <v>45252</v>
      </c>
      <c r="G3632" t="str">
        <f>"300043"</f>
        <v>300043</v>
      </c>
      <c r="H3632" t="s">
        <v>2876</v>
      </c>
      <c r="I3632">
        <v>1438</v>
      </c>
    </row>
    <row r="3633" spans="1:9" x14ac:dyDescent="0.25">
      <c r="A3633" t="s">
        <v>9616</v>
      </c>
      <c r="C3633" t="s">
        <v>9617</v>
      </c>
      <c r="D3633" t="str">
        <f>"79258"</f>
        <v>79258</v>
      </c>
      <c r="E3633" t="s">
        <v>11416</v>
      </c>
      <c r="F3633" s="1">
        <v>45252</v>
      </c>
      <c r="G3633" t="str">
        <f>"300043"</f>
        <v>300043</v>
      </c>
      <c r="H3633" t="s">
        <v>2876</v>
      </c>
      <c r="I3633">
        <v>1528</v>
      </c>
    </row>
    <row r="3634" spans="1:9" x14ac:dyDescent="0.25">
      <c r="A3634" t="s">
        <v>9616</v>
      </c>
      <c r="C3634" t="s">
        <v>9617</v>
      </c>
      <c r="D3634" t="str">
        <f>"143419"</f>
        <v>143419</v>
      </c>
      <c r="E3634" t="s">
        <v>11412</v>
      </c>
      <c r="F3634" s="1">
        <v>45252</v>
      </c>
      <c r="G3634" t="str">
        <f>"300043"</f>
        <v>300043</v>
      </c>
      <c r="H3634" t="s">
        <v>2876</v>
      </c>
      <c r="I3634">
        <v>1000</v>
      </c>
    </row>
    <row r="3635" spans="1:9" x14ac:dyDescent="0.25">
      <c r="A3635" t="s">
        <v>9616</v>
      </c>
      <c r="C3635" t="s">
        <v>9617</v>
      </c>
      <c r="D3635" t="str">
        <f>"10154150"</f>
        <v>10154150</v>
      </c>
      <c r="E3635" t="s">
        <v>9189</v>
      </c>
      <c r="F3635" s="1">
        <v>45252</v>
      </c>
      <c r="G3635" t="str">
        <f>"300115"</f>
        <v>300115</v>
      </c>
      <c r="H3635" t="s">
        <v>2938</v>
      </c>
      <c r="I3635">
        <v>359042.50799999997</v>
      </c>
    </row>
    <row r="3636" spans="1:9" x14ac:dyDescent="0.25">
      <c r="A3636" t="s">
        <v>9616</v>
      </c>
      <c r="C3636" t="s">
        <v>9617</v>
      </c>
      <c r="D3636" t="s">
        <v>11418</v>
      </c>
      <c r="E3636" t="str">
        <f>"2300"</f>
        <v>2300</v>
      </c>
      <c r="F3636" s="1">
        <v>45252</v>
      </c>
      <c r="G3636" t="str">
        <f>"300133"</f>
        <v>300133</v>
      </c>
      <c r="H3636" t="s">
        <v>2955</v>
      </c>
      <c r="I3636">
        <v>15724.8</v>
      </c>
    </row>
    <row r="3637" spans="1:9" x14ac:dyDescent="0.25">
      <c r="A3637" t="s">
        <v>9616</v>
      </c>
      <c r="C3637" t="s">
        <v>9617</v>
      </c>
      <c r="D3637" t="s">
        <v>11419</v>
      </c>
      <c r="E3637" t="s">
        <v>11331</v>
      </c>
      <c r="F3637" s="1">
        <v>45252</v>
      </c>
      <c r="G3637" t="str">
        <f>"300133"</f>
        <v>300133</v>
      </c>
      <c r="H3637" t="s">
        <v>2955</v>
      </c>
      <c r="I3637">
        <v>11394</v>
      </c>
    </row>
    <row r="3638" spans="1:9" x14ac:dyDescent="0.25">
      <c r="A3638" t="s">
        <v>9616</v>
      </c>
      <c r="C3638" t="s">
        <v>9617</v>
      </c>
      <c r="D3638" t="s">
        <v>11420</v>
      </c>
      <c r="E3638" t="s">
        <v>10198</v>
      </c>
      <c r="F3638" s="1">
        <v>45252</v>
      </c>
      <c r="G3638" t="str">
        <f>"300133"</f>
        <v>300133</v>
      </c>
      <c r="H3638" t="s">
        <v>2955</v>
      </c>
      <c r="I3638">
        <v>25080</v>
      </c>
    </row>
    <row r="3639" spans="1:9" x14ac:dyDescent="0.25">
      <c r="A3639" t="s">
        <v>9616</v>
      </c>
      <c r="C3639" t="s">
        <v>9617</v>
      </c>
      <c r="D3639" t="s">
        <v>11421</v>
      </c>
      <c r="E3639" t="s">
        <v>11422</v>
      </c>
      <c r="F3639" s="1">
        <v>45252</v>
      </c>
      <c r="G3639" t="str">
        <f>"300321"</f>
        <v>300321</v>
      </c>
      <c r="H3639" t="s">
        <v>2706</v>
      </c>
      <c r="I3639">
        <v>19000</v>
      </c>
    </row>
    <row r="3640" spans="1:9" x14ac:dyDescent="0.25">
      <c r="A3640" t="s">
        <v>9616</v>
      </c>
      <c r="C3640" t="s">
        <v>9617</v>
      </c>
      <c r="D3640" t="str">
        <f>"79626"</f>
        <v>79626</v>
      </c>
      <c r="E3640" t="s">
        <v>11422</v>
      </c>
      <c r="F3640" s="1">
        <v>45253</v>
      </c>
      <c r="G3640" t="str">
        <f>"300043"</f>
        <v>300043</v>
      </c>
      <c r="H3640" t="s">
        <v>2876</v>
      </c>
      <c r="I3640">
        <v>1409</v>
      </c>
    </row>
    <row r="3641" spans="1:9" x14ac:dyDescent="0.25">
      <c r="A3641" t="s">
        <v>9616</v>
      </c>
      <c r="C3641" t="s">
        <v>9617</v>
      </c>
      <c r="D3641" t="str">
        <f>"202309485"</f>
        <v>202309485</v>
      </c>
      <c r="E3641" t="s">
        <v>11412</v>
      </c>
      <c r="F3641" s="1">
        <v>45253</v>
      </c>
      <c r="G3641" t="str">
        <f>"300191"</f>
        <v>300191</v>
      </c>
      <c r="H3641" t="s">
        <v>3008</v>
      </c>
      <c r="I3641">
        <v>4174.5</v>
      </c>
    </row>
    <row r="3642" spans="1:9" x14ac:dyDescent="0.25">
      <c r="A3642" t="s">
        <v>9616</v>
      </c>
      <c r="C3642" t="s">
        <v>9617</v>
      </c>
      <c r="D3642" t="str">
        <f>"5959"</f>
        <v>5959</v>
      </c>
      <c r="E3642" t="s">
        <v>11423</v>
      </c>
      <c r="F3642" s="1">
        <v>45254</v>
      </c>
      <c r="G3642" t="str">
        <f>"300043"</f>
        <v>300043</v>
      </c>
      <c r="H3642" t="s">
        <v>2876</v>
      </c>
      <c r="I3642">
        <v>4379</v>
      </c>
    </row>
    <row r="3643" spans="1:9" x14ac:dyDescent="0.25">
      <c r="A3643" t="s">
        <v>9616</v>
      </c>
      <c r="C3643" t="s">
        <v>9617</v>
      </c>
      <c r="D3643" t="str">
        <f>"202309496"</f>
        <v>202309496</v>
      </c>
      <c r="E3643" t="s">
        <v>11414</v>
      </c>
      <c r="F3643" s="1">
        <v>45254</v>
      </c>
      <c r="G3643" t="str">
        <f>"300191"</f>
        <v>300191</v>
      </c>
      <c r="H3643" t="s">
        <v>3008</v>
      </c>
      <c r="I3643">
        <v>3206.46</v>
      </c>
    </row>
    <row r="3644" spans="1:9" x14ac:dyDescent="0.25">
      <c r="A3644" t="s">
        <v>9616</v>
      </c>
      <c r="C3644" t="s">
        <v>9617</v>
      </c>
      <c r="D3644" t="str">
        <f>"202309505"</f>
        <v>202309505</v>
      </c>
      <c r="E3644" t="s">
        <v>11416</v>
      </c>
      <c r="F3644" s="1">
        <v>45254</v>
      </c>
      <c r="G3644" t="str">
        <f>"300191"</f>
        <v>300191</v>
      </c>
      <c r="H3644" t="s">
        <v>3008</v>
      </c>
      <c r="I3644">
        <v>3253.86</v>
      </c>
    </row>
    <row r="3645" spans="1:9" x14ac:dyDescent="0.25">
      <c r="A3645" t="s">
        <v>9616</v>
      </c>
      <c r="C3645" t="s">
        <v>9617</v>
      </c>
      <c r="D3645" t="s">
        <v>11424</v>
      </c>
      <c r="E3645" t="s">
        <v>11425</v>
      </c>
      <c r="F3645" s="1">
        <v>45254</v>
      </c>
      <c r="G3645" t="str">
        <f>"300340"</f>
        <v>300340</v>
      </c>
      <c r="H3645" t="s">
        <v>3080</v>
      </c>
      <c r="I3645">
        <v>3274</v>
      </c>
    </row>
    <row r="3646" spans="1:9" x14ac:dyDescent="0.25">
      <c r="A3646" t="s">
        <v>9616</v>
      </c>
      <c r="C3646" t="s">
        <v>9617</v>
      </c>
      <c r="D3646" t="str">
        <f>"20937"</f>
        <v>20937</v>
      </c>
      <c r="F3646" s="1">
        <v>45257</v>
      </c>
      <c r="G3646" t="str">
        <f>"300043"</f>
        <v>300043</v>
      </c>
      <c r="H3646" t="s">
        <v>2876</v>
      </c>
      <c r="I3646">
        <v>3439</v>
      </c>
    </row>
    <row r="3647" spans="1:9" x14ac:dyDescent="0.25">
      <c r="A3647" t="s">
        <v>9616</v>
      </c>
      <c r="C3647" t="s">
        <v>9617</v>
      </c>
      <c r="D3647" t="str">
        <f>"10154256"</f>
        <v>10154256</v>
      </c>
      <c r="E3647" t="s">
        <v>2172</v>
      </c>
      <c r="F3647" s="1">
        <v>45257</v>
      </c>
      <c r="G3647" t="str">
        <f>"300115"</f>
        <v>300115</v>
      </c>
      <c r="H3647" t="s">
        <v>2938</v>
      </c>
      <c r="I3647">
        <v>396020.98800000001</v>
      </c>
    </row>
    <row r="3648" spans="1:9" x14ac:dyDescent="0.25">
      <c r="A3648" t="s">
        <v>9616</v>
      </c>
      <c r="C3648" t="s">
        <v>9617</v>
      </c>
      <c r="D3648" t="str">
        <f>"10154259"</f>
        <v>10154259</v>
      </c>
      <c r="E3648" t="s">
        <v>9189</v>
      </c>
      <c r="F3648" s="1">
        <v>45257</v>
      </c>
      <c r="G3648" t="str">
        <f>"300115"</f>
        <v>300115</v>
      </c>
      <c r="H3648" t="s">
        <v>2938</v>
      </c>
      <c r="I3648">
        <v>396020.98800000001</v>
      </c>
    </row>
    <row r="3649" spans="1:9" x14ac:dyDescent="0.25">
      <c r="A3649" t="s">
        <v>9616</v>
      </c>
      <c r="C3649" t="s">
        <v>9617</v>
      </c>
      <c r="D3649" t="str">
        <f>"202309551"</f>
        <v>202309551</v>
      </c>
      <c r="E3649" t="s">
        <v>11422</v>
      </c>
      <c r="F3649" s="1">
        <v>45257</v>
      </c>
      <c r="G3649" t="str">
        <f>"300191"</f>
        <v>300191</v>
      </c>
      <c r="H3649" t="s">
        <v>3008</v>
      </c>
      <c r="I3649">
        <v>3253.86</v>
      </c>
    </row>
    <row r="3650" spans="1:9" x14ac:dyDescent="0.25">
      <c r="A3650" t="s">
        <v>9616</v>
      </c>
      <c r="C3650" t="s">
        <v>9617</v>
      </c>
      <c r="D3650" t="s">
        <v>11426</v>
      </c>
      <c r="E3650" t="s">
        <v>11427</v>
      </c>
      <c r="F3650" s="1">
        <v>45257</v>
      </c>
      <c r="G3650" t="str">
        <f>"300321"</f>
        <v>300321</v>
      </c>
      <c r="H3650" t="s">
        <v>2706</v>
      </c>
      <c r="I3650">
        <v>18000</v>
      </c>
    </row>
    <row r="3651" spans="1:9" x14ac:dyDescent="0.25">
      <c r="A3651" t="s">
        <v>9616</v>
      </c>
      <c r="C3651" t="s">
        <v>9617</v>
      </c>
      <c r="D3651" t="s">
        <v>11428</v>
      </c>
      <c r="E3651" t="s">
        <v>11429</v>
      </c>
      <c r="F3651" s="1">
        <v>45257</v>
      </c>
      <c r="G3651" t="str">
        <f>"300321"</f>
        <v>300321</v>
      </c>
      <c r="H3651" t="s">
        <v>2706</v>
      </c>
      <c r="I3651">
        <v>19000</v>
      </c>
    </row>
    <row r="3652" spans="1:9" x14ac:dyDescent="0.25">
      <c r="A3652" t="s">
        <v>9616</v>
      </c>
      <c r="C3652" t="s">
        <v>9617</v>
      </c>
      <c r="D3652" t="str">
        <f>"0709"</f>
        <v>0709</v>
      </c>
      <c r="E3652" t="s">
        <v>11427</v>
      </c>
      <c r="F3652" s="1">
        <v>45258</v>
      </c>
      <c r="G3652" t="str">
        <f>"300043"</f>
        <v>300043</v>
      </c>
      <c r="H3652" t="s">
        <v>2876</v>
      </c>
      <c r="I3652">
        <v>1528</v>
      </c>
    </row>
    <row r="3653" spans="1:9" x14ac:dyDescent="0.25">
      <c r="A3653" t="s">
        <v>9616</v>
      </c>
      <c r="C3653" t="s">
        <v>9617</v>
      </c>
      <c r="D3653" t="str">
        <f>"10154292"</f>
        <v>10154292</v>
      </c>
      <c r="E3653" t="s">
        <v>9189</v>
      </c>
      <c r="F3653" s="1">
        <v>45258</v>
      </c>
      <c r="G3653" t="str">
        <f>"300115"</f>
        <v>300115</v>
      </c>
      <c r="H3653" t="s">
        <v>2938</v>
      </c>
      <c r="I3653">
        <v>396503.31599999999</v>
      </c>
    </row>
    <row r="3654" spans="1:9" x14ac:dyDescent="0.25">
      <c r="A3654" t="s">
        <v>9616</v>
      </c>
      <c r="C3654" t="s">
        <v>9617</v>
      </c>
      <c r="D3654" t="str">
        <f>"10154293"</f>
        <v>10154293</v>
      </c>
      <c r="E3654" t="s">
        <v>9189</v>
      </c>
      <c r="F3654" s="1">
        <v>45258</v>
      </c>
      <c r="G3654" t="str">
        <f>"300115"</f>
        <v>300115</v>
      </c>
      <c r="H3654" t="s">
        <v>2938</v>
      </c>
      <c r="I3654">
        <v>396020.98800000001</v>
      </c>
    </row>
    <row r="3655" spans="1:9" x14ac:dyDescent="0.25">
      <c r="A3655" t="s">
        <v>9616</v>
      </c>
      <c r="C3655" t="s">
        <v>9617</v>
      </c>
      <c r="D3655" t="s">
        <v>11430</v>
      </c>
      <c r="E3655" t="s">
        <v>11431</v>
      </c>
      <c r="F3655" s="1">
        <v>45258</v>
      </c>
      <c r="G3655" t="str">
        <f>"300321"</f>
        <v>300321</v>
      </c>
      <c r="H3655" t="s">
        <v>2706</v>
      </c>
      <c r="I3655">
        <v>19000</v>
      </c>
    </row>
    <row r="3656" spans="1:9" x14ac:dyDescent="0.25">
      <c r="A3656" t="s">
        <v>9616</v>
      </c>
      <c r="C3656" t="s">
        <v>9617</v>
      </c>
      <c r="D3656" t="s">
        <v>11432</v>
      </c>
      <c r="E3656" t="s">
        <v>11433</v>
      </c>
      <c r="F3656" s="1">
        <v>45258</v>
      </c>
      <c r="G3656" t="str">
        <f>"300321"</f>
        <v>300321</v>
      </c>
      <c r="H3656" t="s">
        <v>2706</v>
      </c>
      <c r="I3656">
        <v>19000</v>
      </c>
    </row>
    <row r="3657" spans="1:9" x14ac:dyDescent="0.25">
      <c r="A3657" t="s">
        <v>9616</v>
      </c>
      <c r="C3657" t="s">
        <v>9617</v>
      </c>
      <c r="D3657" t="str">
        <f>"21204"</f>
        <v>21204</v>
      </c>
      <c r="F3657" s="1">
        <v>45259</v>
      </c>
      <c r="G3657" t="str">
        <f>"300043"</f>
        <v>300043</v>
      </c>
      <c r="H3657" t="s">
        <v>2876</v>
      </c>
      <c r="I3657">
        <v>2517</v>
      </c>
    </row>
    <row r="3658" spans="1:9" x14ac:dyDescent="0.25">
      <c r="A3658" t="s">
        <v>9616</v>
      </c>
      <c r="C3658" t="s">
        <v>9617</v>
      </c>
      <c r="D3658" t="str">
        <f>"80992"</f>
        <v>80992</v>
      </c>
      <c r="E3658" t="s">
        <v>11429</v>
      </c>
      <c r="F3658" s="1">
        <v>45259</v>
      </c>
      <c r="G3658" t="str">
        <f>"300043"</f>
        <v>300043</v>
      </c>
      <c r="H3658" t="s">
        <v>2876</v>
      </c>
      <c r="I3658">
        <v>1530</v>
      </c>
    </row>
    <row r="3659" spans="1:9" x14ac:dyDescent="0.25">
      <c r="A3659" t="s">
        <v>9616</v>
      </c>
      <c r="C3659" t="s">
        <v>9617</v>
      </c>
      <c r="D3659" t="str">
        <f>"81134"</f>
        <v>81134</v>
      </c>
      <c r="E3659" t="s">
        <v>11431</v>
      </c>
      <c r="F3659" s="1">
        <v>45259</v>
      </c>
      <c r="G3659" t="str">
        <f>"300043"</f>
        <v>300043</v>
      </c>
      <c r="H3659" t="s">
        <v>2876</v>
      </c>
      <c r="I3659">
        <v>1533</v>
      </c>
    </row>
    <row r="3660" spans="1:9" x14ac:dyDescent="0.25">
      <c r="A3660" t="s">
        <v>9616</v>
      </c>
      <c r="C3660" t="s">
        <v>9617</v>
      </c>
      <c r="D3660" t="str">
        <f>"202306796"</f>
        <v>202306796</v>
      </c>
      <c r="E3660" t="s">
        <v>9607</v>
      </c>
      <c r="F3660" s="1">
        <v>45259</v>
      </c>
      <c r="G3660" t="str">
        <f>"300376"</f>
        <v>300376</v>
      </c>
      <c r="H3660" t="s">
        <v>3113</v>
      </c>
      <c r="I3660">
        <v>120083.04</v>
      </c>
    </row>
    <row r="3661" spans="1:9" x14ac:dyDescent="0.25">
      <c r="A3661" t="s">
        <v>9616</v>
      </c>
      <c r="C3661" t="s">
        <v>9617</v>
      </c>
      <c r="D3661" t="str">
        <f>"81359"</f>
        <v>81359</v>
      </c>
      <c r="E3661" t="s">
        <v>11433</v>
      </c>
      <c r="F3661" s="1">
        <v>45260</v>
      </c>
      <c r="G3661" t="str">
        <f>"300043"</f>
        <v>300043</v>
      </c>
      <c r="H3661" t="s">
        <v>2876</v>
      </c>
      <c r="I3661">
        <v>1525</v>
      </c>
    </row>
    <row r="3662" spans="1:9" x14ac:dyDescent="0.25">
      <c r="A3662" t="s">
        <v>9616</v>
      </c>
      <c r="C3662" t="s">
        <v>9617</v>
      </c>
      <c r="D3662" t="s">
        <v>11434</v>
      </c>
      <c r="E3662" t="s">
        <v>10843</v>
      </c>
      <c r="F3662" s="1">
        <v>45260</v>
      </c>
      <c r="G3662" t="str">
        <f>"300064"</f>
        <v>300064</v>
      </c>
      <c r="H3662" t="s">
        <v>2896</v>
      </c>
      <c r="I3662">
        <v>140980</v>
      </c>
    </row>
    <row r="3663" spans="1:9" x14ac:dyDescent="0.25">
      <c r="A3663" t="s">
        <v>9616</v>
      </c>
      <c r="C3663" t="s">
        <v>9617</v>
      </c>
      <c r="D3663" t="s">
        <v>11435</v>
      </c>
      <c r="E3663" t="s">
        <v>10843</v>
      </c>
      <c r="F3663" s="1">
        <v>45260</v>
      </c>
      <c r="G3663" t="str">
        <f>"300064"</f>
        <v>300064</v>
      </c>
      <c r="H3663" t="s">
        <v>2896</v>
      </c>
      <c r="I3663">
        <v>140980</v>
      </c>
    </row>
    <row r="3664" spans="1:9" x14ac:dyDescent="0.25">
      <c r="A3664" t="s">
        <v>9616</v>
      </c>
      <c r="C3664" t="s">
        <v>9617</v>
      </c>
      <c r="D3664" t="str">
        <f>"10154344"</f>
        <v>10154344</v>
      </c>
      <c r="E3664" t="s">
        <v>9341</v>
      </c>
      <c r="F3664" s="1">
        <v>45260</v>
      </c>
      <c r="G3664" t="str">
        <f>"300115"</f>
        <v>300115</v>
      </c>
      <c r="H3664" t="s">
        <v>2938</v>
      </c>
      <c r="I3664">
        <v>431183.016</v>
      </c>
    </row>
    <row r="3665" spans="1:9" x14ac:dyDescent="0.25">
      <c r="A3665" t="s">
        <v>9616</v>
      </c>
      <c r="C3665" t="s">
        <v>9617</v>
      </c>
      <c r="D3665" t="str">
        <f>"10154345"</f>
        <v>10154345</v>
      </c>
      <c r="E3665" t="s">
        <v>9341</v>
      </c>
      <c r="F3665" s="1">
        <v>45260</v>
      </c>
      <c r="G3665" t="str">
        <f>"300115"</f>
        <v>300115</v>
      </c>
      <c r="H3665" t="s">
        <v>2938</v>
      </c>
      <c r="I3665">
        <v>431144.90100000001</v>
      </c>
    </row>
    <row r="3666" spans="1:9" x14ac:dyDescent="0.25">
      <c r="A3666" t="s">
        <v>9616</v>
      </c>
      <c r="C3666" t="s">
        <v>9617</v>
      </c>
      <c r="D3666" t="s">
        <v>11436</v>
      </c>
      <c r="E3666" t="s">
        <v>11118</v>
      </c>
      <c r="F3666" s="1">
        <v>45260</v>
      </c>
      <c r="G3666" t="str">
        <f>"300133"</f>
        <v>300133</v>
      </c>
      <c r="H3666" t="s">
        <v>2955</v>
      </c>
      <c r="I3666">
        <v>6916.8</v>
      </c>
    </row>
    <row r="3667" spans="1:9" x14ac:dyDescent="0.25">
      <c r="A3667" t="s">
        <v>9616</v>
      </c>
      <c r="C3667" t="s">
        <v>9617</v>
      </c>
      <c r="D3667" t="s">
        <v>11437</v>
      </c>
      <c r="E3667" t="s">
        <v>9565</v>
      </c>
      <c r="F3667" s="1">
        <v>45260</v>
      </c>
      <c r="G3667" t="str">
        <f>"300133"</f>
        <v>300133</v>
      </c>
      <c r="H3667" t="s">
        <v>2955</v>
      </c>
      <c r="I3667">
        <v>44802.45</v>
      </c>
    </row>
    <row r="3668" spans="1:9" x14ac:dyDescent="0.25">
      <c r="A3668" t="s">
        <v>9616</v>
      </c>
      <c r="C3668" t="s">
        <v>9617</v>
      </c>
      <c r="D3668" t="str">
        <f>"202309696"</f>
        <v>202309696</v>
      </c>
      <c r="E3668" t="s">
        <v>11427</v>
      </c>
      <c r="F3668" s="1">
        <v>45260</v>
      </c>
      <c r="G3668" t="str">
        <f>"300191"</f>
        <v>300191</v>
      </c>
      <c r="H3668" t="s">
        <v>3008</v>
      </c>
      <c r="I3668">
        <v>3206.46</v>
      </c>
    </row>
    <row r="3669" spans="1:9" x14ac:dyDescent="0.25">
      <c r="A3669" t="s">
        <v>9616</v>
      </c>
      <c r="C3669" t="s">
        <v>9617</v>
      </c>
      <c r="D3669" t="str">
        <f>"202309697"</f>
        <v>202309697</v>
      </c>
      <c r="E3669" t="s">
        <v>11429</v>
      </c>
      <c r="F3669" s="1">
        <v>45260</v>
      </c>
      <c r="G3669" t="str">
        <f>"300191"</f>
        <v>300191</v>
      </c>
      <c r="H3669" t="s">
        <v>3008</v>
      </c>
      <c r="I3669">
        <v>3253.86</v>
      </c>
    </row>
    <row r="3670" spans="1:9" x14ac:dyDescent="0.25">
      <c r="A3670" t="s">
        <v>9616</v>
      </c>
      <c r="C3670" t="s">
        <v>9617</v>
      </c>
      <c r="D3670" t="str">
        <f>"202309700"</f>
        <v>202309700</v>
      </c>
      <c r="E3670" t="s">
        <v>11431</v>
      </c>
      <c r="F3670" s="1">
        <v>45260</v>
      </c>
      <c r="G3670" t="str">
        <f>"300191"</f>
        <v>300191</v>
      </c>
      <c r="H3670" t="s">
        <v>3008</v>
      </c>
      <c r="I3670">
        <v>3206.46</v>
      </c>
    </row>
    <row r="3671" spans="1:9" x14ac:dyDescent="0.25">
      <c r="A3671" t="s">
        <v>9616</v>
      </c>
      <c r="C3671" t="s">
        <v>9617</v>
      </c>
      <c r="D3671" t="str">
        <f>"202309763"</f>
        <v>202309763</v>
      </c>
      <c r="E3671" t="s">
        <v>11433</v>
      </c>
      <c r="F3671" s="1">
        <v>45260</v>
      </c>
      <c r="G3671" t="str">
        <f>"300191"</f>
        <v>300191</v>
      </c>
      <c r="H3671" t="s">
        <v>3008</v>
      </c>
      <c r="I3671">
        <v>3206.46</v>
      </c>
    </row>
    <row r="3672" spans="1:9" x14ac:dyDescent="0.25">
      <c r="A3672" t="s">
        <v>9616</v>
      </c>
      <c r="C3672" t="s">
        <v>9617</v>
      </c>
      <c r="D3672" t="s">
        <v>11438</v>
      </c>
      <c r="E3672" t="s">
        <v>11439</v>
      </c>
      <c r="F3672" s="1">
        <v>45260</v>
      </c>
      <c r="G3672" t="str">
        <f>"300321"</f>
        <v>300321</v>
      </c>
      <c r="H3672" t="s">
        <v>2706</v>
      </c>
      <c r="I3672">
        <v>18000</v>
      </c>
    </row>
    <row r="3673" spans="1:9" x14ac:dyDescent="0.25">
      <c r="A3673" t="s">
        <v>9616</v>
      </c>
      <c r="C3673" t="s">
        <v>9617</v>
      </c>
      <c r="D3673" t="s">
        <v>11440</v>
      </c>
      <c r="E3673" t="s">
        <v>11441</v>
      </c>
      <c r="F3673" s="1">
        <v>45260</v>
      </c>
      <c r="G3673" t="str">
        <f>"300321"</f>
        <v>300321</v>
      </c>
      <c r="H3673" t="s">
        <v>2706</v>
      </c>
      <c r="I3673">
        <v>18000</v>
      </c>
    </row>
    <row r="3674" spans="1:9" x14ac:dyDescent="0.25">
      <c r="A3674" t="s">
        <v>9616</v>
      </c>
      <c r="C3674" t="s">
        <v>9617</v>
      </c>
      <c r="D3674" t="str">
        <f>"6079"</f>
        <v>6079</v>
      </c>
      <c r="E3674" t="s">
        <v>11442</v>
      </c>
      <c r="F3674" s="1">
        <v>45261</v>
      </c>
      <c r="G3674" t="str">
        <f>"300043"</f>
        <v>300043</v>
      </c>
      <c r="H3674" t="s">
        <v>2876</v>
      </c>
      <c r="I3674">
        <v>4241</v>
      </c>
    </row>
    <row r="3675" spans="1:9" x14ac:dyDescent="0.25">
      <c r="A3675" t="s">
        <v>9616</v>
      </c>
      <c r="C3675" t="s">
        <v>9617</v>
      </c>
      <c r="D3675" t="str">
        <f>"21380"</f>
        <v>21380</v>
      </c>
      <c r="F3675" s="1">
        <v>45261</v>
      </c>
      <c r="G3675" t="str">
        <f>"300043"</f>
        <v>300043</v>
      </c>
      <c r="H3675" t="s">
        <v>2876</v>
      </c>
      <c r="I3675">
        <v>4438</v>
      </c>
    </row>
    <row r="3676" spans="1:9" x14ac:dyDescent="0.25">
      <c r="A3676" t="s">
        <v>9616</v>
      </c>
      <c r="C3676" t="s">
        <v>9617</v>
      </c>
      <c r="D3676" t="str">
        <f>"81702"</f>
        <v>81702</v>
      </c>
      <c r="E3676" t="s">
        <v>11439</v>
      </c>
      <c r="F3676" s="1">
        <v>45261</v>
      </c>
      <c r="G3676" t="str">
        <f>"300043"</f>
        <v>300043</v>
      </c>
      <c r="H3676" t="s">
        <v>2876</v>
      </c>
      <c r="I3676">
        <v>1641</v>
      </c>
    </row>
    <row r="3677" spans="1:9" x14ac:dyDescent="0.25">
      <c r="A3677" t="s">
        <v>9616</v>
      </c>
      <c r="C3677" t="s">
        <v>9617</v>
      </c>
      <c r="D3677" t="str">
        <f>"81724"</f>
        <v>81724</v>
      </c>
      <c r="E3677" t="s">
        <v>11441</v>
      </c>
      <c r="F3677" s="1">
        <v>45261</v>
      </c>
      <c r="G3677" t="str">
        <f>"300043"</f>
        <v>300043</v>
      </c>
      <c r="H3677" t="s">
        <v>2876</v>
      </c>
      <c r="I3677">
        <v>1641</v>
      </c>
    </row>
    <row r="3678" spans="1:9" x14ac:dyDescent="0.25">
      <c r="A3678" t="s">
        <v>9616</v>
      </c>
      <c r="C3678" t="s">
        <v>9617</v>
      </c>
      <c r="D3678" t="str">
        <f>"593123"</f>
        <v>593123</v>
      </c>
      <c r="E3678" t="s">
        <v>11294</v>
      </c>
      <c r="F3678" s="1">
        <v>45261</v>
      </c>
      <c r="G3678" t="str">
        <f>"300101"</f>
        <v>300101</v>
      </c>
      <c r="H3678" t="s">
        <v>2926</v>
      </c>
      <c r="I3678">
        <v>3465.83</v>
      </c>
    </row>
    <row r="3679" spans="1:9" x14ac:dyDescent="0.25">
      <c r="A3679" t="s">
        <v>9616</v>
      </c>
      <c r="C3679" t="s">
        <v>9617</v>
      </c>
      <c r="D3679" t="str">
        <f>"10154499"</f>
        <v>10154499</v>
      </c>
      <c r="E3679" t="s">
        <v>11443</v>
      </c>
      <c r="F3679" s="1">
        <v>45264</v>
      </c>
      <c r="G3679" t="str">
        <f>"300115"</f>
        <v>300115</v>
      </c>
      <c r="H3679" t="s">
        <v>2938</v>
      </c>
      <c r="I3679">
        <v>396020.98800000001</v>
      </c>
    </row>
    <row r="3680" spans="1:9" x14ac:dyDescent="0.25">
      <c r="A3680" t="s">
        <v>9616</v>
      </c>
      <c r="C3680" t="s">
        <v>9617</v>
      </c>
      <c r="D3680" t="str">
        <f>"202309801"</f>
        <v>202309801</v>
      </c>
      <c r="E3680" t="s">
        <v>11439</v>
      </c>
      <c r="F3680" s="1">
        <v>45264</v>
      </c>
      <c r="G3680" t="str">
        <f>"300191"</f>
        <v>300191</v>
      </c>
      <c r="H3680" t="s">
        <v>3008</v>
      </c>
      <c r="I3680">
        <v>3253.86</v>
      </c>
    </row>
    <row r="3681" spans="1:9" x14ac:dyDescent="0.25">
      <c r="A3681" t="s">
        <v>9616</v>
      </c>
      <c r="C3681" t="s">
        <v>9617</v>
      </c>
      <c r="D3681" t="str">
        <f>"202309804"</f>
        <v>202309804</v>
      </c>
      <c r="E3681" t="s">
        <v>11441</v>
      </c>
      <c r="F3681" s="1">
        <v>45264</v>
      </c>
      <c r="G3681" t="str">
        <f>"300191"</f>
        <v>300191</v>
      </c>
      <c r="H3681" t="s">
        <v>3008</v>
      </c>
      <c r="I3681">
        <v>3277.56</v>
      </c>
    </row>
    <row r="3682" spans="1:9" x14ac:dyDescent="0.25">
      <c r="A3682" t="s">
        <v>9616</v>
      </c>
      <c r="C3682" t="s">
        <v>9617</v>
      </c>
      <c r="D3682" t="s">
        <v>11444</v>
      </c>
      <c r="E3682" t="s">
        <v>11350</v>
      </c>
      <c r="F3682" s="1">
        <v>45264</v>
      </c>
      <c r="G3682" t="str">
        <f>"300321"</f>
        <v>300321</v>
      </c>
      <c r="H3682" t="s">
        <v>2706</v>
      </c>
      <c r="I3682">
        <v>18000</v>
      </c>
    </row>
    <row r="3683" spans="1:9" x14ac:dyDescent="0.25">
      <c r="A3683" t="s">
        <v>9616</v>
      </c>
      <c r="C3683" t="s">
        <v>9617</v>
      </c>
      <c r="D3683" t="str">
        <f>"21586"</f>
        <v>21586</v>
      </c>
      <c r="F3683" s="1">
        <v>45265</v>
      </c>
      <c r="G3683" t="str">
        <f>"300043"</f>
        <v>300043</v>
      </c>
      <c r="H3683" t="s">
        <v>2876</v>
      </c>
      <c r="I3683">
        <v>5268</v>
      </c>
    </row>
    <row r="3684" spans="1:9" x14ac:dyDescent="0.25">
      <c r="A3684" t="s">
        <v>9616</v>
      </c>
      <c r="C3684" t="s">
        <v>9617</v>
      </c>
      <c r="D3684" t="str">
        <f>"82641"</f>
        <v>82641</v>
      </c>
      <c r="E3684" t="s">
        <v>11445</v>
      </c>
      <c r="F3684" s="1">
        <v>45265</v>
      </c>
      <c r="G3684" t="str">
        <f>"300043"</f>
        <v>300043</v>
      </c>
      <c r="H3684" t="s">
        <v>2876</v>
      </c>
      <c r="I3684">
        <v>1522</v>
      </c>
    </row>
    <row r="3685" spans="1:9" x14ac:dyDescent="0.25">
      <c r="A3685" t="s">
        <v>9616</v>
      </c>
      <c r="C3685" t="s">
        <v>9617</v>
      </c>
      <c r="D3685" t="s">
        <v>11446</v>
      </c>
      <c r="E3685" t="s">
        <v>11447</v>
      </c>
      <c r="F3685" s="1">
        <v>45265</v>
      </c>
      <c r="G3685" t="str">
        <f>"300237"</f>
        <v>300237</v>
      </c>
      <c r="H3685" t="s">
        <v>3036</v>
      </c>
      <c r="I3685">
        <v>326438.64</v>
      </c>
    </row>
    <row r="3686" spans="1:9" x14ac:dyDescent="0.25">
      <c r="A3686" t="s">
        <v>9616</v>
      </c>
      <c r="C3686" t="s">
        <v>9617</v>
      </c>
      <c r="D3686" t="s">
        <v>11448</v>
      </c>
      <c r="E3686" t="s">
        <v>9579</v>
      </c>
      <c r="F3686" s="1">
        <v>45268</v>
      </c>
      <c r="G3686" t="str">
        <f>"300133"</f>
        <v>300133</v>
      </c>
      <c r="H3686" t="s">
        <v>2955</v>
      </c>
      <c r="I3686">
        <v>6658.2</v>
      </c>
    </row>
    <row r="3687" spans="1:9" x14ac:dyDescent="0.25">
      <c r="A3687" t="s">
        <v>9616</v>
      </c>
      <c r="C3687" t="s">
        <v>9617</v>
      </c>
      <c r="D3687" t="s">
        <v>11449</v>
      </c>
      <c r="E3687" t="s">
        <v>10339</v>
      </c>
      <c r="F3687" s="1">
        <v>45268</v>
      </c>
      <c r="G3687" t="str">
        <f>"300133"</f>
        <v>300133</v>
      </c>
      <c r="H3687" t="s">
        <v>2955</v>
      </c>
      <c r="I3687">
        <v>8985.6</v>
      </c>
    </row>
    <row r="3688" spans="1:9" x14ac:dyDescent="0.25">
      <c r="A3688" t="s">
        <v>9616</v>
      </c>
      <c r="C3688" t="s">
        <v>9617</v>
      </c>
      <c r="D3688" t="s">
        <v>11450</v>
      </c>
      <c r="E3688" t="s">
        <v>11451</v>
      </c>
      <c r="F3688" s="1">
        <v>45268</v>
      </c>
      <c r="G3688" t="str">
        <f>"300133"</f>
        <v>300133</v>
      </c>
      <c r="H3688" t="s">
        <v>2955</v>
      </c>
      <c r="I3688">
        <v>17040</v>
      </c>
    </row>
    <row r="3689" spans="1:9" x14ac:dyDescent="0.25">
      <c r="A3689" t="s">
        <v>9616</v>
      </c>
      <c r="C3689" t="s">
        <v>9617</v>
      </c>
      <c r="D3689" t="s">
        <v>11452</v>
      </c>
      <c r="E3689" t="s">
        <v>11453</v>
      </c>
      <c r="F3689" s="1">
        <v>45268</v>
      </c>
      <c r="G3689" t="str">
        <f>"300133"</f>
        <v>300133</v>
      </c>
      <c r="H3689" t="s">
        <v>2955</v>
      </c>
      <c r="I3689">
        <v>14865.6</v>
      </c>
    </row>
    <row r="3690" spans="1:9" x14ac:dyDescent="0.25">
      <c r="A3690" t="s">
        <v>9616</v>
      </c>
      <c r="C3690" t="s">
        <v>9617</v>
      </c>
      <c r="D3690" t="str">
        <f>"10154584"</f>
        <v>10154584</v>
      </c>
      <c r="E3690" t="s">
        <v>2640</v>
      </c>
      <c r="F3690" s="1">
        <v>45271</v>
      </c>
      <c r="G3690" t="str">
        <f>"300115"</f>
        <v>300115</v>
      </c>
      <c r="H3690" t="s">
        <v>2938</v>
      </c>
      <c r="I3690">
        <v>396020.98800000001</v>
      </c>
    </row>
    <row r="3691" spans="1:9" x14ac:dyDescent="0.25">
      <c r="A3691" t="s">
        <v>9616</v>
      </c>
      <c r="C3691" t="s">
        <v>9617</v>
      </c>
      <c r="D3691" t="s">
        <v>11454</v>
      </c>
      <c r="E3691" t="s">
        <v>10339</v>
      </c>
      <c r="F3691" s="1">
        <v>45271</v>
      </c>
      <c r="G3691" t="str">
        <f>"300133"</f>
        <v>300133</v>
      </c>
      <c r="H3691" t="s">
        <v>2955</v>
      </c>
      <c r="I3691">
        <v>51667.199999999997</v>
      </c>
    </row>
    <row r="3692" spans="1:9" x14ac:dyDescent="0.25">
      <c r="A3692" t="s">
        <v>9616</v>
      </c>
      <c r="C3692" t="s">
        <v>9617</v>
      </c>
      <c r="D3692" t="s">
        <v>11455</v>
      </c>
      <c r="E3692" t="s">
        <v>11456</v>
      </c>
      <c r="F3692" s="1">
        <v>45271</v>
      </c>
      <c r="G3692" t="str">
        <f>"300321"</f>
        <v>300321</v>
      </c>
      <c r="H3692" t="s">
        <v>2706</v>
      </c>
      <c r="I3692">
        <v>18000</v>
      </c>
    </row>
    <row r="3693" spans="1:9" x14ac:dyDescent="0.25">
      <c r="A3693" t="s">
        <v>9616</v>
      </c>
      <c r="C3693" t="s">
        <v>9617</v>
      </c>
      <c r="D3693" t="str">
        <f>"84526"</f>
        <v>84526</v>
      </c>
      <c r="E3693" t="s">
        <v>11456</v>
      </c>
      <c r="F3693" s="1">
        <v>45272</v>
      </c>
      <c r="G3693" t="str">
        <f>"300043"</f>
        <v>300043</v>
      </c>
      <c r="H3693" t="s">
        <v>2876</v>
      </c>
      <c r="I3693">
        <v>1513</v>
      </c>
    </row>
    <row r="3694" spans="1:9" x14ac:dyDescent="0.25">
      <c r="A3694" t="s">
        <v>9616</v>
      </c>
      <c r="C3694" t="s">
        <v>9617</v>
      </c>
      <c r="D3694" t="str">
        <f>"10154685"</f>
        <v>10154685</v>
      </c>
      <c r="E3694" t="s">
        <v>9189</v>
      </c>
      <c r="F3694" s="1">
        <v>45274</v>
      </c>
      <c r="G3694" t="str">
        <f>"300115"</f>
        <v>300115</v>
      </c>
      <c r="H3694" t="s">
        <v>2938</v>
      </c>
      <c r="I3694">
        <v>396020.98800000001</v>
      </c>
    </row>
    <row r="3695" spans="1:9" x14ac:dyDescent="0.25">
      <c r="A3695" t="s">
        <v>9616</v>
      </c>
      <c r="C3695" t="s">
        <v>9617</v>
      </c>
      <c r="D3695" t="s">
        <v>11457</v>
      </c>
      <c r="E3695" t="s">
        <v>11458</v>
      </c>
      <c r="F3695" s="1">
        <v>45274</v>
      </c>
      <c r="G3695" t="str">
        <f>"300118"</f>
        <v>300118</v>
      </c>
      <c r="H3695" t="s">
        <v>2941</v>
      </c>
      <c r="I3695">
        <v>18442.2</v>
      </c>
    </row>
    <row r="3696" spans="1:9" x14ac:dyDescent="0.25">
      <c r="A3696" t="s">
        <v>9616</v>
      </c>
      <c r="C3696" t="s">
        <v>9617</v>
      </c>
      <c r="D3696" t="str">
        <f>"202310115"</f>
        <v>202310115</v>
      </c>
      <c r="E3696" t="s">
        <v>11456</v>
      </c>
      <c r="F3696" s="1">
        <v>45274</v>
      </c>
      <c r="G3696" t="str">
        <f>"300191"</f>
        <v>300191</v>
      </c>
      <c r="H3696" t="s">
        <v>3008</v>
      </c>
      <c r="I3696">
        <v>3253.86</v>
      </c>
    </row>
    <row r="3697" spans="1:9" x14ac:dyDescent="0.25">
      <c r="A3697" t="s">
        <v>9616</v>
      </c>
      <c r="C3697" t="s">
        <v>9617</v>
      </c>
      <c r="D3697" t="s">
        <v>11459</v>
      </c>
      <c r="E3697" t="s">
        <v>11460</v>
      </c>
      <c r="F3697" s="1">
        <v>45274</v>
      </c>
      <c r="G3697" t="str">
        <f>"300321"</f>
        <v>300321</v>
      </c>
      <c r="H3697" t="s">
        <v>2706</v>
      </c>
      <c r="I3697">
        <v>19000</v>
      </c>
    </row>
    <row r="3698" spans="1:9" x14ac:dyDescent="0.25">
      <c r="A3698" t="s">
        <v>9616</v>
      </c>
      <c r="C3698" t="s">
        <v>9617</v>
      </c>
      <c r="D3698" t="str">
        <f>"22323"</f>
        <v>22323</v>
      </c>
      <c r="F3698" s="1">
        <v>45275</v>
      </c>
      <c r="G3698" t="str">
        <f>"300043"</f>
        <v>300043</v>
      </c>
      <c r="H3698" t="s">
        <v>2876</v>
      </c>
      <c r="I3698">
        <v>4602</v>
      </c>
    </row>
    <row r="3699" spans="1:9" x14ac:dyDescent="0.25">
      <c r="A3699" t="s">
        <v>9616</v>
      </c>
      <c r="C3699" t="s">
        <v>9617</v>
      </c>
      <c r="D3699" t="str">
        <f>"10154709"</f>
        <v>10154709</v>
      </c>
      <c r="E3699" t="s">
        <v>9189</v>
      </c>
      <c r="F3699" s="1">
        <v>45275</v>
      </c>
      <c r="G3699" t="str">
        <f>"300115"</f>
        <v>300115</v>
      </c>
      <c r="H3699" t="s">
        <v>2938</v>
      </c>
      <c r="I3699">
        <v>392835.57500000001</v>
      </c>
    </row>
    <row r="3700" spans="1:9" x14ac:dyDescent="0.25">
      <c r="A3700" t="s">
        <v>9616</v>
      </c>
      <c r="C3700" t="s">
        <v>9617</v>
      </c>
      <c r="D3700" t="s">
        <v>11461</v>
      </c>
      <c r="E3700" t="s">
        <v>11462</v>
      </c>
      <c r="F3700" s="1">
        <v>45275</v>
      </c>
      <c r="G3700" t="str">
        <f>"300321"</f>
        <v>300321</v>
      </c>
      <c r="H3700" t="s">
        <v>2706</v>
      </c>
      <c r="I3700">
        <v>19000</v>
      </c>
    </row>
    <row r="3701" spans="1:9" x14ac:dyDescent="0.25">
      <c r="A3701" t="s">
        <v>9616</v>
      </c>
      <c r="C3701" t="s">
        <v>9617</v>
      </c>
      <c r="D3701" t="str">
        <f>"23672723885"</f>
        <v>23672723885</v>
      </c>
      <c r="F3701" s="1">
        <v>45275</v>
      </c>
      <c r="G3701" t="str">
        <f>"300344"</f>
        <v>300344</v>
      </c>
      <c r="H3701" t="s">
        <v>3084</v>
      </c>
      <c r="I3701">
        <v>245650.02</v>
      </c>
    </row>
    <row r="3702" spans="1:9" x14ac:dyDescent="0.25">
      <c r="A3702" t="s">
        <v>9616</v>
      </c>
      <c r="C3702" t="s">
        <v>9617</v>
      </c>
      <c r="D3702" t="str">
        <f>"202310210"</f>
        <v>202310210</v>
      </c>
      <c r="E3702" t="s">
        <v>11423</v>
      </c>
      <c r="F3702" s="1">
        <v>45276</v>
      </c>
      <c r="G3702" t="str">
        <f>"300191"</f>
        <v>300191</v>
      </c>
      <c r="H3702" t="s">
        <v>3008</v>
      </c>
      <c r="I3702">
        <v>9759.18</v>
      </c>
    </row>
    <row r="3703" spans="1:9" x14ac:dyDescent="0.25">
      <c r="A3703" t="s">
        <v>9616</v>
      </c>
      <c r="C3703" t="s">
        <v>9617</v>
      </c>
      <c r="D3703" t="str">
        <f>"202310221"</f>
        <v>202310221</v>
      </c>
      <c r="E3703" t="s">
        <v>11442</v>
      </c>
      <c r="F3703" s="1">
        <v>45276</v>
      </c>
      <c r="G3703" t="str">
        <f>"300191"</f>
        <v>300191</v>
      </c>
      <c r="H3703" t="s">
        <v>3008</v>
      </c>
      <c r="I3703">
        <v>5854.19</v>
      </c>
    </row>
    <row r="3704" spans="1:9" x14ac:dyDescent="0.25">
      <c r="A3704" t="s">
        <v>9616</v>
      </c>
      <c r="C3704" t="s">
        <v>9617</v>
      </c>
      <c r="D3704" t="str">
        <f>"85880"</f>
        <v>85880</v>
      </c>
      <c r="E3704" t="s">
        <v>11463</v>
      </c>
      <c r="F3704" s="1">
        <v>45278</v>
      </c>
      <c r="G3704" t="str">
        <f>"300043"</f>
        <v>300043</v>
      </c>
      <c r="H3704" t="s">
        <v>2876</v>
      </c>
      <c r="I3704">
        <v>1525</v>
      </c>
    </row>
    <row r="3705" spans="1:9" x14ac:dyDescent="0.25">
      <c r="A3705" t="s">
        <v>9616</v>
      </c>
      <c r="C3705" t="s">
        <v>9617</v>
      </c>
      <c r="D3705" t="str">
        <f>"85887"</f>
        <v>85887</v>
      </c>
      <c r="E3705" t="s">
        <v>11460</v>
      </c>
      <c r="F3705" s="1">
        <v>45278</v>
      </c>
      <c r="G3705" t="str">
        <f>"300043"</f>
        <v>300043</v>
      </c>
      <c r="H3705" t="s">
        <v>2876</v>
      </c>
      <c r="I3705">
        <v>1537</v>
      </c>
    </row>
    <row r="3706" spans="1:9" x14ac:dyDescent="0.25">
      <c r="A3706" t="s">
        <v>9616</v>
      </c>
      <c r="C3706" t="s">
        <v>9617</v>
      </c>
      <c r="D3706" t="str">
        <f>"156627"</f>
        <v>156627</v>
      </c>
      <c r="E3706" t="s">
        <v>11458</v>
      </c>
      <c r="F3706" s="1">
        <v>45279</v>
      </c>
      <c r="G3706" t="str">
        <f>"300043"</f>
        <v>300043</v>
      </c>
      <c r="H3706" t="s">
        <v>2876</v>
      </c>
      <c r="I3706">
        <v>605</v>
      </c>
    </row>
    <row r="3707" spans="1:9" x14ac:dyDescent="0.25">
      <c r="A3707" t="s">
        <v>9616</v>
      </c>
      <c r="C3707" t="s">
        <v>9617</v>
      </c>
      <c r="D3707" t="str">
        <f>"10154822"</f>
        <v>10154822</v>
      </c>
      <c r="E3707" t="s">
        <v>9189</v>
      </c>
      <c r="F3707" s="1">
        <v>45279</v>
      </c>
      <c r="G3707" t="str">
        <f>"300115"</f>
        <v>300115</v>
      </c>
      <c r="H3707" t="s">
        <v>2938</v>
      </c>
      <c r="I3707">
        <v>396020.98800000001</v>
      </c>
    </row>
    <row r="3708" spans="1:9" x14ac:dyDescent="0.25">
      <c r="A3708" t="s">
        <v>9616</v>
      </c>
      <c r="C3708" t="s">
        <v>9617</v>
      </c>
      <c r="D3708" t="str">
        <f>"202310296"</f>
        <v>202310296</v>
      </c>
      <c r="E3708" t="s">
        <v>11463</v>
      </c>
      <c r="F3708" s="1">
        <v>45280</v>
      </c>
      <c r="G3708" t="str">
        <f>"300191"</f>
        <v>300191</v>
      </c>
      <c r="H3708" t="s">
        <v>3008</v>
      </c>
      <c r="I3708">
        <v>3364.72</v>
      </c>
    </row>
    <row r="3709" spans="1:9" x14ac:dyDescent="0.25">
      <c r="A3709" t="s">
        <v>9616</v>
      </c>
      <c r="C3709" t="s">
        <v>9617</v>
      </c>
      <c r="D3709" t="str">
        <f>"202310301"</f>
        <v>202310301</v>
      </c>
      <c r="E3709" t="s">
        <v>11458</v>
      </c>
      <c r="F3709" s="1">
        <v>45280</v>
      </c>
      <c r="G3709" t="str">
        <f>"300191"</f>
        <v>300191</v>
      </c>
      <c r="H3709" t="s">
        <v>3008</v>
      </c>
      <c r="I3709">
        <v>47422.400000000001</v>
      </c>
    </row>
    <row r="3710" spans="1:9" x14ac:dyDescent="0.25">
      <c r="A3710" t="s">
        <v>9616</v>
      </c>
      <c r="C3710" t="s">
        <v>9617</v>
      </c>
      <c r="D3710" t="s">
        <v>11464</v>
      </c>
      <c r="E3710" t="s">
        <v>11465</v>
      </c>
      <c r="F3710" s="1">
        <v>45280</v>
      </c>
      <c r="G3710" t="str">
        <f>"300321"</f>
        <v>300321</v>
      </c>
      <c r="H3710" t="s">
        <v>2706</v>
      </c>
      <c r="I3710">
        <v>19000</v>
      </c>
    </row>
    <row r="3711" spans="1:9" x14ac:dyDescent="0.25">
      <c r="A3711" t="s">
        <v>9616</v>
      </c>
      <c r="C3711" t="s">
        <v>9617</v>
      </c>
      <c r="D3711" t="str">
        <f>"10154858"</f>
        <v>10154858</v>
      </c>
      <c r="E3711" t="s">
        <v>11466</v>
      </c>
      <c r="F3711" s="1">
        <v>45281</v>
      </c>
      <c r="G3711" t="str">
        <f>"300115"</f>
        <v>300115</v>
      </c>
      <c r="H3711" t="s">
        <v>2938</v>
      </c>
      <c r="I3711">
        <v>396020.98800000001</v>
      </c>
    </row>
    <row r="3712" spans="1:9" x14ac:dyDescent="0.25">
      <c r="A3712" t="s">
        <v>9616</v>
      </c>
      <c r="C3712" t="s">
        <v>9617</v>
      </c>
      <c r="D3712" t="s">
        <v>11467</v>
      </c>
      <c r="E3712" t="s">
        <v>11468</v>
      </c>
      <c r="F3712" s="1">
        <v>45281</v>
      </c>
      <c r="G3712" t="str">
        <f>"300321"</f>
        <v>300321</v>
      </c>
      <c r="H3712" t="s">
        <v>2706</v>
      </c>
      <c r="I3712">
        <v>18000</v>
      </c>
    </row>
    <row r="3713" spans="1:9" x14ac:dyDescent="0.25">
      <c r="A3713" t="s">
        <v>9616</v>
      </c>
      <c r="C3713" t="s">
        <v>9617</v>
      </c>
      <c r="D3713" t="str">
        <f>"87166"</f>
        <v>87166</v>
      </c>
      <c r="E3713" t="s">
        <v>11465</v>
      </c>
      <c r="F3713" s="1">
        <v>45282</v>
      </c>
      <c r="G3713" t="str">
        <f>"300043"</f>
        <v>300043</v>
      </c>
      <c r="H3713" t="s">
        <v>2876</v>
      </c>
      <c r="I3713">
        <v>1518</v>
      </c>
    </row>
    <row r="3714" spans="1:9" x14ac:dyDescent="0.25">
      <c r="A3714" t="s">
        <v>9616</v>
      </c>
      <c r="C3714" t="s">
        <v>9617</v>
      </c>
      <c r="D3714" t="str">
        <f>"87499"</f>
        <v>87499</v>
      </c>
      <c r="E3714" t="s">
        <v>11465</v>
      </c>
      <c r="F3714" s="1">
        <v>45282</v>
      </c>
      <c r="G3714" t="str">
        <f>"300043"</f>
        <v>300043</v>
      </c>
      <c r="H3714" t="s">
        <v>2876</v>
      </c>
      <c r="I3714">
        <v>1513</v>
      </c>
    </row>
    <row r="3715" spans="1:9" x14ac:dyDescent="0.25">
      <c r="A3715" t="s">
        <v>9616</v>
      </c>
      <c r="C3715" t="s">
        <v>9617</v>
      </c>
      <c r="D3715" t="str">
        <f>"159018"</f>
        <v>159018</v>
      </c>
      <c r="E3715" t="s">
        <v>11469</v>
      </c>
      <c r="F3715" s="1">
        <v>45282</v>
      </c>
      <c r="G3715" t="str">
        <f>"300043"</f>
        <v>300043</v>
      </c>
      <c r="H3715" t="s">
        <v>2876</v>
      </c>
      <c r="I3715">
        <v>1197</v>
      </c>
    </row>
    <row r="3716" spans="1:9" x14ac:dyDescent="0.25">
      <c r="A3716" t="s">
        <v>9616</v>
      </c>
      <c r="C3716" t="s">
        <v>9617</v>
      </c>
      <c r="D3716" t="str">
        <f>"202310407"</f>
        <v>202310407</v>
      </c>
      <c r="E3716" t="s">
        <v>11460</v>
      </c>
      <c r="F3716" s="1">
        <v>45283</v>
      </c>
      <c r="G3716" t="str">
        <f>"300191"</f>
        <v>300191</v>
      </c>
      <c r="H3716" t="s">
        <v>3008</v>
      </c>
      <c r="I3716">
        <v>3435.82</v>
      </c>
    </row>
    <row r="3717" spans="1:9" x14ac:dyDescent="0.25">
      <c r="A3717" t="s">
        <v>9616</v>
      </c>
      <c r="C3717" t="s">
        <v>9617</v>
      </c>
      <c r="D3717" t="str">
        <f>"202310411"</f>
        <v>202310411</v>
      </c>
      <c r="E3717" t="s">
        <v>11465</v>
      </c>
      <c r="F3717" s="1">
        <v>45283</v>
      </c>
      <c r="G3717" t="str">
        <f>"300191"</f>
        <v>300191</v>
      </c>
      <c r="H3717" t="s">
        <v>3008</v>
      </c>
      <c r="I3717">
        <v>3277.56</v>
      </c>
    </row>
    <row r="3718" spans="1:9" x14ac:dyDescent="0.25">
      <c r="A3718" t="s">
        <v>9616</v>
      </c>
      <c r="C3718" t="s">
        <v>9617</v>
      </c>
      <c r="D3718" t="str">
        <f>"22938"</f>
        <v>22938</v>
      </c>
      <c r="F3718" s="1">
        <v>45285</v>
      </c>
      <c r="G3718" t="str">
        <f>"300043"</f>
        <v>300043</v>
      </c>
      <c r="H3718" t="s">
        <v>2876</v>
      </c>
      <c r="I3718">
        <v>4627</v>
      </c>
    </row>
    <row r="3719" spans="1:9" x14ac:dyDescent="0.25">
      <c r="A3719" t="s">
        <v>9616</v>
      </c>
      <c r="C3719" t="s">
        <v>9617</v>
      </c>
      <c r="D3719" t="str">
        <f>"202310437"</f>
        <v>202310437</v>
      </c>
      <c r="E3719" t="s">
        <v>11468</v>
      </c>
      <c r="F3719" s="1">
        <v>45285</v>
      </c>
      <c r="G3719" t="str">
        <f>"300191"</f>
        <v>300191</v>
      </c>
      <c r="H3719" t="s">
        <v>3008</v>
      </c>
      <c r="I3719">
        <v>3206.46</v>
      </c>
    </row>
    <row r="3720" spans="1:9" x14ac:dyDescent="0.25">
      <c r="A3720" t="s">
        <v>9616</v>
      </c>
      <c r="C3720" t="s">
        <v>9617</v>
      </c>
      <c r="D3720" t="str">
        <f>"202310498"</f>
        <v>202310498</v>
      </c>
      <c r="E3720" t="s">
        <v>11470</v>
      </c>
      <c r="F3720" s="1">
        <v>45285</v>
      </c>
      <c r="G3720" t="str">
        <f>"300191"</f>
        <v>300191</v>
      </c>
      <c r="H3720" t="s">
        <v>3008</v>
      </c>
      <c r="I3720">
        <v>8204.26</v>
      </c>
    </row>
    <row r="3721" spans="1:9" x14ac:dyDescent="0.25">
      <c r="A3721" t="s">
        <v>9616</v>
      </c>
      <c r="C3721" t="s">
        <v>9617</v>
      </c>
      <c r="D3721" t="str">
        <f>"23205"</f>
        <v>23205</v>
      </c>
      <c r="E3721" t="s">
        <v>11425</v>
      </c>
      <c r="F3721" s="1">
        <v>45287</v>
      </c>
      <c r="G3721" t="str">
        <f>"300043"</f>
        <v>300043</v>
      </c>
      <c r="H3721" t="s">
        <v>2876</v>
      </c>
      <c r="I3721">
        <v>5932</v>
      </c>
    </row>
    <row r="3722" spans="1:9" x14ac:dyDescent="0.25">
      <c r="A3722" t="s">
        <v>9616</v>
      </c>
      <c r="C3722" t="s">
        <v>9617</v>
      </c>
      <c r="D3722" t="str">
        <f>"202310585"</f>
        <v>202310585</v>
      </c>
      <c r="E3722" t="s">
        <v>11471</v>
      </c>
      <c r="F3722" s="1">
        <v>45287</v>
      </c>
      <c r="G3722" t="str">
        <f>"300191"</f>
        <v>300191</v>
      </c>
      <c r="H3722" t="s">
        <v>3008</v>
      </c>
      <c r="I3722">
        <v>181</v>
      </c>
    </row>
    <row r="3723" spans="1:9" x14ac:dyDescent="0.25">
      <c r="A3723" t="s">
        <v>9616</v>
      </c>
      <c r="C3723" t="s">
        <v>9617</v>
      </c>
      <c r="D3723" t="str">
        <f>"118956"</f>
        <v>118956</v>
      </c>
      <c r="E3723" t="s">
        <v>11472</v>
      </c>
      <c r="F3723" s="1">
        <v>45290</v>
      </c>
      <c r="G3723" t="str">
        <f>"300043"</f>
        <v>300043</v>
      </c>
      <c r="H3723" t="s">
        <v>2876</v>
      </c>
      <c r="I3723">
        <v>15280</v>
      </c>
    </row>
    <row r="3724" spans="1:9" x14ac:dyDescent="0.25">
      <c r="A3724" t="s">
        <v>9616</v>
      </c>
      <c r="C3724" t="s">
        <v>9617</v>
      </c>
      <c r="D3724" t="str">
        <f>"20231080"</f>
        <v>20231080</v>
      </c>
      <c r="E3724" t="s">
        <v>11445</v>
      </c>
      <c r="F3724" s="1">
        <v>45290</v>
      </c>
      <c r="G3724" t="str">
        <f>"300191"</f>
        <v>300191</v>
      </c>
      <c r="H3724" t="s">
        <v>3008</v>
      </c>
      <c r="I3724">
        <v>3277.56</v>
      </c>
    </row>
    <row r="3725" spans="1:9" x14ac:dyDescent="0.25">
      <c r="A3725" t="s">
        <v>9616</v>
      </c>
      <c r="C3725" t="s">
        <v>9617</v>
      </c>
      <c r="D3725" t="str">
        <f>"202310795"</f>
        <v>202310795</v>
      </c>
      <c r="E3725" t="s">
        <v>11471</v>
      </c>
      <c r="F3725" s="1">
        <v>45290</v>
      </c>
      <c r="G3725" t="str">
        <f>"300191"</f>
        <v>300191</v>
      </c>
      <c r="H3725" t="s">
        <v>3008</v>
      </c>
      <c r="I3725">
        <v>153</v>
      </c>
    </row>
    <row r="3726" spans="1:9" x14ac:dyDescent="0.25">
      <c r="A3726" t="s">
        <v>9616</v>
      </c>
      <c r="C3726" t="s">
        <v>9617</v>
      </c>
      <c r="D3726" t="str">
        <f>"20014242"</f>
        <v>20014242</v>
      </c>
      <c r="E3726" t="s">
        <v>9335</v>
      </c>
      <c r="F3726" s="1">
        <v>45291</v>
      </c>
      <c r="G3726" t="str">
        <f>"300115"</f>
        <v>300115</v>
      </c>
      <c r="H3726" t="s">
        <v>2938</v>
      </c>
      <c r="I3726">
        <v>1584361.5315</v>
      </c>
    </row>
    <row r="3727" spans="1:9" x14ac:dyDescent="0.25">
      <c r="A3727" t="s">
        <v>9616</v>
      </c>
      <c r="C3727" t="s">
        <v>9617</v>
      </c>
      <c r="D3727" t="str">
        <f>"202400008"</f>
        <v>202400008</v>
      </c>
      <c r="E3727" t="s">
        <v>11473</v>
      </c>
      <c r="F3727" s="1">
        <v>45295</v>
      </c>
      <c r="G3727" t="str">
        <f>"300191"</f>
        <v>300191</v>
      </c>
      <c r="H3727" t="s">
        <v>3008</v>
      </c>
      <c r="I3727">
        <v>7613.61</v>
      </c>
    </row>
    <row r="3728" spans="1:9" x14ac:dyDescent="0.25">
      <c r="A3728" t="s">
        <v>9616</v>
      </c>
      <c r="C3728" t="s">
        <v>9617</v>
      </c>
      <c r="D3728" t="s">
        <v>11474</v>
      </c>
      <c r="E3728" t="s">
        <v>11475</v>
      </c>
      <c r="F3728" s="1">
        <v>45296</v>
      </c>
      <c r="G3728" t="str">
        <f>"300133"</f>
        <v>300133</v>
      </c>
      <c r="H3728" t="s">
        <v>2955</v>
      </c>
      <c r="I3728">
        <v>50160</v>
      </c>
    </row>
    <row r="3729" spans="1:9" x14ac:dyDescent="0.25">
      <c r="A3729" t="s">
        <v>9616</v>
      </c>
      <c r="C3729" t="s">
        <v>9617</v>
      </c>
      <c r="D3729" t="s">
        <v>11476</v>
      </c>
      <c r="E3729" t="s">
        <v>10289</v>
      </c>
      <c r="F3729" s="1">
        <v>45296</v>
      </c>
      <c r="G3729" t="str">
        <f>"300133"</f>
        <v>300133</v>
      </c>
      <c r="H3729" t="s">
        <v>2955</v>
      </c>
      <c r="I3729">
        <v>4514.3999999999996</v>
      </c>
    </row>
    <row r="3730" spans="1:9" x14ac:dyDescent="0.25">
      <c r="A3730" t="s">
        <v>9616</v>
      </c>
      <c r="C3730" t="s">
        <v>9617</v>
      </c>
      <c r="D3730" t="s">
        <v>11477</v>
      </c>
      <c r="E3730" t="s">
        <v>10339</v>
      </c>
      <c r="F3730" s="1">
        <v>45296</v>
      </c>
      <c r="G3730" t="str">
        <f>"300133"</f>
        <v>300133</v>
      </c>
      <c r="H3730" t="s">
        <v>2955</v>
      </c>
      <c r="I3730">
        <v>35942.400000000001</v>
      </c>
    </row>
    <row r="3731" spans="1:9" x14ac:dyDescent="0.25">
      <c r="A3731" t="s">
        <v>9616</v>
      </c>
      <c r="C3731" t="s">
        <v>9617</v>
      </c>
      <c r="D3731" t="s">
        <v>11478</v>
      </c>
      <c r="E3731" t="s">
        <v>11479</v>
      </c>
      <c r="F3731" s="1">
        <v>45296</v>
      </c>
      <c r="G3731" t="str">
        <f>"300133"</f>
        <v>300133</v>
      </c>
      <c r="H3731" t="s">
        <v>2955</v>
      </c>
      <c r="I3731">
        <v>2904</v>
      </c>
    </row>
    <row r="3732" spans="1:9" x14ac:dyDescent="0.25">
      <c r="A3732" t="s">
        <v>9616</v>
      </c>
      <c r="C3732" t="s">
        <v>9617</v>
      </c>
      <c r="D3732" t="s">
        <v>11480</v>
      </c>
      <c r="E3732" t="s">
        <v>9191</v>
      </c>
      <c r="F3732" s="1">
        <v>45299</v>
      </c>
      <c r="G3732" t="str">
        <f>"300237"</f>
        <v>300237</v>
      </c>
      <c r="H3732" t="s">
        <v>3036</v>
      </c>
      <c r="I3732">
        <v>324318.06</v>
      </c>
    </row>
    <row r="3733" spans="1:9" x14ac:dyDescent="0.25">
      <c r="A3733" t="s">
        <v>9616</v>
      </c>
      <c r="C3733" t="s">
        <v>9617</v>
      </c>
      <c r="D3733" t="s">
        <v>11481</v>
      </c>
      <c r="E3733" t="s">
        <v>11482</v>
      </c>
      <c r="F3733" s="1">
        <v>45300</v>
      </c>
      <c r="G3733" t="str">
        <f>"300133"</f>
        <v>300133</v>
      </c>
      <c r="H3733" t="s">
        <v>2955</v>
      </c>
      <c r="I3733">
        <v>10929.6</v>
      </c>
    </row>
    <row r="3734" spans="1:9" x14ac:dyDescent="0.25">
      <c r="A3734" t="s">
        <v>9616</v>
      </c>
      <c r="C3734" t="s">
        <v>9617</v>
      </c>
      <c r="D3734" t="s">
        <v>11483</v>
      </c>
      <c r="E3734" t="s">
        <v>9629</v>
      </c>
      <c r="F3734" s="1">
        <v>45301</v>
      </c>
      <c r="G3734" t="str">
        <f>"300133"</f>
        <v>300133</v>
      </c>
      <c r="H3734" t="s">
        <v>2955</v>
      </c>
      <c r="I3734">
        <v>53900.2</v>
      </c>
    </row>
    <row r="3735" spans="1:9" x14ac:dyDescent="0.25">
      <c r="A3735" t="s">
        <v>9616</v>
      </c>
      <c r="C3735" t="s">
        <v>9617</v>
      </c>
      <c r="D3735" t="str">
        <f>"8000431646"</f>
        <v>8000431646</v>
      </c>
      <c r="E3735" t="s">
        <v>9374</v>
      </c>
      <c r="F3735" s="1">
        <v>45301</v>
      </c>
      <c r="G3735" t="str">
        <f>"300220"</f>
        <v>300220</v>
      </c>
      <c r="H3735" t="s">
        <v>2170</v>
      </c>
      <c r="I3735">
        <v>1125151.632</v>
      </c>
    </row>
    <row r="3736" spans="1:9" x14ac:dyDescent="0.25">
      <c r="A3736" t="s">
        <v>9616</v>
      </c>
      <c r="C3736" t="s">
        <v>9617</v>
      </c>
      <c r="D3736" t="s">
        <v>11484</v>
      </c>
      <c r="E3736" t="s">
        <v>9565</v>
      </c>
      <c r="F3736" s="1">
        <v>45306</v>
      </c>
      <c r="G3736" t="str">
        <f>"300133"</f>
        <v>300133</v>
      </c>
      <c r="H3736" t="s">
        <v>2955</v>
      </c>
      <c r="I3736">
        <v>51202.8</v>
      </c>
    </row>
    <row r="3737" spans="1:9" x14ac:dyDescent="0.25">
      <c r="A3737" t="s">
        <v>9616</v>
      </c>
      <c r="C3737" t="s">
        <v>9617</v>
      </c>
      <c r="D3737" t="str">
        <f>"0669"</f>
        <v>0669</v>
      </c>
      <c r="E3737" t="s">
        <v>11471</v>
      </c>
      <c r="F3737" s="1">
        <v>45307</v>
      </c>
      <c r="G3737" t="str">
        <f>"300043"</f>
        <v>300043</v>
      </c>
      <c r="H3737" t="s">
        <v>2876</v>
      </c>
      <c r="I3737">
        <v>4880</v>
      </c>
    </row>
    <row r="3738" spans="1:9" x14ac:dyDescent="0.25">
      <c r="A3738" t="s">
        <v>9616</v>
      </c>
      <c r="C3738" t="s">
        <v>9617</v>
      </c>
      <c r="D3738" t="str">
        <f>"10155712"</f>
        <v>10155712</v>
      </c>
      <c r="E3738" t="s">
        <v>9249</v>
      </c>
      <c r="F3738" s="1">
        <v>45308</v>
      </c>
      <c r="G3738" t="str">
        <f>"300115"</f>
        <v>300115</v>
      </c>
      <c r="H3738" t="s">
        <v>2938</v>
      </c>
      <c r="I3738">
        <v>153706.62450000001</v>
      </c>
    </row>
    <row r="3739" spans="1:9" x14ac:dyDescent="0.25">
      <c r="A3739" t="s">
        <v>9616</v>
      </c>
      <c r="C3739" t="s">
        <v>9617</v>
      </c>
      <c r="D3739" t="str">
        <f>"10155742"</f>
        <v>10155742</v>
      </c>
      <c r="E3739" t="s">
        <v>9189</v>
      </c>
      <c r="F3739" s="1">
        <v>45310</v>
      </c>
      <c r="G3739" t="str">
        <f>"300115"</f>
        <v>300115</v>
      </c>
      <c r="H3739" t="s">
        <v>2938</v>
      </c>
      <c r="I3739">
        <v>375989.22899999999</v>
      </c>
    </row>
    <row r="3740" spans="1:9" x14ac:dyDescent="0.25">
      <c r="A3740" t="s">
        <v>9616</v>
      </c>
      <c r="C3740" t="s">
        <v>9617</v>
      </c>
      <c r="D3740" t="str">
        <f>"10155743"</f>
        <v>10155743</v>
      </c>
      <c r="E3740" t="s">
        <v>9189</v>
      </c>
      <c r="F3740" s="1">
        <v>45310</v>
      </c>
      <c r="G3740" t="str">
        <f>"300115"</f>
        <v>300115</v>
      </c>
      <c r="H3740" t="s">
        <v>2938</v>
      </c>
      <c r="I3740">
        <v>375945.66899999999</v>
      </c>
    </row>
    <row r="3741" spans="1:9" x14ac:dyDescent="0.25">
      <c r="A3741" t="s">
        <v>9616</v>
      </c>
      <c r="C3741" t="s">
        <v>9617</v>
      </c>
      <c r="D3741" t="str">
        <f>"8000432055"</f>
        <v>8000432055</v>
      </c>
      <c r="E3741" t="s">
        <v>11485</v>
      </c>
      <c r="F3741" s="1">
        <v>45310</v>
      </c>
      <c r="G3741" t="str">
        <f>"300220"</f>
        <v>300220</v>
      </c>
      <c r="H3741" t="s">
        <v>2170</v>
      </c>
      <c r="I3741">
        <v>308428.56</v>
      </c>
    </row>
    <row r="3742" spans="1:9" x14ac:dyDescent="0.25">
      <c r="A3742" t="s">
        <v>9616</v>
      </c>
      <c r="C3742" t="s">
        <v>9617</v>
      </c>
      <c r="D3742" t="str">
        <f>"8000432056"</f>
        <v>8000432056</v>
      </c>
      <c r="E3742" t="s">
        <v>10049</v>
      </c>
      <c r="F3742" s="1">
        <v>45310</v>
      </c>
      <c r="G3742" t="str">
        <f>"300220"</f>
        <v>300220</v>
      </c>
      <c r="H3742" t="s">
        <v>2170</v>
      </c>
      <c r="I3742">
        <v>825612.48</v>
      </c>
    </row>
    <row r="3743" spans="1:9" x14ac:dyDescent="0.25">
      <c r="A3743" t="s">
        <v>9616</v>
      </c>
      <c r="C3743" t="s">
        <v>9617</v>
      </c>
      <c r="D3743" t="str">
        <f>"0926"</f>
        <v>0926</v>
      </c>
      <c r="E3743" t="s">
        <v>11471</v>
      </c>
      <c r="F3743" s="1">
        <v>45313</v>
      </c>
      <c r="G3743" t="str">
        <f>"300043"</f>
        <v>300043</v>
      </c>
      <c r="H3743" t="s">
        <v>2876</v>
      </c>
      <c r="I3743">
        <v>4837</v>
      </c>
    </row>
    <row r="3744" spans="1:9" x14ac:dyDescent="0.25">
      <c r="A3744" t="s">
        <v>9616</v>
      </c>
      <c r="C3744" t="s">
        <v>9617</v>
      </c>
      <c r="D3744" t="str">
        <f>"4803"</f>
        <v>4803</v>
      </c>
      <c r="E3744" t="s">
        <v>11486</v>
      </c>
      <c r="F3744" s="1">
        <v>45313</v>
      </c>
      <c r="G3744" t="str">
        <f>"300043"</f>
        <v>300043</v>
      </c>
      <c r="H3744" t="s">
        <v>2876</v>
      </c>
      <c r="I3744">
        <v>1440</v>
      </c>
    </row>
    <row r="3745" spans="1:9" x14ac:dyDescent="0.25">
      <c r="A3745" t="s">
        <v>9616</v>
      </c>
      <c r="C3745" t="s">
        <v>9617</v>
      </c>
      <c r="D3745" t="str">
        <f>"10155773"</f>
        <v>10155773</v>
      </c>
      <c r="E3745" t="s">
        <v>9189</v>
      </c>
      <c r="F3745" s="1">
        <v>45313</v>
      </c>
      <c r="G3745" t="str">
        <f>"300115"</f>
        <v>300115</v>
      </c>
      <c r="H3745" t="s">
        <v>2938</v>
      </c>
      <c r="I3745">
        <v>375945.66899999999</v>
      </c>
    </row>
    <row r="3746" spans="1:9" x14ac:dyDescent="0.25">
      <c r="A3746" t="s">
        <v>9616</v>
      </c>
      <c r="C3746" t="s">
        <v>9617</v>
      </c>
      <c r="D3746" t="str">
        <f>"10155801"</f>
        <v>10155801</v>
      </c>
      <c r="E3746" t="s">
        <v>9189</v>
      </c>
      <c r="F3746" s="1">
        <v>45313</v>
      </c>
      <c r="G3746" t="str">
        <f>"300115"</f>
        <v>300115</v>
      </c>
      <c r="H3746" t="s">
        <v>2938</v>
      </c>
      <c r="I3746">
        <v>375945.66899999999</v>
      </c>
    </row>
    <row r="3747" spans="1:9" x14ac:dyDescent="0.25">
      <c r="A3747" t="s">
        <v>9616</v>
      </c>
      <c r="C3747" t="s">
        <v>9617</v>
      </c>
      <c r="D3747" t="str">
        <f>"4889"</f>
        <v>4889</v>
      </c>
      <c r="E3747" t="s">
        <v>11487</v>
      </c>
      <c r="F3747" s="1">
        <v>45314</v>
      </c>
      <c r="G3747" t="str">
        <f>"300043"</f>
        <v>300043</v>
      </c>
      <c r="H3747" t="s">
        <v>2876</v>
      </c>
      <c r="I3747">
        <v>1437</v>
      </c>
    </row>
    <row r="3748" spans="1:9" x14ac:dyDescent="0.25">
      <c r="A3748" t="s">
        <v>9616</v>
      </c>
      <c r="C3748" t="s">
        <v>9617</v>
      </c>
      <c r="D3748" t="str">
        <f>"4922"</f>
        <v>4922</v>
      </c>
      <c r="E3748" t="s">
        <v>11488</v>
      </c>
      <c r="F3748" s="1">
        <v>45314</v>
      </c>
      <c r="G3748" t="str">
        <f>"300043"</f>
        <v>300043</v>
      </c>
      <c r="H3748" t="s">
        <v>2876</v>
      </c>
      <c r="I3748">
        <v>1437</v>
      </c>
    </row>
    <row r="3749" spans="1:9" x14ac:dyDescent="0.25">
      <c r="A3749" t="s">
        <v>9616</v>
      </c>
      <c r="C3749" t="s">
        <v>9617</v>
      </c>
      <c r="D3749" t="str">
        <f>"10155803"</f>
        <v>10155803</v>
      </c>
      <c r="E3749" t="s">
        <v>11489</v>
      </c>
      <c r="F3749" s="1">
        <v>45314</v>
      </c>
      <c r="G3749" t="str">
        <f>"300115"</f>
        <v>300115</v>
      </c>
      <c r="H3749" t="s">
        <v>2938</v>
      </c>
      <c r="I3749">
        <v>121194.43489999999</v>
      </c>
    </row>
    <row r="3750" spans="1:9" x14ac:dyDescent="0.25">
      <c r="A3750" t="s">
        <v>9616</v>
      </c>
      <c r="C3750" t="s">
        <v>9617</v>
      </c>
      <c r="D3750" t="str">
        <f>"10155804"</f>
        <v>10155804</v>
      </c>
      <c r="E3750" t="s">
        <v>10049</v>
      </c>
      <c r="F3750" s="1">
        <v>45314</v>
      </c>
      <c r="G3750" t="str">
        <f>"300115"</f>
        <v>300115</v>
      </c>
      <c r="H3750" t="s">
        <v>2938</v>
      </c>
      <c r="I3750">
        <v>213738.03</v>
      </c>
    </row>
    <row r="3751" spans="1:9" x14ac:dyDescent="0.25">
      <c r="A3751" t="s">
        <v>9616</v>
      </c>
      <c r="C3751" t="s">
        <v>9617</v>
      </c>
      <c r="D3751" t="str">
        <f>"20014258"</f>
        <v>20014258</v>
      </c>
      <c r="E3751" t="s">
        <v>11490</v>
      </c>
      <c r="F3751" s="1">
        <v>45314</v>
      </c>
      <c r="G3751" t="str">
        <f>"300115"</f>
        <v>300115</v>
      </c>
      <c r="H3751" t="s">
        <v>2938</v>
      </c>
      <c r="I3751">
        <v>220000</v>
      </c>
    </row>
    <row r="3752" spans="1:9" x14ac:dyDescent="0.25">
      <c r="A3752" t="s">
        <v>9616</v>
      </c>
      <c r="C3752" t="s">
        <v>9617</v>
      </c>
      <c r="D3752" t="str">
        <f>"5431"</f>
        <v>5431</v>
      </c>
      <c r="E3752" s="4">
        <v>45292</v>
      </c>
      <c r="F3752" s="1">
        <v>45315</v>
      </c>
      <c r="G3752" t="str">
        <f>"300043"</f>
        <v>300043</v>
      </c>
      <c r="H3752" t="s">
        <v>2876</v>
      </c>
      <c r="I3752">
        <v>671</v>
      </c>
    </row>
    <row r="3753" spans="1:9" x14ac:dyDescent="0.25">
      <c r="A3753" t="s">
        <v>9616</v>
      </c>
      <c r="C3753" t="s">
        <v>9617</v>
      </c>
      <c r="D3753" t="str">
        <f>"5740"</f>
        <v>5740</v>
      </c>
      <c r="E3753" s="4">
        <v>45323</v>
      </c>
      <c r="F3753" s="1">
        <v>45316</v>
      </c>
      <c r="G3753" t="str">
        <f>"300043"</f>
        <v>300043</v>
      </c>
      <c r="H3753" t="s">
        <v>2876</v>
      </c>
      <c r="I3753">
        <v>1272</v>
      </c>
    </row>
    <row r="3754" spans="1:9" x14ac:dyDescent="0.25">
      <c r="A3754" t="s">
        <v>9616</v>
      </c>
      <c r="C3754" t="s">
        <v>9617</v>
      </c>
      <c r="D3754" t="str">
        <f>"5763"</f>
        <v>5763</v>
      </c>
      <c r="E3754" t="s">
        <v>11491</v>
      </c>
      <c r="F3754" s="1">
        <v>45316</v>
      </c>
      <c r="G3754" t="str">
        <f>"300043"</f>
        <v>300043</v>
      </c>
      <c r="H3754" t="s">
        <v>2876</v>
      </c>
      <c r="I3754">
        <v>1440</v>
      </c>
    </row>
    <row r="3755" spans="1:9" x14ac:dyDescent="0.25">
      <c r="A3755" t="s">
        <v>9616</v>
      </c>
      <c r="C3755" t="s">
        <v>9617</v>
      </c>
      <c r="D3755" t="str">
        <f>"202400009"</f>
        <v>202400009</v>
      </c>
      <c r="E3755" t="s">
        <v>11486</v>
      </c>
      <c r="F3755" s="1">
        <v>45316</v>
      </c>
      <c r="G3755" t="str">
        <f>"300191"</f>
        <v>300191</v>
      </c>
      <c r="H3755" t="s">
        <v>3008</v>
      </c>
      <c r="I3755">
        <v>3412.74</v>
      </c>
    </row>
    <row r="3756" spans="1:9" x14ac:dyDescent="0.25">
      <c r="A3756" t="s">
        <v>9616</v>
      </c>
      <c r="C3756" t="s">
        <v>9617</v>
      </c>
      <c r="D3756" t="str">
        <f>"202400480"</f>
        <v>202400480</v>
      </c>
      <c r="E3756" t="s">
        <v>11488</v>
      </c>
      <c r="F3756" s="1">
        <v>45316</v>
      </c>
      <c r="G3756" t="str">
        <f>"300191"</f>
        <v>300191</v>
      </c>
      <c r="H3756" t="s">
        <v>3008</v>
      </c>
      <c r="I3756">
        <v>3241.34</v>
      </c>
    </row>
    <row r="3757" spans="1:9" x14ac:dyDescent="0.25">
      <c r="A3757" t="s">
        <v>9616</v>
      </c>
      <c r="C3757" t="s">
        <v>9617</v>
      </c>
      <c r="D3757" t="str">
        <f>"202400483"</f>
        <v>202400483</v>
      </c>
      <c r="E3757" t="s">
        <v>11487</v>
      </c>
      <c r="F3757" s="1">
        <v>45316</v>
      </c>
      <c r="G3757" t="str">
        <f>"300191"</f>
        <v>300191</v>
      </c>
      <c r="H3757" t="s">
        <v>3008</v>
      </c>
      <c r="I3757">
        <v>3607.84</v>
      </c>
    </row>
    <row r="3758" spans="1:9" x14ac:dyDescent="0.25">
      <c r="A3758" t="s">
        <v>9616</v>
      </c>
      <c r="C3758" t="s">
        <v>9617</v>
      </c>
      <c r="D3758" t="s">
        <v>11492</v>
      </c>
      <c r="E3758" t="s">
        <v>11487</v>
      </c>
      <c r="F3758" s="1">
        <v>45316</v>
      </c>
      <c r="G3758" t="str">
        <f>"300321"</f>
        <v>300321</v>
      </c>
      <c r="H3758" t="s">
        <v>2706</v>
      </c>
      <c r="I3758">
        <v>19000</v>
      </c>
    </row>
    <row r="3759" spans="1:9" x14ac:dyDescent="0.25">
      <c r="A3759" t="s">
        <v>9616</v>
      </c>
      <c r="C3759" t="s">
        <v>9617</v>
      </c>
      <c r="D3759" t="s">
        <v>11493</v>
      </c>
      <c r="E3759" t="s">
        <v>11486</v>
      </c>
      <c r="F3759" s="1">
        <v>45316</v>
      </c>
      <c r="G3759" t="str">
        <f>"300321"</f>
        <v>300321</v>
      </c>
      <c r="H3759" t="s">
        <v>2706</v>
      </c>
      <c r="I3759">
        <v>19000</v>
      </c>
    </row>
    <row r="3760" spans="1:9" x14ac:dyDescent="0.25">
      <c r="A3760" t="s">
        <v>9616</v>
      </c>
      <c r="C3760" t="s">
        <v>9617</v>
      </c>
      <c r="D3760" t="s">
        <v>11494</v>
      </c>
      <c r="E3760" t="s">
        <v>11488</v>
      </c>
      <c r="F3760" s="1">
        <v>45316</v>
      </c>
      <c r="G3760" t="str">
        <f>"300321"</f>
        <v>300321</v>
      </c>
      <c r="H3760" t="s">
        <v>2706</v>
      </c>
      <c r="I3760">
        <v>19000</v>
      </c>
    </row>
    <row r="3761" spans="1:9" x14ac:dyDescent="0.25">
      <c r="A3761" t="s">
        <v>9616</v>
      </c>
      <c r="C3761" t="s">
        <v>9617</v>
      </c>
      <c r="D3761" t="str">
        <f>"6097"</f>
        <v>6097</v>
      </c>
      <c r="E3761" t="s">
        <v>11495</v>
      </c>
      <c r="F3761" s="1">
        <v>45317</v>
      </c>
      <c r="G3761" t="str">
        <f>"300043"</f>
        <v>300043</v>
      </c>
      <c r="H3761" t="s">
        <v>2876</v>
      </c>
      <c r="I3761">
        <v>4050</v>
      </c>
    </row>
    <row r="3762" spans="1:9" x14ac:dyDescent="0.25">
      <c r="A3762" t="s">
        <v>9616</v>
      </c>
      <c r="C3762" t="s">
        <v>9617</v>
      </c>
      <c r="D3762" t="s">
        <v>11496</v>
      </c>
      <c r="E3762" t="s">
        <v>11491</v>
      </c>
      <c r="F3762" s="1">
        <v>45317</v>
      </c>
      <c r="G3762" t="str">
        <f>"300321"</f>
        <v>300321</v>
      </c>
      <c r="H3762" t="s">
        <v>2706</v>
      </c>
      <c r="I3762">
        <v>19000</v>
      </c>
    </row>
    <row r="3763" spans="1:9" x14ac:dyDescent="0.25">
      <c r="A3763" t="s">
        <v>9616</v>
      </c>
      <c r="C3763" t="s">
        <v>9617</v>
      </c>
      <c r="D3763" t="str">
        <f>"2401970124"</f>
        <v>2401970124</v>
      </c>
      <c r="E3763" t="s">
        <v>11497</v>
      </c>
      <c r="F3763" s="1">
        <v>45317</v>
      </c>
      <c r="G3763" t="str">
        <f>"300383"</f>
        <v>300383</v>
      </c>
      <c r="H3763" t="s">
        <v>3120</v>
      </c>
      <c r="I3763">
        <v>12669.75</v>
      </c>
    </row>
    <row r="3764" spans="1:9" x14ac:dyDescent="0.25">
      <c r="A3764" t="s">
        <v>9616</v>
      </c>
      <c r="C3764" t="s">
        <v>9617</v>
      </c>
      <c r="D3764" t="s">
        <v>11498</v>
      </c>
      <c r="E3764" t="s">
        <v>11499</v>
      </c>
      <c r="F3764" s="1">
        <v>45317</v>
      </c>
      <c r="G3764" t="str">
        <f>"300391"</f>
        <v>300391</v>
      </c>
      <c r="H3764" t="s">
        <v>3128</v>
      </c>
      <c r="I3764">
        <v>18258.599999999999</v>
      </c>
    </row>
    <row r="3765" spans="1:9" x14ac:dyDescent="0.25">
      <c r="A3765" t="s">
        <v>9616</v>
      </c>
      <c r="C3765" t="s">
        <v>9617</v>
      </c>
      <c r="D3765" t="str">
        <f>"11852"</f>
        <v>11852</v>
      </c>
      <c r="E3765" t="s">
        <v>11500</v>
      </c>
      <c r="F3765" s="1">
        <v>45321</v>
      </c>
      <c r="G3765" t="str">
        <f>"300043"</f>
        <v>300043</v>
      </c>
      <c r="H3765" t="s">
        <v>2876</v>
      </c>
      <c r="I3765">
        <v>1187</v>
      </c>
    </row>
    <row r="3766" spans="1:9" x14ac:dyDescent="0.25">
      <c r="A3766" t="s">
        <v>9616</v>
      </c>
      <c r="C3766" t="s">
        <v>9617</v>
      </c>
      <c r="D3766" t="s">
        <v>11501</v>
      </c>
      <c r="E3766" t="s">
        <v>11502</v>
      </c>
      <c r="F3766" s="1">
        <v>45321</v>
      </c>
      <c r="G3766" t="str">
        <f>"300344"</f>
        <v>300344</v>
      </c>
      <c r="H3766" t="s">
        <v>3084</v>
      </c>
      <c r="I3766">
        <v>328725.65000000002</v>
      </c>
    </row>
    <row r="3767" spans="1:9" x14ac:dyDescent="0.25">
      <c r="A3767" t="s">
        <v>9616</v>
      </c>
      <c r="C3767" t="s">
        <v>9617</v>
      </c>
      <c r="D3767" t="s">
        <v>11503</v>
      </c>
      <c r="E3767" t="s">
        <v>11504</v>
      </c>
      <c r="F3767" s="1">
        <v>45322</v>
      </c>
      <c r="G3767" t="str">
        <f>"300064"</f>
        <v>300064</v>
      </c>
      <c r="H3767" t="s">
        <v>2896</v>
      </c>
      <c r="I3767">
        <v>27000</v>
      </c>
    </row>
    <row r="3768" spans="1:9" x14ac:dyDescent="0.25">
      <c r="A3768" t="s">
        <v>9616</v>
      </c>
      <c r="C3768" t="s">
        <v>9617</v>
      </c>
      <c r="D3768" t="s">
        <v>11505</v>
      </c>
      <c r="E3768" t="s">
        <v>11504</v>
      </c>
      <c r="F3768" s="1">
        <v>45322</v>
      </c>
      <c r="G3768" t="str">
        <f>"300064"</f>
        <v>300064</v>
      </c>
      <c r="H3768" t="s">
        <v>2896</v>
      </c>
      <c r="I3768">
        <v>81390</v>
      </c>
    </row>
    <row r="3769" spans="1:9" x14ac:dyDescent="0.25">
      <c r="A3769" t="s">
        <v>9616</v>
      </c>
      <c r="C3769" t="s">
        <v>9617</v>
      </c>
      <c r="D3769" t="str">
        <f>"20200600"</f>
        <v>20200600</v>
      </c>
      <c r="E3769" t="s">
        <v>11495</v>
      </c>
      <c r="F3769" s="1">
        <v>45322</v>
      </c>
      <c r="G3769" t="str">
        <f>"300191"</f>
        <v>300191</v>
      </c>
      <c r="H3769" t="s">
        <v>3008</v>
      </c>
      <c r="I3769">
        <v>3241.34</v>
      </c>
    </row>
    <row r="3770" spans="1:9" x14ac:dyDescent="0.25">
      <c r="A3770" t="s">
        <v>9616</v>
      </c>
      <c r="C3770" t="s">
        <v>9617</v>
      </c>
      <c r="D3770" t="str">
        <f>"202400601"</f>
        <v>202400601</v>
      </c>
      <c r="E3770" t="s">
        <v>11491</v>
      </c>
      <c r="F3770" s="1">
        <v>45322</v>
      </c>
      <c r="G3770" t="str">
        <f>"300191"</f>
        <v>300191</v>
      </c>
      <c r="H3770" t="s">
        <v>3008</v>
      </c>
      <c r="I3770">
        <v>3217.64</v>
      </c>
    </row>
    <row r="3771" spans="1:9" x14ac:dyDescent="0.25">
      <c r="A3771" t="s">
        <v>9616</v>
      </c>
      <c r="C3771" t="s">
        <v>9617</v>
      </c>
      <c r="D3771" t="str">
        <f>"202400634"</f>
        <v>202400634</v>
      </c>
      <c r="E3771" t="s">
        <v>11500</v>
      </c>
      <c r="F3771" s="1">
        <v>45322</v>
      </c>
      <c r="G3771" t="str">
        <f>"300191"</f>
        <v>300191</v>
      </c>
      <c r="H3771" t="s">
        <v>3008</v>
      </c>
      <c r="I3771">
        <v>8453.4599999999991</v>
      </c>
    </row>
    <row r="3772" spans="1:9" x14ac:dyDescent="0.25">
      <c r="A3772" t="s">
        <v>9616</v>
      </c>
      <c r="C3772" t="s">
        <v>9617</v>
      </c>
      <c r="D3772" t="s">
        <v>11506</v>
      </c>
      <c r="E3772" t="s">
        <v>11495</v>
      </c>
      <c r="F3772" s="1">
        <v>45322</v>
      </c>
      <c r="G3772" t="str">
        <f>"300321"</f>
        <v>300321</v>
      </c>
      <c r="H3772" t="s">
        <v>2706</v>
      </c>
      <c r="I3772">
        <v>52212.6</v>
      </c>
    </row>
    <row r="3773" spans="1:9" x14ac:dyDescent="0.25">
      <c r="A3773" t="s">
        <v>9616</v>
      </c>
      <c r="C3773" t="s">
        <v>9617</v>
      </c>
      <c r="D3773" t="str">
        <f>"1606"</f>
        <v>1606</v>
      </c>
      <c r="E3773" t="s">
        <v>11471</v>
      </c>
      <c r="F3773" s="1">
        <v>45327</v>
      </c>
      <c r="G3773" t="str">
        <f>"300043"</f>
        <v>300043</v>
      </c>
      <c r="H3773" t="s">
        <v>2876</v>
      </c>
      <c r="I3773">
        <v>3139</v>
      </c>
    </row>
    <row r="3774" spans="1:9" x14ac:dyDescent="0.25">
      <c r="A3774" t="s">
        <v>9616</v>
      </c>
      <c r="C3774" t="s">
        <v>9617</v>
      </c>
      <c r="D3774" t="str">
        <f>"039924"</f>
        <v>039924</v>
      </c>
      <c r="E3774" s="4">
        <v>45292</v>
      </c>
      <c r="F3774" s="1">
        <v>45327</v>
      </c>
      <c r="G3774" t="str">
        <f>"300101"</f>
        <v>300101</v>
      </c>
      <c r="H3774" t="s">
        <v>2926</v>
      </c>
      <c r="I3774">
        <v>4911.3500000000004</v>
      </c>
    </row>
    <row r="3775" spans="1:9" x14ac:dyDescent="0.25">
      <c r="A3775" t="s">
        <v>9616</v>
      </c>
      <c r="C3775" t="s">
        <v>9617</v>
      </c>
      <c r="D3775" t="str">
        <f>"040124"</f>
        <v>040124</v>
      </c>
      <c r="E3775" s="4">
        <v>45323</v>
      </c>
      <c r="F3775" s="1">
        <v>45327</v>
      </c>
      <c r="G3775" t="str">
        <f>"300101"</f>
        <v>300101</v>
      </c>
      <c r="H3775" t="s">
        <v>2926</v>
      </c>
      <c r="I3775">
        <v>3882.95</v>
      </c>
    </row>
    <row r="3776" spans="1:9" x14ac:dyDescent="0.25">
      <c r="A3776" t="s">
        <v>9616</v>
      </c>
      <c r="C3776" t="s">
        <v>9617</v>
      </c>
      <c r="D3776" t="s">
        <v>11507</v>
      </c>
      <c r="E3776" t="s">
        <v>11508</v>
      </c>
      <c r="F3776" s="1">
        <v>45327</v>
      </c>
      <c r="G3776" t="str">
        <f>"300375"</f>
        <v>300375</v>
      </c>
      <c r="H3776" t="s">
        <v>3112</v>
      </c>
      <c r="I3776">
        <v>141728.92360000001</v>
      </c>
    </row>
    <row r="3777" spans="1:9" x14ac:dyDescent="0.25">
      <c r="A3777" t="s">
        <v>9616</v>
      </c>
      <c r="C3777" t="s">
        <v>9617</v>
      </c>
      <c r="D3777" t="s">
        <v>11509</v>
      </c>
      <c r="E3777" t="s">
        <v>11504</v>
      </c>
      <c r="F3777" s="1">
        <v>45329</v>
      </c>
      <c r="G3777" t="str">
        <f>"300064"</f>
        <v>300064</v>
      </c>
      <c r="H3777" t="s">
        <v>2896</v>
      </c>
      <c r="I3777">
        <v>37350</v>
      </c>
    </row>
    <row r="3778" spans="1:9" x14ac:dyDescent="0.25">
      <c r="A3778" t="s">
        <v>9616</v>
      </c>
      <c r="C3778" t="s">
        <v>9617</v>
      </c>
      <c r="D3778" t="s">
        <v>11510</v>
      </c>
      <c r="E3778" t="s">
        <v>9191</v>
      </c>
      <c r="F3778" s="1">
        <v>45329</v>
      </c>
      <c r="G3778" t="str">
        <f>"300237"</f>
        <v>300237</v>
      </c>
      <c r="H3778" t="s">
        <v>3036</v>
      </c>
      <c r="I3778">
        <v>348353.39</v>
      </c>
    </row>
    <row r="3779" spans="1:9" x14ac:dyDescent="0.25">
      <c r="A3779" t="s">
        <v>9616</v>
      </c>
      <c r="C3779" t="s">
        <v>9617</v>
      </c>
      <c r="D3779" t="s">
        <v>11511</v>
      </c>
      <c r="E3779" t="s">
        <v>11512</v>
      </c>
      <c r="F3779" s="1">
        <v>45329</v>
      </c>
      <c r="G3779" t="str">
        <f>"300369"</f>
        <v>300369</v>
      </c>
      <c r="H3779" t="s">
        <v>3106</v>
      </c>
      <c r="I3779">
        <v>132487.74</v>
      </c>
    </row>
    <row r="3780" spans="1:9" x14ac:dyDescent="0.25">
      <c r="A3780" t="s">
        <v>9616</v>
      </c>
      <c r="C3780" t="s">
        <v>9617</v>
      </c>
      <c r="D3780" t="s">
        <v>11513</v>
      </c>
      <c r="E3780" t="s">
        <v>11514</v>
      </c>
      <c r="F3780" s="1">
        <v>45329</v>
      </c>
      <c r="G3780" t="str">
        <f>"300369"</f>
        <v>300369</v>
      </c>
      <c r="H3780" t="s">
        <v>3106</v>
      </c>
      <c r="I3780">
        <v>128828.7</v>
      </c>
    </row>
    <row r="3781" spans="1:9" x14ac:dyDescent="0.25">
      <c r="A3781" t="s">
        <v>9616</v>
      </c>
      <c r="C3781" t="s">
        <v>9617</v>
      </c>
      <c r="D3781" t="str">
        <f>"240003434"</f>
        <v>240003434</v>
      </c>
      <c r="F3781" s="1">
        <v>45330</v>
      </c>
      <c r="G3781" t="str">
        <f>"300344"</f>
        <v>300344</v>
      </c>
      <c r="H3781" t="s">
        <v>3084</v>
      </c>
      <c r="I3781">
        <v>8097.45</v>
      </c>
    </row>
    <row r="3782" spans="1:9" x14ac:dyDescent="0.25">
      <c r="A3782" t="s">
        <v>9616</v>
      </c>
      <c r="C3782" t="s">
        <v>9617</v>
      </c>
      <c r="D3782" t="s">
        <v>11515</v>
      </c>
      <c r="E3782" t="s">
        <v>11516</v>
      </c>
      <c r="F3782" s="1">
        <v>45331</v>
      </c>
      <c r="G3782" t="str">
        <f>"300340"</f>
        <v>300340</v>
      </c>
      <c r="H3782" t="s">
        <v>3080</v>
      </c>
      <c r="I3782">
        <v>3274</v>
      </c>
    </row>
    <row r="3783" spans="1:9" x14ac:dyDescent="0.25">
      <c r="A3783" t="s">
        <v>9616</v>
      </c>
      <c r="C3783" t="s">
        <v>9617</v>
      </c>
      <c r="D3783" t="str">
        <f>"17941"</f>
        <v>17941</v>
      </c>
      <c r="E3783" t="s">
        <v>11497</v>
      </c>
      <c r="F3783" s="1">
        <v>45334</v>
      </c>
      <c r="G3783" t="str">
        <f>"300043"</f>
        <v>300043</v>
      </c>
      <c r="H3783" t="s">
        <v>2876</v>
      </c>
      <c r="I3783">
        <v>272</v>
      </c>
    </row>
    <row r="3784" spans="1:9" x14ac:dyDescent="0.25">
      <c r="A3784" t="s">
        <v>9616</v>
      </c>
      <c r="C3784" t="s">
        <v>9617</v>
      </c>
      <c r="D3784" t="s">
        <v>11517</v>
      </c>
      <c r="E3784" t="s">
        <v>11518</v>
      </c>
      <c r="F3784" s="1">
        <v>45334</v>
      </c>
      <c r="G3784" t="str">
        <f>"300133"</f>
        <v>300133</v>
      </c>
      <c r="H3784" t="s">
        <v>2955</v>
      </c>
      <c r="I3784">
        <v>44928</v>
      </c>
    </row>
    <row r="3785" spans="1:9" x14ac:dyDescent="0.25">
      <c r="A3785" t="s">
        <v>9616</v>
      </c>
      <c r="C3785" t="s">
        <v>9617</v>
      </c>
      <c r="D3785" t="s">
        <v>11519</v>
      </c>
      <c r="E3785" t="s">
        <v>11520</v>
      </c>
      <c r="F3785" s="1">
        <v>45334</v>
      </c>
      <c r="G3785" t="str">
        <f>"300133"</f>
        <v>300133</v>
      </c>
      <c r="H3785" t="s">
        <v>2955</v>
      </c>
      <c r="I3785">
        <v>8520</v>
      </c>
    </row>
    <row r="3786" spans="1:9" x14ac:dyDescent="0.25">
      <c r="A3786" t="s">
        <v>9616</v>
      </c>
      <c r="C3786" t="s">
        <v>9617</v>
      </c>
      <c r="D3786" t="str">
        <f>"14359"</f>
        <v>14359</v>
      </c>
      <c r="E3786" t="s">
        <v>11499</v>
      </c>
      <c r="F3786" s="1">
        <v>45335</v>
      </c>
      <c r="G3786" t="str">
        <f>"300043"</f>
        <v>300043</v>
      </c>
      <c r="H3786" t="s">
        <v>2876</v>
      </c>
      <c r="I3786">
        <v>2021</v>
      </c>
    </row>
    <row r="3787" spans="1:9" x14ac:dyDescent="0.25">
      <c r="A3787" t="s">
        <v>9616</v>
      </c>
      <c r="C3787" t="s">
        <v>9617</v>
      </c>
      <c r="D3787" t="str">
        <f>"13382"</f>
        <v>13382</v>
      </c>
      <c r="E3787" t="s">
        <v>11521</v>
      </c>
      <c r="F3787" s="1">
        <v>45336</v>
      </c>
      <c r="G3787" t="str">
        <f>"300043"</f>
        <v>300043</v>
      </c>
      <c r="H3787" t="s">
        <v>2876</v>
      </c>
      <c r="I3787">
        <v>16115</v>
      </c>
    </row>
    <row r="3788" spans="1:9" x14ac:dyDescent="0.25">
      <c r="A3788" t="s">
        <v>9616</v>
      </c>
      <c r="C3788" t="s">
        <v>9617</v>
      </c>
      <c r="D3788" t="str">
        <f>"202401017"</f>
        <v>202401017</v>
      </c>
      <c r="E3788" t="s">
        <v>11497</v>
      </c>
      <c r="F3788" s="1">
        <v>45336</v>
      </c>
      <c r="G3788" t="str">
        <f>"300191"</f>
        <v>300191</v>
      </c>
      <c r="H3788" t="s">
        <v>3008</v>
      </c>
      <c r="I3788">
        <v>5658.57</v>
      </c>
    </row>
    <row r="3789" spans="1:9" x14ac:dyDescent="0.25">
      <c r="A3789" t="s">
        <v>9616</v>
      </c>
      <c r="C3789" t="s">
        <v>9617</v>
      </c>
      <c r="D3789" t="s">
        <v>11522</v>
      </c>
      <c r="E3789" t="s">
        <v>11504</v>
      </c>
      <c r="F3789" s="1">
        <v>45338</v>
      </c>
      <c r="G3789" t="str">
        <f>"300064"</f>
        <v>300064</v>
      </c>
      <c r="H3789" t="s">
        <v>2896</v>
      </c>
      <c r="I3789">
        <v>12900</v>
      </c>
    </row>
    <row r="3790" spans="1:9" x14ac:dyDescent="0.25">
      <c r="A3790" t="s">
        <v>9616</v>
      </c>
      <c r="C3790" t="s">
        <v>9617</v>
      </c>
      <c r="D3790" t="str">
        <f>"10156404"</f>
        <v>10156404</v>
      </c>
      <c r="E3790" t="s">
        <v>11523</v>
      </c>
      <c r="F3790" s="1">
        <v>45338</v>
      </c>
      <c r="G3790" t="str">
        <f>"300115"</f>
        <v>300115</v>
      </c>
      <c r="H3790" t="s">
        <v>2938</v>
      </c>
      <c r="I3790">
        <v>107343.6562</v>
      </c>
    </row>
    <row r="3791" spans="1:9" x14ac:dyDescent="0.25">
      <c r="A3791" t="s">
        <v>9616</v>
      </c>
      <c r="C3791" t="s">
        <v>9617</v>
      </c>
      <c r="D3791" t="str">
        <f>"10156405"</f>
        <v>10156405</v>
      </c>
      <c r="E3791" t="s">
        <v>10879</v>
      </c>
      <c r="F3791" s="1">
        <v>45338</v>
      </c>
      <c r="G3791" t="str">
        <f>"300115"</f>
        <v>300115</v>
      </c>
      <c r="H3791" t="s">
        <v>2938</v>
      </c>
      <c r="I3791">
        <v>112239.27</v>
      </c>
    </row>
    <row r="3792" spans="1:9" x14ac:dyDescent="0.25">
      <c r="A3792" t="s">
        <v>9616</v>
      </c>
      <c r="C3792" t="s">
        <v>9617</v>
      </c>
      <c r="D3792" t="str">
        <f>"202401084"</f>
        <v>202401084</v>
      </c>
      <c r="E3792" t="s">
        <v>11521</v>
      </c>
      <c r="F3792" s="1">
        <v>45338</v>
      </c>
      <c r="G3792" t="str">
        <f>"300191"</f>
        <v>300191</v>
      </c>
      <c r="H3792" t="s">
        <v>3008</v>
      </c>
      <c r="I3792">
        <v>7388.3</v>
      </c>
    </row>
    <row r="3793" spans="1:9" x14ac:dyDescent="0.25">
      <c r="A3793" t="s">
        <v>9616</v>
      </c>
      <c r="C3793" t="s">
        <v>9617</v>
      </c>
      <c r="D3793" t="str">
        <f>"202401085"</f>
        <v>202401085</v>
      </c>
      <c r="E3793" t="s">
        <v>11499</v>
      </c>
      <c r="F3793" s="1">
        <v>45338</v>
      </c>
      <c r="G3793" t="str">
        <f>"300191"</f>
        <v>300191</v>
      </c>
      <c r="H3793" t="s">
        <v>3008</v>
      </c>
      <c r="I3793">
        <v>36088.17</v>
      </c>
    </row>
    <row r="3794" spans="1:9" x14ac:dyDescent="0.25">
      <c r="A3794" t="s">
        <v>9616</v>
      </c>
      <c r="C3794" t="s">
        <v>9617</v>
      </c>
      <c r="D3794" t="s">
        <v>11524</v>
      </c>
      <c r="E3794" t="s">
        <v>9191</v>
      </c>
      <c r="F3794" s="1">
        <v>45338</v>
      </c>
      <c r="G3794" t="str">
        <f>"300375"</f>
        <v>300375</v>
      </c>
      <c r="H3794" t="s">
        <v>3112</v>
      </c>
      <c r="I3794">
        <v>108764.04</v>
      </c>
    </row>
    <row r="3795" spans="1:9" x14ac:dyDescent="0.25">
      <c r="A3795" t="s">
        <v>9616</v>
      </c>
      <c r="C3795" t="s">
        <v>9617</v>
      </c>
      <c r="D3795" t="str">
        <f>"0820"</f>
        <v>0820</v>
      </c>
      <c r="E3795" t="s">
        <v>11516</v>
      </c>
      <c r="F3795" s="1">
        <v>45341</v>
      </c>
      <c r="G3795" t="str">
        <f>"300043"</f>
        <v>300043</v>
      </c>
      <c r="H3795" t="s">
        <v>2876</v>
      </c>
      <c r="I3795">
        <v>3868</v>
      </c>
    </row>
    <row r="3796" spans="1:9" x14ac:dyDescent="0.25">
      <c r="A3796" t="s">
        <v>9616</v>
      </c>
      <c r="C3796" t="s">
        <v>9617</v>
      </c>
      <c r="D3796" t="str">
        <f>"2410"</f>
        <v>2410</v>
      </c>
      <c r="E3796" t="s">
        <v>11471</v>
      </c>
      <c r="F3796" s="1">
        <v>45342</v>
      </c>
      <c r="G3796" t="str">
        <f>"300043"</f>
        <v>300043</v>
      </c>
      <c r="H3796" t="s">
        <v>2876</v>
      </c>
      <c r="I3796">
        <v>3477</v>
      </c>
    </row>
    <row r="3797" spans="1:9" x14ac:dyDescent="0.25">
      <c r="A3797" t="s">
        <v>9616</v>
      </c>
      <c r="C3797" t="s">
        <v>9617</v>
      </c>
      <c r="D3797" t="str">
        <f>"10156500"</f>
        <v>10156500</v>
      </c>
      <c r="E3797" t="s">
        <v>9249</v>
      </c>
      <c r="F3797" s="1">
        <v>45344</v>
      </c>
      <c r="G3797" t="str">
        <f>"300115"</f>
        <v>300115</v>
      </c>
      <c r="H3797" t="s">
        <v>2938</v>
      </c>
      <c r="I3797">
        <v>153633.48000000001</v>
      </c>
    </row>
    <row r="3798" spans="1:9" x14ac:dyDescent="0.25">
      <c r="A3798" t="s">
        <v>9616</v>
      </c>
      <c r="C3798" t="s">
        <v>9617</v>
      </c>
      <c r="D3798" t="str">
        <f>"10156507"</f>
        <v>10156507</v>
      </c>
      <c r="E3798" t="s">
        <v>2172</v>
      </c>
      <c r="F3798" s="1">
        <v>45344</v>
      </c>
      <c r="G3798" t="str">
        <f>"300115"</f>
        <v>300115</v>
      </c>
      <c r="H3798" t="s">
        <v>2938</v>
      </c>
      <c r="I3798">
        <v>346255.17300000001</v>
      </c>
    </row>
    <row r="3799" spans="1:9" x14ac:dyDescent="0.25">
      <c r="A3799" t="s">
        <v>9616</v>
      </c>
      <c r="C3799" t="s">
        <v>9617</v>
      </c>
      <c r="D3799" t="s">
        <v>11525</v>
      </c>
      <c r="E3799" t="s">
        <v>10339</v>
      </c>
      <c r="F3799" s="1">
        <v>45344</v>
      </c>
      <c r="G3799" t="str">
        <f>"300133"</f>
        <v>300133</v>
      </c>
      <c r="H3799" t="s">
        <v>2955</v>
      </c>
      <c r="I3799">
        <v>49996.800000000003</v>
      </c>
    </row>
    <row r="3800" spans="1:9" x14ac:dyDescent="0.25">
      <c r="A3800" t="s">
        <v>9616</v>
      </c>
      <c r="C3800" t="s">
        <v>9617</v>
      </c>
      <c r="D3800" t="s">
        <v>11526</v>
      </c>
      <c r="E3800" t="s">
        <v>11475</v>
      </c>
      <c r="F3800" s="1">
        <v>45344</v>
      </c>
      <c r="G3800" t="str">
        <f>"300133"</f>
        <v>300133</v>
      </c>
      <c r="H3800" t="s">
        <v>2955</v>
      </c>
      <c r="I3800">
        <v>37982.400000000001</v>
      </c>
    </row>
    <row r="3801" spans="1:9" x14ac:dyDescent="0.25">
      <c r="A3801" t="s">
        <v>9616</v>
      </c>
      <c r="C3801" t="s">
        <v>9617</v>
      </c>
      <c r="D3801" t="str">
        <f>"800433700"</f>
        <v>800433700</v>
      </c>
      <c r="E3801" t="s">
        <v>11527</v>
      </c>
      <c r="F3801" s="1">
        <v>45344</v>
      </c>
      <c r="G3801" t="str">
        <f>"300220"</f>
        <v>300220</v>
      </c>
      <c r="H3801" t="s">
        <v>2170</v>
      </c>
      <c r="I3801">
        <v>1084960.8</v>
      </c>
    </row>
    <row r="3802" spans="1:9" x14ac:dyDescent="0.25">
      <c r="A3802" t="s">
        <v>9616</v>
      </c>
      <c r="C3802" t="s">
        <v>9617</v>
      </c>
      <c r="D3802" t="str">
        <f>"10156534"</f>
        <v>10156534</v>
      </c>
      <c r="E3802" t="s">
        <v>9189</v>
      </c>
      <c r="F3802" s="1">
        <v>45345</v>
      </c>
      <c r="G3802" t="str">
        <f>"300115"</f>
        <v>300115</v>
      </c>
      <c r="H3802" t="s">
        <v>2938</v>
      </c>
      <c r="I3802">
        <v>346254.57900000003</v>
      </c>
    </row>
    <row r="3803" spans="1:9" x14ac:dyDescent="0.25">
      <c r="A3803" t="s">
        <v>9616</v>
      </c>
      <c r="C3803" t="s">
        <v>9617</v>
      </c>
      <c r="D3803" t="str">
        <f>"14340"</f>
        <v>14340</v>
      </c>
      <c r="E3803" t="s">
        <v>11528</v>
      </c>
      <c r="F3803" s="1">
        <v>45346</v>
      </c>
      <c r="G3803" t="str">
        <f>"300043"</f>
        <v>300043</v>
      </c>
      <c r="H3803" t="s">
        <v>2876</v>
      </c>
      <c r="I3803">
        <v>1343</v>
      </c>
    </row>
    <row r="3804" spans="1:9" x14ac:dyDescent="0.25">
      <c r="A3804" t="s">
        <v>9616</v>
      </c>
      <c r="C3804" t="s">
        <v>9617</v>
      </c>
      <c r="D3804" t="str">
        <f>"13830"</f>
        <v>13830</v>
      </c>
      <c r="E3804" s="4">
        <v>45352</v>
      </c>
      <c r="F3804" s="1">
        <v>45348</v>
      </c>
      <c r="G3804" t="str">
        <f>"300043"</f>
        <v>300043</v>
      </c>
      <c r="H3804" t="s">
        <v>2876</v>
      </c>
      <c r="I3804">
        <v>893</v>
      </c>
    </row>
    <row r="3805" spans="1:9" x14ac:dyDescent="0.25">
      <c r="A3805" t="s">
        <v>9616</v>
      </c>
      <c r="C3805" t="s">
        <v>9617</v>
      </c>
      <c r="D3805" t="str">
        <f>"14606"</f>
        <v>14606</v>
      </c>
      <c r="E3805" t="s">
        <v>11529</v>
      </c>
      <c r="F3805" s="1">
        <v>45348</v>
      </c>
      <c r="G3805" t="str">
        <f>"300043"</f>
        <v>300043</v>
      </c>
      <c r="H3805" t="s">
        <v>2876</v>
      </c>
      <c r="I3805">
        <v>1345</v>
      </c>
    </row>
    <row r="3806" spans="1:9" x14ac:dyDescent="0.25">
      <c r="A3806" t="s">
        <v>9616</v>
      </c>
      <c r="C3806" t="s">
        <v>9617</v>
      </c>
      <c r="D3806" t="str">
        <f>"202401372"</f>
        <v>202401372</v>
      </c>
      <c r="E3806" t="s">
        <v>11528</v>
      </c>
      <c r="F3806" s="1">
        <v>45348</v>
      </c>
      <c r="G3806" t="str">
        <f>"300191"</f>
        <v>300191</v>
      </c>
      <c r="H3806" t="s">
        <v>3008</v>
      </c>
      <c r="I3806">
        <v>3312.44</v>
      </c>
    </row>
    <row r="3807" spans="1:9" x14ac:dyDescent="0.25">
      <c r="A3807" t="s">
        <v>9616</v>
      </c>
      <c r="C3807" t="s">
        <v>9617</v>
      </c>
      <c r="D3807" t="s">
        <v>11530</v>
      </c>
      <c r="E3807" t="s">
        <v>11531</v>
      </c>
      <c r="F3807" s="1">
        <v>45348</v>
      </c>
      <c r="G3807" t="str">
        <f>"300371"</f>
        <v>300371</v>
      </c>
      <c r="H3807" t="s">
        <v>3108</v>
      </c>
      <c r="I3807">
        <v>35990.800000000003</v>
      </c>
    </row>
    <row r="3808" spans="1:9" x14ac:dyDescent="0.25">
      <c r="A3808" t="s">
        <v>9616</v>
      </c>
      <c r="C3808" t="s">
        <v>9617</v>
      </c>
      <c r="D3808" t="s">
        <v>11532</v>
      </c>
      <c r="E3808" t="s">
        <v>11533</v>
      </c>
      <c r="F3808" s="1">
        <v>45348</v>
      </c>
      <c r="G3808" t="str">
        <f>"300371"</f>
        <v>300371</v>
      </c>
      <c r="H3808" t="s">
        <v>3108</v>
      </c>
      <c r="I3808">
        <v>34004.44</v>
      </c>
    </row>
    <row r="3809" spans="1:9" x14ac:dyDescent="0.25">
      <c r="A3809" t="s">
        <v>9616</v>
      </c>
      <c r="C3809" t="s">
        <v>9617</v>
      </c>
      <c r="D3809" t="str">
        <f>"2807"</f>
        <v>2807</v>
      </c>
      <c r="E3809" t="s">
        <v>11471</v>
      </c>
      <c r="F3809" s="1">
        <v>45349</v>
      </c>
      <c r="G3809" t="str">
        <f>"300043"</f>
        <v>300043</v>
      </c>
      <c r="H3809" t="s">
        <v>2876</v>
      </c>
      <c r="I3809">
        <v>4226</v>
      </c>
    </row>
    <row r="3810" spans="1:9" x14ac:dyDescent="0.25">
      <c r="A3810" t="s">
        <v>9616</v>
      </c>
      <c r="C3810" t="s">
        <v>9617</v>
      </c>
      <c r="D3810" t="str">
        <f>"15144"</f>
        <v>15144</v>
      </c>
      <c r="E3810" s="4">
        <v>45383</v>
      </c>
      <c r="F3810" s="1">
        <v>45349</v>
      </c>
      <c r="G3810" t="str">
        <f>"300043"</f>
        <v>300043</v>
      </c>
      <c r="H3810" t="s">
        <v>2876</v>
      </c>
      <c r="I3810">
        <v>673</v>
      </c>
    </row>
    <row r="3811" spans="1:9" x14ac:dyDescent="0.25">
      <c r="A3811" t="s">
        <v>9616</v>
      </c>
      <c r="C3811" t="s">
        <v>9617</v>
      </c>
      <c r="D3811" t="str">
        <f>"24801"</f>
        <v>24801</v>
      </c>
      <c r="E3811" t="s">
        <v>11534</v>
      </c>
      <c r="F3811" s="1">
        <v>45349</v>
      </c>
      <c r="G3811" t="str">
        <f>"300043"</f>
        <v>300043</v>
      </c>
      <c r="H3811" t="s">
        <v>2876</v>
      </c>
      <c r="I3811">
        <v>760</v>
      </c>
    </row>
    <row r="3812" spans="1:9" x14ac:dyDescent="0.25">
      <c r="A3812" t="s">
        <v>9616</v>
      </c>
      <c r="C3812" t="s">
        <v>9617</v>
      </c>
      <c r="D3812" t="s">
        <v>11535</v>
      </c>
      <c r="E3812" t="s">
        <v>11528</v>
      </c>
      <c r="F3812" s="1">
        <v>45349</v>
      </c>
      <c r="G3812" t="str">
        <f>"300321"</f>
        <v>300321</v>
      </c>
      <c r="H3812" t="s">
        <v>2706</v>
      </c>
      <c r="I3812">
        <v>19000</v>
      </c>
    </row>
    <row r="3813" spans="1:9" x14ac:dyDescent="0.25">
      <c r="A3813" t="s">
        <v>9616</v>
      </c>
      <c r="C3813" t="s">
        <v>9617</v>
      </c>
      <c r="D3813" t="s">
        <v>11536</v>
      </c>
      <c r="E3813" t="s">
        <v>11529</v>
      </c>
      <c r="F3813" s="1">
        <v>45349</v>
      </c>
      <c r="G3813" t="str">
        <f>"300321"</f>
        <v>300321</v>
      </c>
      <c r="H3813" t="s">
        <v>2706</v>
      </c>
      <c r="I3813">
        <v>19000</v>
      </c>
    </row>
    <row r="3814" spans="1:9" x14ac:dyDescent="0.25">
      <c r="A3814" t="s">
        <v>9616</v>
      </c>
      <c r="C3814" t="s">
        <v>9617</v>
      </c>
      <c r="D3814" t="str">
        <f>"242200092"</f>
        <v>242200092</v>
      </c>
      <c r="E3814" t="s">
        <v>10879</v>
      </c>
      <c r="F3814" s="1">
        <v>45349</v>
      </c>
      <c r="G3814" t="str">
        <f>"300373"</f>
        <v>300373</v>
      </c>
      <c r="H3814" t="s">
        <v>3110</v>
      </c>
      <c r="I3814">
        <v>230111.64</v>
      </c>
    </row>
    <row r="3815" spans="1:9" x14ac:dyDescent="0.25">
      <c r="A3815" t="s">
        <v>9616</v>
      </c>
      <c r="C3815" t="s">
        <v>9617</v>
      </c>
      <c r="D3815" t="str">
        <f>"242200093"</f>
        <v>242200093</v>
      </c>
      <c r="E3815" t="s">
        <v>9633</v>
      </c>
      <c r="F3815" s="1">
        <v>45349</v>
      </c>
      <c r="G3815" t="str">
        <f>"300373"</f>
        <v>300373</v>
      </c>
      <c r="H3815" t="s">
        <v>3110</v>
      </c>
      <c r="I3815">
        <v>230111.64</v>
      </c>
    </row>
    <row r="3816" spans="1:9" x14ac:dyDescent="0.25">
      <c r="A3816" t="s">
        <v>9616</v>
      </c>
      <c r="C3816" t="s">
        <v>9617</v>
      </c>
      <c r="D3816" t="str">
        <f>"26320"</f>
        <v>26320</v>
      </c>
      <c r="E3816" t="s">
        <v>11537</v>
      </c>
      <c r="F3816" s="1">
        <v>45351</v>
      </c>
      <c r="G3816" t="str">
        <f>"300043"</f>
        <v>300043</v>
      </c>
      <c r="H3816" t="s">
        <v>2876</v>
      </c>
      <c r="I3816">
        <v>1269</v>
      </c>
    </row>
    <row r="3817" spans="1:9" x14ac:dyDescent="0.25">
      <c r="A3817" t="s">
        <v>9616</v>
      </c>
      <c r="C3817" t="s">
        <v>9617</v>
      </c>
      <c r="D3817" t="str">
        <f>"202401462"</f>
        <v>202401462</v>
      </c>
      <c r="E3817" t="s">
        <v>11529</v>
      </c>
      <c r="F3817" s="1">
        <v>45351</v>
      </c>
      <c r="G3817" t="str">
        <f>"300191"</f>
        <v>300191</v>
      </c>
      <c r="H3817" t="s">
        <v>3008</v>
      </c>
      <c r="I3817">
        <v>3412.74</v>
      </c>
    </row>
    <row r="3818" spans="1:9" x14ac:dyDescent="0.25">
      <c r="A3818" t="s">
        <v>9616</v>
      </c>
      <c r="C3818" t="s">
        <v>9617</v>
      </c>
      <c r="D3818" t="str">
        <f>"202401479"</f>
        <v>202401479</v>
      </c>
      <c r="E3818" t="s">
        <v>11534</v>
      </c>
      <c r="F3818" s="1">
        <v>45351</v>
      </c>
      <c r="G3818" t="str">
        <f>"300191"</f>
        <v>300191</v>
      </c>
      <c r="H3818" t="s">
        <v>3008</v>
      </c>
      <c r="I3818">
        <v>9863.26</v>
      </c>
    </row>
    <row r="3819" spans="1:9" x14ac:dyDescent="0.25">
      <c r="A3819" t="s">
        <v>9616</v>
      </c>
      <c r="C3819" t="s">
        <v>9617</v>
      </c>
      <c r="D3819" t="str">
        <f>"202401544"</f>
        <v>202401544</v>
      </c>
      <c r="E3819" t="s">
        <v>11516</v>
      </c>
      <c r="F3819" s="1">
        <v>45351</v>
      </c>
      <c r="G3819" t="str">
        <f>"300191"</f>
        <v>300191</v>
      </c>
      <c r="H3819" t="s">
        <v>3008</v>
      </c>
      <c r="I3819">
        <v>5470.97</v>
      </c>
    </row>
    <row r="3820" spans="1:9" x14ac:dyDescent="0.25">
      <c r="A3820" t="s">
        <v>9616</v>
      </c>
      <c r="C3820" t="s">
        <v>9617</v>
      </c>
      <c r="D3820" t="s">
        <v>11538</v>
      </c>
      <c r="E3820" t="s">
        <v>9191</v>
      </c>
      <c r="F3820" s="1">
        <v>45351</v>
      </c>
      <c r="G3820" t="str">
        <f>"300237"</f>
        <v>300237</v>
      </c>
      <c r="H3820" t="s">
        <v>3036</v>
      </c>
      <c r="I3820">
        <v>277016.57500000001</v>
      </c>
    </row>
    <row r="3821" spans="1:9" x14ac:dyDescent="0.25">
      <c r="A3821" t="s">
        <v>9616</v>
      </c>
      <c r="C3821" t="s">
        <v>9617</v>
      </c>
      <c r="D3821" t="str">
        <f>"10156687"</f>
        <v>10156687</v>
      </c>
      <c r="E3821" t="s">
        <v>9633</v>
      </c>
      <c r="F3821" s="1">
        <v>45352</v>
      </c>
      <c r="G3821" t="str">
        <f>"300115"</f>
        <v>300115</v>
      </c>
      <c r="H3821" t="s">
        <v>2938</v>
      </c>
      <c r="I3821">
        <v>84017.755799999999</v>
      </c>
    </row>
    <row r="3822" spans="1:9" x14ac:dyDescent="0.25">
      <c r="A3822" t="s">
        <v>9616</v>
      </c>
      <c r="C3822" t="s">
        <v>9617</v>
      </c>
      <c r="D3822" t="str">
        <f>"10156688"</f>
        <v>10156688</v>
      </c>
      <c r="E3822" t="s">
        <v>10049</v>
      </c>
      <c r="F3822" s="1">
        <v>45352</v>
      </c>
      <c r="G3822" t="str">
        <f>"300115"</f>
        <v>300115</v>
      </c>
      <c r="H3822" t="s">
        <v>2938</v>
      </c>
      <c r="I3822">
        <v>263354.63</v>
      </c>
    </row>
    <row r="3823" spans="1:9" x14ac:dyDescent="0.25">
      <c r="A3823" t="s">
        <v>9616</v>
      </c>
      <c r="C3823" t="s">
        <v>9617</v>
      </c>
      <c r="D3823" t="s">
        <v>11539</v>
      </c>
      <c r="E3823" t="s">
        <v>11512</v>
      </c>
      <c r="F3823" s="1">
        <v>45352</v>
      </c>
      <c r="G3823" t="str">
        <f>"300375"</f>
        <v>300375</v>
      </c>
      <c r="H3823" t="s">
        <v>3112</v>
      </c>
      <c r="I3823">
        <v>157320.9792</v>
      </c>
    </row>
    <row r="3824" spans="1:9" x14ac:dyDescent="0.25">
      <c r="A3824" t="s">
        <v>9616</v>
      </c>
      <c r="C3824" t="s">
        <v>9617</v>
      </c>
      <c r="D3824" t="s">
        <v>11540</v>
      </c>
      <c r="E3824" s="2">
        <v>46027</v>
      </c>
      <c r="F3824" s="1">
        <v>45355</v>
      </c>
      <c r="G3824" t="str">
        <f>"300064"</f>
        <v>300064</v>
      </c>
      <c r="H3824" t="s">
        <v>2896</v>
      </c>
      <c r="I3824">
        <v>132020</v>
      </c>
    </row>
    <row r="3825" spans="1:9" x14ac:dyDescent="0.25">
      <c r="A3825" t="s">
        <v>9616</v>
      </c>
      <c r="C3825" t="s">
        <v>9617</v>
      </c>
      <c r="D3825" t="str">
        <f>"10156714"</f>
        <v>10156714</v>
      </c>
      <c r="E3825" t="s">
        <v>9189</v>
      </c>
      <c r="F3825" s="1">
        <v>45355</v>
      </c>
      <c r="G3825" t="str">
        <f>"300115"</f>
        <v>300115</v>
      </c>
      <c r="H3825" t="s">
        <v>2938</v>
      </c>
      <c r="I3825">
        <v>346254.57900000003</v>
      </c>
    </row>
    <row r="3826" spans="1:9" x14ac:dyDescent="0.25">
      <c r="A3826" t="s">
        <v>9616</v>
      </c>
      <c r="C3826" t="s">
        <v>9617</v>
      </c>
      <c r="D3826" t="str">
        <f>"202401548"</f>
        <v>202401548</v>
      </c>
      <c r="E3826" t="s">
        <v>11537</v>
      </c>
      <c r="F3826" s="1">
        <v>45355</v>
      </c>
      <c r="G3826" t="str">
        <f>"300191"</f>
        <v>300191</v>
      </c>
      <c r="H3826" t="s">
        <v>3008</v>
      </c>
      <c r="I3826">
        <v>7714.18</v>
      </c>
    </row>
    <row r="3827" spans="1:9" x14ac:dyDescent="0.25">
      <c r="A3827" t="s">
        <v>9616</v>
      </c>
      <c r="C3827" t="s">
        <v>9617</v>
      </c>
      <c r="D3827" t="str">
        <f>"80178080"</f>
        <v>80178080</v>
      </c>
      <c r="E3827" t="s">
        <v>9335</v>
      </c>
      <c r="F3827" s="1">
        <v>45355</v>
      </c>
      <c r="G3827" t="str">
        <f>"300381"</f>
        <v>300381</v>
      </c>
      <c r="H3827" t="s">
        <v>3118</v>
      </c>
      <c r="I3827">
        <v>333934.96950000001</v>
      </c>
    </row>
    <row r="3828" spans="1:9" x14ac:dyDescent="0.25">
      <c r="A3828" t="s">
        <v>9616</v>
      </c>
      <c r="C3828" t="s">
        <v>9617</v>
      </c>
      <c r="D3828" t="str">
        <f>"17424"</f>
        <v>17424</v>
      </c>
      <c r="E3828" t="s">
        <v>11541</v>
      </c>
      <c r="F3828" s="1">
        <v>45356</v>
      </c>
      <c r="G3828" t="str">
        <f>"300043"</f>
        <v>300043</v>
      </c>
      <c r="H3828" t="s">
        <v>2876</v>
      </c>
      <c r="I3828">
        <v>1349</v>
      </c>
    </row>
    <row r="3829" spans="1:9" x14ac:dyDescent="0.25">
      <c r="A3829" t="s">
        <v>9616</v>
      </c>
      <c r="C3829" t="s">
        <v>9617</v>
      </c>
      <c r="D3829" t="str">
        <f>"17579"</f>
        <v>17579</v>
      </c>
      <c r="E3829" t="s">
        <v>11542</v>
      </c>
      <c r="F3829" s="1">
        <v>45356</v>
      </c>
      <c r="G3829" t="str">
        <f>"300043"</f>
        <v>300043</v>
      </c>
      <c r="H3829" t="s">
        <v>2876</v>
      </c>
      <c r="I3829">
        <v>1352</v>
      </c>
    </row>
    <row r="3830" spans="1:9" x14ac:dyDescent="0.25">
      <c r="A3830" t="s">
        <v>9616</v>
      </c>
      <c r="C3830" t="s">
        <v>9617</v>
      </c>
      <c r="D3830" t="str">
        <f>"27676"</f>
        <v>27676</v>
      </c>
      <c r="E3830" t="s">
        <v>11531</v>
      </c>
      <c r="F3830" s="1">
        <v>45356</v>
      </c>
      <c r="G3830" t="str">
        <f>"300043"</f>
        <v>300043</v>
      </c>
      <c r="H3830" t="s">
        <v>2876</v>
      </c>
      <c r="I3830">
        <v>3113</v>
      </c>
    </row>
    <row r="3831" spans="1:9" x14ac:dyDescent="0.25">
      <c r="A3831" t="s">
        <v>9616</v>
      </c>
      <c r="C3831" t="s">
        <v>9617</v>
      </c>
      <c r="D3831" t="str">
        <f>"27693"</f>
        <v>27693</v>
      </c>
      <c r="E3831" t="s">
        <v>11533</v>
      </c>
      <c r="F3831" s="1">
        <v>45356</v>
      </c>
      <c r="G3831" t="str">
        <f>"300043"</f>
        <v>300043</v>
      </c>
      <c r="H3831" t="s">
        <v>2876</v>
      </c>
      <c r="I3831">
        <v>988</v>
      </c>
    </row>
    <row r="3832" spans="1:9" x14ac:dyDescent="0.25">
      <c r="A3832" t="s">
        <v>9616</v>
      </c>
      <c r="C3832" t="s">
        <v>9617</v>
      </c>
      <c r="D3832" t="str">
        <f>"80177914"</f>
        <v>80177914</v>
      </c>
      <c r="E3832" t="s">
        <v>9189</v>
      </c>
      <c r="F3832" s="1">
        <v>45356</v>
      </c>
      <c r="G3832" t="str">
        <f>"300381"</f>
        <v>300381</v>
      </c>
      <c r="H3832" t="s">
        <v>3118</v>
      </c>
      <c r="I3832">
        <v>333934.96950000001</v>
      </c>
    </row>
    <row r="3833" spans="1:9" x14ac:dyDescent="0.25">
      <c r="A3833" t="s">
        <v>9616</v>
      </c>
      <c r="C3833" t="s">
        <v>9617</v>
      </c>
      <c r="D3833" t="s">
        <v>11543</v>
      </c>
      <c r="E3833" s="2">
        <v>46116</v>
      </c>
      <c r="F3833" s="1">
        <v>45357</v>
      </c>
      <c r="G3833" t="str">
        <f>"300064"</f>
        <v>300064</v>
      </c>
      <c r="H3833" t="s">
        <v>2896</v>
      </c>
      <c r="I3833">
        <v>195510</v>
      </c>
    </row>
    <row r="3834" spans="1:9" x14ac:dyDescent="0.25">
      <c r="A3834" t="s">
        <v>9616</v>
      </c>
      <c r="C3834" t="s">
        <v>9617</v>
      </c>
      <c r="D3834" t="str">
        <f>"202401608"</f>
        <v>202401608</v>
      </c>
      <c r="E3834" t="s">
        <v>11541</v>
      </c>
      <c r="F3834" s="1">
        <v>45357</v>
      </c>
      <c r="G3834" t="str">
        <f>"300191"</f>
        <v>300191</v>
      </c>
      <c r="H3834" t="s">
        <v>3008</v>
      </c>
      <c r="I3834">
        <v>3288.74</v>
      </c>
    </row>
    <row r="3835" spans="1:9" x14ac:dyDescent="0.25">
      <c r="A3835" t="s">
        <v>9616</v>
      </c>
      <c r="C3835" t="s">
        <v>9617</v>
      </c>
      <c r="D3835" t="str">
        <f>"202401617"</f>
        <v>202401617</v>
      </c>
      <c r="E3835" t="s">
        <v>11531</v>
      </c>
      <c r="F3835" s="1">
        <v>45357</v>
      </c>
      <c r="G3835" t="str">
        <f>"300191"</f>
        <v>300191</v>
      </c>
      <c r="H3835" t="s">
        <v>3008</v>
      </c>
      <c r="I3835">
        <v>4174.5</v>
      </c>
    </row>
    <row r="3836" spans="1:9" x14ac:dyDescent="0.25">
      <c r="A3836" t="s">
        <v>9616</v>
      </c>
      <c r="C3836" t="s">
        <v>9617</v>
      </c>
      <c r="D3836" t="s">
        <v>11544</v>
      </c>
      <c r="E3836" t="s">
        <v>11541</v>
      </c>
      <c r="F3836" s="1">
        <v>45357</v>
      </c>
      <c r="G3836" t="str">
        <f>"300321"</f>
        <v>300321</v>
      </c>
      <c r="H3836" t="s">
        <v>2706</v>
      </c>
      <c r="I3836">
        <v>19000</v>
      </c>
    </row>
    <row r="3837" spans="1:9" x14ac:dyDescent="0.25">
      <c r="A3837" t="s">
        <v>9616</v>
      </c>
      <c r="C3837" t="s">
        <v>9617</v>
      </c>
      <c r="D3837" t="str">
        <f>"80177982"</f>
        <v>80177982</v>
      </c>
      <c r="E3837" t="s">
        <v>9335</v>
      </c>
      <c r="F3837" s="1">
        <v>45357</v>
      </c>
      <c r="G3837" t="str">
        <f>"300381"</f>
        <v>300381</v>
      </c>
      <c r="H3837" t="s">
        <v>3118</v>
      </c>
      <c r="I3837">
        <v>333934.96950000001</v>
      </c>
    </row>
    <row r="3838" spans="1:9" x14ac:dyDescent="0.25">
      <c r="A3838" t="s">
        <v>9616</v>
      </c>
      <c r="C3838" t="s">
        <v>9617</v>
      </c>
      <c r="D3838" t="s">
        <v>11545</v>
      </c>
      <c r="E3838" t="s">
        <v>11546</v>
      </c>
      <c r="F3838" s="1">
        <v>45358</v>
      </c>
      <c r="G3838" t="str">
        <f>"300133"</f>
        <v>300133</v>
      </c>
      <c r="H3838" t="s">
        <v>2955</v>
      </c>
      <c r="I3838">
        <v>37880.699999999997</v>
      </c>
    </row>
    <row r="3839" spans="1:9" x14ac:dyDescent="0.25">
      <c r="A3839" t="s">
        <v>9616</v>
      </c>
      <c r="C3839" t="s">
        <v>9617</v>
      </c>
      <c r="D3839" t="s">
        <v>11547</v>
      </c>
      <c r="E3839" t="s">
        <v>10339</v>
      </c>
      <c r="F3839" s="1">
        <v>45358</v>
      </c>
      <c r="G3839" t="str">
        <f>"300133"</f>
        <v>300133</v>
      </c>
      <c r="H3839" t="s">
        <v>2955</v>
      </c>
      <c r="I3839">
        <v>58406.400000000001</v>
      </c>
    </row>
    <row r="3840" spans="1:9" x14ac:dyDescent="0.25">
      <c r="A3840" t="s">
        <v>9616</v>
      </c>
      <c r="C3840" t="s">
        <v>9617</v>
      </c>
      <c r="D3840" t="str">
        <f>"202401647"</f>
        <v>202401647</v>
      </c>
      <c r="E3840" t="s">
        <v>11542</v>
      </c>
      <c r="F3840" s="1">
        <v>45358</v>
      </c>
      <c r="G3840" t="str">
        <f>"300191"</f>
        <v>300191</v>
      </c>
      <c r="H3840" t="s">
        <v>3008</v>
      </c>
      <c r="I3840">
        <v>3312.44</v>
      </c>
    </row>
    <row r="3841" spans="1:9" x14ac:dyDescent="0.25">
      <c r="A3841" t="s">
        <v>9616</v>
      </c>
      <c r="C3841" t="s">
        <v>9617</v>
      </c>
      <c r="D3841" t="s">
        <v>11548</v>
      </c>
      <c r="E3841" t="s">
        <v>11542</v>
      </c>
      <c r="F3841" s="1">
        <v>45358</v>
      </c>
      <c r="G3841" t="str">
        <f>"300321"</f>
        <v>300321</v>
      </c>
      <c r="H3841" t="s">
        <v>2706</v>
      </c>
      <c r="I3841">
        <v>19000</v>
      </c>
    </row>
    <row r="3842" spans="1:9" x14ac:dyDescent="0.25">
      <c r="A3842" t="s">
        <v>9616</v>
      </c>
      <c r="C3842" t="s">
        <v>9617</v>
      </c>
      <c r="D3842" t="str">
        <f>"21610"</f>
        <v>21610</v>
      </c>
      <c r="E3842" t="s">
        <v>11549</v>
      </c>
      <c r="F3842" s="1">
        <v>45359</v>
      </c>
      <c r="G3842" t="str">
        <f>"300043"</f>
        <v>300043</v>
      </c>
      <c r="H3842" t="s">
        <v>2876</v>
      </c>
      <c r="I3842">
        <v>274</v>
      </c>
    </row>
    <row r="3843" spans="1:9" x14ac:dyDescent="0.25">
      <c r="A3843" t="s">
        <v>9616</v>
      </c>
      <c r="C3843" t="s">
        <v>9617</v>
      </c>
      <c r="D3843" t="str">
        <f>"202401675"</f>
        <v>202401675</v>
      </c>
      <c r="E3843" t="s">
        <v>11533</v>
      </c>
      <c r="F3843" s="1">
        <v>45359</v>
      </c>
      <c r="G3843" t="str">
        <f>"300191"</f>
        <v>300191</v>
      </c>
      <c r="H3843" t="s">
        <v>3008</v>
      </c>
      <c r="I3843">
        <v>4157.22</v>
      </c>
    </row>
    <row r="3844" spans="1:9" x14ac:dyDescent="0.25">
      <c r="A3844" t="s">
        <v>9616</v>
      </c>
      <c r="C3844" t="s">
        <v>9617</v>
      </c>
      <c r="D3844" t="str">
        <f>"202401713"</f>
        <v>202401713</v>
      </c>
      <c r="E3844" t="s">
        <v>11549</v>
      </c>
      <c r="F3844" s="1">
        <v>45360</v>
      </c>
      <c r="G3844" t="str">
        <f>"300191"</f>
        <v>300191</v>
      </c>
      <c r="H3844" t="s">
        <v>3008</v>
      </c>
      <c r="I3844">
        <v>2278.66</v>
      </c>
    </row>
    <row r="3845" spans="1:9" x14ac:dyDescent="0.25">
      <c r="A3845" t="s">
        <v>9616</v>
      </c>
      <c r="C3845" t="s">
        <v>9617</v>
      </c>
      <c r="D3845" t="s">
        <v>11550</v>
      </c>
      <c r="E3845" t="s">
        <v>9191</v>
      </c>
      <c r="F3845" s="1">
        <v>45360</v>
      </c>
      <c r="G3845" t="str">
        <f>"300375"</f>
        <v>300375</v>
      </c>
      <c r="H3845" t="s">
        <v>3112</v>
      </c>
      <c r="I3845">
        <v>171950.9792</v>
      </c>
    </row>
    <row r="3846" spans="1:9" x14ac:dyDescent="0.25">
      <c r="A3846" t="s">
        <v>9616</v>
      </c>
      <c r="C3846" t="s">
        <v>9617</v>
      </c>
      <c r="D3846" t="str">
        <f>"18776"</f>
        <v>18776</v>
      </c>
      <c r="E3846" t="s">
        <v>11551</v>
      </c>
      <c r="F3846" s="1">
        <v>45362</v>
      </c>
      <c r="G3846" t="str">
        <f>"300043"</f>
        <v>300043</v>
      </c>
      <c r="H3846" t="s">
        <v>2876</v>
      </c>
      <c r="I3846">
        <v>1341</v>
      </c>
    </row>
    <row r="3847" spans="1:9" x14ac:dyDescent="0.25">
      <c r="A3847" t="s">
        <v>9616</v>
      </c>
      <c r="C3847" t="s">
        <v>9617</v>
      </c>
      <c r="D3847" t="str">
        <f>"18829"</f>
        <v>18829</v>
      </c>
      <c r="E3847" t="s">
        <v>11552</v>
      </c>
      <c r="F3847" s="1">
        <v>45362</v>
      </c>
      <c r="G3847" t="str">
        <f>"300043"</f>
        <v>300043</v>
      </c>
      <c r="H3847" t="s">
        <v>2876</v>
      </c>
      <c r="I3847">
        <v>1341</v>
      </c>
    </row>
    <row r="3848" spans="1:9" x14ac:dyDescent="0.25">
      <c r="A3848" t="s">
        <v>9616</v>
      </c>
      <c r="C3848" t="s">
        <v>9617</v>
      </c>
      <c r="D3848" t="s">
        <v>11553</v>
      </c>
      <c r="E3848" s="2">
        <v>46116</v>
      </c>
      <c r="F3848" s="1">
        <v>45362</v>
      </c>
      <c r="G3848" t="str">
        <f>"300064"</f>
        <v>300064</v>
      </c>
      <c r="H3848" t="s">
        <v>2896</v>
      </c>
      <c r="I3848">
        <v>195510</v>
      </c>
    </row>
    <row r="3849" spans="1:9" x14ac:dyDescent="0.25">
      <c r="A3849" t="s">
        <v>9616</v>
      </c>
      <c r="C3849" t="s">
        <v>9617</v>
      </c>
      <c r="D3849" t="str">
        <f>"110624"</f>
        <v>110624</v>
      </c>
      <c r="E3849" s="4">
        <v>45352</v>
      </c>
      <c r="F3849" s="1">
        <v>45362</v>
      </c>
      <c r="G3849" t="str">
        <f>"300101"</f>
        <v>300101</v>
      </c>
      <c r="H3849" t="s">
        <v>2926</v>
      </c>
      <c r="I3849">
        <v>4774.2299999999996</v>
      </c>
    </row>
    <row r="3850" spans="1:9" x14ac:dyDescent="0.25">
      <c r="A3850" t="s">
        <v>9616</v>
      </c>
      <c r="C3850" t="s">
        <v>9617</v>
      </c>
      <c r="D3850" t="str">
        <f>"110724"</f>
        <v>110724</v>
      </c>
      <c r="E3850" s="4">
        <v>45383</v>
      </c>
      <c r="F3850" s="1">
        <v>45362</v>
      </c>
      <c r="G3850" t="str">
        <f>"300101"</f>
        <v>300101</v>
      </c>
      <c r="H3850" t="s">
        <v>2926</v>
      </c>
      <c r="I3850">
        <v>3540.15</v>
      </c>
    </row>
    <row r="3851" spans="1:9" x14ac:dyDescent="0.25">
      <c r="A3851" t="s">
        <v>9616</v>
      </c>
      <c r="C3851" t="s">
        <v>9617</v>
      </c>
      <c r="D3851" t="str">
        <f>"202401773"</f>
        <v>202401773</v>
      </c>
      <c r="E3851" t="s">
        <v>11552</v>
      </c>
      <c r="F3851" s="1">
        <v>45363</v>
      </c>
      <c r="G3851" t="str">
        <f>"300191"</f>
        <v>300191</v>
      </c>
      <c r="H3851" t="s">
        <v>3008</v>
      </c>
      <c r="I3851">
        <v>3631.54</v>
      </c>
    </row>
    <row r="3852" spans="1:9" x14ac:dyDescent="0.25">
      <c r="A3852" t="s">
        <v>9616</v>
      </c>
      <c r="C3852" t="s">
        <v>9617</v>
      </c>
      <c r="D3852" t="str">
        <f>"202401777"</f>
        <v>202401777</v>
      </c>
      <c r="E3852" t="s">
        <v>11551</v>
      </c>
      <c r="F3852" s="1">
        <v>45363</v>
      </c>
      <c r="G3852" t="str">
        <f>"300191"</f>
        <v>300191</v>
      </c>
      <c r="H3852" t="s">
        <v>3008</v>
      </c>
      <c r="I3852">
        <v>3460.14</v>
      </c>
    </row>
    <row r="3853" spans="1:9" x14ac:dyDescent="0.25">
      <c r="A3853" t="s">
        <v>9616</v>
      </c>
      <c r="C3853" t="s">
        <v>9617</v>
      </c>
      <c r="D3853" t="str">
        <f>"3645"</f>
        <v>3645</v>
      </c>
      <c r="E3853" t="s">
        <v>11471</v>
      </c>
      <c r="F3853" s="1">
        <v>45364</v>
      </c>
      <c r="G3853" t="str">
        <f>"300043"</f>
        <v>300043</v>
      </c>
      <c r="H3853" t="s">
        <v>2876</v>
      </c>
      <c r="I3853">
        <v>3046</v>
      </c>
    </row>
    <row r="3854" spans="1:9" x14ac:dyDescent="0.25">
      <c r="A3854" t="s">
        <v>9616</v>
      </c>
      <c r="C3854" t="s">
        <v>9617</v>
      </c>
      <c r="D3854" t="str">
        <f>"18353"</f>
        <v>18353</v>
      </c>
      <c r="E3854" t="s">
        <v>11554</v>
      </c>
      <c r="F3854" s="1">
        <v>45364</v>
      </c>
      <c r="G3854" t="str">
        <f>"300043"</f>
        <v>300043</v>
      </c>
      <c r="H3854" t="s">
        <v>2876</v>
      </c>
      <c r="I3854">
        <v>1324</v>
      </c>
    </row>
    <row r="3855" spans="1:9" x14ac:dyDescent="0.25">
      <c r="A3855" t="s">
        <v>9616</v>
      </c>
      <c r="C3855" t="s">
        <v>9617</v>
      </c>
      <c r="D3855" t="str">
        <f>"10156935"</f>
        <v>10156935</v>
      </c>
      <c r="E3855" t="s">
        <v>9189</v>
      </c>
      <c r="F3855" s="1">
        <v>45364</v>
      </c>
      <c r="G3855" t="str">
        <f>"300115"</f>
        <v>300115</v>
      </c>
      <c r="H3855" t="s">
        <v>2938</v>
      </c>
      <c r="I3855">
        <v>346254.57900000003</v>
      </c>
    </row>
    <row r="3856" spans="1:9" x14ac:dyDescent="0.25">
      <c r="A3856" t="s">
        <v>9616</v>
      </c>
      <c r="C3856" t="s">
        <v>9617</v>
      </c>
      <c r="D3856" t="str">
        <f>"20014340"</f>
        <v>20014340</v>
      </c>
      <c r="E3856" t="s">
        <v>9189</v>
      </c>
      <c r="F3856" s="1">
        <v>45365</v>
      </c>
      <c r="G3856" t="str">
        <f>"300115"</f>
        <v>300115</v>
      </c>
      <c r="H3856" t="s">
        <v>2938</v>
      </c>
      <c r="I3856">
        <v>4610.1000000000004</v>
      </c>
    </row>
    <row r="3857" spans="1:9" x14ac:dyDescent="0.25">
      <c r="A3857" t="s">
        <v>9616</v>
      </c>
      <c r="C3857" t="s">
        <v>9617</v>
      </c>
      <c r="D3857" t="str">
        <f>"20014341"</f>
        <v>20014341</v>
      </c>
      <c r="E3857" t="s">
        <v>9191</v>
      </c>
      <c r="F3857" s="1">
        <v>45365</v>
      </c>
      <c r="G3857" t="str">
        <f>"300115"</f>
        <v>300115</v>
      </c>
      <c r="H3857" t="s">
        <v>2938</v>
      </c>
      <c r="I3857">
        <v>1148.4000000000001</v>
      </c>
    </row>
    <row r="3858" spans="1:9" x14ac:dyDescent="0.25">
      <c r="A3858" t="s">
        <v>9616</v>
      </c>
      <c r="C3858" t="s">
        <v>9617</v>
      </c>
      <c r="D3858" t="str">
        <f>"20501"</f>
        <v>20501</v>
      </c>
      <c r="E3858" t="s">
        <v>11555</v>
      </c>
      <c r="F3858" s="1">
        <v>45366</v>
      </c>
      <c r="G3858" t="str">
        <f>"300043"</f>
        <v>300043</v>
      </c>
      <c r="H3858" t="s">
        <v>2876</v>
      </c>
      <c r="I3858">
        <v>1356</v>
      </c>
    </row>
    <row r="3859" spans="1:9" x14ac:dyDescent="0.25">
      <c r="A3859" t="s">
        <v>9616</v>
      </c>
      <c r="C3859" t="s">
        <v>9617</v>
      </c>
      <c r="D3859" t="str">
        <f>"10157012"</f>
        <v>10157012</v>
      </c>
      <c r="E3859" t="s">
        <v>9189</v>
      </c>
      <c r="F3859" s="1">
        <v>45366</v>
      </c>
      <c r="G3859" t="str">
        <f>"300115"</f>
        <v>300115</v>
      </c>
      <c r="H3859" t="s">
        <v>2938</v>
      </c>
      <c r="I3859">
        <v>346254.57900000003</v>
      </c>
    </row>
    <row r="3860" spans="1:9" x14ac:dyDescent="0.25">
      <c r="A3860" t="s">
        <v>9616</v>
      </c>
      <c r="C3860" t="s">
        <v>9617</v>
      </c>
      <c r="D3860" t="str">
        <f>"10157013"</f>
        <v>10157013</v>
      </c>
      <c r="E3860" t="s">
        <v>9189</v>
      </c>
      <c r="F3860" s="1">
        <v>45366</v>
      </c>
      <c r="G3860" t="str">
        <f>"300115"</f>
        <v>300115</v>
      </c>
      <c r="H3860" t="s">
        <v>2938</v>
      </c>
      <c r="I3860">
        <v>346254.57900000003</v>
      </c>
    </row>
    <row r="3861" spans="1:9" x14ac:dyDescent="0.25">
      <c r="A3861" t="s">
        <v>9616</v>
      </c>
      <c r="C3861" t="s">
        <v>9617</v>
      </c>
      <c r="D3861" t="str">
        <f>"202401902"</f>
        <v>202401902</v>
      </c>
      <c r="E3861" t="s">
        <v>11554</v>
      </c>
      <c r="F3861" s="1">
        <v>45366</v>
      </c>
      <c r="G3861" t="str">
        <f>"300191"</f>
        <v>300191</v>
      </c>
      <c r="H3861" t="s">
        <v>3008</v>
      </c>
      <c r="I3861">
        <v>4988.55</v>
      </c>
    </row>
    <row r="3862" spans="1:9" x14ac:dyDescent="0.25">
      <c r="A3862" t="s">
        <v>9616</v>
      </c>
      <c r="C3862" t="s">
        <v>9617</v>
      </c>
      <c r="D3862" t="s">
        <v>11556</v>
      </c>
      <c r="E3862" t="s">
        <v>11554</v>
      </c>
      <c r="F3862" s="1">
        <v>45366</v>
      </c>
      <c r="G3862" t="str">
        <f>"300321"</f>
        <v>300321</v>
      </c>
      <c r="H3862" t="s">
        <v>2706</v>
      </c>
      <c r="I3862">
        <v>19800</v>
      </c>
    </row>
    <row r="3863" spans="1:9" x14ac:dyDescent="0.25">
      <c r="A3863" t="s">
        <v>9616</v>
      </c>
      <c r="C3863" t="s">
        <v>9617</v>
      </c>
      <c r="D3863" t="s">
        <v>11557</v>
      </c>
      <c r="E3863" t="s">
        <v>11558</v>
      </c>
      <c r="F3863" s="1">
        <v>45367</v>
      </c>
      <c r="G3863" t="str">
        <f>"300118"</f>
        <v>300118</v>
      </c>
      <c r="H3863" t="s">
        <v>2941</v>
      </c>
      <c r="I3863">
        <v>5015.75</v>
      </c>
    </row>
    <row r="3864" spans="1:9" x14ac:dyDescent="0.25">
      <c r="A3864" t="s">
        <v>9616</v>
      </c>
      <c r="C3864" t="s">
        <v>9617</v>
      </c>
      <c r="D3864" t="s">
        <v>11559</v>
      </c>
      <c r="E3864" t="s">
        <v>11551</v>
      </c>
      <c r="F3864" s="1">
        <v>45367</v>
      </c>
      <c r="G3864" t="str">
        <f>"300321"</f>
        <v>300321</v>
      </c>
      <c r="H3864" t="s">
        <v>2706</v>
      </c>
      <c r="I3864">
        <v>23100</v>
      </c>
    </row>
    <row r="3865" spans="1:9" x14ac:dyDescent="0.25">
      <c r="A3865" t="s">
        <v>9616</v>
      </c>
      <c r="C3865" t="s">
        <v>9617</v>
      </c>
      <c r="D3865" t="s">
        <v>11560</v>
      </c>
      <c r="E3865" t="s">
        <v>11552</v>
      </c>
      <c r="F3865" s="1">
        <v>45367</v>
      </c>
      <c r="G3865" t="str">
        <f>"300321"</f>
        <v>300321</v>
      </c>
      <c r="H3865" t="s">
        <v>2706</v>
      </c>
      <c r="I3865">
        <v>23100</v>
      </c>
    </row>
    <row r="3866" spans="1:9" x14ac:dyDescent="0.25">
      <c r="A3866" t="s">
        <v>9616</v>
      </c>
      <c r="C3866" t="s">
        <v>9617</v>
      </c>
      <c r="D3866" t="str">
        <f>"240000748240"</f>
        <v>240000748240</v>
      </c>
      <c r="E3866" t="s">
        <v>11561</v>
      </c>
      <c r="F3866" s="1">
        <v>45368</v>
      </c>
      <c r="G3866" t="str">
        <f>"300344"</f>
        <v>300344</v>
      </c>
      <c r="H3866" t="s">
        <v>3084</v>
      </c>
      <c r="I3866">
        <v>157772.57999999999</v>
      </c>
    </row>
    <row r="3867" spans="1:9" x14ac:dyDescent="0.25">
      <c r="A3867" t="s">
        <v>9616</v>
      </c>
      <c r="C3867" t="s">
        <v>9617</v>
      </c>
      <c r="D3867" t="str">
        <f>"20983"</f>
        <v>20983</v>
      </c>
      <c r="E3867" t="s">
        <v>11555</v>
      </c>
      <c r="F3867" s="1">
        <v>45369</v>
      </c>
      <c r="G3867" t="str">
        <f>"300043"</f>
        <v>300043</v>
      </c>
      <c r="H3867" t="s">
        <v>2876</v>
      </c>
      <c r="I3867">
        <v>1353</v>
      </c>
    </row>
    <row r="3868" spans="1:9" x14ac:dyDescent="0.25">
      <c r="A3868" t="s">
        <v>9616</v>
      </c>
      <c r="C3868" t="s">
        <v>9617</v>
      </c>
      <c r="D3868" t="s">
        <v>11562</v>
      </c>
      <c r="E3868" t="s">
        <v>11563</v>
      </c>
      <c r="F3868" s="1">
        <v>45369</v>
      </c>
      <c r="G3868" t="str">
        <f>"300376"</f>
        <v>300376</v>
      </c>
      <c r="H3868" t="s">
        <v>3113</v>
      </c>
      <c r="I3868">
        <v>255492.46799999999</v>
      </c>
    </row>
    <row r="3869" spans="1:9" x14ac:dyDescent="0.25">
      <c r="A3869" t="s">
        <v>9616</v>
      </c>
      <c r="C3869" t="s">
        <v>9617</v>
      </c>
      <c r="D3869" t="str">
        <f>"21453"</f>
        <v>21453</v>
      </c>
      <c r="E3869" t="s">
        <v>11564</v>
      </c>
      <c r="F3869" s="1">
        <v>45370</v>
      </c>
      <c r="G3869" t="str">
        <f>"300043"</f>
        <v>300043</v>
      </c>
      <c r="H3869" t="s">
        <v>2876</v>
      </c>
      <c r="I3869">
        <v>1352</v>
      </c>
    </row>
    <row r="3870" spans="1:9" x14ac:dyDescent="0.25">
      <c r="A3870" t="s">
        <v>9616</v>
      </c>
      <c r="C3870" t="s">
        <v>9617</v>
      </c>
      <c r="D3870" t="str">
        <f>"202401980"</f>
        <v>202401980</v>
      </c>
      <c r="E3870" t="s">
        <v>11555</v>
      </c>
      <c r="F3870" s="1">
        <v>45370</v>
      </c>
      <c r="G3870" t="str">
        <f>"300191"</f>
        <v>300191</v>
      </c>
      <c r="H3870" t="s">
        <v>3008</v>
      </c>
      <c r="I3870">
        <v>3584.14</v>
      </c>
    </row>
    <row r="3871" spans="1:9" x14ac:dyDescent="0.25">
      <c r="A3871" t="s">
        <v>9616</v>
      </c>
      <c r="C3871" t="s">
        <v>9617</v>
      </c>
      <c r="D3871" t="str">
        <f>"202401981"</f>
        <v>202401981</v>
      </c>
      <c r="E3871" t="s">
        <v>11565</v>
      </c>
      <c r="F3871" s="1">
        <v>45370</v>
      </c>
      <c r="G3871" t="str">
        <f>"300191"</f>
        <v>300191</v>
      </c>
      <c r="H3871" t="s">
        <v>3008</v>
      </c>
      <c r="I3871">
        <v>3241.34</v>
      </c>
    </row>
    <row r="3872" spans="1:9" x14ac:dyDescent="0.25">
      <c r="A3872" t="s">
        <v>9616</v>
      </c>
      <c r="C3872" t="s">
        <v>9617</v>
      </c>
      <c r="D3872" t="str">
        <f>"10157081"</f>
        <v>10157081</v>
      </c>
      <c r="E3872" t="s">
        <v>9189</v>
      </c>
      <c r="F3872" s="1">
        <v>45371</v>
      </c>
      <c r="G3872" t="str">
        <f>"300115"</f>
        <v>300115</v>
      </c>
      <c r="H3872" t="s">
        <v>2938</v>
      </c>
      <c r="I3872">
        <v>346254.57900000003</v>
      </c>
    </row>
    <row r="3873" spans="1:9" x14ac:dyDescent="0.25">
      <c r="A3873" t="s">
        <v>9616</v>
      </c>
      <c r="C3873" t="s">
        <v>9617</v>
      </c>
      <c r="D3873" t="s">
        <v>11566</v>
      </c>
      <c r="E3873" t="s">
        <v>9971</v>
      </c>
      <c r="F3873" s="1">
        <v>45371</v>
      </c>
      <c r="G3873" t="str">
        <f>"300133"</f>
        <v>300133</v>
      </c>
      <c r="H3873" t="s">
        <v>2955</v>
      </c>
      <c r="I3873">
        <v>34040.400000000001</v>
      </c>
    </row>
    <row r="3874" spans="1:9" x14ac:dyDescent="0.25">
      <c r="A3874" t="s">
        <v>9616</v>
      </c>
      <c r="C3874" t="s">
        <v>9617</v>
      </c>
      <c r="D3874" t="s">
        <v>11567</v>
      </c>
      <c r="E3874" t="s">
        <v>9562</v>
      </c>
      <c r="F3874" s="1">
        <v>45371</v>
      </c>
      <c r="G3874" t="str">
        <f>"300133"</f>
        <v>300133</v>
      </c>
      <c r="H3874" t="s">
        <v>2955</v>
      </c>
      <c r="I3874">
        <v>71884.800000000003</v>
      </c>
    </row>
    <row r="3875" spans="1:9" x14ac:dyDescent="0.25">
      <c r="A3875" t="s">
        <v>9616</v>
      </c>
      <c r="C3875" t="s">
        <v>9617</v>
      </c>
      <c r="D3875" t="s">
        <v>11568</v>
      </c>
      <c r="E3875" t="s">
        <v>11555</v>
      </c>
      <c r="F3875" s="1">
        <v>45371</v>
      </c>
      <c r="G3875" t="str">
        <f>"300321"</f>
        <v>300321</v>
      </c>
      <c r="H3875" t="s">
        <v>2706</v>
      </c>
      <c r="I3875">
        <v>19000</v>
      </c>
    </row>
    <row r="3876" spans="1:9" x14ac:dyDescent="0.25">
      <c r="A3876" t="s">
        <v>9616</v>
      </c>
      <c r="C3876" t="s">
        <v>9617</v>
      </c>
      <c r="D3876" t="s">
        <v>11569</v>
      </c>
      <c r="E3876" t="s">
        <v>11565</v>
      </c>
      <c r="F3876" s="1">
        <v>45371</v>
      </c>
      <c r="G3876" t="str">
        <f>"300321"</f>
        <v>300321</v>
      </c>
      <c r="H3876" t="s">
        <v>2706</v>
      </c>
      <c r="I3876">
        <v>19000</v>
      </c>
    </row>
    <row r="3877" spans="1:9" x14ac:dyDescent="0.25">
      <c r="A3877" t="s">
        <v>9616</v>
      </c>
      <c r="C3877" t="s">
        <v>9617</v>
      </c>
      <c r="D3877" t="str">
        <f>"4102"</f>
        <v>4102</v>
      </c>
      <c r="E3877" t="s">
        <v>11471</v>
      </c>
      <c r="F3877" s="1">
        <v>45372</v>
      </c>
      <c r="G3877" t="str">
        <f>"300043"</f>
        <v>300043</v>
      </c>
      <c r="H3877" t="s">
        <v>2876</v>
      </c>
      <c r="I3877">
        <v>4147</v>
      </c>
    </row>
    <row r="3878" spans="1:9" x14ac:dyDescent="0.25">
      <c r="A3878" t="s">
        <v>9616</v>
      </c>
      <c r="C3878" t="s">
        <v>9617</v>
      </c>
      <c r="D3878" t="str">
        <f>"35684"</f>
        <v>35684</v>
      </c>
      <c r="E3878" t="s">
        <v>11558</v>
      </c>
      <c r="F3878" s="1">
        <v>45372</v>
      </c>
      <c r="G3878" t="str">
        <f>"300043"</f>
        <v>300043</v>
      </c>
      <c r="H3878" t="s">
        <v>2876</v>
      </c>
      <c r="I3878">
        <v>1063</v>
      </c>
    </row>
    <row r="3879" spans="1:9" x14ac:dyDescent="0.25">
      <c r="A3879" t="s">
        <v>9616</v>
      </c>
      <c r="C3879" t="s">
        <v>9617</v>
      </c>
      <c r="D3879" t="str">
        <f>"10157108"</f>
        <v>10157108</v>
      </c>
      <c r="E3879" t="s">
        <v>9189</v>
      </c>
      <c r="F3879" s="1">
        <v>45372</v>
      </c>
      <c r="G3879" t="str">
        <f>"300115"</f>
        <v>300115</v>
      </c>
      <c r="H3879" t="s">
        <v>2938</v>
      </c>
      <c r="I3879">
        <v>346283.685</v>
      </c>
    </row>
    <row r="3880" spans="1:9" x14ac:dyDescent="0.25">
      <c r="A3880" t="s">
        <v>9616</v>
      </c>
      <c r="C3880" t="s">
        <v>9617</v>
      </c>
      <c r="D3880" t="str">
        <f>"10157109"</f>
        <v>10157109</v>
      </c>
      <c r="E3880" t="s">
        <v>9189</v>
      </c>
      <c r="F3880" s="1">
        <v>45372</v>
      </c>
      <c r="G3880" t="str">
        <f>"300115"</f>
        <v>300115</v>
      </c>
      <c r="H3880" t="s">
        <v>2938</v>
      </c>
      <c r="I3880">
        <v>346296.62099999998</v>
      </c>
    </row>
    <row r="3881" spans="1:9" x14ac:dyDescent="0.25">
      <c r="A3881" t="s">
        <v>9616</v>
      </c>
      <c r="C3881" t="s">
        <v>9617</v>
      </c>
      <c r="D3881" t="s">
        <v>11570</v>
      </c>
      <c r="E3881" t="s">
        <v>11564</v>
      </c>
      <c r="F3881" s="1">
        <v>45372</v>
      </c>
      <c r="G3881" t="str">
        <f>"300321"</f>
        <v>300321</v>
      </c>
      <c r="H3881" t="s">
        <v>2706</v>
      </c>
      <c r="I3881">
        <v>19000</v>
      </c>
    </row>
    <row r="3882" spans="1:9" x14ac:dyDescent="0.25">
      <c r="A3882" t="s">
        <v>9616</v>
      </c>
      <c r="C3882" t="s">
        <v>9617</v>
      </c>
      <c r="D3882" t="s">
        <v>11571</v>
      </c>
      <c r="E3882" t="s">
        <v>11572</v>
      </c>
      <c r="F3882" s="1">
        <v>45372</v>
      </c>
      <c r="G3882" t="str">
        <f>"300375"</f>
        <v>300375</v>
      </c>
      <c r="H3882" t="s">
        <v>3112</v>
      </c>
      <c r="I3882">
        <v>171032.75200000001</v>
      </c>
    </row>
    <row r="3883" spans="1:9" x14ac:dyDescent="0.25">
      <c r="A3883" t="s">
        <v>9616</v>
      </c>
      <c r="C3883" t="s">
        <v>9617</v>
      </c>
      <c r="D3883" t="str">
        <f>"5675700819"</f>
        <v>5675700819</v>
      </c>
      <c r="E3883" s="4">
        <v>45413</v>
      </c>
      <c r="F3883" s="1">
        <v>45372</v>
      </c>
      <c r="G3883" t="str">
        <f>"300384"</f>
        <v>300384</v>
      </c>
      <c r="H3883" t="s">
        <v>3121</v>
      </c>
      <c r="I3883">
        <v>7661</v>
      </c>
    </row>
    <row r="3884" spans="1:9" x14ac:dyDescent="0.25">
      <c r="A3884" t="s">
        <v>9616</v>
      </c>
      <c r="C3884" t="s">
        <v>9617</v>
      </c>
      <c r="D3884" t="str">
        <f>"22429"</f>
        <v>22429</v>
      </c>
      <c r="E3884" t="s">
        <v>11573</v>
      </c>
      <c r="F3884" s="1">
        <v>45373</v>
      </c>
      <c r="G3884" t="str">
        <f>"300043"</f>
        <v>300043</v>
      </c>
      <c r="H3884" t="s">
        <v>2876</v>
      </c>
      <c r="I3884">
        <v>1350</v>
      </c>
    </row>
    <row r="3885" spans="1:9" x14ac:dyDescent="0.25">
      <c r="A3885" t="s">
        <v>9616</v>
      </c>
      <c r="C3885" t="s">
        <v>9617</v>
      </c>
      <c r="D3885" t="str">
        <f>"22447"</f>
        <v>22447</v>
      </c>
      <c r="E3885" t="s">
        <v>11574</v>
      </c>
      <c r="F3885" s="1">
        <v>45373</v>
      </c>
      <c r="G3885" t="str">
        <f>"300043"</f>
        <v>300043</v>
      </c>
      <c r="H3885" t="s">
        <v>2876</v>
      </c>
      <c r="I3885">
        <v>1353</v>
      </c>
    </row>
    <row r="3886" spans="1:9" x14ac:dyDescent="0.25">
      <c r="A3886" t="s">
        <v>9616</v>
      </c>
      <c r="C3886" t="s">
        <v>9617</v>
      </c>
      <c r="D3886" t="str">
        <f>"22451"</f>
        <v>22451</v>
      </c>
      <c r="E3886" t="s">
        <v>11575</v>
      </c>
      <c r="F3886" s="1">
        <v>45373</v>
      </c>
      <c r="G3886" t="str">
        <f>"300043"</f>
        <v>300043</v>
      </c>
      <c r="H3886" t="s">
        <v>2876</v>
      </c>
      <c r="I3886">
        <v>1353</v>
      </c>
    </row>
    <row r="3887" spans="1:9" x14ac:dyDescent="0.25">
      <c r="A3887" t="s">
        <v>9616</v>
      </c>
      <c r="C3887" t="s">
        <v>9617</v>
      </c>
      <c r="D3887" t="str">
        <f>"202402119"</f>
        <v>202402119</v>
      </c>
      <c r="E3887" t="s">
        <v>11558</v>
      </c>
      <c r="F3887" s="1">
        <v>45376</v>
      </c>
      <c r="G3887" t="str">
        <f>"300191"</f>
        <v>300191</v>
      </c>
      <c r="H3887" t="s">
        <v>3008</v>
      </c>
      <c r="I3887">
        <v>2588.2800000000002</v>
      </c>
    </row>
    <row r="3888" spans="1:9" x14ac:dyDescent="0.25">
      <c r="A3888" t="s">
        <v>9616</v>
      </c>
      <c r="C3888" t="s">
        <v>9617</v>
      </c>
      <c r="D3888" t="str">
        <f>"202402131"</f>
        <v>202402131</v>
      </c>
      <c r="E3888" t="s">
        <v>11573</v>
      </c>
      <c r="F3888" s="1">
        <v>45376</v>
      </c>
      <c r="G3888" t="str">
        <f>"300191"</f>
        <v>300191</v>
      </c>
      <c r="H3888" t="s">
        <v>3008</v>
      </c>
      <c r="I3888">
        <v>3412.74</v>
      </c>
    </row>
    <row r="3889" spans="1:9" x14ac:dyDescent="0.25">
      <c r="A3889" t="s">
        <v>9616</v>
      </c>
      <c r="C3889" t="s">
        <v>9617</v>
      </c>
      <c r="D3889" t="str">
        <f>"202402132"</f>
        <v>202402132</v>
      </c>
      <c r="E3889" t="s">
        <v>11564</v>
      </c>
      <c r="F3889" s="1">
        <v>45376</v>
      </c>
      <c r="G3889" t="str">
        <f>"300191"</f>
        <v>300191</v>
      </c>
      <c r="H3889" t="s">
        <v>3008</v>
      </c>
      <c r="I3889">
        <v>3584.14</v>
      </c>
    </row>
    <row r="3890" spans="1:9" x14ac:dyDescent="0.25">
      <c r="A3890" t="s">
        <v>9616</v>
      </c>
      <c r="C3890" t="s">
        <v>9617</v>
      </c>
      <c r="D3890" t="str">
        <f>"202402136"</f>
        <v>202402136</v>
      </c>
      <c r="E3890" t="s">
        <v>11574</v>
      </c>
      <c r="F3890" s="1">
        <v>45376</v>
      </c>
      <c r="G3890" t="str">
        <f>"300191"</f>
        <v>300191</v>
      </c>
      <c r="H3890" t="s">
        <v>3008</v>
      </c>
      <c r="I3890">
        <v>3389.04</v>
      </c>
    </row>
    <row r="3891" spans="1:9" x14ac:dyDescent="0.25">
      <c r="A3891" t="s">
        <v>9616</v>
      </c>
      <c r="C3891" t="s">
        <v>9617</v>
      </c>
      <c r="D3891" t="s">
        <v>11576</v>
      </c>
      <c r="E3891" t="s">
        <v>11574</v>
      </c>
      <c r="F3891" s="1">
        <v>45376</v>
      </c>
      <c r="G3891" t="str">
        <f>"300321"</f>
        <v>300321</v>
      </c>
      <c r="H3891" t="s">
        <v>2706</v>
      </c>
      <c r="I3891">
        <v>19000</v>
      </c>
    </row>
    <row r="3892" spans="1:9" x14ac:dyDescent="0.25">
      <c r="A3892" t="s">
        <v>9616</v>
      </c>
      <c r="C3892" t="s">
        <v>9617</v>
      </c>
      <c r="D3892" t="s">
        <v>11577</v>
      </c>
      <c r="E3892" t="s">
        <v>11575</v>
      </c>
      <c r="F3892" s="1">
        <v>45376</v>
      </c>
      <c r="G3892" t="str">
        <f>"300321"</f>
        <v>300321</v>
      </c>
      <c r="H3892" t="s">
        <v>2706</v>
      </c>
      <c r="I3892">
        <v>19000</v>
      </c>
    </row>
    <row r="3893" spans="1:9" x14ac:dyDescent="0.25">
      <c r="A3893" t="s">
        <v>9616</v>
      </c>
      <c r="C3893" t="s">
        <v>9617</v>
      </c>
      <c r="D3893" t="s">
        <v>11578</v>
      </c>
      <c r="E3893" t="s">
        <v>11573</v>
      </c>
      <c r="F3893" s="1">
        <v>45376</v>
      </c>
      <c r="G3893" t="str">
        <f>"300321"</f>
        <v>300321</v>
      </c>
      <c r="H3893" t="s">
        <v>2706</v>
      </c>
      <c r="I3893">
        <v>19000</v>
      </c>
    </row>
    <row r="3894" spans="1:9" x14ac:dyDescent="0.25">
      <c r="A3894" t="s">
        <v>9616</v>
      </c>
      <c r="C3894" t="s">
        <v>9617</v>
      </c>
      <c r="D3894" t="str">
        <f>"4488"</f>
        <v>4488</v>
      </c>
      <c r="E3894" t="s">
        <v>11471</v>
      </c>
      <c r="F3894" s="1">
        <v>45378</v>
      </c>
      <c r="G3894" t="str">
        <f>"300043"</f>
        <v>300043</v>
      </c>
      <c r="H3894" t="s">
        <v>2876</v>
      </c>
      <c r="I3894">
        <v>3481</v>
      </c>
    </row>
    <row r="3895" spans="1:9" x14ac:dyDescent="0.25">
      <c r="A3895" t="s">
        <v>9616</v>
      </c>
      <c r="C3895" t="s">
        <v>9617</v>
      </c>
      <c r="D3895" t="s">
        <v>11579</v>
      </c>
      <c r="E3895" t="s">
        <v>9112</v>
      </c>
      <c r="F3895" s="1">
        <v>45378</v>
      </c>
      <c r="G3895" t="str">
        <f>"300064"</f>
        <v>300064</v>
      </c>
      <c r="H3895" t="s">
        <v>2896</v>
      </c>
      <c r="I3895">
        <v>132020</v>
      </c>
    </row>
    <row r="3896" spans="1:9" x14ac:dyDescent="0.25">
      <c r="A3896" t="s">
        <v>9616</v>
      </c>
      <c r="C3896" t="s">
        <v>9617</v>
      </c>
      <c r="D3896" t="str">
        <f>"202402207"</f>
        <v>202402207</v>
      </c>
      <c r="E3896" t="s">
        <v>11575</v>
      </c>
      <c r="F3896" s="1">
        <v>45378</v>
      </c>
      <c r="G3896" t="str">
        <f>"300191"</f>
        <v>300191</v>
      </c>
      <c r="H3896" t="s">
        <v>3008</v>
      </c>
      <c r="I3896">
        <v>3241.34</v>
      </c>
    </row>
    <row r="3897" spans="1:9" x14ac:dyDescent="0.25">
      <c r="A3897" t="s">
        <v>9616</v>
      </c>
      <c r="C3897" t="s">
        <v>9617</v>
      </c>
      <c r="D3897" t="s">
        <v>11580</v>
      </c>
      <c r="E3897" t="s">
        <v>11581</v>
      </c>
      <c r="F3897" s="1">
        <v>45378</v>
      </c>
      <c r="G3897" t="str">
        <f>"300375"</f>
        <v>300375</v>
      </c>
      <c r="H3897" t="s">
        <v>3112</v>
      </c>
      <c r="I3897">
        <v>171245.6416</v>
      </c>
    </row>
    <row r="3898" spans="1:9" x14ac:dyDescent="0.25">
      <c r="A3898" t="s">
        <v>9616</v>
      </c>
      <c r="C3898" t="s">
        <v>9617</v>
      </c>
      <c r="D3898" t="str">
        <f>"39736"</f>
        <v>39736</v>
      </c>
      <c r="E3898" s="4">
        <v>45413</v>
      </c>
      <c r="F3898" s="1">
        <v>45383</v>
      </c>
      <c r="G3898" t="str">
        <f>"300043"</f>
        <v>300043</v>
      </c>
      <c r="H3898" t="s">
        <v>2876</v>
      </c>
      <c r="I3898">
        <v>1012</v>
      </c>
    </row>
    <row r="3899" spans="1:9" x14ac:dyDescent="0.25">
      <c r="A3899" t="s">
        <v>9616</v>
      </c>
      <c r="C3899" t="s">
        <v>9617</v>
      </c>
      <c r="D3899" t="str">
        <f>"80179146"</f>
        <v>80179146</v>
      </c>
      <c r="E3899" t="s">
        <v>9335</v>
      </c>
      <c r="F3899" s="1">
        <v>45383</v>
      </c>
      <c r="G3899" t="str">
        <f>"300381"</f>
        <v>300381</v>
      </c>
      <c r="H3899" t="s">
        <v>3118</v>
      </c>
      <c r="I3899">
        <v>333934.96950000001</v>
      </c>
    </row>
    <row r="3900" spans="1:9" x14ac:dyDescent="0.25">
      <c r="A3900" t="s">
        <v>9616</v>
      </c>
      <c r="C3900" t="s">
        <v>9617</v>
      </c>
      <c r="D3900" t="s">
        <v>11582</v>
      </c>
      <c r="E3900" t="s">
        <v>11583</v>
      </c>
      <c r="F3900" s="1">
        <v>45384</v>
      </c>
      <c r="G3900" t="str">
        <f>"300118"</f>
        <v>300118</v>
      </c>
      <c r="H3900" t="s">
        <v>2941</v>
      </c>
      <c r="I3900">
        <v>9681.5</v>
      </c>
    </row>
    <row r="3901" spans="1:9" x14ac:dyDescent="0.25">
      <c r="A3901" t="s">
        <v>9616</v>
      </c>
      <c r="C3901" t="s">
        <v>9617</v>
      </c>
      <c r="D3901" t="s">
        <v>11584</v>
      </c>
      <c r="E3901" t="s">
        <v>11585</v>
      </c>
      <c r="F3901" s="1">
        <v>45384</v>
      </c>
      <c r="G3901" t="str">
        <f>"300371"</f>
        <v>300371</v>
      </c>
      <c r="H3901" t="s">
        <v>3108</v>
      </c>
      <c r="I3901">
        <v>15187.68</v>
      </c>
    </row>
    <row r="3902" spans="1:9" x14ac:dyDescent="0.25">
      <c r="A3902" t="s">
        <v>9616</v>
      </c>
      <c r="C3902" t="s">
        <v>9617</v>
      </c>
      <c r="D3902" t="str">
        <f>"154324"</f>
        <v>154324</v>
      </c>
      <c r="E3902" s="4">
        <v>45413</v>
      </c>
      <c r="F3902" s="1">
        <v>45385</v>
      </c>
      <c r="G3902" t="str">
        <f>"300101"</f>
        <v>300101</v>
      </c>
      <c r="H3902" t="s">
        <v>2926</v>
      </c>
      <c r="I3902">
        <v>4979.63</v>
      </c>
    </row>
    <row r="3903" spans="1:9" x14ac:dyDescent="0.25">
      <c r="A3903" t="s">
        <v>9616</v>
      </c>
      <c r="C3903" t="s">
        <v>9617</v>
      </c>
      <c r="D3903" t="str">
        <f>"10157297"</f>
        <v>10157297</v>
      </c>
      <c r="E3903" t="s">
        <v>11586</v>
      </c>
      <c r="F3903" s="1">
        <v>45385</v>
      </c>
      <c r="G3903" t="str">
        <f>"300115"</f>
        <v>300115</v>
      </c>
      <c r="H3903" t="s">
        <v>2938</v>
      </c>
      <c r="I3903">
        <v>226565.54800000001</v>
      </c>
    </row>
    <row r="3904" spans="1:9" x14ac:dyDescent="0.25">
      <c r="A3904" t="s">
        <v>9616</v>
      </c>
      <c r="C3904" t="s">
        <v>9617</v>
      </c>
      <c r="D3904" t="str">
        <f>"10157298"</f>
        <v>10157298</v>
      </c>
      <c r="E3904" t="s">
        <v>9189</v>
      </c>
      <c r="F3904" s="1">
        <v>45385</v>
      </c>
      <c r="G3904" t="str">
        <f>"300115"</f>
        <v>300115</v>
      </c>
      <c r="H3904" t="s">
        <v>2938</v>
      </c>
      <c r="I3904">
        <v>346283.685</v>
      </c>
    </row>
    <row r="3905" spans="1:9" x14ac:dyDescent="0.25">
      <c r="A3905" t="s">
        <v>9616</v>
      </c>
      <c r="C3905" t="s">
        <v>9617</v>
      </c>
      <c r="D3905" t="str">
        <f>"10157306"</f>
        <v>10157306</v>
      </c>
      <c r="E3905" t="s">
        <v>9189</v>
      </c>
      <c r="F3905" s="1">
        <v>45385</v>
      </c>
      <c r="G3905" t="str">
        <f>"300115"</f>
        <v>300115</v>
      </c>
      <c r="H3905" t="s">
        <v>2938</v>
      </c>
      <c r="I3905">
        <v>346283.685</v>
      </c>
    </row>
    <row r="3906" spans="1:9" x14ac:dyDescent="0.25">
      <c r="A3906" t="s">
        <v>9616</v>
      </c>
      <c r="C3906" t="s">
        <v>9617</v>
      </c>
      <c r="D3906" t="s">
        <v>11587</v>
      </c>
      <c r="E3906" s="2">
        <v>46027</v>
      </c>
      <c r="F3906" s="1">
        <v>45386</v>
      </c>
      <c r="G3906" t="str">
        <f>"300064"</f>
        <v>300064</v>
      </c>
      <c r="H3906" t="s">
        <v>2896</v>
      </c>
      <c r="I3906">
        <v>120820</v>
      </c>
    </row>
    <row r="3907" spans="1:9" x14ac:dyDescent="0.25">
      <c r="A3907" t="s">
        <v>9616</v>
      </c>
      <c r="C3907" t="s">
        <v>9617</v>
      </c>
      <c r="D3907" t="str">
        <f>"5045"</f>
        <v>5045</v>
      </c>
      <c r="E3907" t="s">
        <v>11471</v>
      </c>
      <c r="F3907" s="1">
        <v>45387</v>
      </c>
      <c r="G3907" t="str">
        <f>"300043"</f>
        <v>300043</v>
      </c>
      <c r="H3907" t="s">
        <v>2876</v>
      </c>
      <c r="I3907">
        <v>4672</v>
      </c>
    </row>
    <row r="3908" spans="1:9" x14ac:dyDescent="0.25">
      <c r="A3908" t="s">
        <v>9616</v>
      </c>
      <c r="C3908" t="s">
        <v>9617</v>
      </c>
      <c r="D3908" t="str">
        <f>"26331"</f>
        <v>26331</v>
      </c>
      <c r="E3908" t="s">
        <v>11588</v>
      </c>
      <c r="F3908" s="1">
        <v>45387</v>
      </c>
      <c r="G3908" t="str">
        <f>"300043"</f>
        <v>300043</v>
      </c>
      <c r="H3908" t="s">
        <v>2876</v>
      </c>
      <c r="I3908">
        <v>1349</v>
      </c>
    </row>
    <row r="3909" spans="1:9" x14ac:dyDescent="0.25">
      <c r="A3909" t="s">
        <v>9616</v>
      </c>
      <c r="C3909" t="s">
        <v>9617</v>
      </c>
      <c r="D3909" t="str">
        <f>"26390"</f>
        <v>26390</v>
      </c>
      <c r="E3909" t="s">
        <v>11589</v>
      </c>
      <c r="F3909" s="1">
        <v>45387</v>
      </c>
      <c r="G3909" t="str">
        <f>"300043"</f>
        <v>300043</v>
      </c>
      <c r="H3909" t="s">
        <v>2876</v>
      </c>
      <c r="I3909">
        <v>1353</v>
      </c>
    </row>
    <row r="3910" spans="1:9" x14ac:dyDescent="0.25">
      <c r="A3910" t="s">
        <v>9616</v>
      </c>
      <c r="C3910" t="s">
        <v>9617</v>
      </c>
      <c r="D3910" t="str">
        <f>"26395"</f>
        <v>26395</v>
      </c>
      <c r="E3910" t="s">
        <v>11590</v>
      </c>
      <c r="F3910" s="1">
        <v>45387</v>
      </c>
      <c r="G3910" t="str">
        <f>"300043"</f>
        <v>300043</v>
      </c>
      <c r="H3910" t="s">
        <v>2876</v>
      </c>
      <c r="I3910">
        <v>1353</v>
      </c>
    </row>
    <row r="3911" spans="1:9" x14ac:dyDescent="0.25">
      <c r="A3911" t="s">
        <v>9616</v>
      </c>
      <c r="C3911" t="s">
        <v>9617</v>
      </c>
      <c r="D3911" t="str">
        <f>"26418"</f>
        <v>26418</v>
      </c>
      <c r="E3911" s="4">
        <v>45444</v>
      </c>
      <c r="F3911" s="1">
        <v>45387</v>
      </c>
      <c r="G3911" t="str">
        <f>"300043"</f>
        <v>300043</v>
      </c>
      <c r="H3911" t="s">
        <v>2876</v>
      </c>
      <c r="I3911">
        <v>915</v>
      </c>
    </row>
    <row r="3912" spans="1:9" x14ac:dyDescent="0.25">
      <c r="A3912" t="s">
        <v>9616</v>
      </c>
      <c r="C3912" t="s">
        <v>9617</v>
      </c>
      <c r="D3912" t="s">
        <v>11591</v>
      </c>
      <c r="E3912" t="s">
        <v>11592</v>
      </c>
      <c r="F3912" s="1">
        <v>45387</v>
      </c>
      <c r="G3912" t="str">
        <f>"300364"</f>
        <v>300364</v>
      </c>
      <c r="H3912" t="s">
        <v>3101</v>
      </c>
      <c r="I3912">
        <v>8571.4</v>
      </c>
    </row>
    <row r="3913" spans="1:9" x14ac:dyDescent="0.25">
      <c r="A3913" t="s">
        <v>9616</v>
      </c>
      <c r="C3913" t="s">
        <v>9617</v>
      </c>
      <c r="D3913" t="s">
        <v>11593</v>
      </c>
      <c r="E3913" t="s">
        <v>11590</v>
      </c>
      <c r="F3913" s="1">
        <v>45388</v>
      </c>
      <c r="G3913" t="str">
        <f>"300321"</f>
        <v>300321</v>
      </c>
      <c r="H3913" t="s">
        <v>2706</v>
      </c>
      <c r="I3913">
        <v>19000</v>
      </c>
    </row>
    <row r="3914" spans="1:9" x14ac:dyDescent="0.25">
      <c r="A3914" t="s">
        <v>9616</v>
      </c>
      <c r="C3914" t="s">
        <v>9617</v>
      </c>
      <c r="D3914" t="s">
        <v>11594</v>
      </c>
      <c r="E3914" t="s">
        <v>11589</v>
      </c>
      <c r="F3914" s="1">
        <v>45388</v>
      </c>
      <c r="G3914" t="str">
        <f>"300321"</f>
        <v>300321</v>
      </c>
      <c r="H3914" t="s">
        <v>2706</v>
      </c>
      <c r="I3914">
        <v>19000</v>
      </c>
    </row>
    <row r="3915" spans="1:9" x14ac:dyDescent="0.25">
      <c r="A3915" t="s">
        <v>9616</v>
      </c>
      <c r="C3915" t="s">
        <v>9617</v>
      </c>
      <c r="D3915" t="str">
        <f>"42439"</f>
        <v>42439</v>
      </c>
      <c r="E3915" t="s">
        <v>11585</v>
      </c>
      <c r="F3915" s="1">
        <v>45390</v>
      </c>
      <c r="G3915" t="str">
        <f>"300043"</f>
        <v>300043</v>
      </c>
      <c r="H3915" t="s">
        <v>2876</v>
      </c>
      <c r="I3915">
        <v>723</v>
      </c>
    </row>
    <row r="3916" spans="1:9" x14ac:dyDescent="0.25">
      <c r="A3916" t="s">
        <v>9616</v>
      </c>
      <c r="C3916" t="s">
        <v>9617</v>
      </c>
      <c r="D3916" t="str">
        <f>"159924"</f>
        <v>159924</v>
      </c>
      <c r="E3916" s="4">
        <v>45444</v>
      </c>
      <c r="F3916" s="1">
        <v>45390</v>
      </c>
      <c r="G3916" t="str">
        <f>"300101"</f>
        <v>300101</v>
      </c>
      <c r="H3916" t="s">
        <v>2926</v>
      </c>
      <c r="I3916">
        <v>3197.34</v>
      </c>
    </row>
    <row r="3917" spans="1:9" x14ac:dyDescent="0.25">
      <c r="A3917" t="s">
        <v>9616</v>
      </c>
      <c r="C3917" t="s">
        <v>9617</v>
      </c>
      <c r="D3917" t="s">
        <v>11595</v>
      </c>
      <c r="E3917" t="s">
        <v>9971</v>
      </c>
      <c r="F3917" s="1">
        <v>45390</v>
      </c>
      <c r="G3917" t="str">
        <f>"300133"</f>
        <v>300133</v>
      </c>
      <c r="H3917" t="s">
        <v>2955</v>
      </c>
      <c r="I3917">
        <v>4895.3999999999996</v>
      </c>
    </row>
    <row r="3918" spans="1:9" x14ac:dyDescent="0.25">
      <c r="A3918" t="s">
        <v>9616</v>
      </c>
      <c r="C3918" t="s">
        <v>9617</v>
      </c>
      <c r="D3918" t="s">
        <v>11596</v>
      </c>
      <c r="E3918" t="s">
        <v>9615</v>
      </c>
      <c r="F3918" s="1">
        <v>45390</v>
      </c>
      <c r="G3918" t="str">
        <f>"300133"</f>
        <v>300133</v>
      </c>
      <c r="H3918" t="s">
        <v>2955</v>
      </c>
      <c r="I3918">
        <v>36709.199999999997</v>
      </c>
    </row>
    <row r="3919" spans="1:9" x14ac:dyDescent="0.25">
      <c r="A3919" t="s">
        <v>9616</v>
      </c>
      <c r="C3919" t="s">
        <v>9617</v>
      </c>
      <c r="D3919" t="s">
        <v>11597</v>
      </c>
      <c r="E3919" t="s">
        <v>11598</v>
      </c>
      <c r="F3919" s="1">
        <v>45390</v>
      </c>
      <c r="G3919" t="str">
        <f>"300133"</f>
        <v>300133</v>
      </c>
      <c r="H3919" t="s">
        <v>2955</v>
      </c>
      <c r="I3919">
        <v>1334.55</v>
      </c>
    </row>
    <row r="3920" spans="1:9" x14ac:dyDescent="0.25">
      <c r="A3920" t="s">
        <v>9616</v>
      </c>
      <c r="C3920" t="s">
        <v>9617</v>
      </c>
      <c r="D3920" t="s">
        <v>11599</v>
      </c>
      <c r="E3920" t="s">
        <v>9565</v>
      </c>
      <c r="F3920" s="1">
        <v>45390</v>
      </c>
      <c r="G3920" t="str">
        <f>"300133"</f>
        <v>300133</v>
      </c>
      <c r="H3920" t="s">
        <v>2955</v>
      </c>
      <c r="I3920">
        <v>34630.199999999997</v>
      </c>
    </row>
    <row r="3921" spans="1:9" x14ac:dyDescent="0.25">
      <c r="A3921" t="s">
        <v>9616</v>
      </c>
      <c r="C3921" t="s">
        <v>9617</v>
      </c>
      <c r="D3921" t="str">
        <f>"202402607"</f>
        <v>202402607</v>
      </c>
      <c r="E3921" t="s">
        <v>11588</v>
      </c>
      <c r="F3921" s="1">
        <v>45390</v>
      </c>
      <c r="G3921" t="str">
        <f>"300191"</f>
        <v>300191</v>
      </c>
      <c r="H3921" t="s">
        <v>3008</v>
      </c>
      <c r="I3921">
        <v>3460.14</v>
      </c>
    </row>
    <row r="3922" spans="1:9" x14ac:dyDescent="0.25">
      <c r="A3922" t="s">
        <v>9616</v>
      </c>
      <c r="C3922" t="s">
        <v>9617</v>
      </c>
      <c r="D3922" t="str">
        <f>"202402611"</f>
        <v>202402611</v>
      </c>
      <c r="E3922" t="s">
        <v>11590</v>
      </c>
      <c r="F3922" s="1">
        <v>45390</v>
      </c>
      <c r="G3922" t="str">
        <f>"300191"</f>
        <v>300191</v>
      </c>
      <c r="H3922" t="s">
        <v>3008</v>
      </c>
      <c r="I3922">
        <v>3241.34</v>
      </c>
    </row>
    <row r="3923" spans="1:9" x14ac:dyDescent="0.25">
      <c r="A3923" t="s">
        <v>9616</v>
      </c>
      <c r="C3923" t="s">
        <v>9617</v>
      </c>
      <c r="D3923" t="str">
        <f>"202402613"</f>
        <v>202402613</v>
      </c>
      <c r="E3923" t="s">
        <v>11589</v>
      </c>
      <c r="F3923" s="1">
        <v>45390</v>
      </c>
      <c r="G3923" t="str">
        <f>"300191"</f>
        <v>300191</v>
      </c>
      <c r="H3923" t="s">
        <v>3008</v>
      </c>
      <c r="I3923">
        <v>3412.74</v>
      </c>
    </row>
    <row r="3924" spans="1:9" x14ac:dyDescent="0.25">
      <c r="A3924" t="s">
        <v>9616</v>
      </c>
      <c r="C3924" t="s">
        <v>9617</v>
      </c>
      <c r="D3924" t="s">
        <v>11600</v>
      </c>
      <c r="E3924" t="s">
        <v>8967</v>
      </c>
      <c r="F3924" s="1">
        <v>45390</v>
      </c>
      <c r="G3924" t="str">
        <f>"300356"</f>
        <v>300356</v>
      </c>
      <c r="H3924" t="s">
        <v>3094</v>
      </c>
      <c r="I3924">
        <v>171131.26800000001</v>
      </c>
    </row>
    <row r="3925" spans="1:9" x14ac:dyDescent="0.25">
      <c r="A3925" t="s">
        <v>9616</v>
      </c>
      <c r="C3925" t="s">
        <v>9617</v>
      </c>
      <c r="D3925" t="s">
        <v>11601</v>
      </c>
      <c r="E3925" t="s">
        <v>11602</v>
      </c>
      <c r="F3925" s="1">
        <v>45390</v>
      </c>
      <c r="G3925" t="str">
        <f>"300375"</f>
        <v>300375</v>
      </c>
      <c r="H3925" t="s">
        <v>3112</v>
      </c>
      <c r="I3925">
        <v>183256.85620000001</v>
      </c>
    </row>
    <row r="3926" spans="1:9" x14ac:dyDescent="0.25">
      <c r="A3926" t="s">
        <v>9616</v>
      </c>
      <c r="C3926" t="s">
        <v>9617</v>
      </c>
      <c r="D3926" t="s">
        <v>11603</v>
      </c>
      <c r="E3926" t="s">
        <v>9562</v>
      </c>
      <c r="F3926" s="1">
        <v>45391</v>
      </c>
      <c r="G3926" t="str">
        <f>"300133"</f>
        <v>300133</v>
      </c>
      <c r="H3926" t="s">
        <v>2955</v>
      </c>
      <c r="I3926">
        <v>17971.2</v>
      </c>
    </row>
    <row r="3927" spans="1:9" x14ac:dyDescent="0.25">
      <c r="A3927" t="s">
        <v>9616</v>
      </c>
      <c r="C3927" t="s">
        <v>9617</v>
      </c>
      <c r="D3927" t="str">
        <f>"202402637"</f>
        <v>202402637</v>
      </c>
      <c r="E3927" t="s">
        <v>11585</v>
      </c>
      <c r="F3927" s="1">
        <v>45391</v>
      </c>
      <c r="G3927" t="str">
        <f>"300191"</f>
        <v>300191</v>
      </c>
      <c r="H3927" t="s">
        <v>3008</v>
      </c>
      <c r="I3927">
        <v>2559.7199999999998</v>
      </c>
    </row>
    <row r="3928" spans="1:9" x14ac:dyDescent="0.25">
      <c r="A3928" t="s">
        <v>9616</v>
      </c>
      <c r="C3928" t="s">
        <v>9617</v>
      </c>
      <c r="D3928" t="str">
        <f>"80179303"</f>
        <v>80179303</v>
      </c>
      <c r="E3928" t="s">
        <v>11604</v>
      </c>
      <c r="F3928" s="1">
        <v>45394</v>
      </c>
      <c r="G3928" t="str">
        <f>"300381"</f>
        <v>300381</v>
      </c>
      <c r="H3928" t="s">
        <v>3118</v>
      </c>
      <c r="I3928">
        <v>333934.96950000001</v>
      </c>
    </row>
    <row r="3929" spans="1:9" x14ac:dyDescent="0.25">
      <c r="A3929" t="s">
        <v>9616</v>
      </c>
      <c r="C3929" t="s">
        <v>9617</v>
      </c>
      <c r="D3929" t="str">
        <f>"80179304"</f>
        <v>80179304</v>
      </c>
      <c r="E3929" t="s">
        <v>9189</v>
      </c>
      <c r="F3929" s="1">
        <v>45394</v>
      </c>
      <c r="G3929" t="str">
        <f>"300381"</f>
        <v>300381</v>
      </c>
      <c r="H3929" t="s">
        <v>3118</v>
      </c>
      <c r="I3929">
        <v>333934.96950000001</v>
      </c>
    </row>
    <row r="3930" spans="1:9" x14ac:dyDescent="0.25">
      <c r="A3930" t="s">
        <v>9616</v>
      </c>
      <c r="C3930" t="s">
        <v>9617</v>
      </c>
      <c r="D3930" t="str">
        <f>"161924"</f>
        <v>161924</v>
      </c>
      <c r="E3930" s="4">
        <v>45444</v>
      </c>
      <c r="F3930" s="1">
        <v>45397</v>
      </c>
      <c r="G3930" t="str">
        <f>"300101"</f>
        <v>300101</v>
      </c>
      <c r="H3930" t="s">
        <v>2926</v>
      </c>
      <c r="I3930">
        <v>342.8</v>
      </c>
    </row>
    <row r="3931" spans="1:9" x14ac:dyDescent="0.25">
      <c r="A3931" t="s">
        <v>9616</v>
      </c>
      <c r="C3931" t="s">
        <v>9617</v>
      </c>
      <c r="D3931" t="str">
        <f>"10157576"</f>
        <v>10157576</v>
      </c>
      <c r="E3931" t="s">
        <v>9189</v>
      </c>
      <c r="F3931" s="1">
        <v>45397</v>
      </c>
      <c r="G3931" t="str">
        <f>"300115"</f>
        <v>300115</v>
      </c>
      <c r="H3931" t="s">
        <v>2938</v>
      </c>
      <c r="I3931">
        <v>346283.685</v>
      </c>
    </row>
    <row r="3932" spans="1:9" x14ac:dyDescent="0.25">
      <c r="A3932" t="s">
        <v>9616</v>
      </c>
      <c r="C3932" t="s">
        <v>9617</v>
      </c>
      <c r="D3932" t="str">
        <f>"240002149"</f>
        <v>240002149</v>
      </c>
      <c r="E3932" t="s">
        <v>11605</v>
      </c>
      <c r="F3932" s="1">
        <v>45397</v>
      </c>
      <c r="G3932" t="str">
        <f>"300344"</f>
        <v>300344</v>
      </c>
      <c r="H3932" t="s">
        <v>3084</v>
      </c>
      <c r="I3932">
        <v>262266.28000000003</v>
      </c>
    </row>
    <row r="3933" spans="1:9" x14ac:dyDescent="0.25">
      <c r="A3933" t="s">
        <v>9616</v>
      </c>
      <c r="C3933" t="s">
        <v>9617</v>
      </c>
      <c r="D3933" t="str">
        <f>"2405040424"</f>
        <v>2405040424</v>
      </c>
      <c r="E3933" t="s">
        <v>11606</v>
      </c>
      <c r="F3933" s="1">
        <v>45397</v>
      </c>
      <c r="G3933" t="str">
        <f>"300383"</f>
        <v>300383</v>
      </c>
      <c r="H3933" t="s">
        <v>3120</v>
      </c>
      <c r="I3933">
        <v>29721.5</v>
      </c>
    </row>
    <row r="3934" spans="1:9" x14ac:dyDescent="0.25">
      <c r="A3934" t="s">
        <v>9616</v>
      </c>
      <c r="C3934" t="s">
        <v>9617</v>
      </c>
      <c r="D3934" t="str">
        <f>"5458"</f>
        <v>5458</v>
      </c>
      <c r="E3934" t="s">
        <v>11471</v>
      </c>
      <c r="F3934" s="1">
        <v>45398</v>
      </c>
      <c r="G3934" t="str">
        <f>"300043"</f>
        <v>300043</v>
      </c>
      <c r="H3934" t="s">
        <v>2876</v>
      </c>
      <c r="I3934">
        <v>4276</v>
      </c>
    </row>
    <row r="3935" spans="1:9" x14ac:dyDescent="0.25">
      <c r="A3935" t="s">
        <v>9616</v>
      </c>
      <c r="C3935" t="s">
        <v>9617</v>
      </c>
      <c r="D3935" t="str">
        <f>"28845"</f>
        <v>28845</v>
      </c>
      <c r="E3935" t="s">
        <v>11607</v>
      </c>
      <c r="F3935" s="1">
        <v>45398</v>
      </c>
      <c r="G3935" t="str">
        <f>"300043"</f>
        <v>300043</v>
      </c>
      <c r="H3935" t="s">
        <v>2876</v>
      </c>
      <c r="I3935">
        <v>1322</v>
      </c>
    </row>
    <row r="3936" spans="1:9" x14ac:dyDescent="0.25">
      <c r="A3936" t="s">
        <v>9616</v>
      </c>
      <c r="C3936" t="s">
        <v>9617</v>
      </c>
      <c r="D3936" t="str">
        <f>"10157579"</f>
        <v>10157579</v>
      </c>
      <c r="E3936" t="s">
        <v>9189</v>
      </c>
      <c r="F3936" s="1">
        <v>45398</v>
      </c>
      <c r="G3936" t="str">
        <f>"300115"</f>
        <v>300115</v>
      </c>
      <c r="H3936" t="s">
        <v>2938</v>
      </c>
      <c r="I3936">
        <v>346283.685</v>
      </c>
    </row>
    <row r="3937" spans="1:9" x14ac:dyDescent="0.25">
      <c r="A3937" t="s">
        <v>9616</v>
      </c>
      <c r="C3937" t="s">
        <v>9617</v>
      </c>
      <c r="D3937" t="str">
        <f>"29037"</f>
        <v>29037</v>
      </c>
      <c r="E3937" t="s">
        <v>11608</v>
      </c>
      <c r="F3937" s="1">
        <v>45399</v>
      </c>
      <c r="G3937" t="str">
        <f t="shared" ref="G3937:G3942" si="19">"300043"</f>
        <v>300043</v>
      </c>
      <c r="H3937" t="s">
        <v>2876</v>
      </c>
      <c r="I3937">
        <v>1338</v>
      </c>
    </row>
    <row r="3938" spans="1:9" x14ac:dyDescent="0.25">
      <c r="A3938" t="s">
        <v>9616</v>
      </c>
      <c r="C3938" t="s">
        <v>9617</v>
      </c>
      <c r="D3938" t="str">
        <f>"29272"</f>
        <v>29272</v>
      </c>
      <c r="E3938" t="s">
        <v>11609</v>
      </c>
      <c r="F3938" s="1">
        <v>45399</v>
      </c>
      <c r="G3938" t="str">
        <f t="shared" si="19"/>
        <v>300043</v>
      </c>
      <c r="H3938" t="s">
        <v>2876</v>
      </c>
      <c r="I3938">
        <v>1325</v>
      </c>
    </row>
    <row r="3939" spans="1:9" x14ac:dyDescent="0.25">
      <c r="A3939" t="s">
        <v>9616</v>
      </c>
      <c r="C3939" t="s">
        <v>9617</v>
      </c>
      <c r="D3939" t="str">
        <f>"47397"</f>
        <v>47397</v>
      </c>
      <c r="E3939" s="4">
        <v>45474</v>
      </c>
      <c r="F3939" s="1">
        <v>45399</v>
      </c>
      <c r="G3939" t="str">
        <f t="shared" si="19"/>
        <v>300043</v>
      </c>
      <c r="H3939" t="s">
        <v>2876</v>
      </c>
      <c r="I3939">
        <v>1012</v>
      </c>
    </row>
    <row r="3940" spans="1:9" x14ac:dyDescent="0.25">
      <c r="A3940" t="s">
        <v>9616</v>
      </c>
      <c r="C3940" t="s">
        <v>9617</v>
      </c>
      <c r="D3940" t="str">
        <f>"4539024"</f>
        <v>4539024</v>
      </c>
      <c r="E3940" t="s">
        <v>11583</v>
      </c>
      <c r="F3940" s="1">
        <v>45399</v>
      </c>
      <c r="G3940" t="str">
        <f t="shared" si="19"/>
        <v>300043</v>
      </c>
      <c r="H3940" t="s">
        <v>2876</v>
      </c>
      <c r="I3940">
        <v>391</v>
      </c>
    </row>
    <row r="3941" spans="1:9" x14ac:dyDescent="0.25">
      <c r="A3941" t="s">
        <v>9616</v>
      </c>
      <c r="C3941" t="s">
        <v>9617</v>
      </c>
      <c r="D3941" t="str">
        <f>"29357"</f>
        <v>29357</v>
      </c>
      <c r="E3941" s="4">
        <v>45505</v>
      </c>
      <c r="F3941" s="1">
        <v>45400</v>
      </c>
      <c r="G3941" t="str">
        <f t="shared" si="19"/>
        <v>300043</v>
      </c>
      <c r="H3941" t="s">
        <v>2876</v>
      </c>
      <c r="I3941">
        <v>727</v>
      </c>
    </row>
    <row r="3942" spans="1:9" x14ac:dyDescent="0.25">
      <c r="A3942" t="s">
        <v>9616</v>
      </c>
      <c r="C3942" t="s">
        <v>9617</v>
      </c>
      <c r="D3942" t="str">
        <f>"29562"</f>
        <v>29562</v>
      </c>
      <c r="E3942" t="s">
        <v>11610</v>
      </c>
      <c r="F3942" s="1">
        <v>45400</v>
      </c>
      <c r="G3942" t="str">
        <f t="shared" si="19"/>
        <v>300043</v>
      </c>
      <c r="H3942" t="s">
        <v>2876</v>
      </c>
      <c r="I3942">
        <v>1320</v>
      </c>
    </row>
    <row r="3943" spans="1:9" x14ac:dyDescent="0.25">
      <c r="A3943" t="s">
        <v>9616</v>
      </c>
      <c r="C3943" t="s">
        <v>9617</v>
      </c>
      <c r="D3943" t="str">
        <f>"202402799"</f>
        <v>202402799</v>
      </c>
      <c r="E3943" t="s">
        <v>11607</v>
      </c>
      <c r="F3943" s="1">
        <v>45400</v>
      </c>
      <c r="G3943" t="str">
        <f>"300191"</f>
        <v>300191</v>
      </c>
      <c r="H3943" t="s">
        <v>3008</v>
      </c>
      <c r="I3943">
        <v>3288.74</v>
      </c>
    </row>
    <row r="3944" spans="1:9" x14ac:dyDescent="0.25">
      <c r="A3944" t="s">
        <v>9616</v>
      </c>
      <c r="C3944" t="s">
        <v>9617</v>
      </c>
      <c r="D3944" t="str">
        <f>"5707"</f>
        <v>5707</v>
      </c>
      <c r="E3944" t="s">
        <v>11471</v>
      </c>
      <c r="F3944" s="1">
        <v>45401</v>
      </c>
      <c r="G3944" t="str">
        <f>"300043"</f>
        <v>300043</v>
      </c>
      <c r="H3944" t="s">
        <v>2876</v>
      </c>
      <c r="I3944">
        <v>3805</v>
      </c>
    </row>
    <row r="3945" spans="1:9" x14ac:dyDescent="0.25">
      <c r="A3945" t="s">
        <v>9616</v>
      </c>
      <c r="C3945" t="s">
        <v>9617</v>
      </c>
      <c r="D3945" t="str">
        <f>"35766"</f>
        <v>35766</v>
      </c>
      <c r="E3945" t="s">
        <v>11611</v>
      </c>
      <c r="F3945" s="1">
        <v>45401</v>
      </c>
      <c r="G3945" t="str">
        <f>"300043"</f>
        <v>300043</v>
      </c>
      <c r="H3945" t="s">
        <v>2876</v>
      </c>
      <c r="I3945">
        <v>9428</v>
      </c>
    </row>
    <row r="3946" spans="1:9" x14ac:dyDescent="0.25">
      <c r="A3946" t="s">
        <v>9616</v>
      </c>
      <c r="C3946" t="s">
        <v>9617</v>
      </c>
      <c r="D3946" t="str">
        <f>"47188"</f>
        <v>47188</v>
      </c>
      <c r="E3946" t="s">
        <v>11592</v>
      </c>
      <c r="F3946" s="1">
        <v>45401</v>
      </c>
      <c r="G3946" t="str">
        <f>"300043"</f>
        <v>300043</v>
      </c>
      <c r="H3946" t="s">
        <v>2876</v>
      </c>
      <c r="I3946">
        <v>391</v>
      </c>
    </row>
    <row r="3947" spans="1:9" x14ac:dyDescent="0.25">
      <c r="A3947" t="s">
        <v>9616</v>
      </c>
      <c r="C3947" t="s">
        <v>9617</v>
      </c>
      <c r="D3947" t="s">
        <v>11612</v>
      </c>
      <c r="E3947" s="2">
        <v>46027</v>
      </c>
      <c r="F3947" s="1">
        <v>45401</v>
      </c>
      <c r="G3947" t="str">
        <f>"300064"</f>
        <v>300064</v>
      </c>
      <c r="H3947" t="s">
        <v>2896</v>
      </c>
      <c r="I3947">
        <v>120820</v>
      </c>
    </row>
    <row r="3948" spans="1:9" x14ac:dyDescent="0.25">
      <c r="A3948" t="s">
        <v>9616</v>
      </c>
      <c r="C3948" t="s">
        <v>9617</v>
      </c>
      <c r="D3948" t="str">
        <f>"202402831"</f>
        <v>202402831</v>
      </c>
      <c r="E3948" t="s">
        <v>11608</v>
      </c>
      <c r="F3948" s="1">
        <v>45401</v>
      </c>
      <c r="G3948" t="str">
        <f>"300191"</f>
        <v>300191</v>
      </c>
      <c r="H3948" t="s">
        <v>3008</v>
      </c>
      <c r="I3948">
        <v>3241.34</v>
      </c>
    </row>
    <row r="3949" spans="1:9" x14ac:dyDescent="0.25">
      <c r="A3949" t="s">
        <v>9616</v>
      </c>
      <c r="C3949" t="s">
        <v>9617</v>
      </c>
      <c r="D3949" t="s">
        <v>11613</v>
      </c>
      <c r="E3949" t="s">
        <v>11608</v>
      </c>
      <c r="F3949" s="1">
        <v>45401</v>
      </c>
      <c r="G3949" t="str">
        <f>"300321"</f>
        <v>300321</v>
      </c>
      <c r="H3949" t="s">
        <v>2706</v>
      </c>
      <c r="I3949">
        <v>19000</v>
      </c>
    </row>
    <row r="3950" spans="1:9" x14ac:dyDescent="0.25">
      <c r="A3950" t="s">
        <v>9616</v>
      </c>
      <c r="C3950" t="s">
        <v>9617</v>
      </c>
      <c r="D3950" t="str">
        <f>"202402933"</f>
        <v>202402933</v>
      </c>
      <c r="E3950" t="s">
        <v>11533</v>
      </c>
      <c r="F3950" s="1">
        <v>45404</v>
      </c>
      <c r="G3950" t="str">
        <f>"300191"</f>
        <v>300191</v>
      </c>
      <c r="H3950" t="s">
        <v>3008</v>
      </c>
      <c r="I3950">
        <v>451.93</v>
      </c>
    </row>
    <row r="3951" spans="1:9" x14ac:dyDescent="0.25">
      <c r="A3951" t="s">
        <v>9616</v>
      </c>
      <c r="C3951" t="s">
        <v>9617</v>
      </c>
      <c r="D3951" t="str">
        <f>"35747"</f>
        <v>35747</v>
      </c>
      <c r="E3951" t="s">
        <v>11614</v>
      </c>
      <c r="F3951" s="1">
        <v>45405</v>
      </c>
      <c r="G3951" t="str">
        <f>"300043"</f>
        <v>300043</v>
      </c>
      <c r="H3951" t="s">
        <v>2876</v>
      </c>
      <c r="I3951">
        <v>7063</v>
      </c>
    </row>
    <row r="3952" spans="1:9" x14ac:dyDescent="0.25">
      <c r="A3952" t="s">
        <v>9616</v>
      </c>
      <c r="C3952" t="s">
        <v>9617</v>
      </c>
      <c r="D3952" t="str">
        <f>"179224"</f>
        <v>179224</v>
      </c>
      <c r="E3952" s="4">
        <v>45474</v>
      </c>
      <c r="F3952" s="1">
        <v>45405</v>
      </c>
      <c r="G3952" t="str">
        <f>"300101"</f>
        <v>300101</v>
      </c>
      <c r="H3952" t="s">
        <v>2926</v>
      </c>
      <c r="I3952">
        <v>12471.2</v>
      </c>
    </row>
    <row r="3953" spans="1:9" x14ac:dyDescent="0.25">
      <c r="A3953" t="s">
        <v>9616</v>
      </c>
      <c r="C3953" t="s">
        <v>9617</v>
      </c>
      <c r="D3953" t="str">
        <f>"179324"</f>
        <v>179324</v>
      </c>
      <c r="E3953" s="4">
        <v>45505</v>
      </c>
      <c r="F3953" s="1">
        <v>45405</v>
      </c>
      <c r="G3953" t="str">
        <f>"300101"</f>
        <v>300101</v>
      </c>
      <c r="H3953" t="s">
        <v>2926</v>
      </c>
      <c r="I3953">
        <v>6094.16</v>
      </c>
    </row>
    <row r="3954" spans="1:9" x14ac:dyDescent="0.25">
      <c r="A3954" t="s">
        <v>9616</v>
      </c>
      <c r="C3954" t="s">
        <v>9617</v>
      </c>
      <c r="D3954" t="str">
        <f>"2401400048"</f>
        <v>2401400048</v>
      </c>
      <c r="E3954" t="s">
        <v>9293</v>
      </c>
      <c r="F3954" s="1">
        <v>45405</v>
      </c>
      <c r="G3954" t="str">
        <f>"300312"</f>
        <v>300312</v>
      </c>
      <c r="H3954" t="s">
        <v>3053</v>
      </c>
      <c r="I3954">
        <v>428313.59999999998</v>
      </c>
    </row>
    <row r="3955" spans="1:9" x14ac:dyDescent="0.25">
      <c r="A3955" t="s">
        <v>9616</v>
      </c>
      <c r="C3955" t="s">
        <v>9617</v>
      </c>
      <c r="D3955" t="str">
        <f>"2039"</f>
        <v>2039</v>
      </c>
      <c r="E3955" t="s">
        <v>11615</v>
      </c>
      <c r="F3955" s="1">
        <v>45406</v>
      </c>
      <c r="G3955" t="str">
        <f>"300043"</f>
        <v>300043</v>
      </c>
      <c r="H3955" t="s">
        <v>2876</v>
      </c>
      <c r="I3955">
        <v>3732</v>
      </c>
    </row>
    <row r="3956" spans="1:9" x14ac:dyDescent="0.25">
      <c r="A3956" t="s">
        <v>9616</v>
      </c>
      <c r="C3956" t="s">
        <v>9617</v>
      </c>
      <c r="D3956" t="str">
        <f>"202403014"</f>
        <v>202403014</v>
      </c>
      <c r="E3956" t="s">
        <v>11609</v>
      </c>
      <c r="F3956" s="1">
        <v>45406</v>
      </c>
      <c r="G3956" t="str">
        <f>"300191"</f>
        <v>300191</v>
      </c>
      <c r="H3956" t="s">
        <v>3008</v>
      </c>
      <c r="I3956">
        <v>3265.04</v>
      </c>
    </row>
    <row r="3957" spans="1:9" x14ac:dyDescent="0.25">
      <c r="A3957" t="s">
        <v>9616</v>
      </c>
      <c r="C3957" t="s">
        <v>9617</v>
      </c>
      <c r="D3957" t="str">
        <f>"202403023"</f>
        <v>202403023</v>
      </c>
      <c r="E3957" t="s">
        <v>11610</v>
      </c>
      <c r="F3957" s="1">
        <v>45406</v>
      </c>
      <c r="G3957" t="str">
        <f>"300191"</f>
        <v>300191</v>
      </c>
      <c r="H3957" t="s">
        <v>3008</v>
      </c>
      <c r="I3957">
        <v>3241.34</v>
      </c>
    </row>
    <row r="3958" spans="1:9" x14ac:dyDescent="0.25">
      <c r="A3958" t="s">
        <v>9616</v>
      </c>
      <c r="C3958" t="s">
        <v>9617</v>
      </c>
      <c r="D3958" t="str">
        <f>"202403029"</f>
        <v>202403029</v>
      </c>
      <c r="E3958" t="s">
        <v>11614</v>
      </c>
      <c r="F3958" s="1">
        <v>45406</v>
      </c>
      <c r="G3958" t="str">
        <f>"300191"</f>
        <v>300191</v>
      </c>
      <c r="H3958" t="s">
        <v>3008</v>
      </c>
      <c r="I3958">
        <v>4428.74</v>
      </c>
    </row>
    <row r="3959" spans="1:9" x14ac:dyDescent="0.25">
      <c r="A3959" t="s">
        <v>9616</v>
      </c>
      <c r="C3959" t="s">
        <v>9617</v>
      </c>
      <c r="D3959" t="str">
        <f>"202403057"</f>
        <v>202403057</v>
      </c>
      <c r="E3959" t="s">
        <v>11592</v>
      </c>
      <c r="F3959" s="1">
        <v>45406</v>
      </c>
      <c r="G3959" t="str">
        <f>"300191"</f>
        <v>300191</v>
      </c>
      <c r="H3959" t="s">
        <v>3008</v>
      </c>
      <c r="I3959">
        <v>6302.58</v>
      </c>
    </row>
    <row r="3960" spans="1:9" x14ac:dyDescent="0.25">
      <c r="A3960" t="s">
        <v>9616</v>
      </c>
      <c r="C3960" t="s">
        <v>9617</v>
      </c>
      <c r="D3960" t="str">
        <f>"202403060"</f>
        <v>202403060</v>
      </c>
      <c r="E3960" t="s">
        <v>11583</v>
      </c>
      <c r="F3960" s="1">
        <v>45406</v>
      </c>
      <c r="G3960" t="str">
        <f>"300191"</f>
        <v>300191</v>
      </c>
      <c r="H3960" t="s">
        <v>3008</v>
      </c>
      <c r="I3960">
        <v>4479.9399999999996</v>
      </c>
    </row>
    <row r="3961" spans="1:9" x14ac:dyDescent="0.25">
      <c r="A3961" t="s">
        <v>9616</v>
      </c>
      <c r="C3961" t="s">
        <v>9617</v>
      </c>
      <c r="D3961" t="str">
        <f>"6130"</f>
        <v>6130</v>
      </c>
      <c r="E3961" t="s">
        <v>11471</v>
      </c>
      <c r="F3961" s="1">
        <v>45407</v>
      </c>
      <c r="G3961" t="str">
        <f>"300043"</f>
        <v>300043</v>
      </c>
      <c r="H3961" t="s">
        <v>2876</v>
      </c>
      <c r="I3961">
        <v>4391</v>
      </c>
    </row>
    <row r="3962" spans="1:9" x14ac:dyDescent="0.25">
      <c r="A3962" t="s">
        <v>9616</v>
      </c>
      <c r="C3962" t="s">
        <v>9617</v>
      </c>
      <c r="D3962" t="str">
        <f>"52647"</f>
        <v>52647</v>
      </c>
      <c r="E3962" t="s">
        <v>11606</v>
      </c>
      <c r="F3962" s="1">
        <v>45407</v>
      </c>
      <c r="G3962" t="str">
        <f>"300043"</f>
        <v>300043</v>
      </c>
      <c r="H3962" t="s">
        <v>2876</v>
      </c>
      <c r="I3962">
        <v>416</v>
      </c>
    </row>
    <row r="3963" spans="1:9" x14ac:dyDescent="0.25">
      <c r="A3963" t="s">
        <v>9616</v>
      </c>
      <c r="C3963" t="s">
        <v>9617</v>
      </c>
      <c r="D3963" t="str">
        <f>"53054"</f>
        <v>53054</v>
      </c>
      <c r="E3963" t="s">
        <v>11616</v>
      </c>
      <c r="F3963" s="1">
        <v>45407</v>
      </c>
      <c r="G3963" t="str">
        <f>"300043"</f>
        <v>300043</v>
      </c>
      <c r="H3963" t="s">
        <v>2876</v>
      </c>
      <c r="I3963">
        <v>1139</v>
      </c>
    </row>
    <row r="3964" spans="1:9" x14ac:dyDescent="0.25">
      <c r="A3964" t="s">
        <v>9616</v>
      </c>
      <c r="C3964" t="s">
        <v>9617</v>
      </c>
      <c r="D3964" t="str">
        <f>"10157799"</f>
        <v>10157799</v>
      </c>
      <c r="E3964" t="s">
        <v>9189</v>
      </c>
      <c r="F3964" s="1">
        <v>45407</v>
      </c>
      <c r="G3964" t="str">
        <f>"300115"</f>
        <v>300115</v>
      </c>
      <c r="H3964" t="s">
        <v>2938</v>
      </c>
      <c r="I3964">
        <v>346254.57900000003</v>
      </c>
    </row>
    <row r="3965" spans="1:9" x14ac:dyDescent="0.25">
      <c r="A3965" t="s">
        <v>9616</v>
      </c>
      <c r="C3965" t="s">
        <v>9617</v>
      </c>
      <c r="D3965" t="str">
        <f>"202403081"</f>
        <v>202403081</v>
      </c>
      <c r="E3965" t="s">
        <v>11611</v>
      </c>
      <c r="F3965" s="1">
        <v>45407</v>
      </c>
      <c r="G3965" t="str">
        <f>"300191"</f>
        <v>300191</v>
      </c>
      <c r="H3965" t="s">
        <v>3008</v>
      </c>
      <c r="I3965">
        <v>2067.2199999999998</v>
      </c>
    </row>
    <row r="3966" spans="1:9" x14ac:dyDescent="0.25">
      <c r="A3966" t="s">
        <v>9616</v>
      </c>
      <c r="C3966" t="s">
        <v>9617</v>
      </c>
      <c r="D3966" t="str">
        <f>"322423"</f>
        <v>322423</v>
      </c>
      <c r="E3966" t="s">
        <v>11617</v>
      </c>
      <c r="F3966" s="1">
        <v>45408</v>
      </c>
      <c r="G3966" t="str">
        <f>"300043"</f>
        <v>300043</v>
      </c>
      <c r="H3966" t="s">
        <v>2876</v>
      </c>
      <c r="I3966">
        <v>1342</v>
      </c>
    </row>
    <row r="3967" spans="1:9" x14ac:dyDescent="0.25">
      <c r="A3967" t="s">
        <v>9616</v>
      </c>
      <c r="C3967" t="s">
        <v>9617</v>
      </c>
      <c r="D3967" t="str">
        <f>"10157822"</f>
        <v>10157822</v>
      </c>
      <c r="E3967" t="s">
        <v>11618</v>
      </c>
      <c r="F3967" s="1">
        <v>45408</v>
      </c>
      <c r="G3967" t="str">
        <f>"300115"</f>
        <v>300115</v>
      </c>
      <c r="H3967" t="s">
        <v>2938</v>
      </c>
      <c r="I3967">
        <v>346254.57900000003</v>
      </c>
    </row>
    <row r="3968" spans="1:9" x14ac:dyDescent="0.25">
      <c r="A3968" t="s">
        <v>9616</v>
      </c>
      <c r="C3968" t="s">
        <v>9617</v>
      </c>
      <c r="D3968" t="str">
        <f>"33190"</f>
        <v>33190</v>
      </c>
      <c r="E3968" t="s">
        <v>11619</v>
      </c>
      <c r="F3968" s="1">
        <v>45411</v>
      </c>
      <c r="G3968" t="str">
        <f>"300043"</f>
        <v>300043</v>
      </c>
      <c r="H3968" t="s">
        <v>2876</v>
      </c>
      <c r="I3968">
        <v>1343</v>
      </c>
    </row>
    <row r="3969" spans="1:9" x14ac:dyDescent="0.25">
      <c r="A3969" t="s">
        <v>9616</v>
      </c>
      <c r="C3969" t="s">
        <v>9617</v>
      </c>
      <c r="D3969" t="str">
        <f>"202403187"</f>
        <v>202403187</v>
      </c>
      <c r="E3969" t="s">
        <v>11606</v>
      </c>
      <c r="F3969" s="1">
        <v>45411</v>
      </c>
      <c r="G3969" t="str">
        <f>"300191"</f>
        <v>300191</v>
      </c>
      <c r="H3969" t="s">
        <v>3008</v>
      </c>
      <c r="I3969">
        <v>4330.43</v>
      </c>
    </row>
    <row r="3970" spans="1:9" x14ac:dyDescent="0.25">
      <c r="A3970" t="s">
        <v>9616</v>
      </c>
      <c r="C3970" t="s">
        <v>9617</v>
      </c>
      <c r="D3970" t="str">
        <f>"202403231"</f>
        <v>202403231</v>
      </c>
      <c r="E3970" t="s">
        <v>11617</v>
      </c>
      <c r="F3970" s="1">
        <v>45411</v>
      </c>
      <c r="G3970" t="str">
        <f>"300191"</f>
        <v>300191</v>
      </c>
      <c r="H3970" t="s">
        <v>3008</v>
      </c>
      <c r="I3970">
        <v>3241.34</v>
      </c>
    </row>
    <row r="3971" spans="1:9" x14ac:dyDescent="0.25">
      <c r="A3971" t="s">
        <v>9616</v>
      </c>
      <c r="C3971" t="s">
        <v>9617</v>
      </c>
      <c r="D3971" t="s">
        <v>11620</v>
      </c>
      <c r="E3971" t="s">
        <v>11617</v>
      </c>
      <c r="F3971" s="1">
        <v>45411</v>
      </c>
      <c r="G3971" t="str">
        <f t="shared" ref="G3971:G3976" si="20">"300321"</f>
        <v>300321</v>
      </c>
      <c r="H3971" t="s">
        <v>2706</v>
      </c>
      <c r="I3971">
        <v>19000</v>
      </c>
    </row>
    <row r="3972" spans="1:9" x14ac:dyDescent="0.25">
      <c r="A3972" t="s">
        <v>9616</v>
      </c>
      <c r="C3972" t="s">
        <v>9617</v>
      </c>
      <c r="D3972" t="s">
        <v>11621</v>
      </c>
      <c r="E3972" t="s">
        <v>11619</v>
      </c>
      <c r="F3972" s="1">
        <v>45411</v>
      </c>
      <c r="G3972" t="str">
        <f t="shared" si="20"/>
        <v>300321</v>
      </c>
      <c r="H3972" t="s">
        <v>2706</v>
      </c>
      <c r="I3972">
        <v>18000</v>
      </c>
    </row>
    <row r="3973" spans="1:9" x14ac:dyDescent="0.25">
      <c r="A3973" t="s">
        <v>9616</v>
      </c>
      <c r="C3973" t="s">
        <v>9617</v>
      </c>
      <c r="D3973" t="s">
        <v>11622</v>
      </c>
      <c r="E3973" t="s">
        <v>11607</v>
      </c>
      <c r="F3973" s="1">
        <v>45411</v>
      </c>
      <c r="G3973" t="str">
        <f t="shared" si="20"/>
        <v>300321</v>
      </c>
      <c r="H3973" t="s">
        <v>2706</v>
      </c>
      <c r="I3973">
        <v>23000</v>
      </c>
    </row>
    <row r="3974" spans="1:9" x14ac:dyDescent="0.25">
      <c r="A3974" t="s">
        <v>9616</v>
      </c>
      <c r="C3974" t="s">
        <v>9617</v>
      </c>
      <c r="D3974" t="s">
        <v>11623</v>
      </c>
      <c r="E3974" t="s">
        <v>11610</v>
      </c>
      <c r="F3974" s="1">
        <v>45411</v>
      </c>
      <c r="G3974" t="str">
        <f t="shared" si="20"/>
        <v>300321</v>
      </c>
      <c r="H3974" t="s">
        <v>2706</v>
      </c>
      <c r="I3974">
        <v>21000</v>
      </c>
    </row>
    <row r="3975" spans="1:9" x14ac:dyDescent="0.25">
      <c r="A3975" t="s">
        <v>9616</v>
      </c>
      <c r="C3975" t="s">
        <v>9617</v>
      </c>
      <c r="D3975" t="s">
        <v>11624</v>
      </c>
      <c r="E3975" t="s">
        <v>11609</v>
      </c>
      <c r="F3975" s="1">
        <v>45411</v>
      </c>
      <c r="G3975" t="str">
        <f t="shared" si="20"/>
        <v>300321</v>
      </c>
      <c r="H3975" t="s">
        <v>2706</v>
      </c>
      <c r="I3975">
        <v>13000</v>
      </c>
    </row>
    <row r="3976" spans="1:9" x14ac:dyDescent="0.25">
      <c r="A3976" t="s">
        <v>9616</v>
      </c>
      <c r="C3976" t="s">
        <v>9617</v>
      </c>
      <c r="D3976" t="s">
        <v>11625</v>
      </c>
      <c r="E3976" t="s">
        <v>11626</v>
      </c>
      <c r="F3976" s="1">
        <v>45411</v>
      </c>
      <c r="G3976" t="str">
        <f t="shared" si="20"/>
        <v>300321</v>
      </c>
      <c r="H3976" t="s">
        <v>2706</v>
      </c>
      <c r="I3976">
        <v>14000</v>
      </c>
    </row>
    <row r="3977" spans="1:9" x14ac:dyDescent="0.25">
      <c r="A3977" t="s">
        <v>9616</v>
      </c>
      <c r="C3977" t="s">
        <v>9617</v>
      </c>
      <c r="D3977" t="str">
        <f>"80180239"</f>
        <v>80180239</v>
      </c>
      <c r="E3977" t="s">
        <v>9189</v>
      </c>
      <c r="F3977" s="1">
        <v>45411</v>
      </c>
      <c r="G3977" t="str">
        <f>"300381"</f>
        <v>300381</v>
      </c>
      <c r="H3977" t="s">
        <v>3118</v>
      </c>
      <c r="I3977">
        <v>333934.96950000001</v>
      </c>
    </row>
    <row r="3978" spans="1:9" x14ac:dyDescent="0.25">
      <c r="A3978" t="s">
        <v>9616</v>
      </c>
      <c r="C3978" t="s">
        <v>9617</v>
      </c>
      <c r="D3978" t="str">
        <f>"80180492"</f>
        <v>80180492</v>
      </c>
      <c r="E3978" t="s">
        <v>11627</v>
      </c>
      <c r="F3978" s="1">
        <v>45411</v>
      </c>
      <c r="G3978" t="str">
        <f>"300381"</f>
        <v>300381</v>
      </c>
      <c r="H3978" t="s">
        <v>3118</v>
      </c>
      <c r="I3978">
        <v>314413.70400000003</v>
      </c>
    </row>
    <row r="3979" spans="1:9" x14ac:dyDescent="0.25">
      <c r="A3979" t="s">
        <v>9616</v>
      </c>
      <c r="C3979" t="s">
        <v>9617</v>
      </c>
      <c r="D3979" t="str">
        <f>"32463"</f>
        <v>32463</v>
      </c>
      <c r="E3979" t="s">
        <v>11626</v>
      </c>
      <c r="F3979" s="1">
        <v>45412</v>
      </c>
      <c r="G3979" t="str">
        <f>"300043"</f>
        <v>300043</v>
      </c>
      <c r="H3979" t="s">
        <v>2876</v>
      </c>
      <c r="I3979">
        <v>6766</v>
      </c>
    </row>
    <row r="3980" spans="1:9" x14ac:dyDescent="0.25">
      <c r="A3980" t="s">
        <v>9616</v>
      </c>
      <c r="C3980" t="s">
        <v>9617</v>
      </c>
      <c r="D3980" t="s">
        <v>11628</v>
      </c>
      <c r="E3980" t="s">
        <v>9112</v>
      </c>
      <c r="F3980" s="1">
        <v>45412</v>
      </c>
      <c r="G3980" t="str">
        <f>"300064"</f>
        <v>300064</v>
      </c>
      <c r="H3980" t="s">
        <v>2896</v>
      </c>
      <c r="I3980">
        <v>120820</v>
      </c>
    </row>
    <row r="3981" spans="1:9" x14ac:dyDescent="0.25">
      <c r="A3981" t="s">
        <v>9616</v>
      </c>
      <c r="C3981" t="s">
        <v>9617</v>
      </c>
      <c r="D3981" t="str">
        <f>"202403284"</f>
        <v>202403284</v>
      </c>
      <c r="E3981" t="s">
        <v>11629</v>
      </c>
      <c r="F3981" s="1">
        <v>45412</v>
      </c>
      <c r="G3981" t="str">
        <f>"300191"</f>
        <v>300191</v>
      </c>
      <c r="H3981" t="s">
        <v>3008</v>
      </c>
      <c r="I3981">
        <v>15103.24</v>
      </c>
    </row>
    <row r="3982" spans="1:9" x14ac:dyDescent="0.25">
      <c r="A3982" t="s">
        <v>9616</v>
      </c>
      <c r="C3982" t="s">
        <v>9617</v>
      </c>
      <c r="D3982" t="str">
        <f>"202403298"</f>
        <v>202403298</v>
      </c>
      <c r="E3982" t="s">
        <v>11626</v>
      </c>
      <c r="F3982" s="1">
        <v>45412</v>
      </c>
      <c r="G3982" t="str">
        <f>"300191"</f>
        <v>300191</v>
      </c>
      <c r="H3982" t="s">
        <v>3008</v>
      </c>
      <c r="I3982">
        <v>4932.25</v>
      </c>
    </row>
    <row r="3983" spans="1:9" x14ac:dyDescent="0.25">
      <c r="A3983" t="s">
        <v>9616</v>
      </c>
      <c r="C3983" t="s">
        <v>9617</v>
      </c>
      <c r="D3983" t="str">
        <f>"202403336"</f>
        <v>202403336</v>
      </c>
      <c r="E3983" t="s">
        <v>11619</v>
      </c>
      <c r="F3983" s="1">
        <v>45412</v>
      </c>
      <c r="G3983" t="str">
        <f>"300191"</f>
        <v>300191</v>
      </c>
      <c r="H3983" t="s">
        <v>3008</v>
      </c>
      <c r="I3983">
        <v>3241.34</v>
      </c>
    </row>
    <row r="3984" spans="1:9" x14ac:dyDescent="0.25">
      <c r="A3984" t="s">
        <v>9616</v>
      </c>
      <c r="C3984" t="s">
        <v>9617</v>
      </c>
      <c r="D3984" t="s">
        <v>11630</v>
      </c>
      <c r="E3984" t="s">
        <v>11631</v>
      </c>
      <c r="F3984" s="1">
        <v>45412</v>
      </c>
      <c r="G3984" t="str">
        <f>"300321"</f>
        <v>300321</v>
      </c>
      <c r="H3984" t="s">
        <v>2706</v>
      </c>
      <c r="I3984">
        <v>23000</v>
      </c>
    </row>
    <row r="3985" spans="1:9" x14ac:dyDescent="0.25">
      <c r="A3985" t="s">
        <v>9616</v>
      </c>
      <c r="C3985" t="s">
        <v>9617</v>
      </c>
      <c r="D3985" t="s">
        <v>11632</v>
      </c>
      <c r="E3985" t="s">
        <v>11633</v>
      </c>
      <c r="F3985" s="1">
        <v>45412</v>
      </c>
      <c r="G3985" t="str">
        <f>"300321"</f>
        <v>300321</v>
      </c>
      <c r="H3985" t="s">
        <v>2706</v>
      </c>
      <c r="I3985">
        <v>23000</v>
      </c>
    </row>
    <row r="3986" spans="1:9" x14ac:dyDescent="0.25">
      <c r="A3986" t="s">
        <v>9616</v>
      </c>
      <c r="C3986" t="s">
        <v>9617</v>
      </c>
      <c r="D3986" t="str">
        <f>"6498"</f>
        <v>6498</v>
      </c>
      <c r="E3986" t="s">
        <v>11471</v>
      </c>
      <c r="F3986" s="1">
        <v>45414</v>
      </c>
      <c r="G3986" t="str">
        <f>"300043"</f>
        <v>300043</v>
      </c>
      <c r="H3986" t="s">
        <v>2876</v>
      </c>
      <c r="I3986">
        <v>5003</v>
      </c>
    </row>
    <row r="3987" spans="1:9" x14ac:dyDescent="0.25">
      <c r="A3987" t="s">
        <v>9616</v>
      </c>
      <c r="C3987" t="s">
        <v>9617</v>
      </c>
      <c r="D3987" t="s">
        <v>11634</v>
      </c>
      <c r="E3987" t="s">
        <v>11635</v>
      </c>
      <c r="F3987" s="1">
        <v>45414</v>
      </c>
      <c r="G3987" t="str">
        <f>"300133"</f>
        <v>300133</v>
      </c>
      <c r="H3987" t="s">
        <v>2955</v>
      </c>
      <c r="I3987">
        <v>6916.8</v>
      </c>
    </row>
    <row r="3988" spans="1:9" x14ac:dyDescent="0.25">
      <c r="A3988" t="s">
        <v>9616</v>
      </c>
      <c r="C3988" t="s">
        <v>9617</v>
      </c>
      <c r="D3988" t="s">
        <v>11636</v>
      </c>
      <c r="E3988" t="s">
        <v>10339</v>
      </c>
      <c r="F3988" s="1">
        <v>45414</v>
      </c>
      <c r="G3988" t="str">
        <f>"300133"</f>
        <v>300133</v>
      </c>
      <c r="H3988" t="s">
        <v>2955</v>
      </c>
      <c r="I3988">
        <v>53913.599999999999</v>
      </c>
    </row>
    <row r="3989" spans="1:9" x14ac:dyDescent="0.25">
      <c r="A3989" t="s">
        <v>9616</v>
      </c>
      <c r="C3989" t="s">
        <v>9617</v>
      </c>
      <c r="D3989" t="str">
        <f>"34118"</f>
        <v>34118</v>
      </c>
      <c r="E3989" t="s">
        <v>11633</v>
      </c>
      <c r="F3989" s="1">
        <v>45415</v>
      </c>
      <c r="G3989" t="str">
        <f>"300043"</f>
        <v>300043</v>
      </c>
      <c r="H3989" t="s">
        <v>2876</v>
      </c>
      <c r="I3989">
        <v>1322</v>
      </c>
    </row>
    <row r="3990" spans="1:9" x14ac:dyDescent="0.25">
      <c r="A3990" t="s">
        <v>9616</v>
      </c>
      <c r="C3990" t="s">
        <v>9617</v>
      </c>
      <c r="D3990" t="s">
        <v>11637</v>
      </c>
      <c r="E3990" t="s">
        <v>9112</v>
      </c>
      <c r="F3990" s="1">
        <v>45415</v>
      </c>
      <c r="G3990" t="str">
        <f>"300064"</f>
        <v>300064</v>
      </c>
      <c r="H3990" t="s">
        <v>2896</v>
      </c>
      <c r="I3990">
        <v>120820</v>
      </c>
    </row>
    <row r="3991" spans="1:9" x14ac:dyDescent="0.25">
      <c r="A3991" t="s">
        <v>9616</v>
      </c>
      <c r="C3991" t="s">
        <v>9617</v>
      </c>
      <c r="D3991" t="str">
        <f>"34165"</f>
        <v>34165</v>
      </c>
      <c r="E3991" t="s">
        <v>11631</v>
      </c>
      <c r="F3991" s="1">
        <v>45418</v>
      </c>
      <c r="G3991" t="str">
        <f>"300043"</f>
        <v>300043</v>
      </c>
      <c r="H3991" t="s">
        <v>2876</v>
      </c>
      <c r="I3991">
        <v>1288</v>
      </c>
    </row>
    <row r="3992" spans="1:9" x14ac:dyDescent="0.25">
      <c r="A3992" t="s">
        <v>9616</v>
      </c>
      <c r="C3992" t="s">
        <v>9617</v>
      </c>
      <c r="D3992" t="str">
        <f>"8000437234"</f>
        <v>8000437234</v>
      </c>
      <c r="E3992" t="s">
        <v>9189</v>
      </c>
      <c r="F3992" s="1">
        <v>45419</v>
      </c>
      <c r="G3992" t="str">
        <f>"300220"</f>
        <v>300220</v>
      </c>
      <c r="H3992" t="s">
        <v>2170</v>
      </c>
      <c r="I3992">
        <v>1136340.8759999999</v>
      </c>
    </row>
    <row r="3993" spans="1:9" x14ac:dyDescent="0.25">
      <c r="A3993" t="s">
        <v>9616</v>
      </c>
      <c r="C3993" t="s">
        <v>9617</v>
      </c>
      <c r="D3993" t="str">
        <f>"59308"</f>
        <v>59308</v>
      </c>
      <c r="E3993" t="s">
        <v>11638</v>
      </c>
      <c r="F3993" s="1">
        <v>45420</v>
      </c>
      <c r="G3993" t="str">
        <f>"300043"</f>
        <v>300043</v>
      </c>
      <c r="H3993" t="s">
        <v>2876</v>
      </c>
      <c r="I3993">
        <v>1139</v>
      </c>
    </row>
    <row r="3994" spans="1:9" x14ac:dyDescent="0.25">
      <c r="A3994" t="s">
        <v>9616</v>
      </c>
      <c r="C3994" t="s">
        <v>9617</v>
      </c>
      <c r="D3994" t="str">
        <f>"20014430"</f>
        <v>20014430</v>
      </c>
      <c r="E3994" t="s">
        <v>2172</v>
      </c>
      <c r="F3994" s="1">
        <v>45420</v>
      </c>
      <c r="G3994" t="str">
        <f>"300115"</f>
        <v>300115</v>
      </c>
      <c r="H3994" t="s">
        <v>2938</v>
      </c>
      <c r="I3994">
        <v>114420.8208</v>
      </c>
    </row>
    <row r="3995" spans="1:9" x14ac:dyDescent="0.25">
      <c r="A3995" t="s">
        <v>9616</v>
      </c>
      <c r="C3995" t="s">
        <v>9617</v>
      </c>
      <c r="D3995" t="str">
        <f>"202403503"</f>
        <v>202403503</v>
      </c>
      <c r="E3995" t="s">
        <v>11631</v>
      </c>
      <c r="F3995" s="1">
        <v>45420</v>
      </c>
      <c r="G3995" t="str">
        <f>"300191"</f>
        <v>300191</v>
      </c>
      <c r="H3995" t="s">
        <v>3008</v>
      </c>
      <c r="I3995">
        <v>3779.25</v>
      </c>
    </row>
    <row r="3996" spans="1:9" x14ac:dyDescent="0.25">
      <c r="A3996" t="s">
        <v>9616</v>
      </c>
      <c r="C3996" t="s">
        <v>9617</v>
      </c>
      <c r="D3996" t="s">
        <v>11639</v>
      </c>
      <c r="E3996" t="s">
        <v>11640</v>
      </c>
      <c r="F3996" s="1">
        <v>45421</v>
      </c>
      <c r="G3996" t="str">
        <f>"300133"</f>
        <v>300133</v>
      </c>
      <c r="H3996" t="s">
        <v>2955</v>
      </c>
      <c r="I3996">
        <v>36395.64</v>
      </c>
    </row>
    <row r="3997" spans="1:9" x14ac:dyDescent="0.25">
      <c r="A3997" t="s">
        <v>9616</v>
      </c>
      <c r="C3997" t="s">
        <v>9617</v>
      </c>
      <c r="D3997" t="s">
        <v>11641</v>
      </c>
      <c r="E3997" t="s">
        <v>11504</v>
      </c>
      <c r="F3997" s="1">
        <v>45422</v>
      </c>
      <c r="G3997" t="str">
        <f>"300064"</f>
        <v>300064</v>
      </c>
      <c r="H3997" t="s">
        <v>2896</v>
      </c>
      <c r="I3997">
        <v>42000</v>
      </c>
    </row>
    <row r="3998" spans="1:9" x14ac:dyDescent="0.25">
      <c r="A3998" t="s">
        <v>9616</v>
      </c>
      <c r="C3998" t="s">
        <v>9617</v>
      </c>
      <c r="D3998" t="s">
        <v>11642</v>
      </c>
      <c r="E3998" t="s">
        <v>11643</v>
      </c>
      <c r="F3998" s="1">
        <v>45422</v>
      </c>
      <c r="G3998" t="str">
        <f>"300133"</f>
        <v>300133</v>
      </c>
      <c r="H3998" t="s">
        <v>2955</v>
      </c>
      <c r="I3998">
        <v>19974.599999999999</v>
      </c>
    </row>
    <row r="3999" spans="1:9" x14ac:dyDescent="0.25">
      <c r="A3999" t="s">
        <v>9616</v>
      </c>
      <c r="C3999" t="s">
        <v>9617</v>
      </c>
      <c r="D3999" t="s">
        <v>11644</v>
      </c>
      <c r="E3999" s="4">
        <v>45536</v>
      </c>
      <c r="F3999" s="1">
        <v>45423</v>
      </c>
      <c r="G3999" t="str">
        <f>"300391"</f>
        <v>300391</v>
      </c>
      <c r="H3999" t="s">
        <v>3128</v>
      </c>
      <c r="I3999">
        <v>9302.5</v>
      </c>
    </row>
    <row r="4000" spans="1:9" x14ac:dyDescent="0.25">
      <c r="A4000" t="s">
        <v>9616</v>
      </c>
      <c r="C4000" t="s">
        <v>9617</v>
      </c>
      <c r="D4000" t="str">
        <f>"202403645"</f>
        <v>202403645</v>
      </c>
      <c r="E4000" t="s">
        <v>11638</v>
      </c>
      <c r="F4000" s="1">
        <v>45425</v>
      </c>
      <c r="G4000" t="str">
        <f>"300191"</f>
        <v>300191</v>
      </c>
      <c r="H4000" t="s">
        <v>3008</v>
      </c>
      <c r="I4000">
        <v>32565.47</v>
      </c>
    </row>
    <row r="4001" spans="1:9" x14ac:dyDescent="0.25">
      <c r="A4001" t="s">
        <v>9616</v>
      </c>
      <c r="C4001" t="s">
        <v>9617</v>
      </c>
      <c r="D4001" t="str">
        <f>"202403658"</f>
        <v>202403658</v>
      </c>
      <c r="E4001" t="s">
        <v>11633</v>
      </c>
      <c r="F4001" s="1">
        <v>45425</v>
      </c>
      <c r="G4001" t="str">
        <f>"300191"</f>
        <v>300191</v>
      </c>
      <c r="H4001" t="s">
        <v>3008</v>
      </c>
      <c r="I4001">
        <v>5650.45</v>
      </c>
    </row>
    <row r="4002" spans="1:9" x14ac:dyDescent="0.25">
      <c r="A4002" t="s">
        <v>9616</v>
      </c>
      <c r="C4002" t="s">
        <v>9617</v>
      </c>
      <c r="D4002" t="s">
        <v>11645</v>
      </c>
      <c r="E4002" t="s">
        <v>11646</v>
      </c>
      <c r="F4002" s="1">
        <v>45425</v>
      </c>
      <c r="G4002" t="str">
        <f>"300321"</f>
        <v>300321</v>
      </c>
      <c r="H4002" t="s">
        <v>2706</v>
      </c>
      <c r="I4002">
        <v>23000</v>
      </c>
    </row>
    <row r="4003" spans="1:9" x14ac:dyDescent="0.25">
      <c r="A4003" t="s">
        <v>9616</v>
      </c>
      <c r="C4003" t="s">
        <v>9617</v>
      </c>
      <c r="D4003" t="str">
        <f>"80180802"</f>
        <v>80180802</v>
      </c>
      <c r="E4003" t="s">
        <v>9335</v>
      </c>
      <c r="F4003" s="1">
        <v>45425</v>
      </c>
      <c r="G4003" t="str">
        <f>"300381"</f>
        <v>300381</v>
      </c>
      <c r="H4003" t="s">
        <v>3118</v>
      </c>
      <c r="I4003">
        <v>333934.96950000001</v>
      </c>
    </row>
    <row r="4004" spans="1:9" x14ac:dyDescent="0.25">
      <c r="A4004" t="s">
        <v>9616</v>
      </c>
      <c r="C4004" t="s">
        <v>9617</v>
      </c>
      <c r="D4004" t="s">
        <v>11647</v>
      </c>
      <c r="E4004" t="s">
        <v>11648</v>
      </c>
      <c r="F4004" s="1">
        <v>45426</v>
      </c>
      <c r="G4004" t="str">
        <f>"300133"</f>
        <v>300133</v>
      </c>
      <c r="H4004" t="s">
        <v>2955</v>
      </c>
      <c r="I4004">
        <v>11394</v>
      </c>
    </row>
    <row r="4005" spans="1:9" x14ac:dyDescent="0.25">
      <c r="A4005" t="s">
        <v>9616</v>
      </c>
      <c r="C4005" t="s">
        <v>9617</v>
      </c>
      <c r="D4005" t="s">
        <v>11649</v>
      </c>
      <c r="E4005" t="s">
        <v>11502</v>
      </c>
      <c r="F4005" s="1">
        <v>45426</v>
      </c>
      <c r="G4005" t="str">
        <f>"300344"</f>
        <v>300344</v>
      </c>
      <c r="H4005" t="s">
        <v>3084</v>
      </c>
      <c r="I4005">
        <v>225374.56</v>
      </c>
    </row>
    <row r="4006" spans="1:9" x14ac:dyDescent="0.25">
      <c r="A4006" t="s">
        <v>9616</v>
      </c>
      <c r="C4006" t="s">
        <v>9617</v>
      </c>
      <c r="D4006" t="str">
        <f>"38328"</f>
        <v>38328</v>
      </c>
      <c r="E4006" t="s">
        <v>11646</v>
      </c>
      <c r="F4006" s="1">
        <v>45427</v>
      </c>
      <c r="G4006" t="str">
        <f>"300043"</f>
        <v>300043</v>
      </c>
      <c r="H4006" t="s">
        <v>2876</v>
      </c>
      <c r="I4006">
        <v>1326</v>
      </c>
    </row>
    <row r="4007" spans="1:9" x14ac:dyDescent="0.25">
      <c r="A4007" t="s">
        <v>9616</v>
      </c>
      <c r="C4007" t="s">
        <v>9617</v>
      </c>
      <c r="D4007" t="str">
        <f>"8000437549"</f>
        <v>8000437549</v>
      </c>
      <c r="E4007" t="s">
        <v>9386</v>
      </c>
      <c r="F4007" s="1">
        <v>45427</v>
      </c>
      <c r="G4007" t="str">
        <f>"300220"</f>
        <v>300220</v>
      </c>
      <c r="H4007" t="s">
        <v>2170</v>
      </c>
      <c r="I4007">
        <v>1187746.56</v>
      </c>
    </row>
    <row r="4008" spans="1:9" x14ac:dyDescent="0.25">
      <c r="A4008" t="s">
        <v>9616</v>
      </c>
      <c r="C4008" t="s">
        <v>9617</v>
      </c>
      <c r="D4008" t="str">
        <f>"8000437575"</f>
        <v>8000437575</v>
      </c>
      <c r="E4008" t="s">
        <v>11650</v>
      </c>
      <c r="F4008" s="1">
        <v>45427</v>
      </c>
      <c r="G4008" t="str">
        <f>"300220"</f>
        <v>300220</v>
      </c>
      <c r="H4008" t="s">
        <v>2170</v>
      </c>
      <c r="I4008">
        <v>1187746.56</v>
      </c>
    </row>
    <row r="4009" spans="1:9" x14ac:dyDescent="0.25">
      <c r="A4009" t="s">
        <v>9616</v>
      </c>
      <c r="C4009" t="s">
        <v>9617</v>
      </c>
      <c r="D4009" t="str">
        <f>"7594"</f>
        <v>7594</v>
      </c>
      <c r="E4009" t="s">
        <v>11471</v>
      </c>
      <c r="F4009" s="1">
        <v>45428</v>
      </c>
      <c r="G4009" t="str">
        <f>"300043"</f>
        <v>300043</v>
      </c>
      <c r="H4009" t="s">
        <v>2876</v>
      </c>
      <c r="I4009">
        <v>4923</v>
      </c>
    </row>
    <row r="4010" spans="1:9" x14ac:dyDescent="0.25">
      <c r="A4010" t="s">
        <v>9616</v>
      </c>
      <c r="C4010" t="s">
        <v>9617</v>
      </c>
      <c r="D4010" t="str">
        <f>"64513"</f>
        <v>64513</v>
      </c>
      <c r="E4010" s="4">
        <v>45536</v>
      </c>
      <c r="F4010" s="1">
        <v>45428</v>
      </c>
      <c r="G4010" t="str">
        <f>"300043"</f>
        <v>300043</v>
      </c>
      <c r="H4010" t="s">
        <v>2876</v>
      </c>
      <c r="I4010">
        <v>1056</v>
      </c>
    </row>
    <row r="4011" spans="1:9" x14ac:dyDescent="0.25">
      <c r="A4011" t="s">
        <v>9616</v>
      </c>
      <c r="C4011" t="s">
        <v>9617</v>
      </c>
      <c r="D4011" t="str">
        <f>"10158244"</f>
        <v>10158244</v>
      </c>
      <c r="E4011" t="s">
        <v>1313</v>
      </c>
      <c r="F4011" s="1">
        <v>45428</v>
      </c>
      <c r="G4011" t="str">
        <f>"300115"</f>
        <v>300115</v>
      </c>
      <c r="H4011" t="s">
        <v>2938</v>
      </c>
      <c r="I4011">
        <v>376363.02</v>
      </c>
    </row>
    <row r="4012" spans="1:9" x14ac:dyDescent="0.25">
      <c r="A4012" t="s">
        <v>9616</v>
      </c>
      <c r="C4012" t="s">
        <v>9617</v>
      </c>
      <c r="D4012" t="str">
        <f>"10158308"</f>
        <v>10158308</v>
      </c>
      <c r="E4012" t="s">
        <v>10147</v>
      </c>
      <c r="F4012" s="1">
        <v>45429</v>
      </c>
      <c r="G4012" t="str">
        <f>"300115"</f>
        <v>300115</v>
      </c>
      <c r="H4012" t="s">
        <v>2938</v>
      </c>
      <c r="I4012">
        <v>346254.57900000003</v>
      </c>
    </row>
    <row r="4013" spans="1:9" x14ac:dyDescent="0.25">
      <c r="A4013" t="s">
        <v>9616</v>
      </c>
      <c r="C4013" t="s">
        <v>9617</v>
      </c>
      <c r="D4013" t="str">
        <f>"10158316"</f>
        <v>10158316</v>
      </c>
      <c r="E4013" t="s">
        <v>9189</v>
      </c>
      <c r="F4013" s="1">
        <v>45432</v>
      </c>
      <c r="G4013" t="str">
        <f>"300115"</f>
        <v>300115</v>
      </c>
      <c r="H4013" t="s">
        <v>2938</v>
      </c>
      <c r="I4013">
        <v>346254.57900000003</v>
      </c>
    </row>
    <row r="4014" spans="1:9" x14ac:dyDescent="0.25">
      <c r="A4014" t="s">
        <v>9616</v>
      </c>
      <c r="C4014" t="s">
        <v>9617</v>
      </c>
      <c r="D4014" t="str">
        <f>"202403909"</f>
        <v>202403909</v>
      </c>
      <c r="E4014" t="s">
        <v>11592</v>
      </c>
      <c r="F4014" s="1">
        <v>45432</v>
      </c>
      <c r="G4014" t="str">
        <f>"300191"</f>
        <v>300191</v>
      </c>
      <c r="H4014" t="s">
        <v>3008</v>
      </c>
      <c r="I4014">
        <v>520.4</v>
      </c>
    </row>
    <row r="4015" spans="1:9" x14ac:dyDescent="0.25">
      <c r="A4015" t="s">
        <v>9616</v>
      </c>
      <c r="C4015" t="s">
        <v>9617</v>
      </c>
      <c r="D4015" t="str">
        <f>"202403925"</f>
        <v>202403925</v>
      </c>
      <c r="E4015" t="s">
        <v>11646</v>
      </c>
      <c r="F4015" s="1">
        <v>45432</v>
      </c>
      <c r="G4015" t="str">
        <f>"300191"</f>
        <v>300191</v>
      </c>
      <c r="H4015" t="s">
        <v>3008</v>
      </c>
      <c r="I4015">
        <v>3241.34</v>
      </c>
    </row>
    <row r="4016" spans="1:9" x14ac:dyDescent="0.25">
      <c r="A4016" t="s">
        <v>9616</v>
      </c>
      <c r="C4016" t="s">
        <v>9617</v>
      </c>
      <c r="D4016" t="str">
        <f>"40311"</f>
        <v>40311</v>
      </c>
      <c r="E4016" t="s">
        <v>11651</v>
      </c>
      <c r="F4016" s="1">
        <v>45433</v>
      </c>
      <c r="G4016" t="str">
        <f>"300043"</f>
        <v>300043</v>
      </c>
      <c r="H4016" t="s">
        <v>2876</v>
      </c>
      <c r="I4016">
        <v>1337</v>
      </c>
    </row>
    <row r="4017" spans="1:9" x14ac:dyDescent="0.25">
      <c r="A4017" t="s">
        <v>9616</v>
      </c>
      <c r="C4017" t="s">
        <v>9617</v>
      </c>
      <c r="D4017" t="str">
        <f>"40387"</f>
        <v>40387</v>
      </c>
      <c r="E4017" t="s">
        <v>11652</v>
      </c>
      <c r="F4017" s="1">
        <v>45433</v>
      </c>
      <c r="G4017" t="str">
        <f>"300043"</f>
        <v>300043</v>
      </c>
      <c r="H4017" t="s">
        <v>2876</v>
      </c>
      <c r="I4017">
        <v>1332</v>
      </c>
    </row>
    <row r="4018" spans="1:9" x14ac:dyDescent="0.25">
      <c r="A4018" t="s">
        <v>9616</v>
      </c>
      <c r="C4018" t="s">
        <v>9617</v>
      </c>
      <c r="D4018" t="str">
        <f>"230624"</f>
        <v>230624</v>
      </c>
      <c r="E4018" s="4">
        <v>45536</v>
      </c>
      <c r="F4018" s="1">
        <v>45433</v>
      </c>
      <c r="G4018" t="str">
        <f>"300101"</f>
        <v>300101</v>
      </c>
      <c r="H4018" t="s">
        <v>2926</v>
      </c>
      <c r="I4018">
        <v>4460</v>
      </c>
    </row>
    <row r="4019" spans="1:9" x14ac:dyDescent="0.25">
      <c r="A4019" t="s">
        <v>9616</v>
      </c>
      <c r="C4019" t="s">
        <v>9617</v>
      </c>
      <c r="D4019" t="str">
        <f>"202403989"</f>
        <v>202403989</v>
      </c>
      <c r="E4019" t="s">
        <v>11615</v>
      </c>
      <c r="F4019" s="1">
        <v>45433</v>
      </c>
      <c r="G4019" t="str">
        <f>"300191"</f>
        <v>300191</v>
      </c>
      <c r="H4019" t="s">
        <v>3008</v>
      </c>
      <c r="I4019">
        <v>36075.440000000002</v>
      </c>
    </row>
    <row r="4020" spans="1:9" x14ac:dyDescent="0.25">
      <c r="A4020" t="s">
        <v>9616</v>
      </c>
      <c r="C4020" t="s">
        <v>9617</v>
      </c>
      <c r="D4020" t="str">
        <f>"10158385"</f>
        <v>10158385</v>
      </c>
      <c r="E4020" t="s">
        <v>9189</v>
      </c>
      <c r="F4020" s="1">
        <v>45434</v>
      </c>
      <c r="G4020" t="str">
        <f>"300115"</f>
        <v>300115</v>
      </c>
      <c r="H4020" t="s">
        <v>2938</v>
      </c>
      <c r="I4020">
        <v>346254.57900000003</v>
      </c>
    </row>
    <row r="4021" spans="1:9" x14ac:dyDescent="0.25">
      <c r="A4021" t="s">
        <v>9616</v>
      </c>
      <c r="C4021" t="s">
        <v>9617</v>
      </c>
      <c r="D4021" t="str">
        <f>"10158387"</f>
        <v>10158387</v>
      </c>
      <c r="E4021" t="s">
        <v>9189</v>
      </c>
      <c r="F4021" s="1">
        <v>45434</v>
      </c>
      <c r="G4021" t="str">
        <f>"300115"</f>
        <v>300115</v>
      </c>
      <c r="H4021" t="s">
        <v>2938</v>
      </c>
      <c r="I4021">
        <v>346254.57900000003</v>
      </c>
    </row>
    <row r="4022" spans="1:9" x14ac:dyDescent="0.25">
      <c r="A4022" t="s">
        <v>9616</v>
      </c>
      <c r="C4022" t="s">
        <v>9617</v>
      </c>
      <c r="D4022" t="s">
        <v>11653</v>
      </c>
      <c r="E4022" t="s">
        <v>10339</v>
      </c>
      <c r="F4022" s="1">
        <v>45434</v>
      </c>
      <c r="G4022" t="str">
        <f>"300133"</f>
        <v>300133</v>
      </c>
      <c r="H4022" t="s">
        <v>2955</v>
      </c>
      <c r="I4022">
        <v>11232</v>
      </c>
    </row>
    <row r="4023" spans="1:9" x14ac:dyDescent="0.25">
      <c r="A4023" t="s">
        <v>9616</v>
      </c>
      <c r="C4023" t="s">
        <v>9617</v>
      </c>
      <c r="D4023" t="s">
        <v>11654</v>
      </c>
      <c r="E4023" t="s">
        <v>11652</v>
      </c>
      <c r="F4023" s="1">
        <v>45434</v>
      </c>
      <c r="G4023" t="str">
        <f>"300321"</f>
        <v>300321</v>
      </c>
      <c r="H4023" t="s">
        <v>2706</v>
      </c>
      <c r="I4023">
        <v>18000</v>
      </c>
    </row>
    <row r="4024" spans="1:9" x14ac:dyDescent="0.25">
      <c r="A4024" t="s">
        <v>9616</v>
      </c>
      <c r="C4024" t="s">
        <v>9617</v>
      </c>
      <c r="D4024" t="str">
        <f>"202404087"</f>
        <v>202404087</v>
      </c>
      <c r="E4024" t="s">
        <v>11652</v>
      </c>
      <c r="F4024" s="1">
        <v>45435</v>
      </c>
      <c r="G4024" t="str">
        <f>"300191"</f>
        <v>300191</v>
      </c>
      <c r="H4024" t="s">
        <v>3008</v>
      </c>
      <c r="I4024">
        <v>3265.04</v>
      </c>
    </row>
    <row r="4025" spans="1:9" x14ac:dyDescent="0.25">
      <c r="A4025" t="s">
        <v>9616</v>
      </c>
      <c r="C4025" t="s">
        <v>9617</v>
      </c>
      <c r="D4025" t="str">
        <f>"202404091"</f>
        <v>202404091</v>
      </c>
      <c r="E4025" t="s">
        <v>11651</v>
      </c>
      <c r="F4025" s="1">
        <v>45435</v>
      </c>
      <c r="G4025" t="str">
        <f>"300191"</f>
        <v>300191</v>
      </c>
      <c r="H4025" t="s">
        <v>3008</v>
      </c>
      <c r="I4025">
        <v>3288.74</v>
      </c>
    </row>
    <row r="4026" spans="1:9" x14ac:dyDescent="0.25">
      <c r="A4026" t="s">
        <v>9616</v>
      </c>
      <c r="C4026" t="s">
        <v>9617</v>
      </c>
      <c r="D4026" t="str">
        <f>"41494"</f>
        <v>41494</v>
      </c>
      <c r="E4026" t="s">
        <v>11655</v>
      </c>
      <c r="F4026" s="1">
        <v>45436</v>
      </c>
      <c r="G4026" t="str">
        <f>"300043"</f>
        <v>300043</v>
      </c>
      <c r="H4026" t="s">
        <v>2876</v>
      </c>
      <c r="I4026">
        <v>1333</v>
      </c>
    </row>
    <row r="4027" spans="1:9" x14ac:dyDescent="0.25">
      <c r="A4027" t="s">
        <v>9616</v>
      </c>
      <c r="C4027" t="s">
        <v>9617</v>
      </c>
      <c r="D4027" t="str">
        <f>"41536"</f>
        <v>41536</v>
      </c>
      <c r="E4027" t="s">
        <v>11656</v>
      </c>
      <c r="F4027" s="1">
        <v>45436</v>
      </c>
      <c r="G4027" t="str">
        <f>"300043"</f>
        <v>300043</v>
      </c>
      <c r="H4027" t="s">
        <v>2876</v>
      </c>
      <c r="I4027">
        <v>1333</v>
      </c>
    </row>
    <row r="4028" spans="1:9" x14ac:dyDescent="0.25">
      <c r="A4028" t="s">
        <v>9616</v>
      </c>
      <c r="C4028" t="s">
        <v>9617</v>
      </c>
      <c r="D4028" t="s">
        <v>11657</v>
      </c>
      <c r="E4028" t="s">
        <v>10843</v>
      </c>
      <c r="F4028" s="1">
        <v>45436</v>
      </c>
      <c r="G4028" t="str">
        <f>"300064"</f>
        <v>300064</v>
      </c>
      <c r="H4028" t="s">
        <v>2896</v>
      </c>
      <c r="I4028">
        <v>119854</v>
      </c>
    </row>
    <row r="4029" spans="1:9" x14ac:dyDescent="0.25">
      <c r="A4029" t="s">
        <v>9616</v>
      </c>
      <c r="C4029" t="s">
        <v>9617</v>
      </c>
      <c r="D4029" t="s">
        <v>11658</v>
      </c>
      <c r="E4029" t="s">
        <v>11659</v>
      </c>
      <c r="F4029" s="1">
        <v>45436</v>
      </c>
      <c r="G4029" t="str">
        <f>"300364"</f>
        <v>300364</v>
      </c>
      <c r="H4029" t="s">
        <v>3101</v>
      </c>
      <c r="I4029">
        <v>3522.6</v>
      </c>
    </row>
    <row r="4030" spans="1:9" x14ac:dyDescent="0.25">
      <c r="A4030" t="s">
        <v>9616</v>
      </c>
      <c r="C4030" t="s">
        <v>9617</v>
      </c>
      <c r="D4030" t="s">
        <v>11660</v>
      </c>
      <c r="E4030" t="s">
        <v>11651</v>
      </c>
      <c r="F4030" s="1">
        <v>45437</v>
      </c>
      <c r="G4030" t="str">
        <f>"300321"</f>
        <v>300321</v>
      </c>
      <c r="H4030" t="s">
        <v>2706</v>
      </c>
      <c r="I4030">
        <v>19000</v>
      </c>
    </row>
    <row r="4031" spans="1:9" x14ac:dyDescent="0.25">
      <c r="A4031" t="s">
        <v>9616</v>
      </c>
      <c r="C4031" t="s">
        <v>9617</v>
      </c>
      <c r="D4031" t="str">
        <f>"10158523"</f>
        <v>10158523</v>
      </c>
      <c r="E4031" t="s">
        <v>9189</v>
      </c>
      <c r="F4031" s="1">
        <v>45439</v>
      </c>
      <c r="G4031" t="str">
        <f>"300115"</f>
        <v>300115</v>
      </c>
      <c r="H4031" t="s">
        <v>2938</v>
      </c>
      <c r="I4031">
        <v>345836.40299999999</v>
      </c>
    </row>
    <row r="4032" spans="1:9" x14ac:dyDescent="0.25">
      <c r="A4032" t="s">
        <v>9616</v>
      </c>
      <c r="C4032" t="s">
        <v>9617</v>
      </c>
      <c r="D4032" t="str">
        <f>"10158563"</f>
        <v>10158563</v>
      </c>
      <c r="E4032" t="s">
        <v>9189</v>
      </c>
      <c r="F4032" s="1">
        <v>45439</v>
      </c>
      <c r="G4032" t="str">
        <f>"300115"</f>
        <v>300115</v>
      </c>
      <c r="H4032" t="s">
        <v>2938</v>
      </c>
      <c r="I4032">
        <v>346254.57900000003</v>
      </c>
    </row>
    <row r="4033" spans="1:9" x14ac:dyDescent="0.25">
      <c r="A4033" t="s">
        <v>9616</v>
      </c>
      <c r="C4033" t="s">
        <v>9617</v>
      </c>
      <c r="D4033" t="str">
        <f>"10158564"</f>
        <v>10158564</v>
      </c>
      <c r="E4033" t="s">
        <v>9189</v>
      </c>
      <c r="F4033" s="1">
        <v>45439</v>
      </c>
      <c r="G4033" t="str">
        <f>"300115"</f>
        <v>300115</v>
      </c>
      <c r="H4033" t="s">
        <v>2938</v>
      </c>
      <c r="I4033">
        <v>346254.57900000003</v>
      </c>
    </row>
    <row r="4034" spans="1:9" x14ac:dyDescent="0.25">
      <c r="A4034" t="s">
        <v>9616</v>
      </c>
      <c r="C4034" t="s">
        <v>9617</v>
      </c>
      <c r="D4034" t="s">
        <v>11661</v>
      </c>
      <c r="E4034" t="s">
        <v>9565</v>
      </c>
      <c r="F4034" s="1">
        <v>45439</v>
      </c>
      <c r="G4034" t="str">
        <f>"300133"</f>
        <v>300133</v>
      </c>
      <c r="H4034" t="s">
        <v>2955</v>
      </c>
      <c r="I4034">
        <v>32001.75</v>
      </c>
    </row>
    <row r="4035" spans="1:9" x14ac:dyDescent="0.25">
      <c r="A4035" t="s">
        <v>9616</v>
      </c>
      <c r="C4035" t="s">
        <v>9617</v>
      </c>
      <c r="D4035" t="s">
        <v>11662</v>
      </c>
      <c r="E4035" t="s">
        <v>9562</v>
      </c>
      <c r="F4035" s="1">
        <v>45439</v>
      </c>
      <c r="G4035" t="str">
        <f>"300133"</f>
        <v>300133</v>
      </c>
      <c r="H4035" t="s">
        <v>2955</v>
      </c>
      <c r="I4035">
        <v>11232</v>
      </c>
    </row>
    <row r="4036" spans="1:9" x14ac:dyDescent="0.25">
      <c r="A4036" t="s">
        <v>9616</v>
      </c>
      <c r="C4036" t="s">
        <v>9617</v>
      </c>
      <c r="D4036" t="s">
        <v>11663</v>
      </c>
      <c r="E4036" t="s">
        <v>9565</v>
      </c>
      <c r="F4036" s="1">
        <v>45439</v>
      </c>
      <c r="G4036" t="str">
        <f>"300133"</f>
        <v>300133</v>
      </c>
      <c r="H4036" t="s">
        <v>2955</v>
      </c>
      <c r="I4036">
        <v>19201.05</v>
      </c>
    </row>
    <row r="4037" spans="1:9" x14ac:dyDescent="0.25">
      <c r="A4037" t="s">
        <v>9616</v>
      </c>
      <c r="C4037" t="s">
        <v>9617</v>
      </c>
      <c r="D4037" t="s">
        <v>11664</v>
      </c>
      <c r="E4037" t="s">
        <v>10126</v>
      </c>
      <c r="F4037" s="1">
        <v>45439</v>
      </c>
      <c r="G4037" t="str">
        <f>"300133"</f>
        <v>300133</v>
      </c>
      <c r="H4037" t="s">
        <v>2955</v>
      </c>
      <c r="I4037">
        <v>47685</v>
      </c>
    </row>
    <row r="4038" spans="1:9" x14ac:dyDescent="0.25">
      <c r="A4038" t="s">
        <v>9616</v>
      </c>
      <c r="C4038" t="s">
        <v>9617</v>
      </c>
      <c r="D4038" t="str">
        <f>"202404193"</f>
        <v>202404193</v>
      </c>
      <c r="E4038" t="s">
        <v>11656</v>
      </c>
      <c r="F4038" s="1">
        <v>45439</v>
      </c>
      <c r="G4038" t="str">
        <f>"300191"</f>
        <v>300191</v>
      </c>
      <c r="H4038" t="s">
        <v>3008</v>
      </c>
      <c r="I4038">
        <v>3265.04</v>
      </c>
    </row>
    <row r="4039" spans="1:9" x14ac:dyDescent="0.25">
      <c r="A4039" t="s">
        <v>9616</v>
      </c>
      <c r="C4039" t="s">
        <v>9617</v>
      </c>
      <c r="D4039" t="str">
        <f>"202404198"</f>
        <v>202404198</v>
      </c>
      <c r="E4039" t="s">
        <v>11655</v>
      </c>
      <c r="F4039" s="1">
        <v>45439</v>
      </c>
      <c r="G4039" t="str">
        <f>"300191"</f>
        <v>300191</v>
      </c>
      <c r="H4039" t="s">
        <v>3008</v>
      </c>
      <c r="I4039">
        <v>3241.34</v>
      </c>
    </row>
    <row r="4040" spans="1:9" x14ac:dyDescent="0.25">
      <c r="A4040" t="s">
        <v>9616</v>
      </c>
      <c r="C4040" t="s">
        <v>9617</v>
      </c>
      <c r="D4040" t="str">
        <f>"8000208535"</f>
        <v>8000208535</v>
      </c>
      <c r="E4040" t="s">
        <v>11665</v>
      </c>
      <c r="F4040" s="1">
        <v>45439</v>
      </c>
      <c r="G4040" t="str">
        <f>"300220"</f>
        <v>300220</v>
      </c>
      <c r="H4040" t="s">
        <v>2170</v>
      </c>
      <c r="I4040">
        <v>28599.45</v>
      </c>
    </row>
    <row r="4041" spans="1:9" x14ac:dyDescent="0.25">
      <c r="A4041" t="s">
        <v>9616</v>
      </c>
      <c r="C4041" t="s">
        <v>9617</v>
      </c>
      <c r="D4041" t="s">
        <v>11666</v>
      </c>
      <c r="E4041" t="s">
        <v>11655</v>
      </c>
      <c r="F4041" s="1">
        <v>45439</v>
      </c>
      <c r="G4041" t="str">
        <f>"300321"</f>
        <v>300321</v>
      </c>
      <c r="H4041" t="s">
        <v>2706</v>
      </c>
      <c r="I4041">
        <v>18000</v>
      </c>
    </row>
    <row r="4042" spans="1:9" x14ac:dyDescent="0.25">
      <c r="A4042" t="s">
        <v>9616</v>
      </c>
      <c r="C4042" t="s">
        <v>9617</v>
      </c>
      <c r="D4042" t="s">
        <v>11667</v>
      </c>
      <c r="E4042" t="s">
        <v>11656</v>
      </c>
      <c r="F4042" s="1">
        <v>45439</v>
      </c>
      <c r="G4042" t="str">
        <f>"300321"</f>
        <v>300321</v>
      </c>
      <c r="H4042" t="s">
        <v>2706</v>
      </c>
      <c r="I4042">
        <v>18000</v>
      </c>
    </row>
    <row r="4043" spans="1:9" x14ac:dyDescent="0.25">
      <c r="A4043" t="s">
        <v>9616</v>
      </c>
      <c r="C4043" t="s">
        <v>9617</v>
      </c>
      <c r="D4043" t="str">
        <f>"80181819"</f>
        <v>80181819</v>
      </c>
      <c r="E4043" t="s">
        <v>9189</v>
      </c>
      <c r="F4043" s="1">
        <v>45439</v>
      </c>
      <c r="G4043" t="str">
        <f>"300381"</f>
        <v>300381</v>
      </c>
      <c r="H4043" t="s">
        <v>3118</v>
      </c>
      <c r="I4043">
        <v>333934.96950000001</v>
      </c>
    </row>
    <row r="4044" spans="1:9" x14ac:dyDescent="0.25">
      <c r="A4044" t="s">
        <v>9616</v>
      </c>
      <c r="C4044" t="s">
        <v>9617</v>
      </c>
      <c r="D4044" t="str">
        <f>"8368"</f>
        <v>8368</v>
      </c>
      <c r="E4044" t="s">
        <v>11471</v>
      </c>
      <c r="F4044" s="1">
        <v>45440</v>
      </c>
      <c r="G4044" t="str">
        <f>"300043"</f>
        <v>300043</v>
      </c>
      <c r="H4044" t="s">
        <v>2876</v>
      </c>
      <c r="I4044">
        <v>4695</v>
      </c>
    </row>
    <row r="4045" spans="1:9" x14ac:dyDescent="0.25">
      <c r="A4045" t="s">
        <v>9616</v>
      </c>
      <c r="C4045" t="s">
        <v>9617</v>
      </c>
      <c r="D4045" t="str">
        <f>"42683"</f>
        <v>42683</v>
      </c>
      <c r="E4045" t="s">
        <v>11668</v>
      </c>
      <c r="F4045" s="1">
        <v>45440</v>
      </c>
      <c r="G4045" t="str">
        <f>"300043"</f>
        <v>300043</v>
      </c>
      <c r="H4045" t="s">
        <v>2876</v>
      </c>
      <c r="I4045">
        <v>1332</v>
      </c>
    </row>
    <row r="4046" spans="1:9" x14ac:dyDescent="0.25">
      <c r="A4046" t="s">
        <v>9616</v>
      </c>
      <c r="C4046" t="s">
        <v>9617</v>
      </c>
      <c r="D4046" t="str">
        <f>"242200272"</f>
        <v>242200272</v>
      </c>
      <c r="E4046" t="s">
        <v>9151</v>
      </c>
      <c r="F4046" s="1">
        <v>45440</v>
      </c>
      <c r="G4046" t="str">
        <f>"300373"</f>
        <v>300373</v>
      </c>
      <c r="H4046" t="s">
        <v>3110</v>
      </c>
      <c r="I4046">
        <v>214141.22399999999</v>
      </c>
    </row>
    <row r="4047" spans="1:9" x14ac:dyDescent="0.25">
      <c r="A4047" t="s">
        <v>9616</v>
      </c>
      <c r="C4047" t="s">
        <v>9617</v>
      </c>
      <c r="D4047" t="str">
        <f>"42828"</f>
        <v>42828</v>
      </c>
      <c r="E4047" t="s">
        <v>11669</v>
      </c>
      <c r="F4047" s="1">
        <v>45441</v>
      </c>
      <c r="G4047" t="str">
        <f>"300043"</f>
        <v>300043</v>
      </c>
      <c r="H4047" t="s">
        <v>2876</v>
      </c>
      <c r="I4047">
        <v>1338</v>
      </c>
    </row>
    <row r="4048" spans="1:9" x14ac:dyDescent="0.25">
      <c r="A4048" t="s">
        <v>9616</v>
      </c>
      <c r="C4048" t="s">
        <v>9617</v>
      </c>
      <c r="D4048" t="str">
        <f>"42968"</f>
        <v>42968</v>
      </c>
      <c r="E4048" t="s">
        <v>11670</v>
      </c>
      <c r="F4048" s="1">
        <v>45441</v>
      </c>
      <c r="G4048" t="str">
        <f>"300043"</f>
        <v>300043</v>
      </c>
      <c r="H4048" t="s">
        <v>2876</v>
      </c>
      <c r="I4048">
        <v>1333</v>
      </c>
    </row>
    <row r="4049" spans="1:9" x14ac:dyDescent="0.25">
      <c r="A4049" t="s">
        <v>9616</v>
      </c>
      <c r="C4049" t="s">
        <v>9617</v>
      </c>
      <c r="D4049" t="str">
        <f>"43061"</f>
        <v>43061</v>
      </c>
      <c r="E4049" t="s">
        <v>11671</v>
      </c>
      <c r="F4049" s="1">
        <v>45441</v>
      </c>
      <c r="G4049" t="str">
        <f>"300043"</f>
        <v>300043</v>
      </c>
      <c r="H4049" t="s">
        <v>2876</v>
      </c>
      <c r="I4049">
        <v>1313</v>
      </c>
    </row>
    <row r="4050" spans="1:9" x14ac:dyDescent="0.25">
      <c r="A4050" t="s">
        <v>9616</v>
      </c>
      <c r="C4050" t="s">
        <v>9617</v>
      </c>
      <c r="D4050" t="s">
        <v>11672</v>
      </c>
      <c r="E4050" t="s">
        <v>10339</v>
      </c>
      <c r="F4050" s="1">
        <v>45441</v>
      </c>
      <c r="G4050" t="str">
        <f>"300133"</f>
        <v>300133</v>
      </c>
      <c r="H4050" t="s">
        <v>2955</v>
      </c>
      <c r="I4050">
        <v>13478.4</v>
      </c>
    </row>
    <row r="4051" spans="1:9" x14ac:dyDescent="0.25">
      <c r="A4051" t="s">
        <v>9616</v>
      </c>
      <c r="C4051" t="s">
        <v>9617</v>
      </c>
      <c r="D4051" t="str">
        <f>"8000438283"</f>
        <v>8000438283</v>
      </c>
      <c r="E4051" t="s">
        <v>11673</v>
      </c>
      <c r="F4051" s="1">
        <v>45441</v>
      </c>
      <c r="G4051" t="str">
        <f>"300220"</f>
        <v>300220</v>
      </c>
      <c r="H4051" t="s">
        <v>2170</v>
      </c>
      <c r="I4051">
        <v>795416.38989999995</v>
      </c>
    </row>
    <row r="4052" spans="1:9" x14ac:dyDescent="0.25">
      <c r="A4052" t="s">
        <v>9616</v>
      </c>
      <c r="C4052" t="s">
        <v>9617</v>
      </c>
      <c r="D4052" t="str">
        <f>"242200280"</f>
        <v>242200280</v>
      </c>
      <c r="E4052" t="s">
        <v>11674</v>
      </c>
      <c r="F4052" s="1">
        <v>45441</v>
      </c>
      <c r="G4052" t="str">
        <f>"300373"</f>
        <v>300373</v>
      </c>
      <c r="H4052" t="s">
        <v>3110</v>
      </c>
      <c r="I4052">
        <v>186829.51759999999</v>
      </c>
    </row>
    <row r="4053" spans="1:9" x14ac:dyDescent="0.25">
      <c r="A4053" t="s">
        <v>9616</v>
      </c>
      <c r="C4053" t="s">
        <v>9617</v>
      </c>
      <c r="D4053" t="str">
        <f>"80181986"</f>
        <v>80181986</v>
      </c>
      <c r="E4053" t="s">
        <v>8907</v>
      </c>
      <c r="F4053" s="1">
        <v>45441</v>
      </c>
      <c r="G4053" t="str">
        <f>"300381"</f>
        <v>300381</v>
      </c>
      <c r="H4053" t="s">
        <v>3118</v>
      </c>
      <c r="I4053">
        <v>294633.25650000002</v>
      </c>
    </row>
    <row r="4054" spans="1:9" x14ac:dyDescent="0.25">
      <c r="A4054" t="s">
        <v>9616</v>
      </c>
      <c r="C4054" t="s">
        <v>9617</v>
      </c>
      <c r="D4054" t="str">
        <f>"8548"</f>
        <v>8548</v>
      </c>
      <c r="E4054" t="s">
        <v>11471</v>
      </c>
      <c r="F4054" s="1">
        <v>45442</v>
      </c>
      <c r="G4054" t="str">
        <f>"300043"</f>
        <v>300043</v>
      </c>
      <c r="H4054" t="s">
        <v>2876</v>
      </c>
      <c r="I4054">
        <v>4437</v>
      </c>
    </row>
    <row r="4055" spans="1:9" x14ac:dyDescent="0.25">
      <c r="A4055" t="s">
        <v>9616</v>
      </c>
      <c r="C4055" t="s">
        <v>9617</v>
      </c>
      <c r="D4055" t="str">
        <f>"43244"</f>
        <v>43244</v>
      </c>
      <c r="E4055" s="4">
        <v>45566</v>
      </c>
      <c r="F4055" s="1">
        <v>45442</v>
      </c>
      <c r="G4055" t="str">
        <f>"300043"</f>
        <v>300043</v>
      </c>
      <c r="H4055" t="s">
        <v>2876</v>
      </c>
      <c r="I4055">
        <v>1397</v>
      </c>
    </row>
    <row r="4056" spans="1:9" x14ac:dyDescent="0.25">
      <c r="A4056" t="s">
        <v>9616</v>
      </c>
      <c r="C4056" t="s">
        <v>9617</v>
      </c>
      <c r="D4056" t="s">
        <v>11675</v>
      </c>
      <c r="E4056" t="s">
        <v>11669</v>
      </c>
      <c r="F4056" s="1">
        <v>45442</v>
      </c>
      <c r="G4056" t="str">
        <f>"300321"</f>
        <v>300321</v>
      </c>
      <c r="H4056" t="s">
        <v>2706</v>
      </c>
      <c r="I4056">
        <v>19000</v>
      </c>
    </row>
    <row r="4057" spans="1:9" x14ac:dyDescent="0.25">
      <c r="A4057" t="s">
        <v>9616</v>
      </c>
      <c r="C4057" t="s">
        <v>9617</v>
      </c>
      <c r="D4057" t="s">
        <v>11676</v>
      </c>
      <c r="E4057" t="s">
        <v>11668</v>
      </c>
      <c r="F4057" s="1">
        <v>45442</v>
      </c>
      <c r="G4057" t="str">
        <f>"300321"</f>
        <v>300321</v>
      </c>
      <c r="H4057" t="s">
        <v>2706</v>
      </c>
      <c r="I4057">
        <v>18000</v>
      </c>
    </row>
    <row r="4058" spans="1:9" x14ac:dyDescent="0.25">
      <c r="A4058" t="s">
        <v>9616</v>
      </c>
      <c r="C4058" t="s">
        <v>9617</v>
      </c>
      <c r="D4058" t="s">
        <v>11677</v>
      </c>
      <c r="E4058" t="s">
        <v>11670</v>
      </c>
      <c r="F4058" s="1">
        <v>45442</v>
      </c>
      <c r="G4058" t="str">
        <f>"300321"</f>
        <v>300321</v>
      </c>
      <c r="H4058" t="s">
        <v>2706</v>
      </c>
      <c r="I4058">
        <v>18000</v>
      </c>
    </row>
    <row r="4059" spans="1:9" x14ac:dyDescent="0.25">
      <c r="A4059" t="s">
        <v>9616</v>
      </c>
      <c r="C4059" t="s">
        <v>9617</v>
      </c>
      <c r="D4059" t="s">
        <v>11678</v>
      </c>
      <c r="E4059" t="s">
        <v>11671</v>
      </c>
      <c r="F4059" s="1">
        <v>45442</v>
      </c>
      <c r="G4059" t="str">
        <f>"300321"</f>
        <v>300321</v>
      </c>
      <c r="H4059" t="s">
        <v>2706</v>
      </c>
      <c r="I4059">
        <v>21000</v>
      </c>
    </row>
    <row r="4060" spans="1:9" x14ac:dyDescent="0.25">
      <c r="A4060" t="s">
        <v>9616</v>
      </c>
      <c r="C4060" t="s">
        <v>9617</v>
      </c>
      <c r="D4060" t="str">
        <f>"2852"</f>
        <v>2852</v>
      </c>
      <c r="E4060" t="s">
        <v>11659</v>
      </c>
      <c r="F4060" s="1">
        <v>45443</v>
      </c>
      <c r="G4060" t="str">
        <f>"300043"</f>
        <v>300043</v>
      </c>
      <c r="H4060" t="s">
        <v>2876</v>
      </c>
      <c r="I4060">
        <v>3882</v>
      </c>
    </row>
    <row r="4061" spans="1:9" x14ac:dyDescent="0.25">
      <c r="A4061" t="s">
        <v>9616</v>
      </c>
      <c r="C4061" t="s">
        <v>9617</v>
      </c>
      <c r="D4061" t="str">
        <f>"256324"</f>
        <v>256324</v>
      </c>
      <c r="E4061" s="4">
        <v>45566</v>
      </c>
      <c r="F4061" s="1">
        <v>45443</v>
      </c>
      <c r="G4061" t="str">
        <f>"300101"</f>
        <v>300101</v>
      </c>
      <c r="H4061" t="s">
        <v>2926</v>
      </c>
      <c r="I4061">
        <v>6625.38</v>
      </c>
    </row>
    <row r="4062" spans="1:9" x14ac:dyDescent="0.25">
      <c r="A4062" t="s">
        <v>9616</v>
      </c>
      <c r="C4062" t="s">
        <v>9617</v>
      </c>
      <c r="D4062" t="str">
        <f>"202404347"</f>
        <v>202404347</v>
      </c>
      <c r="E4062" t="s">
        <v>11670</v>
      </c>
      <c r="F4062" s="1">
        <v>45443</v>
      </c>
      <c r="G4062" t="str">
        <f>"300191"</f>
        <v>300191</v>
      </c>
      <c r="H4062" t="s">
        <v>3008</v>
      </c>
      <c r="I4062">
        <v>3265.04</v>
      </c>
    </row>
    <row r="4063" spans="1:9" x14ac:dyDescent="0.25">
      <c r="A4063" t="s">
        <v>9616</v>
      </c>
      <c r="C4063" t="s">
        <v>9617</v>
      </c>
      <c r="D4063" t="str">
        <f>"202404351"</f>
        <v>202404351</v>
      </c>
      <c r="E4063" t="s">
        <v>11668</v>
      </c>
      <c r="F4063" s="1">
        <v>45443</v>
      </c>
      <c r="G4063" t="str">
        <f>"300191"</f>
        <v>300191</v>
      </c>
      <c r="H4063" t="s">
        <v>3008</v>
      </c>
      <c r="I4063">
        <v>3265.04</v>
      </c>
    </row>
    <row r="4064" spans="1:9" x14ac:dyDescent="0.25">
      <c r="A4064" t="s">
        <v>9616</v>
      </c>
      <c r="C4064" t="s">
        <v>9617</v>
      </c>
      <c r="D4064" t="str">
        <f>"202404357"</f>
        <v>202404357</v>
      </c>
      <c r="E4064" t="s">
        <v>11671</v>
      </c>
      <c r="F4064" s="1">
        <v>45443</v>
      </c>
      <c r="G4064" t="str">
        <f>"300191"</f>
        <v>300191</v>
      </c>
      <c r="H4064" t="s">
        <v>3008</v>
      </c>
      <c r="I4064">
        <v>3265.04</v>
      </c>
    </row>
    <row r="4065" spans="1:9" x14ac:dyDescent="0.25">
      <c r="A4065" t="s">
        <v>9616</v>
      </c>
      <c r="C4065" t="s">
        <v>9617</v>
      </c>
      <c r="D4065" t="str">
        <f>"202404435"</f>
        <v>202404435</v>
      </c>
      <c r="E4065" t="s">
        <v>11669</v>
      </c>
      <c r="F4065" s="1">
        <v>45443</v>
      </c>
      <c r="G4065" t="str">
        <f>"300191"</f>
        <v>300191</v>
      </c>
      <c r="H4065" t="s">
        <v>3008</v>
      </c>
      <c r="I4065">
        <v>3288.74</v>
      </c>
    </row>
    <row r="4066" spans="1:9" x14ac:dyDescent="0.25">
      <c r="A4066" t="s">
        <v>9616</v>
      </c>
      <c r="C4066" t="s">
        <v>9617</v>
      </c>
      <c r="D4066" t="s">
        <v>11679</v>
      </c>
      <c r="E4066" t="s">
        <v>11514</v>
      </c>
      <c r="F4066" s="1">
        <v>45443</v>
      </c>
      <c r="G4066" t="str">
        <f>"300375"</f>
        <v>300375</v>
      </c>
      <c r="H4066" t="s">
        <v>3112</v>
      </c>
      <c r="I4066">
        <v>183686.62179999999</v>
      </c>
    </row>
    <row r="4067" spans="1:9" x14ac:dyDescent="0.25">
      <c r="A4067" t="s">
        <v>9616</v>
      </c>
      <c r="C4067" t="s">
        <v>9617</v>
      </c>
      <c r="D4067" t="str">
        <f>"9550001257"</f>
        <v>9550001257</v>
      </c>
      <c r="E4067" t="s">
        <v>11512</v>
      </c>
      <c r="F4067" s="1">
        <v>45443</v>
      </c>
      <c r="G4067" t="str">
        <f>"300397"</f>
        <v>300397</v>
      </c>
      <c r="H4067" t="s">
        <v>3133</v>
      </c>
      <c r="I4067">
        <v>144970.05600000001</v>
      </c>
    </row>
    <row r="4068" spans="1:9" x14ac:dyDescent="0.25">
      <c r="A4068" t="s">
        <v>9616</v>
      </c>
      <c r="C4068" t="s">
        <v>9617</v>
      </c>
      <c r="D4068" t="s">
        <v>11680</v>
      </c>
      <c r="E4068" t="s">
        <v>10339</v>
      </c>
      <c r="F4068" s="1">
        <v>45444</v>
      </c>
      <c r="G4068" t="str">
        <f>"300133"</f>
        <v>300133</v>
      </c>
      <c r="H4068" t="s">
        <v>2955</v>
      </c>
      <c r="I4068">
        <v>24249.599999999999</v>
      </c>
    </row>
    <row r="4069" spans="1:9" x14ac:dyDescent="0.25">
      <c r="A4069" t="s">
        <v>9616</v>
      </c>
      <c r="C4069" t="s">
        <v>9617</v>
      </c>
      <c r="D4069" t="s">
        <v>11681</v>
      </c>
      <c r="E4069" t="s">
        <v>10339</v>
      </c>
      <c r="F4069" s="1">
        <v>45444</v>
      </c>
      <c r="G4069" t="str">
        <f>"300133"</f>
        <v>300133</v>
      </c>
      <c r="H4069" t="s">
        <v>2955</v>
      </c>
      <c r="I4069">
        <v>4492.8</v>
      </c>
    </row>
    <row r="4070" spans="1:9" x14ac:dyDescent="0.25">
      <c r="A4070" t="s">
        <v>9616</v>
      </c>
      <c r="C4070" t="s">
        <v>9617</v>
      </c>
      <c r="D4070" t="s">
        <v>11682</v>
      </c>
      <c r="E4070" t="str">
        <f>"2300"</f>
        <v>2300</v>
      </c>
      <c r="F4070" s="1">
        <v>45447</v>
      </c>
      <c r="G4070" t="str">
        <f>"300133"</f>
        <v>300133</v>
      </c>
      <c r="H4070" t="s">
        <v>2955</v>
      </c>
      <c r="I4070">
        <v>22464</v>
      </c>
    </row>
    <row r="4071" spans="1:9" x14ac:dyDescent="0.25">
      <c r="A4071" t="s">
        <v>9616</v>
      </c>
      <c r="C4071" t="s">
        <v>9617</v>
      </c>
      <c r="D4071" t="s">
        <v>11683</v>
      </c>
      <c r="E4071" t="s">
        <v>11684</v>
      </c>
      <c r="F4071" s="1">
        <v>45447</v>
      </c>
      <c r="G4071" t="str">
        <f>"300321"</f>
        <v>300321</v>
      </c>
      <c r="H4071" t="s">
        <v>2706</v>
      </c>
      <c r="I4071">
        <v>23000</v>
      </c>
    </row>
    <row r="4072" spans="1:9" x14ac:dyDescent="0.25">
      <c r="A4072" t="s">
        <v>9616</v>
      </c>
      <c r="C4072" t="s">
        <v>9617</v>
      </c>
      <c r="D4072" t="str">
        <f>"6321900461"</f>
        <v>6321900461</v>
      </c>
      <c r="E4072" t="s">
        <v>9191</v>
      </c>
      <c r="F4072" s="1">
        <v>45447</v>
      </c>
      <c r="G4072" t="str">
        <f>"300382"</f>
        <v>300382</v>
      </c>
      <c r="H4072" t="s">
        <v>3119</v>
      </c>
      <c r="I4072">
        <v>153847.74239999999</v>
      </c>
    </row>
    <row r="4073" spans="1:9" x14ac:dyDescent="0.25">
      <c r="A4073" t="s">
        <v>9616</v>
      </c>
      <c r="C4073" t="s">
        <v>9617</v>
      </c>
      <c r="D4073" t="str">
        <f>"9004"</f>
        <v>9004</v>
      </c>
      <c r="E4073" t="s">
        <v>11471</v>
      </c>
      <c r="F4073" s="1">
        <v>45449</v>
      </c>
      <c r="G4073" t="str">
        <f>"300043"</f>
        <v>300043</v>
      </c>
      <c r="H4073" t="s">
        <v>2876</v>
      </c>
      <c r="I4073">
        <v>3797</v>
      </c>
    </row>
    <row r="4074" spans="1:9" x14ac:dyDescent="0.25">
      <c r="A4074" t="s">
        <v>9616</v>
      </c>
      <c r="C4074" t="s">
        <v>9617</v>
      </c>
      <c r="D4074" t="str">
        <f>"8000438683"</f>
        <v>8000438683</v>
      </c>
      <c r="E4074" t="s">
        <v>11685</v>
      </c>
      <c r="F4074" s="1">
        <v>45449</v>
      </c>
      <c r="G4074" t="str">
        <f>"300220"</f>
        <v>300220</v>
      </c>
      <c r="H4074" t="s">
        <v>2170</v>
      </c>
      <c r="I4074">
        <v>1084960.8</v>
      </c>
    </row>
    <row r="4075" spans="1:9" x14ac:dyDescent="0.25">
      <c r="A4075" t="s">
        <v>9616</v>
      </c>
      <c r="C4075" t="s">
        <v>9617</v>
      </c>
      <c r="D4075" t="s">
        <v>11686</v>
      </c>
      <c r="E4075" t="s">
        <v>11687</v>
      </c>
      <c r="F4075" s="1">
        <v>45449</v>
      </c>
      <c r="G4075" t="str">
        <f>"300321"</f>
        <v>300321</v>
      </c>
      <c r="H4075" t="s">
        <v>2706</v>
      </c>
      <c r="I4075">
        <v>23500</v>
      </c>
    </row>
    <row r="4076" spans="1:9" x14ac:dyDescent="0.25">
      <c r="A4076" t="s">
        <v>9616</v>
      </c>
      <c r="C4076" t="s">
        <v>9617</v>
      </c>
      <c r="D4076" t="str">
        <f>"80182505"</f>
        <v>80182505</v>
      </c>
      <c r="E4076" t="s">
        <v>11688</v>
      </c>
      <c r="F4076" s="1">
        <v>45449</v>
      </c>
      <c r="G4076" t="str">
        <f>"300381"</f>
        <v>300381</v>
      </c>
      <c r="H4076" t="s">
        <v>3118</v>
      </c>
      <c r="I4076">
        <v>333934.96950000001</v>
      </c>
    </row>
    <row r="4077" spans="1:9" x14ac:dyDescent="0.25">
      <c r="A4077" t="s">
        <v>9616</v>
      </c>
      <c r="C4077" t="s">
        <v>9617</v>
      </c>
      <c r="D4077" t="s">
        <v>11689</v>
      </c>
      <c r="E4077" t="s">
        <v>8967</v>
      </c>
      <c r="F4077" s="1">
        <v>45450</v>
      </c>
      <c r="G4077" t="str">
        <f>"300356"</f>
        <v>300356</v>
      </c>
      <c r="H4077" t="s">
        <v>3094</v>
      </c>
      <c r="I4077">
        <v>223003.77</v>
      </c>
    </row>
    <row r="4078" spans="1:9" x14ac:dyDescent="0.25">
      <c r="A4078" t="s">
        <v>9616</v>
      </c>
      <c r="C4078" t="s">
        <v>9617</v>
      </c>
      <c r="D4078" t="str">
        <f>"46295"</f>
        <v>46295</v>
      </c>
      <c r="E4078" t="s">
        <v>11687</v>
      </c>
      <c r="F4078" s="1">
        <v>45451</v>
      </c>
      <c r="G4078" t="str">
        <f>"300043"</f>
        <v>300043</v>
      </c>
      <c r="H4078" t="s">
        <v>2876</v>
      </c>
      <c r="I4078">
        <v>1320</v>
      </c>
    </row>
    <row r="4079" spans="1:9" x14ac:dyDescent="0.25">
      <c r="A4079" t="s">
        <v>9616</v>
      </c>
      <c r="C4079" t="s">
        <v>9617</v>
      </c>
      <c r="D4079" t="s">
        <v>11690</v>
      </c>
      <c r="E4079" t="s">
        <v>11691</v>
      </c>
      <c r="F4079" s="1">
        <v>45453</v>
      </c>
      <c r="G4079" t="str">
        <f>"300133"</f>
        <v>300133</v>
      </c>
      <c r="H4079" t="s">
        <v>2955</v>
      </c>
      <c r="I4079">
        <v>40435.199999999997</v>
      </c>
    </row>
    <row r="4080" spans="1:9" x14ac:dyDescent="0.25">
      <c r="A4080" t="s">
        <v>9616</v>
      </c>
      <c r="C4080" t="s">
        <v>9617</v>
      </c>
      <c r="D4080" t="s">
        <v>11692</v>
      </c>
      <c r="E4080" t="s">
        <v>10198</v>
      </c>
      <c r="F4080" s="1">
        <v>45453</v>
      </c>
      <c r="G4080" t="str">
        <f>"300133"</f>
        <v>300133</v>
      </c>
      <c r="H4080" t="s">
        <v>2955</v>
      </c>
      <c r="I4080">
        <v>31350</v>
      </c>
    </row>
    <row r="4081" spans="1:9" x14ac:dyDescent="0.25">
      <c r="A4081" t="s">
        <v>9616</v>
      </c>
      <c r="C4081" t="s">
        <v>9617</v>
      </c>
      <c r="D4081" t="s">
        <v>11693</v>
      </c>
      <c r="E4081" t="s">
        <v>11694</v>
      </c>
      <c r="F4081" s="1">
        <v>45453</v>
      </c>
      <c r="G4081" t="str">
        <f>"300321"</f>
        <v>300321</v>
      </c>
      <c r="H4081" t="s">
        <v>2706</v>
      </c>
      <c r="I4081">
        <v>25000</v>
      </c>
    </row>
    <row r="4082" spans="1:9" x14ac:dyDescent="0.25">
      <c r="A4082" t="s">
        <v>9616</v>
      </c>
      <c r="C4082" t="s">
        <v>9617</v>
      </c>
      <c r="D4082" t="s">
        <v>11695</v>
      </c>
      <c r="E4082" t="s">
        <v>11696</v>
      </c>
      <c r="F4082" s="1">
        <v>45453</v>
      </c>
      <c r="G4082" t="str">
        <f>"300321"</f>
        <v>300321</v>
      </c>
      <c r="H4082" t="s">
        <v>2706</v>
      </c>
      <c r="I4082">
        <v>25000</v>
      </c>
    </row>
    <row r="4083" spans="1:9" x14ac:dyDescent="0.25">
      <c r="A4083" t="s">
        <v>9616</v>
      </c>
      <c r="C4083" t="s">
        <v>9617</v>
      </c>
      <c r="D4083" t="str">
        <f>"80182472"</f>
        <v>80182472</v>
      </c>
      <c r="E4083" t="s">
        <v>11627</v>
      </c>
      <c r="F4083" s="1">
        <v>45453</v>
      </c>
      <c r="G4083" t="str">
        <f>"300381"</f>
        <v>300381</v>
      </c>
      <c r="H4083" t="s">
        <v>3118</v>
      </c>
      <c r="I4083">
        <v>326409.78149999998</v>
      </c>
    </row>
    <row r="4084" spans="1:9" x14ac:dyDescent="0.25">
      <c r="A4084" t="s">
        <v>9616</v>
      </c>
      <c r="C4084" t="s">
        <v>9617</v>
      </c>
      <c r="D4084" t="str">
        <f>"80182711"</f>
        <v>80182711</v>
      </c>
      <c r="E4084" t="s">
        <v>9189</v>
      </c>
      <c r="F4084" s="1">
        <v>45453</v>
      </c>
      <c r="G4084" t="str">
        <f>"300381"</f>
        <v>300381</v>
      </c>
      <c r="H4084" t="s">
        <v>3118</v>
      </c>
      <c r="I4084">
        <v>333934.96950000001</v>
      </c>
    </row>
    <row r="4085" spans="1:9" x14ac:dyDescent="0.25">
      <c r="A4085" t="s">
        <v>9616</v>
      </c>
      <c r="C4085" t="s">
        <v>9617</v>
      </c>
      <c r="D4085" t="str">
        <f>"10158959"</f>
        <v>10158959</v>
      </c>
      <c r="E4085" t="s">
        <v>9189</v>
      </c>
      <c r="F4085" s="1">
        <v>45454</v>
      </c>
      <c r="G4085" t="str">
        <f>"300115"</f>
        <v>300115</v>
      </c>
      <c r="H4085" t="s">
        <v>2938</v>
      </c>
      <c r="I4085">
        <v>311385.12900000002</v>
      </c>
    </row>
    <row r="4086" spans="1:9" x14ac:dyDescent="0.25">
      <c r="A4086" t="s">
        <v>9616</v>
      </c>
      <c r="C4086" t="s">
        <v>9617</v>
      </c>
      <c r="D4086" t="str">
        <f>"202404676"</f>
        <v>202404676</v>
      </c>
      <c r="E4086" t="s">
        <v>11687</v>
      </c>
      <c r="F4086" s="1">
        <v>45454</v>
      </c>
      <c r="G4086" t="str">
        <f>"300191"</f>
        <v>300191</v>
      </c>
      <c r="H4086" t="s">
        <v>3008</v>
      </c>
      <c r="I4086">
        <v>3312.44</v>
      </c>
    </row>
    <row r="4087" spans="1:9" x14ac:dyDescent="0.25">
      <c r="A4087" t="s">
        <v>9616</v>
      </c>
      <c r="C4087" t="s">
        <v>9617</v>
      </c>
      <c r="D4087" t="str">
        <f>"48041"</f>
        <v>48041</v>
      </c>
      <c r="E4087" t="s">
        <v>11694</v>
      </c>
      <c r="F4087" s="1">
        <v>45455</v>
      </c>
      <c r="G4087" t="str">
        <f>"300043"</f>
        <v>300043</v>
      </c>
      <c r="H4087" t="s">
        <v>2876</v>
      </c>
      <c r="I4087">
        <v>1314</v>
      </c>
    </row>
    <row r="4088" spans="1:9" x14ac:dyDescent="0.25">
      <c r="A4088" t="s">
        <v>9616</v>
      </c>
      <c r="C4088" t="s">
        <v>9617</v>
      </c>
      <c r="D4088" t="str">
        <f>"9460"</f>
        <v>9460</v>
      </c>
      <c r="E4088" t="s">
        <v>11471</v>
      </c>
      <c r="F4088" s="1">
        <v>45456</v>
      </c>
      <c r="G4088" t="str">
        <f>"300043"</f>
        <v>300043</v>
      </c>
      <c r="H4088" t="s">
        <v>2876</v>
      </c>
      <c r="I4088">
        <v>4647</v>
      </c>
    </row>
    <row r="4089" spans="1:9" x14ac:dyDescent="0.25">
      <c r="A4089" t="s">
        <v>9616</v>
      </c>
      <c r="C4089" t="s">
        <v>9617</v>
      </c>
      <c r="D4089" t="str">
        <f>"48026"</f>
        <v>48026</v>
      </c>
      <c r="E4089" t="s">
        <v>11697</v>
      </c>
      <c r="F4089" s="1">
        <v>45456</v>
      </c>
      <c r="G4089" t="str">
        <f>"300043"</f>
        <v>300043</v>
      </c>
      <c r="H4089" t="s">
        <v>2876</v>
      </c>
      <c r="I4089">
        <v>1295</v>
      </c>
    </row>
    <row r="4090" spans="1:9" x14ac:dyDescent="0.25">
      <c r="A4090" t="s">
        <v>9616</v>
      </c>
      <c r="C4090" t="s">
        <v>9617</v>
      </c>
      <c r="D4090" t="str">
        <f>"56182"</f>
        <v>56182</v>
      </c>
      <c r="E4090" t="s">
        <v>11698</v>
      </c>
      <c r="F4090" s="1">
        <v>45456</v>
      </c>
      <c r="G4090" t="str">
        <f>"300043"</f>
        <v>300043</v>
      </c>
      <c r="H4090" t="s">
        <v>2876</v>
      </c>
      <c r="I4090">
        <v>14121</v>
      </c>
    </row>
    <row r="4091" spans="1:9" x14ac:dyDescent="0.25">
      <c r="A4091" t="s">
        <v>9616</v>
      </c>
      <c r="C4091" t="s">
        <v>9617</v>
      </c>
      <c r="D4091" t="str">
        <f>"8000439046"</f>
        <v>8000439046</v>
      </c>
      <c r="E4091" t="s">
        <v>11699</v>
      </c>
      <c r="F4091" s="1">
        <v>45456</v>
      </c>
      <c r="G4091" t="str">
        <f>"300220"</f>
        <v>300220</v>
      </c>
      <c r="H4091" t="s">
        <v>2170</v>
      </c>
      <c r="I4091">
        <v>785832.23400000005</v>
      </c>
    </row>
    <row r="4092" spans="1:9" x14ac:dyDescent="0.25">
      <c r="A4092" t="s">
        <v>9616</v>
      </c>
      <c r="C4092" t="s">
        <v>9617</v>
      </c>
      <c r="D4092" t="str">
        <f>"48635"</f>
        <v>48635</v>
      </c>
      <c r="E4092" t="s">
        <v>11700</v>
      </c>
      <c r="F4092" s="1">
        <v>45457</v>
      </c>
      <c r="G4092" t="str">
        <f>"300043"</f>
        <v>300043</v>
      </c>
      <c r="H4092" t="s">
        <v>2876</v>
      </c>
      <c r="I4092">
        <v>1217</v>
      </c>
    </row>
    <row r="4093" spans="1:9" x14ac:dyDescent="0.25">
      <c r="A4093" t="s">
        <v>9616</v>
      </c>
      <c r="C4093" t="s">
        <v>9617</v>
      </c>
      <c r="D4093" t="str">
        <f>"48815"</f>
        <v>48815</v>
      </c>
      <c r="E4093" t="s">
        <v>11701</v>
      </c>
      <c r="F4093" s="1">
        <v>45457</v>
      </c>
      <c r="G4093" t="str">
        <f>"300043"</f>
        <v>300043</v>
      </c>
      <c r="H4093" t="s">
        <v>2876</v>
      </c>
      <c r="I4093">
        <v>800</v>
      </c>
    </row>
    <row r="4094" spans="1:9" x14ac:dyDescent="0.25">
      <c r="A4094" t="s">
        <v>9616</v>
      </c>
      <c r="C4094" t="s">
        <v>9617</v>
      </c>
      <c r="D4094" t="s">
        <v>11702</v>
      </c>
      <c r="E4094" t="str">
        <f>"2300"</f>
        <v>2300</v>
      </c>
      <c r="F4094" s="1">
        <v>45457</v>
      </c>
      <c r="G4094" t="str">
        <f>"300133"</f>
        <v>300133</v>
      </c>
      <c r="H4094" t="s">
        <v>2955</v>
      </c>
      <c r="I4094">
        <v>42681.599999999999</v>
      </c>
    </row>
    <row r="4095" spans="1:9" x14ac:dyDescent="0.25">
      <c r="A4095" t="s">
        <v>9616</v>
      </c>
      <c r="C4095" t="s">
        <v>9617</v>
      </c>
      <c r="D4095" t="s">
        <v>11703</v>
      </c>
      <c r="E4095" t="str">
        <f>"1200"</f>
        <v>1200</v>
      </c>
      <c r="F4095" s="1">
        <v>45457</v>
      </c>
      <c r="G4095" t="str">
        <f>"300133"</f>
        <v>300133</v>
      </c>
      <c r="H4095" t="s">
        <v>2955</v>
      </c>
      <c r="I4095">
        <v>7432.8</v>
      </c>
    </row>
    <row r="4096" spans="1:9" x14ac:dyDescent="0.25">
      <c r="A4096" t="s">
        <v>9616</v>
      </c>
      <c r="C4096" t="s">
        <v>9617</v>
      </c>
      <c r="D4096" t="s">
        <v>11704</v>
      </c>
      <c r="F4096" s="1">
        <v>45457</v>
      </c>
      <c r="G4096" t="str">
        <f>"300398"</f>
        <v>300398</v>
      </c>
      <c r="H4096" t="s">
        <v>3134</v>
      </c>
      <c r="I4096">
        <v>27681.02</v>
      </c>
    </row>
    <row r="4097" spans="1:9" x14ac:dyDescent="0.25">
      <c r="A4097" t="s">
        <v>9616</v>
      </c>
      <c r="C4097" t="s">
        <v>9617</v>
      </c>
      <c r="D4097" t="s">
        <v>11705</v>
      </c>
      <c r="E4097" t="s">
        <v>11700</v>
      </c>
      <c r="F4097" s="1">
        <v>45458</v>
      </c>
      <c r="G4097" t="str">
        <f>"300321"</f>
        <v>300321</v>
      </c>
      <c r="H4097" t="s">
        <v>2706</v>
      </c>
      <c r="I4097">
        <v>19000</v>
      </c>
    </row>
    <row r="4098" spans="1:9" x14ac:dyDescent="0.25">
      <c r="A4098" t="s">
        <v>9616</v>
      </c>
      <c r="C4098" t="s">
        <v>9617</v>
      </c>
      <c r="D4098" t="str">
        <f>"10159204"</f>
        <v>10159204</v>
      </c>
      <c r="E4098" t="s">
        <v>1313</v>
      </c>
      <c r="F4098" s="1">
        <v>45462</v>
      </c>
      <c r="G4098" t="str">
        <f>"300115"</f>
        <v>300115</v>
      </c>
      <c r="H4098" t="s">
        <v>2938</v>
      </c>
      <c r="I4098">
        <v>139645.44</v>
      </c>
    </row>
    <row r="4099" spans="1:9" x14ac:dyDescent="0.25">
      <c r="A4099" t="s">
        <v>9616</v>
      </c>
      <c r="C4099" t="s">
        <v>9617</v>
      </c>
      <c r="D4099" t="str">
        <f>"202404907"</f>
        <v>202404907</v>
      </c>
      <c r="E4099" t="s">
        <v>11700</v>
      </c>
      <c r="F4099" s="1">
        <v>45462</v>
      </c>
      <c r="G4099" t="str">
        <f>"300191"</f>
        <v>300191</v>
      </c>
      <c r="H4099" t="s">
        <v>3008</v>
      </c>
      <c r="I4099">
        <v>3312.44</v>
      </c>
    </row>
    <row r="4100" spans="1:9" x14ac:dyDescent="0.25">
      <c r="A4100" t="s">
        <v>9616</v>
      </c>
      <c r="C4100" t="s">
        <v>9617</v>
      </c>
      <c r="D4100" t="str">
        <f>"202404908"</f>
        <v>202404908</v>
      </c>
      <c r="E4100" t="s">
        <v>11694</v>
      </c>
      <c r="F4100" s="1">
        <v>45462</v>
      </c>
      <c r="G4100" t="str">
        <f>"300191"</f>
        <v>300191</v>
      </c>
      <c r="H4100" t="s">
        <v>3008</v>
      </c>
      <c r="I4100">
        <v>3312.44</v>
      </c>
    </row>
    <row r="4101" spans="1:9" x14ac:dyDescent="0.25">
      <c r="A4101" t="s">
        <v>9616</v>
      </c>
      <c r="C4101" t="s">
        <v>9617</v>
      </c>
      <c r="D4101" t="str">
        <f>"202404926"</f>
        <v>202404926</v>
      </c>
      <c r="E4101" t="s">
        <v>11697</v>
      </c>
      <c r="F4101" s="1">
        <v>45462</v>
      </c>
      <c r="G4101" t="str">
        <f>"300191"</f>
        <v>300191</v>
      </c>
      <c r="H4101" t="s">
        <v>3008</v>
      </c>
      <c r="I4101">
        <v>3312.44</v>
      </c>
    </row>
    <row r="4102" spans="1:9" x14ac:dyDescent="0.25">
      <c r="A4102" t="s">
        <v>9616</v>
      </c>
      <c r="C4102" t="s">
        <v>9617</v>
      </c>
      <c r="D4102" t="s">
        <v>11706</v>
      </c>
      <c r="F4102" s="1">
        <v>45463</v>
      </c>
      <c r="G4102" t="str">
        <f>"300340"</f>
        <v>300340</v>
      </c>
      <c r="H4102" t="s">
        <v>3080</v>
      </c>
      <c r="I4102">
        <v>6248</v>
      </c>
    </row>
    <row r="4103" spans="1:9" x14ac:dyDescent="0.25">
      <c r="A4103" t="s">
        <v>9616</v>
      </c>
      <c r="C4103" t="s">
        <v>9617</v>
      </c>
      <c r="D4103" t="str">
        <f>"3369"</f>
        <v>3369</v>
      </c>
      <c r="E4103" t="s">
        <v>11707</v>
      </c>
      <c r="F4103" s="1">
        <v>45464</v>
      </c>
      <c r="G4103" t="str">
        <f>"300043"</f>
        <v>300043</v>
      </c>
      <c r="H4103" t="s">
        <v>2876</v>
      </c>
      <c r="I4103">
        <v>1193</v>
      </c>
    </row>
    <row r="4104" spans="1:9" x14ac:dyDescent="0.25">
      <c r="A4104" t="s">
        <v>9616</v>
      </c>
      <c r="C4104" t="s">
        <v>9617</v>
      </c>
      <c r="D4104" t="str">
        <f>"49853"</f>
        <v>49853</v>
      </c>
      <c r="E4104" s="4">
        <v>45597</v>
      </c>
      <c r="F4104" s="1">
        <v>45464</v>
      </c>
      <c r="G4104" t="str">
        <f>"300043"</f>
        <v>300043</v>
      </c>
      <c r="H4104" t="s">
        <v>2876</v>
      </c>
      <c r="I4104">
        <v>617</v>
      </c>
    </row>
    <row r="4105" spans="1:9" x14ac:dyDescent="0.25">
      <c r="A4105" t="s">
        <v>9616</v>
      </c>
      <c r="C4105" t="s">
        <v>9617</v>
      </c>
      <c r="D4105" t="str">
        <f>"10159248"</f>
        <v>10159248</v>
      </c>
      <c r="E4105" t="s">
        <v>1313</v>
      </c>
      <c r="F4105" s="1">
        <v>45464</v>
      </c>
      <c r="G4105" t="str">
        <f>"300115"</f>
        <v>300115</v>
      </c>
      <c r="H4105" t="s">
        <v>2938</v>
      </c>
      <c r="I4105">
        <v>139645.44</v>
      </c>
    </row>
    <row r="4106" spans="1:9" x14ac:dyDescent="0.25">
      <c r="A4106" t="s">
        <v>9616</v>
      </c>
      <c r="C4106" t="s">
        <v>9617</v>
      </c>
      <c r="D4106" t="str">
        <f>"10159263"</f>
        <v>10159263</v>
      </c>
      <c r="E4106" t="s">
        <v>1313</v>
      </c>
      <c r="F4106" s="1">
        <v>45464</v>
      </c>
      <c r="G4106" t="str">
        <f>"300115"</f>
        <v>300115</v>
      </c>
      <c r="H4106" t="s">
        <v>2938</v>
      </c>
      <c r="I4106">
        <v>139645.44</v>
      </c>
    </row>
    <row r="4107" spans="1:9" x14ac:dyDescent="0.25">
      <c r="A4107" t="s">
        <v>9616</v>
      </c>
      <c r="C4107" t="s">
        <v>9617</v>
      </c>
      <c r="D4107" t="s">
        <v>11708</v>
      </c>
      <c r="E4107" t="s">
        <v>11709</v>
      </c>
      <c r="F4107" s="1">
        <v>45464</v>
      </c>
      <c r="G4107" t="str">
        <f>"300391"</f>
        <v>300391</v>
      </c>
      <c r="H4107" t="s">
        <v>3128</v>
      </c>
      <c r="I4107">
        <v>9300.7000000000007</v>
      </c>
    </row>
    <row r="4108" spans="1:9" x14ac:dyDescent="0.25">
      <c r="A4108" t="s">
        <v>9616</v>
      </c>
      <c r="C4108" t="s">
        <v>9617</v>
      </c>
      <c r="D4108" t="str">
        <f>"295424"</f>
        <v>295424</v>
      </c>
      <c r="E4108" s="4">
        <v>45597</v>
      </c>
      <c r="F4108" s="1">
        <v>45467</v>
      </c>
      <c r="G4108" t="str">
        <f>"300101"</f>
        <v>300101</v>
      </c>
      <c r="H4108" t="s">
        <v>2926</v>
      </c>
      <c r="I4108">
        <v>3197.34</v>
      </c>
    </row>
    <row r="4109" spans="1:9" x14ac:dyDescent="0.25">
      <c r="A4109" t="s">
        <v>9616</v>
      </c>
      <c r="C4109" t="s">
        <v>9617</v>
      </c>
      <c r="D4109" t="s">
        <v>11710</v>
      </c>
      <c r="E4109" t="s">
        <v>11711</v>
      </c>
      <c r="F4109" s="1">
        <v>45467</v>
      </c>
      <c r="G4109" t="str">
        <f>"300118"</f>
        <v>300118</v>
      </c>
      <c r="H4109" t="s">
        <v>2941</v>
      </c>
      <c r="I4109">
        <v>9681.5</v>
      </c>
    </row>
    <row r="4110" spans="1:9" x14ac:dyDescent="0.25">
      <c r="A4110" t="s">
        <v>9616</v>
      </c>
      <c r="C4110" t="s">
        <v>9617</v>
      </c>
      <c r="D4110" t="str">
        <f>"202405067"</f>
        <v>202405067</v>
      </c>
      <c r="E4110" t="s">
        <v>11659</v>
      </c>
      <c r="F4110" s="1">
        <v>45467</v>
      </c>
      <c r="G4110" t="str">
        <f>"300191"</f>
        <v>300191</v>
      </c>
      <c r="H4110" t="s">
        <v>3008</v>
      </c>
      <c r="I4110">
        <v>5482</v>
      </c>
    </row>
    <row r="4111" spans="1:9" x14ac:dyDescent="0.25">
      <c r="A4111" t="s">
        <v>9616</v>
      </c>
      <c r="C4111" t="s">
        <v>9617</v>
      </c>
      <c r="D4111" t="s">
        <v>11712</v>
      </c>
      <c r="E4111" t="s">
        <v>11563</v>
      </c>
      <c r="F4111" s="1">
        <v>45467</v>
      </c>
      <c r="G4111" t="str">
        <f>"300376"</f>
        <v>300376</v>
      </c>
      <c r="H4111" t="s">
        <v>3113</v>
      </c>
      <c r="I4111">
        <v>249235.50959999999</v>
      </c>
    </row>
    <row r="4112" spans="1:9" x14ac:dyDescent="0.25">
      <c r="A4112" t="s">
        <v>9616</v>
      </c>
      <c r="C4112" t="s">
        <v>9617</v>
      </c>
      <c r="D4112" t="str">
        <f>"10054"</f>
        <v>10054</v>
      </c>
      <c r="E4112" t="s">
        <v>11471</v>
      </c>
      <c r="F4112" s="1">
        <v>45468</v>
      </c>
      <c r="G4112" t="str">
        <f>"300043"</f>
        <v>300043</v>
      </c>
      <c r="H4112" t="s">
        <v>2876</v>
      </c>
      <c r="I4112">
        <v>4910</v>
      </c>
    </row>
    <row r="4113" spans="1:9" x14ac:dyDescent="0.25">
      <c r="A4113" t="s">
        <v>9616</v>
      </c>
      <c r="C4113" t="s">
        <v>9617</v>
      </c>
      <c r="D4113" t="str">
        <f>"50557"</f>
        <v>50557</v>
      </c>
      <c r="E4113" s="4">
        <v>45627</v>
      </c>
      <c r="F4113" s="1">
        <v>45468</v>
      </c>
      <c r="G4113" t="str">
        <f>"300043"</f>
        <v>300043</v>
      </c>
      <c r="H4113" t="s">
        <v>2876</v>
      </c>
      <c r="I4113">
        <v>617</v>
      </c>
    </row>
    <row r="4114" spans="1:9" x14ac:dyDescent="0.25">
      <c r="A4114" t="s">
        <v>9616</v>
      </c>
      <c r="C4114" t="s">
        <v>9617</v>
      </c>
      <c r="D4114" t="str">
        <f>"299224"</f>
        <v>299224</v>
      </c>
      <c r="E4114" s="4">
        <v>45627</v>
      </c>
      <c r="F4114" s="1">
        <v>45469</v>
      </c>
      <c r="G4114" t="str">
        <f>"300101"</f>
        <v>300101</v>
      </c>
      <c r="H4114" t="s">
        <v>2926</v>
      </c>
      <c r="I4114">
        <v>3368.74</v>
      </c>
    </row>
    <row r="4115" spans="1:9" x14ac:dyDescent="0.25">
      <c r="A4115" t="s">
        <v>9616</v>
      </c>
      <c r="C4115" t="s">
        <v>9617</v>
      </c>
      <c r="D4115" t="s">
        <v>11713</v>
      </c>
      <c r="E4115" t="s">
        <v>11701</v>
      </c>
      <c r="F4115" s="1">
        <v>45469</v>
      </c>
      <c r="G4115" t="str">
        <f>"300400"</f>
        <v>300400</v>
      </c>
      <c r="H4115" t="s">
        <v>3136</v>
      </c>
      <c r="I4115">
        <v>5454.16</v>
      </c>
    </row>
    <row r="4116" spans="1:9" x14ac:dyDescent="0.25">
      <c r="A4116" t="s">
        <v>9616</v>
      </c>
      <c r="C4116" t="s">
        <v>9617</v>
      </c>
      <c r="D4116" t="str">
        <f>"51387"</f>
        <v>51387</v>
      </c>
      <c r="E4116" t="s">
        <v>11714</v>
      </c>
      <c r="F4116" s="1">
        <v>45470</v>
      </c>
      <c r="G4116" t="str">
        <f>"300043"</f>
        <v>300043</v>
      </c>
      <c r="H4116" t="s">
        <v>2876</v>
      </c>
      <c r="I4116">
        <v>616</v>
      </c>
    </row>
    <row r="4117" spans="1:9" x14ac:dyDescent="0.25">
      <c r="A4117" t="s">
        <v>9616</v>
      </c>
      <c r="C4117" t="s">
        <v>9617</v>
      </c>
      <c r="D4117" t="str">
        <f>"85422"</f>
        <v>85422</v>
      </c>
      <c r="E4117" t="s">
        <v>11711</v>
      </c>
      <c r="F4117" s="1">
        <v>45470</v>
      </c>
      <c r="G4117" t="str">
        <f>"300043"</f>
        <v>300043</v>
      </c>
      <c r="H4117" t="s">
        <v>2876</v>
      </c>
      <c r="I4117">
        <v>391</v>
      </c>
    </row>
    <row r="4118" spans="1:9" x14ac:dyDescent="0.25">
      <c r="A4118" t="s">
        <v>9616</v>
      </c>
      <c r="C4118" t="s">
        <v>9617</v>
      </c>
      <c r="D4118" t="str">
        <f>"10159432"</f>
        <v>10159432</v>
      </c>
      <c r="E4118" t="s">
        <v>1313</v>
      </c>
      <c r="F4118" s="1">
        <v>45470</v>
      </c>
      <c r="G4118" t="str">
        <f>"300115"</f>
        <v>300115</v>
      </c>
      <c r="H4118" t="s">
        <v>2938</v>
      </c>
      <c r="I4118">
        <v>139645.44</v>
      </c>
    </row>
    <row r="4119" spans="1:9" x14ac:dyDescent="0.25">
      <c r="A4119" t="s">
        <v>9616</v>
      </c>
      <c r="C4119" t="s">
        <v>9617</v>
      </c>
      <c r="D4119" t="str">
        <f>"202405162"</f>
        <v>202405162</v>
      </c>
      <c r="E4119" t="s">
        <v>11698</v>
      </c>
      <c r="F4119" s="1">
        <v>45470</v>
      </c>
      <c r="G4119" t="str">
        <f>"300191"</f>
        <v>300191</v>
      </c>
      <c r="H4119" t="s">
        <v>3008</v>
      </c>
      <c r="I4119">
        <v>5095.2299999999996</v>
      </c>
    </row>
    <row r="4120" spans="1:9" x14ac:dyDescent="0.25">
      <c r="A4120" t="s">
        <v>9616</v>
      </c>
      <c r="C4120" t="s">
        <v>9617</v>
      </c>
      <c r="D4120" t="s">
        <v>11715</v>
      </c>
      <c r="E4120" t="s">
        <v>11716</v>
      </c>
      <c r="F4120" s="1">
        <v>45471</v>
      </c>
      <c r="G4120" t="str">
        <f>"300364"</f>
        <v>300364</v>
      </c>
      <c r="H4120" t="s">
        <v>3101</v>
      </c>
      <c r="I4120">
        <v>8571.4</v>
      </c>
    </row>
    <row r="4121" spans="1:9" x14ac:dyDescent="0.25">
      <c r="A4121" t="s">
        <v>9616</v>
      </c>
      <c r="C4121" t="s">
        <v>9617</v>
      </c>
      <c r="D4121" t="str">
        <f>"3543"</f>
        <v>3543</v>
      </c>
      <c r="E4121" t="s">
        <v>11717</v>
      </c>
      <c r="F4121" s="1">
        <v>45472</v>
      </c>
      <c r="G4121" t="str">
        <f>"300043"</f>
        <v>300043</v>
      </c>
      <c r="H4121" t="s">
        <v>2876</v>
      </c>
      <c r="I4121">
        <v>2738</v>
      </c>
    </row>
    <row r="4122" spans="1:9" x14ac:dyDescent="0.25">
      <c r="A4122" t="s">
        <v>9616</v>
      </c>
      <c r="C4122" t="s">
        <v>9617</v>
      </c>
      <c r="D4122" t="str">
        <f>"51867"</f>
        <v>51867</v>
      </c>
      <c r="E4122" t="s">
        <v>11718</v>
      </c>
      <c r="F4122" s="1">
        <v>45472</v>
      </c>
      <c r="G4122" t="str">
        <f>"300043"</f>
        <v>300043</v>
      </c>
      <c r="H4122" t="s">
        <v>2876</v>
      </c>
      <c r="I4122">
        <v>617</v>
      </c>
    </row>
    <row r="4123" spans="1:9" x14ac:dyDescent="0.25">
      <c r="A4123" t="s">
        <v>9616</v>
      </c>
      <c r="C4123" t="s">
        <v>9617</v>
      </c>
      <c r="D4123" t="s">
        <v>11719</v>
      </c>
      <c r="E4123" t="s">
        <v>11720</v>
      </c>
      <c r="F4123" s="1">
        <v>45472</v>
      </c>
      <c r="G4123" t="str">
        <f>"300064"</f>
        <v>300064</v>
      </c>
      <c r="H4123" t="s">
        <v>2896</v>
      </c>
      <c r="I4123">
        <v>107036</v>
      </c>
    </row>
    <row r="4124" spans="1:9" x14ac:dyDescent="0.25">
      <c r="A4124" t="s">
        <v>9616</v>
      </c>
      <c r="C4124" t="s">
        <v>9617</v>
      </c>
      <c r="D4124" t="str">
        <f>"202405280"</f>
        <v>202405280</v>
      </c>
      <c r="E4124" t="s">
        <v>11711</v>
      </c>
      <c r="F4124" s="1">
        <v>45472</v>
      </c>
      <c r="G4124" t="str">
        <f>"300191"</f>
        <v>300191</v>
      </c>
      <c r="H4124" t="s">
        <v>3008</v>
      </c>
      <c r="I4124">
        <v>4236.5200000000004</v>
      </c>
    </row>
    <row r="4125" spans="1:9" x14ac:dyDescent="0.25">
      <c r="A4125" t="s">
        <v>9616</v>
      </c>
      <c r="C4125" t="s">
        <v>9617</v>
      </c>
      <c r="D4125" t="str">
        <f>"242200313"</f>
        <v>242200313</v>
      </c>
      <c r="E4125" t="s">
        <v>9151</v>
      </c>
      <c r="F4125" s="1">
        <v>45472</v>
      </c>
      <c r="G4125" t="str">
        <f>"300373"</f>
        <v>300373</v>
      </c>
      <c r="H4125" t="s">
        <v>3110</v>
      </c>
      <c r="I4125">
        <v>214141.22399999999</v>
      </c>
    </row>
    <row r="4126" spans="1:9" x14ac:dyDescent="0.25">
      <c r="A4126" t="s">
        <v>9616</v>
      </c>
      <c r="C4126" t="s">
        <v>9617</v>
      </c>
      <c r="D4126" t="str">
        <f>"10424"</f>
        <v>10424</v>
      </c>
      <c r="E4126" t="s">
        <v>11471</v>
      </c>
      <c r="F4126" s="1">
        <v>45474</v>
      </c>
      <c r="G4126" t="str">
        <f>"300043"</f>
        <v>300043</v>
      </c>
      <c r="H4126" t="s">
        <v>2876</v>
      </c>
      <c r="I4126">
        <v>4902</v>
      </c>
    </row>
    <row r="4127" spans="1:9" x14ac:dyDescent="0.25">
      <c r="A4127" t="s">
        <v>9616</v>
      </c>
      <c r="C4127" t="s">
        <v>9617</v>
      </c>
      <c r="D4127" t="str">
        <f>"306924"</f>
        <v>306924</v>
      </c>
      <c r="E4127" t="s">
        <v>11714</v>
      </c>
      <c r="F4127" s="1">
        <v>45474</v>
      </c>
      <c r="G4127" t="str">
        <f>"300101"</f>
        <v>300101</v>
      </c>
      <c r="H4127" t="s">
        <v>2926</v>
      </c>
      <c r="I4127">
        <v>4225.75</v>
      </c>
    </row>
    <row r="4128" spans="1:9" x14ac:dyDescent="0.25">
      <c r="A4128" t="s">
        <v>9616</v>
      </c>
      <c r="C4128" t="s">
        <v>9617</v>
      </c>
      <c r="D4128" t="s">
        <v>11721</v>
      </c>
      <c r="F4128" s="1">
        <v>45474</v>
      </c>
      <c r="G4128" t="str">
        <f>"300398"</f>
        <v>300398</v>
      </c>
      <c r="H4128" t="s">
        <v>3134</v>
      </c>
      <c r="I4128">
        <v>20648.29</v>
      </c>
    </row>
    <row r="4129" spans="1:9" x14ac:dyDescent="0.25">
      <c r="A4129" t="s">
        <v>9616</v>
      </c>
      <c r="C4129" t="s">
        <v>9617</v>
      </c>
      <c r="D4129" t="str">
        <f>"3580"</f>
        <v>3580</v>
      </c>
      <c r="E4129" t="s">
        <v>11722</v>
      </c>
      <c r="F4129" s="1">
        <v>45475</v>
      </c>
      <c r="G4129" t="str">
        <f>"300043"</f>
        <v>300043</v>
      </c>
      <c r="H4129" t="s">
        <v>2876</v>
      </c>
      <c r="I4129">
        <v>7870</v>
      </c>
    </row>
    <row r="4130" spans="1:9" x14ac:dyDescent="0.25">
      <c r="A4130" t="s">
        <v>9616</v>
      </c>
      <c r="C4130" t="s">
        <v>9617</v>
      </c>
      <c r="D4130" t="str">
        <f>"50935"</f>
        <v>50935</v>
      </c>
      <c r="E4130" t="s">
        <v>11723</v>
      </c>
      <c r="F4130" s="1">
        <v>45475</v>
      </c>
      <c r="G4130" t="str">
        <f>"300043"</f>
        <v>300043</v>
      </c>
      <c r="H4130" t="s">
        <v>2876</v>
      </c>
      <c r="I4130">
        <v>1071</v>
      </c>
    </row>
    <row r="4131" spans="1:9" x14ac:dyDescent="0.25">
      <c r="A4131" t="s">
        <v>9616</v>
      </c>
      <c r="C4131" t="s">
        <v>9617</v>
      </c>
      <c r="D4131" t="str">
        <f>"89089"</f>
        <v>89089</v>
      </c>
      <c r="E4131" t="s">
        <v>11716</v>
      </c>
      <c r="F4131" s="1">
        <v>45475</v>
      </c>
      <c r="G4131" t="str">
        <f>"300043"</f>
        <v>300043</v>
      </c>
      <c r="H4131" t="s">
        <v>2876</v>
      </c>
      <c r="I4131">
        <v>390</v>
      </c>
    </row>
    <row r="4132" spans="1:9" x14ac:dyDescent="0.25">
      <c r="A4132" t="s">
        <v>9616</v>
      </c>
      <c r="C4132" t="s">
        <v>9617</v>
      </c>
      <c r="D4132" t="str">
        <f>"308824"</f>
        <v>308824</v>
      </c>
      <c r="E4132" t="s">
        <v>11718</v>
      </c>
      <c r="F4132" s="1">
        <v>45475</v>
      </c>
      <c r="G4132" t="str">
        <f>"300101"</f>
        <v>300101</v>
      </c>
      <c r="H4132" t="s">
        <v>2926</v>
      </c>
      <c r="I4132">
        <v>3025.94</v>
      </c>
    </row>
    <row r="4133" spans="1:9" x14ac:dyDescent="0.25">
      <c r="A4133" t="s">
        <v>9616</v>
      </c>
      <c r="C4133" t="s">
        <v>9617</v>
      </c>
      <c r="D4133" t="str">
        <f>"89201"</f>
        <v>89201</v>
      </c>
      <c r="E4133" t="s">
        <v>11709</v>
      </c>
      <c r="F4133" s="1">
        <v>45476</v>
      </c>
      <c r="G4133" t="str">
        <f>"300043"</f>
        <v>300043</v>
      </c>
      <c r="H4133" t="s">
        <v>2876</v>
      </c>
      <c r="I4133">
        <v>1056</v>
      </c>
    </row>
    <row r="4134" spans="1:9" x14ac:dyDescent="0.25">
      <c r="A4134" t="s">
        <v>9616</v>
      </c>
      <c r="C4134" t="s">
        <v>9617</v>
      </c>
      <c r="D4134" t="str">
        <f>"311024"</f>
        <v>311024</v>
      </c>
      <c r="E4134" t="s">
        <v>11724</v>
      </c>
      <c r="F4134" s="1">
        <v>45476</v>
      </c>
      <c r="G4134" t="str">
        <f>"300101"</f>
        <v>300101</v>
      </c>
      <c r="H4134" t="s">
        <v>2926</v>
      </c>
      <c r="I4134">
        <v>514.21</v>
      </c>
    </row>
    <row r="4135" spans="1:9" x14ac:dyDescent="0.25">
      <c r="A4135" t="s">
        <v>9616</v>
      </c>
      <c r="C4135" t="s">
        <v>9617</v>
      </c>
      <c r="D4135" t="str">
        <f>"311224"</f>
        <v>311224</v>
      </c>
      <c r="E4135" t="s">
        <v>11725</v>
      </c>
      <c r="F4135" s="1">
        <v>45476</v>
      </c>
      <c r="G4135" t="str">
        <f>"300101"</f>
        <v>300101</v>
      </c>
      <c r="H4135" t="s">
        <v>2926</v>
      </c>
      <c r="I4135">
        <v>9824.8799999999992</v>
      </c>
    </row>
    <row r="4136" spans="1:9" x14ac:dyDescent="0.25">
      <c r="A4136" t="s">
        <v>9616</v>
      </c>
      <c r="C4136" t="s">
        <v>9617</v>
      </c>
      <c r="D4136" t="str">
        <f>"10159567"</f>
        <v>10159567</v>
      </c>
      <c r="E4136" t="s">
        <v>1313</v>
      </c>
      <c r="F4136" s="1">
        <v>45476</v>
      </c>
      <c r="G4136" t="str">
        <f>"300115"</f>
        <v>300115</v>
      </c>
      <c r="H4136" t="s">
        <v>2938</v>
      </c>
      <c r="I4136">
        <v>139645.44</v>
      </c>
    </row>
    <row r="4137" spans="1:9" x14ac:dyDescent="0.25">
      <c r="A4137" t="s">
        <v>9616</v>
      </c>
      <c r="C4137" t="s">
        <v>9617</v>
      </c>
      <c r="D4137" t="str">
        <f>"311524"</f>
        <v>311524</v>
      </c>
      <c r="E4137" t="s">
        <v>11726</v>
      </c>
      <c r="F4137" s="1">
        <v>45477</v>
      </c>
      <c r="G4137" t="str">
        <f>"300101"</f>
        <v>300101</v>
      </c>
      <c r="H4137" t="s">
        <v>2926</v>
      </c>
      <c r="I4137">
        <v>1485.48</v>
      </c>
    </row>
    <row r="4138" spans="1:9" x14ac:dyDescent="0.25">
      <c r="A4138" t="s">
        <v>9616</v>
      </c>
      <c r="C4138" t="s">
        <v>9617</v>
      </c>
      <c r="D4138" t="str">
        <f>"311624"</f>
        <v>311624</v>
      </c>
      <c r="E4138" t="s">
        <v>11727</v>
      </c>
      <c r="F4138" s="1">
        <v>45477</v>
      </c>
      <c r="G4138" t="str">
        <f>"300101"</f>
        <v>300101</v>
      </c>
      <c r="H4138" t="s">
        <v>2926</v>
      </c>
      <c r="I4138">
        <v>457.07</v>
      </c>
    </row>
    <row r="4139" spans="1:9" x14ac:dyDescent="0.25">
      <c r="A4139" t="s">
        <v>9616</v>
      </c>
      <c r="C4139" t="s">
        <v>9617</v>
      </c>
      <c r="D4139" t="str">
        <f>"10159625"</f>
        <v>10159625</v>
      </c>
      <c r="E4139" t="s">
        <v>2762</v>
      </c>
      <c r="F4139" s="1">
        <v>45477</v>
      </c>
      <c r="G4139" t="str">
        <f>"300115"</f>
        <v>300115</v>
      </c>
      <c r="H4139" t="s">
        <v>2938</v>
      </c>
      <c r="I4139">
        <v>107687.25</v>
      </c>
    </row>
    <row r="4140" spans="1:9" x14ac:dyDescent="0.25">
      <c r="A4140" t="s">
        <v>9616</v>
      </c>
      <c r="C4140" t="s">
        <v>9617</v>
      </c>
      <c r="D4140" t="str">
        <f>"53833"</f>
        <v>53833</v>
      </c>
      <c r="E4140" t="s">
        <v>11728</v>
      </c>
      <c r="F4140" s="1">
        <v>45478</v>
      </c>
      <c r="G4140" t="str">
        <f>"300043"</f>
        <v>300043</v>
      </c>
      <c r="H4140" t="s">
        <v>2876</v>
      </c>
      <c r="I4140">
        <v>619</v>
      </c>
    </row>
    <row r="4141" spans="1:9" x14ac:dyDescent="0.25">
      <c r="A4141" t="s">
        <v>9616</v>
      </c>
      <c r="C4141" t="s">
        <v>9617</v>
      </c>
      <c r="D4141" t="str">
        <f>"90830"</f>
        <v>90830</v>
      </c>
      <c r="E4141" t="s">
        <v>11729</v>
      </c>
      <c r="F4141" s="1">
        <v>45478</v>
      </c>
      <c r="G4141" t="str">
        <f>"300043"</f>
        <v>300043</v>
      </c>
      <c r="H4141" t="s">
        <v>2876</v>
      </c>
      <c r="I4141">
        <v>983</v>
      </c>
    </row>
    <row r="4142" spans="1:9" x14ac:dyDescent="0.25">
      <c r="A4142" t="s">
        <v>9616</v>
      </c>
      <c r="C4142" t="s">
        <v>9617</v>
      </c>
      <c r="D4142" t="str">
        <f>"202405427"</f>
        <v>202405427</v>
      </c>
      <c r="E4142" t="s">
        <v>11716</v>
      </c>
      <c r="F4142" s="1">
        <v>45478</v>
      </c>
      <c r="G4142" t="str">
        <f>"300191"</f>
        <v>300191</v>
      </c>
      <c r="H4142" t="s">
        <v>3008</v>
      </c>
      <c r="I4142">
        <v>4133.5200000000004</v>
      </c>
    </row>
    <row r="4143" spans="1:9" x14ac:dyDescent="0.25">
      <c r="A4143" t="s">
        <v>9616</v>
      </c>
      <c r="C4143" t="s">
        <v>9617</v>
      </c>
      <c r="D4143" t="str">
        <f>"10159657"</f>
        <v>10159657</v>
      </c>
      <c r="E4143" t="s">
        <v>1313</v>
      </c>
      <c r="F4143" s="1">
        <v>45481</v>
      </c>
      <c r="G4143" t="str">
        <f>"300115"</f>
        <v>300115</v>
      </c>
      <c r="H4143" t="s">
        <v>2938</v>
      </c>
      <c r="I4143">
        <v>139645.44</v>
      </c>
    </row>
    <row r="4144" spans="1:9" x14ac:dyDescent="0.25">
      <c r="A4144" t="s">
        <v>9616</v>
      </c>
      <c r="C4144" t="s">
        <v>9617</v>
      </c>
      <c r="D4144" t="str">
        <f>"10159658"</f>
        <v>10159658</v>
      </c>
      <c r="E4144" t="s">
        <v>1313</v>
      </c>
      <c r="F4144" s="1">
        <v>45481</v>
      </c>
      <c r="G4144" t="str">
        <f>"300115"</f>
        <v>300115</v>
      </c>
      <c r="H4144" t="s">
        <v>2938</v>
      </c>
      <c r="I4144">
        <v>139645.44</v>
      </c>
    </row>
    <row r="4145" spans="1:9" x14ac:dyDescent="0.25">
      <c r="A4145" t="s">
        <v>9616</v>
      </c>
      <c r="C4145" t="s">
        <v>9617</v>
      </c>
      <c r="D4145" t="str">
        <f>"10159703"</f>
        <v>10159703</v>
      </c>
      <c r="E4145" t="s">
        <v>9189</v>
      </c>
      <c r="F4145" s="1">
        <v>45481</v>
      </c>
      <c r="G4145" t="str">
        <f>"300115"</f>
        <v>300115</v>
      </c>
      <c r="H4145" t="s">
        <v>2938</v>
      </c>
      <c r="I4145">
        <v>346249.728</v>
      </c>
    </row>
    <row r="4146" spans="1:9" x14ac:dyDescent="0.25">
      <c r="A4146" t="s">
        <v>9616</v>
      </c>
      <c r="C4146" t="s">
        <v>9617</v>
      </c>
      <c r="D4146" t="str">
        <f>"10159735"</f>
        <v>10159735</v>
      </c>
      <c r="E4146" t="s">
        <v>9189</v>
      </c>
      <c r="F4146" s="1">
        <v>45481</v>
      </c>
      <c r="G4146" t="str">
        <f>"300115"</f>
        <v>300115</v>
      </c>
      <c r="H4146" t="s">
        <v>2938</v>
      </c>
      <c r="I4146">
        <v>346254.57900000003</v>
      </c>
    </row>
    <row r="4147" spans="1:9" x14ac:dyDescent="0.25">
      <c r="A4147" t="s">
        <v>9616</v>
      </c>
      <c r="C4147" t="s">
        <v>9617</v>
      </c>
      <c r="D4147" t="str">
        <f>"54886"</f>
        <v>54886</v>
      </c>
      <c r="E4147" t="s">
        <v>11730</v>
      </c>
      <c r="F4147" s="1">
        <v>45482</v>
      </c>
      <c r="G4147" t="str">
        <f>"300043"</f>
        <v>300043</v>
      </c>
      <c r="H4147" t="s">
        <v>2876</v>
      </c>
      <c r="I4147">
        <v>1342</v>
      </c>
    </row>
    <row r="4148" spans="1:9" x14ac:dyDescent="0.25">
      <c r="A4148" t="s">
        <v>9616</v>
      </c>
      <c r="C4148" t="s">
        <v>9617</v>
      </c>
      <c r="D4148" t="str">
        <f>"321024"</f>
        <v>321024</v>
      </c>
      <c r="E4148" t="s">
        <v>11728</v>
      </c>
      <c r="F4148" s="1">
        <v>45482</v>
      </c>
      <c r="G4148" t="str">
        <f>"300101"</f>
        <v>300101</v>
      </c>
      <c r="H4148" t="s">
        <v>2926</v>
      </c>
      <c r="I4148">
        <v>3197.34</v>
      </c>
    </row>
    <row r="4149" spans="1:9" x14ac:dyDescent="0.25">
      <c r="A4149" t="s">
        <v>9616</v>
      </c>
      <c r="C4149" t="s">
        <v>9617</v>
      </c>
      <c r="D4149" t="str">
        <f>"10159757"</f>
        <v>10159757</v>
      </c>
      <c r="E4149" t="s">
        <v>11731</v>
      </c>
      <c r="F4149" s="1">
        <v>45482</v>
      </c>
      <c r="G4149" t="str">
        <f>"300115"</f>
        <v>300115</v>
      </c>
      <c r="H4149" t="s">
        <v>2938</v>
      </c>
      <c r="I4149">
        <v>107687.25</v>
      </c>
    </row>
    <row r="4150" spans="1:9" x14ac:dyDescent="0.25">
      <c r="A4150" t="s">
        <v>9616</v>
      </c>
      <c r="C4150" t="s">
        <v>9617</v>
      </c>
      <c r="D4150" t="str">
        <f>"06498"</f>
        <v>06498</v>
      </c>
      <c r="E4150" t="s">
        <v>11471</v>
      </c>
      <c r="F4150" s="1">
        <v>45483</v>
      </c>
      <c r="G4150" t="str">
        <f>"300043"</f>
        <v>300043</v>
      </c>
      <c r="H4150" t="s">
        <v>2876</v>
      </c>
      <c r="I4150">
        <v>4154</v>
      </c>
    </row>
    <row r="4151" spans="1:9" x14ac:dyDescent="0.25">
      <c r="A4151" t="s">
        <v>9616</v>
      </c>
      <c r="C4151" t="s">
        <v>9617</v>
      </c>
      <c r="D4151" t="str">
        <f>"54950"</f>
        <v>54950</v>
      </c>
      <c r="E4151" t="s">
        <v>11732</v>
      </c>
      <c r="F4151" s="1">
        <v>45483</v>
      </c>
      <c r="G4151" t="str">
        <f>"300043"</f>
        <v>300043</v>
      </c>
      <c r="H4151" t="s">
        <v>2876</v>
      </c>
      <c r="I4151">
        <v>579</v>
      </c>
    </row>
    <row r="4152" spans="1:9" x14ac:dyDescent="0.25">
      <c r="A4152" t="s">
        <v>9616</v>
      </c>
      <c r="C4152" t="s">
        <v>9617</v>
      </c>
      <c r="D4152" t="str">
        <f>"54996"</f>
        <v>54996</v>
      </c>
      <c r="E4152" t="s">
        <v>11733</v>
      </c>
      <c r="F4152" s="1">
        <v>45483</v>
      </c>
      <c r="G4152" t="str">
        <f>"300043"</f>
        <v>300043</v>
      </c>
      <c r="H4152" t="s">
        <v>2876</v>
      </c>
      <c r="I4152">
        <v>617</v>
      </c>
    </row>
    <row r="4153" spans="1:9" x14ac:dyDescent="0.25">
      <c r="A4153" t="s">
        <v>9616</v>
      </c>
      <c r="C4153" t="s">
        <v>9617</v>
      </c>
      <c r="D4153" t="str">
        <f>"55043"</f>
        <v>55043</v>
      </c>
      <c r="E4153" t="s">
        <v>11734</v>
      </c>
      <c r="F4153" s="1">
        <v>45483</v>
      </c>
      <c r="G4153" t="str">
        <f>"300043"</f>
        <v>300043</v>
      </c>
      <c r="H4153" t="s">
        <v>2876</v>
      </c>
      <c r="I4153">
        <v>617</v>
      </c>
    </row>
    <row r="4154" spans="1:9" x14ac:dyDescent="0.25">
      <c r="A4154" t="s">
        <v>9616</v>
      </c>
      <c r="C4154" t="s">
        <v>9617</v>
      </c>
      <c r="D4154" t="str">
        <f>"55123"</f>
        <v>55123</v>
      </c>
      <c r="E4154" t="s">
        <v>11735</v>
      </c>
      <c r="F4154" s="1">
        <v>45483</v>
      </c>
      <c r="G4154" t="str">
        <f>"300043"</f>
        <v>300043</v>
      </c>
      <c r="H4154" t="s">
        <v>2876</v>
      </c>
      <c r="I4154">
        <v>1339</v>
      </c>
    </row>
    <row r="4155" spans="1:9" x14ac:dyDescent="0.25">
      <c r="A4155" t="s">
        <v>9616</v>
      </c>
      <c r="C4155" t="s">
        <v>9617</v>
      </c>
      <c r="D4155" t="str">
        <f>"8000440480"</f>
        <v>8000440480</v>
      </c>
      <c r="E4155" t="s">
        <v>9413</v>
      </c>
      <c r="F4155" s="1">
        <v>45483</v>
      </c>
      <c r="G4155" t="str">
        <f>"300220"</f>
        <v>300220</v>
      </c>
      <c r="H4155" t="s">
        <v>2170</v>
      </c>
      <c r="I4155">
        <v>1187746.56</v>
      </c>
    </row>
    <row r="4156" spans="1:9" x14ac:dyDescent="0.25">
      <c r="A4156" t="s">
        <v>9616</v>
      </c>
      <c r="C4156" t="s">
        <v>9617</v>
      </c>
      <c r="D4156" t="str">
        <f>"8000440481"</f>
        <v>8000440481</v>
      </c>
      <c r="E4156" t="s">
        <v>10914</v>
      </c>
      <c r="F4156" s="1">
        <v>45483</v>
      </c>
      <c r="G4156" t="str">
        <f>"300220"</f>
        <v>300220</v>
      </c>
      <c r="H4156" t="s">
        <v>2170</v>
      </c>
      <c r="I4156">
        <v>1187746.56</v>
      </c>
    </row>
    <row r="4157" spans="1:9" x14ac:dyDescent="0.25">
      <c r="A4157" t="s">
        <v>9616</v>
      </c>
      <c r="C4157" t="s">
        <v>9617</v>
      </c>
      <c r="D4157" t="str">
        <f>"325524"</f>
        <v>325524</v>
      </c>
      <c r="E4157" t="s">
        <v>11732</v>
      </c>
      <c r="F4157" s="1">
        <v>45484</v>
      </c>
      <c r="G4157" t="str">
        <f>"300101"</f>
        <v>300101</v>
      </c>
      <c r="H4157" t="s">
        <v>2926</v>
      </c>
      <c r="I4157">
        <v>3368.74</v>
      </c>
    </row>
    <row r="4158" spans="1:9" x14ac:dyDescent="0.25">
      <c r="A4158" t="s">
        <v>9616</v>
      </c>
      <c r="C4158" t="s">
        <v>9617</v>
      </c>
      <c r="D4158" t="str">
        <f>"325624"</f>
        <v>325624</v>
      </c>
      <c r="E4158" t="s">
        <v>11734</v>
      </c>
      <c r="F4158" s="1">
        <v>45484</v>
      </c>
      <c r="G4158" t="str">
        <f>"300101"</f>
        <v>300101</v>
      </c>
      <c r="H4158" t="s">
        <v>2926</v>
      </c>
      <c r="I4158">
        <v>3025.94</v>
      </c>
    </row>
    <row r="4159" spans="1:9" x14ac:dyDescent="0.25">
      <c r="A4159" t="s">
        <v>9616</v>
      </c>
      <c r="C4159" t="s">
        <v>9617</v>
      </c>
      <c r="D4159" t="s">
        <v>11736</v>
      </c>
      <c r="E4159" t="s">
        <v>11730</v>
      </c>
      <c r="F4159" s="1">
        <v>45484</v>
      </c>
      <c r="G4159" t="str">
        <f>"300321"</f>
        <v>300321</v>
      </c>
      <c r="H4159" t="s">
        <v>2706</v>
      </c>
      <c r="I4159">
        <v>19800</v>
      </c>
    </row>
    <row r="4160" spans="1:9" x14ac:dyDescent="0.25">
      <c r="A4160" t="s">
        <v>9616</v>
      </c>
      <c r="C4160" t="s">
        <v>9617</v>
      </c>
      <c r="D4160" t="s">
        <v>11737</v>
      </c>
      <c r="E4160" t="s">
        <v>11735</v>
      </c>
      <c r="F4160" s="1">
        <v>45484</v>
      </c>
      <c r="G4160" t="str">
        <f>"300321"</f>
        <v>300321</v>
      </c>
      <c r="H4160" t="s">
        <v>2706</v>
      </c>
      <c r="I4160">
        <v>19800</v>
      </c>
    </row>
    <row r="4161" spans="1:9" x14ac:dyDescent="0.25">
      <c r="A4161" t="s">
        <v>9616</v>
      </c>
      <c r="C4161" t="s">
        <v>9617</v>
      </c>
      <c r="D4161" t="str">
        <f>"6801"</f>
        <v>6801</v>
      </c>
      <c r="E4161" t="s">
        <v>11471</v>
      </c>
      <c r="F4161" s="1">
        <v>45485</v>
      </c>
      <c r="G4161" t="str">
        <f>"300043"</f>
        <v>300043</v>
      </c>
      <c r="H4161" t="s">
        <v>2876</v>
      </c>
      <c r="I4161">
        <v>4437</v>
      </c>
    </row>
    <row r="4162" spans="1:9" x14ac:dyDescent="0.25">
      <c r="A4162" t="s">
        <v>9616</v>
      </c>
      <c r="C4162" t="s">
        <v>9617</v>
      </c>
      <c r="D4162" t="str">
        <f>"55720"</f>
        <v>55720</v>
      </c>
      <c r="E4162" t="s">
        <v>11738</v>
      </c>
      <c r="F4162" s="1">
        <v>45485</v>
      </c>
      <c r="G4162" t="str">
        <f>"300043"</f>
        <v>300043</v>
      </c>
      <c r="H4162" t="s">
        <v>2876</v>
      </c>
      <c r="I4162">
        <v>577</v>
      </c>
    </row>
    <row r="4163" spans="1:9" x14ac:dyDescent="0.25">
      <c r="A4163" t="s">
        <v>9616</v>
      </c>
      <c r="C4163" t="s">
        <v>9617</v>
      </c>
      <c r="D4163" t="s">
        <v>11739</v>
      </c>
      <c r="E4163" t="s">
        <v>9266</v>
      </c>
      <c r="F4163" s="1">
        <v>45485</v>
      </c>
      <c r="G4163" t="str">
        <f>"300064"</f>
        <v>300064</v>
      </c>
      <c r="H4163" t="s">
        <v>2896</v>
      </c>
      <c r="I4163">
        <v>125272</v>
      </c>
    </row>
    <row r="4164" spans="1:9" x14ac:dyDescent="0.25">
      <c r="A4164" t="s">
        <v>9616</v>
      </c>
      <c r="C4164" t="s">
        <v>9617</v>
      </c>
      <c r="D4164" t="s">
        <v>11740</v>
      </c>
      <c r="E4164" t="s">
        <v>9112</v>
      </c>
      <c r="F4164" s="1">
        <v>45485</v>
      </c>
      <c r="G4164" t="str">
        <f>"300064"</f>
        <v>300064</v>
      </c>
      <c r="H4164" t="s">
        <v>2896</v>
      </c>
      <c r="I4164">
        <v>120820</v>
      </c>
    </row>
    <row r="4165" spans="1:9" x14ac:dyDescent="0.25">
      <c r="A4165" t="s">
        <v>9616</v>
      </c>
      <c r="C4165" t="s">
        <v>9617</v>
      </c>
      <c r="D4165" t="s">
        <v>11741</v>
      </c>
      <c r="E4165" t="s">
        <v>9112</v>
      </c>
      <c r="F4165" s="1">
        <v>45485</v>
      </c>
      <c r="G4165" t="str">
        <f>"300064"</f>
        <v>300064</v>
      </c>
      <c r="H4165" t="s">
        <v>2896</v>
      </c>
      <c r="I4165">
        <v>120820</v>
      </c>
    </row>
    <row r="4166" spans="1:9" x14ac:dyDescent="0.25">
      <c r="A4166" t="s">
        <v>9616</v>
      </c>
      <c r="C4166" t="s">
        <v>9617</v>
      </c>
      <c r="D4166" t="str">
        <f>"326724"</f>
        <v>326724</v>
      </c>
      <c r="E4166" t="s">
        <v>11734</v>
      </c>
      <c r="F4166" s="1">
        <v>45485</v>
      </c>
      <c r="G4166" t="str">
        <f>"300101"</f>
        <v>300101</v>
      </c>
      <c r="H4166" t="s">
        <v>2926</v>
      </c>
      <c r="I4166">
        <v>171.4</v>
      </c>
    </row>
    <row r="4167" spans="1:9" x14ac:dyDescent="0.25">
      <c r="A4167" t="s">
        <v>9616</v>
      </c>
      <c r="C4167" t="s">
        <v>9617</v>
      </c>
      <c r="D4167" t="str">
        <f>"327024"</f>
        <v>327024</v>
      </c>
      <c r="E4167" t="s">
        <v>11733</v>
      </c>
      <c r="F4167" s="1">
        <v>45485</v>
      </c>
      <c r="G4167" t="str">
        <f>"300101"</f>
        <v>300101</v>
      </c>
      <c r="H4167" t="s">
        <v>2926</v>
      </c>
      <c r="I4167">
        <v>3197.34</v>
      </c>
    </row>
    <row r="4168" spans="1:9" x14ac:dyDescent="0.25">
      <c r="A4168" t="s">
        <v>9616</v>
      </c>
      <c r="C4168" t="s">
        <v>9617</v>
      </c>
      <c r="D4168" t="str">
        <f>"202405690"</f>
        <v>202405690</v>
      </c>
      <c r="E4168" t="s">
        <v>11735</v>
      </c>
      <c r="F4168" s="1">
        <v>45485</v>
      </c>
      <c r="G4168" t="str">
        <f>"300191"</f>
        <v>300191</v>
      </c>
      <c r="H4168" t="s">
        <v>3008</v>
      </c>
      <c r="I4168">
        <v>3217.64</v>
      </c>
    </row>
    <row r="4169" spans="1:9" x14ac:dyDescent="0.25">
      <c r="A4169" t="s">
        <v>9616</v>
      </c>
      <c r="C4169" t="s">
        <v>9617</v>
      </c>
      <c r="D4169" t="str">
        <f>"202405693"</f>
        <v>202405693</v>
      </c>
      <c r="E4169" t="s">
        <v>11730</v>
      </c>
      <c r="F4169" s="1">
        <v>45485</v>
      </c>
      <c r="G4169" t="str">
        <f>"300191"</f>
        <v>300191</v>
      </c>
      <c r="H4169" t="s">
        <v>3008</v>
      </c>
      <c r="I4169">
        <v>3241.34</v>
      </c>
    </row>
    <row r="4170" spans="1:9" x14ac:dyDescent="0.25">
      <c r="A4170" t="s">
        <v>9616</v>
      </c>
      <c r="C4170" t="s">
        <v>9617</v>
      </c>
      <c r="D4170" t="str">
        <f>"202405698"</f>
        <v>202405698</v>
      </c>
      <c r="E4170" t="s">
        <v>11471</v>
      </c>
      <c r="F4170" s="1">
        <v>45485</v>
      </c>
      <c r="G4170" t="str">
        <f>"300191"</f>
        <v>300191</v>
      </c>
      <c r="H4170" t="s">
        <v>3008</v>
      </c>
      <c r="I4170">
        <v>50</v>
      </c>
    </row>
    <row r="4171" spans="1:9" x14ac:dyDescent="0.25">
      <c r="A4171" t="s">
        <v>9616</v>
      </c>
      <c r="C4171" t="s">
        <v>9617</v>
      </c>
      <c r="D4171" t="s">
        <v>11742</v>
      </c>
      <c r="F4171" s="1">
        <v>45485</v>
      </c>
      <c r="G4171" t="str">
        <f>"300344"</f>
        <v>300344</v>
      </c>
      <c r="H4171" t="s">
        <v>3084</v>
      </c>
      <c r="I4171">
        <v>295261.94</v>
      </c>
    </row>
    <row r="4172" spans="1:9" x14ac:dyDescent="0.25">
      <c r="A4172" t="s">
        <v>9616</v>
      </c>
      <c r="C4172" t="s">
        <v>9617</v>
      </c>
      <c r="D4172" t="s">
        <v>11743</v>
      </c>
      <c r="E4172" t="s">
        <v>11709</v>
      </c>
      <c r="F4172" s="1">
        <v>45485</v>
      </c>
      <c r="G4172" t="str">
        <f>"300400"</f>
        <v>300400</v>
      </c>
      <c r="H4172" t="s">
        <v>3136</v>
      </c>
      <c r="I4172">
        <v>2714.06</v>
      </c>
    </row>
    <row r="4173" spans="1:9" x14ac:dyDescent="0.25">
      <c r="A4173" t="s">
        <v>9616</v>
      </c>
      <c r="C4173" t="s">
        <v>9617</v>
      </c>
      <c r="D4173" t="s">
        <v>11744</v>
      </c>
      <c r="E4173" t="s">
        <v>11729</v>
      </c>
      <c r="F4173" s="1">
        <v>45485</v>
      </c>
      <c r="G4173" t="str">
        <f>"300400"</f>
        <v>300400</v>
      </c>
      <c r="H4173" t="s">
        <v>3136</v>
      </c>
      <c r="I4173">
        <v>3848</v>
      </c>
    </row>
    <row r="4174" spans="1:9" x14ac:dyDescent="0.25">
      <c r="A4174" t="s">
        <v>9616</v>
      </c>
      <c r="C4174" t="s">
        <v>9617</v>
      </c>
      <c r="D4174" t="str">
        <f>"2408740724"</f>
        <v>2408740724</v>
      </c>
      <c r="E4174" t="s">
        <v>11745</v>
      </c>
      <c r="F4174" s="1">
        <v>45486</v>
      </c>
      <c r="G4174" t="str">
        <f>"300383"</f>
        <v>300383</v>
      </c>
      <c r="H4174" t="s">
        <v>3120</v>
      </c>
      <c r="I4174">
        <v>25042.7</v>
      </c>
    </row>
    <row r="4175" spans="1:9" x14ac:dyDescent="0.25">
      <c r="A4175" t="s">
        <v>9616</v>
      </c>
      <c r="C4175" t="s">
        <v>9617</v>
      </c>
      <c r="D4175" t="str">
        <f>"10159940"</f>
        <v>10159940</v>
      </c>
      <c r="E4175" t="s">
        <v>9189</v>
      </c>
      <c r="F4175" s="1">
        <v>45488</v>
      </c>
      <c r="G4175" t="str">
        <f>"300115"</f>
        <v>300115</v>
      </c>
      <c r="H4175" t="s">
        <v>2938</v>
      </c>
      <c r="I4175">
        <v>368000.45699999999</v>
      </c>
    </row>
    <row r="4176" spans="1:9" x14ac:dyDescent="0.25">
      <c r="A4176" t="s">
        <v>9616</v>
      </c>
      <c r="C4176" t="s">
        <v>9617</v>
      </c>
      <c r="D4176" t="str">
        <f>"10159985"</f>
        <v>10159985</v>
      </c>
      <c r="E4176" t="s">
        <v>11746</v>
      </c>
      <c r="F4176" s="1">
        <v>45488</v>
      </c>
      <c r="G4176" t="str">
        <f>"300115"</f>
        <v>300115</v>
      </c>
      <c r="H4176" t="s">
        <v>2938</v>
      </c>
      <c r="I4176">
        <v>79765.785000000003</v>
      </c>
    </row>
    <row r="4177" spans="1:9" x14ac:dyDescent="0.25">
      <c r="A4177" t="s">
        <v>9616</v>
      </c>
      <c r="C4177" t="s">
        <v>9617</v>
      </c>
      <c r="D4177" t="str">
        <f>"10159986"</f>
        <v>10159986</v>
      </c>
      <c r="E4177" t="s">
        <v>11747</v>
      </c>
      <c r="F4177" s="1">
        <v>45488</v>
      </c>
      <c r="G4177" t="str">
        <f>"300115"</f>
        <v>300115</v>
      </c>
      <c r="H4177" t="s">
        <v>2938</v>
      </c>
      <c r="I4177">
        <v>76859.717000000004</v>
      </c>
    </row>
    <row r="4178" spans="1:9" x14ac:dyDescent="0.25">
      <c r="A4178" t="s">
        <v>9616</v>
      </c>
      <c r="C4178" t="s">
        <v>9617</v>
      </c>
      <c r="D4178" t="str">
        <f>"202405768"</f>
        <v>202405768</v>
      </c>
      <c r="E4178" t="s">
        <v>11717</v>
      </c>
      <c r="F4178" s="1">
        <v>45488</v>
      </c>
      <c r="G4178" t="str">
        <f>"300191"</f>
        <v>300191</v>
      </c>
      <c r="H4178" t="s">
        <v>3008</v>
      </c>
      <c r="I4178">
        <v>11497.51</v>
      </c>
    </row>
    <row r="4179" spans="1:9" x14ac:dyDescent="0.25">
      <c r="A4179" t="s">
        <v>9616</v>
      </c>
      <c r="C4179" t="s">
        <v>9617</v>
      </c>
      <c r="D4179" t="str">
        <f>"202405771"</f>
        <v>202405771</v>
      </c>
      <c r="E4179" t="s">
        <v>11707</v>
      </c>
      <c r="F4179" s="1">
        <v>45488</v>
      </c>
      <c r="G4179" t="str">
        <f>"300191"</f>
        <v>300191</v>
      </c>
      <c r="H4179" t="s">
        <v>3008</v>
      </c>
      <c r="I4179">
        <v>2990.44</v>
      </c>
    </row>
    <row r="4180" spans="1:9" x14ac:dyDescent="0.25">
      <c r="A4180" t="s">
        <v>9616</v>
      </c>
      <c r="C4180" t="s">
        <v>9617</v>
      </c>
      <c r="D4180" t="str">
        <f>"202405773"</f>
        <v>202405773</v>
      </c>
      <c r="E4180" t="s">
        <v>11722</v>
      </c>
      <c r="F4180" s="1">
        <v>45488</v>
      </c>
      <c r="G4180" t="str">
        <f>"300191"</f>
        <v>300191</v>
      </c>
      <c r="H4180" t="s">
        <v>3008</v>
      </c>
      <c r="I4180">
        <v>17477.57</v>
      </c>
    </row>
    <row r="4181" spans="1:9" x14ac:dyDescent="0.25">
      <c r="A4181" t="s">
        <v>9616</v>
      </c>
      <c r="C4181" t="s">
        <v>9617</v>
      </c>
      <c r="D4181" t="s">
        <v>11748</v>
      </c>
      <c r="F4181" s="1">
        <v>45488</v>
      </c>
      <c r="G4181" t="str">
        <f>"300340"</f>
        <v>300340</v>
      </c>
      <c r="H4181" t="s">
        <v>3080</v>
      </c>
      <c r="I4181">
        <v>3575.8</v>
      </c>
    </row>
    <row r="4182" spans="1:9" x14ac:dyDescent="0.25">
      <c r="A4182" t="s">
        <v>9616</v>
      </c>
      <c r="C4182" t="s">
        <v>9617</v>
      </c>
      <c r="D4182" t="s">
        <v>11749</v>
      </c>
      <c r="F4182" s="1">
        <v>45488</v>
      </c>
      <c r="G4182" t="str">
        <f>"300340"</f>
        <v>300340</v>
      </c>
      <c r="H4182" t="s">
        <v>3080</v>
      </c>
      <c r="I4182">
        <v>3575.8</v>
      </c>
    </row>
    <row r="4183" spans="1:9" x14ac:dyDescent="0.25">
      <c r="A4183" t="s">
        <v>9616</v>
      </c>
      <c r="C4183" t="s">
        <v>9617</v>
      </c>
      <c r="D4183" t="str">
        <f>"10159993"</f>
        <v>10159993</v>
      </c>
      <c r="E4183" t="s">
        <v>9189</v>
      </c>
      <c r="F4183" s="1">
        <v>45489</v>
      </c>
      <c r="G4183" t="str">
        <f>"300115"</f>
        <v>300115</v>
      </c>
      <c r="H4183" t="s">
        <v>2938</v>
      </c>
      <c r="I4183">
        <v>368000.45699999999</v>
      </c>
    </row>
    <row r="4184" spans="1:9" x14ac:dyDescent="0.25">
      <c r="A4184" t="s">
        <v>9616</v>
      </c>
      <c r="C4184" t="s">
        <v>9617</v>
      </c>
      <c r="D4184" t="s">
        <v>11750</v>
      </c>
      <c r="E4184" t="s">
        <v>10126</v>
      </c>
      <c r="F4184" s="1">
        <v>45489</v>
      </c>
      <c r="G4184" t="str">
        <f>"300133"</f>
        <v>300133</v>
      </c>
      <c r="H4184" t="s">
        <v>2955</v>
      </c>
      <c r="I4184">
        <v>52569.599999999999</v>
      </c>
    </row>
    <row r="4185" spans="1:9" x14ac:dyDescent="0.25">
      <c r="A4185" t="s">
        <v>9616</v>
      </c>
      <c r="C4185" t="s">
        <v>9617</v>
      </c>
      <c r="D4185" t="str">
        <f>"57178"</f>
        <v>57178</v>
      </c>
      <c r="E4185" t="s">
        <v>11751</v>
      </c>
      <c r="F4185" s="1">
        <v>45490</v>
      </c>
      <c r="G4185" t="str">
        <f>"300043"</f>
        <v>300043</v>
      </c>
      <c r="H4185" t="s">
        <v>2876</v>
      </c>
      <c r="I4185">
        <v>1362</v>
      </c>
    </row>
    <row r="4186" spans="1:9" x14ac:dyDescent="0.25">
      <c r="A4186" t="s">
        <v>9616</v>
      </c>
      <c r="C4186" t="s">
        <v>9617</v>
      </c>
      <c r="D4186" t="str">
        <f>"333624"</f>
        <v>333624</v>
      </c>
      <c r="E4186" t="s">
        <v>11738</v>
      </c>
      <c r="F4186" s="1">
        <v>45490</v>
      </c>
      <c r="G4186" t="str">
        <f>"300101"</f>
        <v>300101</v>
      </c>
      <c r="H4186" t="s">
        <v>2926</v>
      </c>
      <c r="I4186">
        <v>3197.34</v>
      </c>
    </row>
    <row r="4187" spans="1:9" x14ac:dyDescent="0.25">
      <c r="A4187" t="s">
        <v>9616</v>
      </c>
      <c r="C4187" t="s">
        <v>9617</v>
      </c>
      <c r="D4187" t="str">
        <f>"3953"</f>
        <v>3953</v>
      </c>
      <c r="E4187" t="s">
        <v>11752</v>
      </c>
      <c r="F4187" s="1">
        <v>45491</v>
      </c>
      <c r="G4187" t="str">
        <f>"300043"</f>
        <v>300043</v>
      </c>
      <c r="H4187" t="s">
        <v>2876</v>
      </c>
      <c r="I4187">
        <v>2722</v>
      </c>
    </row>
    <row r="4188" spans="1:9" x14ac:dyDescent="0.25">
      <c r="A4188" t="s">
        <v>9616</v>
      </c>
      <c r="C4188" t="s">
        <v>9617</v>
      </c>
      <c r="D4188" t="str">
        <f>"00669"</f>
        <v>00669</v>
      </c>
      <c r="E4188" t="s">
        <v>11753</v>
      </c>
      <c r="F4188" s="1">
        <v>45491</v>
      </c>
      <c r="G4188" t="str">
        <f>"300043"</f>
        <v>300043</v>
      </c>
      <c r="H4188" t="s">
        <v>2876</v>
      </c>
      <c r="I4188">
        <v>6320</v>
      </c>
    </row>
    <row r="4189" spans="1:9" x14ac:dyDescent="0.25">
      <c r="A4189" t="s">
        <v>9616</v>
      </c>
      <c r="C4189" t="s">
        <v>9617</v>
      </c>
      <c r="D4189" t="str">
        <f>"10160070"</f>
        <v>10160070</v>
      </c>
      <c r="E4189" t="s">
        <v>9189</v>
      </c>
      <c r="F4189" s="1">
        <v>45491</v>
      </c>
      <c r="G4189" t="str">
        <f>"300115"</f>
        <v>300115</v>
      </c>
      <c r="H4189" t="s">
        <v>2938</v>
      </c>
      <c r="I4189">
        <v>368000.45699999999</v>
      </c>
    </row>
    <row r="4190" spans="1:9" x14ac:dyDescent="0.25">
      <c r="A4190" t="s">
        <v>9616</v>
      </c>
      <c r="C4190" t="s">
        <v>9617</v>
      </c>
      <c r="D4190" t="str">
        <f>"10160072"</f>
        <v>10160072</v>
      </c>
      <c r="E4190" t="s">
        <v>10417</v>
      </c>
      <c r="F4190" s="1">
        <v>45491</v>
      </c>
      <c r="G4190" t="str">
        <f>"300115"</f>
        <v>300115</v>
      </c>
      <c r="H4190" t="s">
        <v>2938</v>
      </c>
      <c r="I4190">
        <v>368000.45699999999</v>
      </c>
    </row>
    <row r="4191" spans="1:9" x14ac:dyDescent="0.25">
      <c r="A4191" t="s">
        <v>9616</v>
      </c>
      <c r="C4191" t="s">
        <v>9617</v>
      </c>
      <c r="D4191" t="s">
        <v>11754</v>
      </c>
      <c r="E4191" t="s">
        <v>11755</v>
      </c>
      <c r="F4191" s="1">
        <v>45491</v>
      </c>
      <c r="G4191" t="str">
        <f>"300321"</f>
        <v>300321</v>
      </c>
      <c r="H4191" t="s">
        <v>2706</v>
      </c>
      <c r="I4191">
        <v>25850</v>
      </c>
    </row>
    <row r="4192" spans="1:9" x14ac:dyDescent="0.25">
      <c r="A4192" t="s">
        <v>9616</v>
      </c>
      <c r="C4192" t="s">
        <v>9617</v>
      </c>
      <c r="D4192" t="str">
        <f>"80184339"</f>
        <v>80184339</v>
      </c>
      <c r="E4192" t="s">
        <v>11756</v>
      </c>
      <c r="F4192" s="1">
        <v>45491</v>
      </c>
      <c r="G4192" t="str">
        <f>"300381"</f>
        <v>300381</v>
      </c>
      <c r="H4192" t="s">
        <v>3118</v>
      </c>
      <c r="I4192">
        <v>324271.53000000003</v>
      </c>
    </row>
    <row r="4193" spans="1:9" x14ac:dyDescent="0.25">
      <c r="A4193" t="s">
        <v>9616</v>
      </c>
      <c r="C4193" t="s">
        <v>9617</v>
      </c>
      <c r="D4193" t="str">
        <f>"3994"</f>
        <v>3994</v>
      </c>
      <c r="E4193" t="s">
        <v>11757</v>
      </c>
      <c r="F4193" s="1">
        <v>45492</v>
      </c>
      <c r="G4193" t="str">
        <f>"300043"</f>
        <v>300043</v>
      </c>
      <c r="H4193" t="s">
        <v>2876</v>
      </c>
      <c r="I4193">
        <v>3696</v>
      </c>
    </row>
    <row r="4194" spans="1:9" x14ac:dyDescent="0.25">
      <c r="A4194" t="s">
        <v>9616</v>
      </c>
      <c r="C4194" t="s">
        <v>9617</v>
      </c>
      <c r="D4194" t="str">
        <f>"337524"</f>
        <v>337524</v>
      </c>
      <c r="E4194" t="s">
        <v>11751</v>
      </c>
      <c r="F4194" s="1">
        <v>45492</v>
      </c>
      <c r="G4194" t="str">
        <f>"300101"</f>
        <v>300101</v>
      </c>
      <c r="H4194" t="s">
        <v>2926</v>
      </c>
      <c r="I4194">
        <v>3197.34</v>
      </c>
    </row>
    <row r="4195" spans="1:9" x14ac:dyDescent="0.25">
      <c r="A4195" t="s">
        <v>9616</v>
      </c>
      <c r="C4195" t="s">
        <v>9617</v>
      </c>
      <c r="D4195" t="str">
        <f>"10160144"</f>
        <v>10160144</v>
      </c>
      <c r="E4195" t="s">
        <v>2762</v>
      </c>
      <c r="F4195" s="1">
        <v>45492</v>
      </c>
      <c r="G4195" t="str">
        <f>"300115"</f>
        <v>300115</v>
      </c>
      <c r="H4195" t="s">
        <v>2938</v>
      </c>
      <c r="I4195">
        <v>107687.25</v>
      </c>
    </row>
    <row r="4196" spans="1:9" x14ac:dyDescent="0.25">
      <c r="A4196" t="s">
        <v>9616</v>
      </c>
      <c r="C4196" t="s">
        <v>9617</v>
      </c>
      <c r="D4196" t="str">
        <f>"58360"</f>
        <v>58360</v>
      </c>
      <c r="E4196" t="s">
        <v>11758</v>
      </c>
      <c r="F4196" s="1">
        <v>45495</v>
      </c>
      <c r="G4196" t="str">
        <f>"300043"</f>
        <v>300043</v>
      </c>
      <c r="H4196" t="s">
        <v>2876</v>
      </c>
      <c r="I4196">
        <v>724</v>
      </c>
    </row>
    <row r="4197" spans="1:9" x14ac:dyDescent="0.25">
      <c r="A4197" t="s">
        <v>9616</v>
      </c>
      <c r="C4197" t="s">
        <v>9617</v>
      </c>
      <c r="D4197" t="str">
        <f>"58395"</f>
        <v>58395</v>
      </c>
      <c r="E4197" t="s">
        <v>11755</v>
      </c>
      <c r="F4197" s="1">
        <v>45495</v>
      </c>
      <c r="G4197" t="str">
        <f>"300043"</f>
        <v>300043</v>
      </c>
      <c r="H4197" t="s">
        <v>2876</v>
      </c>
      <c r="I4197">
        <v>1306</v>
      </c>
    </row>
    <row r="4198" spans="1:9" x14ac:dyDescent="0.25">
      <c r="A4198" t="s">
        <v>9616</v>
      </c>
      <c r="C4198" t="s">
        <v>9617</v>
      </c>
      <c r="D4198" t="s">
        <v>11759</v>
      </c>
      <c r="E4198" t="s">
        <v>9112</v>
      </c>
      <c r="F4198" s="1">
        <v>45495</v>
      </c>
      <c r="G4198" t="str">
        <f>"300064"</f>
        <v>300064</v>
      </c>
      <c r="H4198" t="s">
        <v>2896</v>
      </c>
      <c r="I4198">
        <v>120820</v>
      </c>
    </row>
    <row r="4199" spans="1:9" x14ac:dyDescent="0.25">
      <c r="A4199" t="s">
        <v>9616</v>
      </c>
      <c r="C4199" t="s">
        <v>9617</v>
      </c>
      <c r="D4199" t="str">
        <f>"20014633"</f>
        <v>20014633</v>
      </c>
      <c r="E4199" t="s">
        <v>9335</v>
      </c>
      <c r="F4199" s="1">
        <v>45495</v>
      </c>
      <c r="G4199" t="str">
        <f>"300115"</f>
        <v>300115</v>
      </c>
      <c r="H4199" t="s">
        <v>2938</v>
      </c>
      <c r="I4199">
        <v>2927.2979999999998</v>
      </c>
    </row>
    <row r="4200" spans="1:9" x14ac:dyDescent="0.25">
      <c r="A4200" t="s">
        <v>9616</v>
      </c>
      <c r="C4200" t="s">
        <v>9617</v>
      </c>
      <c r="D4200" t="str">
        <f>"6321900536"</f>
        <v>6321900536</v>
      </c>
      <c r="E4200" t="s">
        <v>9191</v>
      </c>
      <c r="F4200" s="1">
        <v>45495</v>
      </c>
      <c r="G4200" t="str">
        <f>"300382"</f>
        <v>300382</v>
      </c>
      <c r="H4200" t="s">
        <v>3119</v>
      </c>
      <c r="I4200">
        <v>134616.7746</v>
      </c>
    </row>
    <row r="4201" spans="1:9" x14ac:dyDescent="0.25">
      <c r="A4201" t="s">
        <v>9616</v>
      </c>
      <c r="C4201" t="s">
        <v>9617</v>
      </c>
      <c r="D4201" t="str">
        <f>"58599"</f>
        <v>58599</v>
      </c>
      <c r="E4201" t="s">
        <v>11760</v>
      </c>
      <c r="F4201" s="1">
        <v>45496</v>
      </c>
      <c r="G4201" t="str">
        <f>"300043"</f>
        <v>300043</v>
      </c>
      <c r="H4201" t="s">
        <v>2876</v>
      </c>
      <c r="I4201">
        <v>1360</v>
      </c>
    </row>
    <row r="4202" spans="1:9" x14ac:dyDescent="0.25">
      <c r="A4202" t="s">
        <v>9616</v>
      </c>
      <c r="C4202" t="s">
        <v>9617</v>
      </c>
      <c r="D4202" t="str">
        <f>"202406098"</f>
        <v>202406098</v>
      </c>
      <c r="E4202" t="s">
        <v>11755</v>
      </c>
      <c r="F4202" s="1">
        <v>45496</v>
      </c>
      <c r="G4202" t="str">
        <f>"300191"</f>
        <v>300191</v>
      </c>
      <c r="H4202" t="s">
        <v>3008</v>
      </c>
      <c r="I4202">
        <v>3460.14</v>
      </c>
    </row>
    <row r="4203" spans="1:9" x14ac:dyDescent="0.25">
      <c r="A4203" t="s">
        <v>9616</v>
      </c>
      <c r="C4203" t="s">
        <v>9617</v>
      </c>
      <c r="D4203" t="str">
        <f>"59123"</f>
        <v>59123</v>
      </c>
      <c r="E4203" t="s">
        <v>11761</v>
      </c>
      <c r="F4203" s="1">
        <v>45497</v>
      </c>
      <c r="G4203" t="str">
        <f>"300043"</f>
        <v>300043</v>
      </c>
      <c r="H4203" t="s">
        <v>2876</v>
      </c>
      <c r="I4203">
        <v>577</v>
      </c>
    </row>
    <row r="4204" spans="1:9" x14ac:dyDescent="0.25">
      <c r="A4204" t="s">
        <v>9616</v>
      </c>
      <c r="C4204" t="s">
        <v>9617</v>
      </c>
      <c r="D4204" t="str">
        <f>"343324"</f>
        <v>343324</v>
      </c>
      <c r="E4204" t="s">
        <v>11758</v>
      </c>
      <c r="F4204" s="1">
        <v>45497</v>
      </c>
      <c r="G4204" t="str">
        <f>"300101"</f>
        <v>300101</v>
      </c>
      <c r="H4204" t="s">
        <v>2926</v>
      </c>
      <c r="I4204">
        <v>3540.15</v>
      </c>
    </row>
    <row r="4205" spans="1:9" x14ac:dyDescent="0.25">
      <c r="A4205" t="s">
        <v>9616</v>
      </c>
      <c r="C4205" t="s">
        <v>9617</v>
      </c>
      <c r="D4205" t="str">
        <f>"10160233"</f>
        <v>10160233</v>
      </c>
      <c r="E4205" t="s">
        <v>11762</v>
      </c>
      <c r="F4205" s="1">
        <v>45497</v>
      </c>
      <c r="G4205" t="str">
        <f>"300115"</f>
        <v>300115</v>
      </c>
      <c r="H4205" t="s">
        <v>2938</v>
      </c>
      <c r="I4205">
        <v>107687.25</v>
      </c>
    </row>
    <row r="4206" spans="1:9" x14ac:dyDescent="0.25">
      <c r="A4206" t="s">
        <v>9616</v>
      </c>
      <c r="C4206" t="s">
        <v>9617</v>
      </c>
      <c r="D4206" t="str">
        <f>"345024"</f>
        <v>345024</v>
      </c>
      <c r="E4206" t="s">
        <v>11760</v>
      </c>
      <c r="F4206" s="1">
        <v>45498</v>
      </c>
      <c r="G4206" t="str">
        <f>"300101"</f>
        <v>300101</v>
      </c>
      <c r="H4206" t="s">
        <v>2926</v>
      </c>
      <c r="I4206">
        <v>3025.94</v>
      </c>
    </row>
    <row r="4207" spans="1:9" x14ac:dyDescent="0.25">
      <c r="A4207" t="s">
        <v>9616</v>
      </c>
      <c r="C4207" t="s">
        <v>9617</v>
      </c>
      <c r="D4207" t="str">
        <f>"7173"</f>
        <v>7173</v>
      </c>
      <c r="E4207" t="s">
        <v>11471</v>
      </c>
      <c r="F4207" s="1">
        <v>45499</v>
      </c>
      <c r="G4207" t="str">
        <f>"300043"</f>
        <v>300043</v>
      </c>
      <c r="H4207" t="s">
        <v>2876</v>
      </c>
      <c r="I4207">
        <v>5058</v>
      </c>
    </row>
    <row r="4208" spans="1:9" x14ac:dyDescent="0.25">
      <c r="A4208" t="s">
        <v>9616</v>
      </c>
      <c r="C4208" t="s">
        <v>9617</v>
      </c>
      <c r="D4208" t="str">
        <f>"345025"</f>
        <v>345025</v>
      </c>
      <c r="E4208" t="s">
        <v>11761</v>
      </c>
      <c r="F4208" s="1">
        <v>45499</v>
      </c>
      <c r="G4208" t="str">
        <f>"300101"</f>
        <v>300101</v>
      </c>
      <c r="H4208" t="s">
        <v>2926</v>
      </c>
      <c r="I4208">
        <v>3025.94</v>
      </c>
    </row>
    <row r="4209" spans="1:9" x14ac:dyDescent="0.25">
      <c r="A4209" t="s">
        <v>9616</v>
      </c>
      <c r="C4209" t="s">
        <v>9617</v>
      </c>
      <c r="D4209" t="str">
        <f>"202406258"</f>
        <v>202406258</v>
      </c>
      <c r="E4209" t="s">
        <v>11752</v>
      </c>
      <c r="F4209" s="1">
        <v>45499</v>
      </c>
      <c r="G4209" t="str">
        <f>"300191"</f>
        <v>300191</v>
      </c>
      <c r="H4209" t="s">
        <v>3008</v>
      </c>
      <c r="I4209">
        <v>4764.28</v>
      </c>
    </row>
    <row r="4210" spans="1:9" x14ac:dyDescent="0.25">
      <c r="A4210" t="s">
        <v>9616</v>
      </c>
      <c r="C4210" t="s">
        <v>9617</v>
      </c>
      <c r="D4210" t="str">
        <f>"202406266"</f>
        <v>202406266</v>
      </c>
      <c r="E4210" t="s">
        <v>11757</v>
      </c>
      <c r="F4210" s="1">
        <v>45499</v>
      </c>
      <c r="G4210" t="str">
        <f>"300191"</f>
        <v>300191</v>
      </c>
      <c r="H4210" t="s">
        <v>3008</v>
      </c>
      <c r="I4210">
        <v>5362.08</v>
      </c>
    </row>
    <row r="4211" spans="1:9" x14ac:dyDescent="0.25">
      <c r="A4211" t="s">
        <v>9616</v>
      </c>
      <c r="C4211" t="s">
        <v>9617</v>
      </c>
      <c r="D4211" t="str">
        <f>"801810045013"</f>
        <v>801810045013</v>
      </c>
      <c r="E4211" t="s">
        <v>9189</v>
      </c>
      <c r="F4211" s="1">
        <v>45499</v>
      </c>
      <c r="G4211" t="str">
        <f>"300381"</f>
        <v>300381</v>
      </c>
      <c r="H4211" t="s">
        <v>3118</v>
      </c>
      <c r="I4211">
        <v>883899.76950000005</v>
      </c>
    </row>
    <row r="4212" spans="1:9" x14ac:dyDescent="0.25">
      <c r="A4212" t="s">
        <v>9616</v>
      </c>
      <c r="C4212" t="s">
        <v>9617</v>
      </c>
      <c r="D4212" t="str">
        <f>"60251"</f>
        <v>60251</v>
      </c>
      <c r="E4212" t="s">
        <v>11763</v>
      </c>
      <c r="F4212" s="1">
        <v>45502</v>
      </c>
      <c r="G4212" t="str">
        <f>"300043"</f>
        <v>300043</v>
      </c>
      <c r="H4212" t="s">
        <v>2876</v>
      </c>
      <c r="I4212">
        <v>577</v>
      </c>
    </row>
    <row r="4213" spans="1:9" x14ac:dyDescent="0.25">
      <c r="A4213" t="s">
        <v>9616</v>
      </c>
      <c r="C4213" t="s">
        <v>9617</v>
      </c>
      <c r="D4213" t="str">
        <f>"60308"</f>
        <v>60308</v>
      </c>
      <c r="E4213" t="s">
        <v>11764</v>
      </c>
      <c r="F4213" s="1">
        <v>45502</v>
      </c>
      <c r="G4213" t="str">
        <f>"300043"</f>
        <v>300043</v>
      </c>
      <c r="H4213" t="s">
        <v>2876</v>
      </c>
      <c r="I4213">
        <v>1364</v>
      </c>
    </row>
    <row r="4214" spans="1:9" x14ac:dyDescent="0.25">
      <c r="A4214" t="s">
        <v>9616</v>
      </c>
      <c r="C4214" t="s">
        <v>9617</v>
      </c>
      <c r="D4214" t="str">
        <f>"60413"</f>
        <v>60413</v>
      </c>
      <c r="E4214" t="s">
        <v>11765</v>
      </c>
      <c r="F4214" s="1">
        <v>45502</v>
      </c>
      <c r="G4214" t="str">
        <f>"300043"</f>
        <v>300043</v>
      </c>
      <c r="H4214" t="s">
        <v>2876</v>
      </c>
      <c r="I4214">
        <v>1364</v>
      </c>
    </row>
    <row r="4215" spans="1:9" x14ac:dyDescent="0.25">
      <c r="A4215" t="s">
        <v>9616</v>
      </c>
      <c r="C4215" t="s">
        <v>9617</v>
      </c>
      <c r="D4215" t="str">
        <f>"10160392"</f>
        <v>10160392</v>
      </c>
      <c r="E4215" t="s">
        <v>1313</v>
      </c>
      <c r="F4215" s="1">
        <v>45503</v>
      </c>
      <c r="G4215" t="str">
        <f>"300115"</f>
        <v>300115</v>
      </c>
      <c r="H4215" t="s">
        <v>2938</v>
      </c>
      <c r="I4215">
        <v>139645.44</v>
      </c>
    </row>
    <row r="4216" spans="1:9" x14ac:dyDescent="0.25">
      <c r="A4216" t="s">
        <v>9616</v>
      </c>
      <c r="C4216" t="s">
        <v>9617</v>
      </c>
      <c r="D4216" t="str">
        <f>"10160398"</f>
        <v>10160398</v>
      </c>
      <c r="E4216" t="s">
        <v>1313</v>
      </c>
      <c r="F4216" s="1">
        <v>45503</v>
      </c>
      <c r="G4216" t="str">
        <f>"300115"</f>
        <v>300115</v>
      </c>
      <c r="H4216" t="s">
        <v>2938</v>
      </c>
      <c r="I4216">
        <v>139645.44</v>
      </c>
    </row>
    <row r="4217" spans="1:9" x14ac:dyDescent="0.25">
      <c r="A4217" t="s">
        <v>9616</v>
      </c>
      <c r="C4217" t="s">
        <v>9617</v>
      </c>
      <c r="D4217" t="s">
        <v>11766</v>
      </c>
      <c r="E4217" t="s">
        <v>11504</v>
      </c>
      <c r="F4217" s="1">
        <v>45504</v>
      </c>
      <c r="G4217" t="str">
        <f>"300064"</f>
        <v>300064</v>
      </c>
      <c r="H4217" t="s">
        <v>2896</v>
      </c>
      <c r="I4217">
        <v>34740</v>
      </c>
    </row>
    <row r="4218" spans="1:9" x14ac:dyDescent="0.25">
      <c r="A4218" t="s">
        <v>9616</v>
      </c>
      <c r="C4218" t="s">
        <v>9617</v>
      </c>
      <c r="D4218" t="str">
        <f>"352724"</f>
        <v>352724</v>
      </c>
      <c r="E4218" t="s">
        <v>11765</v>
      </c>
      <c r="F4218" s="1">
        <v>45504</v>
      </c>
      <c r="G4218" t="str">
        <f>"300101"</f>
        <v>300101</v>
      </c>
      <c r="H4218" t="s">
        <v>2926</v>
      </c>
      <c r="I4218">
        <v>3025.94</v>
      </c>
    </row>
    <row r="4219" spans="1:9" x14ac:dyDescent="0.25">
      <c r="A4219" t="s">
        <v>9616</v>
      </c>
      <c r="C4219" t="s">
        <v>9617</v>
      </c>
      <c r="D4219" t="str">
        <f>"352824"</f>
        <v>352824</v>
      </c>
      <c r="E4219" t="s">
        <v>11763</v>
      </c>
      <c r="F4219" s="1">
        <v>45504</v>
      </c>
      <c r="G4219" t="str">
        <f>"300101"</f>
        <v>300101</v>
      </c>
      <c r="H4219" t="s">
        <v>2926</v>
      </c>
      <c r="I4219">
        <v>3368.74</v>
      </c>
    </row>
    <row r="4220" spans="1:9" x14ac:dyDescent="0.25">
      <c r="A4220" t="s">
        <v>9616</v>
      </c>
      <c r="C4220" t="s">
        <v>9617</v>
      </c>
      <c r="D4220" t="str">
        <f>"352924"</f>
        <v>352924</v>
      </c>
      <c r="E4220" t="s">
        <v>11764</v>
      </c>
      <c r="F4220" s="1">
        <v>45504</v>
      </c>
      <c r="G4220" t="str">
        <f>"300101"</f>
        <v>300101</v>
      </c>
      <c r="H4220" t="s">
        <v>2926</v>
      </c>
      <c r="I4220">
        <v>3025.94</v>
      </c>
    </row>
    <row r="4221" spans="1:9" x14ac:dyDescent="0.25">
      <c r="A4221" t="s">
        <v>9616</v>
      </c>
      <c r="C4221" t="s">
        <v>9617</v>
      </c>
      <c r="D4221" t="str">
        <f>"10160479"</f>
        <v>10160479</v>
      </c>
      <c r="E4221" t="s">
        <v>11144</v>
      </c>
      <c r="F4221" s="1">
        <v>45504</v>
      </c>
      <c r="G4221" t="str">
        <f>"300115"</f>
        <v>300115</v>
      </c>
      <c r="H4221" t="s">
        <v>2938</v>
      </c>
      <c r="I4221">
        <v>107687.25</v>
      </c>
    </row>
    <row r="4222" spans="1:9" x14ac:dyDescent="0.25">
      <c r="A4222" t="s">
        <v>9616</v>
      </c>
      <c r="C4222" t="s">
        <v>9617</v>
      </c>
      <c r="D4222" t="str">
        <f>"104158"</f>
        <v>104158</v>
      </c>
      <c r="E4222" t="s">
        <v>11745</v>
      </c>
      <c r="F4222" s="1">
        <v>45506</v>
      </c>
      <c r="G4222" t="str">
        <f>"300043"</f>
        <v>300043</v>
      </c>
      <c r="H4222" t="s">
        <v>2876</v>
      </c>
      <c r="I4222">
        <v>412</v>
      </c>
    </row>
    <row r="4223" spans="1:9" x14ac:dyDescent="0.25">
      <c r="A4223" t="s">
        <v>9616</v>
      </c>
      <c r="C4223" t="s">
        <v>9617</v>
      </c>
      <c r="D4223" t="str">
        <f>"80185415"</f>
        <v>80185415</v>
      </c>
      <c r="E4223" t="s">
        <v>9189</v>
      </c>
      <c r="F4223" s="1">
        <v>45506</v>
      </c>
      <c r="G4223" t="str">
        <f>"300381"</f>
        <v>300381</v>
      </c>
      <c r="H4223" t="s">
        <v>3118</v>
      </c>
      <c r="I4223">
        <v>303834.21750000003</v>
      </c>
    </row>
    <row r="4224" spans="1:9" x14ac:dyDescent="0.25">
      <c r="A4224" t="s">
        <v>9616</v>
      </c>
      <c r="C4224" t="s">
        <v>9617</v>
      </c>
      <c r="D4224" t="str">
        <f>"80185548"</f>
        <v>80185548</v>
      </c>
      <c r="E4224" t="s">
        <v>9189</v>
      </c>
      <c r="F4224" s="1">
        <v>45506</v>
      </c>
      <c r="G4224" t="str">
        <f>"300381"</f>
        <v>300381</v>
      </c>
      <c r="H4224" t="s">
        <v>3118</v>
      </c>
      <c r="I4224">
        <v>294633.25650000002</v>
      </c>
    </row>
    <row r="4225" spans="1:9" x14ac:dyDescent="0.25">
      <c r="A4225" t="s">
        <v>9616</v>
      </c>
      <c r="C4225" t="s">
        <v>9617</v>
      </c>
      <c r="D4225" t="str">
        <f>"61696"</f>
        <v>61696</v>
      </c>
      <c r="E4225" t="s">
        <v>11767</v>
      </c>
      <c r="F4225" s="1">
        <v>45507</v>
      </c>
      <c r="G4225" t="str">
        <f>"300043"</f>
        <v>300043</v>
      </c>
      <c r="H4225" t="s">
        <v>2876</v>
      </c>
      <c r="I4225">
        <v>620</v>
      </c>
    </row>
    <row r="4226" spans="1:9" x14ac:dyDescent="0.25">
      <c r="A4226" t="s">
        <v>9616</v>
      </c>
      <c r="C4226" t="s">
        <v>9617</v>
      </c>
      <c r="D4226" t="str">
        <f>"62378"</f>
        <v>62378</v>
      </c>
      <c r="E4226" t="s">
        <v>11768</v>
      </c>
      <c r="F4226" s="1">
        <v>45509</v>
      </c>
      <c r="G4226" t="str">
        <f>"300043"</f>
        <v>300043</v>
      </c>
      <c r="H4226" t="s">
        <v>2876</v>
      </c>
      <c r="I4226">
        <v>516</v>
      </c>
    </row>
    <row r="4227" spans="1:9" x14ac:dyDescent="0.25">
      <c r="A4227" t="s">
        <v>9616</v>
      </c>
      <c r="C4227" t="s">
        <v>9617</v>
      </c>
      <c r="D4227" t="str">
        <f>"73523"</f>
        <v>73523</v>
      </c>
      <c r="E4227" t="s">
        <v>11769</v>
      </c>
      <c r="F4227" s="1">
        <v>45509</v>
      </c>
      <c r="G4227" t="str">
        <f>"300043"</f>
        <v>300043</v>
      </c>
      <c r="H4227" t="s">
        <v>2876</v>
      </c>
      <c r="I4227">
        <v>15074</v>
      </c>
    </row>
    <row r="4228" spans="1:9" x14ac:dyDescent="0.25">
      <c r="A4228" t="s">
        <v>9616</v>
      </c>
      <c r="C4228" t="s">
        <v>9617</v>
      </c>
      <c r="D4228" t="str">
        <f>"062420"</f>
        <v>062420</v>
      </c>
      <c r="E4228" t="s">
        <v>11770</v>
      </c>
      <c r="F4228" s="1">
        <v>45509</v>
      </c>
      <c r="G4228" t="str">
        <f>"300043"</f>
        <v>300043</v>
      </c>
      <c r="H4228" t="s">
        <v>2876</v>
      </c>
      <c r="I4228">
        <v>619</v>
      </c>
    </row>
    <row r="4229" spans="1:9" x14ac:dyDescent="0.25">
      <c r="A4229" t="s">
        <v>9616</v>
      </c>
      <c r="C4229" t="s">
        <v>9617</v>
      </c>
      <c r="D4229" t="s">
        <v>11771</v>
      </c>
      <c r="E4229" t="s">
        <v>9538</v>
      </c>
      <c r="F4229" s="1">
        <v>45509</v>
      </c>
      <c r="G4229" t="str">
        <f>"300133"</f>
        <v>300133</v>
      </c>
      <c r="H4229" t="s">
        <v>2955</v>
      </c>
      <c r="I4229">
        <v>11299.6</v>
      </c>
    </row>
    <row r="4230" spans="1:9" x14ac:dyDescent="0.25">
      <c r="A4230" t="s">
        <v>9616</v>
      </c>
      <c r="C4230" t="s">
        <v>9617</v>
      </c>
      <c r="D4230" t="s">
        <v>11772</v>
      </c>
      <c r="E4230" t="str">
        <f>"280"</f>
        <v>280</v>
      </c>
      <c r="F4230" s="1">
        <v>45509</v>
      </c>
      <c r="G4230" t="str">
        <f>"300133"</f>
        <v>300133</v>
      </c>
      <c r="H4230" t="s">
        <v>2955</v>
      </c>
      <c r="I4230">
        <v>25560</v>
      </c>
    </row>
    <row r="4231" spans="1:9" x14ac:dyDescent="0.25">
      <c r="A4231" t="s">
        <v>9616</v>
      </c>
      <c r="C4231" t="s">
        <v>9617</v>
      </c>
      <c r="D4231" t="s">
        <v>11773</v>
      </c>
      <c r="E4231" t="s">
        <v>10198</v>
      </c>
      <c r="F4231" s="1">
        <v>45509</v>
      </c>
      <c r="G4231" t="str">
        <f>"300133"</f>
        <v>300133</v>
      </c>
      <c r="H4231" t="s">
        <v>2955</v>
      </c>
      <c r="I4231">
        <v>12540</v>
      </c>
    </row>
    <row r="4232" spans="1:9" x14ac:dyDescent="0.25">
      <c r="A4232" t="s">
        <v>9616</v>
      </c>
      <c r="C4232" t="s">
        <v>9617</v>
      </c>
      <c r="D4232" t="str">
        <f>"8000441286"</f>
        <v>8000441286</v>
      </c>
      <c r="E4232" t="s">
        <v>10914</v>
      </c>
      <c r="F4232" s="1">
        <v>45509</v>
      </c>
      <c r="G4232" t="str">
        <f>"300220"</f>
        <v>300220</v>
      </c>
      <c r="H4232" t="s">
        <v>2170</v>
      </c>
      <c r="I4232">
        <v>1187746.56</v>
      </c>
    </row>
    <row r="4233" spans="1:9" x14ac:dyDescent="0.25">
      <c r="A4233" t="s">
        <v>9616</v>
      </c>
      <c r="C4233" t="s">
        <v>9617</v>
      </c>
      <c r="D4233" t="str">
        <f>"8000441288"</f>
        <v>8000441288</v>
      </c>
      <c r="E4233" t="s">
        <v>10049</v>
      </c>
      <c r="F4233" s="1">
        <v>45509</v>
      </c>
      <c r="G4233" t="str">
        <f>"300220"</f>
        <v>300220</v>
      </c>
      <c r="H4233" t="s">
        <v>2170</v>
      </c>
      <c r="I4233">
        <v>1187746.56</v>
      </c>
    </row>
    <row r="4234" spans="1:9" x14ac:dyDescent="0.25">
      <c r="A4234" t="s">
        <v>9616</v>
      </c>
      <c r="C4234" t="s">
        <v>9617</v>
      </c>
      <c r="D4234" t="str">
        <f>"7519"</f>
        <v>7519</v>
      </c>
      <c r="E4234" t="s">
        <v>11471</v>
      </c>
      <c r="F4234" s="1">
        <v>45510</v>
      </c>
      <c r="G4234" t="str">
        <f>"300043"</f>
        <v>300043</v>
      </c>
      <c r="H4234" t="s">
        <v>2876</v>
      </c>
      <c r="I4234">
        <v>4805</v>
      </c>
    </row>
    <row r="4235" spans="1:9" x14ac:dyDescent="0.25">
      <c r="A4235" t="s">
        <v>9616</v>
      </c>
      <c r="C4235" t="s">
        <v>9617</v>
      </c>
      <c r="D4235" t="s">
        <v>11774</v>
      </c>
      <c r="E4235" t="s">
        <v>11775</v>
      </c>
      <c r="F4235" s="1">
        <v>45510</v>
      </c>
      <c r="G4235" t="str">
        <f>"300398"</f>
        <v>300398</v>
      </c>
      <c r="H4235" t="s">
        <v>3134</v>
      </c>
      <c r="I4235">
        <v>81716.899999999994</v>
      </c>
    </row>
    <row r="4236" spans="1:9" x14ac:dyDescent="0.25">
      <c r="A4236" t="s">
        <v>9616</v>
      </c>
      <c r="C4236" t="s">
        <v>9617</v>
      </c>
      <c r="D4236" t="s">
        <v>11776</v>
      </c>
      <c r="E4236" t="s">
        <v>9787</v>
      </c>
      <c r="F4236" s="1">
        <v>45512</v>
      </c>
      <c r="G4236" t="str">
        <f>"300064"</f>
        <v>300064</v>
      </c>
      <c r="H4236" t="s">
        <v>2896</v>
      </c>
      <c r="I4236">
        <v>54450</v>
      </c>
    </row>
    <row r="4237" spans="1:9" x14ac:dyDescent="0.25">
      <c r="A4237" t="s">
        <v>9616</v>
      </c>
      <c r="C4237" t="s">
        <v>9617</v>
      </c>
      <c r="D4237" t="s">
        <v>11777</v>
      </c>
      <c r="E4237" t="s">
        <v>9112</v>
      </c>
      <c r="F4237" s="1">
        <v>45512</v>
      </c>
      <c r="G4237" t="str">
        <f>"300064"</f>
        <v>300064</v>
      </c>
      <c r="H4237" t="s">
        <v>2896</v>
      </c>
      <c r="I4237">
        <v>86360</v>
      </c>
    </row>
    <row r="4238" spans="1:9" x14ac:dyDescent="0.25">
      <c r="A4238" t="s">
        <v>9616</v>
      </c>
      <c r="C4238" t="s">
        <v>9617</v>
      </c>
      <c r="D4238" t="str">
        <f>"364424"</f>
        <v>364424</v>
      </c>
      <c r="E4238" t="s">
        <v>11767</v>
      </c>
      <c r="F4238" s="1">
        <v>45512</v>
      </c>
      <c r="G4238" t="str">
        <f>"300101"</f>
        <v>300101</v>
      </c>
      <c r="H4238" t="s">
        <v>2926</v>
      </c>
      <c r="I4238">
        <v>3540.14</v>
      </c>
    </row>
    <row r="4239" spans="1:9" x14ac:dyDescent="0.25">
      <c r="A4239" t="s">
        <v>9616</v>
      </c>
      <c r="C4239" t="s">
        <v>9617</v>
      </c>
      <c r="D4239" t="str">
        <f>"364524"</f>
        <v>364524</v>
      </c>
      <c r="E4239" t="s">
        <v>11768</v>
      </c>
      <c r="F4239" s="1">
        <v>45512</v>
      </c>
      <c r="G4239" t="str">
        <f>"300101"</f>
        <v>300101</v>
      </c>
      <c r="H4239" t="s">
        <v>2926</v>
      </c>
      <c r="I4239">
        <v>3540.14</v>
      </c>
    </row>
    <row r="4240" spans="1:9" x14ac:dyDescent="0.25">
      <c r="A4240" t="s">
        <v>9616</v>
      </c>
      <c r="C4240" t="s">
        <v>9617</v>
      </c>
      <c r="D4240" t="str">
        <f>"202406641"</f>
        <v>202406641</v>
      </c>
      <c r="E4240" t="s">
        <v>11745</v>
      </c>
      <c r="F4240" s="1">
        <v>45512</v>
      </c>
      <c r="G4240" t="str">
        <f>"300191"</f>
        <v>300191</v>
      </c>
      <c r="H4240" t="s">
        <v>3008</v>
      </c>
      <c r="I4240">
        <v>13823.06</v>
      </c>
    </row>
    <row r="4241" spans="1:9" x14ac:dyDescent="0.25">
      <c r="A4241" t="s">
        <v>9616</v>
      </c>
      <c r="C4241" t="s">
        <v>9617</v>
      </c>
      <c r="D4241" t="s">
        <v>11778</v>
      </c>
      <c r="E4241" t="s">
        <v>11779</v>
      </c>
      <c r="F4241" s="1">
        <v>45512</v>
      </c>
      <c r="G4241" t="str">
        <f>"300398"</f>
        <v>300398</v>
      </c>
      <c r="H4241" t="s">
        <v>3134</v>
      </c>
      <c r="I4241">
        <v>22684.71</v>
      </c>
    </row>
    <row r="4242" spans="1:9" x14ac:dyDescent="0.25">
      <c r="A4242" t="s">
        <v>9616</v>
      </c>
      <c r="C4242" t="s">
        <v>9617</v>
      </c>
      <c r="D4242" t="str">
        <f>"0722"</f>
        <v>0722</v>
      </c>
      <c r="E4242" t="s">
        <v>11471</v>
      </c>
      <c r="F4242" s="1">
        <v>45513</v>
      </c>
      <c r="G4242" t="str">
        <f>"300043"</f>
        <v>300043</v>
      </c>
      <c r="H4242" t="s">
        <v>2876</v>
      </c>
      <c r="I4242">
        <v>3850</v>
      </c>
    </row>
    <row r="4243" spans="1:9" x14ac:dyDescent="0.25">
      <c r="A4243" t="s">
        <v>9616</v>
      </c>
      <c r="C4243" t="s">
        <v>9617</v>
      </c>
      <c r="D4243" t="str">
        <f>"202406673"</f>
        <v>202406673</v>
      </c>
      <c r="E4243" t="s">
        <v>11769</v>
      </c>
      <c r="F4243" s="1">
        <v>45513</v>
      </c>
      <c r="G4243" t="str">
        <f>"300191"</f>
        <v>300191</v>
      </c>
      <c r="H4243" t="s">
        <v>3008</v>
      </c>
      <c r="I4243">
        <v>7759.05</v>
      </c>
    </row>
    <row r="4244" spans="1:9" x14ac:dyDescent="0.25">
      <c r="A4244" t="s">
        <v>9616</v>
      </c>
      <c r="C4244" t="s">
        <v>9617</v>
      </c>
      <c r="D4244" t="str">
        <f>"4407"</f>
        <v>4407</v>
      </c>
      <c r="E4244" t="s">
        <v>11780</v>
      </c>
      <c r="F4244" s="1">
        <v>45514</v>
      </c>
      <c r="G4244" t="str">
        <f>"300043"</f>
        <v>300043</v>
      </c>
      <c r="H4244" t="s">
        <v>2876</v>
      </c>
      <c r="I4244">
        <v>7914</v>
      </c>
    </row>
    <row r="4245" spans="1:9" x14ac:dyDescent="0.25">
      <c r="A4245" t="s">
        <v>9616</v>
      </c>
      <c r="C4245" t="s">
        <v>9617</v>
      </c>
      <c r="D4245" t="s">
        <v>11781</v>
      </c>
      <c r="E4245" t="s">
        <v>11504</v>
      </c>
      <c r="F4245" s="1">
        <v>45516</v>
      </c>
      <c r="G4245" t="str">
        <f>"300064"</f>
        <v>300064</v>
      </c>
      <c r="H4245" t="s">
        <v>2896</v>
      </c>
      <c r="I4245">
        <v>20910</v>
      </c>
    </row>
    <row r="4246" spans="1:9" x14ac:dyDescent="0.25">
      <c r="A4246" t="s">
        <v>9616</v>
      </c>
      <c r="C4246" t="s">
        <v>9617</v>
      </c>
      <c r="D4246" t="s">
        <v>11782</v>
      </c>
      <c r="E4246" t="s">
        <v>11783</v>
      </c>
      <c r="F4246" s="1">
        <v>45516</v>
      </c>
      <c r="G4246" t="str">
        <f>"300133"</f>
        <v>300133</v>
      </c>
      <c r="H4246" t="s">
        <v>2955</v>
      </c>
      <c r="I4246">
        <v>39600</v>
      </c>
    </row>
    <row r="4247" spans="1:9" x14ac:dyDescent="0.25">
      <c r="A4247" t="s">
        <v>9616</v>
      </c>
      <c r="C4247" t="s">
        <v>9617</v>
      </c>
      <c r="D4247" t="s">
        <v>11784</v>
      </c>
      <c r="E4247" t="s">
        <v>11785</v>
      </c>
      <c r="F4247" s="1">
        <v>45516</v>
      </c>
      <c r="G4247" t="str">
        <f>"300398"</f>
        <v>300398</v>
      </c>
      <c r="H4247" t="s">
        <v>3134</v>
      </c>
      <c r="I4247">
        <v>55311.25</v>
      </c>
    </row>
    <row r="4248" spans="1:9" x14ac:dyDescent="0.25">
      <c r="A4248" t="s">
        <v>9616</v>
      </c>
      <c r="C4248" t="s">
        <v>9617</v>
      </c>
      <c r="D4248" t="str">
        <f>"7893"</f>
        <v>7893</v>
      </c>
      <c r="E4248" t="s">
        <v>11779</v>
      </c>
      <c r="F4248" s="1">
        <v>45517</v>
      </c>
      <c r="G4248" t="str">
        <f>"300043"</f>
        <v>300043</v>
      </c>
      <c r="H4248" t="s">
        <v>2876</v>
      </c>
      <c r="I4248">
        <v>719</v>
      </c>
    </row>
    <row r="4249" spans="1:9" x14ac:dyDescent="0.25">
      <c r="A4249" t="s">
        <v>9616</v>
      </c>
      <c r="C4249" t="s">
        <v>9617</v>
      </c>
      <c r="D4249" t="str">
        <f>"10160789"</f>
        <v>10160789</v>
      </c>
      <c r="E4249" t="s">
        <v>2762</v>
      </c>
      <c r="F4249" s="1">
        <v>45517</v>
      </c>
      <c r="G4249" t="str">
        <f>"300115"</f>
        <v>300115</v>
      </c>
      <c r="H4249" t="s">
        <v>2938</v>
      </c>
      <c r="I4249">
        <v>107687.25</v>
      </c>
    </row>
    <row r="4250" spans="1:9" x14ac:dyDescent="0.25">
      <c r="A4250" t="s">
        <v>9616</v>
      </c>
      <c r="C4250" t="s">
        <v>9617</v>
      </c>
      <c r="D4250" t="str">
        <f>"10160790"</f>
        <v>10160790</v>
      </c>
      <c r="E4250" t="s">
        <v>2762</v>
      </c>
      <c r="F4250" s="1">
        <v>45517</v>
      </c>
      <c r="G4250" t="str">
        <f>"300115"</f>
        <v>300115</v>
      </c>
      <c r="H4250" t="s">
        <v>2938</v>
      </c>
      <c r="I4250">
        <v>107687.25</v>
      </c>
    </row>
    <row r="4251" spans="1:9" x14ac:dyDescent="0.25">
      <c r="A4251" t="s">
        <v>9616</v>
      </c>
      <c r="C4251" t="s">
        <v>9617</v>
      </c>
      <c r="D4251" t="s">
        <v>11786</v>
      </c>
      <c r="E4251" t="s">
        <v>10609</v>
      </c>
      <c r="F4251" s="1">
        <v>45517</v>
      </c>
      <c r="G4251" t="str">
        <f>"300133"</f>
        <v>300133</v>
      </c>
      <c r="H4251" t="s">
        <v>2955</v>
      </c>
      <c r="I4251">
        <v>6270</v>
      </c>
    </row>
    <row r="4252" spans="1:9" x14ac:dyDescent="0.25">
      <c r="A4252" t="s">
        <v>9616</v>
      </c>
      <c r="C4252" t="s">
        <v>9617</v>
      </c>
      <c r="D4252" t="s">
        <v>11787</v>
      </c>
      <c r="E4252" t="str">
        <f>"1200"</f>
        <v>1200</v>
      </c>
      <c r="F4252" s="1">
        <v>45517</v>
      </c>
      <c r="G4252" t="str">
        <f>"300133"</f>
        <v>300133</v>
      </c>
      <c r="H4252" t="s">
        <v>2955</v>
      </c>
      <c r="I4252">
        <v>37164</v>
      </c>
    </row>
    <row r="4253" spans="1:9" x14ac:dyDescent="0.25">
      <c r="A4253" t="s">
        <v>9616</v>
      </c>
      <c r="C4253" t="s">
        <v>9617</v>
      </c>
      <c r="D4253" t="s">
        <v>11788</v>
      </c>
      <c r="E4253" t="s">
        <v>9562</v>
      </c>
      <c r="F4253" s="1">
        <v>45517</v>
      </c>
      <c r="G4253" t="str">
        <f>"300133"</f>
        <v>300133</v>
      </c>
      <c r="H4253" t="s">
        <v>2955</v>
      </c>
      <c r="I4253">
        <v>44928</v>
      </c>
    </row>
    <row r="4254" spans="1:9" x14ac:dyDescent="0.25">
      <c r="A4254" t="s">
        <v>9616</v>
      </c>
      <c r="C4254" t="s">
        <v>9617</v>
      </c>
      <c r="D4254" t="s">
        <v>11789</v>
      </c>
      <c r="E4254" t="s">
        <v>10339</v>
      </c>
      <c r="F4254" s="1">
        <v>45517</v>
      </c>
      <c r="G4254" t="str">
        <f>"300133"</f>
        <v>300133</v>
      </c>
      <c r="H4254" t="s">
        <v>2955</v>
      </c>
      <c r="I4254">
        <v>44928</v>
      </c>
    </row>
    <row r="4255" spans="1:9" x14ac:dyDescent="0.25">
      <c r="A4255" t="s">
        <v>9616</v>
      </c>
      <c r="C4255" t="s">
        <v>9617</v>
      </c>
      <c r="D4255" t="str">
        <f>"8000441746"</f>
        <v>8000441746</v>
      </c>
      <c r="E4255" t="s">
        <v>9189</v>
      </c>
      <c r="F4255" s="1">
        <v>45517</v>
      </c>
      <c r="G4255" t="str">
        <f>"300220"</f>
        <v>300220</v>
      </c>
      <c r="H4255" t="s">
        <v>2170</v>
      </c>
      <c r="I4255">
        <v>1187746.56</v>
      </c>
    </row>
    <row r="4256" spans="1:9" x14ac:dyDescent="0.25">
      <c r="A4256" t="s">
        <v>9616</v>
      </c>
      <c r="C4256" t="s">
        <v>9617</v>
      </c>
      <c r="D4256" t="str">
        <f>"9550002851"</f>
        <v>9550002851</v>
      </c>
      <c r="E4256" t="s">
        <v>9191</v>
      </c>
      <c r="F4256" s="1">
        <v>45517</v>
      </c>
      <c r="G4256" t="str">
        <f>"300397"</f>
        <v>300397</v>
      </c>
      <c r="H4256" t="s">
        <v>3133</v>
      </c>
      <c r="I4256">
        <v>144970.05600000001</v>
      </c>
    </row>
    <row r="4257" spans="1:9" x14ac:dyDescent="0.25">
      <c r="A4257" t="s">
        <v>9616</v>
      </c>
      <c r="C4257" t="s">
        <v>9617</v>
      </c>
      <c r="D4257" t="str">
        <f>"10160823"</f>
        <v>10160823</v>
      </c>
      <c r="E4257" t="s">
        <v>9189</v>
      </c>
      <c r="F4257" s="1">
        <v>45518</v>
      </c>
      <c r="G4257" t="str">
        <f>"300115"</f>
        <v>300115</v>
      </c>
      <c r="H4257" t="s">
        <v>2938</v>
      </c>
      <c r="I4257">
        <v>364313.92139999999</v>
      </c>
    </row>
    <row r="4258" spans="1:9" x14ac:dyDescent="0.25">
      <c r="A4258" t="s">
        <v>9616</v>
      </c>
      <c r="C4258" t="s">
        <v>9617</v>
      </c>
      <c r="D4258" t="str">
        <f>"371324"</f>
        <v>371324</v>
      </c>
      <c r="E4258" t="s">
        <v>11770</v>
      </c>
      <c r="F4258" s="1">
        <v>45519</v>
      </c>
      <c r="G4258" t="str">
        <f>"300101"</f>
        <v>300101</v>
      </c>
      <c r="H4258" t="s">
        <v>2926</v>
      </c>
      <c r="I4258">
        <v>3540.15</v>
      </c>
    </row>
    <row r="4259" spans="1:9" x14ac:dyDescent="0.25">
      <c r="A4259" t="s">
        <v>9616</v>
      </c>
      <c r="C4259" t="s">
        <v>9617</v>
      </c>
      <c r="D4259" t="str">
        <f>"65362"</f>
        <v>65362</v>
      </c>
      <c r="E4259" t="s">
        <v>11790</v>
      </c>
      <c r="F4259" s="1">
        <v>45520</v>
      </c>
      <c r="G4259" t="str">
        <f>"300043"</f>
        <v>300043</v>
      </c>
      <c r="H4259" t="s">
        <v>2876</v>
      </c>
      <c r="I4259">
        <v>1521</v>
      </c>
    </row>
    <row r="4260" spans="1:9" x14ac:dyDescent="0.25">
      <c r="A4260" t="s">
        <v>9616</v>
      </c>
      <c r="C4260" t="s">
        <v>9617</v>
      </c>
      <c r="D4260" t="str">
        <f>"65374"</f>
        <v>65374</v>
      </c>
      <c r="E4260" t="s">
        <v>11791</v>
      </c>
      <c r="F4260" s="1">
        <v>45520</v>
      </c>
      <c r="G4260" t="str">
        <f>"300043"</f>
        <v>300043</v>
      </c>
      <c r="H4260" t="s">
        <v>2876</v>
      </c>
      <c r="I4260">
        <v>577</v>
      </c>
    </row>
    <row r="4261" spans="1:9" x14ac:dyDescent="0.25">
      <c r="A4261" t="s">
        <v>9616</v>
      </c>
      <c r="C4261" t="s">
        <v>9617</v>
      </c>
      <c r="D4261" t="str">
        <f>"65400"</f>
        <v>65400</v>
      </c>
      <c r="E4261" t="s">
        <v>11792</v>
      </c>
      <c r="F4261" s="1">
        <v>45521</v>
      </c>
      <c r="G4261" t="str">
        <f>"300043"</f>
        <v>300043</v>
      </c>
      <c r="H4261" t="s">
        <v>2876</v>
      </c>
      <c r="I4261">
        <v>577</v>
      </c>
    </row>
    <row r="4262" spans="1:9" x14ac:dyDescent="0.25">
      <c r="A4262" t="s">
        <v>9616</v>
      </c>
      <c r="C4262" t="s">
        <v>9617</v>
      </c>
      <c r="D4262" t="str">
        <f>"7964"</f>
        <v>7964</v>
      </c>
      <c r="E4262" t="s">
        <v>11471</v>
      </c>
      <c r="F4262" s="1">
        <v>45523</v>
      </c>
      <c r="G4262" t="str">
        <f>"300043"</f>
        <v>300043</v>
      </c>
      <c r="H4262" t="s">
        <v>2876</v>
      </c>
      <c r="I4262">
        <v>4148</v>
      </c>
    </row>
    <row r="4263" spans="1:9" x14ac:dyDescent="0.25">
      <c r="A4263" t="s">
        <v>9616</v>
      </c>
      <c r="C4263" t="s">
        <v>9617</v>
      </c>
      <c r="D4263" t="str">
        <f>"04556"</f>
        <v>04556</v>
      </c>
      <c r="E4263" t="s">
        <v>11775</v>
      </c>
      <c r="F4263" s="1">
        <v>45523</v>
      </c>
      <c r="G4263" t="str">
        <f>"300043"</f>
        <v>300043</v>
      </c>
      <c r="H4263" t="s">
        <v>2876</v>
      </c>
      <c r="I4263">
        <v>3303</v>
      </c>
    </row>
    <row r="4264" spans="1:9" x14ac:dyDescent="0.25">
      <c r="A4264" t="s">
        <v>9616</v>
      </c>
      <c r="C4264" t="s">
        <v>9617</v>
      </c>
      <c r="D4264" t="str">
        <f>"378224"</f>
        <v>378224</v>
      </c>
      <c r="E4264" t="s">
        <v>11792</v>
      </c>
      <c r="F4264" s="1">
        <v>45523</v>
      </c>
      <c r="G4264" t="str">
        <f>"300101"</f>
        <v>300101</v>
      </c>
      <c r="H4264" t="s">
        <v>2926</v>
      </c>
      <c r="I4264">
        <v>3368.74</v>
      </c>
    </row>
    <row r="4265" spans="1:9" x14ac:dyDescent="0.25">
      <c r="A4265" t="s">
        <v>9616</v>
      </c>
      <c r="C4265" t="s">
        <v>9617</v>
      </c>
      <c r="D4265" t="str">
        <f>"378324"</f>
        <v>378324</v>
      </c>
      <c r="E4265" t="s">
        <v>11790</v>
      </c>
      <c r="F4265" s="1">
        <v>45523</v>
      </c>
      <c r="G4265" t="str">
        <f>"300101"</f>
        <v>300101</v>
      </c>
      <c r="H4265" t="s">
        <v>2926</v>
      </c>
      <c r="I4265">
        <v>3025.94</v>
      </c>
    </row>
    <row r="4266" spans="1:9" x14ac:dyDescent="0.25">
      <c r="A4266" t="s">
        <v>9616</v>
      </c>
      <c r="C4266" t="s">
        <v>9617</v>
      </c>
      <c r="D4266" t="str">
        <f>"378424"</f>
        <v>378424</v>
      </c>
      <c r="E4266" t="s">
        <v>11791</v>
      </c>
      <c r="F4266" s="1">
        <v>45523</v>
      </c>
      <c r="G4266" t="str">
        <f>"300101"</f>
        <v>300101</v>
      </c>
      <c r="H4266" t="s">
        <v>2926</v>
      </c>
      <c r="I4266">
        <v>3025.94</v>
      </c>
    </row>
    <row r="4267" spans="1:9" x14ac:dyDescent="0.25">
      <c r="A4267" t="s">
        <v>9616</v>
      </c>
      <c r="C4267" t="s">
        <v>9617</v>
      </c>
      <c r="D4267" t="str">
        <f>"10160861"</f>
        <v>10160861</v>
      </c>
      <c r="E4267" t="s">
        <v>9189</v>
      </c>
      <c r="F4267" s="1">
        <v>45523</v>
      </c>
      <c r="G4267" t="str">
        <f>"300115"</f>
        <v>300115</v>
      </c>
      <c r="H4267" t="s">
        <v>2938</v>
      </c>
      <c r="I4267">
        <v>366039.89399999997</v>
      </c>
    </row>
    <row r="4268" spans="1:9" x14ac:dyDescent="0.25">
      <c r="A4268" t="s">
        <v>9616</v>
      </c>
      <c r="C4268" t="s">
        <v>9617</v>
      </c>
      <c r="D4268" t="str">
        <f>"80185969"</f>
        <v>80185969</v>
      </c>
      <c r="E4268" t="s">
        <v>9191</v>
      </c>
      <c r="F4268" s="1">
        <v>45525</v>
      </c>
      <c r="G4268" t="str">
        <f>"300381"</f>
        <v>300381</v>
      </c>
      <c r="H4268" t="s">
        <v>3118</v>
      </c>
      <c r="I4268">
        <v>294568.46100000001</v>
      </c>
    </row>
    <row r="4269" spans="1:9" x14ac:dyDescent="0.25">
      <c r="A4269" t="s">
        <v>9616</v>
      </c>
      <c r="C4269" t="s">
        <v>9617</v>
      </c>
      <c r="D4269" t="str">
        <f>"80185968"</f>
        <v>80185968</v>
      </c>
      <c r="E4269" t="s">
        <v>9189</v>
      </c>
      <c r="F4269" s="1">
        <v>45526</v>
      </c>
      <c r="G4269" t="str">
        <f>"300381"</f>
        <v>300381</v>
      </c>
      <c r="H4269" t="s">
        <v>3118</v>
      </c>
      <c r="I4269">
        <v>294633.25650000002</v>
      </c>
    </row>
    <row r="4270" spans="1:9" x14ac:dyDescent="0.25">
      <c r="A4270" t="s">
        <v>9616</v>
      </c>
      <c r="C4270" t="s">
        <v>9617</v>
      </c>
      <c r="D4270" t="str">
        <f>"1306"</f>
        <v>1306</v>
      </c>
      <c r="E4270" t="s">
        <v>11775</v>
      </c>
      <c r="F4270" s="1">
        <v>45527</v>
      </c>
      <c r="G4270" t="str">
        <f>"300043"</f>
        <v>300043</v>
      </c>
      <c r="H4270" t="s">
        <v>2876</v>
      </c>
      <c r="I4270">
        <v>32251</v>
      </c>
    </row>
    <row r="4271" spans="1:9" x14ac:dyDescent="0.25">
      <c r="A4271" t="s">
        <v>9616</v>
      </c>
      <c r="C4271" t="s">
        <v>9617</v>
      </c>
      <c r="D4271" t="str">
        <f>"4556"</f>
        <v>4556</v>
      </c>
      <c r="E4271" t="s">
        <v>11775</v>
      </c>
      <c r="F4271" s="1">
        <v>45527</v>
      </c>
      <c r="G4271" t="str">
        <f>"300043"</f>
        <v>300043</v>
      </c>
      <c r="H4271" t="s">
        <v>2876</v>
      </c>
      <c r="I4271">
        <v>23076</v>
      </c>
    </row>
    <row r="4272" spans="1:9" x14ac:dyDescent="0.25">
      <c r="A4272" t="s">
        <v>9616</v>
      </c>
      <c r="C4272" t="s">
        <v>9617</v>
      </c>
      <c r="D4272" t="str">
        <f>"67137"</f>
        <v>67137</v>
      </c>
      <c r="E4272" t="s">
        <v>11793</v>
      </c>
      <c r="F4272" s="1">
        <v>45530</v>
      </c>
      <c r="G4272" t="str">
        <f>"300043"</f>
        <v>300043</v>
      </c>
      <c r="H4272" t="s">
        <v>2876</v>
      </c>
      <c r="I4272">
        <v>1360</v>
      </c>
    </row>
    <row r="4273" spans="1:9" x14ac:dyDescent="0.25">
      <c r="A4273" t="s">
        <v>9616</v>
      </c>
      <c r="C4273" t="s">
        <v>9617</v>
      </c>
      <c r="D4273" t="s">
        <v>11794</v>
      </c>
      <c r="E4273" t="s">
        <v>9112</v>
      </c>
      <c r="F4273" s="1">
        <v>45530</v>
      </c>
      <c r="G4273" t="str">
        <f>"300064"</f>
        <v>300064</v>
      </c>
      <c r="H4273" t="s">
        <v>2896</v>
      </c>
      <c r="I4273">
        <v>120820</v>
      </c>
    </row>
    <row r="4274" spans="1:9" x14ac:dyDescent="0.25">
      <c r="A4274" t="s">
        <v>9616</v>
      </c>
      <c r="C4274" t="s">
        <v>9617</v>
      </c>
      <c r="D4274" t="s">
        <v>11795</v>
      </c>
      <c r="E4274" t="s">
        <v>11779</v>
      </c>
      <c r="F4274" s="1">
        <v>45530</v>
      </c>
      <c r="G4274" t="str">
        <f>"300400"</f>
        <v>300400</v>
      </c>
      <c r="H4274" t="s">
        <v>3136</v>
      </c>
      <c r="I4274">
        <v>2024</v>
      </c>
    </row>
    <row r="4275" spans="1:9" x14ac:dyDescent="0.25">
      <c r="A4275" t="s">
        <v>9616</v>
      </c>
      <c r="C4275" t="s">
        <v>9617</v>
      </c>
      <c r="D4275" t="str">
        <f>"4690"</f>
        <v>4690</v>
      </c>
      <c r="E4275" t="s">
        <v>11796</v>
      </c>
      <c r="F4275" s="1">
        <v>45531</v>
      </c>
      <c r="G4275" t="str">
        <f>"300043"</f>
        <v>300043</v>
      </c>
      <c r="H4275" t="s">
        <v>2876</v>
      </c>
      <c r="I4275">
        <v>5984</v>
      </c>
    </row>
    <row r="4276" spans="1:9" x14ac:dyDescent="0.25">
      <c r="A4276" t="s">
        <v>9616</v>
      </c>
      <c r="C4276" t="s">
        <v>9617</v>
      </c>
      <c r="D4276" t="str">
        <f>"4701"</f>
        <v>4701</v>
      </c>
      <c r="E4276" t="s">
        <v>11785</v>
      </c>
      <c r="F4276" s="1">
        <v>45531</v>
      </c>
      <c r="G4276" t="str">
        <f>"300043"</f>
        <v>300043</v>
      </c>
      <c r="H4276" t="s">
        <v>2876</v>
      </c>
      <c r="I4276">
        <v>2290</v>
      </c>
    </row>
    <row r="4277" spans="1:9" x14ac:dyDescent="0.25">
      <c r="A4277" t="s">
        <v>9616</v>
      </c>
      <c r="C4277" t="s">
        <v>9617</v>
      </c>
      <c r="D4277" t="str">
        <f>"7070"</f>
        <v>7070</v>
      </c>
      <c r="E4277" t="s">
        <v>11471</v>
      </c>
      <c r="F4277" s="1">
        <v>45531</v>
      </c>
      <c r="G4277" t="str">
        <f>"300043"</f>
        <v>300043</v>
      </c>
      <c r="H4277" t="s">
        <v>2876</v>
      </c>
      <c r="I4277">
        <v>4089</v>
      </c>
    </row>
    <row r="4278" spans="1:9" x14ac:dyDescent="0.25">
      <c r="A4278" t="s">
        <v>9616</v>
      </c>
      <c r="C4278" t="s">
        <v>9617</v>
      </c>
      <c r="D4278" t="s">
        <v>11797</v>
      </c>
      <c r="E4278" t="s">
        <v>9112</v>
      </c>
      <c r="F4278" s="1">
        <v>45531</v>
      </c>
      <c r="G4278" t="str">
        <f>"300064"</f>
        <v>300064</v>
      </c>
      <c r="H4278" t="s">
        <v>2896</v>
      </c>
      <c r="I4278">
        <v>120820</v>
      </c>
    </row>
    <row r="4279" spans="1:9" x14ac:dyDescent="0.25">
      <c r="A4279" t="s">
        <v>9616</v>
      </c>
      <c r="C4279" t="s">
        <v>9617</v>
      </c>
      <c r="D4279" t="str">
        <f>"385024"</f>
        <v>385024</v>
      </c>
      <c r="E4279" t="s">
        <v>11793</v>
      </c>
      <c r="F4279" s="1">
        <v>45531</v>
      </c>
      <c r="G4279" t="str">
        <f>"300101"</f>
        <v>300101</v>
      </c>
      <c r="H4279" t="s">
        <v>2926</v>
      </c>
      <c r="I4279">
        <v>3882.95</v>
      </c>
    </row>
    <row r="4280" spans="1:9" x14ac:dyDescent="0.25">
      <c r="A4280" t="s">
        <v>9616</v>
      </c>
      <c r="C4280" t="s">
        <v>9617</v>
      </c>
      <c r="D4280" t="s">
        <v>11798</v>
      </c>
      <c r="E4280" t="s">
        <v>10609</v>
      </c>
      <c r="F4280" s="1">
        <v>45531</v>
      </c>
      <c r="G4280" t="str">
        <f>"300133"</f>
        <v>300133</v>
      </c>
      <c r="H4280" t="s">
        <v>2955</v>
      </c>
      <c r="I4280">
        <v>33000</v>
      </c>
    </row>
    <row r="4281" spans="1:9" x14ac:dyDescent="0.25">
      <c r="A4281" t="s">
        <v>9616</v>
      </c>
      <c r="C4281" t="s">
        <v>9617</v>
      </c>
      <c r="D4281" t="str">
        <f>"0796"</f>
        <v>0796</v>
      </c>
      <c r="E4281" t="s">
        <v>11471</v>
      </c>
      <c r="F4281" s="1">
        <v>45532</v>
      </c>
      <c r="G4281" t="str">
        <f>"300043"</f>
        <v>300043</v>
      </c>
      <c r="H4281" t="s">
        <v>2876</v>
      </c>
      <c r="I4281">
        <v>6356</v>
      </c>
    </row>
    <row r="4282" spans="1:9" x14ac:dyDescent="0.25">
      <c r="A4282" t="s">
        <v>9616</v>
      </c>
      <c r="C4282" t="s">
        <v>9617</v>
      </c>
      <c r="D4282" t="str">
        <f>"10161161"</f>
        <v>10161161</v>
      </c>
      <c r="E4282" t="s">
        <v>2762</v>
      </c>
      <c r="F4282" s="1">
        <v>45532</v>
      </c>
      <c r="G4282" t="str">
        <f>"300115"</f>
        <v>300115</v>
      </c>
      <c r="H4282" t="s">
        <v>2938</v>
      </c>
      <c r="I4282">
        <v>107687.25</v>
      </c>
    </row>
    <row r="4283" spans="1:9" x14ac:dyDescent="0.25">
      <c r="A4283" t="s">
        <v>9616</v>
      </c>
      <c r="C4283" t="s">
        <v>9617</v>
      </c>
      <c r="D4283" t="str">
        <f>"10161162"</f>
        <v>10161162</v>
      </c>
      <c r="E4283" t="s">
        <v>2762</v>
      </c>
      <c r="F4283" s="1">
        <v>45532</v>
      </c>
      <c r="G4283" t="str">
        <f>"300115"</f>
        <v>300115</v>
      </c>
      <c r="H4283" t="s">
        <v>2938</v>
      </c>
      <c r="I4283">
        <v>107687.25</v>
      </c>
    </row>
    <row r="4284" spans="1:9" x14ac:dyDescent="0.25">
      <c r="A4284" t="s">
        <v>9616</v>
      </c>
      <c r="C4284" t="s">
        <v>9617</v>
      </c>
      <c r="D4284" t="s">
        <v>11799</v>
      </c>
      <c r="E4284" t="s">
        <v>11800</v>
      </c>
      <c r="F4284" s="1">
        <v>45532</v>
      </c>
      <c r="G4284" t="str">
        <f>"300321"</f>
        <v>300321</v>
      </c>
      <c r="H4284" t="s">
        <v>2706</v>
      </c>
      <c r="I4284">
        <v>30800</v>
      </c>
    </row>
    <row r="4285" spans="1:9" x14ac:dyDescent="0.25">
      <c r="A4285" t="s">
        <v>9616</v>
      </c>
      <c r="C4285" t="s">
        <v>9617</v>
      </c>
      <c r="D4285" t="str">
        <f>"80186565"</f>
        <v>80186565</v>
      </c>
      <c r="E4285" t="s">
        <v>9189</v>
      </c>
      <c r="F4285" s="1">
        <v>45532</v>
      </c>
      <c r="G4285" t="str">
        <f>"300381"</f>
        <v>300381</v>
      </c>
      <c r="H4285" t="s">
        <v>3118</v>
      </c>
      <c r="I4285">
        <v>363837.67200000002</v>
      </c>
    </row>
    <row r="4286" spans="1:9" x14ac:dyDescent="0.25">
      <c r="A4286" t="s">
        <v>9616</v>
      </c>
      <c r="C4286" t="s">
        <v>9617</v>
      </c>
      <c r="D4286" t="s">
        <v>11801</v>
      </c>
      <c r="F4286" s="1">
        <v>45532</v>
      </c>
      <c r="G4286" t="str">
        <f>"300398"</f>
        <v>300398</v>
      </c>
      <c r="H4286" t="s">
        <v>3134</v>
      </c>
      <c r="I4286">
        <v>28054.28</v>
      </c>
    </row>
    <row r="4287" spans="1:9" x14ac:dyDescent="0.25">
      <c r="A4287" t="s">
        <v>9616</v>
      </c>
      <c r="C4287" t="s">
        <v>9617</v>
      </c>
      <c r="D4287" t="str">
        <f>"68091"</f>
        <v>68091</v>
      </c>
      <c r="E4287" t="s">
        <v>11802</v>
      </c>
      <c r="F4287" s="1">
        <v>45533</v>
      </c>
      <c r="G4287" t="str">
        <f>"300043"</f>
        <v>300043</v>
      </c>
      <c r="H4287" t="s">
        <v>2876</v>
      </c>
      <c r="I4287">
        <v>1440</v>
      </c>
    </row>
    <row r="4288" spans="1:9" x14ac:dyDescent="0.25">
      <c r="A4288" t="s">
        <v>9616</v>
      </c>
      <c r="C4288" t="s">
        <v>9617</v>
      </c>
      <c r="D4288" t="s">
        <v>11803</v>
      </c>
      <c r="E4288" t="str">
        <f>"5500"</f>
        <v>5500</v>
      </c>
      <c r="F4288" s="1">
        <v>45533</v>
      </c>
      <c r="G4288" t="str">
        <f>"300133"</f>
        <v>300133</v>
      </c>
      <c r="H4288" t="s">
        <v>2955</v>
      </c>
      <c r="I4288">
        <v>35685</v>
      </c>
    </row>
    <row r="4289" spans="1:9" x14ac:dyDescent="0.25">
      <c r="A4289" t="s">
        <v>9616</v>
      </c>
      <c r="C4289" t="s">
        <v>9617</v>
      </c>
      <c r="D4289" t="s">
        <v>11804</v>
      </c>
      <c r="E4289" t="s">
        <v>9112</v>
      </c>
      <c r="F4289" s="1">
        <v>45534</v>
      </c>
      <c r="G4289" t="str">
        <f>"300064"</f>
        <v>300064</v>
      </c>
      <c r="H4289" t="s">
        <v>2896</v>
      </c>
      <c r="I4289">
        <v>113928</v>
      </c>
    </row>
    <row r="4290" spans="1:9" x14ac:dyDescent="0.25">
      <c r="A4290" t="s">
        <v>9616</v>
      </c>
      <c r="C4290" t="s">
        <v>9617</v>
      </c>
      <c r="D4290" t="s">
        <v>11805</v>
      </c>
      <c r="E4290" t="s">
        <v>11806</v>
      </c>
      <c r="F4290" s="1">
        <v>45534</v>
      </c>
      <c r="G4290" t="str">
        <f>"300398"</f>
        <v>300398</v>
      </c>
      <c r="H4290" t="s">
        <v>3134</v>
      </c>
      <c r="I4290">
        <v>28211.040000000001</v>
      </c>
    </row>
    <row r="4291" spans="1:9" x14ac:dyDescent="0.25">
      <c r="A4291" t="s">
        <v>9616</v>
      </c>
      <c r="C4291" t="s">
        <v>9617</v>
      </c>
      <c r="D4291" t="str">
        <f>"202407262"</f>
        <v>202407262</v>
      </c>
      <c r="E4291" t="s">
        <v>11800</v>
      </c>
      <c r="F4291" s="1">
        <v>45535</v>
      </c>
      <c r="G4291" t="str">
        <f>"300191"</f>
        <v>300191</v>
      </c>
      <c r="H4291" t="s">
        <v>3008</v>
      </c>
      <c r="I4291">
        <v>3312.44</v>
      </c>
    </row>
    <row r="4292" spans="1:9" x14ac:dyDescent="0.25">
      <c r="A4292" t="s">
        <v>9616</v>
      </c>
      <c r="C4292" t="s">
        <v>9617</v>
      </c>
      <c r="D4292" t="str">
        <f>"4807"</f>
        <v>4807</v>
      </c>
      <c r="E4292" t="s">
        <v>11555</v>
      </c>
      <c r="F4292" s="1">
        <v>45537</v>
      </c>
      <c r="G4292" t="str">
        <f>"300043"</f>
        <v>300043</v>
      </c>
      <c r="H4292" t="s">
        <v>2876</v>
      </c>
      <c r="I4292">
        <v>4050</v>
      </c>
    </row>
    <row r="4293" spans="1:9" x14ac:dyDescent="0.25">
      <c r="A4293" t="s">
        <v>9616</v>
      </c>
      <c r="C4293" t="s">
        <v>9617</v>
      </c>
      <c r="D4293" t="str">
        <f>"68677"</f>
        <v>68677</v>
      </c>
      <c r="E4293" t="s">
        <v>11807</v>
      </c>
      <c r="F4293" s="1">
        <v>45537</v>
      </c>
      <c r="G4293" t="str">
        <f>"300043"</f>
        <v>300043</v>
      </c>
      <c r="H4293" t="s">
        <v>2876</v>
      </c>
      <c r="I4293">
        <v>577</v>
      </c>
    </row>
    <row r="4294" spans="1:9" x14ac:dyDescent="0.25">
      <c r="A4294" t="s">
        <v>9616</v>
      </c>
      <c r="C4294" t="s">
        <v>9617</v>
      </c>
      <c r="D4294" t="str">
        <f>"68690"</f>
        <v>68690</v>
      </c>
      <c r="E4294" t="s">
        <v>11808</v>
      </c>
      <c r="F4294" s="1">
        <v>45537</v>
      </c>
      <c r="G4294" t="str">
        <f>"300043"</f>
        <v>300043</v>
      </c>
      <c r="H4294" t="s">
        <v>2876</v>
      </c>
      <c r="I4294">
        <v>577</v>
      </c>
    </row>
    <row r="4295" spans="1:9" x14ac:dyDescent="0.25">
      <c r="A4295" t="s">
        <v>9616</v>
      </c>
      <c r="C4295" t="s">
        <v>9617</v>
      </c>
      <c r="D4295" t="s">
        <v>11809</v>
      </c>
      <c r="E4295" t="s">
        <v>9112</v>
      </c>
      <c r="F4295" s="1">
        <v>45537</v>
      </c>
      <c r="G4295" t="str">
        <f>"300064"</f>
        <v>300064</v>
      </c>
      <c r="H4295" t="s">
        <v>2896</v>
      </c>
      <c r="I4295">
        <v>120820</v>
      </c>
    </row>
    <row r="4296" spans="1:9" x14ac:dyDescent="0.25">
      <c r="A4296" t="s">
        <v>9616</v>
      </c>
      <c r="C4296" t="s">
        <v>9617</v>
      </c>
      <c r="D4296" t="s">
        <v>11810</v>
      </c>
      <c r="F4296" s="1">
        <v>45537</v>
      </c>
      <c r="G4296" t="str">
        <f>"300344"</f>
        <v>300344</v>
      </c>
      <c r="H4296" t="s">
        <v>3084</v>
      </c>
      <c r="I4296">
        <v>186015.53</v>
      </c>
    </row>
    <row r="4297" spans="1:9" x14ac:dyDescent="0.25">
      <c r="A4297" t="s">
        <v>9616</v>
      </c>
      <c r="C4297" t="s">
        <v>9617</v>
      </c>
      <c r="D4297" t="s">
        <v>11811</v>
      </c>
      <c r="E4297" t="s">
        <v>9112</v>
      </c>
      <c r="F4297" s="1">
        <v>45538</v>
      </c>
      <c r="G4297" t="str">
        <f>"300064"</f>
        <v>300064</v>
      </c>
      <c r="H4297" t="s">
        <v>2896</v>
      </c>
      <c r="I4297">
        <v>120820</v>
      </c>
    </row>
    <row r="4298" spans="1:9" x14ac:dyDescent="0.25">
      <c r="A4298" t="s">
        <v>9616</v>
      </c>
      <c r="C4298" t="s">
        <v>9617</v>
      </c>
      <c r="D4298" t="str">
        <f>"395724"</f>
        <v>395724</v>
      </c>
      <c r="E4298" t="s">
        <v>11808</v>
      </c>
      <c r="F4298" s="1">
        <v>45538</v>
      </c>
      <c r="G4298" t="str">
        <f>"300101"</f>
        <v>300101</v>
      </c>
      <c r="H4298" t="s">
        <v>2926</v>
      </c>
      <c r="I4298">
        <v>3368.74</v>
      </c>
    </row>
    <row r="4299" spans="1:9" x14ac:dyDescent="0.25">
      <c r="A4299" t="s">
        <v>9616</v>
      </c>
      <c r="C4299" t="s">
        <v>9617</v>
      </c>
      <c r="D4299" t="str">
        <f>"395824"</f>
        <v>395824</v>
      </c>
      <c r="E4299" t="s">
        <v>11812</v>
      </c>
      <c r="F4299" s="1">
        <v>45538</v>
      </c>
      <c r="G4299" t="str">
        <f>"300101"</f>
        <v>300101</v>
      </c>
      <c r="H4299" t="s">
        <v>2926</v>
      </c>
      <c r="I4299">
        <v>3368.74</v>
      </c>
    </row>
    <row r="4300" spans="1:9" x14ac:dyDescent="0.25">
      <c r="A4300" t="s">
        <v>9616</v>
      </c>
      <c r="C4300" t="s">
        <v>9617</v>
      </c>
      <c r="D4300" t="str">
        <f>"10161307"</f>
        <v>10161307</v>
      </c>
      <c r="E4300" t="s">
        <v>9189</v>
      </c>
      <c r="F4300" s="1">
        <v>45538</v>
      </c>
      <c r="G4300" t="str">
        <f>"300115"</f>
        <v>300115</v>
      </c>
      <c r="H4300" t="s">
        <v>2938</v>
      </c>
      <c r="I4300">
        <v>368000.45699999999</v>
      </c>
    </row>
    <row r="4301" spans="1:9" x14ac:dyDescent="0.25">
      <c r="A4301" t="s">
        <v>9616</v>
      </c>
      <c r="C4301" t="s">
        <v>9617</v>
      </c>
      <c r="D4301" t="str">
        <f>"2238"</f>
        <v>2238</v>
      </c>
      <c r="E4301" t="s">
        <v>11813</v>
      </c>
      <c r="F4301" s="1">
        <v>45540</v>
      </c>
      <c r="G4301" t="str">
        <f>"300043"</f>
        <v>300043</v>
      </c>
      <c r="H4301" t="s">
        <v>2876</v>
      </c>
      <c r="I4301">
        <v>1209</v>
      </c>
    </row>
    <row r="4302" spans="1:9" x14ac:dyDescent="0.25">
      <c r="A4302" t="s">
        <v>9616</v>
      </c>
      <c r="C4302" t="s">
        <v>9617</v>
      </c>
      <c r="D4302" t="str">
        <f>"004899"</f>
        <v>004899</v>
      </c>
      <c r="E4302" t="s">
        <v>11806</v>
      </c>
      <c r="F4302" s="1">
        <v>45540</v>
      </c>
      <c r="G4302" t="str">
        <f>"300043"</f>
        <v>300043</v>
      </c>
      <c r="H4302" t="s">
        <v>2876</v>
      </c>
      <c r="I4302">
        <v>1209</v>
      </c>
    </row>
    <row r="4303" spans="1:9" x14ac:dyDescent="0.25">
      <c r="A4303" t="s">
        <v>9616</v>
      </c>
      <c r="C4303" t="s">
        <v>9617</v>
      </c>
      <c r="D4303" t="s">
        <v>11814</v>
      </c>
      <c r="E4303" t="s">
        <v>11815</v>
      </c>
      <c r="F4303" s="1">
        <v>45540</v>
      </c>
      <c r="G4303" t="str">
        <f>"300321"</f>
        <v>300321</v>
      </c>
      <c r="H4303" t="s">
        <v>2706</v>
      </c>
      <c r="I4303">
        <v>25300</v>
      </c>
    </row>
    <row r="4304" spans="1:9" x14ac:dyDescent="0.25">
      <c r="A4304" t="s">
        <v>9616</v>
      </c>
      <c r="C4304" t="s">
        <v>9617</v>
      </c>
      <c r="D4304" t="str">
        <f>"80187260"</f>
        <v>80187260</v>
      </c>
      <c r="E4304" t="s">
        <v>9420</v>
      </c>
      <c r="F4304" s="1">
        <v>45540</v>
      </c>
      <c r="G4304" t="str">
        <f>"300381"</f>
        <v>300381</v>
      </c>
      <c r="H4304" t="s">
        <v>3118</v>
      </c>
      <c r="I4304">
        <v>377192.277</v>
      </c>
    </row>
    <row r="4305" spans="1:9" x14ac:dyDescent="0.25">
      <c r="A4305" t="s">
        <v>9616</v>
      </c>
      <c r="C4305" t="s">
        <v>9617</v>
      </c>
      <c r="D4305" t="str">
        <f>"9889"</f>
        <v>9889</v>
      </c>
      <c r="E4305" t="s">
        <v>11816</v>
      </c>
      <c r="F4305" s="1">
        <v>45541</v>
      </c>
      <c r="G4305" t="str">
        <f>"300043"</f>
        <v>300043</v>
      </c>
      <c r="H4305" t="s">
        <v>2876</v>
      </c>
      <c r="I4305">
        <v>1372</v>
      </c>
    </row>
    <row r="4306" spans="1:9" x14ac:dyDescent="0.25">
      <c r="A4306" t="s">
        <v>9616</v>
      </c>
      <c r="C4306" t="s">
        <v>9617</v>
      </c>
      <c r="D4306" t="s">
        <v>11817</v>
      </c>
      <c r="E4306" t="s">
        <v>9565</v>
      </c>
      <c r="F4306" s="1">
        <v>45541</v>
      </c>
      <c r="G4306" t="str">
        <f>"300133"</f>
        <v>300133</v>
      </c>
      <c r="H4306" t="s">
        <v>2955</v>
      </c>
      <c r="I4306">
        <v>45576</v>
      </c>
    </row>
    <row r="4307" spans="1:9" x14ac:dyDescent="0.25">
      <c r="A4307" t="s">
        <v>9616</v>
      </c>
      <c r="C4307" t="s">
        <v>9617</v>
      </c>
      <c r="D4307" t="str">
        <f>"1375"</f>
        <v>1375</v>
      </c>
      <c r="E4307" t="s">
        <v>11806</v>
      </c>
      <c r="F4307" s="1">
        <v>45544</v>
      </c>
      <c r="G4307" t="str">
        <f>"300043"</f>
        <v>300043</v>
      </c>
      <c r="H4307" t="s">
        <v>2876</v>
      </c>
      <c r="I4307">
        <v>11404</v>
      </c>
    </row>
    <row r="4308" spans="1:9" x14ac:dyDescent="0.25">
      <c r="A4308" t="s">
        <v>9616</v>
      </c>
      <c r="C4308" t="s">
        <v>9617</v>
      </c>
      <c r="D4308" t="str">
        <f>"04892"</f>
        <v>04892</v>
      </c>
      <c r="E4308" t="s">
        <v>11806</v>
      </c>
      <c r="F4308" s="1">
        <v>45544</v>
      </c>
      <c r="G4308" t="str">
        <f>"300043"</f>
        <v>300043</v>
      </c>
      <c r="H4308" t="s">
        <v>2876</v>
      </c>
      <c r="I4308">
        <v>7427</v>
      </c>
    </row>
    <row r="4309" spans="1:9" x14ac:dyDescent="0.25">
      <c r="A4309" t="s">
        <v>9616</v>
      </c>
      <c r="C4309" t="s">
        <v>9617</v>
      </c>
      <c r="D4309" t="str">
        <f>"70322"</f>
        <v>70322</v>
      </c>
      <c r="E4309" t="s">
        <v>11818</v>
      </c>
      <c r="F4309" s="1">
        <v>45544</v>
      </c>
      <c r="G4309" t="str">
        <f>"300043"</f>
        <v>300043</v>
      </c>
      <c r="H4309" t="s">
        <v>2876</v>
      </c>
      <c r="I4309">
        <v>1471</v>
      </c>
    </row>
    <row r="4310" spans="1:9" x14ac:dyDescent="0.25">
      <c r="A4310" t="s">
        <v>9616</v>
      </c>
      <c r="C4310" t="s">
        <v>9617</v>
      </c>
      <c r="D4310" t="s">
        <v>11819</v>
      </c>
      <c r="E4310" t="s">
        <v>9112</v>
      </c>
      <c r="F4310" s="1">
        <v>45544</v>
      </c>
      <c r="G4310" t="str">
        <f>"300064"</f>
        <v>300064</v>
      </c>
      <c r="H4310" t="s">
        <v>2896</v>
      </c>
      <c r="I4310">
        <v>120820</v>
      </c>
    </row>
    <row r="4311" spans="1:9" x14ac:dyDescent="0.25">
      <c r="A4311" t="s">
        <v>9616</v>
      </c>
      <c r="C4311" t="s">
        <v>9617</v>
      </c>
      <c r="D4311" t="s">
        <v>11820</v>
      </c>
      <c r="E4311" t="s">
        <v>9266</v>
      </c>
      <c r="F4311" s="1">
        <v>45544</v>
      </c>
      <c r="G4311" t="str">
        <f>"300064"</f>
        <v>300064</v>
      </c>
      <c r="H4311" t="s">
        <v>2896</v>
      </c>
      <c r="I4311">
        <v>125272</v>
      </c>
    </row>
    <row r="4312" spans="1:9" x14ac:dyDescent="0.25">
      <c r="A4312" t="s">
        <v>9616</v>
      </c>
      <c r="C4312" t="s">
        <v>9617</v>
      </c>
      <c r="D4312" t="str">
        <f>"400724"</f>
        <v>400724</v>
      </c>
      <c r="E4312" t="s">
        <v>11813</v>
      </c>
      <c r="F4312" s="1">
        <v>45544</v>
      </c>
      <c r="G4312" t="str">
        <f>"300101"</f>
        <v>300101</v>
      </c>
      <c r="H4312" t="s">
        <v>2926</v>
      </c>
      <c r="I4312">
        <v>6621.38</v>
      </c>
    </row>
    <row r="4313" spans="1:9" x14ac:dyDescent="0.25">
      <c r="A4313" t="s">
        <v>9616</v>
      </c>
      <c r="C4313" t="s">
        <v>9617</v>
      </c>
      <c r="D4313" t="str">
        <f>"401224"</f>
        <v>401224</v>
      </c>
      <c r="E4313" t="s">
        <v>11816</v>
      </c>
      <c r="F4313" s="1">
        <v>45544</v>
      </c>
      <c r="G4313" t="str">
        <f>"300101"</f>
        <v>300101</v>
      </c>
      <c r="H4313" t="s">
        <v>2926</v>
      </c>
      <c r="I4313">
        <v>3185.35</v>
      </c>
    </row>
    <row r="4314" spans="1:9" x14ac:dyDescent="0.25">
      <c r="A4314" t="s">
        <v>9616</v>
      </c>
      <c r="C4314" t="s">
        <v>9617</v>
      </c>
      <c r="D4314" t="str">
        <f>"10161475"</f>
        <v>10161475</v>
      </c>
      <c r="E4314" t="s">
        <v>1313</v>
      </c>
      <c r="F4314" s="1">
        <v>45544</v>
      </c>
      <c r="G4314" t="str">
        <f>"300115"</f>
        <v>300115</v>
      </c>
      <c r="H4314" t="s">
        <v>2938</v>
      </c>
      <c r="I4314">
        <v>376363.35</v>
      </c>
    </row>
    <row r="4315" spans="1:9" x14ac:dyDescent="0.25">
      <c r="A4315" t="s">
        <v>9616</v>
      </c>
      <c r="C4315" t="s">
        <v>9617</v>
      </c>
      <c r="D4315" t="str">
        <f>"10161515"</f>
        <v>10161515</v>
      </c>
      <c r="E4315" t="s">
        <v>2762</v>
      </c>
      <c r="F4315" s="1">
        <v>45544</v>
      </c>
      <c r="G4315" t="str">
        <f>"300115"</f>
        <v>300115</v>
      </c>
      <c r="H4315" t="s">
        <v>2938</v>
      </c>
      <c r="I4315">
        <v>107687.25</v>
      </c>
    </row>
    <row r="4316" spans="1:9" x14ac:dyDescent="0.25">
      <c r="A4316" t="s">
        <v>9616</v>
      </c>
      <c r="C4316" t="s">
        <v>9617</v>
      </c>
      <c r="D4316" t="s">
        <v>11821</v>
      </c>
      <c r="E4316" t="s">
        <v>11822</v>
      </c>
      <c r="F4316" s="1">
        <v>45545</v>
      </c>
      <c r="G4316" t="str">
        <f>"300064"</f>
        <v>300064</v>
      </c>
      <c r="H4316" t="s">
        <v>2896</v>
      </c>
      <c r="I4316">
        <v>120820</v>
      </c>
    </row>
    <row r="4317" spans="1:9" x14ac:dyDescent="0.25">
      <c r="A4317" t="s">
        <v>9616</v>
      </c>
      <c r="C4317" t="s">
        <v>9617</v>
      </c>
      <c r="D4317" t="str">
        <f>"10161516"</f>
        <v>10161516</v>
      </c>
      <c r="E4317" t="s">
        <v>2762</v>
      </c>
      <c r="F4317" s="1">
        <v>45545</v>
      </c>
      <c r="G4317" t="str">
        <f>"300115"</f>
        <v>300115</v>
      </c>
      <c r="H4317" t="s">
        <v>2938</v>
      </c>
      <c r="I4317">
        <v>107687.25</v>
      </c>
    </row>
    <row r="4318" spans="1:9" x14ac:dyDescent="0.25">
      <c r="A4318" t="s">
        <v>9616</v>
      </c>
      <c r="C4318" t="s">
        <v>9617</v>
      </c>
      <c r="D4318" t="str">
        <f>"202407499"</f>
        <v>202407499</v>
      </c>
      <c r="E4318" t="s">
        <v>11818</v>
      </c>
      <c r="F4318" s="1">
        <v>45545</v>
      </c>
      <c r="G4318" t="str">
        <f>"300191"</f>
        <v>300191</v>
      </c>
      <c r="H4318" t="s">
        <v>3008</v>
      </c>
      <c r="I4318">
        <v>3301.32</v>
      </c>
    </row>
    <row r="4319" spans="1:9" x14ac:dyDescent="0.25">
      <c r="A4319" t="s">
        <v>9616</v>
      </c>
      <c r="C4319" t="s">
        <v>9617</v>
      </c>
      <c r="D4319" t="str">
        <f>"70940"</f>
        <v>70940</v>
      </c>
      <c r="F4319" s="1">
        <v>45546</v>
      </c>
      <c r="G4319" t="str">
        <f>"300043"</f>
        <v>300043</v>
      </c>
      <c r="H4319" t="s">
        <v>2876</v>
      </c>
      <c r="I4319">
        <v>1393</v>
      </c>
    </row>
    <row r="4320" spans="1:9" x14ac:dyDescent="0.25">
      <c r="A4320" t="s">
        <v>9616</v>
      </c>
      <c r="C4320" t="s">
        <v>9617</v>
      </c>
      <c r="D4320" t="str">
        <f>"10161559"</f>
        <v>10161559</v>
      </c>
      <c r="E4320" t="s">
        <v>11272</v>
      </c>
      <c r="F4320" s="1">
        <v>45546</v>
      </c>
      <c r="G4320" t="str">
        <f>"300115"</f>
        <v>300115</v>
      </c>
      <c r="H4320" t="s">
        <v>2938</v>
      </c>
      <c r="I4320">
        <v>120637.44</v>
      </c>
    </row>
    <row r="4321" spans="1:9" x14ac:dyDescent="0.25">
      <c r="A4321" t="s">
        <v>9616</v>
      </c>
      <c r="C4321" t="s">
        <v>9617</v>
      </c>
      <c r="D4321" t="str">
        <f>"10161561"</f>
        <v>10161561</v>
      </c>
      <c r="E4321" t="s">
        <v>2762</v>
      </c>
      <c r="F4321" s="1">
        <v>45546</v>
      </c>
      <c r="G4321" t="str">
        <f>"300115"</f>
        <v>300115</v>
      </c>
      <c r="H4321" t="s">
        <v>2938</v>
      </c>
      <c r="I4321">
        <v>107687.25</v>
      </c>
    </row>
    <row r="4322" spans="1:9" x14ac:dyDescent="0.25">
      <c r="A4322" t="s">
        <v>9616</v>
      </c>
      <c r="C4322" t="s">
        <v>9617</v>
      </c>
      <c r="D4322" t="s">
        <v>11823</v>
      </c>
      <c r="F4322" s="1">
        <v>45547</v>
      </c>
      <c r="G4322" t="str">
        <f>"300398"</f>
        <v>300398</v>
      </c>
      <c r="H4322" t="s">
        <v>3134</v>
      </c>
      <c r="I4322">
        <v>21922.79</v>
      </c>
    </row>
    <row r="4323" spans="1:9" x14ac:dyDescent="0.25">
      <c r="A4323" t="s">
        <v>9616</v>
      </c>
      <c r="C4323" t="s">
        <v>9617</v>
      </c>
      <c r="D4323" t="str">
        <f>"8945"</f>
        <v>8945</v>
      </c>
      <c r="E4323" t="s">
        <v>11471</v>
      </c>
      <c r="F4323" s="1">
        <v>45548</v>
      </c>
      <c r="G4323" t="str">
        <f>"300043"</f>
        <v>300043</v>
      </c>
      <c r="H4323" t="s">
        <v>2876</v>
      </c>
      <c r="I4323">
        <v>4695</v>
      </c>
    </row>
    <row r="4324" spans="1:9" x14ac:dyDescent="0.25">
      <c r="A4324" t="s">
        <v>9616</v>
      </c>
      <c r="C4324" t="s">
        <v>9617</v>
      </c>
      <c r="D4324" t="str">
        <f>"202407623"</f>
        <v>202407623</v>
      </c>
      <c r="E4324" t="s">
        <v>11780</v>
      </c>
      <c r="F4324" s="1">
        <v>45548</v>
      </c>
      <c r="G4324" t="str">
        <f>"300191"</f>
        <v>300191</v>
      </c>
      <c r="H4324" t="s">
        <v>3008</v>
      </c>
      <c r="I4324">
        <v>29812.22</v>
      </c>
    </row>
    <row r="4325" spans="1:9" x14ac:dyDescent="0.25">
      <c r="A4325" t="s">
        <v>9616</v>
      </c>
      <c r="C4325" t="s">
        <v>9617</v>
      </c>
      <c r="D4325" t="str">
        <f>"202407627"</f>
        <v>202407627</v>
      </c>
      <c r="E4325" t="s">
        <v>11785</v>
      </c>
      <c r="F4325" s="1">
        <v>45548</v>
      </c>
      <c r="G4325" t="str">
        <f>"300191"</f>
        <v>300191</v>
      </c>
      <c r="H4325" t="s">
        <v>3008</v>
      </c>
      <c r="I4325">
        <v>7375.69</v>
      </c>
    </row>
    <row r="4326" spans="1:9" x14ac:dyDescent="0.25">
      <c r="A4326" t="s">
        <v>9616</v>
      </c>
      <c r="C4326" t="s">
        <v>9617</v>
      </c>
      <c r="D4326" t="str">
        <f>"202407647"</f>
        <v>202407647</v>
      </c>
      <c r="E4326" t="s">
        <v>11796</v>
      </c>
      <c r="F4326" s="1">
        <v>45549</v>
      </c>
      <c r="G4326" t="str">
        <f>"300191"</f>
        <v>300191</v>
      </c>
      <c r="H4326" t="s">
        <v>3008</v>
      </c>
      <c r="I4326">
        <v>18446.009999999998</v>
      </c>
    </row>
    <row r="4327" spans="1:9" x14ac:dyDescent="0.25">
      <c r="A4327" t="s">
        <v>9616</v>
      </c>
      <c r="C4327" t="s">
        <v>9617</v>
      </c>
      <c r="D4327" t="str">
        <f>"202407648"</f>
        <v>202407648</v>
      </c>
      <c r="E4327" t="s">
        <v>11824</v>
      </c>
      <c r="F4327" s="1">
        <v>45549</v>
      </c>
      <c r="G4327" t="str">
        <f>"300191"</f>
        <v>300191</v>
      </c>
      <c r="H4327" t="s">
        <v>3008</v>
      </c>
      <c r="I4327">
        <v>9797.3799999999992</v>
      </c>
    </row>
    <row r="4328" spans="1:9" x14ac:dyDescent="0.25">
      <c r="A4328" t="s">
        <v>9616</v>
      </c>
      <c r="C4328" t="s">
        <v>9617</v>
      </c>
      <c r="D4328" t="str">
        <f>"2137"</f>
        <v>2137</v>
      </c>
      <c r="E4328" t="s">
        <v>11825</v>
      </c>
      <c r="F4328" s="1">
        <v>45553</v>
      </c>
      <c r="G4328" t="str">
        <f>"300043"</f>
        <v>300043</v>
      </c>
      <c r="H4328" t="s">
        <v>2876</v>
      </c>
      <c r="I4328">
        <v>628</v>
      </c>
    </row>
    <row r="4329" spans="1:9" x14ac:dyDescent="0.25">
      <c r="A4329" t="s">
        <v>9616</v>
      </c>
      <c r="C4329" t="s">
        <v>9617</v>
      </c>
      <c r="D4329" t="str">
        <f>"2156"</f>
        <v>2156</v>
      </c>
      <c r="E4329" t="s">
        <v>11826</v>
      </c>
      <c r="F4329" s="1">
        <v>45553</v>
      </c>
      <c r="G4329" t="str">
        <f>"300043"</f>
        <v>300043</v>
      </c>
      <c r="H4329" t="s">
        <v>2876</v>
      </c>
      <c r="I4329">
        <v>592</v>
      </c>
    </row>
    <row r="4330" spans="1:9" x14ac:dyDescent="0.25">
      <c r="A4330" t="s">
        <v>9616</v>
      </c>
      <c r="C4330" t="s">
        <v>9617</v>
      </c>
      <c r="D4330" t="str">
        <f>"2193"</f>
        <v>2193</v>
      </c>
      <c r="E4330" t="s">
        <v>11827</v>
      </c>
      <c r="F4330" s="1">
        <v>45553</v>
      </c>
      <c r="G4330" t="str">
        <f>"300043"</f>
        <v>300043</v>
      </c>
      <c r="H4330" t="s">
        <v>2876</v>
      </c>
      <c r="I4330">
        <v>577</v>
      </c>
    </row>
    <row r="4331" spans="1:9" x14ac:dyDescent="0.25">
      <c r="A4331" t="s">
        <v>9616</v>
      </c>
      <c r="C4331" t="s">
        <v>9617</v>
      </c>
      <c r="D4331" t="str">
        <f>"6364"</f>
        <v>6364</v>
      </c>
      <c r="E4331" t="s">
        <v>11828</v>
      </c>
      <c r="F4331" s="1">
        <v>45553</v>
      </c>
      <c r="G4331" t="str">
        <f>"300043"</f>
        <v>300043</v>
      </c>
      <c r="H4331" t="s">
        <v>2876</v>
      </c>
      <c r="I4331">
        <v>1008</v>
      </c>
    </row>
    <row r="4332" spans="1:9" x14ac:dyDescent="0.25">
      <c r="A4332" t="s">
        <v>9616</v>
      </c>
      <c r="C4332" t="s">
        <v>9617</v>
      </c>
      <c r="D4332" t="s">
        <v>11829</v>
      </c>
      <c r="E4332" t="s">
        <v>11830</v>
      </c>
      <c r="F4332" s="1">
        <v>45553</v>
      </c>
      <c r="G4332" t="str">
        <f>"300064"</f>
        <v>300064</v>
      </c>
      <c r="H4332" t="s">
        <v>2896</v>
      </c>
      <c r="I4332">
        <v>120820</v>
      </c>
    </row>
    <row r="4333" spans="1:9" x14ac:dyDescent="0.25">
      <c r="A4333" t="s">
        <v>9616</v>
      </c>
      <c r="C4333" t="s">
        <v>9617</v>
      </c>
      <c r="D4333" t="str">
        <f>"410324"</f>
        <v>410324</v>
      </c>
      <c r="E4333" t="s">
        <v>11831</v>
      </c>
      <c r="F4333" s="1">
        <v>45553</v>
      </c>
      <c r="G4333" t="str">
        <f>"300101"</f>
        <v>300101</v>
      </c>
      <c r="H4333" t="s">
        <v>2926</v>
      </c>
      <c r="I4333">
        <v>3014.82</v>
      </c>
    </row>
    <row r="4334" spans="1:9" x14ac:dyDescent="0.25">
      <c r="A4334" t="s">
        <v>9616</v>
      </c>
      <c r="C4334" t="s">
        <v>9617</v>
      </c>
      <c r="D4334" t="str">
        <f>"20014717"</f>
        <v>20014717</v>
      </c>
      <c r="E4334" t="s">
        <v>11832</v>
      </c>
      <c r="F4334" s="1">
        <v>45553</v>
      </c>
      <c r="G4334" t="str">
        <f>"300115"</f>
        <v>300115</v>
      </c>
      <c r="H4334" t="s">
        <v>2938</v>
      </c>
      <c r="I4334">
        <v>312.39999999999998</v>
      </c>
    </row>
    <row r="4335" spans="1:9" x14ac:dyDescent="0.25">
      <c r="A4335" t="s">
        <v>9616</v>
      </c>
      <c r="C4335" t="s">
        <v>9617</v>
      </c>
      <c r="D4335" t="str">
        <f>"7892"</f>
        <v>7892</v>
      </c>
      <c r="E4335" t="s">
        <v>11833</v>
      </c>
      <c r="F4335" s="1">
        <v>45555</v>
      </c>
      <c r="G4335" t="str">
        <f>"300043"</f>
        <v>300043</v>
      </c>
      <c r="H4335" t="s">
        <v>2876</v>
      </c>
      <c r="I4335">
        <v>391</v>
      </c>
    </row>
    <row r="4336" spans="1:9" x14ac:dyDescent="0.25">
      <c r="A4336" t="s">
        <v>9616</v>
      </c>
      <c r="C4336" t="s">
        <v>9617</v>
      </c>
      <c r="D4336" t="str">
        <f>"412124"</f>
        <v>412124</v>
      </c>
      <c r="E4336" t="s">
        <v>11827</v>
      </c>
      <c r="F4336" s="1">
        <v>45555</v>
      </c>
      <c r="G4336" t="str">
        <f>"300101"</f>
        <v>300101</v>
      </c>
      <c r="H4336" t="s">
        <v>2926</v>
      </c>
      <c r="I4336">
        <v>4865.84</v>
      </c>
    </row>
    <row r="4337" spans="1:9" x14ac:dyDescent="0.25">
      <c r="A4337" t="s">
        <v>9616</v>
      </c>
      <c r="C4337" t="s">
        <v>9617</v>
      </c>
      <c r="D4337" t="str">
        <f>"412224"</f>
        <v>412224</v>
      </c>
      <c r="E4337" t="s">
        <v>11825</v>
      </c>
      <c r="F4337" s="1">
        <v>45555</v>
      </c>
      <c r="G4337" t="str">
        <f>"300101"</f>
        <v>300101</v>
      </c>
      <c r="H4337" t="s">
        <v>2926</v>
      </c>
      <c r="I4337">
        <v>3848.91</v>
      </c>
    </row>
    <row r="4338" spans="1:9" x14ac:dyDescent="0.25">
      <c r="A4338" t="s">
        <v>9616</v>
      </c>
      <c r="C4338" t="s">
        <v>9617</v>
      </c>
      <c r="D4338" t="str">
        <f>"412324"</f>
        <v>412324</v>
      </c>
      <c r="E4338" t="s">
        <v>11826</v>
      </c>
      <c r="F4338" s="1">
        <v>45555</v>
      </c>
      <c r="G4338" t="str">
        <f>"300101"</f>
        <v>300101</v>
      </c>
      <c r="H4338" t="s">
        <v>2926</v>
      </c>
      <c r="I4338">
        <v>4865.84</v>
      </c>
    </row>
    <row r="4339" spans="1:9" x14ac:dyDescent="0.25">
      <c r="A4339" t="s">
        <v>9616</v>
      </c>
      <c r="C4339" t="s">
        <v>9617</v>
      </c>
      <c r="D4339" t="str">
        <f>"10161876"</f>
        <v>10161876</v>
      </c>
      <c r="E4339" t="s">
        <v>9189</v>
      </c>
      <c r="F4339" s="1">
        <v>45558</v>
      </c>
      <c r="G4339" t="str">
        <f>"300115"</f>
        <v>300115</v>
      </c>
      <c r="H4339" t="s">
        <v>2938</v>
      </c>
      <c r="I4339">
        <v>368000.45699999999</v>
      </c>
    </row>
    <row r="4340" spans="1:9" x14ac:dyDescent="0.25">
      <c r="A4340" t="s">
        <v>9616</v>
      </c>
      <c r="C4340" t="s">
        <v>9617</v>
      </c>
      <c r="D4340" t="str">
        <f>"202407840"</f>
        <v>202407840</v>
      </c>
      <c r="E4340" t="s">
        <v>11775</v>
      </c>
      <c r="F4340" s="1">
        <v>45558</v>
      </c>
      <c r="G4340" t="str">
        <f>"300191"</f>
        <v>300191</v>
      </c>
      <c r="H4340" t="s">
        <v>3008</v>
      </c>
      <c r="I4340">
        <v>26177.38</v>
      </c>
    </row>
    <row r="4341" spans="1:9" x14ac:dyDescent="0.25">
      <c r="A4341" t="s">
        <v>9616</v>
      </c>
      <c r="C4341" t="s">
        <v>9617</v>
      </c>
      <c r="D4341" t="s">
        <v>11834</v>
      </c>
      <c r="E4341" t="s">
        <v>11828</v>
      </c>
      <c r="F4341" s="1">
        <v>45558</v>
      </c>
      <c r="G4341" t="str">
        <f>"300400"</f>
        <v>300400</v>
      </c>
      <c r="H4341" t="s">
        <v>3136</v>
      </c>
      <c r="I4341">
        <v>3848</v>
      </c>
    </row>
    <row r="4342" spans="1:9" x14ac:dyDescent="0.25">
      <c r="A4342" t="s">
        <v>9616</v>
      </c>
      <c r="C4342" t="s">
        <v>9617</v>
      </c>
      <c r="D4342" t="s">
        <v>11835</v>
      </c>
      <c r="E4342" t="s">
        <v>11504</v>
      </c>
      <c r="F4342" s="1">
        <v>45559</v>
      </c>
      <c r="G4342" t="str">
        <f>"300064"</f>
        <v>300064</v>
      </c>
      <c r="H4342" t="s">
        <v>2896</v>
      </c>
      <c r="I4342">
        <v>32640</v>
      </c>
    </row>
    <row r="4343" spans="1:9" x14ac:dyDescent="0.25">
      <c r="A4343" t="s">
        <v>9616</v>
      </c>
      <c r="C4343" t="s">
        <v>9617</v>
      </c>
      <c r="D4343" t="str">
        <f>"202407919"</f>
        <v>202407919</v>
      </c>
      <c r="E4343" t="s">
        <v>11833</v>
      </c>
      <c r="F4343" s="1">
        <v>45559</v>
      </c>
      <c r="G4343" t="str">
        <f>"300191"</f>
        <v>300191</v>
      </c>
      <c r="H4343" t="s">
        <v>3008</v>
      </c>
      <c r="I4343">
        <v>14239.2</v>
      </c>
    </row>
    <row r="4344" spans="1:9" x14ac:dyDescent="0.25">
      <c r="A4344" t="s">
        <v>9616</v>
      </c>
      <c r="C4344" t="s">
        <v>9617</v>
      </c>
      <c r="D4344" t="str">
        <f>"202407958"</f>
        <v>202407958</v>
      </c>
      <c r="E4344" t="s">
        <v>11785</v>
      </c>
      <c r="F4344" s="1">
        <v>45559</v>
      </c>
      <c r="G4344" t="str">
        <f>"300191"</f>
        <v>300191</v>
      </c>
      <c r="H4344" t="s">
        <v>3008</v>
      </c>
      <c r="I4344">
        <v>8515.2000000000007</v>
      </c>
    </row>
    <row r="4345" spans="1:9" x14ac:dyDescent="0.25">
      <c r="A4345" t="s">
        <v>9616</v>
      </c>
      <c r="C4345" t="s">
        <v>9617</v>
      </c>
      <c r="D4345" t="str">
        <f>"202407964"</f>
        <v>202407964</v>
      </c>
      <c r="E4345" t="s">
        <v>11806</v>
      </c>
      <c r="F4345" s="1">
        <v>45559</v>
      </c>
      <c r="G4345" t="str">
        <f>"300191"</f>
        <v>300191</v>
      </c>
      <c r="H4345" t="s">
        <v>3008</v>
      </c>
      <c r="I4345">
        <v>4446.25</v>
      </c>
    </row>
    <row r="4346" spans="1:9" x14ac:dyDescent="0.25">
      <c r="A4346" t="s">
        <v>9616</v>
      </c>
      <c r="C4346" t="s">
        <v>9617</v>
      </c>
      <c r="D4346" t="str">
        <f>"33951"</f>
        <v>33951</v>
      </c>
      <c r="E4346" t="s">
        <v>11836</v>
      </c>
      <c r="F4346" s="1">
        <v>45559</v>
      </c>
      <c r="G4346" t="str">
        <f>"300416"</f>
        <v>300416</v>
      </c>
      <c r="H4346" t="s">
        <v>3150</v>
      </c>
      <c r="I4346">
        <v>173078.39999999999</v>
      </c>
    </row>
    <row r="4347" spans="1:9" x14ac:dyDescent="0.25">
      <c r="A4347" t="s">
        <v>9616</v>
      </c>
      <c r="C4347" t="s">
        <v>9617</v>
      </c>
      <c r="D4347" t="str">
        <f>"0855"</f>
        <v>0855</v>
      </c>
      <c r="E4347" t="s">
        <v>11471</v>
      </c>
      <c r="F4347" s="1">
        <v>45560</v>
      </c>
      <c r="G4347" t="str">
        <f>"300043"</f>
        <v>300043</v>
      </c>
      <c r="H4347" t="s">
        <v>2876</v>
      </c>
      <c r="I4347">
        <v>3510</v>
      </c>
    </row>
    <row r="4348" spans="1:9" x14ac:dyDescent="0.25">
      <c r="A4348" t="s">
        <v>9616</v>
      </c>
      <c r="C4348" t="s">
        <v>9617</v>
      </c>
      <c r="D4348" t="str">
        <f>"10161972"</f>
        <v>10161972</v>
      </c>
      <c r="E4348" t="s">
        <v>9189</v>
      </c>
      <c r="F4348" s="1">
        <v>45560</v>
      </c>
      <c r="G4348" t="str">
        <f>"300115"</f>
        <v>300115</v>
      </c>
      <c r="H4348" t="s">
        <v>2938</v>
      </c>
      <c r="I4348">
        <v>335352.15999999997</v>
      </c>
    </row>
    <row r="4349" spans="1:9" x14ac:dyDescent="0.25">
      <c r="A4349" t="s">
        <v>9616</v>
      </c>
      <c r="C4349" t="s">
        <v>9617</v>
      </c>
      <c r="D4349" t="str">
        <f>"74827"</f>
        <v>74827</v>
      </c>
      <c r="E4349" t="s">
        <v>11837</v>
      </c>
      <c r="F4349" s="1">
        <v>45561</v>
      </c>
      <c r="G4349" t="str">
        <f>"300043"</f>
        <v>300043</v>
      </c>
      <c r="H4349" t="s">
        <v>2876</v>
      </c>
      <c r="I4349">
        <v>1372</v>
      </c>
    </row>
    <row r="4350" spans="1:9" x14ac:dyDescent="0.25">
      <c r="A4350" t="s">
        <v>9616</v>
      </c>
      <c r="C4350" t="s">
        <v>9617</v>
      </c>
      <c r="D4350" t="s">
        <v>11838</v>
      </c>
      <c r="E4350" t="s">
        <v>11839</v>
      </c>
      <c r="F4350" s="1">
        <v>45562</v>
      </c>
      <c r="G4350" t="str">
        <f>"300064"</f>
        <v>300064</v>
      </c>
      <c r="H4350" t="s">
        <v>2896</v>
      </c>
      <c r="I4350">
        <v>120820</v>
      </c>
    </row>
    <row r="4351" spans="1:9" x14ac:dyDescent="0.25">
      <c r="A4351" t="s">
        <v>9616</v>
      </c>
      <c r="C4351" t="s">
        <v>9617</v>
      </c>
      <c r="D4351" t="str">
        <f>"420624"</f>
        <v>420624</v>
      </c>
      <c r="E4351" t="s">
        <v>11837</v>
      </c>
      <c r="F4351" s="1">
        <v>45565</v>
      </c>
      <c r="G4351" t="str">
        <f>"300101"</f>
        <v>300101</v>
      </c>
      <c r="H4351" t="s">
        <v>2926</v>
      </c>
      <c r="I4351">
        <v>3168.48</v>
      </c>
    </row>
    <row r="4352" spans="1:9" x14ac:dyDescent="0.25">
      <c r="A4352" t="s">
        <v>9616</v>
      </c>
      <c r="C4352" t="s">
        <v>9617</v>
      </c>
      <c r="D4352" t="str">
        <f>"10162132"</f>
        <v>10162132</v>
      </c>
      <c r="E4352" t="s">
        <v>2762</v>
      </c>
      <c r="F4352" s="1">
        <v>45565</v>
      </c>
      <c r="G4352" t="str">
        <f>"300115"</f>
        <v>300115</v>
      </c>
      <c r="H4352" t="s">
        <v>2938</v>
      </c>
      <c r="I4352">
        <v>107621.602</v>
      </c>
    </row>
    <row r="4353" spans="1:9" x14ac:dyDescent="0.25">
      <c r="A4353" t="s">
        <v>9616</v>
      </c>
      <c r="C4353" t="s">
        <v>9617</v>
      </c>
      <c r="D4353" t="str">
        <f>"10162145"</f>
        <v>10162145</v>
      </c>
      <c r="E4353" t="s">
        <v>2762</v>
      </c>
      <c r="F4353" s="1">
        <v>45566</v>
      </c>
      <c r="G4353" t="str">
        <f>"300115"</f>
        <v>300115</v>
      </c>
      <c r="H4353" t="s">
        <v>2938</v>
      </c>
      <c r="I4353">
        <v>107687.25</v>
      </c>
    </row>
    <row r="4354" spans="1:9" x14ac:dyDescent="0.25">
      <c r="A4354" t="s">
        <v>9616</v>
      </c>
      <c r="C4354" t="s">
        <v>9617</v>
      </c>
      <c r="D4354" t="str">
        <f>"10162192"</f>
        <v>10162192</v>
      </c>
      <c r="E4354" t="s">
        <v>2762</v>
      </c>
      <c r="F4354" s="1">
        <v>45566</v>
      </c>
      <c r="G4354" t="str">
        <f>"300115"</f>
        <v>300115</v>
      </c>
      <c r="H4354" t="s">
        <v>2938</v>
      </c>
      <c r="I4354">
        <v>107687.25</v>
      </c>
    </row>
    <row r="4355" spans="1:9" x14ac:dyDescent="0.25">
      <c r="A4355" t="s">
        <v>9616</v>
      </c>
      <c r="C4355" t="s">
        <v>9617</v>
      </c>
      <c r="D4355" t="s">
        <v>11840</v>
      </c>
      <c r="E4355" t="s">
        <v>11841</v>
      </c>
      <c r="F4355" s="1">
        <v>45566</v>
      </c>
      <c r="G4355" t="str">
        <f>"300133"</f>
        <v>300133</v>
      </c>
      <c r="H4355" t="s">
        <v>2955</v>
      </c>
      <c r="I4355">
        <v>6600</v>
      </c>
    </row>
    <row r="4356" spans="1:9" x14ac:dyDescent="0.25">
      <c r="A4356" t="s">
        <v>9616</v>
      </c>
      <c r="C4356" t="s">
        <v>9617</v>
      </c>
      <c r="D4356" t="str">
        <f>"0878"</f>
        <v>0878</v>
      </c>
      <c r="E4356" t="s">
        <v>11471</v>
      </c>
      <c r="F4356" s="1">
        <v>45567</v>
      </c>
      <c r="G4356" t="str">
        <f>"300043"</f>
        <v>300043</v>
      </c>
      <c r="H4356" t="s">
        <v>2876</v>
      </c>
      <c r="I4356">
        <v>53</v>
      </c>
    </row>
    <row r="4357" spans="1:9" x14ac:dyDescent="0.25">
      <c r="A4357" t="s">
        <v>9616</v>
      </c>
      <c r="C4357" t="s">
        <v>9617</v>
      </c>
      <c r="D4357" t="str">
        <f>"76589"</f>
        <v>76589</v>
      </c>
      <c r="E4357" t="s">
        <v>11842</v>
      </c>
      <c r="F4357" s="1">
        <v>45567</v>
      </c>
      <c r="G4357" t="str">
        <f>"300043"</f>
        <v>300043</v>
      </c>
      <c r="H4357" t="s">
        <v>2876</v>
      </c>
      <c r="I4357">
        <v>1482</v>
      </c>
    </row>
    <row r="4358" spans="1:9" x14ac:dyDescent="0.25">
      <c r="A4358" t="s">
        <v>9616</v>
      </c>
      <c r="C4358" t="s">
        <v>9617</v>
      </c>
      <c r="D4358" t="str">
        <f>"10162201"</f>
        <v>10162201</v>
      </c>
      <c r="E4358" t="s">
        <v>9189</v>
      </c>
      <c r="F4358" s="1">
        <v>45567</v>
      </c>
      <c r="G4358" t="str">
        <f>"300115"</f>
        <v>300115</v>
      </c>
      <c r="H4358" t="s">
        <v>2938</v>
      </c>
      <c r="I4358">
        <v>368000.45699999999</v>
      </c>
    </row>
    <row r="4359" spans="1:9" x14ac:dyDescent="0.25">
      <c r="A4359" t="s">
        <v>9616</v>
      </c>
      <c r="C4359" t="s">
        <v>9617</v>
      </c>
      <c r="D4359" t="s">
        <v>11843</v>
      </c>
      <c r="E4359" t="s">
        <v>11844</v>
      </c>
      <c r="F4359" s="1">
        <v>45567</v>
      </c>
      <c r="G4359" t="str">
        <f>"300237"</f>
        <v>300237</v>
      </c>
      <c r="H4359" t="s">
        <v>3036</v>
      </c>
      <c r="I4359">
        <v>129368.8</v>
      </c>
    </row>
    <row r="4360" spans="1:9" x14ac:dyDescent="0.25">
      <c r="A4360" t="s">
        <v>9616</v>
      </c>
      <c r="C4360" t="s">
        <v>9617</v>
      </c>
      <c r="D4360" t="s">
        <v>11845</v>
      </c>
      <c r="E4360" t="s">
        <v>9519</v>
      </c>
      <c r="F4360" s="1">
        <v>45568</v>
      </c>
      <c r="G4360" t="str">
        <f>"300133"</f>
        <v>300133</v>
      </c>
      <c r="H4360" t="s">
        <v>2955</v>
      </c>
      <c r="I4360">
        <v>36432</v>
      </c>
    </row>
    <row r="4361" spans="1:9" x14ac:dyDescent="0.25">
      <c r="A4361" t="s">
        <v>9616</v>
      </c>
      <c r="C4361" t="s">
        <v>9617</v>
      </c>
      <c r="D4361" t="s">
        <v>11846</v>
      </c>
      <c r="E4361" t="s">
        <v>10826</v>
      </c>
      <c r="F4361" s="1">
        <v>45569</v>
      </c>
      <c r="G4361" t="str">
        <f>"300064"</f>
        <v>300064</v>
      </c>
      <c r="H4361" t="s">
        <v>2896</v>
      </c>
      <c r="I4361">
        <v>168294</v>
      </c>
    </row>
    <row r="4362" spans="1:9" x14ac:dyDescent="0.25">
      <c r="A4362" t="s">
        <v>9616</v>
      </c>
      <c r="C4362" t="s">
        <v>9617</v>
      </c>
      <c r="D4362" t="s">
        <v>11847</v>
      </c>
      <c r="E4362" t="s">
        <v>11848</v>
      </c>
      <c r="F4362" s="1">
        <v>45569</v>
      </c>
      <c r="G4362" t="str">
        <f>"300414"</f>
        <v>300414</v>
      </c>
      <c r="H4362" t="s">
        <v>3148</v>
      </c>
      <c r="I4362">
        <v>2649.12</v>
      </c>
    </row>
    <row r="4363" spans="1:9" x14ac:dyDescent="0.25">
      <c r="A4363" t="s">
        <v>9616</v>
      </c>
      <c r="C4363" t="s">
        <v>9617</v>
      </c>
      <c r="D4363" t="str">
        <f>"95535"</f>
        <v>95535</v>
      </c>
      <c r="E4363" t="s">
        <v>11849</v>
      </c>
      <c r="F4363" s="1">
        <v>45572</v>
      </c>
      <c r="G4363" t="str">
        <f>"300043"</f>
        <v>300043</v>
      </c>
      <c r="H4363" t="s">
        <v>2876</v>
      </c>
      <c r="I4363">
        <v>12145</v>
      </c>
    </row>
    <row r="4364" spans="1:9" x14ac:dyDescent="0.25">
      <c r="A4364" t="s">
        <v>9616</v>
      </c>
      <c r="C4364" t="s">
        <v>9617</v>
      </c>
      <c r="D4364" t="str">
        <f>"428924"</f>
        <v>428924</v>
      </c>
      <c r="E4364" t="s">
        <v>11842</v>
      </c>
      <c r="F4364" s="1">
        <v>45572</v>
      </c>
      <c r="G4364" t="str">
        <f>"300101"</f>
        <v>300101</v>
      </c>
      <c r="H4364" t="s">
        <v>2926</v>
      </c>
      <c r="I4364">
        <v>3336.87</v>
      </c>
    </row>
    <row r="4365" spans="1:9" x14ac:dyDescent="0.25">
      <c r="A4365" t="s">
        <v>9616</v>
      </c>
      <c r="C4365" t="s">
        <v>9617</v>
      </c>
      <c r="D4365" t="str">
        <f>"10162349"</f>
        <v>10162349</v>
      </c>
      <c r="E4365" t="s">
        <v>9189</v>
      </c>
      <c r="F4365" s="1">
        <v>45572</v>
      </c>
      <c r="G4365" t="str">
        <f>"300115"</f>
        <v>300115</v>
      </c>
      <c r="H4365" t="s">
        <v>2938</v>
      </c>
      <c r="I4365">
        <v>368000.45699999999</v>
      </c>
    </row>
    <row r="4366" spans="1:9" x14ac:dyDescent="0.25">
      <c r="A4366" t="s">
        <v>9616</v>
      </c>
      <c r="C4366" t="s">
        <v>9617</v>
      </c>
      <c r="D4366" t="str">
        <f>"10162351"</f>
        <v>10162351</v>
      </c>
      <c r="E4366" t="s">
        <v>1313</v>
      </c>
      <c r="F4366" s="1">
        <v>45572</v>
      </c>
      <c r="G4366" t="str">
        <f>"300115"</f>
        <v>300115</v>
      </c>
      <c r="H4366" t="s">
        <v>2938</v>
      </c>
      <c r="I4366">
        <v>376363.97700000001</v>
      </c>
    </row>
    <row r="4367" spans="1:9" x14ac:dyDescent="0.25">
      <c r="A4367" t="s">
        <v>9616</v>
      </c>
      <c r="C4367" t="s">
        <v>9617</v>
      </c>
      <c r="D4367" t="str">
        <f>"80188862"</f>
        <v>80188862</v>
      </c>
      <c r="E4367" t="s">
        <v>9189</v>
      </c>
      <c r="F4367" s="1">
        <v>45572</v>
      </c>
      <c r="G4367" t="str">
        <f>"300381"</f>
        <v>300381</v>
      </c>
      <c r="H4367" t="s">
        <v>3118</v>
      </c>
      <c r="I4367">
        <v>316730.05650000001</v>
      </c>
    </row>
    <row r="4368" spans="1:9" x14ac:dyDescent="0.25">
      <c r="A4368" t="s">
        <v>9616</v>
      </c>
      <c r="C4368" t="s">
        <v>9617</v>
      </c>
      <c r="D4368" t="str">
        <f>"78385"</f>
        <v>78385</v>
      </c>
      <c r="E4368" t="s">
        <v>11616</v>
      </c>
      <c r="F4368" s="1">
        <v>45573</v>
      </c>
      <c r="G4368" t="str">
        <f>"300043"</f>
        <v>300043</v>
      </c>
      <c r="H4368" t="s">
        <v>2876</v>
      </c>
      <c r="I4368">
        <v>577</v>
      </c>
    </row>
    <row r="4369" spans="1:9" x14ac:dyDescent="0.25">
      <c r="A4369" t="s">
        <v>9616</v>
      </c>
      <c r="C4369" t="s">
        <v>9617</v>
      </c>
      <c r="D4369" t="str">
        <f>"78389"</f>
        <v>78389</v>
      </c>
      <c r="E4369" t="s">
        <v>11850</v>
      </c>
      <c r="F4369" s="1">
        <v>45573</v>
      </c>
      <c r="G4369" t="str">
        <f>"300043"</f>
        <v>300043</v>
      </c>
      <c r="H4369" t="s">
        <v>2876</v>
      </c>
      <c r="I4369">
        <v>577</v>
      </c>
    </row>
    <row r="4370" spans="1:9" x14ac:dyDescent="0.25">
      <c r="A4370" t="s">
        <v>9616</v>
      </c>
      <c r="C4370" t="s">
        <v>9617</v>
      </c>
      <c r="D4370" t="str">
        <f>"78394"</f>
        <v>78394</v>
      </c>
      <c r="E4370" t="s">
        <v>11851</v>
      </c>
      <c r="F4370" s="1">
        <v>45573</v>
      </c>
      <c r="G4370" t="str">
        <f>"300043"</f>
        <v>300043</v>
      </c>
      <c r="H4370" t="s">
        <v>2876</v>
      </c>
      <c r="I4370">
        <v>577</v>
      </c>
    </row>
    <row r="4371" spans="1:9" x14ac:dyDescent="0.25">
      <c r="A4371" t="s">
        <v>9616</v>
      </c>
      <c r="C4371" t="s">
        <v>9617</v>
      </c>
      <c r="D4371" t="str">
        <f>"202408440"</f>
        <v>202408440</v>
      </c>
      <c r="E4371" t="s">
        <v>11848</v>
      </c>
      <c r="F4371" s="1">
        <v>45573</v>
      </c>
      <c r="G4371" t="str">
        <f>"300191"</f>
        <v>300191</v>
      </c>
      <c r="H4371" t="s">
        <v>3008</v>
      </c>
      <c r="I4371">
        <v>1753.99</v>
      </c>
    </row>
    <row r="4372" spans="1:9" x14ac:dyDescent="0.25">
      <c r="A4372" t="s">
        <v>9616</v>
      </c>
      <c r="C4372" t="s">
        <v>9617</v>
      </c>
      <c r="D4372" t="str">
        <f>"9758"</f>
        <v>9758</v>
      </c>
      <c r="E4372" t="s">
        <v>11471</v>
      </c>
      <c r="F4372" s="1">
        <v>45574</v>
      </c>
      <c r="G4372" t="str">
        <f>"300043"</f>
        <v>300043</v>
      </c>
      <c r="H4372" t="s">
        <v>2876</v>
      </c>
      <c r="I4372">
        <v>3187</v>
      </c>
    </row>
    <row r="4373" spans="1:9" x14ac:dyDescent="0.25">
      <c r="A4373" t="s">
        <v>9616</v>
      </c>
      <c r="C4373" t="s">
        <v>9617</v>
      </c>
      <c r="D4373" t="str">
        <f>"78664"</f>
        <v>78664</v>
      </c>
      <c r="E4373" t="s">
        <v>11852</v>
      </c>
      <c r="F4373" s="1">
        <v>45574</v>
      </c>
      <c r="G4373" t="str">
        <f>"300043"</f>
        <v>300043</v>
      </c>
      <c r="H4373" t="s">
        <v>2876</v>
      </c>
      <c r="I4373">
        <v>1369</v>
      </c>
    </row>
    <row r="4374" spans="1:9" x14ac:dyDescent="0.25">
      <c r="A4374" t="s">
        <v>9616</v>
      </c>
      <c r="C4374" t="s">
        <v>9617</v>
      </c>
      <c r="D4374" t="s">
        <v>11853</v>
      </c>
      <c r="E4374" t="s">
        <v>11504</v>
      </c>
      <c r="F4374" s="1">
        <v>45574</v>
      </c>
      <c r="G4374" t="str">
        <f>"300064"</f>
        <v>300064</v>
      </c>
      <c r="H4374" t="s">
        <v>2896</v>
      </c>
      <c r="I4374">
        <v>30240</v>
      </c>
    </row>
    <row r="4375" spans="1:9" x14ac:dyDescent="0.25">
      <c r="A4375" t="s">
        <v>9616</v>
      </c>
      <c r="C4375" t="s">
        <v>9617</v>
      </c>
      <c r="D4375" t="s">
        <v>11854</v>
      </c>
      <c r="E4375" t="s">
        <v>9112</v>
      </c>
      <c r="F4375" s="1">
        <v>45574</v>
      </c>
      <c r="G4375" t="str">
        <f>"300064"</f>
        <v>300064</v>
      </c>
      <c r="H4375" t="s">
        <v>2896</v>
      </c>
      <c r="I4375">
        <v>120820</v>
      </c>
    </row>
    <row r="4376" spans="1:9" x14ac:dyDescent="0.25">
      <c r="A4376" t="s">
        <v>9616</v>
      </c>
      <c r="C4376" t="s">
        <v>9617</v>
      </c>
      <c r="D4376" t="str">
        <f>"10162397"</f>
        <v>10162397</v>
      </c>
      <c r="E4376" t="s">
        <v>10809</v>
      </c>
      <c r="F4376" s="1">
        <v>45574</v>
      </c>
      <c r="G4376" t="str">
        <f>"300115"</f>
        <v>300115</v>
      </c>
      <c r="H4376" t="s">
        <v>2938</v>
      </c>
      <c r="I4376">
        <v>114088.898</v>
      </c>
    </row>
    <row r="4377" spans="1:9" x14ac:dyDescent="0.25">
      <c r="A4377" t="s">
        <v>9616</v>
      </c>
      <c r="C4377" t="s">
        <v>9617</v>
      </c>
      <c r="D4377" t="str">
        <f>"10162398"</f>
        <v>10162398</v>
      </c>
      <c r="E4377" t="s">
        <v>10049</v>
      </c>
      <c r="F4377" s="1">
        <v>45574</v>
      </c>
      <c r="G4377" t="str">
        <f>"300115"</f>
        <v>300115</v>
      </c>
      <c r="H4377" t="s">
        <v>2938</v>
      </c>
      <c r="I4377">
        <v>256559.49</v>
      </c>
    </row>
    <row r="4378" spans="1:9" x14ac:dyDescent="0.25">
      <c r="A4378" t="s">
        <v>9616</v>
      </c>
      <c r="C4378" t="s">
        <v>9617</v>
      </c>
      <c r="D4378" t="s">
        <v>11855</v>
      </c>
      <c r="E4378" t="s">
        <v>11856</v>
      </c>
      <c r="F4378" s="1">
        <v>45574</v>
      </c>
      <c r="G4378" t="str">
        <f>"300237"</f>
        <v>300237</v>
      </c>
      <c r="H4378" t="s">
        <v>3036</v>
      </c>
      <c r="I4378">
        <v>129368.8</v>
      </c>
    </row>
    <row r="4379" spans="1:9" x14ac:dyDescent="0.25">
      <c r="A4379" t="s">
        <v>9616</v>
      </c>
      <c r="C4379" t="s">
        <v>9617</v>
      </c>
      <c r="D4379" t="str">
        <f>"79022"</f>
        <v>79022</v>
      </c>
      <c r="E4379" t="s">
        <v>11857</v>
      </c>
      <c r="F4379" s="1">
        <v>45575</v>
      </c>
      <c r="G4379" t="str">
        <f>"300043"</f>
        <v>300043</v>
      </c>
      <c r="H4379" t="s">
        <v>2876</v>
      </c>
      <c r="I4379">
        <v>1367</v>
      </c>
    </row>
    <row r="4380" spans="1:9" x14ac:dyDescent="0.25">
      <c r="A4380" t="s">
        <v>9616</v>
      </c>
      <c r="C4380" t="s">
        <v>9617</v>
      </c>
      <c r="D4380" t="str">
        <f>"433624"</f>
        <v>433624</v>
      </c>
      <c r="E4380" t="s">
        <v>11616</v>
      </c>
      <c r="F4380" s="1">
        <v>45575</v>
      </c>
      <c r="G4380" t="str">
        <f>"300101"</f>
        <v>300101</v>
      </c>
      <c r="H4380" t="s">
        <v>2926</v>
      </c>
      <c r="I4380">
        <v>3844.61</v>
      </c>
    </row>
    <row r="4381" spans="1:9" x14ac:dyDescent="0.25">
      <c r="A4381" t="s">
        <v>9616</v>
      </c>
      <c r="C4381" t="s">
        <v>9617</v>
      </c>
      <c r="D4381" t="str">
        <f>"433724"</f>
        <v>433724</v>
      </c>
      <c r="E4381" t="s">
        <v>11850</v>
      </c>
      <c r="F4381" s="1">
        <v>45575</v>
      </c>
      <c r="G4381" t="str">
        <f>"300101"</f>
        <v>300101</v>
      </c>
      <c r="H4381" t="s">
        <v>2926</v>
      </c>
      <c r="I4381">
        <v>3506.11</v>
      </c>
    </row>
    <row r="4382" spans="1:9" x14ac:dyDescent="0.25">
      <c r="A4382" t="s">
        <v>9616</v>
      </c>
      <c r="C4382" t="s">
        <v>9617</v>
      </c>
      <c r="D4382" t="str">
        <f>"433824"</f>
        <v>433824</v>
      </c>
      <c r="E4382" t="s">
        <v>11851</v>
      </c>
      <c r="F4382" s="1">
        <v>45575</v>
      </c>
      <c r="G4382" t="str">
        <f>"300101"</f>
        <v>300101</v>
      </c>
      <c r="H4382" t="s">
        <v>2926</v>
      </c>
      <c r="I4382">
        <v>3506.11</v>
      </c>
    </row>
    <row r="4383" spans="1:9" x14ac:dyDescent="0.25">
      <c r="A4383" t="s">
        <v>9616</v>
      </c>
      <c r="C4383" t="s">
        <v>9617</v>
      </c>
      <c r="D4383" t="str">
        <f>"10162445"</f>
        <v>10162445</v>
      </c>
      <c r="E4383" t="s">
        <v>9189</v>
      </c>
      <c r="F4383" s="1">
        <v>45575</v>
      </c>
      <c r="G4383" t="str">
        <f>"300115"</f>
        <v>300115</v>
      </c>
      <c r="H4383" t="s">
        <v>2938</v>
      </c>
      <c r="I4383">
        <v>368000.45699999999</v>
      </c>
    </row>
    <row r="4384" spans="1:9" x14ac:dyDescent="0.25">
      <c r="A4384" t="s">
        <v>9616</v>
      </c>
      <c r="C4384" t="s">
        <v>9617</v>
      </c>
      <c r="D4384" t="str">
        <f>"10162481"</f>
        <v>10162481</v>
      </c>
      <c r="E4384" t="s">
        <v>9189</v>
      </c>
      <c r="F4384" s="1">
        <v>45575</v>
      </c>
      <c r="G4384" t="str">
        <f>"300115"</f>
        <v>300115</v>
      </c>
      <c r="H4384" t="s">
        <v>2938</v>
      </c>
      <c r="I4384">
        <v>346254.57900000003</v>
      </c>
    </row>
    <row r="4385" spans="1:9" x14ac:dyDescent="0.25">
      <c r="A4385" t="s">
        <v>9616</v>
      </c>
      <c r="C4385" t="s">
        <v>9617</v>
      </c>
      <c r="D4385" t="str">
        <f>"79396"</f>
        <v>79396</v>
      </c>
      <c r="E4385" t="s">
        <v>11858</v>
      </c>
      <c r="F4385" s="1">
        <v>45576</v>
      </c>
      <c r="G4385" t="str">
        <f>"300043"</f>
        <v>300043</v>
      </c>
      <c r="H4385" t="s">
        <v>2876</v>
      </c>
      <c r="I4385">
        <v>1373</v>
      </c>
    </row>
    <row r="4386" spans="1:9" x14ac:dyDescent="0.25">
      <c r="A4386" t="s">
        <v>9616</v>
      </c>
      <c r="C4386" t="s">
        <v>9617</v>
      </c>
      <c r="D4386" t="str">
        <f>"79401"</f>
        <v>79401</v>
      </c>
      <c r="E4386" t="s">
        <v>11859</v>
      </c>
      <c r="F4386" s="1">
        <v>45576</v>
      </c>
      <c r="G4386" t="str">
        <f>"300043"</f>
        <v>300043</v>
      </c>
      <c r="H4386" t="s">
        <v>2876</v>
      </c>
      <c r="I4386">
        <v>516</v>
      </c>
    </row>
    <row r="4387" spans="1:9" x14ac:dyDescent="0.25">
      <c r="A4387" t="s">
        <v>9616</v>
      </c>
      <c r="C4387" t="s">
        <v>9617</v>
      </c>
      <c r="D4387" t="s">
        <v>11860</v>
      </c>
      <c r="E4387" t="s">
        <v>11861</v>
      </c>
      <c r="F4387" s="1">
        <v>45576</v>
      </c>
      <c r="G4387" t="str">
        <f>"300400"</f>
        <v>300400</v>
      </c>
      <c r="H4387" t="s">
        <v>3136</v>
      </c>
      <c r="I4387">
        <v>2000</v>
      </c>
    </row>
    <row r="4388" spans="1:9" x14ac:dyDescent="0.25">
      <c r="A4388" t="s">
        <v>9616</v>
      </c>
      <c r="C4388" t="s">
        <v>9617</v>
      </c>
      <c r="D4388" t="str">
        <f>"79943"</f>
        <v>79943</v>
      </c>
      <c r="E4388" t="s">
        <v>11862</v>
      </c>
      <c r="F4388" s="1">
        <v>45579</v>
      </c>
      <c r="G4388" t="str">
        <f>"300043"</f>
        <v>300043</v>
      </c>
      <c r="H4388" t="s">
        <v>2876</v>
      </c>
      <c r="I4388">
        <v>1348</v>
      </c>
    </row>
    <row r="4389" spans="1:9" x14ac:dyDescent="0.25">
      <c r="A4389" t="s">
        <v>9616</v>
      </c>
      <c r="C4389" t="s">
        <v>9617</v>
      </c>
      <c r="D4389" t="str">
        <f>"80102"</f>
        <v>80102</v>
      </c>
      <c r="E4389" t="s">
        <v>11863</v>
      </c>
      <c r="F4389" s="1">
        <v>45579</v>
      </c>
      <c r="G4389" t="str">
        <f>"300043"</f>
        <v>300043</v>
      </c>
      <c r="H4389" t="s">
        <v>2876</v>
      </c>
      <c r="I4389">
        <v>1392</v>
      </c>
    </row>
    <row r="4390" spans="1:9" x14ac:dyDescent="0.25">
      <c r="A4390" t="s">
        <v>9616</v>
      </c>
      <c r="C4390" t="s">
        <v>9617</v>
      </c>
      <c r="D4390" t="str">
        <f>"80189395"</f>
        <v>80189395</v>
      </c>
      <c r="E4390" t="s">
        <v>9189</v>
      </c>
      <c r="F4390" s="1">
        <v>45579</v>
      </c>
      <c r="G4390" t="str">
        <f>"300381"</f>
        <v>300381</v>
      </c>
      <c r="H4390" t="s">
        <v>3118</v>
      </c>
      <c r="I4390">
        <v>245453.89439999999</v>
      </c>
    </row>
    <row r="4391" spans="1:9" x14ac:dyDescent="0.25">
      <c r="A4391" t="s">
        <v>9616</v>
      </c>
      <c r="C4391" t="s">
        <v>9617</v>
      </c>
      <c r="D4391" t="s">
        <v>11864</v>
      </c>
      <c r="E4391" t="s">
        <v>9112</v>
      </c>
      <c r="F4391" s="1">
        <v>45580</v>
      </c>
      <c r="G4391" t="str">
        <f>"300064"</f>
        <v>300064</v>
      </c>
      <c r="H4391" t="s">
        <v>2896</v>
      </c>
      <c r="I4391">
        <v>103590</v>
      </c>
    </row>
    <row r="4392" spans="1:9" x14ac:dyDescent="0.25">
      <c r="A4392" t="s">
        <v>9616</v>
      </c>
      <c r="C4392" t="s">
        <v>9617</v>
      </c>
      <c r="D4392" t="s">
        <v>11865</v>
      </c>
      <c r="E4392" t="s">
        <v>11866</v>
      </c>
      <c r="F4392" s="1">
        <v>45580</v>
      </c>
      <c r="G4392" t="str">
        <f>"300321"</f>
        <v>300321</v>
      </c>
      <c r="H4392" t="s">
        <v>2706</v>
      </c>
      <c r="I4392">
        <v>40250</v>
      </c>
    </row>
    <row r="4393" spans="1:9" x14ac:dyDescent="0.25">
      <c r="A4393" t="s">
        <v>9616</v>
      </c>
      <c r="C4393" t="s">
        <v>9617</v>
      </c>
      <c r="D4393" t="str">
        <f>"80189391"</f>
        <v>80189391</v>
      </c>
      <c r="E4393" t="s">
        <v>9566</v>
      </c>
      <c r="F4393" s="1">
        <v>45580</v>
      </c>
      <c r="G4393" t="str">
        <f>"300381"</f>
        <v>300381</v>
      </c>
      <c r="H4393" t="s">
        <v>3118</v>
      </c>
      <c r="I4393">
        <v>280153.47360000003</v>
      </c>
    </row>
    <row r="4394" spans="1:9" x14ac:dyDescent="0.25">
      <c r="A4394" t="s">
        <v>9616</v>
      </c>
      <c r="C4394" t="s">
        <v>9617</v>
      </c>
      <c r="D4394" t="str">
        <f>"437024"</f>
        <v>437024</v>
      </c>
      <c r="E4394" t="s">
        <v>11852</v>
      </c>
      <c r="F4394" s="1">
        <v>45581</v>
      </c>
      <c r="G4394" t="str">
        <f>"300101"</f>
        <v>300101</v>
      </c>
      <c r="H4394" t="s">
        <v>2926</v>
      </c>
      <c r="I4394">
        <v>3167.62</v>
      </c>
    </row>
    <row r="4395" spans="1:9" x14ac:dyDescent="0.25">
      <c r="A4395" t="s">
        <v>9616</v>
      </c>
      <c r="C4395" t="s">
        <v>9617</v>
      </c>
      <c r="D4395" t="str">
        <f>"437124"</f>
        <v>437124</v>
      </c>
      <c r="E4395" t="s">
        <v>11858</v>
      </c>
      <c r="F4395" s="1">
        <v>45581</v>
      </c>
      <c r="G4395" t="str">
        <f>"300101"</f>
        <v>300101</v>
      </c>
      <c r="H4395" t="s">
        <v>2926</v>
      </c>
      <c r="I4395">
        <v>3167.62</v>
      </c>
    </row>
    <row r="4396" spans="1:9" x14ac:dyDescent="0.25">
      <c r="A4396" t="s">
        <v>9616</v>
      </c>
      <c r="C4396" t="s">
        <v>9617</v>
      </c>
      <c r="D4396" t="str">
        <f>"437224"</f>
        <v>437224</v>
      </c>
      <c r="E4396" t="s">
        <v>11859</v>
      </c>
      <c r="F4396" s="1">
        <v>45581</v>
      </c>
      <c r="G4396" t="str">
        <f>"300101"</f>
        <v>300101</v>
      </c>
      <c r="H4396" t="s">
        <v>2926</v>
      </c>
      <c r="I4396">
        <v>14225.12</v>
      </c>
    </row>
    <row r="4397" spans="1:9" x14ac:dyDescent="0.25">
      <c r="A4397" t="s">
        <v>9616</v>
      </c>
      <c r="C4397" t="s">
        <v>9617</v>
      </c>
      <c r="D4397" t="str">
        <f>"437324"</f>
        <v>437324</v>
      </c>
      <c r="E4397" t="s">
        <v>11857</v>
      </c>
      <c r="F4397" s="1">
        <v>45581</v>
      </c>
      <c r="G4397" t="str">
        <f>"300101"</f>
        <v>300101</v>
      </c>
      <c r="H4397" t="s">
        <v>2926</v>
      </c>
      <c r="I4397">
        <v>2998.37</v>
      </c>
    </row>
    <row r="4398" spans="1:9" x14ac:dyDescent="0.25">
      <c r="A4398" t="s">
        <v>9616</v>
      </c>
      <c r="C4398" t="s">
        <v>9617</v>
      </c>
      <c r="D4398" t="str">
        <f>"437424"</f>
        <v>437424</v>
      </c>
      <c r="E4398" t="s">
        <v>11863</v>
      </c>
      <c r="F4398" s="1">
        <v>45581</v>
      </c>
      <c r="G4398" t="str">
        <f>"300101"</f>
        <v>300101</v>
      </c>
      <c r="H4398" t="s">
        <v>2926</v>
      </c>
      <c r="I4398">
        <v>3844.61</v>
      </c>
    </row>
    <row r="4399" spans="1:9" x14ac:dyDescent="0.25">
      <c r="A4399" t="s">
        <v>9616</v>
      </c>
      <c r="C4399" t="s">
        <v>9617</v>
      </c>
      <c r="D4399" t="str">
        <f>"10162601"</f>
        <v>10162601</v>
      </c>
      <c r="E4399" t="s">
        <v>9189</v>
      </c>
      <c r="F4399" s="1">
        <v>45581</v>
      </c>
      <c r="G4399" t="str">
        <f>"300115"</f>
        <v>300115</v>
      </c>
      <c r="H4399" t="s">
        <v>2938</v>
      </c>
      <c r="I4399">
        <v>346254.57900000003</v>
      </c>
    </row>
    <row r="4400" spans="1:9" x14ac:dyDescent="0.25">
      <c r="A4400" t="s">
        <v>9616</v>
      </c>
      <c r="C4400" t="s">
        <v>9617</v>
      </c>
      <c r="D4400" t="str">
        <f>"202408654"</f>
        <v>202408654</v>
      </c>
      <c r="E4400" t="s">
        <v>11862</v>
      </c>
      <c r="F4400" s="1">
        <v>45581</v>
      </c>
      <c r="G4400" t="str">
        <f>"300191"</f>
        <v>300191</v>
      </c>
      <c r="H4400" t="s">
        <v>3008</v>
      </c>
      <c r="I4400">
        <v>3575.97</v>
      </c>
    </row>
    <row r="4401" spans="1:9" x14ac:dyDescent="0.25">
      <c r="A4401" t="s">
        <v>9616</v>
      </c>
      <c r="C4401" t="s">
        <v>9617</v>
      </c>
      <c r="D4401" t="s">
        <v>11867</v>
      </c>
      <c r="E4401" t="s">
        <v>11862</v>
      </c>
      <c r="F4401" s="1">
        <v>45581</v>
      </c>
      <c r="G4401" t="str">
        <f>"300321"</f>
        <v>300321</v>
      </c>
      <c r="H4401" t="s">
        <v>2706</v>
      </c>
      <c r="I4401">
        <v>31500</v>
      </c>
    </row>
    <row r="4402" spans="1:9" x14ac:dyDescent="0.25">
      <c r="A4402" t="s">
        <v>9616</v>
      </c>
      <c r="C4402" t="s">
        <v>9617</v>
      </c>
      <c r="D4402" t="str">
        <f>"80189612"</f>
        <v>80189612</v>
      </c>
      <c r="E4402" t="s">
        <v>9189</v>
      </c>
      <c r="F4402" s="1">
        <v>45581</v>
      </c>
      <c r="G4402" t="str">
        <f>"300381"</f>
        <v>300381</v>
      </c>
      <c r="H4402" t="s">
        <v>3118</v>
      </c>
      <c r="I4402">
        <v>280153.47360000003</v>
      </c>
    </row>
    <row r="4403" spans="1:9" x14ac:dyDescent="0.25">
      <c r="A4403" t="s">
        <v>9616</v>
      </c>
      <c r="C4403" t="s">
        <v>9617</v>
      </c>
      <c r="D4403" t="str">
        <f>"0330"</f>
        <v>0330</v>
      </c>
      <c r="E4403" t="s">
        <v>11471</v>
      </c>
      <c r="F4403" s="1">
        <v>45582</v>
      </c>
      <c r="G4403" t="str">
        <f>"300043"</f>
        <v>300043</v>
      </c>
      <c r="H4403" t="s">
        <v>2876</v>
      </c>
      <c r="I4403">
        <v>3597</v>
      </c>
    </row>
    <row r="4404" spans="1:9" x14ac:dyDescent="0.25">
      <c r="A4404" t="s">
        <v>9616</v>
      </c>
      <c r="C4404" t="s">
        <v>9617</v>
      </c>
      <c r="D4404" t="str">
        <f>"81239"</f>
        <v>81239</v>
      </c>
      <c r="E4404" t="s">
        <v>11866</v>
      </c>
      <c r="F4404" s="1">
        <v>45582</v>
      </c>
      <c r="G4404" t="str">
        <f>"300043"</f>
        <v>300043</v>
      </c>
      <c r="H4404" t="s">
        <v>2876</v>
      </c>
      <c r="I4404">
        <v>1149</v>
      </c>
    </row>
    <row r="4405" spans="1:9" x14ac:dyDescent="0.25">
      <c r="A4405" t="s">
        <v>9616</v>
      </c>
      <c r="C4405" t="s">
        <v>9617</v>
      </c>
      <c r="D4405" t="str">
        <f>"81288"</f>
        <v>81288</v>
      </c>
      <c r="E4405" t="s">
        <v>11868</v>
      </c>
      <c r="F4405" s="1">
        <v>45582</v>
      </c>
      <c r="G4405" t="str">
        <f>"300043"</f>
        <v>300043</v>
      </c>
      <c r="H4405" t="s">
        <v>2876</v>
      </c>
      <c r="I4405">
        <v>1364</v>
      </c>
    </row>
    <row r="4406" spans="1:9" x14ac:dyDescent="0.25">
      <c r="A4406" t="s">
        <v>9616</v>
      </c>
      <c r="C4406" t="s">
        <v>9617</v>
      </c>
      <c r="D4406" t="s">
        <v>11869</v>
      </c>
      <c r="E4406" t="s">
        <v>10198</v>
      </c>
      <c r="F4406" s="1">
        <v>45582</v>
      </c>
      <c r="G4406" t="str">
        <f>"300133"</f>
        <v>300133</v>
      </c>
      <c r="H4406" t="s">
        <v>2955</v>
      </c>
      <c r="I4406">
        <v>13200</v>
      </c>
    </row>
    <row r="4407" spans="1:9" x14ac:dyDescent="0.25">
      <c r="A4407" t="s">
        <v>9616</v>
      </c>
      <c r="C4407" t="s">
        <v>9617</v>
      </c>
      <c r="D4407" t="str">
        <f>"8000445388"</f>
        <v>8000445388</v>
      </c>
      <c r="E4407" t="s">
        <v>9438</v>
      </c>
      <c r="F4407" s="1">
        <v>45582</v>
      </c>
      <c r="G4407" t="str">
        <f>"300220"</f>
        <v>300220</v>
      </c>
      <c r="H4407" t="s">
        <v>2170</v>
      </c>
      <c r="I4407">
        <v>786272.25600000005</v>
      </c>
    </row>
    <row r="4408" spans="1:9" x14ac:dyDescent="0.25">
      <c r="A4408" t="s">
        <v>9616</v>
      </c>
      <c r="C4408" t="s">
        <v>9617</v>
      </c>
      <c r="D4408" t="str">
        <f>"81387"</f>
        <v>81387</v>
      </c>
      <c r="E4408" t="s">
        <v>11870</v>
      </c>
      <c r="F4408" s="1">
        <v>45583</v>
      </c>
      <c r="G4408" t="str">
        <f>"300043"</f>
        <v>300043</v>
      </c>
      <c r="H4408" t="s">
        <v>2876</v>
      </c>
      <c r="I4408">
        <v>1346</v>
      </c>
    </row>
    <row r="4409" spans="1:9" x14ac:dyDescent="0.25">
      <c r="A4409" t="s">
        <v>9616</v>
      </c>
      <c r="C4409" t="s">
        <v>9617</v>
      </c>
      <c r="D4409" t="str">
        <f>"81491"</f>
        <v>81491</v>
      </c>
      <c r="E4409" t="s">
        <v>11871</v>
      </c>
      <c r="F4409" s="1">
        <v>45583</v>
      </c>
      <c r="G4409" t="str">
        <f>"300043"</f>
        <v>300043</v>
      </c>
      <c r="H4409" t="s">
        <v>2876</v>
      </c>
      <c r="I4409">
        <v>1149</v>
      </c>
    </row>
    <row r="4410" spans="1:9" x14ac:dyDescent="0.25">
      <c r="A4410" t="s">
        <v>9616</v>
      </c>
      <c r="C4410" t="s">
        <v>9617</v>
      </c>
      <c r="D4410" t="s">
        <v>11872</v>
      </c>
      <c r="E4410" t="s">
        <v>11873</v>
      </c>
      <c r="F4410" s="1">
        <v>45583</v>
      </c>
      <c r="G4410" t="str">
        <f>"300133"</f>
        <v>300133</v>
      </c>
      <c r="H4410" t="s">
        <v>2955</v>
      </c>
      <c r="I4410">
        <v>46944</v>
      </c>
    </row>
    <row r="4411" spans="1:9" x14ac:dyDescent="0.25">
      <c r="A4411" t="s">
        <v>9616</v>
      </c>
      <c r="C4411" t="s">
        <v>9617</v>
      </c>
      <c r="D4411" t="str">
        <f>"80189734"</f>
        <v>80189734</v>
      </c>
      <c r="E4411" t="s">
        <v>9189</v>
      </c>
      <c r="F4411" s="1">
        <v>45583</v>
      </c>
      <c r="G4411" t="str">
        <f>"300381"</f>
        <v>300381</v>
      </c>
      <c r="H4411" t="s">
        <v>3118</v>
      </c>
      <c r="I4411">
        <v>245453.89439999999</v>
      </c>
    </row>
    <row r="4412" spans="1:9" x14ac:dyDescent="0.25">
      <c r="A4412" t="s">
        <v>9616</v>
      </c>
      <c r="C4412" t="s">
        <v>9617</v>
      </c>
      <c r="D4412" t="s">
        <v>11874</v>
      </c>
      <c r="E4412" t="s">
        <v>11870</v>
      </c>
      <c r="F4412" s="1">
        <v>45584</v>
      </c>
      <c r="G4412" t="str">
        <f>"300321"</f>
        <v>300321</v>
      </c>
      <c r="H4412" t="s">
        <v>2706</v>
      </c>
      <c r="I4412">
        <v>31500</v>
      </c>
    </row>
    <row r="4413" spans="1:9" x14ac:dyDescent="0.25">
      <c r="A4413" t="s">
        <v>9616</v>
      </c>
      <c r="C4413" t="s">
        <v>9617</v>
      </c>
      <c r="D4413" t="str">
        <f>"202408800"</f>
        <v>202408800</v>
      </c>
      <c r="E4413" t="s">
        <v>11871</v>
      </c>
      <c r="F4413" s="1">
        <v>45586</v>
      </c>
      <c r="G4413" t="str">
        <f>"300191"</f>
        <v>300191</v>
      </c>
      <c r="H4413" t="s">
        <v>3008</v>
      </c>
      <c r="I4413">
        <v>3284.87</v>
      </c>
    </row>
    <row r="4414" spans="1:9" x14ac:dyDescent="0.25">
      <c r="A4414" t="s">
        <v>9616</v>
      </c>
      <c r="C4414" t="s">
        <v>9617</v>
      </c>
      <c r="D4414" t="str">
        <f>"202408801"</f>
        <v>202408801</v>
      </c>
      <c r="E4414" t="s">
        <v>11866</v>
      </c>
      <c r="F4414" s="1">
        <v>45586</v>
      </c>
      <c r="G4414" t="str">
        <f>"300191"</f>
        <v>300191</v>
      </c>
      <c r="H4414" t="s">
        <v>3008</v>
      </c>
      <c r="I4414">
        <v>3284.87</v>
      </c>
    </row>
    <row r="4415" spans="1:9" x14ac:dyDescent="0.25">
      <c r="A4415" t="s">
        <v>9616</v>
      </c>
      <c r="C4415" t="s">
        <v>9617</v>
      </c>
      <c r="D4415" t="str">
        <f>"202408803"</f>
        <v>202408803</v>
      </c>
      <c r="E4415" t="s">
        <v>11870</v>
      </c>
      <c r="F4415" s="1">
        <v>45586</v>
      </c>
      <c r="G4415" t="str">
        <f>"300191"</f>
        <v>300191</v>
      </c>
      <c r="H4415" t="s">
        <v>3008</v>
      </c>
      <c r="I4415">
        <v>3213.77</v>
      </c>
    </row>
    <row r="4416" spans="1:9" x14ac:dyDescent="0.25">
      <c r="A4416" t="s">
        <v>9616</v>
      </c>
      <c r="C4416" t="s">
        <v>9617</v>
      </c>
      <c r="D4416" t="s">
        <v>11875</v>
      </c>
      <c r="E4416" t="s">
        <v>11871</v>
      </c>
      <c r="F4416" s="1">
        <v>45586</v>
      </c>
      <c r="G4416" t="str">
        <f>"300321"</f>
        <v>300321</v>
      </c>
      <c r="H4416" t="s">
        <v>2706</v>
      </c>
      <c r="I4416">
        <v>42000</v>
      </c>
    </row>
    <row r="4417" spans="1:9" x14ac:dyDescent="0.25">
      <c r="A4417" t="s">
        <v>9616</v>
      </c>
      <c r="C4417" t="s">
        <v>9617</v>
      </c>
      <c r="D4417" t="str">
        <f>"80189862"</f>
        <v>80189862</v>
      </c>
      <c r="E4417" t="s">
        <v>9189</v>
      </c>
      <c r="F4417" s="1">
        <v>45586</v>
      </c>
      <c r="G4417" t="str">
        <f>"300381"</f>
        <v>300381</v>
      </c>
      <c r="H4417" t="s">
        <v>3118</v>
      </c>
      <c r="I4417">
        <v>251997.61730000001</v>
      </c>
    </row>
    <row r="4418" spans="1:9" x14ac:dyDescent="0.25">
      <c r="A4418" t="s">
        <v>9616</v>
      </c>
      <c r="C4418" t="s">
        <v>9617</v>
      </c>
      <c r="D4418" t="str">
        <f>"1900000228"</f>
        <v>1900000228</v>
      </c>
      <c r="E4418" t="s">
        <v>11876</v>
      </c>
      <c r="F4418" s="1">
        <v>45586</v>
      </c>
      <c r="G4418" t="str">
        <f>"300381"</f>
        <v>300381</v>
      </c>
      <c r="H4418" t="s">
        <v>3118</v>
      </c>
      <c r="I4418">
        <v>126681.94</v>
      </c>
    </row>
    <row r="4419" spans="1:9" x14ac:dyDescent="0.25">
      <c r="A4419" t="s">
        <v>9616</v>
      </c>
      <c r="C4419" t="s">
        <v>9617</v>
      </c>
      <c r="D4419" t="str">
        <f>"80189369"</f>
        <v>80189369</v>
      </c>
      <c r="E4419" t="s">
        <v>9335</v>
      </c>
      <c r="F4419" s="1">
        <v>45587</v>
      </c>
      <c r="G4419" t="str">
        <f>"300381"</f>
        <v>300381</v>
      </c>
      <c r="H4419" t="s">
        <v>3118</v>
      </c>
      <c r="I4419">
        <v>333934.96950000001</v>
      </c>
    </row>
    <row r="4420" spans="1:9" x14ac:dyDescent="0.25">
      <c r="A4420" t="s">
        <v>9616</v>
      </c>
      <c r="C4420" t="s">
        <v>9617</v>
      </c>
      <c r="D4420" t="str">
        <f>"80189785"</f>
        <v>80189785</v>
      </c>
      <c r="E4420" t="s">
        <v>9418</v>
      </c>
      <c r="F4420" s="1">
        <v>45587</v>
      </c>
      <c r="G4420" t="str">
        <f>"300381"</f>
        <v>300381</v>
      </c>
      <c r="H4420" t="s">
        <v>3118</v>
      </c>
      <c r="I4420">
        <v>358978.00949999999</v>
      </c>
    </row>
    <row r="4421" spans="1:9" x14ac:dyDescent="0.25">
      <c r="A4421" t="s">
        <v>9616</v>
      </c>
      <c r="C4421" t="s">
        <v>9617</v>
      </c>
      <c r="D4421" t="str">
        <f>"80189931"</f>
        <v>80189931</v>
      </c>
      <c r="E4421" t="s">
        <v>9189</v>
      </c>
      <c r="F4421" s="1">
        <v>45587</v>
      </c>
      <c r="G4421" t="str">
        <f>"300381"</f>
        <v>300381</v>
      </c>
      <c r="H4421" t="s">
        <v>3118</v>
      </c>
      <c r="I4421">
        <v>287907.10519999999</v>
      </c>
    </row>
    <row r="4422" spans="1:9" x14ac:dyDescent="0.25">
      <c r="A4422" t="s">
        <v>9616</v>
      </c>
      <c r="C4422" t="s">
        <v>9617</v>
      </c>
      <c r="D4422" t="str">
        <f>"9550004358"</f>
        <v>9550004358</v>
      </c>
      <c r="E4422" t="s">
        <v>9191</v>
      </c>
      <c r="F4422" s="1">
        <v>45587</v>
      </c>
      <c r="G4422" t="str">
        <f>"300397"</f>
        <v>300397</v>
      </c>
      <c r="H4422" t="s">
        <v>3133</v>
      </c>
      <c r="I4422">
        <v>144639.495</v>
      </c>
    </row>
    <row r="4423" spans="1:9" x14ac:dyDescent="0.25">
      <c r="A4423" t="s">
        <v>9616</v>
      </c>
      <c r="C4423" t="s">
        <v>9617</v>
      </c>
      <c r="D4423" t="str">
        <f>"144436"</f>
        <v>144436</v>
      </c>
      <c r="E4423" t="s">
        <v>11877</v>
      </c>
      <c r="F4423" s="1">
        <v>45588</v>
      </c>
      <c r="G4423" t="str">
        <f>"300043"</f>
        <v>300043</v>
      </c>
      <c r="H4423" t="s">
        <v>2876</v>
      </c>
      <c r="I4423">
        <v>596</v>
      </c>
    </row>
    <row r="4424" spans="1:9" x14ac:dyDescent="0.25">
      <c r="A4424" t="s">
        <v>9616</v>
      </c>
      <c r="C4424" t="s">
        <v>9617</v>
      </c>
      <c r="D4424" t="str">
        <f>"442224"</f>
        <v>442224</v>
      </c>
      <c r="E4424" t="s">
        <v>11868</v>
      </c>
      <c r="F4424" s="1">
        <v>45588</v>
      </c>
      <c r="G4424" t="str">
        <f>"300101"</f>
        <v>300101</v>
      </c>
      <c r="H4424" t="s">
        <v>2926</v>
      </c>
      <c r="I4424">
        <v>3336.87</v>
      </c>
    </row>
    <row r="4425" spans="1:9" x14ac:dyDescent="0.25">
      <c r="A4425" t="s">
        <v>9616</v>
      </c>
      <c r="C4425" t="s">
        <v>9617</v>
      </c>
      <c r="D4425" t="str">
        <f>"83305"</f>
        <v>83305</v>
      </c>
      <c r="E4425" t="s">
        <v>11878</v>
      </c>
      <c r="F4425" s="1">
        <v>45589</v>
      </c>
      <c r="G4425" t="str">
        <f>"300043"</f>
        <v>300043</v>
      </c>
      <c r="H4425" t="s">
        <v>2876</v>
      </c>
      <c r="I4425">
        <v>1320</v>
      </c>
    </row>
    <row r="4426" spans="1:9" x14ac:dyDescent="0.25">
      <c r="A4426" t="s">
        <v>9616</v>
      </c>
      <c r="C4426" t="s">
        <v>9617</v>
      </c>
      <c r="D4426" t="str">
        <f>"83370"</f>
        <v>83370</v>
      </c>
      <c r="E4426" t="s">
        <v>11879</v>
      </c>
      <c r="F4426" s="1">
        <v>45589</v>
      </c>
      <c r="G4426" t="str">
        <f>"300043"</f>
        <v>300043</v>
      </c>
      <c r="H4426" t="s">
        <v>2876</v>
      </c>
      <c r="I4426">
        <v>1171</v>
      </c>
    </row>
    <row r="4427" spans="1:9" x14ac:dyDescent="0.25">
      <c r="A4427" t="s">
        <v>9616</v>
      </c>
      <c r="C4427" t="s">
        <v>9617</v>
      </c>
      <c r="D4427" t="str">
        <f>"83459"</f>
        <v>83459</v>
      </c>
      <c r="E4427" t="s">
        <v>11880</v>
      </c>
      <c r="F4427" s="1">
        <v>45589</v>
      </c>
      <c r="G4427" t="str">
        <f>"300043"</f>
        <v>300043</v>
      </c>
      <c r="H4427" t="s">
        <v>2876</v>
      </c>
      <c r="I4427">
        <v>1401</v>
      </c>
    </row>
    <row r="4428" spans="1:9" x14ac:dyDescent="0.25">
      <c r="A4428" t="s">
        <v>9616</v>
      </c>
      <c r="C4428" t="s">
        <v>9617</v>
      </c>
      <c r="D4428" t="str">
        <f>"443824"</f>
        <v>443824</v>
      </c>
      <c r="E4428" t="s">
        <v>11863</v>
      </c>
      <c r="F4428" s="1">
        <v>45589</v>
      </c>
      <c r="G4428" t="str">
        <f>"300101"</f>
        <v>300101</v>
      </c>
      <c r="H4428" t="s">
        <v>2926</v>
      </c>
      <c r="I4428">
        <v>338.5</v>
      </c>
    </row>
    <row r="4429" spans="1:9" x14ac:dyDescent="0.25">
      <c r="A4429" t="s">
        <v>9616</v>
      </c>
      <c r="C4429" t="s">
        <v>9617</v>
      </c>
      <c r="D4429" t="str">
        <f>"202408929"</f>
        <v>202408929</v>
      </c>
      <c r="E4429" t="s">
        <v>11877</v>
      </c>
      <c r="F4429" s="1">
        <v>45589</v>
      </c>
      <c r="G4429" t="str">
        <f>"300191"</f>
        <v>300191</v>
      </c>
      <c r="H4429" t="s">
        <v>3008</v>
      </c>
      <c r="I4429">
        <v>8247.9500000000007</v>
      </c>
    </row>
    <row r="4430" spans="1:9" x14ac:dyDescent="0.25">
      <c r="A4430" t="s">
        <v>9616</v>
      </c>
      <c r="C4430" t="s">
        <v>9617</v>
      </c>
      <c r="D4430" t="s">
        <v>11881</v>
      </c>
      <c r="E4430" t="s">
        <v>9425</v>
      </c>
      <c r="F4430" s="1">
        <v>45589</v>
      </c>
      <c r="G4430" t="str">
        <f>"300356"</f>
        <v>300356</v>
      </c>
      <c r="H4430" t="s">
        <v>3094</v>
      </c>
      <c r="I4430">
        <v>207537.88</v>
      </c>
    </row>
    <row r="4431" spans="1:9" x14ac:dyDescent="0.25">
      <c r="A4431" t="s">
        <v>9616</v>
      </c>
      <c r="C4431" t="s">
        <v>9617</v>
      </c>
      <c r="D4431" t="str">
        <f>"80190061"</f>
        <v>80190061</v>
      </c>
      <c r="E4431" t="s">
        <v>1313</v>
      </c>
      <c r="F4431" s="1">
        <v>45589</v>
      </c>
      <c r="G4431" t="str">
        <f>"300381"</f>
        <v>300381</v>
      </c>
      <c r="H4431" t="s">
        <v>3118</v>
      </c>
      <c r="I4431">
        <v>340613.11349999998</v>
      </c>
    </row>
    <row r="4432" spans="1:9" x14ac:dyDescent="0.25">
      <c r="A4432" t="s">
        <v>9616</v>
      </c>
      <c r="C4432" t="s">
        <v>9617</v>
      </c>
      <c r="D4432" t="str">
        <f>"80190089"</f>
        <v>80190089</v>
      </c>
      <c r="E4432" t="s">
        <v>1313</v>
      </c>
      <c r="F4432" s="1">
        <v>45589</v>
      </c>
      <c r="G4432" t="str">
        <f>"300381"</f>
        <v>300381</v>
      </c>
      <c r="H4432" t="s">
        <v>3118</v>
      </c>
      <c r="I4432">
        <v>340613.11349999998</v>
      </c>
    </row>
    <row r="4433" spans="1:9" x14ac:dyDescent="0.25">
      <c r="A4433" t="s">
        <v>9616</v>
      </c>
      <c r="C4433" t="s">
        <v>9617</v>
      </c>
      <c r="D4433" t="str">
        <f>"0574"</f>
        <v>0574</v>
      </c>
      <c r="E4433" t="s">
        <v>11471</v>
      </c>
      <c r="F4433" s="1">
        <v>45590</v>
      </c>
      <c r="G4433" t="str">
        <f>"300043"</f>
        <v>300043</v>
      </c>
      <c r="H4433" t="s">
        <v>2876</v>
      </c>
      <c r="I4433">
        <v>3798</v>
      </c>
    </row>
    <row r="4434" spans="1:9" x14ac:dyDescent="0.25">
      <c r="A4434" t="s">
        <v>9616</v>
      </c>
      <c r="C4434" t="s">
        <v>9617</v>
      </c>
      <c r="D4434" t="str">
        <f>"202408942"</f>
        <v>202408942</v>
      </c>
      <c r="E4434" t="s">
        <v>11878</v>
      </c>
      <c r="F4434" s="1">
        <v>45590</v>
      </c>
      <c r="G4434" t="str">
        <f>"300191"</f>
        <v>300191</v>
      </c>
      <c r="H4434" t="s">
        <v>3008</v>
      </c>
      <c r="I4434">
        <v>3213.77</v>
      </c>
    </row>
    <row r="4435" spans="1:9" x14ac:dyDescent="0.25">
      <c r="A4435" t="s">
        <v>9616</v>
      </c>
      <c r="C4435" t="s">
        <v>9617</v>
      </c>
      <c r="D4435" t="s">
        <v>11882</v>
      </c>
      <c r="E4435" t="s">
        <v>11878</v>
      </c>
      <c r="F4435" s="1">
        <v>45590</v>
      </c>
      <c r="G4435" t="str">
        <f>"300321"</f>
        <v>300321</v>
      </c>
      <c r="H4435" t="s">
        <v>2706</v>
      </c>
      <c r="I4435">
        <v>42000</v>
      </c>
    </row>
    <row r="4436" spans="1:9" x14ac:dyDescent="0.25">
      <c r="A4436" t="s">
        <v>9616</v>
      </c>
      <c r="C4436" t="s">
        <v>9617</v>
      </c>
      <c r="D4436" t="s">
        <v>11883</v>
      </c>
      <c r="E4436" t="s">
        <v>11880</v>
      </c>
      <c r="F4436" s="1">
        <v>45590</v>
      </c>
      <c r="G4436" t="str">
        <f>"300321"</f>
        <v>300321</v>
      </c>
      <c r="H4436" t="s">
        <v>2706</v>
      </c>
      <c r="I4436">
        <v>42000</v>
      </c>
    </row>
    <row r="4437" spans="1:9" x14ac:dyDescent="0.25">
      <c r="A4437" t="s">
        <v>9616</v>
      </c>
      <c r="C4437" t="s">
        <v>9617</v>
      </c>
      <c r="D4437" t="s">
        <v>11884</v>
      </c>
      <c r="E4437" t="s">
        <v>11879</v>
      </c>
      <c r="F4437" s="1">
        <v>45591</v>
      </c>
      <c r="G4437" t="str">
        <f>"300321"</f>
        <v>300321</v>
      </c>
      <c r="H4437" t="s">
        <v>2706</v>
      </c>
      <c r="I4437">
        <v>42000</v>
      </c>
    </row>
    <row r="4438" spans="1:9" x14ac:dyDescent="0.25">
      <c r="A4438" t="s">
        <v>9616</v>
      </c>
      <c r="C4438" t="s">
        <v>9617</v>
      </c>
      <c r="D4438" t="str">
        <f>"84521"</f>
        <v>84521</v>
      </c>
      <c r="E4438" t="s">
        <v>11885</v>
      </c>
      <c r="F4438" s="1">
        <v>45593</v>
      </c>
      <c r="G4438" t="str">
        <f>"300043"</f>
        <v>300043</v>
      </c>
      <c r="H4438" t="s">
        <v>2876</v>
      </c>
      <c r="I4438">
        <v>1343</v>
      </c>
    </row>
    <row r="4439" spans="1:9" x14ac:dyDescent="0.25">
      <c r="A4439" t="s">
        <v>9616</v>
      </c>
      <c r="C4439" t="s">
        <v>9617</v>
      </c>
      <c r="D4439" t="str">
        <f>"202408995"</f>
        <v>202408995</v>
      </c>
      <c r="E4439" t="s">
        <v>11879</v>
      </c>
      <c r="F4439" s="1">
        <v>45593</v>
      </c>
      <c r="G4439" t="str">
        <f>"300191"</f>
        <v>300191</v>
      </c>
      <c r="H4439" t="s">
        <v>3008</v>
      </c>
      <c r="I4439">
        <v>3261.17</v>
      </c>
    </row>
    <row r="4440" spans="1:9" x14ac:dyDescent="0.25">
      <c r="A4440" t="s">
        <v>9616</v>
      </c>
      <c r="C4440" t="s">
        <v>9617</v>
      </c>
      <c r="D4440" t="str">
        <f>"202409000"</f>
        <v>202409000</v>
      </c>
      <c r="E4440" t="s">
        <v>11880</v>
      </c>
      <c r="F4440" s="1">
        <v>45593</v>
      </c>
      <c r="G4440" t="str">
        <f>"300191"</f>
        <v>300191</v>
      </c>
      <c r="H4440" t="s">
        <v>3008</v>
      </c>
      <c r="I4440">
        <v>3284.87</v>
      </c>
    </row>
    <row r="4441" spans="1:9" x14ac:dyDescent="0.25">
      <c r="A4441" t="s">
        <v>9616</v>
      </c>
      <c r="C4441" t="s">
        <v>9617</v>
      </c>
      <c r="D4441" t="str">
        <f>"80190235"</f>
        <v>80190235</v>
      </c>
      <c r="E4441" t="s">
        <v>9189</v>
      </c>
      <c r="F4441" s="1">
        <v>45593</v>
      </c>
      <c r="G4441" t="str">
        <f>"300381"</f>
        <v>300381</v>
      </c>
      <c r="H4441" t="s">
        <v>3118</v>
      </c>
      <c r="I4441">
        <v>358978.00949999999</v>
      </c>
    </row>
    <row r="4442" spans="1:9" x14ac:dyDescent="0.25">
      <c r="A4442" t="s">
        <v>9616</v>
      </c>
      <c r="C4442" t="s">
        <v>9617</v>
      </c>
      <c r="D4442" t="s">
        <v>11886</v>
      </c>
      <c r="E4442" t="s">
        <v>11887</v>
      </c>
      <c r="F4442" s="1">
        <v>45593</v>
      </c>
      <c r="G4442" t="str">
        <f>"300398"</f>
        <v>300398</v>
      </c>
      <c r="H4442" t="s">
        <v>3134</v>
      </c>
      <c r="I4442">
        <v>29926.26</v>
      </c>
    </row>
    <row r="4443" spans="1:9" x14ac:dyDescent="0.25">
      <c r="A4443" t="s">
        <v>9616</v>
      </c>
      <c r="C4443" t="s">
        <v>9617</v>
      </c>
      <c r="D4443" t="s">
        <v>11888</v>
      </c>
      <c r="E4443" t="s">
        <v>11889</v>
      </c>
      <c r="F4443" s="1">
        <v>45593</v>
      </c>
      <c r="G4443" t="str">
        <f>"300398"</f>
        <v>300398</v>
      </c>
      <c r="H4443" t="s">
        <v>3134</v>
      </c>
      <c r="I4443">
        <v>26944.560000000001</v>
      </c>
    </row>
    <row r="4444" spans="1:9" x14ac:dyDescent="0.25">
      <c r="A4444" t="s">
        <v>9616</v>
      </c>
      <c r="C4444" t="s">
        <v>9617</v>
      </c>
      <c r="D4444" t="str">
        <f>"84304"</f>
        <v>84304</v>
      </c>
      <c r="E4444" t="s">
        <v>11890</v>
      </c>
      <c r="F4444" s="1">
        <v>45594</v>
      </c>
      <c r="G4444" t="str">
        <f>"300043"</f>
        <v>300043</v>
      </c>
      <c r="H4444" t="s">
        <v>2876</v>
      </c>
      <c r="I4444">
        <v>1006</v>
      </c>
    </row>
    <row r="4445" spans="1:9" x14ac:dyDescent="0.25">
      <c r="A4445" t="s">
        <v>9616</v>
      </c>
      <c r="C4445" t="s">
        <v>9617</v>
      </c>
      <c r="D4445" t="str">
        <f>"84524"</f>
        <v>84524</v>
      </c>
      <c r="E4445" t="s">
        <v>11891</v>
      </c>
      <c r="F4445" s="1">
        <v>45594</v>
      </c>
      <c r="G4445" t="str">
        <f>"300043"</f>
        <v>300043</v>
      </c>
      <c r="H4445" t="s">
        <v>2876</v>
      </c>
      <c r="I4445">
        <v>1343</v>
      </c>
    </row>
    <row r="4446" spans="1:9" x14ac:dyDescent="0.25">
      <c r="A4446" t="s">
        <v>9616</v>
      </c>
      <c r="C4446" t="s">
        <v>9617</v>
      </c>
      <c r="D4446" t="s">
        <v>11892</v>
      </c>
      <c r="E4446" t="s">
        <v>11891</v>
      </c>
      <c r="F4446" s="1">
        <v>45594</v>
      </c>
      <c r="G4446" t="str">
        <f>"300321"</f>
        <v>300321</v>
      </c>
      <c r="H4446" t="s">
        <v>2706</v>
      </c>
      <c r="I4446">
        <v>40250</v>
      </c>
    </row>
    <row r="4447" spans="1:9" x14ac:dyDescent="0.25">
      <c r="A4447" t="s">
        <v>9616</v>
      </c>
      <c r="C4447" t="s">
        <v>9617</v>
      </c>
      <c r="D4447" t="s">
        <v>11893</v>
      </c>
      <c r="E4447" t="s">
        <v>11894</v>
      </c>
      <c r="F4447" s="1">
        <v>45594</v>
      </c>
      <c r="G4447" t="str">
        <f>"300344"</f>
        <v>300344</v>
      </c>
      <c r="H4447" t="s">
        <v>3084</v>
      </c>
      <c r="I4447">
        <v>510814.73</v>
      </c>
    </row>
    <row r="4448" spans="1:9" x14ac:dyDescent="0.25">
      <c r="A4448" t="s">
        <v>9616</v>
      </c>
      <c r="C4448" t="s">
        <v>9617</v>
      </c>
      <c r="D4448" t="str">
        <f>"5840"</f>
        <v>5840</v>
      </c>
      <c r="E4448" t="s">
        <v>11887</v>
      </c>
      <c r="F4448" s="1">
        <v>45595</v>
      </c>
      <c r="G4448" t="str">
        <f>"300043"</f>
        <v>300043</v>
      </c>
      <c r="H4448" t="s">
        <v>2876</v>
      </c>
      <c r="I4448">
        <v>1262</v>
      </c>
    </row>
    <row r="4449" spans="1:9" x14ac:dyDescent="0.25">
      <c r="A4449" t="s">
        <v>9616</v>
      </c>
      <c r="C4449" t="s">
        <v>9617</v>
      </c>
      <c r="D4449" t="str">
        <f>"85323"</f>
        <v>85323</v>
      </c>
      <c r="E4449" t="s">
        <v>11895</v>
      </c>
      <c r="F4449" s="1">
        <v>45595</v>
      </c>
      <c r="G4449" t="str">
        <f>"300043"</f>
        <v>300043</v>
      </c>
      <c r="H4449" t="s">
        <v>2876</v>
      </c>
      <c r="I4449">
        <v>1400</v>
      </c>
    </row>
    <row r="4450" spans="1:9" x14ac:dyDescent="0.25">
      <c r="A4450" t="s">
        <v>9616</v>
      </c>
      <c r="C4450" t="s">
        <v>9617</v>
      </c>
      <c r="D4450" t="s">
        <v>11896</v>
      </c>
      <c r="E4450" t="s">
        <v>11504</v>
      </c>
      <c r="F4450" s="1">
        <v>45595</v>
      </c>
      <c r="G4450" t="str">
        <f>"300064"</f>
        <v>300064</v>
      </c>
      <c r="H4450" t="s">
        <v>2896</v>
      </c>
      <c r="I4450">
        <v>41430</v>
      </c>
    </row>
    <row r="4451" spans="1:9" x14ac:dyDescent="0.25">
      <c r="A4451" t="s">
        <v>9616</v>
      </c>
      <c r="C4451" t="s">
        <v>9617</v>
      </c>
      <c r="D4451" t="str">
        <f>"451524"</f>
        <v>451524</v>
      </c>
      <c r="E4451" t="s">
        <v>11890</v>
      </c>
      <c r="F4451" s="1">
        <v>45595</v>
      </c>
      <c r="G4451" t="str">
        <f>"300101"</f>
        <v>300101</v>
      </c>
      <c r="H4451" t="s">
        <v>2926</v>
      </c>
      <c r="I4451">
        <v>3887.62</v>
      </c>
    </row>
    <row r="4452" spans="1:9" x14ac:dyDescent="0.25">
      <c r="A4452" t="s">
        <v>9616</v>
      </c>
      <c r="C4452" t="s">
        <v>9617</v>
      </c>
      <c r="D4452" t="str">
        <f>"202409096"</f>
        <v>202409096</v>
      </c>
      <c r="E4452" t="s">
        <v>11891</v>
      </c>
      <c r="F4452" s="1">
        <v>45595</v>
      </c>
      <c r="G4452" t="str">
        <f>"300191"</f>
        <v>300191</v>
      </c>
      <c r="H4452" t="s">
        <v>3008</v>
      </c>
      <c r="I4452">
        <v>3406.72</v>
      </c>
    </row>
    <row r="4453" spans="1:9" x14ac:dyDescent="0.25">
      <c r="A4453" t="s">
        <v>9616</v>
      </c>
      <c r="C4453" t="s">
        <v>9617</v>
      </c>
      <c r="D4453" t="str">
        <f>"202409098"</f>
        <v>202409098</v>
      </c>
      <c r="E4453" t="s">
        <v>11885</v>
      </c>
      <c r="F4453" s="1">
        <v>45595</v>
      </c>
      <c r="G4453" t="str">
        <f>"300191"</f>
        <v>300191</v>
      </c>
      <c r="H4453" t="s">
        <v>3008</v>
      </c>
      <c r="I4453">
        <v>3623.37</v>
      </c>
    </row>
    <row r="4454" spans="1:9" x14ac:dyDescent="0.25">
      <c r="A4454" t="s">
        <v>9616</v>
      </c>
      <c r="C4454" t="s">
        <v>9617</v>
      </c>
      <c r="D4454" t="s">
        <v>11897</v>
      </c>
      <c r="E4454" t="s">
        <v>11885</v>
      </c>
      <c r="F4454" s="1">
        <v>45595</v>
      </c>
      <c r="G4454" t="str">
        <f>"300321"</f>
        <v>300321</v>
      </c>
      <c r="H4454" t="s">
        <v>2706</v>
      </c>
      <c r="I4454">
        <v>40250</v>
      </c>
    </row>
    <row r="4455" spans="1:9" x14ac:dyDescent="0.25">
      <c r="A4455" t="s">
        <v>9616</v>
      </c>
      <c r="C4455" t="s">
        <v>9617</v>
      </c>
      <c r="D4455" t="s">
        <v>11898</v>
      </c>
      <c r="E4455" t="s">
        <v>11895</v>
      </c>
      <c r="F4455" s="1">
        <v>45595</v>
      </c>
      <c r="G4455" t="str">
        <f>"300321"</f>
        <v>300321</v>
      </c>
      <c r="H4455" t="s">
        <v>2706</v>
      </c>
      <c r="I4455">
        <v>42000</v>
      </c>
    </row>
    <row r="4456" spans="1:9" x14ac:dyDescent="0.25">
      <c r="A4456" t="s">
        <v>9616</v>
      </c>
      <c r="C4456" t="s">
        <v>9617</v>
      </c>
      <c r="D4456" t="str">
        <f>"80190409"</f>
        <v>80190409</v>
      </c>
      <c r="E4456" t="s">
        <v>9590</v>
      </c>
      <c r="F4456" s="1">
        <v>45595</v>
      </c>
      <c r="G4456" t="str">
        <f>"300381"</f>
        <v>300381</v>
      </c>
      <c r="H4456" t="s">
        <v>3118</v>
      </c>
      <c r="I4456">
        <v>287907.10519999999</v>
      </c>
    </row>
    <row r="4457" spans="1:9" x14ac:dyDescent="0.25">
      <c r="A4457" t="s">
        <v>9616</v>
      </c>
      <c r="C4457" t="s">
        <v>9617</v>
      </c>
      <c r="D4457" t="str">
        <f>"5868"</f>
        <v>5868</v>
      </c>
      <c r="E4457" t="s">
        <v>11889</v>
      </c>
      <c r="F4457" s="1">
        <v>45596</v>
      </c>
      <c r="G4457" t="str">
        <f>"300043"</f>
        <v>300043</v>
      </c>
      <c r="H4457" t="s">
        <v>2876</v>
      </c>
      <c r="I4457">
        <v>1033</v>
      </c>
    </row>
    <row r="4458" spans="1:9" x14ac:dyDescent="0.25">
      <c r="A4458" t="s">
        <v>9616</v>
      </c>
      <c r="C4458" t="s">
        <v>9617</v>
      </c>
      <c r="D4458" t="str">
        <f>"149593"</f>
        <v>149593</v>
      </c>
      <c r="E4458" t="s">
        <v>11899</v>
      </c>
      <c r="F4458" s="1">
        <v>45596</v>
      </c>
      <c r="G4458" t="str">
        <f>"300043"</f>
        <v>300043</v>
      </c>
      <c r="H4458" t="s">
        <v>2876</v>
      </c>
      <c r="I4458">
        <v>640</v>
      </c>
    </row>
    <row r="4459" spans="1:9" x14ac:dyDescent="0.25">
      <c r="A4459" t="s">
        <v>9616</v>
      </c>
      <c r="C4459" t="s">
        <v>9617</v>
      </c>
      <c r="D4459" t="s">
        <v>11900</v>
      </c>
      <c r="E4459" t="s">
        <v>11504</v>
      </c>
      <c r="F4459" s="1">
        <v>45596</v>
      </c>
      <c r="G4459" t="str">
        <f>"300064"</f>
        <v>300064</v>
      </c>
      <c r="H4459" t="s">
        <v>2896</v>
      </c>
      <c r="I4459">
        <v>12450</v>
      </c>
    </row>
    <row r="4460" spans="1:9" x14ac:dyDescent="0.25">
      <c r="A4460" t="s">
        <v>9616</v>
      </c>
      <c r="C4460" t="s">
        <v>9617</v>
      </c>
      <c r="D4460" t="str">
        <f>"202409140"</f>
        <v>202409140</v>
      </c>
      <c r="E4460" t="s">
        <v>11711</v>
      </c>
      <c r="F4460" s="1">
        <v>45596</v>
      </c>
      <c r="G4460" t="str">
        <f>"300191"</f>
        <v>300191</v>
      </c>
      <c r="H4460" t="s">
        <v>3008</v>
      </c>
      <c r="I4460">
        <v>11617</v>
      </c>
    </row>
    <row r="4461" spans="1:9" x14ac:dyDescent="0.25">
      <c r="A4461" t="s">
        <v>9616</v>
      </c>
      <c r="C4461" t="s">
        <v>9617</v>
      </c>
      <c r="D4461" t="str">
        <f>"202409165"</f>
        <v>202409165</v>
      </c>
      <c r="E4461" t="s">
        <v>11895</v>
      </c>
      <c r="F4461" s="1">
        <v>45596</v>
      </c>
      <c r="G4461" t="str">
        <f>"300191"</f>
        <v>300191</v>
      </c>
      <c r="H4461" t="s">
        <v>3008</v>
      </c>
      <c r="I4461">
        <v>3213.77</v>
      </c>
    </row>
    <row r="4462" spans="1:9" x14ac:dyDescent="0.25">
      <c r="A4462" t="s">
        <v>9616</v>
      </c>
      <c r="C4462" t="s">
        <v>9617</v>
      </c>
      <c r="D4462" t="s">
        <v>11901</v>
      </c>
      <c r="E4462" t="s">
        <v>11902</v>
      </c>
      <c r="F4462" s="1">
        <v>45596</v>
      </c>
      <c r="G4462" t="str">
        <f>"300237"</f>
        <v>300237</v>
      </c>
      <c r="H4462" t="s">
        <v>3036</v>
      </c>
      <c r="I4462">
        <v>143228.79999999999</v>
      </c>
    </row>
    <row r="4463" spans="1:9" x14ac:dyDescent="0.25">
      <c r="A4463" t="s">
        <v>9616</v>
      </c>
      <c r="C4463" t="s">
        <v>9617</v>
      </c>
      <c r="D4463" t="s">
        <v>11903</v>
      </c>
      <c r="E4463" t="s">
        <v>11904</v>
      </c>
      <c r="F4463" s="1">
        <v>45596</v>
      </c>
      <c r="G4463" t="str">
        <f>"300237"</f>
        <v>300237</v>
      </c>
      <c r="H4463" t="s">
        <v>3036</v>
      </c>
      <c r="I4463">
        <v>118623.71400000001</v>
      </c>
    </row>
    <row r="4464" spans="1:9" x14ac:dyDescent="0.25">
      <c r="A4464" t="s">
        <v>9616</v>
      </c>
      <c r="C4464" t="s">
        <v>9617</v>
      </c>
      <c r="D4464" t="str">
        <f>"80190388"</f>
        <v>80190388</v>
      </c>
      <c r="E4464" t="s">
        <v>1313</v>
      </c>
      <c r="F4464" s="1">
        <v>45596</v>
      </c>
      <c r="G4464" t="str">
        <f>"300381"</f>
        <v>300381</v>
      </c>
      <c r="H4464" t="s">
        <v>3118</v>
      </c>
      <c r="I4464">
        <v>340613.11349999998</v>
      </c>
    </row>
    <row r="4465" spans="1:9" x14ac:dyDescent="0.25">
      <c r="A4465" t="s">
        <v>9616</v>
      </c>
      <c r="C4465" t="s">
        <v>9617</v>
      </c>
      <c r="D4465" t="str">
        <f>"0954"</f>
        <v>0954</v>
      </c>
      <c r="E4465" t="s">
        <v>11471</v>
      </c>
      <c r="F4465" s="1">
        <v>45597</v>
      </c>
      <c r="G4465" t="str">
        <f>"300043"</f>
        <v>300043</v>
      </c>
      <c r="H4465" t="s">
        <v>2876</v>
      </c>
      <c r="I4465">
        <v>4297</v>
      </c>
    </row>
    <row r="4466" spans="1:9" x14ac:dyDescent="0.25">
      <c r="A4466" t="s">
        <v>9616</v>
      </c>
      <c r="C4466" t="s">
        <v>9617</v>
      </c>
      <c r="D4466" t="str">
        <f>"86038"</f>
        <v>86038</v>
      </c>
      <c r="E4466" t="s">
        <v>11905</v>
      </c>
      <c r="F4466" s="1">
        <v>45597</v>
      </c>
      <c r="G4466" t="str">
        <f>"300043"</f>
        <v>300043</v>
      </c>
      <c r="H4466" t="s">
        <v>2876</v>
      </c>
      <c r="I4466">
        <v>1173</v>
      </c>
    </row>
    <row r="4467" spans="1:9" x14ac:dyDescent="0.25">
      <c r="A4467" t="s">
        <v>9616</v>
      </c>
      <c r="C4467" t="s">
        <v>9617</v>
      </c>
      <c r="D4467" t="s">
        <v>11906</v>
      </c>
      <c r="E4467" t="s">
        <v>11905</v>
      </c>
      <c r="F4467" s="1">
        <v>45600</v>
      </c>
      <c r="G4467" t="str">
        <f>"300321"</f>
        <v>300321</v>
      </c>
      <c r="H4467" t="s">
        <v>2706</v>
      </c>
      <c r="I4467">
        <v>42000</v>
      </c>
    </row>
    <row r="4468" spans="1:9" x14ac:dyDescent="0.25">
      <c r="A4468" t="s">
        <v>9616</v>
      </c>
      <c r="C4468" t="s">
        <v>9617</v>
      </c>
      <c r="D4468" t="str">
        <f>"80190434"</f>
        <v>80190434</v>
      </c>
      <c r="E4468" t="s">
        <v>9189</v>
      </c>
      <c r="F4468" s="1">
        <v>45600</v>
      </c>
      <c r="G4468" t="str">
        <f>"300381"</f>
        <v>300381</v>
      </c>
      <c r="H4468" t="s">
        <v>3118</v>
      </c>
      <c r="I4468">
        <v>287907.10519999999</v>
      </c>
    </row>
    <row r="4469" spans="1:9" x14ac:dyDescent="0.25">
      <c r="A4469" t="s">
        <v>9616</v>
      </c>
      <c r="C4469" t="s">
        <v>9617</v>
      </c>
      <c r="D4469" t="s">
        <v>11907</v>
      </c>
      <c r="E4469" t="s">
        <v>11908</v>
      </c>
      <c r="F4469" s="1">
        <v>45600</v>
      </c>
      <c r="G4469" t="str">
        <f>"300398"</f>
        <v>300398</v>
      </c>
      <c r="H4469" t="s">
        <v>3134</v>
      </c>
      <c r="I4469">
        <v>52778.13</v>
      </c>
    </row>
    <row r="4470" spans="1:9" x14ac:dyDescent="0.25">
      <c r="A4470" t="s">
        <v>9616</v>
      </c>
      <c r="C4470" t="s">
        <v>9617</v>
      </c>
      <c r="D4470" t="str">
        <f>"86829"</f>
        <v>86829</v>
      </c>
      <c r="E4470" t="s">
        <v>11909</v>
      </c>
      <c r="F4470" s="1">
        <v>45601</v>
      </c>
      <c r="G4470" t="str">
        <f>"300043"</f>
        <v>300043</v>
      </c>
      <c r="H4470" t="s">
        <v>2876</v>
      </c>
      <c r="I4470">
        <v>1341</v>
      </c>
    </row>
    <row r="4471" spans="1:9" x14ac:dyDescent="0.25">
      <c r="A4471" t="s">
        <v>9616</v>
      </c>
      <c r="C4471" t="s">
        <v>9617</v>
      </c>
      <c r="D4471" t="str">
        <f>"202409261"</f>
        <v>202409261</v>
      </c>
      <c r="E4471" t="s">
        <v>11899</v>
      </c>
      <c r="F4471" s="1">
        <v>45601</v>
      </c>
      <c r="G4471" t="str">
        <f>"300191"</f>
        <v>300191</v>
      </c>
      <c r="H4471" t="s">
        <v>3008</v>
      </c>
      <c r="I4471">
        <v>8325.7999999999993</v>
      </c>
    </row>
    <row r="4472" spans="1:9" x14ac:dyDescent="0.25">
      <c r="A4472" t="s">
        <v>9616</v>
      </c>
      <c r="C4472" t="s">
        <v>9617</v>
      </c>
      <c r="D4472" t="str">
        <f>"202409262"</f>
        <v>202409262</v>
      </c>
      <c r="E4472" t="s">
        <v>11905</v>
      </c>
      <c r="F4472" s="1">
        <v>45601</v>
      </c>
      <c r="G4472" t="str">
        <f>"300191"</f>
        <v>300191</v>
      </c>
      <c r="H4472" t="s">
        <v>3008</v>
      </c>
      <c r="I4472">
        <v>3237.47</v>
      </c>
    </row>
    <row r="4473" spans="1:9" x14ac:dyDescent="0.25">
      <c r="A4473" t="s">
        <v>9616</v>
      </c>
      <c r="C4473" t="s">
        <v>9617</v>
      </c>
      <c r="D4473" t="str">
        <f>"80190560"</f>
        <v>80190560</v>
      </c>
      <c r="E4473" t="s">
        <v>9566</v>
      </c>
      <c r="F4473" s="1">
        <v>45601</v>
      </c>
      <c r="G4473" t="str">
        <f>"300381"</f>
        <v>300381</v>
      </c>
      <c r="H4473" t="s">
        <v>3118</v>
      </c>
      <c r="I4473">
        <v>333934.96950000001</v>
      </c>
    </row>
    <row r="4474" spans="1:9" x14ac:dyDescent="0.25">
      <c r="A4474" t="s">
        <v>9616</v>
      </c>
      <c r="C4474" t="s">
        <v>9617</v>
      </c>
      <c r="D4474" t="str">
        <f>"80190508"</f>
        <v>80190508</v>
      </c>
      <c r="E4474" t="s">
        <v>1313</v>
      </c>
      <c r="F4474" s="1">
        <v>45602</v>
      </c>
      <c r="G4474" t="str">
        <f>"300381"</f>
        <v>300381</v>
      </c>
      <c r="H4474" t="s">
        <v>3118</v>
      </c>
      <c r="I4474">
        <v>340613.11349999998</v>
      </c>
    </row>
    <row r="4475" spans="1:9" x14ac:dyDescent="0.25">
      <c r="A4475" t="s">
        <v>9616</v>
      </c>
      <c r="C4475" t="s">
        <v>9617</v>
      </c>
      <c r="D4475" t="str">
        <f>"6008"</f>
        <v>6008</v>
      </c>
      <c r="E4475" t="s">
        <v>11908</v>
      </c>
      <c r="F4475" s="1">
        <v>45603</v>
      </c>
      <c r="G4475" t="str">
        <f>"300043"</f>
        <v>300043</v>
      </c>
      <c r="H4475" t="s">
        <v>2876</v>
      </c>
      <c r="I4475">
        <v>1941</v>
      </c>
    </row>
    <row r="4476" spans="1:9" x14ac:dyDescent="0.25">
      <c r="A4476" t="s">
        <v>9616</v>
      </c>
      <c r="C4476" t="s">
        <v>9617</v>
      </c>
      <c r="D4476" t="str">
        <f>"17092"</f>
        <v>17092</v>
      </c>
      <c r="E4476" t="s">
        <v>11471</v>
      </c>
      <c r="F4476" s="1">
        <v>45603</v>
      </c>
      <c r="G4476" t="str">
        <f>"300043"</f>
        <v>300043</v>
      </c>
      <c r="H4476" t="s">
        <v>2876</v>
      </c>
      <c r="I4476">
        <v>4813</v>
      </c>
    </row>
    <row r="4477" spans="1:9" x14ac:dyDescent="0.25">
      <c r="A4477" t="s">
        <v>9616</v>
      </c>
      <c r="C4477" t="s">
        <v>9617</v>
      </c>
      <c r="D4477" t="str">
        <f>"87236"</f>
        <v>87236</v>
      </c>
      <c r="E4477" t="s">
        <v>11910</v>
      </c>
      <c r="F4477" s="1">
        <v>45603</v>
      </c>
      <c r="G4477" t="str">
        <f>"300043"</f>
        <v>300043</v>
      </c>
      <c r="H4477" t="s">
        <v>2876</v>
      </c>
      <c r="I4477">
        <v>912</v>
      </c>
    </row>
    <row r="4478" spans="1:9" x14ac:dyDescent="0.25">
      <c r="A4478" t="s">
        <v>9616</v>
      </c>
      <c r="C4478" t="s">
        <v>9617</v>
      </c>
      <c r="D4478" t="str">
        <f>"459624"</f>
        <v>459624</v>
      </c>
      <c r="E4478" t="s">
        <v>11890</v>
      </c>
      <c r="F4478" s="1">
        <v>45603</v>
      </c>
      <c r="G4478" t="str">
        <f>"300101"</f>
        <v>300101</v>
      </c>
      <c r="H4478" t="s">
        <v>2926</v>
      </c>
      <c r="I4478">
        <v>169.25</v>
      </c>
    </row>
    <row r="4479" spans="1:9" x14ac:dyDescent="0.25">
      <c r="A4479" t="s">
        <v>9616</v>
      </c>
      <c r="C4479" t="s">
        <v>9617</v>
      </c>
      <c r="D4479" t="str">
        <f>"10163218"</f>
        <v>10163218</v>
      </c>
      <c r="E4479" t="s">
        <v>9189</v>
      </c>
      <c r="F4479" s="1">
        <v>45603</v>
      </c>
      <c r="G4479" t="str">
        <f>"300115"</f>
        <v>300115</v>
      </c>
      <c r="H4479" t="s">
        <v>2938</v>
      </c>
      <c r="I4479">
        <v>346254.57900000003</v>
      </c>
    </row>
    <row r="4480" spans="1:9" x14ac:dyDescent="0.25">
      <c r="A4480" t="s">
        <v>9616</v>
      </c>
      <c r="C4480" t="s">
        <v>9617</v>
      </c>
      <c r="D4480" t="s">
        <v>11911</v>
      </c>
      <c r="E4480" t="s">
        <v>10198</v>
      </c>
      <c r="F4480" s="1">
        <v>45603</v>
      </c>
      <c r="G4480" t="str">
        <f>"300133"</f>
        <v>300133</v>
      </c>
      <c r="H4480" t="s">
        <v>2955</v>
      </c>
      <c r="I4480">
        <v>13200</v>
      </c>
    </row>
    <row r="4481" spans="1:9" x14ac:dyDescent="0.25">
      <c r="A4481" t="s">
        <v>9616</v>
      </c>
      <c r="C4481" t="s">
        <v>9617</v>
      </c>
      <c r="D4481" t="s">
        <v>11912</v>
      </c>
      <c r="E4481" t="s">
        <v>9562</v>
      </c>
      <c r="F4481" s="1">
        <v>45603</v>
      </c>
      <c r="G4481" t="str">
        <f>"300133"</f>
        <v>300133</v>
      </c>
      <c r="H4481" t="s">
        <v>2955</v>
      </c>
      <c r="I4481">
        <v>44596.800000000003</v>
      </c>
    </row>
    <row r="4482" spans="1:9" x14ac:dyDescent="0.25">
      <c r="A4482" t="s">
        <v>9616</v>
      </c>
      <c r="C4482" t="s">
        <v>9617</v>
      </c>
      <c r="D4482" t="s">
        <v>11913</v>
      </c>
      <c r="E4482" t="s">
        <v>11914</v>
      </c>
      <c r="F4482" s="1">
        <v>45603</v>
      </c>
      <c r="G4482" t="str">
        <f>"300321"</f>
        <v>300321</v>
      </c>
      <c r="H4482" t="s">
        <v>2706</v>
      </c>
      <c r="I4482">
        <v>38500</v>
      </c>
    </row>
    <row r="4483" spans="1:9" x14ac:dyDescent="0.25">
      <c r="A4483" t="s">
        <v>9616</v>
      </c>
      <c r="C4483" t="s">
        <v>9617</v>
      </c>
      <c r="D4483" t="str">
        <f>"80190706"</f>
        <v>80190706</v>
      </c>
      <c r="E4483" t="s">
        <v>1313</v>
      </c>
      <c r="F4483" s="1">
        <v>45603</v>
      </c>
      <c r="G4483" t="str">
        <f>"300381"</f>
        <v>300381</v>
      </c>
      <c r="H4483" t="s">
        <v>3118</v>
      </c>
      <c r="I4483">
        <v>340613.11349999998</v>
      </c>
    </row>
    <row r="4484" spans="1:9" x14ac:dyDescent="0.25">
      <c r="A4484" t="s">
        <v>9616</v>
      </c>
      <c r="C4484" t="s">
        <v>9617</v>
      </c>
      <c r="D4484" t="str">
        <f>"801907919"</f>
        <v>801907919</v>
      </c>
      <c r="E4484" t="s">
        <v>1313</v>
      </c>
      <c r="F4484" s="1">
        <v>45603</v>
      </c>
      <c r="G4484" t="str">
        <f>"300381"</f>
        <v>300381</v>
      </c>
      <c r="H4484" t="s">
        <v>3118</v>
      </c>
      <c r="I4484">
        <v>323808.30900000001</v>
      </c>
    </row>
    <row r="4485" spans="1:9" x14ac:dyDescent="0.25">
      <c r="A4485" t="s">
        <v>9616</v>
      </c>
      <c r="C4485" t="s">
        <v>9617</v>
      </c>
      <c r="D4485" t="str">
        <f>"87678"</f>
        <v>87678</v>
      </c>
      <c r="E4485" t="s">
        <v>11915</v>
      </c>
      <c r="F4485" s="1">
        <v>45604</v>
      </c>
      <c r="G4485" t="str">
        <f>"300043"</f>
        <v>300043</v>
      </c>
      <c r="H4485" t="s">
        <v>2876</v>
      </c>
      <c r="I4485">
        <v>1316</v>
      </c>
    </row>
    <row r="4486" spans="1:9" x14ac:dyDescent="0.25">
      <c r="A4486" t="s">
        <v>9616</v>
      </c>
      <c r="C4486" t="s">
        <v>9617</v>
      </c>
      <c r="D4486" t="str">
        <f>"88012"</f>
        <v>88012</v>
      </c>
      <c r="E4486" t="s">
        <v>11916</v>
      </c>
      <c r="F4486" s="1">
        <v>45604</v>
      </c>
      <c r="G4486" t="str">
        <f>"300043"</f>
        <v>300043</v>
      </c>
      <c r="H4486" t="s">
        <v>2876</v>
      </c>
      <c r="I4486">
        <v>1332</v>
      </c>
    </row>
    <row r="4487" spans="1:9" x14ac:dyDescent="0.25">
      <c r="A4487" t="s">
        <v>9616</v>
      </c>
      <c r="C4487" t="s">
        <v>9617</v>
      </c>
      <c r="D4487" t="s">
        <v>11917</v>
      </c>
      <c r="E4487" s="2">
        <v>46027</v>
      </c>
      <c r="F4487" s="1">
        <v>45604</v>
      </c>
      <c r="G4487" t="str">
        <f>"300064"</f>
        <v>300064</v>
      </c>
      <c r="H4487" t="s">
        <v>2896</v>
      </c>
      <c r="I4487">
        <v>62238</v>
      </c>
    </row>
    <row r="4488" spans="1:9" x14ac:dyDescent="0.25">
      <c r="A4488" t="s">
        <v>9616</v>
      </c>
      <c r="C4488" t="s">
        <v>9617</v>
      </c>
      <c r="D4488" t="s">
        <v>11918</v>
      </c>
      <c r="E4488" t="s">
        <v>10826</v>
      </c>
      <c r="F4488" s="1">
        <v>45604</v>
      </c>
      <c r="G4488" t="str">
        <f>"300064"</f>
        <v>300064</v>
      </c>
      <c r="H4488" t="s">
        <v>2896</v>
      </c>
      <c r="I4488">
        <v>92418</v>
      </c>
    </row>
    <row r="4489" spans="1:9" x14ac:dyDescent="0.25">
      <c r="A4489" t="s">
        <v>9616</v>
      </c>
      <c r="C4489" t="s">
        <v>9617</v>
      </c>
      <c r="D4489" t="str">
        <f>"202409332"</f>
        <v>202409332</v>
      </c>
      <c r="E4489" t="s">
        <v>11914</v>
      </c>
      <c r="F4489" s="1">
        <v>45604</v>
      </c>
      <c r="G4489" t="str">
        <f>"300191"</f>
        <v>300191</v>
      </c>
      <c r="H4489" t="s">
        <v>3008</v>
      </c>
      <c r="I4489">
        <v>3237.47</v>
      </c>
    </row>
    <row r="4490" spans="1:9" x14ac:dyDescent="0.25">
      <c r="A4490" t="s">
        <v>9616</v>
      </c>
      <c r="C4490" t="s">
        <v>9617</v>
      </c>
      <c r="D4490" t="s">
        <v>11919</v>
      </c>
      <c r="E4490" t="s">
        <v>11910</v>
      </c>
      <c r="F4490" s="1">
        <v>45604</v>
      </c>
      <c r="G4490" t="str">
        <f>"300321"</f>
        <v>300321</v>
      </c>
      <c r="H4490" t="s">
        <v>2706</v>
      </c>
      <c r="I4490">
        <v>40250</v>
      </c>
    </row>
    <row r="4491" spans="1:9" x14ac:dyDescent="0.25">
      <c r="A4491" t="s">
        <v>9616</v>
      </c>
      <c r="C4491" t="s">
        <v>9617</v>
      </c>
      <c r="D4491" t="s">
        <v>11920</v>
      </c>
      <c r="E4491" t="s">
        <v>11915</v>
      </c>
      <c r="F4491" s="1">
        <v>45604</v>
      </c>
      <c r="G4491" t="str">
        <f>"300321"</f>
        <v>300321</v>
      </c>
      <c r="H4491" t="s">
        <v>2706</v>
      </c>
      <c r="I4491">
        <v>38500</v>
      </c>
    </row>
    <row r="4492" spans="1:9" x14ac:dyDescent="0.25">
      <c r="A4492" t="s">
        <v>9616</v>
      </c>
      <c r="C4492" t="s">
        <v>9617</v>
      </c>
      <c r="D4492" t="s">
        <v>11921</v>
      </c>
      <c r="E4492" t="s">
        <v>11916</v>
      </c>
      <c r="F4492" s="1">
        <v>45604</v>
      </c>
      <c r="G4492" t="str">
        <f>"300321"</f>
        <v>300321</v>
      </c>
      <c r="H4492" t="s">
        <v>2706</v>
      </c>
      <c r="I4492">
        <v>38500</v>
      </c>
    </row>
    <row r="4493" spans="1:9" x14ac:dyDescent="0.25">
      <c r="A4493" t="s">
        <v>9616</v>
      </c>
      <c r="C4493" t="s">
        <v>9617</v>
      </c>
      <c r="D4493" t="s">
        <v>11922</v>
      </c>
      <c r="E4493" t="s">
        <v>10339</v>
      </c>
      <c r="F4493" s="1">
        <v>45605</v>
      </c>
      <c r="G4493" t="str">
        <f>"300133"</f>
        <v>300133</v>
      </c>
      <c r="H4493" t="s">
        <v>2955</v>
      </c>
      <c r="I4493">
        <v>49291.199999999997</v>
      </c>
    </row>
    <row r="4494" spans="1:9" x14ac:dyDescent="0.25">
      <c r="A4494" t="s">
        <v>9616</v>
      </c>
      <c r="C4494" t="s">
        <v>9617</v>
      </c>
      <c r="D4494" t="s">
        <v>11923</v>
      </c>
      <c r="E4494" t="s">
        <v>11475</v>
      </c>
      <c r="F4494" s="1">
        <v>45605</v>
      </c>
      <c r="G4494" t="str">
        <f>"300133"</f>
        <v>300133</v>
      </c>
      <c r="H4494" t="s">
        <v>2955</v>
      </c>
      <c r="I4494">
        <v>6600</v>
      </c>
    </row>
    <row r="4495" spans="1:9" x14ac:dyDescent="0.25">
      <c r="A4495" t="s">
        <v>9616</v>
      </c>
      <c r="C4495" t="s">
        <v>9617</v>
      </c>
      <c r="D4495" t="str">
        <f>"88389"</f>
        <v>88389</v>
      </c>
      <c r="E4495" t="s">
        <v>11924</v>
      </c>
      <c r="F4495" s="1">
        <v>45607</v>
      </c>
      <c r="G4495" t="str">
        <f>"300043"</f>
        <v>300043</v>
      </c>
      <c r="H4495" t="s">
        <v>2876</v>
      </c>
      <c r="I4495">
        <v>1277</v>
      </c>
    </row>
    <row r="4496" spans="1:9" x14ac:dyDescent="0.25">
      <c r="A4496" t="s">
        <v>9616</v>
      </c>
      <c r="C4496" t="s">
        <v>9617</v>
      </c>
      <c r="D4496" t="str">
        <f>"88478"</f>
        <v>88478</v>
      </c>
      <c r="E4496" t="s">
        <v>11925</v>
      </c>
      <c r="F4496" s="1">
        <v>45607</v>
      </c>
      <c r="G4496" t="str">
        <f>"300043"</f>
        <v>300043</v>
      </c>
      <c r="H4496" t="s">
        <v>2876</v>
      </c>
      <c r="I4496">
        <v>1332</v>
      </c>
    </row>
    <row r="4497" spans="1:9" x14ac:dyDescent="0.25">
      <c r="A4497" t="s">
        <v>9616</v>
      </c>
      <c r="C4497" t="s">
        <v>9617</v>
      </c>
      <c r="D4497" t="str">
        <f>"88808"</f>
        <v>88808</v>
      </c>
      <c r="E4497" t="s">
        <v>11926</v>
      </c>
      <c r="F4497" s="1">
        <v>45607</v>
      </c>
      <c r="G4497" t="str">
        <f>"300043"</f>
        <v>300043</v>
      </c>
      <c r="H4497" t="s">
        <v>2876</v>
      </c>
      <c r="I4497">
        <v>1320</v>
      </c>
    </row>
    <row r="4498" spans="1:9" x14ac:dyDescent="0.25">
      <c r="A4498" t="s">
        <v>9616</v>
      </c>
      <c r="C4498" t="s">
        <v>9617</v>
      </c>
      <c r="D4498" t="str">
        <f>"10163285"</f>
        <v>10163285</v>
      </c>
      <c r="E4498" t="s">
        <v>9189</v>
      </c>
      <c r="F4498" s="1">
        <v>45607</v>
      </c>
      <c r="G4498" t="str">
        <f>"300115"</f>
        <v>300115</v>
      </c>
      <c r="H4498" t="s">
        <v>2938</v>
      </c>
      <c r="I4498">
        <v>346278.83399999997</v>
      </c>
    </row>
    <row r="4499" spans="1:9" x14ac:dyDescent="0.25">
      <c r="A4499" t="s">
        <v>9616</v>
      </c>
      <c r="C4499" t="s">
        <v>9617</v>
      </c>
      <c r="D4499" t="str">
        <f>"10163286"</f>
        <v>10163286</v>
      </c>
      <c r="E4499" t="s">
        <v>9189</v>
      </c>
      <c r="F4499" s="1">
        <v>45607</v>
      </c>
      <c r="G4499" t="str">
        <f>"300115"</f>
        <v>300115</v>
      </c>
      <c r="H4499" t="s">
        <v>2938</v>
      </c>
      <c r="I4499">
        <v>346262.66399999999</v>
      </c>
    </row>
    <row r="4500" spans="1:9" x14ac:dyDescent="0.25">
      <c r="A4500" t="s">
        <v>9616</v>
      </c>
      <c r="C4500" t="s">
        <v>9617</v>
      </c>
      <c r="D4500" t="str">
        <f>"20014820"</f>
        <v>20014820</v>
      </c>
      <c r="E4500" t="s">
        <v>11927</v>
      </c>
      <c r="F4500" s="1">
        <v>45607</v>
      </c>
      <c r="G4500" t="str">
        <f>"300115"</f>
        <v>300115</v>
      </c>
      <c r="H4500" t="s">
        <v>2938</v>
      </c>
      <c r="I4500">
        <v>110000</v>
      </c>
    </row>
    <row r="4501" spans="1:9" x14ac:dyDescent="0.25">
      <c r="A4501" t="s">
        <v>9616</v>
      </c>
      <c r="C4501" t="s">
        <v>9617</v>
      </c>
      <c r="D4501" t="str">
        <f>"80190871"</f>
        <v>80190871</v>
      </c>
      <c r="E4501" t="s">
        <v>9420</v>
      </c>
      <c r="F4501" s="1">
        <v>45607</v>
      </c>
      <c r="G4501" t="str">
        <f>"300381"</f>
        <v>300381</v>
      </c>
      <c r="H4501" t="s">
        <v>3118</v>
      </c>
      <c r="I4501">
        <v>359972.36550000001</v>
      </c>
    </row>
    <row r="4502" spans="1:9" x14ac:dyDescent="0.25">
      <c r="A4502" t="s">
        <v>9616</v>
      </c>
      <c r="C4502" t="s">
        <v>9617</v>
      </c>
      <c r="D4502" t="str">
        <f>"17356"</f>
        <v>17356</v>
      </c>
      <c r="E4502" t="s">
        <v>11471</v>
      </c>
      <c r="F4502" s="1">
        <v>45608</v>
      </c>
      <c r="G4502" t="str">
        <f>"300043"</f>
        <v>300043</v>
      </c>
      <c r="H4502" t="s">
        <v>2876</v>
      </c>
      <c r="I4502">
        <v>4640</v>
      </c>
    </row>
    <row r="4503" spans="1:9" x14ac:dyDescent="0.25">
      <c r="A4503" t="s">
        <v>9616</v>
      </c>
      <c r="C4503" t="s">
        <v>9617</v>
      </c>
      <c r="D4503" t="str">
        <f>"89254"</f>
        <v>89254</v>
      </c>
      <c r="E4503" t="s">
        <v>11928</v>
      </c>
      <c r="F4503" s="1">
        <v>45608</v>
      </c>
      <c r="G4503" t="str">
        <f>"300043"</f>
        <v>300043</v>
      </c>
      <c r="H4503" t="s">
        <v>2876</v>
      </c>
      <c r="I4503">
        <v>1310</v>
      </c>
    </row>
    <row r="4504" spans="1:9" x14ac:dyDescent="0.25">
      <c r="A4504" t="s">
        <v>9616</v>
      </c>
      <c r="C4504" t="s">
        <v>9617</v>
      </c>
      <c r="D4504" t="s">
        <v>11929</v>
      </c>
      <c r="E4504" t="s">
        <v>11915</v>
      </c>
      <c r="F4504" s="1">
        <v>45608</v>
      </c>
      <c r="G4504" t="str">
        <f>"300321"</f>
        <v>300321</v>
      </c>
      <c r="H4504" t="s">
        <v>2706</v>
      </c>
      <c r="I4504">
        <v>38500</v>
      </c>
    </row>
    <row r="4505" spans="1:9" x14ac:dyDescent="0.25">
      <c r="A4505" t="s">
        <v>9616</v>
      </c>
      <c r="C4505" t="s">
        <v>9617</v>
      </c>
      <c r="D4505" t="s">
        <v>11930</v>
      </c>
      <c r="E4505" t="s">
        <v>11925</v>
      </c>
      <c r="F4505" s="1">
        <v>45608</v>
      </c>
      <c r="G4505" t="str">
        <f>"300321"</f>
        <v>300321</v>
      </c>
      <c r="H4505" t="s">
        <v>2706</v>
      </c>
      <c r="I4505">
        <v>38500</v>
      </c>
    </row>
    <row r="4506" spans="1:9" x14ac:dyDescent="0.25">
      <c r="A4506" t="s">
        <v>9616</v>
      </c>
      <c r="C4506" t="s">
        <v>9617</v>
      </c>
      <c r="D4506" t="str">
        <f>"80190903"</f>
        <v>80190903</v>
      </c>
      <c r="E4506" t="s">
        <v>11931</v>
      </c>
      <c r="F4506" s="1">
        <v>45608</v>
      </c>
      <c r="G4506" t="str">
        <f>"300381"</f>
        <v>300381</v>
      </c>
      <c r="H4506" t="s">
        <v>3118</v>
      </c>
      <c r="I4506">
        <v>335805.12900000002</v>
      </c>
    </row>
    <row r="4507" spans="1:9" x14ac:dyDescent="0.25">
      <c r="A4507" t="s">
        <v>9616</v>
      </c>
      <c r="C4507" t="s">
        <v>9617</v>
      </c>
      <c r="D4507" t="str">
        <f>"6120"</f>
        <v>6120</v>
      </c>
      <c r="E4507" t="s">
        <v>11932</v>
      </c>
      <c r="F4507" s="1">
        <v>45609</v>
      </c>
      <c r="G4507" t="str">
        <f>"300043"</f>
        <v>300043</v>
      </c>
      <c r="H4507" t="s">
        <v>2876</v>
      </c>
      <c r="I4507">
        <v>2678</v>
      </c>
    </row>
    <row r="4508" spans="1:9" x14ac:dyDescent="0.25">
      <c r="A4508" t="s">
        <v>9616</v>
      </c>
      <c r="C4508" t="s">
        <v>9617</v>
      </c>
      <c r="D4508" t="str">
        <f>"89250"</f>
        <v>89250</v>
      </c>
      <c r="E4508" t="s">
        <v>11933</v>
      </c>
      <c r="F4508" s="1">
        <v>45609</v>
      </c>
      <c r="G4508" t="str">
        <f>"300043"</f>
        <v>300043</v>
      </c>
      <c r="H4508" t="s">
        <v>2876</v>
      </c>
      <c r="I4508">
        <v>1310</v>
      </c>
    </row>
    <row r="4509" spans="1:9" x14ac:dyDescent="0.25">
      <c r="A4509" t="s">
        <v>9616</v>
      </c>
      <c r="C4509" t="s">
        <v>9617</v>
      </c>
      <c r="D4509" t="str">
        <f>"89312"</f>
        <v>89312</v>
      </c>
      <c r="E4509" t="s">
        <v>11934</v>
      </c>
      <c r="F4509" s="1">
        <v>45609</v>
      </c>
      <c r="G4509" t="str">
        <f>"300043"</f>
        <v>300043</v>
      </c>
      <c r="H4509" t="s">
        <v>2876</v>
      </c>
      <c r="I4509">
        <v>1384</v>
      </c>
    </row>
    <row r="4510" spans="1:9" x14ac:dyDescent="0.25">
      <c r="A4510" t="s">
        <v>9616</v>
      </c>
      <c r="C4510" t="s">
        <v>9617</v>
      </c>
      <c r="D4510" t="s">
        <v>11935</v>
      </c>
      <c r="E4510" t="s">
        <v>10609</v>
      </c>
      <c r="F4510" s="1">
        <v>45609</v>
      </c>
      <c r="G4510" t="str">
        <f>"300133"</f>
        <v>300133</v>
      </c>
      <c r="H4510" t="s">
        <v>2955</v>
      </c>
      <c r="I4510">
        <v>35687.1</v>
      </c>
    </row>
    <row r="4511" spans="1:9" x14ac:dyDescent="0.25">
      <c r="A4511" t="s">
        <v>9616</v>
      </c>
      <c r="C4511" t="s">
        <v>9617</v>
      </c>
      <c r="D4511" t="str">
        <f>"202409466"</f>
        <v>202409466</v>
      </c>
      <c r="E4511" t="s">
        <v>11926</v>
      </c>
      <c r="F4511" s="1">
        <v>45609</v>
      </c>
      <c r="G4511" t="str">
        <f>"300191"</f>
        <v>300191</v>
      </c>
      <c r="H4511" t="s">
        <v>3008</v>
      </c>
      <c r="I4511">
        <v>3575.97</v>
      </c>
    </row>
    <row r="4512" spans="1:9" x14ac:dyDescent="0.25">
      <c r="A4512" t="s">
        <v>9616</v>
      </c>
      <c r="C4512" t="s">
        <v>9617</v>
      </c>
      <c r="D4512" t="s">
        <v>11936</v>
      </c>
      <c r="E4512" t="s">
        <v>11926</v>
      </c>
      <c r="F4512" s="1">
        <v>45609</v>
      </c>
      <c r="G4512" t="str">
        <f>"300321"</f>
        <v>300321</v>
      </c>
      <c r="H4512" t="s">
        <v>2706</v>
      </c>
      <c r="I4512">
        <v>21875</v>
      </c>
    </row>
    <row r="4513" spans="1:9" x14ac:dyDescent="0.25">
      <c r="A4513" t="s">
        <v>9616</v>
      </c>
      <c r="C4513" t="s">
        <v>9617</v>
      </c>
      <c r="D4513" t="s">
        <v>11937</v>
      </c>
      <c r="E4513" t="s">
        <v>11924</v>
      </c>
      <c r="F4513" s="1">
        <v>45609</v>
      </c>
      <c r="G4513" t="str">
        <f>"300423"</f>
        <v>300423</v>
      </c>
      <c r="H4513" t="s">
        <v>3156</v>
      </c>
      <c r="I4513">
        <v>3335.62</v>
      </c>
    </row>
    <row r="4514" spans="1:9" x14ac:dyDescent="0.25">
      <c r="A4514" t="s">
        <v>9616</v>
      </c>
      <c r="C4514" t="s">
        <v>9617</v>
      </c>
      <c r="D4514" t="s">
        <v>11938</v>
      </c>
      <c r="E4514" t="s">
        <v>11916</v>
      </c>
      <c r="F4514" s="1">
        <v>45609</v>
      </c>
      <c r="G4514" t="str">
        <f>"300423"</f>
        <v>300423</v>
      </c>
      <c r="H4514" t="s">
        <v>3156</v>
      </c>
      <c r="I4514">
        <v>3166.37</v>
      </c>
    </row>
    <row r="4515" spans="1:9" x14ac:dyDescent="0.25">
      <c r="A4515" t="s">
        <v>9616</v>
      </c>
      <c r="C4515" t="s">
        <v>9617</v>
      </c>
      <c r="D4515" t="s">
        <v>11939</v>
      </c>
      <c r="E4515" t="s">
        <v>11910</v>
      </c>
      <c r="F4515" s="1">
        <v>45609</v>
      </c>
      <c r="G4515" t="str">
        <f>"300423"</f>
        <v>300423</v>
      </c>
      <c r="H4515" t="s">
        <v>3156</v>
      </c>
      <c r="I4515">
        <v>3166.37</v>
      </c>
    </row>
    <row r="4516" spans="1:9" x14ac:dyDescent="0.25">
      <c r="A4516" t="s">
        <v>9616</v>
      </c>
      <c r="C4516" t="s">
        <v>9617</v>
      </c>
      <c r="D4516" t="s">
        <v>11940</v>
      </c>
      <c r="E4516" t="s">
        <v>11915</v>
      </c>
      <c r="F4516" s="1">
        <v>45609</v>
      </c>
      <c r="G4516" t="str">
        <f>"300423"</f>
        <v>300423</v>
      </c>
      <c r="H4516" t="s">
        <v>3156</v>
      </c>
      <c r="I4516">
        <v>3166.37</v>
      </c>
    </row>
    <row r="4517" spans="1:9" x14ac:dyDescent="0.25">
      <c r="A4517" t="s">
        <v>9616</v>
      </c>
      <c r="C4517" t="s">
        <v>9617</v>
      </c>
      <c r="D4517" t="str">
        <f>"17475"</f>
        <v>17475</v>
      </c>
      <c r="E4517" t="s">
        <v>11471</v>
      </c>
      <c r="F4517" s="1">
        <v>45610</v>
      </c>
      <c r="G4517" t="str">
        <f>"300043"</f>
        <v>300043</v>
      </c>
      <c r="H4517" t="s">
        <v>2876</v>
      </c>
      <c r="I4517">
        <v>4873</v>
      </c>
    </row>
    <row r="4518" spans="1:9" x14ac:dyDescent="0.25">
      <c r="A4518" t="s">
        <v>9616</v>
      </c>
      <c r="C4518" t="s">
        <v>9617</v>
      </c>
      <c r="D4518" t="str">
        <f>"202409479"</f>
        <v>202409479</v>
      </c>
      <c r="E4518" t="s">
        <v>11933</v>
      </c>
      <c r="F4518" s="1">
        <v>45610</v>
      </c>
      <c r="G4518" t="str">
        <f>"300191"</f>
        <v>300191</v>
      </c>
      <c r="H4518" t="s">
        <v>3008</v>
      </c>
      <c r="I4518">
        <v>3284.87</v>
      </c>
    </row>
    <row r="4519" spans="1:9" x14ac:dyDescent="0.25">
      <c r="A4519" t="s">
        <v>9616</v>
      </c>
      <c r="C4519" t="s">
        <v>9617</v>
      </c>
      <c r="D4519" t="str">
        <f>"202409481"</f>
        <v>202409481</v>
      </c>
      <c r="E4519" t="s">
        <v>11928</v>
      </c>
      <c r="F4519" s="1">
        <v>45610</v>
      </c>
      <c r="G4519" t="str">
        <f>"300191"</f>
        <v>300191</v>
      </c>
      <c r="H4519" t="s">
        <v>3008</v>
      </c>
      <c r="I4519">
        <v>3284.87</v>
      </c>
    </row>
    <row r="4520" spans="1:9" x14ac:dyDescent="0.25">
      <c r="A4520" t="s">
        <v>9616</v>
      </c>
      <c r="C4520" t="s">
        <v>9617</v>
      </c>
      <c r="D4520" t="s">
        <v>11941</v>
      </c>
      <c r="E4520" t="s">
        <v>11928</v>
      </c>
      <c r="F4520" s="1">
        <v>45610</v>
      </c>
      <c r="G4520" t="str">
        <f>"300321"</f>
        <v>300321</v>
      </c>
      <c r="H4520" t="s">
        <v>2706</v>
      </c>
      <c r="I4520">
        <v>20125</v>
      </c>
    </row>
    <row r="4521" spans="1:9" x14ac:dyDescent="0.25">
      <c r="A4521" t="s">
        <v>9616</v>
      </c>
      <c r="C4521" t="s">
        <v>9617</v>
      </c>
      <c r="D4521" t="s">
        <v>11942</v>
      </c>
      <c r="E4521" t="s">
        <v>11934</v>
      </c>
      <c r="F4521" s="1">
        <v>45610</v>
      </c>
      <c r="G4521" t="str">
        <f>"300321"</f>
        <v>300321</v>
      </c>
      <c r="H4521" t="s">
        <v>2706</v>
      </c>
      <c r="I4521">
        <v>38500</v>
      </c>
    </row>
    <row r="4522" spans="1:9" x14ac:dyDescent="0.25">
      <c r="A4522" t="s">
        <v>9616</v>
      </c>
      <c r="C4522" t="s">
        <v>9617</v>
      </c>
      <c r="D4522" t="s">
        <v>11943</v>
      </c>
      <c r="E4522" t="s">
        <v>11933</v>
      </c>
      <c r="F4522" s="1">
        <v>45610</v>
      </c>
      <c r="G4522" t="str">
        <f>"300321"</f>
        <v>300321</v>
      </c>
      <c r="H4522" t="s">
        <v>2706</v>
      </c>
      <c r="I4522">
        <v>20125</v>
      </c>
    </row>
    <row r="4523" spans="1:9" x14ac:dyDescent="0.25">
      <c r="A4523" t="s">
        <v>9616</v>
      </c>
      <c r="C4523" t="s">
        <v>9617</v>
      </c>
      <c r="D4523" t="s">
        <v>11944</v>
      </c>
      <c r="E4523" t="s">
        <v>11945</v>
      </c>
      <c r="F4523" s="1">
        <v>45610</v>
      </c>
      <c r="G4523" t="str">
        <f>"300398"</f>
        <v>300398</v>
      </c>
      <c r="H4523" t="s">
        <v>3134</v>
      </c>
      <c r="I4523">
        <v>29573.3</v>
      </c>
    </row>
    <row r="4524" spans="1:9" x14ac:dyDescent="0.25">
      <c r="A4524" t="s">
        <v>9616</v>
      </c>
      <c r="C4524" t="s">
        <v>9617</v>
      </c>
      <c r="D4524" t="str">
        <f>"89976"</f>
        <v>89976</v>
      </c>
      <c r="E4524" t="s">
        <v>11946</v>
      </c>
      <c r="F4524" s="1">
        <v>45611</v>
      </c>
      <c r="G4524" t="str">
        <f>"300043"</f>
        <v>300043</v>
      </c>
      <c r="H4524" t="s">
        <v>2876</v>
      </c>
      <c r="I4524">
        <v>1301</v>
      </c>
    </row>
    <row r="4525" spans="1:9" x14ac:dyDescent="0.25">
      <c r="A4525" t="s">
        <v>9616</v>
      </c>
      <c r="C4525" t="s">
        <v>9617</v>
      </c>
      <c r="D4525" t="s">
        <v>11947</v>
      </c>
      <c r="E4525" t="s">
        <v>11948</v>
      </c>
      <c r="F4525" s="1">
        <v>45611</v>
      </c>
      <c r="G4525" t="str">
        <f>"300133"</f>
        <v>300133</v>
      </c>
      <c r="H4525" t="s">
        <v>2955</v>
      </c>
      <c r="I4525">
        <v>11952</v>
      </c>
    </row>
    <row r="4526" spans="1:9" x14ac:dyDescent="0.25">
      <c r="A4526" t="s">
        <v>9616</v>
      </c>
      <c r="C4526" t="s">
        <v>9617</v>
      </c>
      <c r="D4526" t="s">
        <v>11949</v>
      </c>
      <c r="E4526" t="s">
        <v>9565</v>
      </c>
      <c r="F4526" s="1">
        <v>45611</v>
      </c>
      <c r="G4526" t="str">
        <f>"300133"</f>
        <v>300133</v>
      </c>
      <c r="H4526" t="s">
        <v>2955</v>
      </c>
      <c r="I4526">
        <v>41544.9</v>
      </c>
    </row>
    <row r="4527" spans="1:9" x14ac:dyDescent="0.25">
      <c r="A4527" t="s">
        <v>9616</v>
      </c>
      <c r="C4527" t="s">
        <v>9617</v>
      </c>
      <c r="D4527" t="s">
        <v>11950</v>
      </c>
      <c r="E4527" t="s">
        <v>11946</v>
      </c>
      <c r="F4527" s="1">
        <v>45611</v>
      </c>
      <c r="G4527" t="str">
        <f>"300321"</f>
        <v>300321</v>
      </c>
      <c r="H4527" t="s">
        <v>2706</v>
      </c>
      <c r="I4527">
        <v>38500</v>
      </c>
    </row>
    <row r="4528" spans="1:9" x14ac:dyDescent="0.25">
      <c r="A4528" t="s">
        <v>9616</v>
      </c>
      <c r="C4528" t="s">
        <v>9617</v>
      </c>
      <c r="D4528" t="str">
        <f>"2400020650"</f>
        <v>2400020650</v>
      </c>
      <c r="E4528" t="s">
        <v>11951</v>
      </c>
      <c r="F4528" s="1">
        <v>45614</v>
      </c>
      <c r="G4528" t="str">
        <f>"300344"</f>
        <v>300344</v>
      </c>
      <c r="H4528" t="s">
        <v>3084</v>
      </c>
      <c r="I4528">
        <v>344831.71</v>
      </c>
    </row>
    <row r="4529" spans="1:9" x14ac:dyDescent="0.25">
      <c r="A4529" t="s">
        <v>9616</v>
      </c>
      <c r="C4529" t="s">
        <v>9617</v>
      </c>
      <c r="D4529" t="str">
        <f>"10163512"</f>
        <v>10163512</v>
      </c>
      <c r="E4529" t="s">
        <v>2566</v>
      </c>
      <c r="F4529" s="1">
        <v>45615</v>
      </c>
      <c r="G4529" t="str">
        <f>"300115"</f>
        <v>300115</v>
      </c>
      <c r="H4529" t="s">
        <v>2938</v>
      </c>
      <c r="I4529">
        <v>203686.56</v>
      </c>
    </row>
    <row r="4530" spans="1:9" x14ac:dyDescent="0.25">
      <c r="A4530" t="s">
        <v>9616</v>
      </c>
      <c r="C4530" t="s">
        <v>9617</v>
      </c>
      <c r="D4530" t="s">
        <v>11952</v>
      </c>
      <c r="E4530" t="s">
        <v>9787</v>
      </c>
      <c r="F4530" s="1">
        <v>45616</v>
      </c>
      <c r="G4530" t="str">
        <f>"300064"</f>
        <v>300064</v>
      </c>
      <c r="H4530" t="s">
        <v>2896</v>
      </c>
      <c r="I4530">
        <v>108690</v>
      </c>
    </row>
    <row r="4531" spans="1:9" x14ac:dyDescent="0.25">
      <c r="A4531" t="s">
        <v>9616</v>
      </c>
      <c r="C4531" t="s">
        <v>9617</v>
      </c>
      <c r="D4531" t="s">
        <v>11953</v>
      </c>
      <c r="E4531" t="s">
        <v>9112</v>
      </c>
      <c r="F4531" s="1">
        <v>45616</v>
      </c>
      <c r="G4531" t="str">
        <f>"300064"</f>
        <v>300064</v>
      </c>
      <c r="H4531" t="s">
        <v>2896</v>
      </c>
      <c r="I4531">
        <v>31224</v>
      </c>
    </row>
    <row r="4532" spans="1:9" x14ac:dyDescent="0.25">
      <c r="A4532" t="s">
        <v>9616</v>
      </c>
      <c r="C4532" t="s">
        <v>9617</v>
      </c>
      <c r="D4532" t="str">
        <f>"202409614"</f>
        <v>202409614</v>
      </c>
      <c r="E4532" t="s">
        <v>11899</v>
      </c>
      <c r="F4532" s="1">
        <v>45616</v>
      </c>
      <c r="G4532" t="str">
        <f>"300191"</f>
        <v>300191</v>
      </c>
      <c r="H4532" t="s">
        <v>3008</v>
      </c>
      <c r="I4532">
        <v>164.34</v>
      </c>
    </row>
    <row r="4533" spans="1:9" x14ac:dyDescent="0.25">
      <c r="A4533" t="s">
        <v>9616</v>
      </c>
      <c r="C4533" t="s">
        <v>9617</v>
      </c>
      <c r="D4533" t="s">
        <v>11954</v>
      </c>
      <c r="E4533" t="s">
        <v>11934</v>
      </c>
      <c r="F4533" s="1">
        <v>45616</v>
      </c>
      <c r="G4533" t="str">
        <f>"300423"</f>
        <v>300423</v>
      </c>
      <c r="H4533" t="s">
        <v>3156</v>
      </c>
      <c r="I4533">
        <v>3166.37</v>
      </c>
    </row>
    <row r="4534" spans="1:9" x14ac:dyDescent="0.25">
      <c r="A4534" t="s">
        <v>9616</v>
      </c>
      <c r="C4534" t="s">
        <v>9617</v>
      </c>
      <c r="D4534" t="s">
        <v>11955</v>
      </c>
      <c r="E4534" t="s">
        <v>11925</v>
      </c>
      <c r="F4534" s="1">
        <v>45616</v>
      </c>
      <c r="G4534" t="str">
        <f>"300423"</f>
        <v>300423</v>
      </c>
      <c r="H4534" t="s">
        <v>3156</v>
      </c>
      <c r="I4534">
        <v>3166.37</v>
      </c>
    </row>
    <row r="4535" spans="1:9" x14ac:dyDescent="0.25">
      <c r="A4535" t="s">
        <v>9616</v>
      </c>
      <c r="C4535" t="s">
        <v>9617</v>
      </c>
      <c r="D4535" t="str">
        <f>"202409668"</f>
        <v>202409668</v>
      </c>
      <c r="E4535" t="s">
        <v>11889</v>
      </c>
      <c r="F4535" s="1">
        <v>45617</v>
      </c>
      <c r="G4535" t="str">
        <f>"300191"</f>
        <v>300191</v>
      </c>
      <c r="H4535" t="s">
        <v>3008</v>
      </c>
      <c r="I4535">
        <v>2865.12</v>
      </c>
    </row>
    <row r="4536" spans="1:9" x14ac:dyDescent="0.25">
      <c r="A4536" t="s">
        <v>9616</v>
      </c>
      <c r="C4536" t="s">
        <v>9617</v>
      </c>
      <c r="D4536" t="str">
        <f>"202409670"</f>
        <v>202409670</v>
      </c>
      <c r="E4536" t="s">
        <v>11806</v>
      </c>
      <c r="F4536" s="1">
        <v>45617</v>
      </c>
      <c r="G4536" t="str">
        <f>"300191"</f>
        <v>300191</v>
      </c>
      <c r="H4536" t="s">
        <v>3008</v>
      </c>
      <c r="I4536">
        <v>150.94999999999999</v>
      </c>
    </row>
    <row r="4537" spans="1:9" x14ac:dyDescent="0.25">
      <c r="A4537" t="s">
        <v>9616</v>
      </c>
      <c r="C4537" t="s">
        <v>9617</v>
      </c>
      <c r="D4537" t="str">
        <f>"202409676"</f>
        <v>202409676</v>
      </c>
      <c r="E4537" t="s">
        <v>11908</v>
      </c>
      <c r="F4537" s="1">
        <v>45617</v>
      </c>
      <c r="G4537" t="str">
        <f>"300191"</f>
        <v>300191</v>
      </c>
      <c r="H4537" t="s">
        <v>3008</v>
      </c>
      <c r="I4537">
        <v>4954.74</v>
      </c>
    </row>
    <row r="4538" spans="1:9" x14ac:dyDescent="0.25">
      <c r="A4538" t="s">
        <v>9616</v>
      </c>
      <c r="C4538" t="s">
        <v>9617</v>
      </c>
      <c r="D4538" t="str">
        <f>"202409677"</f>
        <v>202409677</v>
      </c>
      <c r="E4538" t="s">
        <v>11887</v>
      </c>
      <c r="F4538" s="1">
        <v>45617</v>
      </c>
      <c r="G4538" t="str">
        <f>"300191"</f>
        <v>300191</v>
      </c>
      <c r="H4538" t="s">
        <v>3008</v>
      </c>
      <c r="I4538">
        <v>3243.96</v>
      </c>
    </row>
    <row r="4539" spans="1:9" x14ac:dyDescent="0.25">
      <c r="A4539" t="s">
        <v>9616</v>
      </c>
      <c r="C4539" t="s">
        <v>9617</v>
      </c>
      <c r="D4539" t="str">
        <f>"202409686"</f>
        <v>202409686</v>
      </c>
      <c r="E4539" t="s">
        <v>11824</v>
      </c>
      <c r="F4539" s="1">
        <v>45617</v>
      </c>
      <c r="G4539" t="str">
        <f>"300191"</f>
        <v>300191</v>
      </c>
      <c r="H4539" t="s">
        <v>3008</v>
      </c>
      <c r="I4539">
        <v>190.09</v>
      </c>
    </row>
    <row r="4540" spans="1:9" x14ac:dyDescent="0.25">
      <c r="A4540" t="s">
        <v>9616</v>
      </c>
      <c r="C4540" t="s">
        <v>9617</v>
      </c>
      <c r="D4540" t="str">
        <f>"80191334"</f>
        <v>80191334</v>
      </c>
      <c r="E4540" t="s">
        <v>2172</v>
      </c>
      <c r="F4540" s="1">
        <v>45617</v>
      </c>
      <c r="G4540" t="str">
        <f>"300381"</f>
        <v>300381</v>
      </c>
      <c r="H4540" t="s">
        <v>3118</v>
      </c>
      <c r="I4540">
        <v>333934.96950000001</v>
      </c>
    </row>
    <row r="4541" spans="1:9" x14ac:dyDescent="0.25">
      <c r="A4541" t="s">
        <v>9616</v>
      </c>
      <c r="C4541" t="s">
        <v>9617</v>
      </c>
      <c r="D4541" t="str">
        <f>"80191369"</f>
        <v>80191369</v>
      </c>
      <c r="E4541" t="s">
        <v>9335</v>
      </c>
      <c r="F4541" s="1">
        <v>45617</v>
      </c>
      <c r="G4541" t="str">
        <f>"300381"</f>
        <v>300381</v>
      </c>
      <c r="H4541" t="s">
        <v>3118</v>
      </c>
      <c r="I4541">
        <v>333934.96950000001</v>
      </c>
    </row>
    <row r="4542" spans="1:9" x14ac:dyDescent="0.25">
      <c r="A4542" t="s">
        <v>9616</v>
      </c>
      <c r="C4542" t="s">
        <v>9617</v>
      </c>
      <c r="D4542" t="s">
        <v>11956</v>
      </c>
      <c r="E4542" t="s">
        <v>11957</v>
      </c>
      <c r="F4542" s="1">
        <v>45617</v>
      </c>
      <c r="G4542" t="str">
        <f>"300420"</f>
        <v>300420</v>
      </c>
      <c r="H4542" t="s">
        <v>3153</v>
      </c>
      <c r="I4542">
        <v>9024.5</v>
      </c>
    </row>
    <row r="4543" spans="1:9" x14ac:dyDescent="0.25">
      <c r="A4543" t="s">
        <v>9616</v>
      </c>
      <c r="C4543" t="s">
        <v>9617</v>
      </c>
      <c r="D4543" t="str">
        <f>"92444"</f>
        <v>92444</v>
      </c>
      <c r="E4543" t="s">
        <v>11958</v>
      </c>
      <c r="F4543" s="1">
        <v>45618</v>
      </c>
      <c r="G4543" t="str">
        <f>"300043"</f>
        <v>300043</v>
      </c>
      <c r="H4543" t="s">
        <v>2876</v>
      </c>
      <c r="I4543">
        <v>815</v>
      </c>
    </row>
    <row r="4544" spans="1:9" x14ac:dyDescent="0.25">
      <c r="A4544" t="s">
        <v>9616</v>
      </c>
      <c r="C4544" t="s">
        <v>9617</v>
      </c>
      <c r="D4544" t="str">
        <f>"160657"</f>
        <v>160657</v>
      </c>
      <c r="E4544" t="s">
        <v>11945</v>
      </c>
      <c r="F4544" s="1">
        <v>45618</v>
      </c>
      <c r="G4544" t="str">
        <f>"300043"</f>
        <v>300043</v>
      </c>
      <c r="H4544" t="s">
        <v>2876</v>
      </c>
      <c r="I4544">
        <v>1045</v>
      </c>
    </row>
    <row r="4545" spans="1:9" x14ac:dyDescent="0.25">
      <c r="A4545" t="s">
        <v>9616</v>
      </c>
      <c r="C4545" t="s">
        <v>9617</v>
      </c>
      <c r="D4545" t="str">
        <f>"6353"</f>
        <v>6353</v>
      </c>
      <c r="E4545" t="s">
        <v>11959</v>
      </c>
      <c r="F4545" s="1">
        <v>45621</v>
      </c>
      <c r="G4545" t="str">
        <f>"300043"</f>
        <v>300043</v>
      </c>
      <c r="H4545" t="s">
        <v>2876</v>
      </c>
      <c r="I4545">
        <v>740</v>
      </c>
    </row>
    <row r="4546" spans="1:9" x14ac:dyDescent="0.25">
      <c r="A4546" t="s">
        <v>9616</v>
      </c>
      <c r="C4546" t="s">
        <v>9617</v>
      </c>
      <c r="D4546" t="str">
        <f>"92758"</f>
        <v>92758</v>
      </c>
      <c r="E4546" t="s">
        <v>11960</v>
      </c>
      <c r="F4546" s="1">
        <v>45621</v>
      </c>
      <c r="G4546" t="str">
        <f>"300043"</f>
        <v>300043</v>
      </c>
      <c r="H4546" t="s">
        <v>2876</v>
      </c>
      <c r="I4546">
        <v>1291</v>
      </c>
    </row>
    <row r="4547" spans="1:9" x14ac:dyDescent="0.25">
      <c r="A4547" t="s">
        <v>9616</v>
      </c>
      <c r="C4547" t="s">
        <v>9617</v>
      </c>
      <c r="D4547" t="s">
        <v>11961</v>
      </c>
      <c r="E4547" t="s">
        <v>11962</v>
      </c>
      <c r="F4547" s="1">
        <v>45621</v>
      </c>
      <c r="G4547" t="str">
        <f>"300101"</f>
        <v>300101</v>
      </c>
      <c r="H4547" t="s">
        <v>2926</v>
      </c>
      <c r="I4547">
        <v>2000</v>
      </c>
    </row>
    <row r="4548" spans="1:9" x14ac:dyDescent="0.25">
      <c r="A4548" t="s">
        <v>9616</v>
      </c>
      <c r="C4548" t="s">
        <v>9617</v>
      </c>
      <c r="D4548" t="str">
        <f>"80191492"</f>
        <v>80191492</v>
      </c>
      <c r="E4548" t="s">
        <v>9189</v>
      </c>
      <c r="F4548" s="1">
        <v>45621</v>
      </c>
      <c r="G4548" t="str">
        <f>"300381"</f>
        <v>300381</v>
      </c>
      <c r="H4548" t="s">
        <v>3118</v>
      </c>
      <c r="I4548">
        <v>333934.96950000001</v>
      </c>
    </row>
    <row r="4549" spans="1:9" x14ac:dyDescent="0.25">
      <c r="A4549" t="s">
        <v>9616</v>
      </c>
      <c r="C4549" t="s">
        <v>9617</v>
      </c>
      <c r="D4549" t="str">
        <f>"80191529"</f>
        <v>80191529</v>
      </c>
      <c r="E4549" t="s">
        <v>9566</v>
      </c>
      <c r="F4549" s="1">
        <v>45621</v>
      </c>
      <c r="G4549" t="str">
        <f>"300381"</f>
        <v>300381</v>
      </c>
      <c r="H4549" t="s">
        <v>3118</v>
      </c>
      <c r="I4549">
        <v>333984.8677</v>
      </c>
    </row>
    <row r="4550" spans="1:9" x14ac:dyDescent="0.25">
      <c r="A4550" t="s">
        <v>9616</v>
      </c>
      <c r="C4550" t="s">
        <v>9617</v>
      </c>
      <c r="D4550" t="s">
        <v>11963</v>
      </c>
      <c r="E4550" t="s">
        <v>11960</v>
      </c>
      <c r="F4550" s="1">
        <v>45622</v>
      </c>
      <c r="G4550" t="str">
        <f>"300321"</f>
        <v>300321</v>
      </c>
      <c r="H4550" t="s">
        <v>2706</v>
      </c>
      <c r="I4550">
        <v>35000</v>
      </c>
    </row>
    <row r="4551" spans="1:9" x14ac:dyDescent="0.25">
      <c r="A4551" t="s">
        <v>9616</v>
      </c>
      <c r="C4551" t="s">
        <v>9617</v>
      </c>
      <c r="D4551" t="str">
        <f>"18052"</f>
        <v>18052</v>
      </c>
      <c r="E4551" t="s">
        <v>11471</v>
      </c>
      <c r="F4551" s="1">
        <v>45623</v>
      </c>
      <c r="G4551" t="str">
        <f>"300043"</f>
        <v>300043</v>
      </c>
      <c r="H4551" t="s">
        <v>2876</v>
      </c>
      <c r="I4551">
        <v>4358</v>
      </c>
    </row>
    <row r="4552" spans="1:9" x14ac:dyDescent="0.25">
      <c r="A4552" t="s">
        <v>9616</v>
      </c>
      <c r="C4552" t="s">
        <v>9617</v>
      </c>
      <c r="D4552" t="str">
        <f>"93833"</f>
        <v>93833</v>
      </c>
      <c r="E4552" t="s">
        <v>11964</v>
      </c>
      <c r="F4552" s="1">
        <v>45623</v>
      </c>
      <c r="G4552" t="str">
        <f>"300043"</f>
        <v>300043</v>
      </c>
      <c r="H4552" t="s">
        <v>2876</v>
      </c>
      <c r="I4552">
        <v>1289</v>
      </c>
    </row>
    <row r="4553" spans="1:9" x14ac:dyDescent="0.25">
      <c r="A4553" t="s">
        <v>9616</v>
      </c>
      <c r="C4553" t="s">
        <v>9617</v>
      </c>
      <c r="D4553" t="str">
        <f>"477224"</f>
        <v>477224</v>
      </c>
      <c r="E4553" t="s">
        <v>11758</v>
      </c>
      <c r="F4553" s="1">
        <v>45623</v>
      </c>
      <c r="G4553" t="str">
        <f>"300101"</f>
        <v>300101</v>
      </c>
      <c r="H4553" t="s">
        <v>2926</v>
      </c>
      <c r="I4553">
        <v>3167.62</v>
      </c>
    </row>
    <row r="4554" spans="1:9" x14ac:dyDescent="0.25">
      <c r="A4554" t="s">
        <v>9616</v>
      </c>
      <c r="C4554" t="s">
        <v>9617</v>
      </c>
      <c r="D4554" t="s">
        <v>11965</v>
      </c>
      <c r="E4554" t="s">
        <v>11946</v>
      </c>
      <c r="F4554" s="1">
        <v>45623</v>
      </c>
      <c r="G4554" t="str">
        <f>"300423"</f>
        <v>300423</v>
      </c>
      <c r="H4554" t="s">
        <v>3156</v>
      </c>
      <c r="I4554">
        <v>3166.37</v>
      </c>
    </row>
    <row r="4555" spans="1:9" x14ac:dyDescent="0.25">
      <c r="A4555" t="s">
        <v>9616</v>
      </c>
      <c r="C4555" t="s">
        <v>9617</v>
      </c>
      <c r="D4555" t="str">
        <f>"94512"</f>
        <v>94512</v>
      </c>
      <c r="E4555" t="s">
        <v>11966</v>
      </c>
      <c r="F4555" s="1">
        <v>45624</v>
      </c>
      <c r="G4555" t="str">
        <f>"300043"</f>
        <v>300043</v>
      </c>
      <c r="H4555" t="s">
        <v>2876</v>
      </c>
      <c r="I4555">
        <v>1301</v>
      </c>
    </row>
    <row r="4556" spans="1:9" x14ac:dyDescent="0.25">
      <c r="A4556" t="s">
        <v>9616</v>
      </c>
      <c r="C4556" t="s">
        <v>9617</v>
      </c>
      <c r="D4556" t="str">
        <f>"10163785"</f>
        <v>10163785</v>
      </c>
      <c r="E4556" t="s">
        <v>9189</v>
      </c>
      <c r="F4556" s="1">
        <v>45624</v>
      </c>
      <c r="G4556" t="str">
        <f>"300115"</f>
        <v>300115</v>
      </c>
      <c r="H4556" t="s">
        <v>2938</v>
      </c>
      <c r="I4556">
        <v>346291.77</v>
      </c>
    </row>
    <row r="4557" spans="1:9" x14ac:dyDescent="0.25">
      <c r="A4557" t="s">
        <v>9616</v>
      </c>
      <c r="C4557" t="s">
        <v>9617</v>
      </c>
      <c r="D4557" t="str">
        <f>"10163786"</f>
        <v>10163786</v>
      </c>
      <c r="E4557" t="s">
        <v>9189</v>
      </c>
      <c r="F4557" s="1">
        <v>45624</v>
      </c>
      <c r="G4557" t="str">
        <f>"300115"</f>
        <v>300115</v>
      </c>
      <c r="H4557" t="s">
        <v>2938</v>
      </c>
      <c r="I4557">
        <v>346254.57900000003</v>
      </c>
    </row>
    <row r="4558" spans="1:9" x14ac:dyDescent="0.25">
      <c r="A4558" t="s">
        <v>9616</v>
      </c>
      <c r="C4558" t="s">
        <v>9617</v>
      </c>
      <c r="D4558" t="str">
        <f>"80191808"</f>
        <v>80191808</v>
      </c>
      <c r="E4558" t="s">
        <v>10522</v>
      </c>
      <c r="F4558" s="1">
        <v>45624</v>
      </c>
      <c r="G4558" t="str">
        <f>"300381"</f>
        <v>300381</v>
      </c>
      <c r="H4558" t="s">
        <v>3118</v>
      </c>
      <c r="I4558">
        <v>333934.96950000001</v>
      </c>
    </row>
    <row r="4559" spans="1:9" x14ac:dyDescent="0.25">
      <c r="A4559" t="s">
        <v>9616</v>
      </c>
      <c r="C4559" t="s">
        <v>9617</v>
      </c>
      <c r="D4559" t="str">
        <f>"4879"</f>
        <v>4879</v>
      </c>
      <c r="E4559" t="s">
        <v>11967</v>
      </c>
      <c r="F4559" s="1">
        <v>45625</v>
      </c>
      <c r="G4559" t="str">
        <f>"300043"</f>
        <v>300043</v>
      </c>
      <c r="H4559" t="s">
        <v>2876</v>
      </c>
      <c r="I4559">
        <v>1310</v>
      </c>
    </row>
    <row r="4560" spans="1:9" x14ac:dyDescent="0.25">
      <c r="A4560" t="s">
        <v>9616</v>
      </c>
      <c r="C4560" t="s">
        <v>9617</v>
      </c>
      <c r="D4560" t="str">
        <f>"94437"</f>
        <v>94437</v>
      </c>
      <c r="E4560" t="s">
        <v>11968</v>
      </c>
      <c r="F4560" s="1">
        <v>45625</v>
      </c>
      <c r="G4560" t="str">
        <f>"300043"</f>
        <v>300043</v>
      </c>
      <c r="H4560" t="s">
        <v>2876</v>
      </c>
      <c r="I4560">
        <v>1290</v>
      </c>
    </row>
    <row r="4561" spans="1:9" x14ac:dyDescent="0.25">
      <c r="A4561" t="s">
        <v>9616</v>
      </c>
      <c r="C4561" t="s">
        <v>9617</v>
      </c>
      <c r="D4561" t="str">
        <f>"80191864"</f>
        <v>80191864</v>
      </c>
      <c r="E4561" t="s">
        <v>1313</v>
      </c>
      <c r="F4561" s="1">
        <v>45625</v>
      </c>
      <c r="G4561" t="str">
        <f>"300381"</f>
        <v>300381</v>
      </c>
      <c r="H4561" t="s">
        <v>3118</v>
      </c>
      <c r="I4561">
        <v>340613.11349999998</v>
      </c>
    </row>
    <row r="4562" spans="1:9" x14ac:dyDescent="0.25">
      <c r="A4562" t="s">
        <v>9616</v>
      </c>
      <c r="C4562" t="s">
        <v>9617</v>
      </c>
      <c r="D4562" t="s">
        <v>11969</v>
      </c>
      <c r="E4562" t="s">
        <v>11964</v>
      </c>
      <c r="F4562" s="1">
        <v>45625</v>
      </c>
      <c r="G4562" t="str">
        <f>"300423"</f>
        <v>300423</v>
      </c>
      <c r="H4562" t="s">
        <v>3156</v>
      </c>
      <c r="I4562">
        <v>2746.37</v>
      </c>
    </row>
    <row r="4563" spans="1:9" x14ac:dyDescent="0.25">
      <c r="A4563" t="s">
        <v>9616</v>
      </c>
      <c r="C4563" t="s">
        <v>9617</v>
      </c>
      <c r="D4563" t="s">
        <v>11970</v>
      </c>
      <c r="E4563" t="s">
        <v>11960</v>
      </c>
      <c r="F4563" s="1">
        <v>45625</v>
      </c>
      <c r="G4563" t="str">
        <f>"300423"</f>
        <v>300423</v>
      </c>
      <c r="H4563" t="s">
        <v>3156</v>
      </c>
      <c r="I4563">
        <v>3166.37</v>
      </c>
    </row>
    <row r="4564" spans="1:9" x14ac:dyDescent="0.25">
      <c r="A4564" t="s">
        <v>9616</v>
      </c>
      <c r="C4564" t="s">
        <v>9617</v>
      </c>
      <c r="D4564" t="str">
        <f>"94961"</f>
        <v>94961</v>
      </c>
      <c r="E4564" t="s">
        <v>11971</v>
      </c>
      <c r="F4564" s="1">
        <v>45626</v>
      </c>
      <c r="G4564" t="str">
        <f>"300043"</f>
        <v>300043</v>
      </c>
      <c r="H4564" t="s">
        <v>2876</v>
      </c>
      <c r="I4564">
        <v>1310</v>
      </c>
    </row>
    <row r="4565" spans="1:9" x14ac:dyDescent="0.25">
      <c r="A4565" t="s">
        <v>9616</v>
      </c>
      <c r="C4565" t="s">
        <v>9617</v>
      </c>
      <c r="D4565" t="str">
        <f>"202409999"</f>
        <v>202409999</v>
      </c>
      <c r="E4565" t="s">
        <v>11967</v>
      </c>
      <c r="F4565" s="1">
        <v>45626</v>
      </c>
      <c r="G4565" t="str">
        <f>"300191"</f>
        <v>300191</v>
      </c>
      <c r="H4565" t="s">
        <v>3008</v>
      </c>
      <c r="I4565">
        <v>3237.47</v>
      </c>
    </row>
    <row r="4566" spans="1:9" x14ac:dyDescent="0.25">
      <c r="A4566" t="s">
        <v>9616</v>
      </c>
      <c r="C4566" t="s">
        <v>9617</v>
      </c>
      <c r="D4566" t="str">
        <f>"202410010"</f>
        <v>202410010</v>
      </c>
      <c r="E4566" t="s">
        <v>11966</v>
      </c>
      <c r="F4566" s="1">
        <v>45626</v>
      </c>
      <c r="G4566" t="str">
        <f>"300191"</f>
        <v>300191</v>
      </c>
      <c r="H4566" t="s">
        <v>3008</v>
      </c>
      <c r="I4566">
        <v>4784.3999999999996</v>
      </c>
    </row>
    <row r="4567" spans="1:9" x14ac:dyDescent="0.25">
      <c r="A4567" t="s">
        <v>9616</v>
      </c>
      <c r="C4567" t="s">
        <v>9617</v>
      </c>
      <c r="D4567" t="str">
        <f>"202410035"</f>
        <v>202410035</v>
      </c>
      <c r="E4567" t="s">
        <v>11971</v>
      </c>
      <c r="F4567" s="1">
        <v>45626</v>
      </c>
      <c r="G4567" t="str">
        <f>"300191"</f>
        <v>300191</v>
      </c>
      <c r="H4567" t="s">
        <v>3008</v>
      </c>
      <c r="I4567">
        <v>3237.47</v>
      </c>
    </row>
    <row r="4568" spans="1:9" x14ac:dyDescent="0.25">
      <c r="A4568" t="s">
        <v>9616</v>
      </c>
      <c r="C4568" t="s">
        <v>9617</v>
      </c>
      <c r="D4568" t="s">
        <v>11972</v>
      </c>
      <c r="E4568" t="s">
        <v>11966</v>
      </c>
      <c r="F4568" s="1">
        <v>45626</v>
      </c>
      <c r="G4568" t="str">
        <f>"300321"</f>
        <v>300321</v>
      </c>
      <c r="H4568" t="s">
        <v>2706</v>
      </c>
      <c r="I4568">
        <v>38500</v>
      </c>
    </row>
    <row r="4569" spans="1:9" x14ac:dyDescent="0.25">
      <c r="A4569" t="s">
        <v>9616</v>
      </c>
      <c r="C4569" t="s">
        <v>9617</v>
      </c>
      <c r="D4569" t="s">
        <v>11973</v>
      </c>
      <c r="E4569" t="s">
        <v>11964</v>
      </c>
      <c r="F4569" s="1">
        <v>45626</v>
      </c>
      <c r="G4569" t="str">
        <f>"300321"</f>
        <v>300321</v>
      </c>
      <c r="H4569" t="s">
        <v>2706</v>
      </c>
      <c r="I4569">
        <v>35000</v>
      </c>
    </row>
    <row r="4570" spans="1:9" x14ac:dyDescent="0.25">
      <c r="A4570" t="s">
        <v>9616</v>
      </c>
      <c r="C4570" t="s">
        <v>9617</v>
      </c>
      <c r="D4570" t="s">
        <v>11974</v>
      </c>
      <c r="E4570" t="s">
        <v>11968</v>
      </c>
      <c r="F4570" s="1">
        <v>45626</v>
      </c>
      <c r="G4570" t="str">
        <f>"300321"</f>
        <v>300321</v>
      </c>
      <c r="H4570" t="s">
        <v>2706</v>
      </c>
      <c r="I4570">
        <v>38500</v>
      </c>
    </row>
    <row r="4571" spans="1:9" x14ac:dyDescent="0.25">
      <c r="A4571" t="s">
        <v>9616</v>
      </c>
      <c r="C4571" t="s">
        <v>9617</v>
      </c>
      <c r="D4571" t="s">
        <v>11975</v>
      </c>
      <c r="E4571" t="s">
        <v>11976</v>
      </c>
      <c r="F4571" s="1">
        <v>45626</v>
      </c>
      <c r="G4571" t="str">
        <f>"300321"</f>
        <v>300321</v>
      </c>
      <c r="H4571" t="s">
        <v>2706</v>
      </c>
      <c r="I4571">
        <v>38500</v>
      </c>
    </row>
    <row r="4572" spans="1:9" x14ac:dyDescent="0.25">
      <c r="A4572" t="s">
        <v>9616</v>
      </c>
      <c r="C4572" t="s">
        <v>9617</v>
      </c>
      <c r="D4572" t="s">
        <v>11977</v>
      </c>
      <c r="E4572" t="s">
        <v>11945</v>
      </c>
      <c r="F4572" s="1">
        <v>45626</v>
      </c>
      <c r="G4572" t="str">
        <f>"300400"</f>
        <v>300400</v>
      </c>
      <c r="H4572" t="s">
        <v>3136</v>
      </c>
      <c r="I4572">
        <v>3848</v>
      </c>
    </row>
    <row r="4573" spans="1:9" x14ac:dyDescent="0.25">
      <c r="A4573" t="s">
        <v>9616</v>
      </c>
      <c r="C4573" t="s">
        <v>9617</v>
      </c>
      <c r="D4573" t="s">
        <v>11978</v>
      </c>
      <c r="E4573" t="s">
        <v>11968</v>
      </c>
      <c r="F4573" s="1">
        <v>45626</v>
      </c>
      <c r="G4573" t="str">
        <f>"300423"</f>
        <v>300423</v>
      </c>
      <c r="H4573" t="s">
        <v>3156</v>
      </c>
      <c r="I4573">
        <v>3369.8</v>
      </c>
    </row>
    <row r="4574" spans="1:9" x14ac:dyDescent="0.25">
      <c r="A4574" t="s">
        <v>9616</v>
      </c>
      <c r="C4574" t="s">
        <v>9617</v>
      </c>
      <c r="D4574" t="str">
        <f>"95170"</f>
        <v>95170</v>
      </c>
      <c r="E4574" t="s">
        <v>11979</v>
      </c>
      <c r="F4574" s="1">
        <v>45628</v>
      </c>
      <c r="G4574" t="str">
        <f>"300043"</f>
        <v>300043</v>
      </c>
      <c r="H4574" t="s">
        <v>2876</v>
      </c>
      <c r="I4574">
        <v>1320</v>
      </c>
    </row>
    <row r="4575" spans="1:9" x14ac:dyDescent="0.25">
      <c r="A4575" t="s">
        <v>9616</v>
      </c>
      <c r="C4575" t="s">
        <v>9617</v>
      </c>
      <c r="D4575" t="str">
        <f>"95205"</f>
        <v>95205</v>
      </c>
      <c r="E4575" t="s">
        <v>11976</v>
      </c>
      <c r="F4575" s="1">
        <v>45628</v>
      </c>
      <c r="G4575" t="str">
        <f>"300043"</f>
        <v>300043</v>
      </c>
      <c r="H4575" t="s">
        <v>2876</v>
      </c>
      <c r="I4575">
        <v>1302</v>
      </c>
    </row>
    <row r="4576" spans="1:9" x14ac:dyDescent="0.25">
      <c r="A4576" t="s">
        <v>9616</v>
      </c>
      <c r="C4576" t="s">
        <v>9617</v>
      </c>
      <c r="D4576" t="str">
        <f>"164145"</f>
        <v>164145</v>
      </c>
      <c r="E4576" t="s">
        <v>11957</v>
      </c>
      <c r="F4576" s="1">
        <v>45628</v>
      </c>
      <c r="G4576" t="str">
        <f>"300043"</f>
        <v>300043</v>
      </c>
      <c r="H4576" t="s">
        <v>2876</v>
      </c>
      <c r="I4576">
        <v>1144</v>
      </c>
    </row>
    <row r="4577" spans="1:9" x14ac:dyDescent="0.25">
      <c r="A4577" t="s">
        <v>9616</v>
      </c>
      <c r="C4577" t="s">
        <v>9617</v>
      </c>
      <c r="D4577" t="str">
        <f>"10163895"</f>
        <v>10163895</v>
      </c>
      <c r="E4577" t="s">
        <v>10809</v>
      </c>
      <c r="F4577" s="1">
        <v>45628</v>
      </c>
      <c r="G4577" t="str">
        <f>"300115"</f>
        <v>300115</v>
      </c>
      <c r="H4577" t="s">
        <v>2938</v>
      </c>
      <c r="I4577">
        <v>69058.572</v>
      </c>
    </row>
    <row r="4578" spans="1:9" x14ac:dyDescent="0.25">
      <c r="A4578" t="s">
        <v>9616</v>
      </c>
      <c r="C4578" t="s">
        <v>9617</v>
      </c>
      <c r="D4578" t="str">
        <f>"10163896"</f>
        <v>10163896</v>
      </c>
      <c r="E4578" t="s">
        <v>10049</v>
      </c>
      <c r="F4578" s="1">
        <v>45628</v>
      </c>
      <c r="G4578" t="str">
        <f>"300115"</f>
        <v>300115</v>
      </c>
      <c r="H4578" t="s">
        <v>2938</v>
      </c>
      <c r="I4578">
        <v>226372.98420000001</v>
      </c>
    </row>
    <row r="4579" spans="1:9" x14ac:dyDescent="0.25">
      <c r="A4579" t="s">
        <v>9616</v>
      </c>
      <c r="C4579" t="s">
        <v>9617</v>
      </c>
      <c r="D4579" t="s">
        <v>11980</v>
      </c>
      <c r="E4579" t="s">
        <v>11971</v>
      </c>
      <c r="F4579" s="1">
        <v>45628</v>
      </c>
      <c r="G4579" t="str">
        <f>"300321"</f>
        <v>300321</v>
      </c>
      <c r="H4579" t="s">
        <v>2706</v>
      </c>
      <c r="I4579">
        <v>21875</v>
      </c>
    </row>
    <row r="4580" spans="1:9" x14ac:dyDescent="0.25">
      <c r="A4580" t="s">
        <v>9616</v>
      </c>
      <c r="C4580" t="s">
        <v>9617</v>
      </c>
      <c r="D4580" t="s">
        <v>11981</v>
      </c>
      <c r="E4580" t="s">
        <v>11967</v>
      </c>
      <c r="F4580" s="1">
        <v>45628</v>
      </c>
      <c r="G4580" t="str">
        <f>"300321"</f>
        <v>300321</v>
      </c>
      <c r="H4580" t="s">
        <v>2706</v>
      </c>
      <c r="I4580">
        <v>21875</v>
      </c>
    </row>
    <row r="4581" spans="1:9" x14ac:dyDescent="0.25">
      <c r="A4581" t="s">
        <v>9616</v>
      </c>
      <c r="C4581" t="s">
        <v>9617</v>
      </c>
      <c r="D4581" t="str">
        <f>"80191907"</f>
        <v>80191907</v>
      </c>
      <c r="E4581" t="s">
        <v>9189</v>
      </c>
      <c r="F4581" s="1">
        <v>45628</v>
      </c>
      <c r="G4581" t="str">
        <f>"300381"</f>
        <v>300381</v>
      </c>
      <c r="H4581" t="s">
        <v>3118</v>
      </c>
      <c r="I4581">
        <v>333934.96950000001</v>
      </c>
    </row>
    <row r="4582" spans="1:9" x14ac:dyDescent="0.25">
      <c r="A4582" t="s">
        <v>9616</v>
      </c>
      <c r="C4582" t="s">
        <v>9617</v>
      </c>
      <c r="D4582" t="str">
        <f>"18377"</f>
        <v>18377</v>
      </c>
      <c r="E4582" t="s">
        <v>11471</v>
      </c>
      <c r="F4582" s="1">
        <v>45629</v>
      </c>
      <c r="G4582" t="str">
        <f>"300043"</f>
        <v>300043</v>
      </c>
      <c r="H4582" t="s">
        <v>2876</v>
      </c>
      <c r="I4582">
        <v>4903</v>
      </c>
    </row>
    <row r="4583" spans="1:9" x14ac:dyDescent="0.25">
      <c r="A4583" t="s">
        <v>9616</v>
      </c>
      <c r="C4583" t="s">
        <v>9617</v>
      </c>
      <c r="D4583" t="str">
        <f>"114777"</f>
        <v>114777</v>
      </c>
      <c r="E4583" t="s">
        <v>11982</v>
      </c>
      <c r="F4583" s="1">
        <v>45629</v>
      </c>
      <c r="G4583" t="str">
        <f>"300043"</f>
        <v>300043</v>
      </c>
      <c r="H4583" t="s">
        <v>2876</v>
      </c>
      <c r="I4583">
        <v>35483</v>
      </c>
    </row>
    <row r="4584" spans="1:9" x14ac:dyDescent="0.25">
      <c r="A4584" t="s">
        <v>9616</v>
      </c>
      <c r="C4584" t="s">
        <v>9617</v>
      </c>
      <c r="D4584" t="s">
        <v>11983</v>
      </c>
      <c r="E4584" t="s">
        <v>11979</v>
      </c>
      <c r="F4584" s="1">
        <v>45629</v>
      </c>
      <c r="G4584" t="str">
        <f>"300321"</f>
        <v>300321</v>
      </c>
      <c r="H4584" t="s">
        <v>2706</v>
      </c>
      <c r="I4584">
        <v>33250</v>
      </c>
    </row>
    <row r="4585" spans="1:9" x14ac:dyDescent="0.25">
      <c r="A4585" t="s">
        <v>9616</v>
      </c>
      <c r="C4585" t="s">
        <v>9617</v>
      </c>
      <c r="D4585" t="s">
        <v>11984</v>
      </c>
      <c r="E4585" t="s">
        <v>10642</v>
      </c>
      <c r="F4585" s="1">
        <v>45629</v>
      </c>
      <c r="G4585" t="str">
        <f>"300381"</f>
        <v>300381</v>
      </c>
      <c r="H4585" t="s">
        <v>3118</v>
      </c>
      <c r="I4585">
        <v>674.3</v>
      </c>
    </row>
    <row r="4586" spans="1:9" x14ac:dyDescent="0.25">
      <c r="A4586" t="s">
        <v>9616</v>
      </c>
      <c r="C4586" t="s">
        <v>9617</v>
      </c>
      <c r="D4586" t="str">
        <f>"96162"</f>
        <v>96162</v>
      </c>
      <c r="E4586" t="s">
        <v>11985</v>
      </c>
      <c r="F4586" s="1">
        <v>45630</v>
      </c>
      <c r="G4586" t="str">
        <f>"300043"</f>
        <v>300043</v>
      </c>
      <c r="H4586" t="s">
        <v>2876</v>
      </c>
      <c r="I4586">
        <v>1280</v>
      </c>
    </row>
    <row r="4587" spans="1:9" x14ac:dyDescent="0.25">
      <c r="A4587" t="s">
        <v>9616</v>
      </c>
      <c r="C4587" t="s">
        <v>9617</v>
      </c>
      <c r="D4587" t="str">
        <f>"20014865"</f>
        <v>20014865</v>
      </c>
      <c r="E4587" t="s">
        <v>1313</v>
      </c>
      <c r="F4587" s="1">
        <v>45630</v>
      </c>
      <c r="G4587" t="str">
        <f>"300115"</f>
        <v>300115</v>
      </c>
      <c r="H4587" t="s">
        <v>2938</v>
      </c>
      <c r="I4587">
        <v>3068.12</v>
      </c>
    </row>
    <row r="4588" spans="1:9" x14ac:dyDescent="0.25">
      <c r="A4588" t="s">
        <v>9616</v>
      </c>
      <c r="C4588" t="s">
        <v>9617</v>
      </c>
      <c r="D4588" t="str">
        <f>"202410086"</f>
        <v>202410086</v>
      </c>
      <c r="E4588" t="s">
        <v>11976</v>
      </c>
      <c r="F4588" s="1">
        <v>45630</v>
      </c>
      <c r="G4588" t="str">
        <f>"300191"</f>
        <v>300191</v>
      </c>
      <c r="H4588" t="s">
        <v>3008</v>
      </c>
      <c r="I4588">
        <v>3430.42</v>
      </c>
    </row>
    <row r="4589" spans="1:9" x14ac:dyDescent="0.25">
      <c r="A4589" t="s">
        <v>9616</v>
      </c>
      <c r="C4589" t="s">
        <v>9617</v>
      </c>
      <c r="D4589" t="str">
        <f>"80192070"</f>
        <v>80192070</v>
      </c>
      <c r="E4589" t="s">
        <v>1313</v>
      </c>
      <c r="F4589" s="1">
        <v>45630</v>
      </c>
      <c r="G4589" t="str">
        <f>"300381"</f>
        <v>300381</v>
      </c>
      <c r="H4589" t="s">
        <v>3118</v>
      </c>
      <c r="I4589">
        <v>340613.11349999998</v>
      </c>
    </row>
    <row r="4590" spans="1:9" x14ac:dyDescent="0.25">
      <c r="A4590" t="s">
        <v>9616</v>
      </c>
      <c r="C4590" t="s">
        <v>9617</v>
      </c>
      <c r="D4590" t="str">
        <f>"80192111"</f>
        <v>80192111</v>
      </c>
      <c r="E4590" t="s">
        <v>1313</v>
      </c>
      <c r="F4590" s="1">
        <v>45630</v>
      </c>
      <c r="G4590" t="str">
        <f>"300381"</f>
        <v>300381</v>
      </c>
      <c r="H4590" t="s">
        <v>3118</v>
      </c>
      <c r="I4590">
        <v>340613.11349999998</v>
      </c>
    </row>
    <row r="4591" spans="1:9" x14ac:dyDescent="0.25">
      <c r="A4591" t="s">
        <v>9616</v>
      </c>
      <c r="C4591" t="s">
        <v>9617</v>
      </c>
      <c r="D4591" t="str">
        <f>"96643"</f>
        <v>96643</v>
      </c>
      <c r="E4591" t="s">
        <v>11986</v>
      </c>
      <c r="F4591" s="1">
        <v>45631</v>
      </c>
      <c r="G4591" t="str">
        <f>"300043"</f>
        <v>300043</v>
      </c>
      <c r="H4591" t="s">
        <v>2876</v>
      </c>
      <c r="I4591">
        <v>1137</v>
      </c>
    </row>
    <row r="4592" spans="1:9" x14ac:dyDescent="0.25">
      <c r="A4592" t="s">
        <v>9616</v>
      </c>
      <c r="C4592" t="s">
        <v>9617</v>
      </c>
      <c r="D4592" t="s">
        <v>11987</v>
      </c>
      <c r="E4592" t="s">
        <v>11985</v>
      </c>
      <c r="F4592" s="1">
        <v>45631</v>
      </c>
      <c r="G4592" t="str">
        <f>"300321"</f>
        <v>300321</v>
      </c>
      <c r="H4592" t="s">
        <v>2706</v>
      </c>
      <c r="I4592">
        <v>35000</v>
      </c>
    </row>
    <row r="4593" spans="1:9" x14ac:dyDescent="0.25">
      <c r="A4593" t="s">
        <v>9616</v>
      </c>
      <c r="C4593" t="s">
        <v>9617</v>
      </c>
      <c r="D4593" t="s">
        <v>11988</v>
      </c>
      <c r="E4593" t="s">
        <v>11989</v>
      </c>
      <c r="F4593" s="1">
        <v>45632</v>
      </c>
      <c r="G4593" t="str">
        <f>"300064"</f>
        <v>300064</v>
      </c>
      <c r="H4593" t="s">
        <v>2896</v>
      </c>
      <c r="I4593">
        <v>93252</v>
      </c>
    </row>
    <row r="4594" spans="1:9" x14ac:dyDescent="0.25">
      <c r="A4594" t="s">
        <v>9616</v>
      </c>
      <c r="C4594" t="s">
        <v>9617</v>
      </c>
      <c r="D4594" t="s">
        <v>11990</v>
      </c>
      <c r="E4594" s="2">
        <v>46116</v>
      </c>
      <c r="F4594" s="1">
        <v>45632</v>
      </c>
      <c r="G4594" t="str">
        <f>"300064"</f>
        <v>300064</v>
      </c>
      <c r="H4594" t="s">
        <v>2896</v>
      </c>
      <c r="I4594">
        <v>43602</v>
      </c>
    </row>
    <row r="4595" spans="1:9" x14ac:dyDescent="0.25">
      <c r="A4595" t="s">
        <v>9616</v>
      </c>
      <c r="C4595" t="s">
        <v>9617</v>
      </c>
      <c r="D4595" t="s">
        <v>11991</v>
      </c>
      <c r="E4595" t="s">
        <v>9971</v>
      </c>
      <c r="F4595" s="1">
        <v>45632</v>
      </c>
      <c r="G4595" t="str">
        <f>"300133"</f>
        <v>300133</v>
      </c>
      <c r="H4595" t="s">
        <v>2955</v>
      </c>
      <c r="I4595">
        <v>11981.84</v>
      </c>
    </row>
    <row r="4596" spans="1:9" x14ac:dyDescent="0.25">
      <c r="A4596" t="s">
        <v>9616</v>
      </c>
      <c r="C4596" t="s">
        <v>9617</v>
      </c>
      <c r="D4596" t="s">
        <v>11992</v>
      </c>
      <c r="E4596" t="s">
        <v>11986</v>
      </c>
      <c r="F4596" s="1">
        <v>45632</v>
      </c>
      <c r="G4596" t="str">
        <f>"300321"</f>
        <v>300321</v>
      </c>
      <c r="H4596" t="s">
        <v>2706</v>
      </c>
      <c r="I4596">
        <v>20125</v>
      </c>
    </row>
    <row r="4597" spans="1:9" x14ac:dyDescent="0.25">
      <c r="A4597" t="s">
        <v>9616</v>
      </c>
      <c r="C4597" t="s">
        <v>9617</v>
      </c>
      <c r="D4597" t="str">
        <f>"18662"</f>
        <v>18662</v>
      </c>
      <c r="E4597" t="s">
        <v>11471</v>
      </c>
      <c r="F4597" s="1">
        <v>45635</v>
      </c>
      <c r="G4597" t="str">
        <f>"300043"</f>
        <v>300043</v>
      </c>
      <c r="H4597" t="s">
        <v>2876</v>
      </c>
      <c r="I4597">
        <v>4666</v>
      </c>
    </row>
    <row r="4598" spans="1:9" x14ac:dyDescent="0.25">
      <c r="A4598" t="s">
        <v>9616</v>
      </c>
      <c r="C4598" t="s">
        <v>9617</v>
      </c>
      <c r="D4598" t="str">
        <f>"97436"</f>
        <v>97436</v>
      </c>
      <c r="E4598" t="s">
        <v>11993</v>
      </c>
      <c r="F4598" s="1">
        <v>45635</v>
      </c>
      <c r="G4598" t="str">
        <f>"300043"</f>
        <v>300043</v>
      </c>
      <c r="H4598" t="s">
        <v>2876</v>
      </c>
      <c r="I4598">
        <v>1302</v>
      </c>
    </row>
    <row r="4599" spans="1:9" x14ac:dyDescent="0.25">
      <c r="A4599" t="s">
        <v>9616</v>
      </c>
      <c r="C4599" t="s">
        <v>9617</v>
      </c>
      <c r="D4599" t="str">
        <f>"97438"</f>
        <v>97438</v>
      </c>
      <c r="E4599" t="s">
        <v>11994</v>
      </c>
      <c r="F4599" s="1">
        <v>45635</v>
      </c>
      <c r="G4599" t="str">
        <f>"300043"</f>
        <v>300043</v>
      </c>
      <c r="H4599" t="s">
        <v>2876</v>
      </c>
      <c r="I4599">
        <v>1302</v>
      </c>
    </row>
    <row r="4600" spans="1:9" x14ac:dyDescent="0.25">
      <c r="A4600" t="s">
        <v>9616</v>
      </c>
      <c r="C4600" t="s">
        <v>9617</v>
      </c>
      <c r="D4600" t="s">
        <v>11995</v>
      </c>
      <c r="E4600" t="s">
        <v>11993</v>
      </c>
      <c r="F4600" s="1">
        <v>45635</v>
      </c>
      <c r="G4600" t="str">
        <f>"300321"</f>
        <v>300321</v>
      </c>
      <c r="H4600" t="s">
        <v>2706</v>
      </c>
      <c r="I4600">
        <v>31500</v>
      </c>
    </row>
    <row r="4601" spans="1:9" x14ac:dyDescent="0.25">
      <c r="A4601" t="s">
        <v>9616</v>
      </c>
      <c r="C4601" t="s">
        <v>9617</v>
      </c>
      <c r="D4601" t="str">
        <f>"80192198"</f>
        <v>80192198</v>
      </c>
      <c r="E4601" t="s">
        <v>1313</v>
      </c>
      <c r="F4601" s="1">
        <v>45635</v>
      </c>
      <c r="G4601" t="str">
        <f>"300381"</f>
        <v>300381</v>
      </c>
      <c r="H4601" t="s">
        <v>3118</v>
      </c>
      <c r="I4601">
        <v>340613.11349999998</v>
      </c>
    </row>
    <row r="4602" spans="1:9" x14ac:dyDescent="0.25">
      <c r="A4602" t="s">
        <v>9616</v>
      </c>
      <c r="C4602" t="s">
        <v>9617</v>
      </c>
      <c r="D4602" t="str">
        <f>"80192264"</f>
        <v>80192264</v>
      </c>
      <c r="E4602" t="s">
        <v>1313</v>
      </c>
      <c r="F4602" s="1">
        <v>45635</v>
      </c>
      <c r="G4602" t="str">
        <f>"300381"</f>
        <v>300381</v>
      </c>
      <c r="H4602" t="s">
        <v>3118</v>
      </c>
      <c r="I4602">
        <v>340613.11349999998</v>
      </c>
    </row>
    <row r="4603" spans="1:9" x14ac:dyDescent="0.25">
      <c r="A4603" t="s">
        <v>9616</v>
      </c>
      <c r="C4603" t="s">
        <v>9617</v>
      </c>
      <c r="D4603" t="str">
        <f>"80192285"</f>
        <v>80192285</v>
      </c>
      <c r="E4603" t="s">
        <v>1313</v>
      </c>
      <c r="F4603" s="1">
        <v>45635</v>
      </c>
      <c r="G4603" t="str">
        <f>"300381"</f>
        <v>300381</v>
      </c>
      <c r="H4603" t="s">
        <v>3118</v>
      </c>
      <c r="I4603">
        <v>340613.11349999998</v>
      </c>
    </row>
    <row r="4604" spans="1:9" x14ac:dyDescent="0.25">
      <c r="A4604" t="s">
        <v>9616</v>
      </c>
      <c r="C4604" t="s">
        <v>9617</v>
      </c>
      <c r="D4604" t="str">
        <f>"202410237"</f>
        <v>202410237</v>
      </c>
      <c r="E4604" t="s">
        <v>11986</v>
      </c>
      <c r="F4604" s="1">
        <v>45636</v>
      </c>
      <c r="G4604" t="str">
        <f>"300191"</f>
        <v>300191</v>
      </c>
      <c r="H4604" t="s">
        <v>3008</v>
      </c>
      <c r="I4604">
        <v>3284.87</v>
      </c>
    </row>
    <row r="4605" spans="1:9" x14ac:dyDescent="0.25">
      <c r="A4605" t="s">
        <v>9616</v>
      </c>
      <c r="C4605" t="s">
        <v>9617</v>
      </c>
      <c r="D4605" t="str">
        <f>"202410257"</f>
        <v>202410257</v>
      </c>
      <c r="E4605" t="s">
        <v>11982</v>
      </c>
      <c r="F4605" s="1">
        <v>45636</v>
      </c>
      <c r="G4605" t="str">
        <f>"300191"</f>
        <v>300191</v>
      </c>
      <c r="H4605" t="s">
        <v>3008</v>
      </c>
      <c r="I4605">
        <v>31090.43</v>
      </c>
    </row>
    <row r="4606" spans="1:9" x14ac:dyDescent="0.25">
      <c r="A4606" t="s">
        <v>9616</v>
      </c>
      <c r="C4606" t="s">
        <v>9617</v>
      </c>
      <c r="D4606" t="str">
        <f>"202410261"</f>
        <v>202410261</v>
      </c>
      <c r="E4606" t="s">
        <v>11957</v>
      </c>
      <c r="F4606" s="1">
        <v>45636</v>
      </c>
      <c r="G4606" t="str">
        <f>"300191"</f>
        <v>300191</v>
      </c>
      <c r="H4606" t="s">
        <v>3008</v>
      </c>
      <c r="I4606">
        <v>10002.959999999999</v>
      </c>
    </row>
    <row r="4607" spans="1:9" x14ac:dyDescent="0.25">
      <c r="A4607" t="s">
        <v>9616</v>
      </c>
      <c r="C4607" t="s">
        <v>9617</v>
      </c>
      <c r="D4607" t="s">
        <v>11996</v>
      </c>
      <c r="E4607" t="s">
        <v>11994</v>
      </c>
      <c r="F4607" s="1">
        <v>45636</v>
      </c>
      <c r="G4607" t="str">
        <f>"300321"</f>
        <v>300321</v>
      </c>
      <c r="H4607" t="s">
        <v>2706</v>
      </c>
      <c r="I4607">
        <v>31500</v>
      </c>
    </row>
    <row r="4608" spans="1:9" x14ac:dyDescent="0.25">
      <c r="A4608" t="s">
        <v>9616</v>
      </c>
      <c r="C4608" t="s">
        <v>9617</v>
      </c>
      <c r="D4608" t="str">
        <f>"80191906"</f>
        <v>80191906</v>
      </c>
      <c r="E4608" t="s">
        <v>9189</v>
      </c>
      <c r="F4608" s="1">
        <v>45636</v>
      </c>
      <c r="G4608" t="str">
        <f>"300381"</f>
        <v>300381</v>
      </c>
      <c r="H4608" t="s">
        <v>3118</v>
      </c>
      <c r="I4608">
        <v>333934.96950000001</v>
      </c>
    </row>
    <row r="4609" spans="1:9" x14ac:dyDescent="0.25">
      <c r="A4609" t="s">
        <v>9616</v>
      </c>
      <c r="C4609" t="s">
        <v>9617</v>
      </c>
      <c r="D4609" t="str">
        <f>"80192069"</f>
        <v>80192069</v>
      </c>
      <c r="E4609" t="s">
        <v>9189</v>
      </c>
      <c r="F4609" s="1">
        <v>45636</v>
      </c>
      <c r="G4609" t="str">
        <f>"300381"</f>
        <v>300381</v>
      </c>
      <c r="H4609" t="s">
        <v>3118</v>
      </c>
      <c r="I4609">
        <v>333934.96950000001</v>
      </c>
    </row>
    <row r="4610" spans="1:9" x14ac:dyDescent="0.25">
      <c r="A4610" t="s">
        <v>9616</v>
      </c>
      <c r="C4610" t="s">
        <v>9617</v>
      </c>
      <c r="D4610" t="str">
        <f>"80192169"</f>
        <v>80192169</v>
      </c>
      <c r="E4610" t="s">
        <v>1313</v>
      </c>
      <c r="F4610" s="1">
        <v>45636</v>
      </c>
      <c r="G4610" t="str">
        <f>"300381"</f>
        <v>300381</v>
      </c>
      <c r="H4610" t="s">
        <v>3118</v>
      </c>
      <c r="I4610">
        <v>340613.11349999998</v>
      </c>
    </row>
    <row r="4611" spans="1:9" x14ac:dyDescent="0.25">
      <c r="A4611" t="s">
        <v>9616</v>
      </c>
      <c r="C4611" t="s">
        <v>9617</v>
      </c>
      <c r="D4611" t="str">
        <f>"80192286"</f>
        <v>80192286</v>
      </c>
      <c r="E4611" t="s">
        <v>1313</v>
      </c>
      <c r="F4611" s="1">
        <v>45636</v>
      </c>
      <c r="G4611" t="str">
        <f>"300381"</f>
        <v>300381</v>
      </c>
      <c r="H4611" t="s">
        <v>3118</v>
      </c>
      <c r="I4611">
        <v>340613.11349999998</v>
      </c>
    </row>
    <row r="4612" spans="1:9" x14ac:dyDescent="0.25">
      <c r="A4612" t="s">
        <v>9616</v>
      </c>
      <c r="C4612" t="s">
        <v>9617</v>
      </c>
      <c r="D4612" t="s">
        <v>11997</v>
      </c>
      <c r="E4612" t="s">
        <v>11985</v>
      </c>
      <c r="F4612" s="1">
        <v>45636</v>
      </c>
      <c r="G4612" t="str">
        <f>"300423"</f>
        <v>300423</v>
      </c>
      <c r="H4612" t="s">
        <v>3156</v>
      </c>
      <c r="I4612">
        <v>3166.37</v>
      </c>
    </row>
    <row r="4613" spans="1:9" x14ac:dyDescent="0.25">
      <c r="A4613" t="s">
        <v>9616</v>
      </c>
      <c r="C4613" t="s">
        <v>9617</v>
      </c>
      <c r="D4613" t="s">
        <v>11998</v>
      </c>
      <c r="E4613" t="s">
        <v>11979</v>
      </c>
      <c r="F4613" s="1">
        <v>45636</v>
      </c>
      <c r="G4613" t="str">
        <f>"300423"</f>
        <v>300423</v>
      </c>
      <c r="H4613" t="s">
        <v>3156</v>
      </c>
      <c r="I4613">
        <v>3335.62</v>
      </c>
    </row>
    <row r="4614" spans="1:9" x14ac:dyDescent="0.25">
      <c r="A4614" t="s">
        <v>9616</v>
      </c>
      <c r="C4614" t="s">
        <v>9617</v>
      </c>
      <c r="D4614" t="str">
        <f>"18875"</f>
        <v>18875</v>
      </c>
      <c r="E4614" t="s">
        <v>11471</v>
      </c>
      <c r="F4614" s="1">
        <v>45637</v>
      </c>
      <c r="G4614" t="str">
        <f>"300043"</f>
        <v>300043</v>
      </c>
      <c r="H4614" t="s">
        <v>2876</v>
      </c>
      <c r="I4614">
        <v>4693</v>
      </c>
    </row>
    <row r="4615" spans="1:9" x14ac:dyDescent="0.25">
      <c r="A4615" t="s">
        <v>9616</v>
      </c>
      <c r="C4615" t="s">
        <v>9617</v>
      </c>
      <c r="D4615" t="str">
        <f>"98279"</f>
        <v>98279</v>
      </c>
      <c r="E4615" t="s">
        <v>11999</v>
      </c>
      <c r="F4615" s="1">
        <v>45637</v>
      </c>
      <c r="G4615" t="str">
        <f>"300043"</f>
        <v>300043</v>
      </c>
      <c r="H4615" t="s">
        <v>2876</v>
      </c>
      <c r="I4615">
        <v>1305</v>
      </c>
    </row>
    <row r="4616" spans="1:9" x14ac:dyDescent="0.25">
      <c r="A4616" t="s">
        <v>9616</v>
      </c>
      <c r="C4616" t="s">
        <v>9617</v>
      </c>
      <c r="D4616" t="str">
        <f>"98280"</f>
        <v>98280</v>
      </c>
      <c r="E4616" t="s">
        <v>12000</v>
      </c>
      <c r="F4616" s="1">
        <v>45637</v>
      </c>
      <c r="G4616" t="str">
        <f>"300043"</f>
        <v>300043</v>
      </c>
      <c r="H4616" t="s">
        <v>2876</v>
      </c>
      <c r="I4616">
        <v>1305</v>
      </c>
    </row>
    <row r="4617" spans="1:9" x14ac:dyDescent="0.25">
      <c r="A4617" t="s">
        <v>9616</v>
      </c>
      <c r="C4617" t="s">
        <v>9617</v>
      </c>
      <c r="D4617" t="str">
        <f>"98281"</f>
        <v>98281</v>
      </c>
      <c r="E4617" t="s">
        <v>12001</v>
      </c>
      <c r="F4617" s="1">
        <v>45637</v>
      </c>
      <c r="G4617" t="str">
        <f>"300043"</f>
        <v>300043</v>
      </c>
      <c r="H4617" t="s">
        <v>2876</v>
      </c>
      <c r="I4617">
        <v>1305</v>
      </c>
    </row>
    <row r="4618" spans="1:9" x14ac:dyDescent="0.25">
      <c r="A4618" t="s">
        <v>9616</v>
      </c>
      <c r="C4618" t="s">
        <v>9617</v>
      </c>
      <c r="D4618" t="str">
        <f>"10164151"</f>
        <v>10164151</v>
      </c>
      <c r="E4618" t="s">
        <v>9189</v>
      </c>
      <c r="F4618" s="1">
        <v>45637</v>
      </c>
      <c r="G4618" t="str">
        <f>"300115"</f>
        <v>300115</v>
      </c>
      <c r="H4618" t="s">
        <v>2938</v>
      </c>
      <c r="I4618">
        <v>346254.57900000003</v>
      </c>
    </row>
    <row r="4619" spans="1:9" x14ac:dyDescent="0.25">
      <c r="A4619" t="s">
        <v>9616</v>
      </c>
      <c r="C4619" t="s">
        <v>9617</v>
      </c>
      <c r="D4619" t="str">
        <f>"10164152"</f>
        <v>10164152</v>
      </c>
      <c r="E4619" t="s">
        <v>9189</v>
      </c>
      <c r="F4619" s="1">
        <v>45637</v>
      </c>
      <c r="G4619" t="str">
        <f>"300115"</f>
        <v>300115</v>
      </c>
      <c r="H4619" t="s">
        <v>2938</v>
      </c>
      <c r="I4619">
        <v>346254.57900000003</v>
      </c>
    </row>
    <row r="4620" spans="1:9" x14ac:dyDescent="0.25">
      <c r="A4620" t="s">
        <v>9616</v>
      </c>
      <c r="C4620" t="s">
        <v>9617</v>
      </c>
      <c r="D4620" t="s">
        <v>12002</v>
      </c>
      <c r="E4620" t="s">
        <v>10432</v>
      </c>
      <c r="F4620" s="1">
        <v>45637</v>
      </c>
      <c r="G4620" t="str">
        <f>"300133"</f>
        <v>300133</v>
      </c>
      <c r="H4620" t="s">
        <v>2955</v>
      </c>
      <c r="I4620">
        <v>11970</v>
      </c>
    </row>
    <row r="4621" spans="1:9" x14ac:dyDescent="0.25">
      <c r="A4621" t="s">
        <v>9616</v>
      </c>
      <c r="C4621" t="s">
        <v>9617</v>
      </c>
      <c r="D4621" t="str">
        <f>"98663"</f>
        <v>98663</v>
      </c>
      <c r="E4621" t="s">
        <v>12003</v>
      </c>
      <c r="F4621" s="1">
        <v>45638</v>
      </c>
      <c r="G4621" t="str">
        <f>"300043"</f>
        <v>300043</v>
      </c>
      <c r="H4621" t="s">
        <v>2876</v>
      </c>
      <c r="I4621">
        <v>1300</v>
      </c>
    </row>
    <row r="4622" spans="1:9" x14ac:dyDescent="0.25">
      <c r="A4622" t="s">
        <v>9616</v>
      </c>
      <c r="C4622" t="s">
        <v>9617</v>
      </c>
      <c r="D4622" t="str">
        <f>"98666"</f>
        <v>98666</v>
      </c>
      <c r="E4622" t="s">
        <v>12004</v>
      </c>
      <c r="F4622" s="1">
        <v>45638</v>
      </c>
      <c r="G4622" t="str">
        <f>"300043"</f>
        <v>300043</v>
      </c>
      <c r="H4622" t="s">
        <v>2876</v>
      </c>
      <c r="I4622">
        <v>1300</v>
      </c>
    </row>
    <row r="4623" spans="1:9" x14ac:dyDescent="0.25">
      <c r="A4623" t="s">
        <v>9616</v>
      </c>
      <c r="C4623" t="s">
        <v>9617</v>
      </c>
      <c r="D4623" t="str">
        <f>"98668"</f>
        <v>98668</v>
      </c>
      <c r="E4623" t="s">
        <v>12005</v>
      </c>
      <c r="F4623" s="1">
        <v>45638</v>
      </c>
      <c r="G4623" t="str">
        <f>"300043"</f>
        <v>300043</v>
      </c>
      <c r="H4623" t="s">
        <v>2876</v>
      </c>
      <c r="I4623">
        <v>1278</v>
      </c>
    </row>
    <row r="4624" spans="1:9" x14ac:dyDescent="0.25">
      <c r="A4624" t="s">
        <v>9616</v>
      </c>
      <c r="C4624" t="s">
        <v>9617</v>
      </c>
      <c r="D4624" t="str">
        <f>"98726"</f>
        <v>98726</v>
      </c>
      <c r="E4624" t="s">
        <v>12006</v>
      </c>
      <c r="F4624" s="1">
        <v>45638</v>
      </c>
      <c r="G4624" t="str">
        <f>"300043"</f>
        <v>300043</v>
      </c>
      <c r="H4624" t="s">
        <v>2876</v>
      </c>
      <c r="I4624">
        <v>1296</v>
      </c>
    </row>
    <row r="4625" spans="1:9" x14ac:dyDescent="0.25">
      <c r="A4625" t="s">
        <v>9616</v>
      </c>
      <c r="C4625" t="s">
        <v>9617</v>
      </c>
      <c r="D4625" t="str">
        <f>"98748"</f>
        <v>98748</v>
      </c>
      <c r="E4625" t="s">
        <v>12007</v>
      </c>
      <c r="F4625" s="1">
        <v>45638</v>
      </c>
      <c r="G4625" t="str">
        <f>"300043"</f>
        <v>300043</v>
      </c>
      <c r="H4625" t="s">
        <v>2876</v>
      </c>
      <c r="I4625">
        <v>1278</v>
      </c>
    </row>
    <row r="4626" spans="1:9" x14ac:dyDescent="0.25">
      <c r="A4626" t="s">
        <v>9616</v>
      </c>
      <c r="C4626" t="s">
        <v>9617</v>
      </c>
      <c r="D4626" t="str">
        <f>"10164199"</f>
        <v>10164199</v>
      </c>
      <c r="E4626" t="s">
        <v>9189</v>
      </c>
      <c r="F4626" s="1">
        <v>45638</v>
      </c>
      <c r="G4626" t="str">
        <f>"300115"</f>
        <v>300115</v>
      </c>
      <c r="H4626" t="s">
        <v>2938</v>
      </c>
      <c r="I4626">
        <v>346254.57900000003</v>
      </c>
    </row>
    <row r="4627" spans="1:9" x14ac:dyDescent="0.25">
      <c r="A4627" t="s">
        <v>9616</v>
      </c>
      <c r="C4627" t="s">
        <v>9617</v>
      </c>
      <c r="D4627" t="s">
        <v>12008</v>
      </c>
      <c r="E4627" t="s">
        <v>12001</v>
      </c>
      <c r="F4627" s="1">
        <v>45638</v>
      </c>
      <c r="G4627" t="str">
        <f>"300321"</f>
        <v>300321</v>
      </c>
      <c r="H4627" t="s">
        <v>2706</v>
      </c>
      <c r="I4627">
        <v>31500</v>
      </c>
    </row>
    <row r="4628" spans="1:9" x14ac:dyDescent="0.25">
      <c r="A4628" t="s">
        <v>9616</v>
      </c>
      <c r="C4628" t="s">
        <v>9617</v>
      </c>
      <c r="D4628" t="s">
        <v>12009</v>
      </c>
      <c r="E4628" t="s">
        <v>11999</v>
      </c>
      <c r="F4628" s="1">
        <v>45638</v>
      </c>
      <c r="G4628" t="str">
        <f>"300321"</f>
        <v>300321</v>
      </c>
      <c r="H4628" t="s">
        <v>2706</v>
      </c>
      <c r="I4628">
        <v>31500</v>
      </c>
    </row>
    <row r="4629" spans="1:9" x14ac:dyDescent="0.25">
      <c r="A4629" t="s">
        <v>9616</v>
      </c>
      <c r="C4629" t="s">
        <v>9617</v>
      </c>
      <c r="D4629" t="s">
        <v>12010</v>
      </c>
      <c r="E4629" t="s">
        <v>12000</v>
      </c>
      <c r="F4629" s="1">
        <v>45638</v>
      </c>
      <c r="G4629" t="str">
        <f>"300321"</f>
        <v>300321</v>
      </c>
      <c r="H4629" t="s">
        <v>2706</v>
      </c>
      <c r="I4629">
        <v>31500</v>
      </c>
    </row>
    <row r="4630" spans="1:9" x14ac:dyDescent="0.25">
      <c r="A4630" t="s">
        <v>9616</v>
      </c>
      <c r="C4630" t="s">
        <v>9617</v>
      </c>
      <c r="D4630" t="str">
        <f>"99128"</f>
        <v>99128</v>
      </c>
      <c r="E4630" t="s">
        <v>12011</v>
      </c>
      <c r="F4630" s="1">
        <v>45639</v>
      </c>
      <c r="G4630" t="str">
        <f>"300043"</f>
        <v>300043</v>
      </c>
      <c r="H4630" t="s">
        <v>2876</v>
      </c>
      <c r="I4630">
        <v>1296</v>
      </c>
    </row>
    <row r="4631" spans="1:9" x14ac:dyDescent="0.25">
      <c r="A4631" t="s">
        <v>9616</v>
      </c>
      <c r="C4631" t="s">
        <v>9617</v>
      </c>
      <c r="D4631" t="s">
        <v>12012</v>
      </c>
      <c r="E4631" t="s">
        <v>10041</v>
      </c>
      <c r="F4631" s="1">
        <v>45639</v>
      </c>
      <c r="G4631" t="str">
        <f>"300133"</f>
        <v>300133</v>
      </c>
      <c r="H4631" t="s">
        <v>2955</v>
      </c>
      <c r="I4631">
        <v>27205.200000000001</v>
      </c>
    </row>
    <row r="4632" spans="1:9" x14ac:dyDescent="0.25">
      <c r="A4632" t="s">
        <v>9616</v>
      </c>
      <c r="C4632" t="s">
        <v>9617</v>
      </c>
      <c r="D4632" t="s">
        <v>12013</v>
      </c>
      <c r="E4632" t="s">
        <v>12007</v>
      </c>
      <c r="F4632" s="1">
        <v>45639</v>
      </c>
      <c r="G4632" t="str">
        <f>"300321"</f>
        <v>300321</v>
      </c>
      <c r="H4632" t="s">
        <v>2706</v>
      </c>
      <c r="I4632">
        <v>35000</v>
      </c>
    </row>
    <row r="4633" spans="1:9" x14ac:dyDescent="0.25">
      <c r="A4633" t="s">
        <v>9616</v>
      </c>
      <c r="C4633" t="s">
        <v>9617</v>
      </c>
      <c r="D4633" t="s">
        <v>12014</v>
      </c>
      <c r="E4633" t="s">
        <v>12003</v>
      </c>
      <c r="F4633" s="1">
        <v>45639</v>
      </c>
      <c r="G4633" t="str">
        <f>"300321"</f>
        <v>300321</v>
      </c>
      <c r="H4633" t="s">
        <v>2706</v>
      </c>
      <c r="I4633">
        <v>31500</v>
      </c>
    </row>
    <row r="4634" spans="1:9" x14ac:dyDescent="0.25">
      <c r="A4634" t="s">
        <v>9616</v>
      </c>
      <c r="C4634" t="s">
        <v>9617</v>
      </c>
      <c r="D4634" t="s">
        <v>12015</v>
      </c>
      <c r="E4634" t="s">
        <v>12004</v>
      </c>
      <c r="F4634" s="1">
        <v>45639</v>
      </c>
      <c r="G4634" t="str">
        <f>"300321"</f>
        <v>300321</v>
      </c>
      <c r="H4634" t="s">
        <v>2706</v>
      </c>
      <c r="I4634">
        <v>31500</v>
      </c>
    </row>
    <row r="4635" spans="1:9" x14ac:dyDescent="0.25">
      <c r="A4635" t="s">
        <v>9616</v>
      </c>
      <c r="C4635" t="s">
        <v>9617</v>
      </c>
      <c r="D4635" t="s">
        <v>12016</v>
      </c>
      <c r="E4635" t="s">
        <v>12006</v>
      </c>
      <c r="F4635" s="1">
        <v>45639</v>
      </c>
      <c r="G4635" t="str">
        <f>"300321"</f>
        <v>300321</v>
      </c>
      <c r="H4635" t="s">
        <v>2706</v>
      </c>
      <c r="I4635">
        <v>20125</v>
      </c>
    </row>
    <row r="4636" spans="1:9" x14ac:dyDescent="0.25">
      <c r="A4636" t="s">
        <v>9616</v>
      </c>
      <c r="C4636" t="s">
        <v>9617</v>
      </c>
      <c r="D4636" t="str">
        <f>"80191861"</f>
        <v>80191861</v>
      </c>
      <c r="E4636" t="s">
        <v>12017</v>
      </c>
      <c r="F4636" s="1">
        <v>45639</v>
      </c>
      <c r="G4636" t="str">
        <f>"300381"</f>
        <v>300381</v>
      </c>
      <c r="H4636" t="s">
        <v>3118</v>
      </c>
      <c r="I4636">
        <v>333934.96950000001</v>
      </c>
    </row>
    <row r="4637" spans="1:9" x14ac:dyDescent="0.25">
      <c r="A4637" t="s">
        <v>9616</v>
      </c>
      <c r="C4637" t="s">
        <v>9617</v>
      </c>
      <c r="D4637" t="str">
        <f>"80192520"</f>
        <v>80192520</v>
      </c>
      <c r="E4637" t="s">
        <v>9189</v>
      </c>
      <c r="F4637" s="1">
        <v>45639</v>
      </c>
      <c r="G4637" t="str">
        <f>"300381"</f>
        <v>300381</v>
      </c>
      <c r="H4637" t="s">
        <v>3118</v>
      </c>
      <c r="I4637">
        <v>333934.96950000001</v>
      </c>
    </row>
    <row r="4638" spans="1:9" x14ac:dyDescent="0.25">
      <c r="A4638" t="s">
        <v>9616</v>
      </c>
      <c r="C4638" t="s">
        <v>9617</v>
      </c>
      <c r="D4638" t="str">
        <f>"80192601"</f>
        <v>80192601</v>
      </c>
      <c r="E4638" t="s">
        <v>8852</v>
      </c>
      <c r="F4638" s="1">
        <v>45639</v>
      </c>
      <c r="G4638" t="str">
        <f>"300381"</f>
        <v>300381</v>
      </c>
      <c r="H4638" t="s">
        <v>3118</v>
      </c>
      <c r="I4638">
        <v>357709.20899999997</v>
      </c>
    </row>
    <row r="4639" spans="1:9" x14ac:dyDescent="0.25">
      <c r="A4639" t="s">
        <v>9616</v>
      </c>
      <c r="C4639" t="s">
        <v>9617</v>
      </c>
      <c r="D4639" t="s">
        <v>12018</v>
      </c>
      <c r="E4639" t="s">
        <v>12011</v>
      </c>
      <c r="F4639" s="1">
        <v>45640</v>
      </c>
      <c r="G4639" t="str">
        <f>"300321"</f>
        <v>300321</v>
      </c>
      <c r="H4639" t="s">
        <v>2706</v>
      </c>
      <c r="I4639">
        <v>21000</v>
      </c>
    </row>
    <row r="4640" spans="1:9" x14ac:dyDescent="0.25">
      <c r="A4640" t="s">
        <v>9616</v>
      </c>
      <c r="C4640" t="s">
        <v>9617</v>
      </c>
      <c r="D4640" t="s">
        <v>12019</v>
      </c>
      <c r="E4640" t="s">
        <v>12005</v>
      </c>
      <c r="F4640" s="1">
        <v>45640</v>
      </c>
      <c r="G4640" t="str">
        <f>"300321"</f>
        <v>300321</v>
      </c>
      <c r="H4640" t="s">
        <v>2706</v>
      </c>
      <c r="I4640">
        <v>35000</v>
      </c>
    </row>
    <row r="4641" spans="1:9" x14ac:dyDescent="0.25">
      <c r="A4641" t="s">
        <v>9616</v>
      </c>
      <c r="C4641" t="s">
        <v>9617</v>
      </c>
      <c r="D4641" t="str">
        <f>"19050"</f>
        <v>19050</v>
      </c>
      <c r="E4641" t="s">
        <v>11471</v>
      </c>
      <c r="F4641" s="1">
        <v>45642</v>
      </c>
      <c r="G4641" t="str">
        <f>"300043"</f>
        <v>300043</v>
      </c>
      <c r="H4641" t="s">
        <v>2876</v>
      </c>
      <c r="I4641">
        <v>3668</v>
      </c>
    </row>
    <row r="4642" spans="1:9" x14ac:dyDescent="0.25">
      <c r="A4642" t="s">
        <v>9616</v>
      </c>
      <c r="C4642" t="s">
        <v>9617</v>
      </c>
      <c r="D4642" t="str">
        <f>"99618"</f>
        <v>99618</v>
      </c>
      <c r="E4642" t="s">
        <v>12020</v>
      </c>
      <c r="F4642" s="1">
        <v>45642</v>
      </c>
      <c r="G4642" t="str">
        <f>"300043"</f>
        <v>300043</v>
      </c>
      <c r="H4642" t="s">
        <v>2876</v>
      </c>
      <c r="I4642">
        <v>1294</v>
      </c>
    </row>
    <row r="4643" spans="1:9" x14ac:dyDescent="0.25">
      <c r="A4643" t="s">
        <v>9616</v>
      </c>
      <c r="C4643" t="s">
        <v>9617</v>
      </c>
      <c r="D4643" t="str">
        <f>"99652"</f>
        <v>99652</v>
      </c>
      <c r="E4643" t="s">
        <v>12021</v>
      </c>
      <c r="F4643" s="1">
        <v>45642</v>
      </c>
      <c r="G4643" t="str">
        <f>"300043"</f>
        <v>300043</v>
      </c>
      <c r="H4643" t="s">
        <v>2876</v>
      </c>
      <c r="I4643">
        <v>1277</v>
      </c>
    </row>
    <row r="4644" spans="1:9" x14ac:dyDescent="0.25">
      <c r="A4644" t="s">
        <v>9616</v>
      </c>
      <c r="C4644" t="s">
        <v>9617</v>
      </c>
      <c r="D4644" t="str">
        <f>"99672"</f>
        <v>99672</v>
      </c>
      <c r="E4644" t="s">
        <v>12022</v>
      </c>
      <c r="F4644" s="1">
        <v>45642</v>
      </c>
      <c r="G4644" t="str">
        <f>"300043"</f>
        <v>300043</v>
      </c>
      <c r="H4644" t="s">
        <v>2876</v>
      </c>
      <c r="I4644">
        <v>1352</v>
      </c>
    </row>
    <row r="4645" spans="1:9" x14ac:dyDescent="0.25">
      <c r="A4645" t="s">
        <v>9616</v>
      </c>
      <c r="C4645" t="s">
        <v>9617</v>
      </c>
      <c r="D4645" t="str">
        <f>"99673"</f>
        <v>99673</v>
      </c>
      <c r="E4645" t="s">
        <v>12023</v>
      </c>
      <c r="F4645" s="1">
        <v>45642</v>
      </c>
      <c r="G4645" t="str">
        <f>"300043"</f>
        <v>300043</v>
      </c>
      <c r="H4645" t="s">
        <v>2876</v>
      </c>
      <c r="I4645">
        <v>1277</v>
      </c>
    </row>
    <row r="4646" spans="1:9" x14ac:dyDescent="0.25">
      <c r="A4646" t="s">
        <v>9616</v>
      </c>
      <c r="C4646" t="s">
        <v>9617</v>
      </c>
      <c r="D4646" t="str">
        <f>"20014877"</f>
        <v>20014877</v>
      </c>
      <c r="E4646" t="s">
        <v>12024</v>
      </c>
      <c r="F4646" s="1">
        <v>45642</v>
      </c>
      <c r="G4646" t="str">
        <f>"300115"</f>
        <v>300115</v>
      </c>
      <c r="H4646" t="s">
        <v>2938</v>
      </c>
      <c r="I4646">
        <v>5587.56</v>
      </c>
    </row>
    <row r="4647" spans="1:9" x14ac:dyDescent="0.25">
      <c r="A4647" t="s">
        <v>9616</v>
      </c>
      <c r="C4647" t="s">
        <v>9617</v>
      </c>
      <c r="D4647" t="str">
        <f>"80192466"</f>
        <v>80192466</v>
      </c>
      <c r="E4647" t="s">
        <v>2172</v>
      </c>
      <c r="F4647" s="1">
        <v>45642</v>
      </c>
      <c r="G4647" t="str">
        <f>"300381"</f>
        <v>300381</v>
      </c>
      <c r="H4647" t="s">
        <v>3118</v>
      </c>
      <c r="I4647">
        <v>333934.96950000001</v>
      </c>
    </row>
    <row r="4648" spans="1:9" x14ac:dyDescent="0.25">
      <c r="A4648" t="s">
        <v>9616</v>
      </c>
      <c r="C4648" t="s">
        <v>9617</v>
      </c>
      <c r="D4648" t="s">
        <v>12025</v>
      </c>
      <c r="E4648" t="s">
        <v>11993</v>
      </c>
      <c r="F4648" s="1">
        <v>45642</v>
      </c>
      <c r="G4648" t="str">
        <f>"300423"</f>
        <v>300423</v>
      </c>
      <c r="H4648" t="s">
        <v>3156</v>
      </c>
      <c r="I4648">
        <v>3166.37</v>
      </c>
    </row>
    <row r="4649" spans="1:9" x14ac:dyDescent="0.25">
      <c r="A4649" t="s">
        <v>9616</v>
      </c>
      <c r="C4649" t="s">
        <v>9617</v>
      </c>
      <c r="D4649" t="s">
        <v>12026</v>
      </c>
      <c r="E4649" t="s">
        <v>11994</v>
      </c>
      <c r="F4649" s="1">
        <v>45642</v>
      </c>
      <c r="G4649" t="str">
        <f>"300423"</f>
        <v>300423</v>
      </c>
      <c r="H4649" t="s">
        <v>3156</v>
      </c>
      <c r="I4649">
        <v>3166.37</v>
      </c>
    </row>
    <row r="4650" spans="1:9" x14ac:dyDescent="0.25">
      <c r="A4650" t="s">
        <v>9616</v>
      </c>
      <c r="C4650" t="s">
        <v>9617</v>
      </c>
      <c r="D4650" t="s">
        <v>12027</v>
      </c>
      <c r="E4650" t="s">
        <v>12001</v>
      </c>
      <c r="F4650" s="1">
        <v>45642</v>
      </c>
      <c r="G4650" t="str">
        <f>"300423"</f>
        <v>300423</v>
      </c>
      <c r="H4650" t="s">
        <v>3156</v>
      </c>
      <c r="I4650">
        <v>3166.37</v>
      </c>
    </row>
    <row r="4651" spans="1:9" x14ac:dyDescent="0.25">
      <c r="A4651" t="s">
        <v>9616</v>
      </c>
      <c r="C4651" t="s">
        <v>9617</v>
      </c>
      <c r="D4651" t="s">
        <v>12028</v>
      </c>
      <c r="E4651" t="s">
        <v>12000</v>
      </c>
      <c r="F4651" s="1">
        <v>45642</v>
      </c>
      <c r="G4651" t="str">
        <f>"300423"</f>
        <v>300423</v>
      </c>
      <c r="H4651" t="s">
        <v>3156</v>
      </c>
      <c r="I4651">
        <v>3166.37</v>
      </c>
    </row>
    <row r="4652" spans="1:9" x14ac:dyDescent="0.25">
      <c r="A4652" t="s">
        <v>9616</v>
      </c>
      <c r="C4652" t="s">
        <v>9617</v>
      </c>
      <c r="D4652" t="s">
        <v>12029</v>
      </c>
      <c r="E4652" t="s">
        <v>11999</v>
      </c>
      <c r="F4652" s="1">
        <v>45642</v>
      </c>
      <c r="G4652" t="str">
        <f>"300423"</f>
        <v>300423</v>
      </c>
      <c r="H4652" t="s">
        <v>3156</v>
      </c>
      <c r="I4652">
        <v>3166.37</v>
      </c>
    </row>
    <row r="4653" spans="1:9" x14ac:dyDescent="0.25">
      <c r="A4653" t="s">
        <v>9616</v>
      </c>
      <c r="C4653" t="s">
        <v>9617</v>
      </c>
      <c r="D4653" t="s">
        <v>12030</v>
      </c>
      <c r="E4653" t="s">
        <v>12021</v>
      </c>
      <c r="F4653" s="1">
        <v>45643</v>
      </c>
      <c r="G4653" t="str">
        <f>"300321"</f>
        <v>300321</v>
      </c>
      <c r="H4653" t="s">
        <v>2706</v>
      </c>
      <c r="I4653">
        <v>35000</v>
      </c>
    </row>
    <row r="4654" spans="1:9" x14ac:dyDescent="0.25">
      <c r="A4654" t="s">
        <v>9616</v>
      </c>
      <c r="C4654" t="s">
        <v>9617</v>
      </c>
      <c r="D4654" t="s">
        <v>12031</v>
      </c>
      <c r="E4654" t="s">
        <v>12022</v>
      </c>
      <c r="F4654" s="1">
        <v>45643</v>
      </c>
      <c r="G4654" t="str">
        <f>"300321"</f>
        <v>300321</v>
      </c>
      <c r="H4654" t="s">
        <v>2706</v>
      </c>
      <c r="I4654">
        <v>31500</v>
      </c>
    </row>
    <row r="4655" spans="1:9" x14ac:dyDescent="0.25">
      <c r="A4655" t="s">
        <v>9616</v>
      </c>
      <c r="C4655" t="s">
        <v>9617</v>
      </c>
      <c r="D4655" t="s">
        <v>12032</v>
      </c>
      <c r="E4655" t="s">
        <v>12023</v>
      </c>
      <c r="F4655" s="1">
        <v>45643</v>
      </c>
      <c r="G4655" t="str">
        <f>"300321"</f>
        <v>300321</v>
      </c>
      <c r="H4655" t="s">
        <v>2706</v>
      </c>
      <c r="I4655">
        <v>31500</v>
      </c>
    </row>
    <row r="4656" spans="1:9" x14ac:dyDescent="0.25">
      <c r="A4656" t="s">
        <v>9616</v>
      </c>
      <c r="C4656" t="s">
        <v>9617</v>
      </c>
      <c r="D4656" t="s">
        <v>12033</v>
      </c>
      <c r="E4656" t="s">
        <v>12020</v>
      </c>
      <c r="F4656" s="1">
        <v>45643</v>
      </c>
      <c r="G4656" t="str">
        <f>"300321"</f>
        <v>300321</v>
      </c>
      <c r="H4656" t="s">
        <v>2706</v>
      </c>
      <c r="I4656">
        <v>20125</v>
      </c>
    </row>
    <row r="4657" spans="1:9" x14ac:dyDescent="0.25">
      <c r="A4657" t="s">
        <v>9616</v>
      </c>
      <c r="C4657" t="s">
        <v>9617</v>
      </c>
      <c r="D4657" t="str">
        <f>"80192465"</f>
        <v>80192465</v>
      </c>
      <c r="E4657" t="s">
        <v>9189</v>
      </c>
      <c r="F4657" s="1">
        <v>45643</v>
      </c>
      <c r="G4657" t="str">
        <f>"300381"</f>
        <v>300381</v>
      </c>
      <c r="H4657" t="s">
        <v>3118</v>
      </c>
      <c r="I4657">
        <v>333934.96950000001</v>
      </c>
    </row>
    <row r="4658" spans="1:9" x14ac:dyDescent="0.25">
      <c r="A4658" t="s">
        <v>9616</v>
      </c>
      <c r="C4658" t="s">
        <v>9617</v>
      </c>
      <c r="D4658" t="str">
        <f>"100860"</f>
        <v>100860</v>
      </c>
      <c r="E4658" t="s">
        <v>12034</v>
      </c>
      <c r="F4658" s="1">
        <v>45644</v>
      </c>
      <c r="G4658" t="str">
        <f>"300043"</f>
        <v>300043</v>
      </c>
      <c r="H4658" t="s">
        <v>2876</v>
      </c>
      <c r="I4658">
        <v>1277</v>
      </c>
    </row>
    <row r="4659" spans="1:9" x14ac:dyDescent="0.25">
      <c r="A4659" t="s">
        <v>9616</v>
      </c>
      <c r="C4659" t="s">
        <v>9617</v>
      </c>
      <c r="D4659" t="s">
        <v>12035</v>
      </c>
      <c r="E4659" t="s">
        <v>11856</v>
      </c>
      <c r="F4659" s="1">
        <v>45644</v>
      </c>
      <c r="G4659" t="str">
        <f>"300237"</f>
        <v>300237</v>
      </c>
      <c r="H4659" t="s">
        <v>3036</v>
      </c>
      <c r="I4659">
        <v>125757.1271</v>
      </c>
    </row>
    <row r="4660" spans="1:9" x14ac:dyDescent="0.25">
      <c r="A4660" t="s">
        <v>9616</v>
      </c>
      <c r="C4660" t="s">
        <v>9617</v>
      </c>
      <c r="D4660" t="str">
        <f>"101415"</f>
        <v>101415</v>
      </c>
      <c r="E4660" t="s">
        <v>12036</v>
      </c>
      <c r="F4660" s="1">
        <v>45646</v>
      </c>
      <c r="G4660" t="str">
        <f>"300043"</f>
        <v>300043</v>
      </c>
      <c r="H4660" t="s">
        <v>2876</v>
      </c>
      <c r="I4660">
        <v>1273</v>
      </c>
    </row>
    <row r="4661" spans="1:9" x14ac:dyDescent="0.25">
      <c r="A4661" t="s">
        <v>9616</v>
      </c>
      <c r="C4661" t="s">
        <v>9617</v>
      </c>
      <c r="D4661" t="s">
        <v>12037</v>
      </c>
      <c r="E4661" t="s">
        <v>11504</v>
      </c>
      <c r="F4661" s="1">
        <v>45646</v>
      </c>
      <c r="G4661" t="str">
        <f>"300064"</f>
        <v>300064</v>
      </c>
      <c r="H4661" t="s">
        <v>2896</v>
      </c>
      <c r="I4661">
        <v>26970</v>
      </c>
    </row>
    <row r="4662" spans="1:9" x14ac:dyDescent="0.25">
      <c r="A4662" t="s">
        <v>9616</v>
      </c>
      <c r="C4662" t="s">
        <v>9617</v>
      </c>
      <c r="D4662" t="s">
        <v>12038</v>
      </c>
      <c r="E4662" t="s">
        <v>12034</v>
      </c>
      <c r="F4662" s="1">
        <v>45646</v>
      </c>
      <c r="G4662" t="str">
        <f>"300321"</f>
        <v>300321</v>
      </c>
      <c r="H4662" t="s">
        <v>2706</v>
      </c>
      <c r="I4662">
        <v>31500</v>
      </c>
    </row>
    <row r="4663" spans="1:9" x14ac:dyDescent="0.25">
      <c r="A4663" t="s">
        <v>9616</v>
      </c>
      <c r="C4663" t="s">
        <v>9617</v>
      </c>
      <c r="D4663" t="s">
        <v>12039</v>
      </c>
      <c r="E4663" t="s">
        <v>12036</v>
      </c>
      <c r="F4663" s="1">
        <v>45647</v>
      </c>
      <c r="G4663" t="str">
        <f>"300321"</f>
        <v>300321</v>
      </c>
      <c r="H4663" t="s">
        <v>2706</v>
      </c>
      <c r="I4663">
        <v>35000</v>
      </c>
    </row>
    <row r="4664" spans="1:9" x14ac:dyDescent="0.25">
      <c r="A4664" t="s">
        <v>9616</v>
      </c>
      <c r="C4664" t="s">
        <v>9617</v>
      </c>
      <c r="D4664" t="s">
        <v>12040</v>
      </c>
      <c r="E4664" t="s">
        <v>12023</v>
      </c>
      <c r="F4664" s="1">
        <v>45647</v>
      </c>
      <c r="G4664" t="str">
        <f t="shared" ref="G4664:G4673" si="21">"300423"</f>
        <v>300423</v>
      </c>
      <c r="H4664" t="s">
        <v>3156</v>
      </c>
      <c r="I4664">
        <v>3609.47</v>
      </c>
    </row>
    <row r="4665" spans="1:9" x14ac:dyDescent="0.25">
      <c r="A4665" t="s">
        <v>9616</v>
      </c>
      <c r="C4665" t="s">
        <v>9617</v>
      </c>
      <c r="D4665" t="s">
        <v>12041</v>
      </c>
      <c r="E4665" t="s">
        <v>12020</v>
      </c>
      <c r="F4665" s="1">
        <v>45647</v>
      </c>
      <c r="G4665" t="str">
        <f t="shared" si="21"/>
        <v>300423</v>
      </c>
      <c r="H4665" t="s">
        <v>3156</v>
      </c>
      <c r="I4665">
        <v>3504.87</v>
      </c>
    </row>
    <row r="4666" spans="1:9" x14ac:dyDescent="0.25">
      <c r="A4666" t="s">
        <v>9616</v>
      </c>
      <c r="C4666" t="s">
        <v>9617</v>
      </c>
      <c r="D4666" t="s">
        <v>12042</v>
      </c>
      <c r="E4666" t="s">
        <v>12021</v>
      </c>
      <c r="F4666" s="1">
        <v>45647</v>
      </c>
      <c r="G4666" t="str">
        <f t="shared" si="21"/>
        <v>300423</v>
      </c>
      <c r="H4666" t="s">
        <v>3156</v>
      </c>
      <c r="I4666">
        <v>3166.37</v>
      </c>
    </row>
    <row r="4667" spans="1:9" x14ac:dyDescent="0.25">
      <c r="A4667" t="s">
        <v>9616</v>
      </c>
      <c r="C4667" t="s">
        <v>9617</v>
      </c>
      <c r="D4667" t="s">
        <v>12043</v>
      </c>
      <c r="E4667" t="s">
        <v>12022</v>
      </c>
      <c r="F4667" s="1">
        <v>45647</v>
      </c>
      <c r="G4667" t="str">
        <f t="shared" si="21"/>
        <v>300423</v>
      </c>
      <c r="H4667" t="s">
        <v>3156</v>
      </c>
      <c r="I4667">
        <v>3166.37</v>
      </c>
    </row>
    <row r="4668" spans="1:9" x14ac:dyDescent="0.25">
      <c r="A4668" t="s">
        <v>9616</v>
      </c>
      <c r="C4668" t="s">
        <v>9617</v>
      </c>
      <c r="D4668" t="s">
        <v>12044</v>
      </c>
      <c r="E4668" t="s">
        <v>12003</v>
      </c>
      <c r="F4668" s="1">
        <v>45647</v>
      </c>
      <c r="G4668" t="str">
        <f t="shared" si="21"/>
        <v>300423</v>
      </c>
      <c r="H4668" t="s">
        <v>3156</v>
      </c>
      <c r="I4668">
        <v>3166.37</v>
      </c>
    </row>
    <row r="4669" spans="1:9" x14ac:dyDescent="0.25">
      <c r="A4669" t="s">
        <v>9616</v>
      </c>
      <c r="C4669" t="s">
        <v>9617</v>
      </c>
      <c r="D4669" t="s">
        <v>12045</v>
      </c>
      <c r="E4669" t="s">
        <v>12007</v>
      </c>
      <c r="F4669" s="1">
        <v>45647</v>
      </c>
      <c r="G4669" t="str">
        <f t="shared" si="21"/>
        <v>300423</v>
      </c>
      <c r="H4669" t="s">
        <v>3156</v>
      </c>
      <c r="I4669">
        <v>3166.37</v>
      </c>
    </row>
    <row r="4670" spans="1:9" x14ac:dyDescent="0.25">
      <c r="A4670" t="s">
        <v>9616</v>
      </c>
      <c r="C4670" t="s">
        <v>9617</v>
      </c>
      <c r="D4670" t="s">
        <v>12046</v>
      </c>
      <c r="E4670" t="s">
        <v>12006</v>
      </c>
      <c r="F4670" s="1">
        <v>45647</v>
      </c>
      <c r="G4670" t="str">
        <f t="shared" si="21"/>
        <v>300423</v>
      </c>
      <c r="H4670" t="s">
        <v>3156</v>
      </c>
      <c r="I4670">
        <v>3166.37</v>
      </c>
    </row>
    <row r="4671" spans="1:9" x14ac:dyDescent="0.25">
      <c r="A4671" t="s">
        <v>9616</v>
      </c>
      <c r="C4671" t="s">
        <v>9617</v>
      </c>
      <c r="D4671" t="s">
        <v>12047</v>
      </c>
      <c r="E4671" t="s">
        <v>12005</v>
      </c>
      <c r="F4671" s="1">
        <v>45647</v>
      </c>
      <c r="G4671" t="str">
        <f t="shared" si="21"/>
        <v>300423</v>
      </c>
      <c r="H4671" t="s">
        <v>3156</v>
      </c>
      <c r="I4671">
        <v>3166.37</v>
      </c>
    </row>
    <row r="4672" spans="1:9" x14ac:dyDescent="0.25">
      <c r="A4672" t="s">
        <v>9616</v>
      </c>
      <c r="C4672" t="s">
        <v>9617</v>
      </c>
      <c r="D4672" t="s">
        <v>12048</v>
      </c>
      <c r="E4672" t="s">
        <v>12004</v>
      </c>
      <c r="F4672" s="1">
        <v>45647</v>
      </c>
      <c r="G4672" t="str">
        <f t="shared" si="21"/>
        <v>300423</v>
      </c>
      <c r="H4672" t="s">
        <v>3156</v>
      </c>
      <c r="I4672">
        <v>3166.37</v>
      </c>
    </row>
    <row r="4673" spans="1:9" x14ac:dyDescent="0.25">
      <c r="A4673" t="s">
        <v>9616</v>
      </c>
      <c r="C4673" t="s">
        <v>9617</v>
      </c>
      <c r="D4673" t="s">
        <v>12049</v>
      </c>
      <c r="E4673" t="s">
        <v>12011</v>
      </c>
      <c r="F4673" s="1">
        <v>45647</v>
      </c>
      <c r="G4673" t="str">
        <f t="shared" si="21"/>
        <v>300423</v>
      </c>
      <c r="H4673" t="s">
        <v>3156</v>
      </c>
      <c r="I4673">
        <v>3166.37</v>
      </c>
    </row>
    <row r="4674" spans="1:9" x14ac:dyDescent="0.25">
      <c r="A4674" t="s">
        <v>9616</v>
      </c>
      <c r="C4674" t="s">
        <v>9617</v>
      </c>
      <c r="D4674" t="s">
        <v>12050</v>
      </c>
      <c r="E4674" t="s">
        <v>11959</v>
      </c>
      <c r="F4674" s="1">
        <v>45651</v>
      </c>
      <c r="G4674" t="str">
        <f>"300191"</f>
        <v>300191</v>
      </c>
      <c r="H4674" t="s">
        <v>3008</v>
      </c>
      <c r="I4674">
        <v>8331.4</v>
      </c>
    </row>
    <row r="4675" spans="1:9" x14ac:dyDescent="0.25">
      <c r="A4675" t="s">
        <v>9616</v>
      </c>
      <c r="C4675" t="s">
        <v>9617</v>
      </c>
      <c r="D4675" t="s">
        <v>12051</v>
      </c>
      <c r="E4675" t="s">
        <v>11932</v>
      </c>
      <c r="F4675" s="1">
        <v>45651</v>
      </c>
      <c r="G4675" t="str">
        <f>"300191"</f>
        <v>300191</v>
      </c>
      <c r="H4675" t="s">
        <v>3008</v>
      </c>
      <c r="I4675">
        <v>9085.5300000000007</v>
      </c>
    </row>
    <row r="4676" spans="1:9" x14ac:dyDescent="0.25">
      <c r="A4676" t="s">
        <v>9616</v>
      </c>
      <c r="C4676" t="s">
        <v>9617</v>
      </c>
      <c r="D4676" t="s">
        <v>12052</v>
      </c>
      <c r="E4676" t="s">
        <v>12036</v>
      </c>
      <c r="F4676" s="1">
        <v>45652</v>
      </c>
      <c r="G4676" t="str">
        <f>"300423"</f>
        <v>300423</v>
      </c>
      <c r="H4676" t="s">
        <v>3156</v>
      </c>
      <c r="I4676">
        <v>3166.37</v>
      </c>
    </row>
    <row r="4677" spans="1:9" x14ac:dyDescent="0.25">
      <c r="A4677" t="s">
        <v>9616</v>
      </c>
      <c r="C4677" t="s">
        <v>9617</v>
      </c>
      <c r="D4677" t="s">
        <v>12053</v>
      </c>
      <c r="E4677" t="s">
        <v>12034</v>
      </c>
      <c r="F4677" s="1">
        <v>45652</v>
      </c>
      <c r="G4677" t="str">
        <f>"300423"</f>
        <v>300423</v>
      </c>
      <c r="H4677" t="s">
        <v>3156</v>
      </c>
      <c r="I4677">
        <v>3166.37</v>
      </c>
    </row>
    <row r="4678" spans="1:9" x14ac:dyDescent="0.25">
      <c r="A4678" t="s">
        <v>9616</v>
      </c>
      <c r="C4678" t="s">
        <v>9617</v>
      </c>
      <c r="D4678" t="str">
        <f>"128038"</f>
        <v>128038</v>
      </c>
      <c r="E4678" t="s">
        <v>12054</v>
      </c>
      <c r="F4678" s="1">
        <v>45653</v>
      </c>
      <c r="G4678" t="str">
        <f>"300043"</f>
        <v>300043</v>
      </c>
      <c r="H4678" t="s">
        <v>2876</v>
      </c>
      <c r="I4678">
        <v>15627</v>
      </c>
    </row>
    <row r="4679" spans="1:9" x14ac:dyDescent="0.25">
      <c r="A4679" t="s">
        <v>9616</v>
      </c>
      <c r="C4679" t="s">
        <v>9617</v>
      </c>
      <c r="D4679" t="str">
        <f>"10164443"</f>
        <v>10164443</v>
      </c>
      <c r="E4679" t="s">
        <v>12055</v>
      </c>
      <c r="F4679" s="1">
        <v>45653</v>
      </c>
      <c r="G4679" t="str">
        <f>"300115"</f>
        <v>300115</v>
      </c>
      <c r="H4679" t="s">
        <v>2938</v>
      </c>
      <c r="I4679">
        <v>116716.05</v>
      </c>
    </row>
    <row r="4680" spans="1:9" x14ac:dyDescent="0.25">
      <c r="A4680" t="s">
        <v>9616</v>
      </c>
      <c r="C4680" t="s">
        <v>9617</v>
      </c>
      <c r="D4680" t="str">
        <f>"10164444"</f>
        <v>10164444</v>
      </c>
      <c r="E4680" t="s">
        <v>10049</v>
      </c>
      <c r="F4680" s="1">
        <v>45653</v>
      </c>
      <c r="G4680" t="str">
        <f>"300115"</f>
        <v>300115</v>
      </c>
      <c r="H4680" t="s">
        <v>2938</v>
      </c>
      <c r="I4680">
        <v>191222.46</v>
      </c>
    </row>
    <row r="4681" spans="1:9" x14ac:dyDescent="0.25">
      <c r="A4681" t="s">
        <v>9616</v>
      </c>
      <c r="C4681" t="s">
        <v>9617</v>
      </c>
      <c r="D4681" t="str">
        <f>"20014945"</f>
        <v>20014945</v>
      </c>
      <c r="E4681" t="s">
        <v>12056</v>
      </c>
      <c r="F4681" s="1">
        <v>45657</v>
      </c>
      <c r="G4681" t="str">
        <f>"300115"</f>
        <v>300115</v>
      </c>
      <c r="H4681" t="s">
        <v>2938</v>
      </c>
      <c r="I4681">
        <v>819253.49</v>
      </c>
    </row>
    <row r="4682" spans="1:9" x14ac:dyDescent="0.25">
      <c r="A4682" t="s">
        <v>9616</v>
      </c>
      <c r="C4682" t="s">
        <v>9617</v>
      </c>
      <c r="D4682" t="str">
        <f>"20014948"</f>
        <v>20014948</v>
      </c>
      <c r="E4682" t="s">
        <v>12056</v>
      </c>
      <c r="F4682" s="1">
        <v>45657</v>
      </c>
      <c r="G4682" t="str">
        <f>"300115"</f>
        <v>300115</v>
      </c>
      <c r="H4682" t="s">
        <v>2938</v>
      </c>
      <c r="I4682">
        <v>48804.25</v>
      </c>
    </row>
    <row r="4683" spans="1:9" x14ac:dyDescent="0.25">
      <c r="A4683" t="s">
        <v>9616</v>
      </c>
      <c r="C4683" t="s">
        <v>9617</v>
      </c>
      <c r="D4683" t="s">
        <v>12057</v>
      </c>
      <c r="E4683" t="s">
        <v>12054</v>
      </c>
      <c r="F4683" s="1">
        <v>45657</v>
      </c>
      <c r="G4683" t="str">
        <f>"300191"</f>
        <v>300191</v>
      </c>
      <c r="H4683" t="s">
        <v>3008</v>
      </c>
      <c r="I4683">
        <v>9080.1299999999992</v>
      </c>
    </row>
    <row r="4684" spans="1:9" x14ac:dyDescent="0.25">
      <c r="A4684" t="s">
        <v>9616</v>
      </c>
      <c r="C4684" t="s">
        <v>9617</v>
      </c>
      <c r="D4684" t="str">
        <f>"8000448557"</f>
        <v>8000448557</v>
      </c>
      <c r="E4684" t="s">
        <v>9189</v>
      </c>
      <c r="F4684" s="1">
        <v>45659</v>
      </c>
      <c r="G4684" t="str">
        <f>"300220"</f>
        <v>300220</v>
      </c>
      <c r="H4684" t="s">
        <v>2170</v>
      </c>
      <c r="I4684">
        <v>785832.23400000005</v>
      </c>
    </row>
    <row r="4685" spans="1:9" x14ac:dyDescent="0.25">
      <c r="A4685" t="s">
        <v>9616</v>
      </c>
      <c r="C4685" t="s">
        <v>9617</v>
      </c>
      <c r="D4685" t="str">
        <f>"210"</f>
        <v>210</v>
      </c>
      <c r="E4685" t="s">
        <v>11471</v>
      </c>
      <c r="F4685" s="1">
        <v>45663</v>
      </c>
      <c r="G4685" t="str">
        <f>"300043"</f>
        <v>300043</v>
      </c>
      <c r="H4685" t="s">
        <v>2876</v>
      </c>
      <c r="I4685">
        <v>4264</v>
      </c>
    </row>
    <row r="4686" spans="1:9" x14ac:dyDescent="0.25">
      <c r="A4686" t="s">
        <v>9616</v>
      </c>
      <c r="C4686" t="s">
        <v>9617</v>
      </c>
      <c r="D4686" t="str">
        <f>"10164485"</f>
        <v>10164485</v>
      </c>
      <c r="E4686" t="s">
        <v>9189</v>
      </c>
      <c r="F4686" s="1">
        <v>45664</v>
      </c>
      <c r="G4686" t="str">
        <f>"300115"</f>
        <v>300115</v>
      </c>
      <c r="H4686" t="s">
        <v>2938</v>
      </c>
      <c r="I4686">
        <v>346254.57900000003</v>
      </c>
    </row>
    <row r="4687" spans="1:9" x14ac:dyDescent="0.25">
      <c r="A4687" t="s">
        <v>9616</v>
      </c>
      <c r="C4687" t="s">
        <v>9617</v>
      </c>
      <c r="D4687" t="s">
        <v>12058</v>
      </c>
      <c r="E4687" t="s">
        <v>12059</v>
      </c>
      <c r="F4687" s="1">
        <v>45664</v>
      </c>
      <c r="G4687" t="str">
        <f>"300321"</f>
        <v>300321</v>
      </c>
      <c r="H4687" t="s">
        <v>2706</v>
      </c>
      <c r="I4687">
        <v>18000</v>
      </c>
    </row>
    <row r="4688" spans="1:9" x14ac:dyDescent="0.25">
      <c r="A4688" t="s">
        <v>9616</v>
      </c>
      <c r="C4688" t="s">
        <v>9617</v>
      </c>
      <c r="D4688" t="str">
        <f>"80192521"</f>
        <v>80192521</v>
      </c>
      <c r="E4688" t="s">
        <v>9189</v>
      </c>
      <c r="F4688" s="1">
        <v>45664</v>
      </c>
      <c r="G4688" t="str">
        <f>"300381"</f>
        <v>300381</v>
      </c>
      <c r="H4688" t="s">
        <v>3118</v>
      </c>
      <c r="I4688">
        <v>333934.96950000001</v>
      </c>
    </row>
    <row r="4689" spans="1:9" x14ac:dyDescent="0.25">
      <c r="A4689" t="s">
        <v>9616</v>
      </c>
      <c r="C4689" t="s">
        <v>9617</v>
      </c>
      <c r="D4689" t="str">
        <f>"80192883"</f>
        <v>80192883</v>
      </c>
      <c r="E4689" t="s">
        <v>9189</v>
      </c>
      <c r="F4689" s="1">
        <v>45664</v>
      </c>
      <c r="G4689" t="str">
        <f>"300381"</f>
        <v>300381</v>
      </c>
      <c r="H4689" t="s">
        <v>3118</v>
      </c>
      <c r="I4689">
        <v>333934.96950000001</v>
      </c>
    </row>
    <row r="4690" spans="1:9" x14ac:dyDescent="0.25">
      <c r="A4690" t="s">
        <v>9616</v>
      </c>
      <c r="C4690" t="s">
        <v>9617</v>
      </c>
      <c r="D4690" t="str">
        <f>"80193147"</f>
        <v>80193147</v>
      </c>
      <c r="E4690" t="s">
        <v>9189</v>
      </c>
      <c r="F4690" s="1">
        <v>45664</v>
      </c>
      <c r="G4690" t="str">
        <f>"300381"</f>
        <v>300381</v>
      </c>
      <c r="H4690" t="s">
        <v>3118</v>
      </c>
      <c r="I4690">
        <v>333934.96950000001</v>
      </c>
    </row>
    <row r="4691" spans="1:9" x14ac:dyDescent="0.25">
      <c r="A4691" t="s">
        <v>9616</v>
      </c>
      <c r="C4691" t="s">
        <v>9617</v>
      </c>
      <c r="D4691" t="str">
        <f>"1395"</f>
        <v>1395</v>
      </c>
      <c r="E4691" t="s">
        <v>12059</v>
      </c>
      <c r="F4691" s="1">
        <v>45665</v>
      </c>
      <c r="G4691" t="str">
        <f>"300043"</f>
        <v>300043</v>
      </c>
      <c r="H4691" t="s">
        <v>2876</v>
      </c>
      <c r="I4691">
        <v>1294</v>
      </c>
    </row>
    <row r="4692" spans="1:9" x14ac:dyDescent="0.25">
      <c r="A4692" t="s">
        <v>9616</v>
      </c>
      <c r="C4692" t="s">
        <v>9617</v>
      </c>
      <c r="D4692" t="str">
        <f>"1525"</f>
        <v>1525</v>
      </c>
      <c r="E4692" t="s">
        <v>12060</v>
      </c>
      <c r="F4692" s="1">
        <v>45666</v>
      </c>
      <c r="G4692" t="str">
        <f>"300043"</f>
        <v>300043</v>
      </c>
      <c r="H4692" t="s">
        <v>2876</v>
      </c>
      <c r="I4692">
        <v>1273</v>
      </c>
    </row>
    <row r="4693" spans="1:9" x14ac:dyDescent="0.25">
      <c r="A4693" t="s">
        <v>9616</v>
      </c>
      <c r="C4693" t="s">
        <v>9617</v>
      </c>
      <c r="D4693" t="s">
        <v>12061</v>
      </c>
      <c r="E4693" t="s">
        <v>12059</v>
      </c>
      <c r="F4693" s="1">
        <v>45666</v>
      </c>
      <c r="G4693" t="str">
        <f>"300191"</f>
        <v>300191</v>
      </c>
      <c r="H4693" t="s">
        <v>3008</v>
      </c>
      <c r="I4693">
        <v>3277.56</v>
      </c>
    </row>
    <row r="4694" spans="1:9" x14ac:dyDescent="0.25">
      <c r="A4694" t="s">
        <v>9616</v>
      </c>
      <c r="C4694" t="s">
        <v>9617</v>
      </c>
      <c r="D4694" t="str">
        <f>"01814"</f>
        <v>01814</v>
      </c>
      <c r="E4694" t="s">
        <v>12062</v>
      </c>
      <c r="F4694" s="1">
        <v>45667</v>
      </c>
      <c r="G4694" t="str">
        <f>"300043"</f>
        <v>300043</v>
      </c>
      <c r="H4694" t="s">
        <v>2876</v>
      </c>
      <c r="I4694">
        <v>1272</v>
      </c>
    </row>
    <row r="4695" spans="1:9" x14ac:dyDescent="0.25">
      <c r="A4695" t="s">
        <v>9616</v>
      </c>
      <c r="C4695" t="s">
        <v>9617</v>
      </c>
      <c r="D4695" t="str">
        <f>"01815"</f>
        <v>01815</v>
      </c>
      <c r="E4695" t="s">
        <v>12063</v>
      </c>
      <c r="F4695" s="1">
        <v>45667</v>
      </c>
      <c r="G4695" t="str">
        <f>"300043"</f>
        <v>300043</v>
      </c>
      <c r="H4695" t="s">
        <v>2876</v>
      </c>
      <c r="I4695">
        <v>1272</v>
      </c>
    </row>
    <row r="4696" spans="1:9" x14ac:dyDescent="0.25">
      <c r="A4696" t="s">
        <v>9616</v>
      </c>
      <c r="C4696" t="s">
        <v>9617</v>
      </c>
      <c r="D4696" t="str">
        <f>"10164617"</f>
        <v>10164617</v>
      </c>
      <c r="E4696" t="s">
        <v>10465</v>
      </c>
      <c r="F4696" s="1">
        <v>45667</v>
      </c>
      <c r="G4696" t="str">
        <f>"300115"</f>
        <v>300115</v>
      </c>
      <c r="H4696" t="s">
        <v>2938</v>
      </c>
      <c r="I4696">
        <v>107687.25</v>
      </c>
    </row>
    <row r="4697" spans="1:9" x14ac:dyDescent="0.25">
      <c r="A4697" t="s">
        <v>9616</v>
      </c>
      <c r="C4697" t="s">
        <v>9617</v>
      </c>
      <c r="D4697" t="s">
        <v>12064</v>
      </c>
      <c r="E4697" s="4">
        <v>45658</v>
      </c>
      <c r="F4697" s="1">
        <v>45667</v>
      </c>
      <c r="G4697" t="str">
        <f>"300321"</f>
        <v>300321</v>
      </c>
      <c r="H4697" t="s">
        <v>2706</v>
      </c>
      <c r="I4697">
        <v>30000</v>
      </c>
    </row>
    <row r="4698" spans="1:9" x14ac:dyDescent="0.25">
      <c r="A4698" t="s">
        <v>9616</v>
      </c>
      <c r="C4698" t="s">
        <v>9617</v>
      </c>
      <c r="D4698" t="s">
        <v>12065</v>
      </c>
      <c r="E4698" t="s">
        <v>12066</v>
      </c>
      <c r="F4698" s="1">
        <v>45667</v>
      </c>
      <c r="G4698" t="str">
        <f>"300391"</f>
        <v>300391</v>
      </c>
      <c r="H4698" t="s">
        <v>3128</v>
      </c>
      <c r="I4698">
        <v>4858.68</v>
      </c>
    </row>
    <row r="4699" spans="1:9" x14ac:dyDescent="0.25">
      <c r="A4699" t="s">
        <v>9616</v>
      </c>
      <c r="C4699" t="s">
        <v>9617</v>
      </c>
      <c r="D4699" t="str">
        <f>"499"</f>
        <v>499</v>
      </c>
      <c r="E4699" t="s">
        <v>11471</v>
      </c>
      <c r="F4699" s="1">
        <v>45670</v>
      </c>
      <c r="G4699" t="str">
        <f>"300043"</f>
        <v>300043</v>
      </c>
      <c r="H4699" t="s">
        <v>2876</v>
      </c>
      <c r="I4699">
        <v>4527</v>
      </c>
    </row>
    <row r="4700" spans="1:9" x14ac:dyDescent="0.25">
      <c r="A4700" t="s">
        <v>9616</v>
      </c>
      <c r="C4700" t="s">
        <v>9617</v>
      </c>
      <c r="D4700" t="str">
        <f>"02410"</f>
        <v>02410</v>
      </c>
      <c r="E4700" s="4">
        <v>45658</v>
      </c>
      <c r="F4700" s="1">
        <v>45670</v>
      </c>
      <c r="G4700" t="str">
        <f>"300043"</f>
        <v>300043</v>
      </c>
      <c r="H4700" t="s">
        <v>2876</v>
      </c>
      <c r="I4700">
        <v>1132</v>
      </c>
    </row>
    <row r="4701" spans="1:9" x14ac:dyDescent="0.25">
      <c r="A4701" t="s">
        <v>9616</v>
      </c>
      <c r="C4701" t="s">
        <v>9617</v>
      </c>
      <c r="D4701" t="s">
        <v>12067</v>
      </c>
      <c r="E4701" t="s">
        <v>12063</v>
      </c>
      <c r="F4701" s="1">
        <v>45670</v>
      </c>
      <c r="G4701" t="str">
        <f>"300321"</f>
        <v>300321</v>
      </c>
      <c r="H4701" t="s">
        <v>2706</v>
      </c>
      <c r="I4701">
        <v>30000</v>
      </c>
    </row>
    <row r="4702" spans="1:9" x14ac:dyDescent="0.25">
      <c r="A4702" t="s">
        <v>9616</v>
      </c>
      <c r="C4702" t="s">
        <v>9617</v>
      </c>
      <c r="D4702" t="s">
        <v>12068</v>
      </c>
      <c r="E4702" t="s">
        <v>12062</v>
      </c>
      <c r="F4702" s="1">
        <v>45670</v>
      </c>
      <c r="G4702" t="str">
        <f>"300321"</f>
        <v>300321</v>
      </c>
      <c r="H4702" t="s">
        <v>2706</v>
      </c>
      <c r="I4702">
        <v>30000</v>
      </c>
    </row>
    <row r="4703" spans="1:9" x14ac:dyDescent="0.25">
      <c r="A4703" t="s">
        <v>9616</v>
      </c>
      <c r="C4703" t="s">
        <v>9617</v>
      </c>
      <c r="D4703" t="str">
        <f>"3051"</f>
        <v>3051</v>
      </c>
      <c r="E4703" s="4">
        <v>45689</v>
      </c>
      <c r="F4703" s="1">
        <v>45672</v>
      </c>
      <c r="G4703" t="str">
        <f>"300043"</f>
        <v>300043</v>
      </c>
      <c r="H4703" t="s">
        <v>2876</v>
      </c>
      <c r="I4703">
        <v>576</v>
      </c>
    </row>
    <row r="4704" spans="1:9" x14ac:dyDescent="0.25">
      <c r="A4704" t="s">
        <v>9616</v>
      </c>
      <c r="C4704" t="s">
        <v>9617</v>
      </c>
      <c r="D4704" t="str">
        <f>"008125"</f>
        <v>008125</v>
      </c>
      <c r="E4704" s="4">
        <v>45658</v>
      </c>
      <c r="F4704" s="1">
        <v>45673</v>
      </c>
      <c r="G4704" t="str">
        <f>"300101"</f>
        <v>300101</v>
      </c>
      <c r="H4704" t="s">
        <v>2926</v>
      </c>
      <c r="I4704">
        <v>3547.65</v>
      </c>
    </row>
    <row r="4705" spans="1:9" x14ac:dyDescent="0.25">
      <c r="A4705" t="s">
        <v>9616</v>
      </c>
      <c r="C4705" t="s">
        <v>9617</v>
      </c>
      <c r="D4705" t="s">
        <v>12069</v>
      </c>
      <c r="E4705" t="s">
        <v>12070</v>
      </c>
      <c r="F4705" s="1">
        <v>45673</v>
      </c>
      <c r="G4705" t="str">
        <f>"300133"</f>
        <v>300133</v>
      </c>
      <c r="H4705" t="s">
        <v>2955</v>
      </c>
      <c r="I4705">
        <v>41918.68</v>
      </c>
    </row>
    <row r="4706" spans="1:9" x14ac:dyDescent="0.25">
      <c r="A4706" t="s">
        <v>9616</v>
      </c>
      <c r="C4706" t="s">
        <v>9617</v>
      </c>
      <c r="D4706" t="str">
        <f>"8000449218"</f>
        <v>8000449218</v>
      </c>
      <c r="E4706" t="s">
        <v>9343</v>
      </c>
      <c r="F4706" s="1">
        <v>45673</v>
      </c>
      <c r="G4706" t="str">
        <f>"300220"</f>
        <v>300220</v>
      </c>
      <c r="H4706" t="s">
        <v>2170</v>
      </c>
      <c r="I4706">
        <v>785951.29799999995</v>
      </c>
    </row>
    <row r="4707" spans="1:9" x14ac:dyDescent="0.25">
      <c r="A4707" t="s">
        <v>9616</v>
      </c>
      <c r="C4707" t="s">
        <v>9617</v>
      </c>
      <c r="D4707" t="s">
        <v>12071</v>
      </c>
      <c r="E4707" t="s">
        <v>12060</v>
      </c>
      <c r="F4707" s="1">
        <v>45673</v>
      </c>
      <c r="G4707" t="str">
        <f>"300423"</f>
        <v>300423</v>
      </c>
      <c r="H4707" t="s">
        <v>3156</v>
      </c>
      <c r="I4707">
        <v>3206.46</v>
      </c>
    </row>
    <row r="4708" spans="1:9" x14ac:dyDescent="0.25">
      <c r="A4708" t="s">
        <v>9616</v>
      </c>
      <c r="C4708" t="s">
        <v>9617</v>
      </c>
      <c r="D4708" t="s">
        <v>12072</v>
      </c>
      <c r="E4708" t="s">
        <v>12062</v>
      </c>
      <c r="F4708" s="1">
        <v>45673</v>
      </c>
      <c r="G4708" t="str">
        <f>"300423"</f>
        <v>300423</v>
      </c>
      <c r="H4708" t="s">
        <v>3156</v>
      </c>
      <c r="I4708">
        <v>3206.46</v>
      </c>
    </row>
    <row r="4709" spans="1:9" x14ac:dyDescent="0.25">
      <c r="A4709" t="s">
        <v>9616</v>
      </c>
      <c r="C4709" t="s">
        <v>9617</v>
      </c>
      <c r="D4709" t="s">
        <v>12073</v>
      </c>
      <c r="E4709" t="s">
        <v>12063</v>
      </c>
      <c r="F4709" s="1">
        <v>45673</v>
      </c>
      <c r="G4709" t="str">
        <f>"300423"</f>
        <v>300423</v>
      </c>
      <c r="H4709" t="s">
        <v>3156</v>
      </c>
      <c r="I4709">
        <v>3376.19</v>
      </c>
    </row>
    <row r="4710" spans="1:9" x14ac:dyDescent="0.25">
      <c r="A4710" t="s">
        <v>9616</v>
      </c>
      <c r="C4710" t="s">
        <v>9617</v>
      </c>
      <c r="D4710" t="str">
        <f>"1900000096"</f>
        <v>1900000096</v>
      </c>
      <c r="E4710" t="s">
        <v>12074</v>
      </c>
      <c r="F4710" s="1">
        <v>45676</v>
      </c>
      <c r="G4710" t="str">
        <f>"300397"</f>
        <v>300397</v>
      </c>
      <c r="H4710" t="s">
        <v>3133</v>
      </c>
      <c r="I4710">
        <v>11489.17</v>
      </c>
    </row>
    <row r="4711" spans="1:9" x14ac:dyDescent="0.25">
      <c r="A4711" t="s">
        <v>9616</v>
      </c>
      <c r="C4711" t="s">
        <v>9617</v>
      </c>
      <c r="D4711" t="str">
        <f>"8911"</f>
        <v>8911</v>
      </c>
      <c r="E4711" t="s">
        <v>12066</v>
      </c>
      <c r="F4711" s="1">
        <v>45677</v>
      </c>
      <c r="G4711" t="str">
        <f>"300043"</f>
        <v>300043</v>
      </c>
      <c r="H4711" t="s">
        <v>2876</v>
      </c>
      <c r="I4711">
        <v>445</v>
      </c>
    </row>
    <row r="4712" spans="1:9" x14ac:dyDescent="0.25">
      <c r="A4712" t="s">
        <v>9616</v>
      </c>
      <c r="C4712" t="s">
        <v>9617</v>
      </c>
      <c r="D4712" t="s">
        <v>12075</v>
      </c>
      <c r="E4712" t="s">
        <v>10339</v>
      </c>
      <c r="F4712" s="1">
        <v>45677</v>
      </c>
      <c r="G4712" t="str">
        <f>"300133"</f>
        <v>300133</v>
      </c>
      <c r="H4712" t="s">
        <v>2955</v>
      </c>
      <c r="I4712">
        <v>48028.95</v>
      </c>
    </row>
    <row r="4713" spans="1:9" x14ac:dyDescent="0.25">
      <c r="A4713" t="s">
        <v>9616</v>
      </c>
      <c r="C4713" t="s">
        <v>9617</v>
      </c>
      <c r="D4713" t="str">
        <f>"787"</f>
        <v>787</v>
      </c>
      <c r="E4713" t="s">
        <v>11471</v>
      </c>
      <c r="F4713" s="1">
        <v>45679</v>
      </c>
      <c r="G4713" t="str">
        <f>"300043"</f>
        <v>300043</v>
      </c>
      <c r="H4713" t="s">
        <v>2876</v>
      </c>
      <c r="I4713">
        <v>5102</v>
      </c>
    </row>
    <row r="4714" spans="1:9" x14ac:dyDescent="0.25">
      <c r="A4714" t="s">
        <v>9616</v>
      </c>
      <c r="C4714" t="s">
        <v>9617</v>
      </c>
      <c r="D4714" t="str">
        <f>"818"</f>
        <v>818</v>
      </c>
      <c r="E4714" t="s">
        <v>11471</v>
      </c>
      <c r="F4714" s="1">
        <v>45679</v>
      </c>
      <c r="G4714" t="str">
        <f>"300043"</f>
        <v>300043</v>
      </c>
      <c r="H4714" t="s">
        <v>2876</v>
      </c>
      <c r="I4714">
        <v>3773</v>
      </c>
    </row>
    <row r="4715" spans="1:9" x14ac:dyDescent="0.25">
      <c r="A4715" t="s">
        <v>9616</v>
      </c>
      <c r="C4715" t="s">
        <v>9617</v>
      </c>
      <c r="D4715" t="str">
        <f>"011225"</f>
        <v>011225</v>
      </c>
      <c r="E4715" s="4">
        <v>45689</v>
      </c>
      <c r="F4715" s="1">
        <v>45679</v>
      </c>
      <c r="G4715" t="str">
        <f>"300101"</f>
        <v>300101</v>
      </c>
      <c r="H4715" t="s">
        <v>2926</v>
      </c>
      <c r="I4715">
        <v>3377.92</v>
      </c>
    </row>
    <row r="4716" spans="1:9" x14ac:dyDescent="0.25">
      <c r="A4716" t="s">
        <v>9616</v>
      </c>
      <c r="C4716" t="s">
        <v>9617</v>
      </c>
      <c r="D4716" t="s">
        <v>12076</v>
      </c>
      <c r="E4716" t="s">
        <v>9565</v>
      </c>
      <c r="F4716" s="1">
        <v>45679</v>
      </c>
      <c r="G4716" t="str">
        <f>"300133"</f>
        <v>300133</v>
      </c>
      <c r="H4716" t="s">
        <v>2955</v>
      </c>
      <c r="I4716">
        <v>27205.200000000001</v>
      </c>
    </row>
    <row r="4717" spans="1:9" x14ac:dyDescent="0.25">
      <c r="A4717" t="s">
        <v>9616</v>
      </c>
      <c r="C4717" t="s">
        <v>9617</v>
      </c>
      <c r="D4717" t="s">
        <v>12077</v>
      </c>
      <c r="E4717" t="s">
        <v>10041</v>
      </c>
      <c r="F4717" s="1">
        <v>45679</v>
      </c>
      <c r="G4717" t="str">
        <f>"300133"</f>
        <v>300133</v>
      </c>
      <c r="H4717" t="s">
        <v>2955</v>
      </c>
      <c r="I4717">
        <v>11970</v>
      </c>
    </row>
    <row r="4718" spans="1:9" x14ac:dyDescent="0.25">
      <c r="A4718" t="s">
        <v>9616</v>
      </c>
      <c r="C4718" t="s">
        <v>9617</v>
      </c>
      <c r="D4718" t="s">
        <v>12078</v>
      </c>
      <c r="E4718" t="s">
        <v>10339</v>
      </c>
      <c r="F4718" s="1">
        <v>45679</v>
      </c>
      <c r="G4718" t="str">
        <f>"300133"</f>
        <v>300133</v>
      </c>
      <c r="H4718" t="s">
        <v>2955</v>
      </c>
      <c r="I4718">
        <v>9388.7999999999993</v>
      </c>
    </row>
    <row r="4719" spans="1:9" x14ac:dyDescent="0.25">
      <c r="A4719" t="s">
        <v>9616</v>
      </c>
      <c r="C4719" t="s">
        <v>9617</v>
      </c>
      <c r="D4719" t="s">
        <v>12079</v>
      </c>
      <c r="E4719" t="s">
        <v>11475</v>
      </c>
      <c r="F4719" s="1">
        <v>45679</v>
      </c>
      <c r="G4719" t="str">
        <f>"300133"</f>
        <v>300133</v>
      </c>
      <c r="H4719" t="s">
        <v>2955</v>
      </c>
      <c r="I4719">
        <v>33000</v>
      </c>
    </row>
    <row r="4720" spans="1:9" x14ac:dyDescent="0.25">
      <c r="A4720" t="s">
        <v>9616</v>
      </c>
      <c r="C4720" t="s">
        <v>9617</v>
      </c>
      <c r="D4720" t="str">
        <f>"8000449526"</f>
        <v>8000449526</v>
      </c>
      <c r="E4720" t="s">
        <v>9189</v>
      </c>
      <c r="F4720" s="1">
        <v>45680</v>
      </c>
      <c r="G4720" t="str">
        <f>"300220"</f>
        <v>300220</v>
      </c>
      <c r="H4720" t="s">
        <v>2170</v>
      </c>
      <c r="I4720">
        <v>1075221.5759999999</v>
      </c>
    </row>
    <row r="4721" spans="1:9" x14ac:dyDescent="0.25">
      <c r="A4721" t="s">
        <v>9616</v>
      </c>
      <c r="C4721" t="s">
        <v>9617</v>
      </c>
      <c r="D4721" t="str">
        <f>"80193825"</f>
        <v>80193825</v>
      </c>
      <c r="E4721" t="s">
        <v>10642</v>
      </c>
      <c r="F4721" s="1">
        <v>45680</v>
      </c>
      <c r="G4721" t="str">
        <f>"300381"</f>
        <v>300381</v>
      </c>
      <c r="H4721" t="s">
        <v>3118</v>
      </c>
      <c r="I4721">
        <v>333934.96950000001</v>
      </c>
    </row>
    <row r="4722" spans="1:9" x14ac:dyDescent="0.25">
      <c r="A4722" t="s">
        <v>9616</v>
      </c>
      <c r="C4722" t="s">
        <v>9617</v>
      </c>
      <c r="D4722" t="str">
        <f>"80193979"</f>
        <v>80193979</v>
      </c>
      <c r="E4722" t="s">
        <v>9797</v>
      </c>
      <c r="F4722" s="1">
        <v>45680</v>
      </c>
      <c r="G4722" t="str">
        <f>"300381"</f>
        <v>300381</v>
      </c>
      <c r="H4722" t="s">
        <v>3118</v>
      </c>
      <c r="I4722">
        <v>139469.36850000001</v>
      </c>
    </row>
    <row r="4723" spans="1:9" x14ac:dyDescent="0.25">
      <c r="A4723" t="s">
        <v>9616</v>
      </c>
      <c r="C4723" t="s">
        <v>9617</v>
      </c>
      <c r="D4723" t="str">
        <f>"801939792"</f>
        <v>801939792</v>
      </c>
      <c r="E4723" t="s">
        <v>10049</v>
      </c>
      <c r="F4723" s="1">
        <v>45680</v>
      </c>
      <c r="G4723" t="str">
        <f>"300381"</f>
        <v>300381</v>
      </c>
      <c r="H4723" t="s">
        <v>3118</v>
      </c>
      <c r="I4723">
        <v>207023.25599999999</v>
      </c>
    </row>
    <row r="4724" spans="1:9" x14ac:dyDescent="0.25">
      <c r="A4724" t="s">
        <v>9616</v>
      </c>
      <c r="C4724" t="s">
        <v>9617</v>
      </c>
      <c r="D4724" t="str">
        <f>"432025"</f>
        <v>432025</v>
      </c>
      <c r="E4724" t="s">
        <v>12066</v>
      </c>
      <c r="F4724" s="1">
        <v>45680</v>
      </c>
      <c r="G4724" t="str">
        <f>"300426"</f>
        <v>300426</v>
      </c>
      <c r="H4724" t="s">
        <v>3159</v>
      </c>
      <c r="I4724">
        <v>1800</v>
      </c>
    </row>
    <row r="4725" spans="1:9" x14ac:dyDescent="0.25">
      <c r="A4725" t="s">
        <v>9616</v>
      </c>
      <c r="C4725" t="s">
        <v>9617</v>
      </c>
      <c r="D4725" t="str">
        <f>"10164930"</f>
        <v>10164930</v>
      </c>
      <c r="E4725" t="s">
        <v>9191</v>
      </c>
      <c r="F4725" s="1">
        <v>45681</v>
      </c>
      <c r="G4725" t="str">
        <f>"300115"</f>
        <v>300115</v>
      </c>
      <c r="H4725" t="s">
        <v>2938</v>
      </c>
      <c r="I4725">
        <v>107687.25</v>
      </c>
    </row>
    <row r="4726" spans="1:9" x14ac:dyDescent="0.25">
      <c r="A4726" t="s">
        <v>9616</v>
      </c>
      <c r="C4726" t="s">
        <v>9617</v>
      </c>
      <c r="D4726" t="str">
        <f>"9550005815"</f>
        <v>9550005815</v>
      </c>
      <c r="E4726" t="s">
        <v>9517</v>
      </c>
      <c r="F4726" s="1">
        <v>45681</v>
      </c>
      <c r="G4726" t="str">
        <f>"300397"</f>
        <v>300397</v>
      </c>
      <c r="H4726" t="s">
        <v>3133</v>
      </c>
      <c r="I4726">
        <v>83797.213499999998</v>
      </c>
    </row>
    <row r="4727" spans="1:9" x14ac:dyDescent="0.25">
      <c r="A4727" t="s">
        <v>9616</v>
      </c>
      <c r="C4727" t="s">
        <v>9617</v>
      </c>
      <c r="D4727" t="s">
        <v>12080</v>
      </c>
      <c r="E4727" t="s">
        <v>12066</v>
      </c>
      <c r="F4727" s="1">
        <v>45682</v>
      </c>
      <c r="G4727" t="str">
        <f>"300423"</f>
        <v>300423</v>
      </c>
      <c r="H4727" t="s">
        <v>3156</v>
      </c>
      <c r="I4727">
        <v>1200</v>
      </c>
    </row>
    <row r="4728" spans="1:9" x14ac:dyDescent="0.25">
      <c r="A4728" t="s">
        <v>9616</v>
      </c>
      <c r="C4728" t="s">
        <v>9617</v>
      </c>
      <c r="D4728" t="str">
        <f>"6614"</f>
        <v>6614</v>
      </c>
      <c r="E4728" t="s">
        <v>12081</v>
      </c>
      <c r="F4728" s="1">
        <v>45684</v>
      </c>
      <c r="G4728" t="str">
        <f>"300043"</f>
        <v>300043</v>
      </c>
      <c r="H4728" t="s">
        <v>2876</v>
      </c>
      <c r="I4728">
        <v>1277</v>
      </c>
    </row>
    <row r="4729" spans="1:9" x14ac:dyDescent="0.25">
      <c r="A4729" t="s">
        <v>9616</v>
      </c>
      <c r="C4729" t="s">
        <v>9617</v>
      </c>
      <c r="D4729" t="str">
        <f>"6629"</f>
        <v>6629</v>
      </c>
      <c r="E4729" t="s">
        <v>12082</v>
      </c>
      <c r="F4729" s="1">
        <v>45684</v>
      </c>
      <c r="G4729" t="str">
        <f>"300043"</f>
        <v>300043</v>
      </c>
      <c r="H4729" t="s">
        <v>2876</v>
      </c>
      <c r="I4729">
        <v>1316</v>
      </c>
    </row>
    <row r="4730" spans="1:9" x14ac:dyDescent="0.25">
      <c r="A4730" t="s">
        <v>9616</v>
      </c>
      <c r="C4730" t="s">
        <v>9617</v>
      </c>
      <c r="D4730" t="s">
        <v>12083</v>
      </c>
      <c r="E4730" t="s">
        <v>9568</v>
      </c>
      <c r="F4730" s="1">
        <v>45684</v>
      </c>
      <c r="G4730" t="str">
        <f>"300133"</f>
        <v>300133</v>
      </c>
      <c r="H4730" t="s">
        <v>2955</v>
      </c>
      <c r="I4730">
        <v>21341.25</v>
      </c>
    </row>
    <row r="4731" spans="1:9" x14ac:dyDescent="0.25">
      <c r="A4731" t="s">
        <v>9616</v>
      </c>
      <c r="C4731" t="s">
        <v>9617</v>
      </c>
      <c r="D4731" t="str">
        <f>"80193837"</f>
        <v>80193837</v>
      </c>
      <c r="E4731" t="s">
        <v>9189</v>
      </c>
      <c r="F4731" s="1">
        <v>45684</v>
      </c>
      <c r="G4731" t="str">
        <f>"300381"</f>
        <v>300381</v>
      </c>
      <c r="H4731" t="s">
        <v>3118</v>
      </c>
      <c r="I4731">
        <v>333934.96950000001</v>
      </c>
    </row>
    <row r="4732" spans="1:9" x14ac:dyDescent="0.25">
      <c r="A4732" t="s">
        <v>9616</v>
      </c>
      <c r="C4732" t="s">
        <v>9617</v>
      </c>
      <c r="D4732" t="str">
        <f>"481"</f>
        <v>481</v>
      </c>
      <c r="E4732" t="s">
        <v>12084</v>
      </c>
      <c r="F4732" s="1">
        <v>45685</v>
      </c>
      <c r="G4732" t="str">
        <f>"300043"</f>
        <v>300043</v>
      </c>
      <c r="H4732" t="s">
        <v>2876</v>
      </c>
      <c r="I4732">
        <v>2658</v>
      </c>
    </row>
    <row r="4733" spans="1:9" x14ac:dyDescent="0.25">
      <c r="A4733" t="s">
        <v>9616</v>
      </c>
      <c r="C4733" t="s">
        <v>9617</v>
      </c>
      <c r="D4733" t="s">
        <v>12085</v>
      </c>
      <c r="E4733" t="s">
        <v>12086</v>
      </c>
      <c r="F4733" s="1">
        <v>45685</v>
      </c>
      <c r="G4733" t="str">
        <f>"300237"</f>
        <v>300237</v>
      </c>
      <c r="H4733" t="s">
        <v>3036</v>
      </c>
      <c r="I4733">
        <v>319629.32319999998</v>
      </c>
    </row>
    <row r="4734" spans="1:9" x14ac:dyDescent="0.25">
      <c r="A4734" t="s">
        <v>9616</v>
      </c>
      <c r="C4734" t="s">
        <v>9617</v>
      </c>
      <c r="D4734" t="str">
        <f>"80194171"</f>
        <v>80194171</v>
      </c>
      <c r="E4734" t="s">
        <v>8852</v>
      </c>
      <c r="F4734" s="1">
        <v>45685</v>
      </c>
      <c r="G4734" t="str">
        <f>"300381"</f>
        <v>300381</v>
      </c>
      <c r="H4734" t="s">
        <v>3118</v>
      </c>
      <c r="I4734">
        <v>354558.6495</v>
      </c>
    </row>
    <row r="4735" spans="1:9" x14ac:dyDescent="0.25">
      <c r="A4735" t="s">
        <v>9616</v>
      </c>
      <c r="C4735" t="s">
        <v>9617</v>
      </c>
      <c r="D4735" t="str">
        <f>"7593"</f>
        <v>7593</v>
      </c>
      <c r="E4735" t="s">
        <v>12087</v>
      </c>
      <c r="F4735" s="1">
        <v>45686</v>
      </c>
      <c r="G4735" t="str">
        <f>"300043"</f>
        <v>300043</v>
      </c>
      <c r="H4735" t="s">
        <v>2876</v>
      </c>
      <c r="I4735">
        <v>1273</v>
      </c>
    </row>
    <row r="4736" spans="1:9" x14ac:dyDescent="0.25">
      <c r="A4736" t="s">
        <v>9616</v>
      </c>
      <c r="C4736" t="s">
        <v>9617</v>
      </c>
      <c r="D4736" t="str">
        <f>"7800"</f>
        <v>7800</v>
      </c>
      <c r="E4736" s="4">
        <v>45717</v>
      </c>
      <c r="F4736" s="1">
        <v>45686</v>
      </c>
      <c r="G4736" t="str">
        <f>"300043"</f>
        <v>300043</v>
      </c>
      <c r="H4736" t="s">
        <v>2876</v>
      </c>
      <c r="I4736">
        <v>576</v>
      </c>
    </row>
    <row r="4737" spans="1:9" x14ac:dyDescent="0.25">
      <c r="A4737" t="s">
        <v>9616</v>
      </c>
      <c r="C4737" t="s">
        <v>9617</v>
      </c>
      <c r="D4737" t="str">
        <f>"10165021"</f>
        <v>10165021</v>
      </c>
      <c r="E4737" t="s">
        <v>9204</v>
      </c>
      <c r="F4737" s="1">
        <v>45686</v>
      </c>
      <c r="G4737" t="str">
        <f>"300115"</f>
        <v>300115</v>
      </c>
      <c r="H4737" t="s">
        <v>2938</v>
      </c>
      <c r="I4737">
        <v>216452.02040000001</v>
      </c>
    </row>
    <row r="4738" spans="1:9" x14ac:dyDescent="0.25">
      <c r="A4738" t="s">
        <v>9616</v>
      </c>
      <c r="C4738" t="s">
        <v>9617</v>
      </c>
      <c r="D4738" t="s">
        <v>12088</v>
      </c>
      <c r="E4738" t="s">
        <v>12082</v>
      </c>
      <c r="F4738" s="1">
        <v>45686</v>
      </c>
      <c r="G4738" t="str">
        <f>"300321"</f>
        <v>300321</v>
      </c>
      <c r="H4738" t="s">
        <v>2706</v>
      </c>
      <c r="I4738">
        <v>30000</v>
      </c>
    </row>
    <row r="4739" spans="1:9" x14ac:dyDescent="0.25">
      <c r="A4739" t="s">
        <v>9616</v>
      </c>
      <c r="C4739" t="s">
        <v>9617</v>
      </c>
      <c r="D4739" t="s">
        <v>12089</v>
      </c>
      <c r="E4739" t="s">
        <v>12081</v>
      </c>
      <c r="F4739" s="1">
        <v>45686</v>
      </c>
      <c r="G4739" t="str">
        <f>"300321"</f>
        <v>300321</v>
      </c>
      <c r="H4739" t="s">
        <v>2706</v>
      </c>
      <c r="I4739">
        <v>27000</v>
      </c>
    </row>
    <row r="4740" spans="1:9" x14ac:dyDescent="0.25">
      <c r="A4740" t="s">
        <v>9616</v>
      </c>
      <c r="C4740" t="s">
        <v>9617</v>
      </c>
      <c r="D4740" t="s">
        <v>12090</v>
      </c>
      <c r="E4740" t="s">
        <v>12091</v>
      </c>
      <c r="F4740" s="1">
        <v>45687</v>
      </c>
      <c r="G4740" t="str">
        <f>"300321"</f>
        <v>300321</v>
      </c>
      <c r="H4740" t="s">
        <v>2706</v>
      </c>
      <c r="I4740">
        <v>30000</v>
      </c>
    </row>
    <row r="4741" spans="1:9" x14ac:dyDescent="0.25">
      <c r="A4741" t="s">
        <v>9616</v>
      </c>
      <c r="C4741" t="s">
        <v>9617</v>
      </c>
      <c r="D4741" t="s">
        <v>12092</v>
      </c>
      <c r="E4741" t="s">
        <v>12084</v>
      </c>
      <c r="F4741" s="1">
        <v>45687</v>
      </c>
      <c r="G4741" t="str">
        <f>"300423"</f>
        <v>300423</v>
      </c>
      <c r="H4741" t="s">
        <v>3156</v>
      </c>
      <c r="I4741">
        <v>8195.6299999999992</v>
      </c>
    </row>
    <row r="4742" spans="1:9" x14ac:dyDescent="0.25">
      <c r="A4742" t="s">
        <v>9616</v>
      </c>
      <c r="C4742" t="s">
        <v>9617</v>
      </c>
      <c r="D4742" t="s">
        <v>12093</v>
      </c>
      <c r="E4742" t="s">
        <v>12081</v>
      </c>
      <c r="F4742" s="1">
        <v>45687</v>
      </c>
      <c r="G4742" t="str">
        <f>"300423"</f>
        <v>300423</v>
      </c>
      <c r="H4742" t="s">
        <v>3156</v>
      </c>
      <c r="I4742">
        <v>3376.19</v>
      </c>
    </row>
    <row r="4743" spans="1:9" x14ac:dyDescent="0.25">
      <c r="A4743" t="s">
        <v>9616</v>
      </c>
      <c r="C4743" t="s">
        <v>9617</v>
      </c>
      <c r="D4743" t="s">
        <v>12094</v>
      </c>
      <c r="E4743" t="s">
        <v>12082</v>
      </c>
      <c r="F4743" s="1">
        <v>45687</v>
      </c>
      <c r="G4743" t="str">
        <f>"300423"</f>
        <v>300423</v>
      </c>
      <c r="H4743" t="s">
        <v>3156</v>
      </c>
      <c r="I4743">
        <v>3545.92</v>
      </c>
    </row>
    <row r="4744" spans="1:9" x14ac:dyDescent="0.25">
      <c r="A4744" t="s">
        <v>9616</v>
      </c>
      <c r="C4744" t="s">
        <v>9617</v>
      </c>
      <c r="D4744" t="str">
        <f>"8412"</f>
        <v>8412</v>
      </c>
      <c r="E4744" t="s">
        <v>12095</v>
      </c>
      <c r="F4744" s="1">
        <v>45688</v>
      </c>
      <c r="G4744" t="str">
        <f>"300043"</f>
        <v>300043</v>
      </c>
      <c r="H4744" t="s">
        <v>2876</v>
      </c>
      <c r="I4744">
        <v>1337</v>
      </c>
    </row>
    <row r="4745" spans="1:9" x14ac:dyDescent="0.25">
      <c r="A4745" t="s">
        <v>9616</v>
      </c>
      <c r="C4745" t="s">
        <v>9617</v>
      </c>
      <c r="D4745" t="str">
        <f>"80193928"</f>
        <v>80193928</v>
      </c>
      <c r="E4745" t="s">
        <v>12096</v>
      </c>
      <c r="F4745" s="1">
        <v>45688</v>
      </c>
      <c r="G4745" t="str">
        <f>"300381"</f>
        <v>300381</v>
      </c>
      <c r="H4745" t="s">
        <v>3118</v>
      </c>
      <c r="I4745">
        <v>333934.96950000001</v>
      </c>
    </row>
    <row r="4746" spans="1:9" x14ac:dyDescent="0.25">
      <c r="A4746" t="s">
        <v>9616</v>
      </c>
      <c r="C4746" t="s">
        <v>9617</v>
      </c>
      <c r="D4746" t="str">
        <f>"80194402"</f>
        <v>80194402</v>
      </c>
      <c r="E4746" t="s">
        <v>12096</v>
      </c>
      <c r="F4746" s="1">
        <v>45688</v>
      </c>
      <c r="G4746" t="str">
        <f>"300381"</f>
        <v>300381</v>
      </c>
      <c r="H4746" t="s">
        <v>3118</v>
      </c>
      <c r="I4746">
        <v>333934.96950000001</v>
      </c>
    </row>
    <row r="4747" spans="1:9" x14ac:dyDescent="0.25">
      <c r="A4747" t="s">
        <v>9616</v>
      </c>
      <c r="C4747" t="s">
        <v>9617</v>
      </c>
      <c r="D4747" t="s">
        <v>12097</v>
      </c>
      <c r="E4747" t="s">
        <v>12091</v>
      </c>
      <c r="F4747" s="1">
        <v>45688</v>
      </c>
      <c r="G4747" t="str">
        <f>"300423"</f>
        <v>300423</v>
      </c>
      <c r="H4747" t="s">
        <v>3156</v>
      </c>
      <c r="I4747">
        <v>3206.46</v>
      </c>
    </row>
    <row r="4748" spans="1:9" x14ac:dyDescent="0.25">
      <c r="A4748" t="s">
        <v>9616</v>
      </c>
      <c r="C4748" t="s">
        <v>9617</v>
      </c>
      <c r="D4748" t="s">
        <v>12098</v>
      </c>
      <c r="E4748" t="s">
        <v>12095</v>
      </c>
      <c r="F4748" s="1">
        <v>45688</v>
      </c>
      <c r="G4748" t="str">
        <f>"300423"</f>
        <v>300423</v>
      </c>
      <c r="H4748" t="s">
        <v>3156</v>
      </c>
      <c r="I4748">
        <v>3206.46</v>
      </c>
    </row>
    <row r="4749" spans="1:9" x14ac:dyDescent="0.25">
      <c r="A4749" t="s">
        <v>9616</v>
      </c>
      <c r="C4749" t="s">
        <v>9617</v>
      </c>
      <c r="D4749" t="s">
        <v>12099</v>
      </c>
      <c r="E4749" t="s">
        <v>12095</v>
      </c>
      <c r="F4749" s="1">
        <v>45689</v>
      </c>
      <c r="G4749" t="str">
        <f>"300321"</f>
        <v>300321</v>
      </c>
      <c r="H4749" t="s">
        <v>2706</v>
      </c>
      <c r="I4749">
        <v>27000</v>
      </c>
    </row>
    <row r="4750" spans="1:9" x14ac:dyDescent="0.25">
      <c r="A4750" t="s">
        <v>9616</v>
      </c>
      <c r="C4750" t="s">
        <v>9617</v>
      </c>
      <c r="D4750" t="str">
        <f>"9137"</f>
        <v>9137</v>
      </c>
      <c r="E4750" s="4">
        <v>45748</v>
      </c>
      <c r="F4750" s="1">
        <v>45691</v>
      </c>
      <c r="G4750" t="str">
        <f>"300043"</f>
        <v>300043</v>
      </c>
      <c r="H4750" t="s">
        <v>2876</v>
      </c>
      <c r="I4750">
        <v>848</v>
      </c>
    </row>
    <row r="4751" spans="1:9" x14ac:dyDescent="0.25">
      <c r="A4751" t="s">
        <v>9616</v>
      </c>
      <c r="C4751" t="s">
        <v>9617</v>
      </c>
      <c r="D4751" t="s">
        <v>12100</v>
      </c>
      <c r="E4751" t="s">
        <v>9562</v>
      </c>
      <c r="F4751" s="1">
        <v>45691</v>
      </c>
      <c r="G4751" t="str">
        <f>"300133"</f>
        <v>300133</v>
      </c>
      <c r="H4751" t="s">
        <v>2955</v>
      </c>
      <c r="I4751">
        <v>44596.800000000003</v>
      </c>
    </row>
    <row r="4752" spans="1:9" x14ac:dyDescent="0.25">
      <c r="A4752" t="s">
        <v>9616</v>
      </c>
      <c r="C4752" t="s">
        <v>9617</v>
      </c>
      <c r="D4752" t="str">
        <f>"250002328"</f>
        <v>250002328</v>
      </c>
      <c r="E4752" t="s">
        <v>12101</v>
      </c>
      <c r="F4752" s="1">
        <v>45691</v>
      </c>
      <c r="G4752" t="str">
        <f>"300344"</f>
        <v>300344</v>
      </c>
      <c r="H4752" t="s">
        <v>3084</v>
      </c>
      <c r="I4752">
        <v>195411.64</v>
      </c>
    </row>
    <row r="4753" spans="1:9" x14ac:dyDescent="0.25">
      <c r="A4753" t="s">
        <v>9616</v>
      </c>
      <c r="C4753" t="s">
        <v>9617</v>
      </c>
      <c r="D4753" t="str">
        <f>"9616"</f>
        <v>9616</v>
      </c>
      <c r="E4753" t="s">
        <v>12102</v>
      </c>
      <c r="F4753" s="1">
        <v>45692</v>
      </c>
      <c r="G4753" t="str">
        <f>"300043"</f>
        <v>300043</v>
      </c>
      <c r="H4753" t="s">
        <v>2876</v>
      </c>
      <c r="I4753">
        <v>1265</v>
      </c>
    </row>
    <row r="4754" spans="1:9" x14ac:dyDescent="0.25">
      <c r="A4754" t="s">
        <v>9616</v>
      </c>
      <c r="C4754" t="s">
        <v>9617</v>
      </c>
      <c r="D4754" t="str">
        <f>"9617"</f>
        <v>9617</v>
      </c>
      <c r="E4754" t="s">
        <v>12103</v>
      </c>
      <c r="F4754" s="1">
        <v>45692</v>
      </c>
      <c r="G4754" t="str">
        <f>"300043"</f>
        <v>300043</v>
      </c>
      <c r="H4754" t="s">
        <v>2876</v>
      </c>
      <c r="I4754">
        <v>1265</v>
      </c>
    </row>
    <row r="4755" spans="1:9" x14ac:dyDescent="0.25">
      <c r="A4755" t="s">
        <v>9616</v>
      </c>
      <c r="C4755" t="s">
        <v>9617</v>
      </c>
      <c r="D4755" t="str">
        <f>"022625"</f>
        <v>022625</v>
      </c>
      <c r="E4755" s="4">
        <v>45717</v>
      </c>
      <c r="F4755" s="1">
        <v>45692</v>
      </c>
      <c r="G4755" t="str">
        <f>"300101"</f>
        <v>300101</v>
      </c>
      <c r="H4755" t="s">
        <v>2926</v>
      </c>
      <c r="I4755">
        <v>3208.19</v>
      </c>
    </row>
    <row r="4756" spans="1:9" x14ac:dyDescent="0.25">
      <c r="A4756" t="s">
        <v>9616</v>
      </c>
      <c r="C4756" t="s">
        <v>9617</v>
      </c>
      <c r="D4756" t="str">
        <f>"024425"</f>
        <v>024425</v>
      </c>
      <c r="E4756" s="4">
        <v>45748</v>
      </c>
      <c r="F4756" s="1">
        <v>45693</v>
      </c>
      <c r="G4756" t="str">
        <f>"300101"</f>
        <v>300101</v>
      </c>
      <c r="H4756" t="s">
        <v>2926</v>
      </c>
      <c r="I4756">
        <v>3208.19</v>
      </c>
    </row>
    <row r="4757" spans="1:9" x14ac:dyDescent="0.25">
      <c r="A4757" t="s">
        <v>9616</v>
      </c>
      <c r="C4757" t="s">
        <v>9617</v>
      </c>
      <c r="D4757" t="s">
        <v>12104</v>
      </c>
      <c r="E4757" t="s">
        <v>12102</v>
      </c>
      <c r="F4757" s="1">
        <v>45693</v>
      </c>
      <c r="G4757" t="str">
        <f>"300321"</f>
        <v>300321</v>
      </c>
      <c r="H4757" t="s">
        <v>2706</v>
      </c>
      <c r="I4757">
        <v>30000</v>
      </c>
    </row>
    <row r="4758" spans="1:9" x14ac:dyDescent="0.25">
      <c r="A4758" t="s">
        <v>9616</v>
      </c>
      <c r="C4758" t="s">
        <v>9617</v>
      </c>
      <c r="D4758" t="s">
        <v>12105</v>
      </c>
      <c r="E4758" t="s">
        <v>12103</v>
      </c>
      <c r="F4758" s="1">
        <v>45693</v>
      </c>
      <c r="G4758" t="str">
        <f>"300321"</f>
        <v>300321</v>
      </c>
      <c r="H4758" t="s">
        <v>2706</v>
      </c>
      <c r="I4758">
        <v>30000</v>
      </c>
    </row>
    <row r="4759" spans="1:9" x14ac:dyDescent="0.25">
      <c r="A4759" t="s">
        <v>9616</v>
      </c>
      <c r="C4759" t="s">
        <v>9617</v>
      </c>
      <c r="D4759" t="str">
        <f>"1472"</f>
        <v>1472</v>
      </c>
      <c r="E4759" t="s">
        <v>11471</v>
      </c>
      <c r="F4759" s="1">
        <v>45695</v>
      </c>
      <c r="G4759" t="str">
        <f>"300043"</f>
        <v>300043</v>
      </c>
      <c r="H4759" t="s">
        <v>2876</v>
      </c>
      <c r="I4759">
        <v>4431</v>
      </c>
    </row>
    <row r="4760" spans="1:9" x14ac:dyDescent="0.25">
      <c r="A4760" t="s">
        <v>9616</v>
      </c>
      <c r="C4760" t="s">
        <v>9617</v>
      </c>
      <c r="D4760" t="s">
        <v>12106</v>
      </c>
      <c r="E4760" t="s">
        <v>9443</v>
      </c>
      <c r="F4760" s="1">
        <v>45698</v>
      </c>
      <c r="G4760" t="str">
        <f>"300356"</f>
        <v>300356</v>
      </c>
      <c r="H4760" t="s">
        <v>3094</v>
      </c>
      <c r="I4760">
        <v>215070.647</v>
      </c>
    </row>
    <row r="4761" spans="1:9" x14ac:dyDescent="0.25">
      <c r="A4761" t="s">
        <v>9616</v>
      </c>
      <c r="C4761" t="s">
        <v>9617</v>
      </c>
      <c r="D4761" t="str">
        <f>"8000450247"</f>
        <v>8000450247</v>
      </c>
      <c r="E4761" t="s">
        <v>12107</v>
      </c>
      <c r="F4761" s="1">
        <v>45699</v>
      </c>
      <c r="G4761" t="str">
        <f>"300220"</f>
        <v>300220</v>
      </c>
      <c r="H4761" t="s">
        <v>2170</v>
      </c>
      <c r="I4761">
        <v>1142064</v>
      </c>
    </row>
    <row r="4762" spans="1:9" x14ac:dyDescent="0.25">
      <c r="A4762" t="s">
        <v>9616</v>
      </c>
      <c r="C4762" t="s">
        <v>9617</v>
      </c>
      <c r="D4762" t="str">
        <f>"80194881"</f>
        <v>80194881</v>
      </c>
      <c r="E4762" t="s">
        <v>9189</v>
      </c>
      <c r="F4762" s="1">
        <v>45699</v>
      </c>
      <c r="G4762" t="str">
        <f>"300381"</f>
        <v>300381</v>
      </c>
      <c r="H4762" t="s">
        <v>3118</v>
      </c>
      <c r="I4762">
        <v>333934.96950000001</v>
      </c>
    </row>
    <row r="4763" spans="1:9" x14ac:dyDescent="0.25">
      <c r="A4763" t="s">
        <v>9616</v>
      </c>
      <c r="C4763" t="s">
        <v>9617</v>
      </c>
      <c r="D4763" t="str">
        <f>"80194882"</f>
        <v>80194882</v>
      </c>
      <c r="E4763" t="s">
        <v>9189</v>
      </c>
      <c r="F4763" s="1">
        <v>45699</v>
      </c>
      <c r="G4763" t="str">
        <f>"300381"</f>
        <v>300381</v>
      </c>
      <c r="H4763" t="s">
        <v>3118</v>
      </c>
      <c r="I4763">
        <v>333934.96950000001</v>
      </c>
    </row>
    <row r="4764" spans="1:9" x14ac:dyDescent="0.25">
      <c r="A4764" t="s">
        <v>9616</v>
      </c>
      <c r="C4764" t="s">
        <v>9617</v>
      </c>
      <c r="D4764" t="str">
        <f>"761"</f>
        <v>761</v>
      </c>
      <c r="E4764" t="s">
        <v>12108</v>
      </c>
      <c r="F4764" s="1">
        <v>45700</v>
      </c>
      <c r="G4764" t="str">
        <f>"300043"</f>
        <v>300043</v>
      </c>
      <c r="H4764" t="s">
        <v>2876</v>
      </c>
      <c r="I4764">
        <v>2630</v>
      </c>
    </row>
    <row r="4765" spans="1:9" x14ac:dyDescent="0.25">
      <c r="A4765" t="s">
        <v>9616</v>
      </c>
      <c r="C4765" t="s">
        <v>9617</v>
      </c>
      <c r="D4765" t="s">
        <v>12109</v>
      </c>
      <c r="E4765" t="s">
        <v>12110</v>
      </c>
      <c r="F4765" s="1">
        <v>45700</v>
      </c>
      <c r="G4765" t="str">
        <f>"300237"</f>
        <v>300237</v>
      </c>
      <c r="H4765" t="s">
        <v>3036</v>
      </c>
      <c r="I4765">
        <v>201653.32</v>
      </c>
    </row>
    <row r="4766" spans="1:9" x14ac:dyDescent="0.25">
      <c r="A4766" t="s">
        <v>9616</v>
      </c>
      <c r="C4766" t="s">
        <v>9617</v>
      </c>
      <c r="D4766" t="s">
        <v>12111</v>
      </c>
      <c r="E4766" t="s">
        <v>11471</v>
      </c>
      <c r="F4766" s="1">
        <v>45700</v>
      </c>
      <c r="G4766" t="str">
        <f>"300423"</f>
        <v>300423</v>
      </c>
      <c r="H4766" t="s">
        <v>3156</v>
      </c>
      <c r="I4766">
        <v>420</v>
      </c>
    </row>
    <row r="4767" spans="1:9" x14ac:dyDescent="0.25">
      <c r="A4767" t="s">
        <v>9616</v>
      </c>
      <c r="C4767" t="s">
        <v>9617</v>
      </c>
      <c r="D4767" t="str">
        <f>"13321"</f>
        <v>13321</v>
      </c>
      <c r="E4767" s="4">
        <v>45778</v>
      </c>
      <c r="F4767" s="1">
        <v>45701</v>
      </c>
      <c r="G4767" t="str">
        <f>"300043"</f>
        <v>300043</v>
      </c>
      <c r="H4767" t="s">
        <v>2876</v>
      </c>
      <c r="I4767">
        <v>842</v>
      </c>
    </row>
    <row r="4768" spans="1:9" x14ac:dyDescent="0.25">
      <c r="A4768" t="s">
        <v>9616</v>
      </c>
      <c r="C4768" t="s">
        <v>9617</v>
      </c>
      <c r="D4768" t="s">
        <v>12112</v>
      </c>
      <c r="E4768" t="s">
        <v>12108</v>
      </c>
      <c r="F4768" s="1">
        <v>45701</v>
      </c>
      <c r="G4768" t="str">
        <f>"300423"</f>
        <v>300423</v>
      </c>
      <c r="H4768" t="s">
        <v>3156</v>
      </c>
      <c r="I4768">
        <v>8170.81</v>
      </c>
    </row>
    <row r="4769" spans="1:9" x14ac:dyDescent="0.25">
      <c r="A4769" t="s">
        <v>9616</v>
      </c>
      <c r="C4769" t="s">
        <v>9617</v>
      </c>
      <c r="D4769" t="str">
        <f>"13624"</f>
        <v>13624</v>
      </c>
      <c r="E4769" t="s">
        <v>12113</v>
      </c>
      <c r="F4769" s="1">
        <v>45702</v>
      </c>
      <c r="G4769" t="str">
        <f>"300043"</f>
        <v>300043</v>
      </c>
      <c r="H4769" t="s">
        <v>2876</v>
      </c>
      <c r="I4769">
        <v>1269</v>
      </c>
    </row>
    <row r="4770" spans="1:9" x14ac:dyDescent="0.25">
      <c r="A4770" t="s">
        <v>9616</v>
      </c>
      <c r="C4770" t="s">
        <v>9617</v>
      </c>
      <c r="D4770" t="s">
        <v>12114</v>
      </c>
      <c r="E4770" t="s">
        <v>9646</v>
      </c>
      <c r="F4770" s="1">
        <v>45702</v>
      </c>
      <c r="G4770" t="str">
        <f>"300133"</f>
        <v>300133</v>
      </c>
      <c r="H4770" t="s">
        <v>2955</v>
      </c>
      <c r="I4770">
        <v>49291.199999999997</v>
      </c>
    </row>
    <row r="4771" spans="1:9" x14ac:dyDescent="0.25">
      <c r="A4771" t="s">
        <v>9616</v>
      </c>
      <c r="C4771" t="s">
        <v>9617</v>
      </c>
      <c r="D4771" t="str">
        <f>"14062"</f>
        <v>14062</v>
      </c>
      <c r="E4771" t="s">
        <v>12115</v>
      </c>
      <c r="F4771" s="1">
        <v>45705</v>
      </c>
      <c r="G4771" t="str">
        <f>"300043"</f>
        <v>300043</v>
      </c>
      <c r="H4771" t="s">
        <v>2876</v>
      </c>
      <c r="I4771">
        <v>1273</v>
      </c>
    </row>
    <row r="4772" spans="1:9" x14ac:dyDescent="0.25">
      <c r="A4772" t="s">
        <v>9616</v>
      </c>
      <c r="C4772" t="s">
        <v>9617</v>
      </c>
      <c r="D4772" t="s">
        <v>12116</v>
      </c>
      <c r="E4772" t="s">
        <v>12113</v>
      </c>
      <c r="F4772" s="1">
        <v>45705</v>
      </c>
      <c r="G4772" t="str">
        <f>"300321"</f>
        <v>300321</v>
      </c>
      <c r="H4772" t="s">
        <v>2706</v>
      </c>
      <c r="I4772">
        <v>30000</v>
      </c>
    </row>
    <row r="4773" spans="1:9" x14ac:dyDescent="0.25">
      <c r="A4773" t="s">
        <v>9616</v>
      </c>
      <c r="C4773" t="s">
        <v>9617</v>
      </c>
      <c r="D4773" t="str">
        <f>"80195052"</f>
        <v>80195052</v>
      </c>
      <c r="E4773" t="s">
        <v>9189</v>
      </c>
      <c r="F4773" s="1">
        <v>45705</v>
      </c>
      <c r="G4773" t="str">
        <f>"300381"</f>
        <v>300381</v>
      </c>
      <c r="H4773" t="s">
        <v>3118</v>
      </c>
      <c r="I4773">
        <v>333934.96950000001</v>
      </c>
    </row>
    <row r="4774" spans="1:9" x14ac:dyDescent="0.25">
      <c r="A4774" t="s">
        <v>9616</v>
      </c>
      <c r="C4774" t="s">
        <v>9617</v>
      </c>
      <c r="D4774" t="s">
        <v>12117</v>
      </c>
      <c r="E4774" t="s">
        <v>12115</v>
      </c>
      <c r="F4774" s="1">
        <v>45706</v>
      </c>
      <c r="G4774" t="str">
        <f>"300321"</f>
        <v>300321</v>
      </c>
      <c r="H4774" t="s">
        <v>2706</v>
      </c>
      <c r="I4774">
        <v>30000</v>
      </c>
    </row>
    <row r="4775" spans="1:9" x14ac:dyDescent="0.25">
      <c r="A4775" t="s">
        <v>9616</v>
      </c>
      <c r="C4775" t="s">
        <v>9617</v>
      </c>
      <c r="D4775" t="str">
        <f>"80195240"</f>
        <v>80195240</v>
      </c>
      <c r="E4775" t="s">
        <v>8852</v>
      </c>
      <c r="F4775" s="1">
        <v>45706</v>
      </c>
      <c r="G4775" t="str">
        <f>"300381"</f>
        <v>300381</v>
      </c>
      <c r="H4775" t="s">
        <v>3118</v>
      </c>
      <c r="I4775">
        <v>352643.59350000002</v>
      </c>
    </row>
    <row r="4776" spans="1:9" x14ac:dyDescent="0.25">
      <c r="A4776" t="s">
        <v>9616</v>
      </c>
      <c r="C4776" t="s">
        <v>9617</v>
      </c>
      <c r="D4776" t="s">
        <v>12118</v>
      </c>
      <c r="E4776" t="s">
        <v>12113</v>
      </c>
      <c r="F4776" s="1">
        <v>45706</v>
      </c>
      <c r="G4776" t="str">
        <f>"300423"</f>
        <v>300423</v>
      </c>
      <c r="H4776" t="s">
        <v>3156</v>
      </c>
      <c r="I4776">
        <v>3376.19</v>
      </c>
    </row>
    <row r="4777" spans="1:9" x14ac:dyDescent="0.25">
      <c r="A4777" t="s">
        <v>9616</v>
      </c>
      <c r="C4777" t="s">
        <v>9617</v>
      </c>
      <c r="D4777" t="str">
        <f>"895"</f>
        <v>895</v>
      </c>
      <c r="E4777" t="s">
        <v>12119</v>
      </c>
      <c r="F4777" s="1">
        <v>45707</v>
      </c>
      <c r="G4777" t="str">
        <f>"300043"</f>
        <v>300043</v>
      </c>
      <c r="H4777" t="s">
        <v>2876</v>
      </c>
      <c r="I4777">
        <v>3564</v>
      </c>
    </row>
    <row r="4778" spans="1:9" x14ac:dyDescent="0.25">
      <c r="A4778" t="s">
        <v>9616</v>
      </c>
      <c r="C4778" t="s">
        <v>9617</v>
      </c>
      <c r="D4778" t="str">
        <f>"15292"</f>
        <v>15292</v>
      </c>
      <c r="E4778" t="s">
        <v>12120</v>
      </c>
      <c r="F4778" s="1">
        <v>45707</v>
      </c>
      <c r="G4778" t="str">
        <f>"300043"</f>
        <v>300043</v>
      </c>
      <c r="H4778" t="s">
        <v>2876</v>
      </c>
      <c r="I4778">
        <v>1272</v>
      </c>
    </row>
    <row r="4779" spans="1:9" x14ac:dyDescent="0.25">
      <c r="A4779" t="s">
        <v>9616</v>
      </c>
      <c r="C4779" t="s">
        <v>9617</v>
      </c>
      <c r="D4779" t="str">
        <f>"035725"</f>
        <v>035725</v>
      </c>
      <c r="E4779" s="4">
        <v>45778</v>
      </c>
      <c r="F4779" s="1">
        <v>45707</v>
      </c>
      <c r="G4779" t="str">
        <f>"300101"</f>
        <v>300101</v>
      </c>
      <c r="H4779" t="s">
        <v>2926</v>
      </c>
      <c r="I4779">
        <v>4097.92</v>
      </c>
    </row>
    <row r="4780" spans="1:9" x14ac:dyDescent="0.25">
      <c r="A4780" t="s">
        <v>9616</v>
      </c>
      <c r="C4780" t="s">
        <v>9617</v>
      </c>
      <c r="D4780" t="str">
        <f>"10165539"</f>
        <v>10165539</v>
      </c>
      <c r="E4780" t="s">
        <v>8907</v>
      </c>
      <c r="F4780" s="1">
        <v>45707</v>
      </c>
      <c r="G4780" t="str">
        <f>"300115"</f>
        <v>300115</v>
      </c>
      <c r="H4780" t="s">
        <v>2938</v>
      </c>
      <c r="I4780">
        <v>346254.57900000003</v>
      </c>
    </row>
    <row r="4781" spans="1:9" x14ac:dyDescent="0.25">
      <c r="A4781" t="s">
        <v>9616</v>
      </c>
      <c r="C4781" t="s">
        <v>9617</v>
      </c>
      <c r="D4781" t="str">
        <f>"8000450641"</f>
        <v>8000450641</v>
      </c>
      <c r="E4781" t="s">
        <v>12121</v>
      </c>
      <c r="F4781" s="1">
        <v>45707</v>
      </c>
      <c r="G4781" t="str">
        <f>"300220"</f>
        <v>300220</v>
      </c>
      <c r="H4781" t="s">
        <v>2170</v>
      </c>
      <c r="I4781">
        <v>1187746.56</v>
      </c>
    </row>
    <row r="4782" spans="1:9" x14ac:dyDescent="0.25">
      <c r="A4782" t="s">
        <v>9616</v>
      </c>
      <c r="C4782" t="s">
        <v>9617</v>
      </c>
      <c r="D4782" t="str">
        <f>"8000450642"</f>
        <v>8000450642</v>
      </c>
      <c r="E4782" t="s">
        <v>12122</v>
      </c>
      <c r="F4782" s="1">
        <v>45707</v>
      </c>
      <c r="G4782" t="str">
        <f>"300220"</f>
        <v>300220</v>
      </c>
      <c r="H4782" t="s">
        <v>2170</v>
      </c>
      <c r="I4782">
        <v>785832.23400000005</v>
      </c>
    </row>
    <row r="4783" spans="1:9" x14ac:dyDescent="0.25">
      <c r="A4783" t="s">
        <v>9616</v>
      </c>
      <c r="C4783" t="s">
        <v>9617</v>
      </c>
      <c r="D4783" t="str">
        <f>"1956"</f>
        <v>1956</v>
      </c>
      <c r="E4783" t="s">
        <v>12123</v>
      </c>
      <c r="F4783" s="1">
        <v>45708</v>
      </c>
      <c r="G4783" t="str">
        <f>"300043"</f>
        <v>300043</v>
      </c>
      <c r="H4783" t="s">
        <v>2876</v>
      </c>
      <c r="I4783">
        <v>4737</v>
      </c>
    </row>
    <row r="4784" spans="1:9" x14ac:dyDescent="0.25">
      <c r="A4784" t="s">
        <v>9616</v>
      </c>
      <c r="C4784" t="s">
        <v>9617</v>
      </c>
      <c r="D4784" t="str">
        <f>"15721"</f>
        <v>15721</v>
      </c>
      <c r="E4784" t="s">
        <v>12124</v>
      </c>
      <c r="F4784" s="1">
        <v>45708</v>
      </c>
      <c r="G4784" t="str">
        <f>"300043"</f>
        <v>300043</v>
      </c>
      <c r="H4784" t="s">
        <v>2876</v>
      </c>
      <c r="I4784">
        <v>1329</v>
      </c>
    </row>
    <row r="4785" spans="1:9" x14ac:dyDescent="0.25">
      <c r="A4785" t="s">
        <v>9616</v>
      </c>
      <c r="C4785" t="s">
        <v>9617</v>
      </c>
      <c r="D4785" t="str">
        <f>"17906"</f>
        <v>17906</v>
      </c>
      <c r="E4785" t="s">
        <v>12125</v>
      </c>
      <c r="F4785" s="1">
        <v>45708</v>
      </c>
      <c r="G4785" t="str">
        <f>"300043"</f>
        <v>300043</v>
      </c>
      <c r="H4785" t="s">
        <v>2876</v>
      </c>
      <c r="I4785">
        <v>564</v>
      </c>
    </row>
    <row r="4786" spans="1:9" x14ac:dyDescent="0.25">
      <c r="A4786" t="s">
        <v>9616</v>
      </c>
      <c r="C4786" t="s">
        <v>9617</v>
      </c>
      <c r="D4786" t="s">
        <v>12126</v>
      </c>
      <c r="E4786" t="s">
        <v>12127</v>
      </c>
      <c r="F4786" s="1">
        <v>45708</v>
      </c>
      <c r="G4786" t="str">
        <f>"300321"</f>
        <v>300321</v>
      </c>
      <c r="H4786" t="s">
        <v>2706</v>
      </c>
      <c r="I4786">
        <v>30000</v>
      </c>
    </row>
    <row r="4787" spans="1:9" x14ac:dyDescent="0.25">
      <c r="A4787" t="s">
        <v>9616</v>
      </c>
      <c r="C4787" t="s">
        <v>9617</v>
      </c>
      <c r="D4787" t="s">
        <v>12128</v>
      </c>
      <c r="E4787" t="s">
        <v>12124</v>
      </c>
      <c r="F4787" s="1">
        <v>45708</v>
      </c>
      <c r="G4787" t="str">
        <f>"300321"</f>
        <v>300321</v>
      </c>
      <c r="H4787" t="s">
        <v>2706</v>
      </c>
      <c r="I4787">
        <v>27000</v>
      </c>
    </row>
    <row r="4788" spans="1:9" x14ac:dyDescent="0.25">
      <c r="A4788" t="s">
        <v>9616</v>
      </c>
      <c r="C4788" t="s">
        <v>9617</v>
      </c>
      <c r="D4788" t="str">
        <f>"16304"</f>
        <v>16304</v>
      </c>
      <c r="E4788" t="s">
        <v>12129</v>
      </c>
      <c r="F4788" s="1">
        <v>45709</v>
      </c>
      <c r="G4788" t="str">
        <f>"300043"</f>
        <v>300043</v>
      </c>
      <c r="H4788" t="s">
        <v>2876</v>
      </c>
      <c r="I4788">
        <v>1248</v>
      </c>
    </row>
    <row r="4789" spans="1:9" x14ac:dyDescent="0.25">
      <c r="A4789" t="s">
        <v>9616</v>
      </c>
      <c r="C4789" t="s">
        <v>9617</v>
      </c>
      <c r="D4789" t="str">
        <f>"10165591"</f>
        <v>10165591</v>
      </c>
      <c r="E4789" t="s">
        <v>9189</v>
      </c>
      <c r="F4789" s="1">
        <v>45709</v>
      </c>
      <c r="G4789" t="str">
        <f>"300115"</f>
        <v>300115</v>
      </c>
      <c r="H4789" t="s">
        <v>2938</v>
      </c>
      <c r="I4789">
        <v>346254.57900000003</v>
      </c>
    </row>
    <row r="4790" spans="1:9" x14ac:dyDescent="0.25">
      <c r="A4790" t="s">
        <v>9616</v>
      </c>
      <c r="C4790" t="s">
        <v>9617</v>
      </c>
      <c r="D4790" t="s">
        <v>12130</v>
      </c>
      <c r="E4790" t="s">
        <v>12125</v>
      </c>
      <c r="F4790" s="1">
        <v>45709</v>
      </c>
      <c r="G4790" t="str">
        <f>"300191"</f>
        <v>300191</v>
      </c>
      <c r="H4790" t="s">
        <v>3008</v>
      </c>
      <c r="I4790">
        <v>2704.66</v>
      </c>
    </row>
    <row r="4791" spans="1:9" x14ac:dyDescent="0.25">
      <c r="A4791" t="s">
        <v>9616</v>
      </c>
      <c r="C4791" t="s">
        <v>9617</v>
      </c>
      <c r="D4791" t="str">
        <f>"80195363"</f>
        <v>80195363</v>
      </c>
      <c r="E4791" t="s">
        <v>9633</v>
      </c>
      <c r="F4791" s="1">
        <v>45709</v>
      </c>
      <c r="G4791" t="str">
        <f>"300381"</f>
        <v>300381</v>
      </c>
      <c r="H4791" t="s">
        <v>3118</v>
      </c>
      <c r="I4791">
        <v>106648.542</v>
      </c>
    </row>
    <row r="4792" spans="1:9" x14ac:dyDescent="0.25">
      <c r="A4792" t="s">
        <v>9616</v>
      </c>
      <c r="C4792" t="s">
        <v>9617</v>
      </c>
      <c r="D4792" t="str">
        <f>"80195455"</f>
        <v>80195455</v>
      </c>
      <c r="E4792" t="s">
        <v>9189</v>
      </c>
      <c r="F4792" s="1">
        <v>45709</v>
      </c>
      <c r="G4792" t="str">
        <f>"300381"</f>
        <v>300381</v>
      </c>
      <c r="H4792" t="s">
        <v>3118</v>
      </c>
      <c r="I4792">
        <v>333934.96950000001</v>
      </c>
    </row>
    <row r="4793" spans="1:9" x14ac:dyDescent="0.25">
      <c r="A4793" t="s">
        <v>9616</v>
      </c>
      <c r="C4793" t="s">
        <v>9617</v>
      </c>
      <c r="D4793" t="str">
        <f>"801953631"</f>
        <v>801953631</v>
      </c>
      <c r="E4793" t="s">
        <v>10049</v>
      </c>
      <c r="F4793" s="1">
        <v>45709</v>
      </c>
      <c r="G4793" t="str">
        <f>"300381"</f>
        <v>300381</v>
      </c>
      <c r="H4793" t="s">
        <v>3118</v>
      </c>
      <c r="I4793">
        <v>196378.97399999999</v>
      </c>
    </row>
    <row r="4794" spans="1:9" x14ac:dyDescent="0.25">
      <c r="A4794" t="s">
        <v>9616</v>
      </c>
      <c r="C4794" t="s">
        <v>9617</v>
      </c>
      <c r="D4794" t="s">
        <v>12131</v>
      </c>
      <c r="E4794" t="s">
        <v>12119</v>
      </c>
      <c r="F4794" s="1">
        <v>45709</v>
      </c>
      <c r="G4794" t="str">
        <f>"300423"</f>
        <v>300423</v>
      </c>
      <c r="H4794" t="s">
        <v>3156</v>
      </c>
      <c r="I4794">
        <v>8655.0400000000009</v>
      </c>
    </row>
    <row r="4795" spans="1:9" x14ac:dyDescent="0.25">
      <c r="A4795" t="s">
        <v>9616</v>
      </c>
      <c r="C4795" t="s">
        <v>9617</v>
      </c>
      <c r="D4795" t="s">
        <v>12132</v>
      </c>
      <c r="E4795" t="s">
        <v>12115</v>
      </c>
      <c r="F4795" s="1">
        <v>45710</v>
      </c>
      <c r="G4795" t="str">
        <f>"300423"</f>
        <v>300423</v>
      </c>
      <c r="H4795" t="s">
        <v>3156</v>
      </c>
      <c r="I4795">
        <v>3715.64</v>
      </c>
    </row>
    <row r="4796" spans="1:9" x14ac:dyDescent="0.25">
      <c r="A4796" t="s">
        <v>9616</v>
      </c>
      <c r="C4796" t="s">
        <v>9617</v>
      </c>
      <c r="D4796" t="s">
        <v>12133</v>
      </c>
      <c r="E4796" t="s">
        <v>12134</v>
      </c>
      <c r="F4796" s="1">
        <v>45710</v>
      </c>
      <c r="G4796" t="str">
        <f>"300423"</f>
        <v>300423</v>
      </c>
      <c r="H4796" t="s">
        <v>3156</v>
      </c>
      <c r="I4796">
        <v>3376.19</v>
      </c>
    </row>
    <row r="4797" spans="1:9" x14ac:dyDescent="0.25">
      <c r="A4797" t="s">
        <v>9616</v>
      </c>
      <c r="C4797" t="s">
        <v>9617</v>
      </c>
      <c r="D4797" t="s">
        <v>12135</v>
      </c>
      <c r="E4797" t="s">
        <v>12103</v>
      </c>
      <c r="F4797" s="1">
        <v>45710</v>
      </c>
      <c r="G4797" t="str">
        <f>"300423"</f>
        <v>300423</v>
      </c>
      <c r="H4797" t="s">
        <v>3156</v>
      </c>
      <c r="I4797">
        <v>3176.19</v>
      </c>
    </row>
    <row r="4798" spans="1:9" x14ac:dyDescent="0.25">
      <c r="A4798" t="s">
        <v>9616</v>
      </c>
      <c r="C4798" t="s">
        <v>9617</v>
      </c>
      <c r="D4798" t="str">
        <f>"17128"</f>
        <v>17128</v>
      </c>
      <c r="E4798" t="s">
        <v>12136</v>
      </c>
      <c r="F4798" s="1">
        <v>45712</v>
      </c>
      <c r="G4798" t="str">
        <f>"300043"</f>
        <v>300043</v>
      </c>
      <c r="H4798" t="s">
        <v>2876</v>
      </c>
      <c r="I4798">
        <v>1278</v>
      </c>
    </row>
    <row r="4799" spans="1:9" x14ac:dyDescent="0.25">
      <c r="A4799" t="s">
        <v>9616</v>
      </c>
      <c r="C4799" t="s">
        <v>9617</v>
      </c>
      <c r="D4799" t="str">
        <f>"17231"</f>
        <v>17231</v>
      </c>
      <c r="E4799" t="s">
        <v>12137</v>
      </c>
      <c r="F4799" s="1">
        <v>45712</v>
      </c>
      <c r="G4799" t="str">
        <f>"300043"</f>
        <v>300043</v>
      </c>
      <c r="H4799" t="s">
        <v>2876</v>
      </c>
      <c r="I4799">
        <v>1180</v>
      </c>
    </row>
    <row r="4800" spans="1:9" x14ac:dyDescent="0.25">
      <c r="A4800" t="s">
        <v>9616</v>
      </c>
      <c r="C4800" t="s">
        <v>9617</v>
      </c>
      <c r="D4800" t="str">
        <f>"17263"</f>
        <v>17263</v>
      </c>
      <c r="E4800" t="s">
        <v>12138</v>
      </c>
      <c r="F4800" s="1">
        <v>45712</v>
      </c>
      <c r="G4800" t="str">
        <f>"300043"</f>
        <v>300043</v>
      </c>
      <c r="H4800" t="s">
        <v>2876</v>
      </c>
      <c r="I4800">
        <v>1297</v>
      </c>
    </row>
    <row r="4801" spans="1:9" x14ac:dyDescent="0.25">
      <c r="A4801" t="s">
        <v>9616</v>
      </c>
      <c r="C4801" t="s">
        <v>9617</v>
      </c>
      <c r="D4801" t="str">
        <f>"250091"</f>
        <v>250091</v>
      </c>
      <c r="E4801" t="s">
        <v>12139</v>
      </c>
      <c r="F4801" s="1">
        <v>45712</v>
      </c>
      <c r="G4801" t="str">
        <f>"300081"</f>
        <v>300081</v>
      </c>
      <c r="H4801" t="s">
        <v>2045</v>
      </c>
      <c r="I4801">
        <v>8802.625</v>
      </c>
    </row>
    <row r="4802" spans="1:9" x14ac:dyDescent="0.25">
      <c r="A4802" t="s">
        <v>9616</v>
      </c>
      <c r="C4802" t="s">
        <v>9617</v>
      </c>
      <c r="D4802" t="s">
        <v>12140</v>
      </c>
      <c r="E4802" t="s">
        <v>12129</v>
      </c>
      <c r="F4802" s="1">
        <v>45712</v>
      </c>
      <c r="G4802" t="str">
        <f>"300191"</f>
        <v>300191</v>
      </c>
      <c r="H4802" t="s">
        <v>3008</v>
      </c>
      <c r="I4802">
        <v>3494.69</v>
      </c>
    </row>
    <row r="4803" spans="1:9" x14ac:dyDescent="0.25">
      <c r="A4803" t="s">
        <v>9616</v>
      </c>
      <c r="C4803" t="s">
        <v>9617</v>
      </c>
      <c r="D4803" t="s">
        <v>12141</v>
      </c>
      <c r="E4803" t="s">
        <v>11856</v>
      </c>
      <c r="F4803" s="1">
        <v>45712</v>
      </c>
      <c r="G4803" t="str">
        <f>"300237"</f>
        <v>300237</v>
      </c>
      <c r="H4803" t="s">
        <v>3036</v>
      </c>
      <c r="I4803">
        <v>129406.2</v>
      </c>
    </row>
    <row r="4804" spans="1:9" x14ac:dyDescent="0.25">
      <c r="A4804" t="s">
        <v>9616</v>
      </c>
      <c r="C4804" t="s">
        <v>9617</v>
      </c>
      <c r="D4804" t="s">
        <v>12142</v>
      </c>
      <c r="E4804" t="s">
        <v>12129</v>
      </c>
      <c r="F4804" s="1">
        <v>45712</v>
      </c>
      <c r="G4804" t="str">
        <f>"300321"</f>
        <v>300321</v>
      </c>
      <c r="H4804" t="s">
        <v>2706</v>
      </c>
      <c r="I4804">
        <v>17250</v>
      </c>
    </row>
    <row r="4805" spans="1:9" x14ac:dyDescent="0.25">
      <c r="A4805" t="s">
        <v>9616</v>
      </c>
      <c r="C4805" t="s">
        <v>9617</v>
      </c>
      <c r="D4805" t="str">
        <f>"80195309"</f>
        <v>80195309</v>
      </c>
      <c r="E4805" t="s">
        <v>8907</v>
      </c>
      <c r="F4805" s="1">
        <v>45712</v>
      </c>
      <c r="G4805" t="str">
        <f>"300381"</f>
        <v>300381</v>
      </c>
      <c r="H4805" t="s">
        <v>3118</v>
      </c>
      <c r="I4805">
        <v>333934.96950000001</v>
      </c>
    </row>
    <row r="4806" spans="1:9" x14ac:dyDescent="0.25">
      <c r="A4806" t="s">
        <v>9616</v>
      </c>
      <c r="C4806" t="s">
        <v>9617</v>
      </c>
      <c r="D4806" t="s">
        <v>12143</v>
      </c>
      <c r="E4806" t="s">
        <v>12138</v>
      </c>
      <c r="F4806" s="1">
        <v>45713</v>
      </c>
      <c r="G4806" t="str">
        <f>"300321"</f>
        <v>300321</v>
      </c>
      <c r="H4806" t="s">
        <v>2706</v>
      </c>
      <c r="I4806">
        <v>17250</v>
      </c>
    </row>
    <row r="4807" spans="1:9" x14ac:dyDescent="0.25">
      <c r="A4807" t="s">
        <v>9616</v>
      </c>
      <c r="C4807" t="s">
        <v>9617</v>
      </c>
      <c r="D4807" t="str">
        <f>"80194999"</f>
        <v>80194999</v>
      </c>
      <c r="E4807" t="s">
        <v>9189</v>
      </c>
      <c r="F4807" s="1">
        <v>45713</v>
      </c>
      <c r="G4807" t="str">
        <f>"300381"</f>
        <v>300381</v>
      </c>
      <c r="H4807" t="s">
        <v>3118</v>
      </c>
      <c r="I4807">
        <v>333934.96950000001</v>
      </c>
    </row>
    <row r="4808" spans="1:9" x14ac:dyDescent="0.25">
      <c r="A4808" t="s">
        <v>9616</v>
      </c>
      <c r="C4808" t="s">
        <v>9617</v>
      </c>
      <c r="D4808" t="str">
        <f>"2295"</f>
        <v>2295</v>
      </c>
      <c r="E4808" t="s">
        <v>11471</v>
      </c>
      <c r="F4808" s="1">
        <v>45714</v>
      </c>
      <c r="G4808" t="str">
        <f>"300043"</f>
        <v>300043</v>
      </c>
      <c r="H4808" t="s">
        <v>2876</v>
      </c>
      <c r="I4808">
        <v>4918</v>
      </c>
    </row>
    <row r="4809" spans="1:9" x14ac:dyDescent="0.25">
      <c r="A4809" t="s">
        <v>9616</v>
      </c>
      <c r="C4809" t="s">
        <v>9617</v>
      </c>
      <c r="D4809" t="str">
        <f>"17879"</f>
        <v>17879</v>
      </c>
      <c r="E4809" t="s">
        <v>12144</v>
      </c>
      <c r="F4809" s="1">
        <v>45714</v>
      </c>
      <c r="G4809" t="str">
        <f>"300043"</f>
        <v>300043</v>
      </c>
      <c r="H4809" t="s">
        <v>2876</v>
      </c>
      <c r="I4809">
        <v>1271</v>
      </c>
    </row>
    <row r="4810" spans="1:9" x14ac:dyDescent="0.25">
      <c r="A4810" t="s">
        <v>9616</v>
      </c>
      <c r="C4810" t="s">
        <v>9617</v>
      </c>
      <c r="D4810" t="str">
        <f>"18463"</f>
        <v>18463</v>
      </c>
      <c r="E4810" t="s">
        <v>12145</v>
      </c>
      <c r="F4810" s="1">
        <v>45714</v>
      </c>
      <c r="G4810" t="str">
        <f>"300043"</f>
        <v>300043</v>
      </c>
      <c r="H4810" t="s">
        <v>2876</v>
      </c>
      <c r="I4810">
        <v>5334</v>
      </c>
    </row>
    <row r="4811" spans="1:9" x14ac:dyDescent="0.25">
      <c r="A4811" t="s">
        <v>9616</v>
      </c>
      <c r="C4811" t="s">
        <v>9617</v>
      </c>
      <c r="D4811" t="s">
        <v>12146</v>
      </c>
      <c r="E4811" t="s">
        <v>11691</v>
      </c>
      <c r="F4811" s="1">
        <v>45714</v>
      </c>
      <c r="G4811" t="str">
        <f>"300133"</f>
        <v>300133</v>
      </c>
      <c r="H4811" t="s">
        <v>2955</v>
      </c>
      <c r="I4811">
        <v>46944</v>
      </c>
    </row>
    <row r="4812" spans="1:9" x14ac:dyDescent="0.25">
      <c r="A4812" t="s">
        <v>9616</v>
      </c>
      <c r="C4812" t="s">
        <v>9617</v>
      </c>
      <c r="D4812" t="s">
        <v>12147</v>
      </c>
      <c r="E4812" t="s">
        <v>9565</v>
      </c>
      <c r="F4812" s="1">
        <v>45714</v>
      </c>
      <c r="G4812" t="str">
        <f>"300133"</f>
        <v>300133</v>
      </c>
      <c r="H4812" t="s">
        <v>2955</v>
      </c>
      <c r="I4812">
        <v>34006.5</v>
      </c>
    </row>
    <row r="4813" spans="1:9" x14ac:dyDescent="0.25">
      <c r="A4813" t="s">
        <v>9616</v>
      </c>
      <c r="C4813" t="s">
        <v>9617</v>
      </c>
      <c r="D4813" t="s">
        <v>12148</v>
      </c>
      <c r="E4813" t="s">
        <v>12138</v>
      </c>
      <c r="F4813" s="1">
        <v>45714</v>
      </c>
      <c r="G4813" t="str">
        <f>"300191"</f>
        <v>300191</v>
      </c>
      <c r="H4813" t="s">
        <v>3008</v>
      </c>
      <c r="I4813">
        <v>3494.69</v>
      </c>
    </row>
    <row r="4814" spans="1:9" x14ac:dyDescent="0.25">
      <c r="A4814" t="s">
        <v>9616</v>
      </c>
      <c r="C4814" t="s">
        <v>9617</v>
      </c>
      <c r="D4814" t="s">
        <v>12149</v>
      </c>
      <c r="F4814" s="1">
        <v>45714</v>
      </c>
      <c r="G4814" t="str">
        <f>"300321"</f>
        <v>300321</v>
      </c>
      <c r="H4814" t="s">
        <v>2706</v>
      </c>
      <c r="I4814">
        <v>30000</v>
      </c>
    </row>
    <row r="4815" spans="1:9" x14ac:dyDescent="0.25">
      <c r="A4815" t="s">
        <v>9616</v>
      </c>
      <c r="C4815" t="s">
        <v>9617</v>
      </c>
      <c r="D4815" t="s">
        <v>12150</v>
      </c>
      <c r="E4815" t="s">
        <v>12120</v>
      </c>
      <c r="F4815" s="1">
        <v>45714</v>
      </c>
      <c r="G4815" t="str">
        <f>"300423"</f>
        <v>300423</v>
      </c>
      <c r="H4815" t="s">
        <v>3156</v>
      </c>
      <c r="I4815">
        <v>3206.46</v>
      </c>
    </row>
    <row r="4816" spans="1:9" x14ac:dyDescent="0.25">
      <c r="A4816" t="s">
        <v>9616</v>
      </c>
      <c r="C4816" t="s">
        <v>9617</v>
      </c>
      <c r="D4816" t="s">
        <v>12151</v>
      </c>
      <c r="E4816" t="s">
        <v>12124</v>
      </c>
      <c r="F4816" s="1">
        <v>45714</v>
      </c>
      <c r="G4816" t="str">
        <f>"300423"</f>
        <v>300423</v>
      </c>
      <c r="H4816" t="s">
        <v>3156</v>
      </c>
      <c r="I4816">
        <v>3206.46</v>
      </c>
    </row>
    <row r="4817" spans="1:9" x14ac:dyDescent="0.25">
      <c r="A4817" t="s">
        <v>9616</v>
      </c>
      <c r="C4817" t="s">
        <v>9617</v>
      </c>
      <c r="D4817" t="str">
        <f>"18249"</f>
        <v>18249</v>
      </c>
      <c r="E4817" t="s">
        <v>12152</v>
      </c>
      <c r="F4817" s="1">
        <v>45715</v>
      </c>
      <c r="G4817" t="str">
        <f>"300043"</f>
        <v>300043</v>
      </c>
      <c r="H4817" t="s">
        <v>2876</v>
      </c>
      <c r="I4817">
        <v>1270</v>
      </c>
    </row>
    <row r="4818" spans="1:9" x14ac:dyDescent="0.25">
      <c r="A4818" t="s">
        <v>9616</v>
      </c>
      <c r="C4818" t="s">
        <v>9617</v>
      </c>
      <c r="D4818" t="s">
        <v>12153</v>
      </c>
      <c r="F4818" s="1">
        <v>45715</v>
      </c>
      <c r="G4818" t="str">
        <f>"300321"</f>
        <v>300321</v>
      </c>
      <c r="H4818" t="s">
        <v>2706</v>
      </c>
      <c r="I4818">
        <v>30000</v>
      </c>
    </row>
    <row r="4819" spans="1:9" x14ac:dyDescent="0.25">
      <c r="A4819" t="s">
        <v>9616</v>
      </c>
      <c r="C4819" t="s">
        <v>9617</v>
      </c>
      <c r="D4819" t="s">
        <v>12154</v>
      </c>
      <c r="F4819" s="1">
        <v>45715</v>
      </c>
      <c r="G4819" t="str">
        <f>"300321"</f>
        <v>300321</v>
      </c>
      <c r="H4819" t="s">
        <v>2706</v>
      </c>
      <c r="I4819">
        <v>27000</v>
      </c>
    </row>
    <row r="4820" spans="1:9" x14ac:dyDescent="0.25">
      <c r="A4820" t="s">
        <v>9616</v>
      </c>
      <c r="C4820" t="s">
        <v>9617</v>
      </c>
      <c r="D4820" t="s">
        <v>12155</v>
      </c>
      <c r="F4820" s="1">
        <v>45715</v>
      </c>
      <c r="G4820" t="str">
        <f>"300398"</f>
        <v>300398</v>
      </c>
      <c r="H4820" t="s">
        <v>3134</v>
      </c>
      <c r="I4820">
        <v>16824.45</v>
      </c>
    </row>
    <row r="4821" spans="1:9" x14ac:dyDescent="0.25">
      <c r="A4821" t="s">
        <v>9616</v>
      </c>
      <c r="C4821" t="s">
        <v>9617</v>
      </c>
      <c r="D4821" t="s">
        <v>12156</v>
      </c>
      <c r="E4821" t="s">
        <v>9565</v>
      </c>
      <c r="F4821" s="1">
        <v>45716</v>
      </c>
      <c r="G4821" t="str">
        <f>"300133"</f>
        <v>300133</v>
      </c>
      <c r="H4821" t="s">
        <v>2955</v>
      </c>
      <c r="I4821">
        <v>54230.400000000001</v>
      </c>
    </row>
    <row r="4822" spans="1:9" x14ac:dyDescent="0.25">
      <c r="A4822" t="s">
        <v>9616</v>
      </c>
      <c r="C4822" t="s">
        <v>9617</v>
      </c>
      <c r="D4822" t="s">
        <v>12157</v>
      </c>
      <c r="E4822" t="s">
        <v>12145</v>
      </c>
      <c r="F4822" s="1">
        <v>45716</v>
      </c>
      <c r="G4822" t="str">
        <f>"300191"</f>
        <v>300191</v>
      </c>
      <c r="H4822" t="s">
        <v>3008</v>
      </c>
      <c r="I4822">
        <v>4254.7700000000004</v>
      </c>
    </row>
    <row r="4823" spans="1:9" x14ac:dyDescent="0.25">
      <c r="A4823" t="s">
        <v>9616</v>
      </c>
      <c r="C4823" t="s">
        <v>9617</v>
      </c>
      <c r="D4823" t="s">
        <v>12158</v>
      </c>
      <c r="F4823" s="1">
        <v>45716</v>
      </c>
      <c r="G4823" t="str">
        <f>"300321"</f>
        <v>300321</v>
      </c>
      <c r="H4823" t="s">
        <v>2706</v>
      </c>
      <c r="I4823">
        <v>30000</v>
      </c>
    </row>
    <row r="4824" spans="1:9" x14ac:dyDescent="0.25">
      <c r="A4824" t="s">
        <v>9616</v>
      </c>
      <c r="C4824" t="s">
        <v>9617</v>
      </c>
      <c r="D4824" t="s">
        <v>12159</v>
      </c>
      <c r="E4824" t="s">
        <v>12152</v>
      </c>
      <c r="F4824" s="1">
        <v>45716</v>
      </c>
      <c r="G4824" t="str">
        <f>"300423"</f>
        <v>300423</v>
      </c>
      <c r="H4824" t="s">
        <v>3156</v>
      </c>
      <c r="I4824">
        <v>3206.46</v>
      </c>
    </row>
    <row r="4825" spans="1:9" x14ac:dyDescent="0.25">
      <c r="A4825" t="s">
        <v>9616</v>
      </c>
      <c r="C4825" t="s">
        <v>9617</v>
      </c>
      <c r="D4825" t="s">
        <v>12160</v>
      </c>
      <c r="E4825" t="s">
        <v>12144</v>
      </c>
      <c r="F4825" s="1">
        <v>45716</v>
      </c>
      <c r="G4825" t="str">
        <f>"300423"</f>
        <v>300423</v>
      </c>
      <c r="H4825" t="s">
        <v>3156</v>
      </c>
      <c r="I4825">
        <v>3206.46</v>
      </c>
    </row>
    <row r="4826" spans="1:9" x14ac:dyDescent="0.25">
      <c r="A4826" t="s">
        <v>9616</v>
      </c>
      <c r="C4826" t="s">
        <v>9617</v>
      </c>
      <c r="D4826" t="s">
        <v>12161</v>
      </c>
      <c r="E4826" t="s">
        <v>12137</v>
      </c>
      <c r="F4826" s="1">
        <v>45716</v>
      </c>
      <c r="G4826" t="str">
        <f>"300423"</f>
        <v>300423</v>
      </c>
      <c r="H4826" t="s">
        <v>3156</v>
      </c>
      <c r="I4826">
        <v>3376.19</v>
      </c>
    </row>
    <row r="4827" spans="1:9" x14ac:dyDescent="0.25">
      <c r="A4827" t="s">
        <v>9616</v>
      </c>
      <c r="C4827" t="s">
        <v>9617</v>
      </c>
      <c r="D4827" t="s">
        <v>12162</v>
      </c>
      <c r="E4827" t="s">
        <v>12136</v>
      </c>
      <c r="F4827" s="1">
        <v>45716</v>
      </c>
      <c r="G4827" t="str">
        <f>"300423"</f>
        <v>300423</v>
      </c>
      <c r="H4827" t="s">
        <v>3156</v>
      </c>
      <c r="I4827">
        <v>3376.19</v>
      </c>
    </row>
    <row r="4828" spans="1:9" x14ac:dyDescent="0.25">
      <c r="A4828" t="s">
        <v>9616</v>
      </c>
      <c r="C4828" t="s">
        <v>9617</v>
      </c>
      <c r="D4828" t="str">
        <f>"451449633099"</f>
        <v>451449633099</v>
      </c>
      <c r="E4828" t="s">
        <v>12163</v>
      </c>
      <c r="F4828" s="1">
        <v>45719</v>
      </c>
      <c r="G4828" t="str">
        <f>"300344"</f>
        <v>300344</v>
      </c>
      <c r="H4828" t="s">
        <v>3084</v>
      </c>
      <c r="I4828">
        <v>408527.46010000003</v>
      </c>
    </row>
    <row r="4829" spans="1:9" x14ac:dyDescent="0.25">
      <c r="A4829" t="s">
        <v>9616</v>
      </c>
      <c r="C4829" t="s">
        <v>9617</v>
      </c>
      <c r="D4829" t="str">
        <f>"80195694"</f>
        <v>80195694</v>
      </c>
      <c r="E4829" t="s">
        <v>1313</v>
      </c>
      <c r="F4829" s="1">
        <v>45719</v>
      </c>
      <c r="G4829" t="str">
        <f>"300381"</f>
        <v>300381</v>
      </c>
      <c r="H4829" t="s">
        <v>3118</v>
      </c>
      <c r="I4829">
        <v>336893.45909999998</v>
      </c>
    </row>
    <row r="4830" spans="1:9" x14ac:dyDescent="0.25">
      <c r="A4830" t="s">
        <v>9616</v>
      </c>
      <c r="C4830" t="s">
        <v>9617</v>
      </c>
      <c r="D4830" t="str">
        <f>"2616"</f>
        <v>2616</v>
      </c>
      <c r="E4830" t="s">
        <v>11471</v>
      </c>
      <c r="F4830" s="1">
        <v>45721</v>
      </c>
      <c r="G4830" t="str">
        <f>"300043"</f>
        <v>300043</v>
      </c>
      <c r="H4830" t="s">
        <v>2876</v>
      </c>
      <c r="I4830">
        <v>4735</v>
      </c>
    </row>
    <row r="4831" spans="1:9" x14ac:dyDescent="0.25">
      <c r="A4831" t="s">
        <v>9616</v>
      </c>
      <c r="C4831" t="s">
        <v>9617</v>
      </c>
      <c r="D4831" t="str">
        <f>"29729"</f>
        <v>29729</v>
      </c>
      <c r="E4831" t="s">
        <v>12164</v>
      </c>
      <c r="F4831" s="1">
        <v>45721</v>
      </c>
      <c r="G4831" t="str">
        <f>"300043"</f>
        <v>300043</v>
      </c>
      <c r="H4831" t="s">
        <v>2876</v>
      </c>
      <c r="I4831">
        <v>1131</v>
      </c>
    </row>
    <row r="4832" spans="1:9" x14ac:dyDescent="0.25">
      <c r="A4832" t="s">
        <v>9616</v>
      </c>
      <c r="C4832" t="s">
        <v>9617</v>
      </c>
      <c r="D4832" t="str">
        <f>"20706"</f>
        <v>20706</v>
      </c>
      <c r="E4832" t="s">
        <v>12165</v>
      </c>
      <c r="F4832" s="1">
        <v>45722</v>
      </c>
      <c r="G4832" t="str">
        <f>"300043"</f>
        <v>300043</v>
      </c>
      <c r="H4832" t="s">
        <v>2876</v>
      </c>
      <c r="I4832">
        <v>1288</v>
      </c>
    </row>
    <row r="4833" spans="1:9" x14ac:dyDescent="0.25">
      <c r="A4833" t="s">
        <v>9616</v>
      </c>
      <c r="C4833" t="s">
        <v>9617</v>
      </c>
      <c r="D4833" t="s">
        <v>12166</v>
      </c>
      <c r="E4833" t="s">
        <v>11902</v>
      </c>
      <c r="F4833" s="1">
        <v>45722</v>
      </c>
      <c r="G4833" t="str">
        <f>"300237"</f>
        <v>300237</v>
      </c>
      <c r="H4833" t="s">
        <v>3036</v>
      </c>
      <c r="I4833">
        <v>129373.2</v>
      </c>
    </row>
    <row r="4834" spans="1:9" x14ac:dyDescent="0.25">
      <c r="A4834" t="s">
        <v>9616</v>
      </c>
      <c r="C4834" t="s">
        <v>9617</v>
      </c>
      <c r="D4834" t="s">
        <v>12167</v>
      </c>
      <c r="E4834" t="s">
        <v>11856</v>
      </c>
      <c r="F4834" s="1">
        <v>45722</v>
      </c>
      <c r="G4834" t="str">
        <f>"300237"</f>
        <v>300237</v>
      </c>
      <c r="H4834" t="s">
        <v>3036</v>
      </c>
      <c r="I4834">
        <v>80769.149999999994</v>
      </c>
    </row>
    <row r="4835" spans="1:9" x14ac:dyDescent="0.25">
      <c r="A4835" t="s">
        <v>9616</v>
      </c>
      <c r="C4835" t="s">
        <v>9617</v>
      </c>
      <c r="D4835" t="str">
        <f>"1205"</f>
        <v>1205</v>
      </c>
      <c r="E4835" t="s">
        <v>12168</v>
      </c>
      <c r="F4835" s="1">
        <v>45723</v>
      </c>
      <c r="G4835" t="str">
        <f>"300043"</f>
        <v>300043</v>
      </c>
      <c r="H4835" t="s">
        <v>2876</v>
      </c>
      <c r="I4835">
        <v>3811</v>
      </c>
    </row>
    <row r="4836" spans="1:9" x14ac:dyDescent="0.25">
      <c r="A4836" t="s">
        <v>9616</v>
      </c>
      <c r="C4836" t="s">
        <v>9617</v>
      </c>
      <c r="D4836" t="str">
        <f>"8000451408"</f>
        <v>8000451408</v>
      </c>
      <c r="E4836" t="s">
        <v>9458</v>
      </c>
      <c r="F4836" s="1">
        <v>45723</v>
      </c>
      <c r="G4836" t="str">
        <f>"300220"</f>
        <v>300220</v>
      </c>
      <c r="H4836" t="s">
        <v>2170</v>
      </c>
      <c r="I4836">
        <v>1086970.8959999999</v>
      </c>
    </row>
    <row r="4837" spans="1:9" x14ac:dyDescent="0.25">
      <c r="A4837" t="s">
        <v>9616</v>
      </c>
      <c r="C4837" t="s">
        <v>9617</v>
      </c>
      <c r="D4837" t="s">
        <v>12169</v>
      </c>
      <c r="F4837" s="1">
        <v>45723</v>
      </c>
      <c r="G4837" t="str">
        <f>"300321"</f>
        <v>300321</v>
      </c>
      <c r="H4837" t="s">
        <v>2706</v>
      </c>
      <c r="I4837">
        <v>27000</v>
      </c>
    </row>
    <row r="4838" spans="1:9" x14ac:dyDescent="0.25">
      <c r="A4838" t="s">
        <v>9616</v>
      </c>
      <c r="C4838" t="s">
        <v>9617</v>
      </c>
      <c r="D4838" t="str">
        <f>"80196046"</f>
        <v>80196046</v>
      </c>
      <c r="E4838" t="s">
        <v>8852</v>
      </c>
      <c r="F4838" s="1">
        <v>45723</v>
      </c>
      <c r="G4838" t="str">
        <f>"300381"</f>
        <v>300381</v>
      </c>
      <c r="H4838" t="s">
        <v>3118</v>
      </c>
      <c r="I4838">
        <v>352643.59350000002</v>
      </c>
    </row>
    <row r="4839" spans="1:9" x14ac:dyDescent="0.25">
      <c r="A4839" t="s">
        <v>9616</v>
      </c>
      <c r="C4839" t="s">
        <v>9617</v>
      </c>
      <c r="D4839" t="str">
        <f>"1900000095"</f>
        <v>1900000095</v>
      </c>
      <c r="E4839" t="s">
        <v>10528</v>
      </c>
      <c r="F4839" s="1">
        <v>45723</v>
      </c>
      <c r="G4839" t="str">
        <f>"300381"</f>
        <v>300381</v>
      </c>
      <c r="H4839" t="s">
        <v>3118</v>
      </c>
      <c r="I4839">
        <v>385214.06</v>
      </c>
    </row>
    <row r="4840" spans="1:9" x14ac:dyDescent="0.25">
      <c r="A4840" t="s">
        <v>9616</v>
      </c>
      <c r="C4840" t="s">
        <v>9617</v>
      </c>
      <c r="D4840" t="s">
        <v>12170</v>
      </c>
      <c r="E4840" t="s">
        <v>12164</v>
      </c>
      <c r="F4840" s="1">
        <v>45724</v>
      </c>
      <c r="G4840" t="str">
        <f>"300423"</f>
        <v>300423</v>
      </c>
      <c r="H4840" t="s">
        <v>3156</v>
      </c>
      <c r="I4840">
        <v>6790.42</v>
      </c>
    </row>
    <row r="4841" spans="1:9" x14ac:dyDescent="0.25">
      <c r="A4841" t="s">
        <v>9616</v>
      </c>
      <c r="C4841" t="s">
        <v>9617</v>
      </c>
      <c r="D4841" t="str">
        <f>"32381"</f>
        <v>32381</v>
      </c>
      <c r="E4841" t="s">
        <v>12171</v>
      </c>
      <c r="F4841" s="1">
        <v>45726</v>
      </c>
      <c r="G4841" t="str">
        <f>"300043"</f>
        <v>300043</v>
      </c>
      <c r="H4841" t="s">
        <v>2876</v>
      </c>
      <c r="I4841">
        <v>757</v>
      </c>
    </row>
    <row r="4842" spans="1:9" x14ac:dyDescent="0.25">
      <c r="A4842" t="s">
        <v>9616</v>
      </c>
      <c r="C4842" t="s">
        <v>9617</v>
      </c>
      <c r="D4842" t="s">
        <v>12172</v>
      </c>
      <c r="E4842" t="s">
        <v>12168</v>
      </c>
      <c r="F4842" s="1">
        <v>45726</v>
      </c>
      <c r="G4842" t="str">
        <f>"300423"</f>
        <v>300423</v>
      </c>
      <c r="H4842" t="s">
        <v>3156</v>
      </c>
      <c r="I4842">
        <v>9149.51</v>
      </c>
    </row>
    <row r="4843" spans="1:9" x14ac:dyDescent="0.25">
      <c r="A4843" t="s">
        <v>9616</v>
      </c>
      <c r="C4843" t="s">
        <v>9617</v>
      </c>
      <c r="D4843" t="str">
        <f>"22191"</f>
        <v>22191</v>
      </c>
      <c r="E4843" t="s">
        <v>12173</v>
      </c>
      <c r="F4843" s="1">
        <v>45727</v>
      </c>
      <c r="G4843" t="str">
        <f>"300043"</f>
        <v>300043</v>
      </c>
      <c r="H4843" t="s">
        <v>2876</v>
      </c>
      <c r="I4843">
        <v>1345</v>
      </c>
    </row>
    <row r="4844" spans="1:9" x14ac:dyDescent="0.25">
      <c r="A4844" t="s">
        <v>9616</v>
      </c>
      <c r="C4844" t="s">
        <v>9617</v>
      </c>
      <c r="D4844" t="str">
        <f>"22432"</f>
        <v>22432</v>
      </c>
      <c r="E4844" t="s">
        <v>12174</v>
      </c>
      <c r="F4844" s="1">
        <v>45727</v>
      </c>
      <c r="G4844" t="str">
        <f>"300043"</f>
        <v>300043</v>
      </c>
      <c r="H4844" t="s">
        <v>2876</v>
      </c>
      <c r="I4844">
        <v>2887</v>
      </c>
    </row>
    <row r="4845" spans="1:9" x14ac:dyDescent="0.25">
      <c r="A4845" t="s">
        <v>9616</v>
      </c>
      <c r="C4845" t="s">
        <v>9617</v>
      </c>
      <c r="D4845" t="str">
        <f>"250005170"</f>
        <v>250005170</v>
      </c>
      <c r="E4845" t="s">
        <v>12175</v>
      </c>
      <c r="F4845" s="1">
        <v>45727</v>
      </c>
      <c r="G4845" t="str">
        <f>"300344"</f>
        <v>300344</v>
      </c>
      <c r="H4845" t="s">
        <v>3084</v>
      </c>
      <c r="I4845">
        <v>96548.955199999997</v>
      </c>
    </row>
    <row r="4846" spans="1:9" x14ac:dyDescent="0.25">
      <c r="A4846" t="s">
        <v>9616</v>
      </c>
      <c r="C4846" t="s">
        <v>9617</v>
      </c>
      <c r="D4846" t="s">
        <v>12176</v>
      </c>
      <c r="E4846" t="s">
        <v>12177</v>
      </c>
      <c r="F4846" s="1">
        <v>45727</v>
      </c>
      <c r="G4846" t="str">
        <f>"300344"</f>
        <v>300344</v>
      </c>
      <c r="H4846" t="s">
        <v>3084</v>
      </c>
      <c r="I4846">
        <v>133489.019</v>
      </c>
    </row>
    <row r="4847" spans="1:9" x14ac:dyDescent="0.25">
      <c r="A4847" t="s">
        <v>9616</v>
      </c>
      <c r="C4847" t="s">
        <v>9617</v>
      </c>
      <c r="D4847" t="s">
        <v>12178</v>
      </c>
      <c r="E4847" t="s">
        <v>12171</v>
      </c>
      <c r="F4847" s="1">
        <v>45728</v>
      </c>
      <c r="G4847" t="str">
        <f>"300191"</f>
        <v>300191</v>
      </c>
      <c r="H4847" t="s">
        <v>3008</v>
      </c>
      <c r="I4847">
        <v>8354.8700000000008</v>
      </c>
    </row>
    <row r="4848" spans="1:9" x14ac:dyDescent="0.25">
      <c r="A4848" t="s">
        <v>9616</v>
      </c>
      <c r="C4848" t="s">
        <v>9617</v>
      </c>
      <c r="D4848" t="s">
        <v>12179</v>
      </c>
      <c r="F4848" s="1">
        <v>45728</v>
      </c>
      <c r="G4848" t="str">
        <f>"300321"</f>
        <v>300321</v>
      </c>
      <c r="H4848" t="s">
        <v>2706</v>
      </c>
      <c r="I4848">
        <v>27000</v>
      </c>
    </row>
    <row r="4849" spans="1:9" x14ac:dyDescent="0.25">
      <c r="A4849" t="s">
        <v>9616</v>
      </c>
      <c r="C4849" t="s">
        <v>9617</v>
      </c>
      <c r="D4849" t="s">
        <v>12180</v>
      </c>
      <c r="E4849" t="s">
        <v>12174</v>
      </c>
      <c r="F4849" s="1">
        <v>45728</v>
      </c>
      <c r="G4849" t="str">
        <f>"300321"</f>
        <v>300321</v>
      </c>
      <c r="H4849" t="s">
        <v>2706</v>
      </c>
      <c r="I4849">
        <v>52131.199999999997</v>
      </c>
    </row>
    <row r="4850" spans="1:9" x14ac:dyDescent="0.25">
      <c r="A4850" t="s">
        <v>9616</v>
      </c>
      <c r="C4850" t="s">
        <v>9617</v>
      </c>
      <c r="D4850" t="s">
        <v>12181</v>
      </c>
      <c r="E4850" t="s">
        <v>12182</v>
      </c>
      <c r="F4850" s="1">
        <v>45729</v>
      </c>
      <c r="G4850" t="str">
        <f>"300321"</f>
        <v>300321</v>
      </c>
      <c r="H4850" t="s">
        <v>2706</v>
      </c>
      <c r="I4850">
        <v>30000</v>
      </c>
    </row>
    <row r="4851" spans="1:9" x14ac:dyDescent="0.25">
      <c r="A4851" t="s">
        <v>9616</v>
      </c>
      <c r="C4851" t="s">
        <v>9617</v>
      </c>
      <c r="D4851" t="str">
        <f>"80196287"</f>
        <v>80196287</v>
      </c>
      <c r="E4851" t="s">
        <v>12096</v>
      </c>
      <c r="F4851" s="1">
        <v>45729</v>
      </c>
      <c r="G4851" t="str">
        <f>"300381"</f>
        <v>300381</v>
      </c>
      <c r="H4851" t="s">
        <v>3118</v>
      </c>
      <c r="I4851">
        <v>333934.96950000001</v>
      </c>
    </row>
    <row r="4852" spans="1:9" x14ac:dyDescent="0.25">
      <c r="A4852" t="s">
        <v>9616</v>
      </c>
      <c r="C4852" t="s">
        <v>9617</v>
      </c>
      <c r="D4852" t="s">
        <v>12183</v>
      </c>
      <c r="E4852" t="s">
        <v>12165</v>
      </c>
      <c r="F4852" s="1">
        <v>45730</v>
      </c>
      <c r="G4852" t="str">
        <f>"300423"</f>
        <v>300423</v>
      </c>
      <c r="H4852" t="s">
        <v>3156</v>
      </c>
      <c r="I4852">
        <v>3206.46</v>
      </c>
    </row>
    <row r="4853" spans="1:9" x14ac:dyDescent="0.25">
      <c r="A4853" t="s">
        <v>9616</v>
      </c>
      <c r="C4853" t="s">
        <v>9617</v>
      </c>
      <c r="D4853" t="s">
        <v>12184</v>
      </c>
      <c r="E4853" t="s">
        <v>12173</v>
      </c>
      <c r="F4853" s="1">
        <v>45730</v>
      </c>
      <c r="G4853" t="str">
        <f>"300423"</f>
        <v>300423</v>
      </c>
      <c r="H4853" t="s">
        <v>3156</v>
      </c>
      <c r="I4853">
        <v>3206.46</v>
      </c>
    </row>
    <row r="4854" spans="1:9" x14ac:dyDescent="0.25">
      <c r="A4854" t="s">
        <v>9616</v>
      </c>
      <c r="C4854" t="s">
        <v>9617</v>
      </c>
      <c r="D4854" t="str">
        <f>"3107"</f>
        <v>3107</v>
      </c>
      <c r="E4854" t="s">
        <v>11471</v>
      </c>
      <c r="F4854" s="1">
        <v>45733</v>
      </c>
      <c r="G4854" t="str">
        <f>"300043"</f>
        <v>300043</v>
      </c>
      <c r="H4854" t="s">
        <v>2876</v>
      </c>
      <c r="I4854">
        <v>4178</v>
      </c>
    </row>
    <row r="4855" spans="1:9" x14ac:dyDescent="0.25">
      <c r="A4855" t="s">
        <v>9616</v>
      </c>
      <c r="C4855" t="s">
        <v>9617</v>
      </c>
      <c r="D4855" t="str">
        <f>"23748"</f>
        <v>23748</v>
      </c>
      <c r="E4855" t="s">
        <v>12182</v>
      </c>
      <c r="F4855" s="1">
        <v>45733</v>
      </c>
      <c r="G4855" t="str">
        <f>"300043"</f>
        <v>300043</v>
      </c>
      <c r="H4855" t="s">
        <v>2876</v>
      </c>
      <c r="I4855">
        <v>1282</v>
      </c>
    </row>
    <row r="4856" spans="1:9" x14ac:dyDescent="0.25">
      <c r="A4856" t="s">
        <v>9616</v>
      </c>
      <c r="C4856" t="s">
        <v>9617</v>
      </c>
      <c r="D4856" t="s">
        <v>12185</v>
      </c>
      <c r="E4856" t="s">
        <v>11856</v>
      </c>
      <c r="F4856" s="1">
        <v>45733</v>
      </c>
      <c r="G4856" t="str">
        <f>"300237"</f>
        <v>300237</v>
      </c>
      <c r="H4856" t="s">
        <v>3036</v>
      </c>
      <c r="I4856">
        <v>129373.2</v>
      </c>
    </row>
    <row r="4857" spans="1:9" x14ac:dyDescent="0.25">
      <c r="A4857" t="s">
        <v>9616</v>
      </c>
      <c r="C4857" t="s">
        <v>9617</v>
      </c>
      <c r="D4857" t="s">
        <v>12186</v>
      </c>
      <c r="F4857" s="1">
        <v>45733</v>
      </c>
      <c r="G4857" t="str">
        <f>"300321"</f>
        <v>300321</v>
      </c>
      <c r="H4857" t="s">
        <v>2706</v>
      </c>
      <c r="I4857">
        <v>30000</v>
      </c>
    </row>
    <row r="4858" spans="1:9" x14ac:dyDescent="0.25">
      <c r="A4858" t="s">
        <v>9616</v>
      </c>
      <c r="C4858" t="s">
        <v>9617</v>
      </c>
      <c r="D4858" t="s">
        <v>12187</v>
      </c>
      <c r="F4858" s="1">
        <v>45733</v>
      </c>
      <c r="G4858" t="str">
        <f>"300321"</f>
        <v>300321</v>
      </c>
      <c r="H4858" t="s">
        <v>2706</v>
      </c>
      <c r="I4858">
        <v>27000</v>
      </c>
    </row>
    <row r="4859" spans="1:9" x14ac:dyDescent="0.25">
      <c r="A4859" t="s">
        <v>9616</v>
      </c>
      <c r="C4859" t="s">
        <v>9617</v>
      </c>
      <c r="D4859" t="str">
        <f>"80196527"</f>
        <v>80196527</v>
      </c>
      <c r="E4859" t="s">
        <v>9438</v>
      </c>
      <c r="F4859" s="1">
        <v>45733</v>
      </c>
      <c r="G4859" t="str">
        <f>"300381"</f>
        <v>300381</v>
      </c>
      <c r="H4859" t="s">
        <v>3118</v>
      </c>
      <c r="I4859">
        <v>287907.10519999999</v>
      </c>
    </row>
    <row r="4860" spans="1:9" x14ac:dyDescent="0.25">
      <c r="A4860" t="s">
        <v>9616</v>
      </c>
      <c r="C4860" t="s">
        <v>9617</v>
      </c>
      <c r="D4860" t="str">
        <f>"80196577"</f>
        <v>80196577</v>
      </c>
      <c r="E4860" t="s">
        <v>9191</v>
      </c>
      <c r="F4860" s="1">
        <v>45733</v>
      </c>
      <c r="G4860" t="str">
        <f>"300381"</f>
        <v>300381</v>
      </c>
      <c r="H4860" t="s">
        <v>3118</v>
      </c>
      <c r="I4860">
        <v>287907.10519999999</v>
      </c>
    </row>
    <row r="4861" spans="1:9" x14ac:dyDescent="0.25">
      <c r="A4861" t="s">
        <v>9616</v>
      </c>
      <c r="C4861" t="s">
        <v>9617</v>
      </c>
      <c r="D4861" t="str">
        <f>"1500003438"</f>
        <v>1500003438</v>
      </c>
      <c r="E4861" t="s">
        <v>9105</v>
      </c>
      <c r="F4861" s="1">
        <v>45733</v>
      </c>
      <c r="G4861" t="str">
        <f>"300381"</f>
        <v>300381</v>
      </c>
      <c r="H4861" t="s">
        <v>3118</v>
      </c>
      <c r="I4861">
        <v>19.1675</v>
      </c>
    </row>
    <row r="4862" spans="1:9" x14ac:dyDescent="0.25">
      <c r="A4862" t="s">
        <v>9616</v>
      </c>
      <c r="C4862" t="s">
        <v>9617</v>
      </c>
      <c r="D4862" t="s">
        <v>12188</v>
      </c>
      <c r="E4862" t="s">
        <v>12189</v>
      </c>
      <c r="F4862" s="1">
        <v>45734</v>
      </c>
      <c r="G4862" t="str">
        <f>"300364"</f>
        <v>300364</v>
      </c>
      <c r="H4862" t="s">
        <v>3101</v>
      </c>
      <c r="I4862">
        <v>4639.558</v>
      </c>
    </row>
    <row r="4863" spans="1:9" x14ac:dyDescent="0.25">
      <c r="A4863" t="s">
        <v>9616</v>
      </c>
      <c r="C4863" t="s">
        <v>9617</v>
      </c>
      <c r="D4863" t="str">
        <f>"24999"</f>
        <v>24999</v>
      </c>
      <c r="E4863" t="s">
        <v>12190</v>
      </c>
      <c r="F4863" s="1">
        <v>45735</v>
      </c>
      <c r="G4863" t="str">
        <f>"300043"</f>
        <v>300043</v>
      </c>
      <c r="H4863" t="s">
        <v>2876</v>
      </c>
      <c r="I4863">
        <v>1135</v>
      </c>
    </row>
    <row r="4864" spans="1:9" x14ac:dyDescent="0.25">
      <c r="A4864" t="s">
        <v>9616</v>
      </c>
      <c r="C4864" t="s">
        <v>9617</v>
      </c>
      <c r="D4864" t="str">
        <f>"25005"</f>
        <v>25005</v>
      </c>
      <c r="E4864" t="s">
        <v>12087</v>
      </c>
      <c r="F4864" s="1">
        <v>45735</v>
      </c>
      <c r="G4864" t="str">
        <f>"300043"</f>
        <v>300043</v>
      </c>
      <c r="H4864" t="s">
        <v>2876</v>
      </c>
      <c r="I4864">
        <v>1135</v>
      </c>
    </row>
    <row r="4865" spans="1:9" x14ac:dyDescent="0.25">
      <c r="A4865" t="s">
        <v>9616</v>
      </c>
      <c r="C4865" t="s">
        <v>9617</v>
      </c>
      <c r="D4865" t="s">
        <v>12191</v>
      </c>
      <c r="F4865" s="1">
        <v>45736</v>
      </c>
      <c r="G4865" t="str">
        <f>"300321"</f>
        <v>300321</v>
      </c>
      <c r="H4865" t="s">
        <v>2706</v>
      </c>
      <c r="I4865">
        <v>30000</v>
      </c>
    </row>
    <row r="4866" spans="1:9" x14ac:dyDescent="0.25">
      <c r="A4866" t="s">
        <v>9616</v>
      </c>
      <c r="C4866" t="s">
        <v>9617</v>
      </c>
      <c r="D4866" t="str">
        <f>"80196354"</f>
        <v>80196354</v>
      </c>
      <c r="E4866" t="s">
        <v>1313</v>
      </c>
      <c r="F4866" s="1">
        <v>45736</v>
      </c>
      <c r="G4866" t="str">
        <f>"300381"</f>
        <v>300381</v>
      </c>
      <c r="H4866" t="s">
        <v>3118</v>
      </c>
      <c r="I4866">
        <v>340613.11349999998</v>
      </c>
    </row>
    <row r="4867" spans="1:9" x14ac:dyDescent="0.25">
      <c r="A4867" t="s">
        <v>9616</v>
      </c>
      <c r="C4867" t="s">
        <v>9617</v>
      </c>
      <c r="D4867" t="str">
        <f>"80196663"</f>
        <v>80196663</v>
      </c>
      <c r="E4867" t="s">
        <v>9189</v>
      </c>
      <c r="F4867" s="1">
        <v>45736</v>
      </c>
      <c r="G4867" t="str">
        <f>"300381"</f>
        <v>300381</v>
      </c>
      <c r="H4867" t="s">
        <v>3118</v>
      </c>
      <c r="I4867">
        <v>333934.96950000001</v>
      </c>
    </row>
    <row r="4868" spans="1:9" x14ac:dyDescent="0.25">
      <c r="A4868" t="s">
        <v>9616</v>
      </c>
      <c r="C4868" t="s">
        <v>9617</v>
      </c>
      <c r="D4868" t="s">
        <v>12192</v>
      </c>
      <c r="E4868" t="s">
        <v>12182</v>
      </c>
      <c r="F4868" s="1">
        <v>45736</v>
      </c>
      <c r="G4868" t="str">
        <f>"300423"</f>
        <v>300423</v>
      </c>
      <c r="H4868" t="s">
        <v>3156</v>
      </c>
      <c r="I4868">
        <v>3206.46</v>
      </c>
    </row>
    <row r="4869" spans="1:9" x14ac:dyDescent="0.25">
      <c r="A4869" t="s">
        <v>9616</v>
      </c>
      <c r="C4869" t="s">
        <v>9617</v>
      </c>
      <c r="D4869" t="s">
        <v>12193</v>
      </c>
      <c r="E4869" t="s">
        <v>12174</v>
      </c>
      <c r="F4869" s="1">
        <v>45736</v>
      </c>
      <c r="G4869" t="str">
        <f>"300423"</f>
        <v>300423</v>
      </c>
      <c r="H4869" t="s">
        <v>3156</v>
      </c>
      <c r="I4869">
        <v>3206.46</v>
      </c>
    </row>
    <row r="4870" spans="1:9" x14ac:dyDescent="0.25">
      <c r="A4870" t="s">
        <v>9616</v>
      </c>
      <c r="C4870" t="s">
        <v>9617</v>
      </c>
      <c r="D4870" t="str">
        <f>"26421"</f>
        <v>26421</v>
      </c>
      <c r="E4870" t="s">
        <v>12194</v>
      </c>
      <c r="F4870" s="1">
        <v>45740</v>
      </c>
      <c r="G4870" t="str">
        <f>"300043"</f>
        <v>300043</v>
      </c>
      <c r="H4870" t="s">
        <v>2876</v>
      </c>
      <c r="I4870">
        <v>1272</v>
      </c>
    </row>
    <row r="4871" spans="1:9" x14ac:dyDescent="0.25">
      <c r="A4871" t="s">
        <v>9616</v>
      </c>
      <c r="C4871" t="s">
        <v>9617</v>
      </c>
      <c r="D4871" t="str">
        <f>"26422"</f>
        <v>26422</v>
      </c>
      <c r="E4871" t="s">
        <v>12195</v>
      </c>
      <c r="F4871" s="1">
        <v>45740</v>
      </c>
      <c r="G4871" t="str">
        <f>"300043"</f>
        <v>300043</v>
      </c>
      <c r="H4871" t="s">
        <v>2876</v>
      </c>
      <c r="I4871">
        <v>1293</v>
      </c>
    </row>
    <row r="4872" spans="1:9" x14ac:dyDescent="0.25">
      <c r="A4872" t="s">
        <v>9616</v>
      </c>
      <c r="C4872" t="s">
        <v>9617</v>
      </c>
      <c r="D4872" t="str">
        <f>"8000452282"</f>
        <v>8000452282</v>
      </c>
      <c r="E4872" t="s">
        <v>9458</v>
      </c>
      <c r="F4872" s="1">
        <v>45740</v>
      </c>
      <c r="G4872" t="str">
        <f>"300220"</f>
        <v>300220</v>
      </c>
      <c r="H4872" t="s">
        <v>2170</v>
      </c>
      <c r="I4872">
        <v>1057551.264</v>
      </c>
    </row>
    <row r="4873" spans="1:9" x14ac:dyDescent="0.25">
      <c r="A4873" t="s">
        <v>9616</v>
      </c>
      <c r="C4873" t="s">
        <v>9617</v>
      </c>
      <c r="D4873" t="s">
        <v>12196</v>
      </c>
      <c r="E4873" t="s">
        <v>9191</v>
      </c>
      <c r="F4873" s="1">
        <v>45740</v>
      </c>
      <c r="G4873" t="str">
        <f>"300375"</f>
        <v>300375</v>
      </c>
      <c r="H4873" t="s">
        <v>3112</v>
      </c>
      <c r="I4873">
        <v>126992.03</v>
      </c>
    </row>
    <row r="4874" spans="1:9" x14ac:dyDescent="0.25">
      <c r="A4874" t="s">
        <v>9616</v>
      </c>
      <c r="C4874" t="s">
        <v>9617</v>
      </c>
      <c r="D4874" t="str">
        <f>"3452"</f>
        <v>3452</v>
      </c>
      <c r="E4874" t="s">
        <v>11471</v>
      </c>
      <c r="F4874" s="1">
        <v>45741</v>
      </c>
      <c r="G4874" t="str">
        <f>"300043"</f>
        <v>300043</v>
      </c>
      <c r="H4874" t="s">
        <v>2876</v>
      </c>
      <c r="I4874">
        <v>3921</v>
      </c>
    </row>
    <row r="4875" spans="1:9" x14ac:dyDescent="0.25">
      <c r="A4875" t="s">
        <v>9616</v>
      </c>
      <c r="C4875" t="s">
        <v>9617</v>
      </c>
      <c r="D4875" t="s">
        <v>12197</v>
      </c>
      <c r="F4875" s="1">
        <v>45741</v>
      </c>
      <c r="G4875" t="str">
        <f>"300321"</f>
        <v>300321</v>
      </c>
      <c r="H4875" t="s">
        <v>2706</v>
      </c>
      <c r="I4875">
        <v>52131.199999999997</v>
      </c>
    </row>
    <row r="4876" spans="1:9" x14ac:dyDescent="0.25">
      <c r="A4876" t="s">
        <v>9616</v>
      </c>
      <c r="C4876" t="s">
        <v>9617</v>
      </c>
      <c r="D4876" t="s">
        <v>12198</v>
      </c>
      <c r="F4876" s="1">
        <v>45741</v>
      </c>
      <c r="G4876" t="str">
        <f>"300321"</f>
        <v>300321</v>
      </c>
      <c r="H4876" t="s">
        <v>2706</v>
      </c>
      <c r="I4876">
        <v>27000</v>
      </c>
    </row>
    <row r="4877" spans="1:9" x14ac:dyDescent="0.25">
      <c r="A4877" t="s">
        <v>9616</v>
      </c>
      <c r="C4877" t="s">
        <v>9617</v>
      </c>
      <c r="D4877" t="s">
        <v>12199</v>
      </c>
      <c r="F4877" s="1">
        <v>45741</v>
      </c>
      <c r="G4877" t="str">
        <f>"300321"</f>
        <v>300321</v>
      </c>
      <c r="H4877" t="s">
        <v>2706</v>
      </c>
      <c r="I4877">
        <v>30000</v>
      </c>
    </row>
    <row r="4878" spans="1:9" x14ac:dyDescent="0.25">
      <c r="A4878" t="s">
        <v>9616</v>
      </c>
      <c r="C4878" t="s">
        <v>9617</v>
      </c>
      <c r="D4878" t="s">
        <v>12200</v>
      </c>
      <c r="F4878" s="1">
        <v>45741</v>
      </c>
      <c r="G4878" t="str">
        <f>"300321"</f>
        <v>300321</v>
      </c>
      <c r="H4878" t="s">
        <v>2706</v>
      </c>
      <c r="I4878">
        <v>30000</v>
      </c>
    </row>
    <row r="4879" spans="1:9" x14ac:dyDescent="0.25">
      <c r="A4879" t="s">
        <v>9616</v>
      </c>
      <c r="C4879" t="s">
        <v>9617</v>
      </c>
      <c r="D4879" t="str">
        <f>"80196671"</f>
        <v>80196671</v>
      </c>
      <c r="E4879" t="s">
        <v>9189</v>
      </c>
      <c r="F4879" s="1">
        <v>45741</v>
      </c>
      <c r="G4879" t="str">
        <f>"300381"</f>
        <v>300381</v>
      </c>
      <c r="H4879" t="s">
        <v>3118</v>
      </c>
      <c r="I4879">
        <v>329549.3223</v>
      </c>
    </row>
    <row r="4880" spans="1:9" x14ac:dyDescent="0.25">
      <c r="A4880" t="s">
        <v>9616</v>
      </c>
      <c r="C4880" t="s">
        <v>9617</v>
      </c>
      <c r="D4880" t="str">
        <f>"80196988"</f>
        <v>80196988</v>
      </c>
      <c r="E4880" t="s">
        <v>9189</v>
      </c>
      <c r="F4880" s="1">
        <v>45741</v>
      </c>
      <c r="G4880" t="str">
        <f>"300381"</f>
        <v>300381</v>
      </c>
      <c r="H4880" t="s">
        <v>3118</v>
      </c>
      <c r="I4880">
        <v>333934.96950000001</v>
      </c>
    </row>
    <row r="4881" spans="1:9" x14ac:dyDescent="0.25">
      <c r="A4881" t="s">
        <v>9616</v>
      </c>
      <c r="C4881" t="s">
        <v>9617</v>
      </c>
      <c r="D4881" t="s">
        <v>12201</v>
      </c>
      <c r="E4881" t="s">
        <v>12087</v>
      </c>
      <c r="F4881" s="1">
        <v>45741</v>
      </c>
      <c r="G4881" t="str">
        <f>"300423"</f>
        <v>300423</v>
      </c>
      <c r="H4881" t="s">
        <v>3156</v>
      </c>
      <c r="I4881">
        <v>3206.46</v>
      </c>
    </row>
    <row r="4882" spans="1:9" x14ac:dyDescent="0.25">
      <c r="A4882" t="s">
        <v>9616</v>
      </c>
      <c r="C4882" t="s">
        <v>9617</v>
      </c>
      <c r="D4882" t="s">
        <v>12202</v>
      </c>
      <c r="E4882" t="s">
        <v>12190</v>
      </c>
      <c r="F4882" s="1">
        <v>45741</v>
      </c>
      <c r="G4882" t="str">
        <f>"300423"</f>
        <v>300423</v>
      </c>
      <c r="H4882" t="s">
        <v>3156</v>
      </c>
      <c r="I4882">
        <v>3206.46</v>
      </c>
    </row>
    <row r="4883" spans="1:9" x14ac:dyDescent="0.25">
      <c r="A4883" t="s">
        <v>9616</v>
      </c>
      <c r="C4883" t="s">
        <v>9617</v>
      </c>
      <c r="D4883" t="s">
        <v>12203</v>
      </c>
      <c r="F4883" s="1">
        <v>45742</v>
      </c>
      <c r="G4883" t="str">
        <f>"300321"</f>
        <v>300321</v>
      </c>
      <c r="H4883" t="s">
        <v>2706</v>
      </c>
      <c r="I4883">
        <v>27000</v>
      </c>
    </row>
    <row r="4884" spans="1:9" x14ac:dyDescent="0.25">
      <c r="A4884" t="s">
        <v>9616</v>
      </c>
      <c r="C4884" t="s">
        <v>9617</v>
      </c>
      <c r="D4884" t="s">
        <v>12204</v>
      </c>
      <c r="F4884" s="1">
        <v>45742</v>
      </c>
      <c r="G4884" t="str">
        <f>"300321"</f>
        <v>300321</v>
      </c>
      <c r="H4884" t="s">
        <v>2706</v>
      </c>
      <c r="I4884">
        <v>30000</v>
      </c>
    </row>
    <row r="4885" spans="1:9" x14ac:dyDescent="0.25">
      <c r="A4885" t="s">
        <v>9616</v>
      </c>
      <c r="C4885" t="s">
        <v>9617</v>
      </c>
      <c r="D4885" t="str">
        <f>"80196674"</f>
        <v>80196674</v>
      </c>
      <c r="E4885" t="s">
        <v>9189</v>
      </c>
      <c r="F4885" s="1">
        <v>45742</v>
      </c>
      <c r="G4885" t="str">
        <f>"300381"</f>
        <v>300381</v>
      </c>
      <c r="H4885" t="s">
        <v>3118</v>
      </c>
      <c r="I4885">
        <v>333934.96950000001</v>
      </c>
    </row>
    <row r="4886" spans="1:9" x14ac:dyDescent="0.25">
      <c r="A4886" t="s">
        <v>9616</v>
      </c>
      <c r="C4886" t="s">
        <v>9617</v>
      </c>
      <c r="D4886" t="str">
        <f>"80196987"</f>
        <v>80196987</v>
      </c>
      <c r="E4886" t="s">
        <v>9428</v>
      </c>
      <c r="F4886" s="1">
        <v>45742</v>
      </c>
      <c r="G4886" t="str">
        <f>"300381"</f>
        <v>300381</v>
      </c>
      <c r="H4886" t="s">
        <v>3118</v>
      </c>
      <c r="I4886">
        <v>287907.10519999999</v>
      </c>
    </row>
    <row r="4887" spans="1:9" x14ac:dyDescent="0.25">
      <c r="A4887" t="s">
        <v>9616</v>
      </c>
      <c r="C4887" t="s">
        <v>9617</v>
      </c>
      <c r="D4887" t="str">
        <f>"3586"</f>
        <v>3586</v>
      </c>
      <c r="E4887" t="s">
        <v>11471</v>
      </c>
      <c r="F4887" s="1">
        <v>45743</v>
      </c>
      <c r="G4887" t="str">
        <f>"300043"</f>
        <v>300043</v>
      </c>
      <c r="H4887" t="s">
        <v>2876</v>
      </c>
      <c r="I4887">
        <v>4466</v>
      </c>
    </row>
    <row r="4888" spans="1:9" x14ac:dyDescent="0.25">
      <c r="A4888" t="s">
        <v>9616</v>
      </c>
      <c r="C4888" t="s">
        <v>9617</v>
      </c>
      <c r="D4888" t="str">
        <f>"27946"</f>
        <v>27946</v>
      </c>
      <c r="E4888" t="s">
        <v>12205</v>
      </c>
      <c r="F4888" s="1">
        <v>45743</v>
      </c>
      <c r="G4888" t="str">
        <f>"300043"</f>
        <v>300043</v>
      </c>
      <c r="H4888" t="s">
        <v>2876</v>
      </c>
      <c r="I4888">
        <v>1265</v>
      </c>
    </row>
    <row r="4889" spans="1:9" x14ac:dyDescent="0.25">
      <c r="A4889" t="s">
        <v>9616</v>
      </c>
      <c r="C4889" t="s">
        <v>9617</v>
      </c>
      <c r="D4889" t="s">
        <v>12206</v>
      </c>
      <c r="E4889" t="s">
        <v>10374</v>
      </c>
      <c r="F4889" s="1">
        <v>45743</v>
      </c>
      <c r="G4889" t="str">
        <f>"300133"</f>
        <v>300133</v>
      </c>
      <c r="H4889" t="s">
        <v>2955</v>
      </c>
      <c r="I4889">
        <v>13860</v>
      </c>
    </row>
    <row r="4890" spans="1:9" x14ac:dyDescent="0.25">
      <c r="A4890" t="s">
        <v>9616</v>
      </c>
      <c r="C4890" t="s">
        <v>9617</v>
      </c>
      <c r="D4890" t="s">
        <v>12207</v>
      </c>
      <c r="E4890" t="s">
        <v>12208</v>
      </c>
      <c r="F4890" s="1">
        <v>45743</v>
      </c>
      <c r="G4890" t="str">
        <f>"300133"</f>
        <v>300133</v>
      </c>
      <c r="H4890" t="s">
        <v>2955</v>
      </c>
      <c r="I4890">
        <v>56980.82</v>
      </c>
    </row>
    <row r="4891" spans="1:9" x14ac:dyDescent="0.25">
      <c r="A4891" t="s">
        <v>9616</v>
      </c>
      <c r="C4891" t="s">
        <v>9617</v>
      </c>
      <c r="D4891" t="s">
        <v>12209</v>
      </c>
      <c r="F4891" s="1">
        <v>45743</v>
      </c>
      <c r="G4891" t="str">
        <f>"300321"</f>
        <v>300321</v>
      </c>
      <c r="H4891" t="s">
        <v>2706</v>
      </c>
      <c r="I4891">
        <v>30000</v>
      </c>
    </row>
    <row r="4892" spans="1:9" x14ac:dyDescent="0.25">
      <c r="A4892" t="s">
        <v>9616</v>
      </c>
      <c r="C4892" t="s">
        <v>9617</v>
      </c>
      <c r="D4892" t="str">
        <f>"80197032"</f>
        <v>80197032</v>
      </c>
      <c r="E4892" t="s">
        <v>9189</v>
      </c>
      <c r="F4892" s="1">
        <v>45743</v>
      </c>
      <c r="G4892" t="str">
        <f>"300381"</f>
        <v>300381</v>
      </c>
      <c r="H4892" t="s">
        <v>3118</v>
      </c>
      <c r="I4892">
        <v>333934.96950000001</v>
      </c>
    </row>
    <row r="4893" spans="1:9" x14ac:dyDescent="0.25">
      <c r="A4893" t="s">
        <v>9616</v>
      </c>
      <c r="C4893" t="s">
        <v>9617</v>
      </c>
      <c r="D4893" t="str">
        <f>"1589"</f>
        <v>1589</v>
      </c>
      <c r="E4893" t="s">
        <v>12210</v>
      </c>
      <c r="F4893" s="1">
        <v>45744</v>
      </c>
      <c r="G4893" t="str">
        <f t="shared" ref="G4893:G4898" si="22">"300043"</f>
        <v>300043</v>
      </c>
      <c r="H4893" t="s">
        <v>2876</v>
      </c>
      <c r="I4893">
        <v>6391</v>
      </c>
    </row>
    <row r="4894" spans="1:9" x14ac:dyDescent="0.25">
      <c r="A4894" t="s">
        <v>9616</v>
      </c>
      <c r="C4894" t="s">
        <v>9617</v>
      </c>
      <c r="D4894" t="str">
        <f>"28328"</f>
        <v>28328</v>
      </c>
      <c r="E4894" t="s">
        <v>12211</v>
      </c>
      <c r="F4894" s="1">
        <v>45744</v>
      </c>
      <c r="G4894" t="str">
        <f t="shared" si="22"/>
        <v>300043</v>
      </c>
      <c r="H4894" t="s">
        <v>2876</v>
      </c>
      <c r="I4894">
        <v>1253</v>
      </c>
    </row>
    <row r="4895" spans="1:9" x14ac:dyDescent="0.25">
      <c r="A4895" t="s">
        <v>9616</v>
      </c>
      <c r="C4895" t="s">
        <v>9617</v>
      </c>
      <c r="D4895" t="str">
        <f>"28344"</f>
        <v>28344</v>
      </c>
      <c r="E4895" t="s">
        <v>12212</v>
      </c>
      <c r="F4895" s="1">
        <v>45744</v>
      </c>
      <c r="G4895" t="str">
        <f t="shared" si="22"/>
        <v>300043</v>
      </c>
      <c r="H4895" t="s">
        <v>2876</v>
      </c>
      <c r="I4895">
        <v>3651</v>
      </c>
    </row>
    <row r="4896" spans="1:9" x14ac:dyDescent="0.25">
      <c r="A4896" t="s">
        <v>9616</v>
      </c>
      <c r="C4896" t="s">
        <v>9617</v>
      </c>
      <c r="D4896" t="str">
        <f>"28388"</f>
        <v>28388</v>
      </c>
      <c r="E4896" t="s">
        <v>12213</v>
      </c>
      <c r="F4896" s="1">
        <v>45744</v>
      </c>
      <c r="G4896" t="str">
        <f t="shared" si="22"/>
        <v>300043</v>
      </c>
      <c r="H4896" t="s">
        <v>2876</v>
      </c>
      <c r="I4896">
        <v>1122</v>
      </c>
    </row>
    <row r="4897" spans="1:9" x14ac:dyDescent="0.25">
      <c r="A4897" t="s">
        <v>9616</v>
      </c>
      <c r="C4897" t="s">
        <v>9617</v>
      </c>
      <c r="D4897" t="str">
        <f>"28410"</f>
        <v>28410</v>
      </c>
      <c r="E4897" t="s">
        <v>12214</v>
      </c>
      <c r="F4897" s="1">
        <v>45744</v>
      </c>
      <c r="G4897" t="str">
        <f t="shared" si="22"/>
        <v>300043</v>
      </c>
      <c r="H4897" t="s">
        <v>2876</v>
      </c>
      <c r="I4897">
        <v>1268</v>
      </c>
    </row>
    <row r="4898" spans="1:9" x14ac:dyDescent="0.25">
      <c r="A4898" t="s">
        <v>9616</v>
      </c>
      <c r="C4898" t="s">
        <v>9617</v>
      </c>
      <c r="D4898" t="str">
        <f>"38924"</f>
        <v>38924</v>
      </c>
      <c r="E4898" t="s">
        <v>12189</v>
      </c>
      <c r="F4898" s="1">
        <v>45744</v>
      </c>
      <c r="G4898" t="str">
        <f t="shared" si="22"/>
        <v>300043</v>
      </c>
      <c r="H4898" t="s">
        <v>2876</v>
      </c>
      <c r="I4898">
        <v>622</v>
      </c>
    </row>
    <row r="4899" spans="1:9" x14ac:dyDescent="0.25">
      <c r="A4899" t="s">
        <v>9616</v>
      </c>
      <c r="C4899" t="s">
        <v>9617</v>
      </c>
      <c r="D4899" t="s">
        <v>12215</v>
      </c>
      <c r="E4899" t="s">
        <v>12195</v>
      </c>
      <c r="F4899" s="1">
        <v>45745</v>
      </c>
      <c r="G4899" t="str">
        <f t="shared" ref="G4899:G4906" si="23">"300423"</f>
        <v>300423</v>
      </c>
      <c r="H4899" t="s">
        <v>3156</v>
      </c>
      <c r="I4899">
        <v>3206.46</v>
      </c>
    </row>
    <row r="4900" spans="1:9" x14ac:dyDescent="0.25">
      <c r="A4900" t="s">
        <v>9616</v>
      </c>
      <c r="C4900" t="s">
        <v>9617</v>
      </c>
      <c r="D4900" t="s">
        <v>12216</v>
      </c>
      <c r="E4900" t="s">
        <v>12194</v>
      </c>
      <c r="F4900" s="1">
        <v>45745</v>
      </c>
      <c r="G4900" t="str">
        <f t="shared" si="23"/>
        <v>300423</v>
      </c>
      <c r="H4900" t="s">
        <v>3156</v>
      </c>
      <c r="I4900">
        <v>3206.46</v>
      </c>
    </row>
    <row r="4901" spans="1:9" x14ac:dyDescent="0.25">
      <c r="A4901" t="s">
        <v>9616</v>
      </c>
      <c r="C4901" t="s">
        <v>9617</v>
      </c>
      <c r="D4901" t="s">
        <v>12217</v>
      </c>
      <c r="E4901" t="s">
        <v>12205</v>
      </c>
      <c r="F4901" s="1">
        <v>45745</v>
      </c>
      <c r="G4901" t="str">
        <f t="shared" si="23"/>
        <v>300423</v>
      </c>
      <c r="H4901" t="s">
        <v>3156</v>
      </c>
      <c r="I4901">
        <v>3206.46</v>
      </c>
    </row>
    <row r="4902" spans="1:9" x14ac:dyDescent="0.25">
      <c r="A4902" t="s">
        <v>9616</v>
      </c>
      <c r="C4902" t="s">
        <v>9617</v>
      </c>
      <c r="D4902" t="s">
        <v>12218</v>
      </c>
      <c r="E4902" t="s">
        <v>12213</v>
      </c>
      <c r="F4902" s="1">
        <v>45745</v>
      </c>
      <c r="G4902" t="str">
        <f t="shared" si="23"/>
        <v>300423</v>
      </c>
      <c r="H4902" t="s">
        <v>3156</v>
      </c>
      <c r="I4902">
        <v>3206.46</v>
      </c>
    </row>
    <row r="4903" spans="1:9" x14ac:dyDescent="0.25">
      <c r="A4903" t="s">
        <v>9616</v>
      </c>
      <c r="C4903" t="s">
        <v>9617</v>
      </c>
      <c r="D4903" t="s">
        <v>12219</v>
      </c>
      <c r="E4903" t="s">
        <v>12214</v>
      </c>
      <c r="F4903" s="1">
        <v>45745</v>
      </c>
      <c r="G4903" t="str">
        <f t="shared" si="23"/>
        <v>300423</v>
      </c>
      <c r="H4903" t="s">
        <v>3156</v>
      </c>
      <c r="I4903">
        <v>3206.46</v>
      </c>
    </row>
    <row r="4904" spans="1:9" x14ac:dyDescent="0.25">
      <c r="A4904" t="s">
        <v>9616</v>
      </c>
      <c r="C4904" t="s">
        <v>9617</v>
      </c>
      <c r="D4904" t="s">
        <v>12220</v>
      </c>
      <c r="E4904" t="s">
        <v>12211</v>
      </c>
      <c r="F4904" s="1">
        <v>45745</v>
      </c>
      <c r="G4904" t="str">
        <f t="shared" si="23"/>
        <v>300423</v>
      </c>
      <c r="H4904" t="s">
        <v>3156</v>
      </c>
      <c r="I4904">
        <v>3206.46</v>
      </c>
    </row>
    <row r="4905" spans="1:9" x14ac:dyDescent="0.25">
      <c r="A4905" t="s">
        <v>9616</v>
      </c>
      <c r="C4905" t="s">
        <v>9617</v>
      </c>
      <c r="D4905" t="s">
        <v>12221</v>
      </c>
      <c r="E4905" t="s">
        <v>12212</v>
      </c>
      <c r="F4905" s="1">
        <v>45745</v>
      </c>
      <c r="G4905" t="str">
        <f t="shared" si="23"/>
        <v>300423</v>
      </c>
      <c r="H4905" t="s">
        <v>3156</v>
      </c>
      <c r="I4905">
        <v>3206.46</v>
      </c>
    </row>
    <row r="4906" spans="1:9" x14ac:dyDescent="0.25">
      <c r="A4906" t="s">
        <v>9616</v>
      </c>
      <c r="C4906" t="s">
        <v>9617</v>
      </c>
      <c r="D4906" t="s">
        <v>12222</v>
      </c>
      <c r="E4906" t="s">
        <v>12210</v>
      </c>
      <c r="F4906" s="1">
        <v>45745</v>
      </c>
      <c r="G4906" t="str">
        <f t="shared" si="23"/>
        <v>300423</v>
      </c>
      <c r="H4906" t="s">
        <v>3156</v>
      </c>
      <c r="I4906">
        <v>16449.98</v>
      </c>
    </row>
    <row r="4907" spans="1:9" x14ac:dyDescent="0.25">
      <c r="A4907" t="s">
        <v>9616</v>
      </c>
      <c r="C4907" t="s">
        <v>9617</v>
      </c>
      <c r="D4907" t="str">
        <f>"10166468"</f>
        <v>10166468</v>
      </c>
      <c r="E4907" t="s">
        <v>2014</v>
      </c>
      <c r="F4907" s="1">
        <v>45747</v>
      </c>
      <c r="G4907" t="str">
        <f>"300115"</f>
        <v>300115</v>
      </c>
      <c r="H4907" t="s">
        <v>2938</v>
      </c>
      <c r="I4907">
        <v>107687.25</v>
      </c>
    </row>
    <row r="4908" spans="1:9" x14ac:dyDescent="0.25">
      <c r="A4908" t="s">
        <v>9616</v>
      </c>
      <c r="C4908" t="s">
        <v>9617</v>
      </c>
      <c r="D4908" t="str">
        <f>"28995"</f>
        <v>28995</v>
      </c>
      <c r="E4908" t="s">
        <v>12223</v>
      </c>
      <c r="F4908" s="1">
        <v>45749</v>
      </c>
      <c r="G4908" t="str">
        <f>"300043"</f>
        <v>300043</v>
      </c>
      <c r="H4908" t="s">
        <v>2876</v>
      </c>
      <c r="I4908">
        <v>1269</v>
      </c>
    </row>
    <row r="4909" spans="1:9" x14ac:dyDescent="0.25">
      <c r="A4909" t="s">
        <v>9616</v>
      </c>
      <c r="C4909" t="s">
        <v>9617</v>
      </c>
      <c r="D4909" t="s">
        <v>12224</v>
      </c>
      <c r="E4909" t="s">
        <v>9565</v>
      </c>
      <c r="F4909" s="1">
        <v>45750</v>
      </c>
      <c r="G4909" t="str">
        <f>"300133"</f>
        <v>300133</v>
      </c>
      <c r="H4909" t="s">
        <v>2955</v>
      </c>
      <c r="I4909">
        <v>35461.800000000003</v>
      </c>
    </row>
    <row r="4910" spans="1:9" x14ac:dyDescent="0.25">
      <c r="A4910" t="s">
        <v>9616</v>
      </c>
      <c r="C4910" t="s">
        <v>9617</v>
      </c>
      <c r="D4910" t="str">
        <f>"8000452914"</f>
        <v>8000452914</v>
      </c>
      <c r="E4910" t="s">
        <v>12225</v>
      </c>
      <c r="F4910" s="1">
        <v>45750</v>
      </c>
      <c r="G4910" t="str">
        <f>"300220"</f>
        <v>300220</v>
      </c>
      <c r="H4910" t="s">
        <v>2170</v>
      </c>
      <c r="I4910">
        <v>785832.23400000005</v>
      </c>
    </row>
    <row r="4911" spans="1:9" x14ac:dyDescent="0.25">
      <c r="A4911" t="s">
        <v>9616</v>
      </c>
      <c r="C4911" t="s">
        <v>9617</v>
      </c>
      <c r="D4911" t="str">
        <f>"8000452915"</f>
        <v>8000452915</v>
      </c>
      <c r="E4911" t="s">
        <v>9447</v>
      </c>
      <c r="F4911" s="1">
        <v>45750</v>
      </c>
      <c r="G4911" t="str">
        <f>"300220"</f>
        <v>300220</v>
      </c>
      <c r="H4911" t="s">
        <v>2170</v>
      </c>
      <c r="I4911">
        <v>786422.53799999994</v>
      </c>
    </row>
    <row r="4912" spans="1:9" x14ac:dyDescent="0.25">
      <c r="A4912" t="s">
        <v>9616</v>
      </c>
      <c r="C4912" t="s">
        <v>9617</v>
      </c>
      <c r="D4912" t="s">
        <v>12226</v>
      </c>
      <c r="E4912" t="s">
        <v>12227</v>
      </c>
      <c r="F4912" s="1">
        <v>45750</v>
      </c>
      <c r="G4912" t="str">
        <f>"300364"</f>
        <v>300364</v>
      </c>
      <c r="H4912" t="s">
        <v>3101</v>
      </c>
      <c r="I4912">
        <v>8889.116</v>
      </c>
    </row>
    <row r="4913" spans="1:9" x14ac:dyDescent="0.25">
      <c r="A4913" t="s">
        <v>9616</v>
      </c>
      <c r="C4913" t="s">
        <v>9617</v>
      </c>
      <c r="D4913" t="s">
        <v>12228</v>
      </c>
      <c r="E4913" t="s">
        <v>12189</v>
      </c>
      <c r="F4913" s="1">
        <v>45754</v>
      </c>
      <c r="G4913" t="str">
        <f>"300191"</f>
        <v>300191</v>
      </c>
      <c r="H4913" t="s">
        <v>3008</v>
      </c>
      <c r="I4913">
        <v>2644.83</v>
      </c>
    </row>
    <row r="4914" spans="1:9" x14ac:dyDescent="0.25">
      <c r="A4914" t="s">
        <v>9616</v>
      </c>
      <c r="C4914" t="s">
        <v>9617</v>
      </c>
      <c r="D4914" t="s">
        <v>12229</v>
      </c>
      <c r="E4914" t="s">
        <v>12230</v>
      </c>
      <c r="F4914" s="1">
        <v>45754</v>
      </c>
      <c r="G4914" t="str">
        <f>"300321"</f>
        <v>300321</v>
      </c>
      <c r="H4914" t="s">
        <v>2706</v>
      </c>
      <c r="I4914">
        <v>27000</v>
      </c>
    </row>
    <row r="4915" spans="1:9" x14ac:dyDescent="0.25">
      <c r="A4915" t="s">
        <v>9616</v>
      </c>
      <c r="C4915" t="s">
        <v>9617</v>
      </c>
      <c r="D4915" t="str">
        <f>"2572757855"</f>
        <v>2572757855</v>
      </c>
      <c r="E4915" t="s">
        <v>12231</v>
      </c>
      <c r="F4915" s="1">
        <v>45754</v>
      </c>
      <c r="G4915" t="str">
        <f>"300344"</f>
        <v>300344</v>
      </c>
      <c r="H4915" t="s">
        <v>3084</v>
      </c>
      <c r="I4915">
        <v>33116.17</v>
      </c>
    </row>
    <row r="4916" spans="1:9" x14ac:dyDescent="0.25">
      <c r="A4916" t="s">
        <v>9616</v>
      </c>
      <c r="C4916" t="s">
        <v>9617</v>
      </c>
      <c r="D4916" t="s">
        <v>12232</v>
      </c>
      <c r="E4916" t="s">
        <v>12233</v>
      </c>
      <c r="F4916" s="1">
        <v>45754</v>
      </c>
      <c r="G4916" t="str">
        <f>"300364"</f>
        <v>300364</v>
      </c>
      <c r="H4916" t="s">
        <v>3101</v>
      </c>
      <c r="I4916">
        <v>4639.558</v>
      </c>
    </row>
    <row r="4917" spans="1:9" x14ac:dyDescent="0.25">
      <c r="A4917" t="s">
        <v>9616</v>
      </c>
      <c r="C4917" t="s">
        <v>9617</v>
      </c>
      <c r="D4917" t="str">
        <f>"80197280"</f>
        <v>80197280</v>
      </c>
      <c r="E4917" t="s">
        <v>9189</v>
      </c>
      <c r="F4917" s="1">
        <v>45754</v>
      </c>
      <c r="G4917" t="str">
        <f>"300381"</f>
        <v>300381</v>
      </c>
      <c r="H4917" t="s">
        <v>3118</v>
      </c>
      <c r="I4917">
        <v>333934.96950000001</v>
      </c>
    </row>
    <row r="4918" spans="1:9" x14ac:dyDescent="0.25">
      <c r="A4918" t="s">
        <v>9616</v>
      </c>
      <c r="C4918" t="s">
        <v>9617</v>
      </c>
      <c r="D4918" t="str">
        <f>"80197618"</f>
        <v>80197618</v>
      </c>
      <c r="E4918" t="s">
        <v>10465</v>
      </c>
      <c r="F4918" s="1">
        <v>45754</v>
      </c>
      <c r="G4918" t="str">
        <f>"300381"</f>
        <v>300381</v>
      </c>
      <c r="H4918" t="s">
        <v>3118</v>
      </c>
      <c r="I4918">
        <v>287907.10519999999</v>
      </c>
    </row>
    <row r="4919" spans="1:9" x14ac:dyDescent="0.25">
      <c r="A4919" t="s">
        <v>9616</v>
      </c>
      <c r="C4919" t="s">
        <v>9617</v>
      </c>
      <c r="D4919" t="str">
        <f>"80197217"</f>
        <v>80197217</v>
      </c>
      <c r="E4919" t="s">
        <v>9189</v>
      </c>
      <c r="F4919" s="1">
        <v>45755</v>
      </c>
      <c r="G4919" t="str">
        <f>"300381"</f>
        <v>300381</v>
      </c>
      <c r="H4919" t="s">
        <v>3118</v>
      </c>
      <c r="I4919">
        <v>287907.10519999999</v>
      </c>
    </row>
    <row r="4920" spans="1:9" x14ac:dyDescent="0.25">
      <c r="A4920" t="s">
        <v>9616</v>
      </c>
      <c r="C4920" t="s">
        <v>9617</v>
      </c>
      <c r="D4920" t="s">
        <v>12234</v>
      </c>
      <c r="E4920" t="s">
        <v>12223</v>
      </c>
      <c r="F4920" s="1">
        <v>45755</v>
      </c>
      <c r="G4920" t="str">
        <f>"300423"</f>
        <v>300423</v>
      </c>
      <c r="H4920" t="s">
        <v>3156</v>
      </c>
      <c r="I4920">
        <v>3376.19</v>
      </c>
    </row>
    <row r="4921" spans="1:9" x14ac:dyDescent="0.25">
      <c r="A4921" t="s">
        <v>9616</v>
      </c>
      <c r="C4921" t="s">
        <v>9617</v>
      </c>
      <c r="D4921" t="str">
        <f>"3103"</f>
        <v>3103</v>
      </c>
      <c r="E4921" t="s">
        <v>12235</v>
      </c>
      <c r="F4921" s="1">
        <v>45756</v>
      </c>
      <c r="G4921" t="str">
        <f>"300043"</f>
        <v>300043</v>
      </c>
      <c r="H4921" t="s">
        <v>2876</v>
      </c>
      <c r="I4921">
        <v>507</v>
      </c>
    </row>
    <row r="4922" spans="1:9" x14ac:dyDescent="0.25">
      <c r="A4922" t="s">
        <v>9616</v>
      </c>
      <c r="C4922" t="s">
        <v>9617</v>
      </c>
      <c r="D4922" t="str">
        <f>"30829"</f>
        <v>30829</v>
      </c>
      <c r="F4922" s="1">
        <v>45756</v>
      </c>
      <c r="G4922" t="str">
        <f>"300043"</f>
        <v>300043</v>
      </c>
      <c r="H4922" t="s">
        <v>2876</v>
      </c>
      <c r="I4922">
        <v>31887</v>
      </c>
    </row>
    <row r="4923" spans="1:9" x14ac:dyDescent="0.25">
      <c r="A4923" t="s">
        <v>9616</v>
      </c>
      <c r="C4923" t="s">
        <v>9617</v>
      </c>
      <c r="D4923" t="str">
        <f>"80197766"</f>
        <v>80197766</v>
      </c>
      <c r="E4923" t="s">
        <v>8852</v>
      </c>
      <c r="F4923" s="1">
        <v>45756</v>
      </c>
      <c r="G4923" t="str">
        <f>"300381"</f>
        <v>300381</v>
      </c>
      <c r="H4923" t="s">
        <v>3118</v>
      </c>
      <c r="I4923">
        <v>352643.59350000002</v>
      </c>
    </row>
    <row r="4924" spans="1:9" x14ac:dyDescent="0.25">
      <c r="A4924" t="s">
        <v>9616</v>
      </c>
      <c r="C4924" t="s">
        <v>9617</v>
      </c>
      <c r="D4924" t="str">
        <f>"32082"</f>
        <v>32082</v>
      </c>
      <c r="E4924" t="s">
        <v>12236</v>
      </c>
      <c r="F4924" s="1">
        <v>45757</v>
      </c>
      <c r="G4924" t="str">
        <f>"300043"</f>
        <v>300043</v>
      </c>
      <c r="H4924" t="s">
        <v>2876</v>
      </c>
      <c r="I4924">
        <v>1278</v>
      </c>
    </row>
    <row r="4925" spans="1:9" x14ac:dyDescent="0.25">
      <c r="A4925" t="s">
        <v>9616</v>
      </c>
      <c r="C4925" t="s">
        <v>9617</v>
      </c>
      <c r="D4925" t="str">
        <f>"32089"</f>
        <v>32089</v>
      </c>
      <c r="E4925" t="s">
        <v>12230</v>
      </c>
      <c r="F4925" s="1">
        <v>45757</v>
      </c>
      <c r="G4925" t="str">
        <f>"300043"</f>
        <v>300043</v>
      </c>
      <c r="H4925" t="s">
        <v>2876</v>
      </c>
      <c r="I4925">
        <v>1132</v>
      </c>
    </row>
    <row r="4926" spans="1:9" x14ac:dyDescent="0.25">
      <c r="A4926" t="s">
        <v>9616</v>
      </c>
      <c r="C4926" t="s">
        <v>9617</v>
      </c>
      <c r="D4926" t="str">
        <f>"32162"</f>
        <v>32162</v>
      </c>
      <c r="E4926" t="s">
        <v>12237</v>
      </c>
      <c r="F4926" s="1">
        <v>45757</v>
      </c>
      <c r="G4926" t="str">
        <f>"300043"</f>
        <v>300043</v>
      </c>
      <c r="H4926" t="s">
        <v>2876</v>
      </c>
      <c r="I4926">
        <v>1132</v>
      </c>
    </row>
    <row r="4927" spans="1:9" x14ac:dyDescent="0.25">
      <c r="A4927" t="s">
        <v>9616</v>
      </c>
      <c r="C4927" t="s">
        <v>9617</v>
      </c>
      <c r="D4927" t="s">
        <v>12238</v>
      </c>
      <c r="E4927" t="s">
        <v>12239</v>
      </c>
      <c r="F4927" s="1">
        <v>45757</v>
      </c>
      <c r="G4927" t="str">
        <f>"300398"</f>
        <v>300398</v>
      </c>
      <c r="H4927" t="s">
        <v>3134</v>
      </c>
      <c r="I4927">
        <v>17020.82</v>
      </c>
    </row>
    <row r="4928" spans="1:9" x14ac:dyDescent="0.25">
      <c r="A4928" t="s">
        <v>9616</v>
      </c>
      <c r="C4928" t="s">
        <v>9617</v>
      </c>
      <c r="D4928" t="str">
        <f>"32444"</f>
        <v>32444</v>
      </c>
      <c r="E4928" t="s">
        <v>12240</v>
      </c>
      <c r="F4928" s="1">
        <v>45758</v>
      </c>
      <c r="G4928" t="str">
        <f>"300043"</f>
        <v>300043</v>
      </c>
      <c r="H4928" t="s">
        <v>2876</v>
      </c>
      <c r="I4928">
        <v>1336</v>
      </c>
    </row>
    <row r="4929" spans="1:9" x14ac:dyDescent="0.25">
      <c r="A4929" t="s">
        <v>9616</v>
      </c>
      <c r="C4929" t="s">
        <v>9617</v>
      </c>
      <c r="D4929" t="str">
        <f>"80197727"</f>
        <v>80197727</v>
      </c>
      <c r="E4929" t="s">
        <v>9189</v>
      </c>
      <c r="F4929" s="1">
        <v>45758</v>
      </c>
      <c r="G4929" t="str">
        <f>"300381"</f>
        <v>300381</v>
      </c>
      <c r="H4929" t="s">
        <v>3118</v>
      </c>
      <c r="I4929">
        <v>333934.96950000001</v>
      </c>
    </row>
    <row r="4930" spans="1:9" x14ac:dyDescent="0.25">
      <c r="A4930" t="s">
        <v>9616</v>
      </c>
      <c r="C4930" t="s">
        <v>9617</v>
      </c>
      <c r="D4930" t="s">
        <v>12241</v>
      </c>
      <c r="F4930" s="1">
        <v>45759</v>
      </c>
      <c r="G4930" t="str">
        <f>"300191"</f>
        <v>300191</v>
      </c>
      <c r="H4930" t="s">
        <v>3008</v>
      </c>
      <c r="I4930">
        <v>12795.72</v>
      </c>
    </row>
    <row r="4931" spans="1:9" x14ac:dyDescent="0.25">
      <c r="A4931" t="s">
        <v>9616</v>
      </c>
      <c r="C4931" t="s">
        <v>9617</v>
      </c>
      <c r="D4931" t="s">
        <v>12242</v>
      </c>
      <c r="E4931" t="s">
        <v>12237</v>
      </c>
      <c r="F4931" s="1">
        <v>45759</v>
      </c>
      <c r="G4931" t="str">
        <f>"300321"</f>
        <v>300321</v>
      </c>
      <c r="H4931" t="s">
        <v>2706</v>
      </c>
      <c r="I4931">
        <v>30000</v>
      </c>
    </row>
    <row r="4932" spans="1:9" x14ac:dyDescent="0.25">
      <c r="A4932" t="s">
        <v>9616</v>
      </c>
      <c r="C4932" t="s">
        <v>9617</v>
      </c>
      <c r="D4932" t="str">
        <f>"4464"</f>
        <v>4464</v>
      </c>
      <c r="E4932" t="s">
        <v>11471</v>
      </c>
      <c r="F4932" s="1">
        <v>45761</v>
      </c>
      <c r="G4932" t="str">
        <f>"300043"</f>
        <v>300043</v>
      </c>
      <c r="H4932" t="s">
        <v>2876</v>
      </c>
      <c r="I4932">
        <v>4168</v>
      </c>
    </row>
    <row r="4933" spans="1:9" x14ac:dyDescent="0.25">
      <c r="A4933" t="s">
        <v>9616</v>
      </c>
      <c r="C4933" t="s">
        <v>9617</v>
      </c>
      <c r="D4933" t="str">
        <f>"49771"</f>
        <v>49771</v>
      </c>
      <c r="E4933" t="s">
        <v>12227</v>
      </c>
      <c r="F4933" s="1">
        <v>45761</v>
      </c>
      <c r="G4933" t="str">
        <f>"300043"</f>
        <v>300043</v>
      </c>
      <c r="H4933" t="s">
        <v>2876</v>
      </c>
      <c r="I4933">
        <v>977</v>
      </c>
    </row>
    <row r="4934" spans="1:9" x14ac:dyDescent="0.25">
      <c r="A4934" t="s">
        <v>9616</v>
      </c>
      <c r="C4934" t="s">
        <v>9617</v>
      </c>
      <c r="D4934" t="str">
        <f>"20256493"</f>
        <v>20256493</v>
      </c>
      <c r="E4934" t="s">
        <v>12243</v>
      </c>
      <c r="F4934" s="1">
        <v>45761</v>
      </c>
      <c r="G4934" t="str">
        <f>"300354"</f>
        <v>300354</v>
      </c>
      <c r="H4934" t="s">
        <v>3092</v>
      </c>
      <c r="I4934">
        <v>17600</v>
      </c>
    </row>
    <row r="4935" spans="1:9" x14ac:dyDescent="0.25">
      <c r="A4935" t="s">
        <v>9616</v>
      </c>
      <c r="C4935" t="s">
        <v>9617</v>
      </c>
      <c r="D4935" t="str">
        <f>"80198060"</f>
        <v>80198060</v>
      </c>
      <c r="E4935" t="s">
        <v>9428</v>
      </c>
      <c r="F4935" s="1">
        <v>45761</v>
      </c>
      <c r="G4935" t="str">
        <f>"300381"</f>
        <v>300381</v>
      </c>
      <c r="H4935" t="s">
        <v>3118</v>
      </c>
      <c r="I4935">
        <v>287907.10519999999</v>
      </c>
    </row>
    <row r="4936" spans="1:9" x14ac:dyDescent="0.25">
      <c r="A4936" t="s">
        <v>9616</v>
      </c>
      <c r="C4936" t="s">
        <v>9617</v>
      </c>
      <c r="D4936" t="str">
        <f>"32965"</f>
        <v>32965</v>
      </c>
      <c r="E4936" t="s">
        <v>12244</v>
      </c>
      <c r="F4936" s="1">
        <v>45762</v>
      </c>
      <c r="G4936" t="str">
        <f>"300043"</f>
        <v>300043</v>
      </c>
      <c r="H4936" t="s">
        <v>2876</v>
      </c>
      <c r="I4936">
        <v>1288</v>
      </c>
    </row>
    <row r="4937" spans="1:9" x14ac:dyDescent="0.25">
      <c r="A4937" t="s">
        <v>9616</v>
      </c>
      <c r="C4937" t="s">
        <v>9617</v>
      </c>
      <c r="D4937" t="s">
        <v>12245</v>
      </c>
      <c r="E4937" t="s">
        <v>10092</v>
      </c>
      <c r="F4937" s="1">
        <v>45762</v>
      </c>
      <c r="G4937" t="str">
        <f>"300133"</f>
        <v>300133</v>
      </c>
      <c r="H4937" t="s">
        <v>2955</v>
      </c>
      <c r="I4937">
        <v>40136.400000000001</v>
      </c>
    </row>
    <row r="4938" spans="1:9" x14ac:dyDescent="0.25">
      <c r="A4938" t="s">
        <v>9616</v>
      </c>
      <c r="C4938" t="s">
        <v>9617</v>
      </c>
      <c r="D4938" t="s">
        <v>12246</v>
      </c>
      <c r="E4938" t="s">
        <v>9562</v>
      </c>
      <c r="F4938" s="1">
        <v>45762</v>
      </c>
      <c r="G4938" t="str">
        <f>"300133"</f>
        <v>300133</v>
      </c>
      <c r="H4938" t="s">
        <v>2955</v>
      </c>
      <c r="I4938">
        <v>42249.599999999999</v>
      </c>
    </row>
    <row r="4939" spans="1:9" x14ac:dyDescent="0.25">
      <c r="A4939" t="s">
        <v>9616</v>
      </c>
      <c r="C4939" t="s">
        <v>9617</v>
      </c>
      <c r="D4939" t="str">
        <f>"80198092"</f>
        <v>80198092</v>
      </c>
      <c r="E4939" t="s">
        <v>1313</v>
      </c>
      <c r="F4939" s="1">
        <v>45762</v>
      </c>
      <c r="G4939" t="str">
        <f>"300381"</f>
        <v>300381</v>
      </c>
      <c r="H4939" t="s">
        <v>3118</v>
      </c>
      <c r="I4939">
        <v>340613.11349999998</v>
      </c>
    </row>
    <row r="4940" spans="1:9" x14ac:dyDescent="0.25">
      <c r="A4940" t="s">
        <v>9616</v>
      </c>
      <c r="C4940" t="s">
        <v>9617</v>
      </c>
      <c r="D4940" t="s">
        <v>12247</v>
      </c>
      <c r="E4940" t="s">
        <v>12240</v>
      </c>
      <c r="F4940" s="1">
        <v>45762</v>
      </c>
      <c r="G4940" t="str">
        <f>"300423"</f>
        <v>300423</v>
      </c>
      <c r="H4940" t="s">
        <v>3156</v>
      </c>
      <c r="I4940">
        <v>3206.46</v>
      </c>
    </row>
    <row r="4941" spans="1:9" x14ac:dyDescent="0.25">
      <c r="A4941" t="s">
        <v>9616</v>
      </c>
      <c r="C4941" t="s">
        <v>9617</v>
      </c>
      <c r="D4941" t="s">
        <v>12248</v>
      </c>
      <c r="E4941" t="s">
        <v>12237</v>
      </c>
      <c r="F4941" s="1">
        <v>45762</v>
      </c>
      <c r="G4941" t="str">
        <f>"300423"</f>
        <v>300423</v>
      </c>
      <c r="H4941" t="s">
        <v>3156</v>
      </c>
      <c r="I4941">
        <v>3206.46</v>
      </c>
    </row>
    <row r="4942" spans="1:9" x14ac:dyDescent="0.25">
      <c r="A4942" t="s">
        <v>9616</v>
      </c>
      <c r="C4942" t="s">
        <v>9617</v>
      </c>
      <c r="D4942" t="s">
        <v>12249</v>
      </c>
      <c r="E4942" t="s">
        <v>12230</v>
      </c>
      <c r="F4942" s="1">
        <v>45762</v>
      </c>
      <c r="G4942" t="str">
        <f>"300423"</f>
        <v>300423</v>
      </c>
      <c r="H4942" t="s">
        <v>3156</v>
      </c>
      <c r="I4942">
        <v>3376.19</v>
      </c>
    </row>
    <row r="4943" spans="1:9" x14ac:dyDescent="0.25">
      <c r="A4943" t="s">
        <v>9616</v>
      </c>
      <c r="C4943" t="s">
        <v>9617</v>
      </c>
      <c r="D4943" t="s">
        <v>12250</v>
      </c>
      <c r="E4943" t="s">
        <v>12236</v>
      </c>
      <c r="F4943" s="1">
        <v>45762</v>
      </c>
      <c r="G4943" t="str">
        <f>"300423"</f>
        <v>300423</v>
      </c>
      <c r="H4943" t="s">
        <v>3156</v>
      </c>
      <c r="I4943">
        <v>3376.19</v>
      </c>
    </row>
    <row r="4944" spans="1:9" x14ac:dyDescent="0.25">
      <c r="A4944" t="s">
        <v>9616</v>
      </c>
      <c r="C4944" t="s">
        <v>9617</v>
      </c>
      <c r="D4944" t="str">
        <f>"34195"</f>
        <v>34195</v>
      </c>
      <c r="E4944" t="s">
        <v>12251</v>
      </c>
      <c r="F4944" s="1">
        <v>45763</v>
      </c>
      <c r="G4944" t="str">
        <f>"300043"</f>
        <v>300043</v>
      </c>
      <c r="H4944" t="s">
        <v>2876</v>
      </c>
      <c r="I4944">
        <v>1134</v>
      </c>
    </row>
    <row r="4945" spans="1:9" x14ac:dyDescent="0.25">
      <c r="A4945" t="s">
        <v>9616</v>
      </c>
      <c r="C4945" t="s">
        <v>9617</v>
      </c>
      <c r="D4945" t="str">
        <f>"51589"</f>
        <v>51589</v>
      </c>
      <c r="E4945" t="s">
        <v>12233</v>
      </c>
      <c r="F4945" s="1">
        <v>45763</v>
      </c>
      <c r="G4945" t="str">
        <f>"300043"</f>
        <v>300043</v>
      </c>
      <c r="H4945" t="s">
        <v>2876</v>
      </c>
      <c r="I4945">
        <v>619</v>
      </c>
    </row>
    <row r="4946" spans="1:9" x14ac:dyDescent="0.25">
      <c r="A4946" t="s">
        <v>9616</v>
      </c>
      <c r="C4946" t="s">
        <v>9617</v>
      </c>
      <c r="D4946" t="str">
        <f>"80198032"</f>
        <v>80198032</v>
      </c>
      <c r="E4946" t="s">
        <v>9189</v>
      </c>
      <c r="F4946" s="1">
        <v>45763</v>
      </c>
      <c r="G4946" t="str">
        <f>"300381"</f>
        <v>300381</v>
      </c>
      <c r="H4946" t="s">
        <v>3118</v>
      </c>
      <c r="I4946">
        <v>333934.96950000001</v>
      </c>
    </row>
    <row r="4947" spans="1:9" x14ac:dyDescent="0.25">
      <c r="A4947" t="s">
        <v>9616</v>
      </c>
      <c r="C4947" t="s">
        <v>9617</v>
      </c>
      <c r="D4947" t="str">
        <f>"80198175"</f>
        <v>80198175</v>
      </c>
      <c r="E4947" t="s">
        <v>9189</v>
      </c>
      <c r="F4947" s="1">
        <v>45763</v>
      </c>
      <c r="G4947" t="str">
        <f>"300381"</f>
        <v>300381</v>
      </c>
      <c r="H4947" t="s">
        <v>3118</v>
      </c>
      <c r="I4947">
        <v>333934.96950000001</v>
      </c>
    </row>
    <row r="4948" spans="1:9" x14ac:dyDescent="0.25">
      <c r="A4948" t="s">
        <v>9616</v>
      </c>
      <c r="C4948" t="s">
        <v>9617</v>
      </c>
      <c r="D4948" t="str">
        <f>"4638"</f>
        <v>4638</v>
      </c>
      <c r="E4948" t="s">
        <v>11471</v>
      </c>
      <c r="F4948" s="1">
        <v>45764</v>
      </c>
      <c r="G4948" t="str">
        <f>"300043"</f>
        <v>300043</v>
      </c>
      <c r="H4948" t="s">
        <v>2876</v>
      </c>
      <c r="I4948">
        <v>4649</v>
      </c>
    </row>
    <row r="4949" spans="1:9" x14ac:dyDescent="0.25">
      <c r="A4949" t="s">
        <v>9616</v>
      </c>
      <c r="C4949" t="s">
        <v>9617</v>
      </c>
      <c r="D4949" t="str">
        <f>"344554"</f>
        <v>344554</v>
      </c>
      <c r="E4949" t="s">
        <v>12252</v>
      </c>
      <c r="F4949" s="1">
        <v>45764</v>
      </c>
      <c r="G4949" t="str">
        <f>"300043"</f>
        <v>300043</v>
      </c>
      <c r="H4949" t="s">
        <v>2876</v>
      </c>
      <c r="I4949">
        <v>1305</v>
      </c>
    </row>
    <row r="4950" spans="1:9" x14ac:dyDescent="0.25">
      <c r="A4950" t="s">
        <v>9616</v>
      </c>
      <c r="C4950" t="s">
        <v>9617</v>
      </c>
      <c r="D4950" t="s">
        <v>12253</v>
      </c>
      <c r="E4950" t="s">
        <v>12236</v>
      </c>
      <c r="F4950" s="1">
        <v>45764</v>
      </c>
      <c r="G4950" t="str">
        <f>"300321"</f>
        <v>300321</v>
      </c>
      <c r="H4950" t="s">
        <v>2706</v>
      </c>
      <c r="I4950">
        <v>30000</v>
      </c>
    </row>
    <row r="4951" spans="1:9" x14ac:dyDescent="0.25">
      <c r="A4951" t="s">
        <v>9616</v>
      </c>
      <c r="C4951" t="s">
        <v>9617</v>
      </c>
      <c r="D4951" t="s">
        <v>12254</v>
      </c>
      <c r="E4951" t="s">
        <v>12240</v>
      </c>
      <c r="F4951" s="1">
        <v>45764</v>
      </c>
      <c r="G4951" t="str">
        <f>"300321"</f>
        <v>300321</v>
      </c>
      <c r="H4951" t="s">
        <v>2706</v>
      </c>
      <c r="I4951">
        <v>27000</v>
      </c>
    </row>
    <row r="4952" spans="1:9" x14ac:dyDescent="0.25">
      <c r="A4952" t="s">
        <v>9616</v>
      </c>
      <c r="C4952" t="s">
        <v>9617</v>
      </c>
      <c r="D4952" t="s">
        <v>12255</v>
      </c>
      <c r="F4952" s="1">
        <v>45764</v>
      </c>
      <c r="G4952" t="str">
        <f>"300321"</f>
        <v>300321</v>
      </c>
      <c r="H4952" t="s">
        <v>2706</v>
      </c>
      <c r="I4952">
        <v>30000</v>
      </c>
    </row>
    <row r="4953" spans="1:9" x14ac:dyDescent="0.25">
      <c r="A4953" t="s">
        <v>9616</v>
      </c>
      <c r="C4953" t="s">
        <v>9617</v>
      </c>
      <c r="D4953" t="s">
        <v>12256</v>
      </c>
      <c r="F4953" s="1">
        <v>45764</v>
      </c>
      <c r="G4953" t="str">
        <f>"300321"</f>
        <v>300321</v>
      </c>
      <c r="H4953" t="s">
        <v>2706</v>
      </c>
      <c r="I4953">
        <v>30000</v>
      </c>
    </row>
    <row r="4954" spans="1:9" x14ac:dyDescent="0.25">
      <c r="A4954" t="s">
        <v>9616</v>
      </c>
      <c r="C4954" t="s">
        <v>9617</v>
      </c>
      <c r="D4954" t="s">
        <v>12257</v>
      </c>
      <c r="E4954" t="s">
        <v>9443</v>
      </c>
      <c r="F4954" s="1">
        <v>45764</v>
      </c>
      <c r="G4954" t="str">
        <f>"300356"</f>
        <v>300356</v>
      </c>
      <c r="H4954" t="s">
        <v>3094</v>
      </c>
      <c r="I4954">
        <v>191219.6</v>
      </c>
    </row>
    <row r="4955" spans="1:9" x14ac:dyDescent="0.25">
      <c r="A4955" t="s">
        <v>9616</v>
      </c>
      <c r="C4955" t="s">
        <v>9617</v>
      </c>
      <c r="D4955" t="s">
        <v>12258</v>
      </c>
      <c r="F4955" s="1">
        <v>45765</v>
      </c>
      <c r="G4955" t="str">
        <f>"300321"</f>
        <v>300321</v>
      </c>
      <c r="H4955" t="s">
        <v>2706</v>
      </c>
      <c r="I4955">
        <v>27000</v>
      </c>
    </row>
    <row r="4956" spans="1:9" x14ac:dyDescent="0.25">
      <c r="A4956" t="s">
        <v>9616</v>
      </c>
      <c r="C4956" t="s">
        <v>9617</v>
      </c>
      <c r="D4956" t="s">
        <v>12259</v>
      </c>
      <c r="E4956" t="s">
        <v>12239</v>
      </c>
      <c r="F4956" s="1">
        <v>45765</v>
      </c>
      <c r="G4956" t="str">
        <f>"300400"</f>
        <v>300400</v>
      </c>
      <c r="H4956" t="s">
        <v>3136</v>
      </c>
      <c r="I4956">
        <v>35102.9</v>
      </c>
    </row>
    <row r="4957" spans="1:9" x14ac:dyDescent="0.25">
      <c r="A4957" t="s">
        <v>9616</v>
      </c>
      <c r="C4957" t="s">
        <v>9617</v>
      </c>
      <c r="D4957" t="s">
        <v>12260</v>
      </c>
      <c r="E4957" t="s">
        <v>12251</v>
      </c>
      <c r="F4957" s="1">
        <v>45765</v>
      </c>
      <c r="G4957" t="str">
        <f>"300423"</f>
        <v>300423</v>
      </c>
      <c r="H4957" t="s">
        <v>3156</v>
      </c>
      <c r="I4957">
        <v>3206.46</v>
      </c>
    </row>
    <row r="4958" spans="1:9" x14ac:dyDescent="0.25">
      <c r="A4958" t="s">
        <v>9616</v>
      </c>
      <c r="C4958" t="s">
        <v>9617</v>
      </c>
      <c r="D4958" t="s">
        <v>12261</v>
      </c>
      <c r="E4958" t="s">
        <v>12244</v>
      </c>
      <c r="F4958" s="1">
        <v>45765</v>
      </c>
      <c r="G4958" t="str">
        <f>"300423"</f>
        <v>300423</v>
      </c>
      <c r="H4958" t="s">
        <v>3156</v>
      </c>
      <c r="I4958">
        <v>8859.86</v>
      </c>
    </row>
    <row r="4959" spans="1:9" x14ac:dyDescent="0.25">
      <c r="A4959" t="s">
        <v>9616</v>
      </c>
      <c r="C4959" t="s">
        <v>9617</v>
      </c>
      <c r="D4959" t="str">
        <f>"35472"</f>
        <v>35472</v>
      </c>
      <c r="E4959" t="s">
        <v>12262</v>
      </c>
      <c r="F4959" s="1">
        <v>45768</v>
      </c>
      <c r="G4959" t="str">
        <f>"300043"</f>
        <v>300043</v>
      </c>
      <c r="H4959" t="s">
        <v>2876</v>
      </c>
      <c r="I4959">
        <v>1284</v>
      </c>
    </row>
    <row r="4960" spans="1:9" x14ac:dyDescent="0.25">
      <c r="A4960" t="s">
        <v>9616</v>
      </c>
      <c r="C4960" t="s">
        <v>9617</v>
      </c>
      <c r="D4960" t="str">
        <f>"35473"</f>
        <v>35473</v>
      </c>
      <c r="E4960" t="s">
        <v>12263</v>
      </c>
      <c r="F4960" s="1">
        <v>45768</v>
      </c>
      <c r="G4960" t="str">
        <f>"300043"</f>
        <v>300043</v>
      </c>
      <c r="H4960" t="s">
        <v>2876</v>
      </c>
      <c r="I4960">
        <v>1284</v>
      </c>
    </row>
    <row r="4961" spans="1:9" x14ac:dyDescent="0.25">
      <c r="A4961" t="s">
        <v>9616</v>
      </c>
      <c r="C4961" t="s">
        <v>9617</v>
      </c>
      <c r="D4961" t="str">
        <f>"083225"</f>
        <v>083225</v>
      </c>
      <c r="E4961" t="s">
        <v>12235</v>
      </c>
      <c r="F4961" s="1">
        <v>45768</v>
      </c>
      <c r="G4961" t="str">
        <f>"300101"</f>
        <v>300101</v>
      </c>
      <c r="H4961" t="s">
        <v>2926</v>
      </c>
      <c r="I4961">
        <v>3887.1</v>
      </c>
    </row>
    <row r="4962" spans="1:9" x14ac:dyDescent="0.25">
      <c r="A4962" t="s">
        <v>9616</v>
      </c>
      <c r="C4962" t="s">
        <v>9617</v>
      </c>
      <c r="D4962" t="s">
        <v>12264</v>
      </c>
      <c r="E4962" t="s">
        <v>12233</v>
      </c>
      <c r="F4962" s="1">
        <v>45768</v>
      </c>
      <c r="G4962" t="str">
        <f>"300191"</f>
        <v>300191</v>
      </c>
      <c r="H4962" t="s">
        <v>3008</v>
      </c>
      <c r="I4962">
        <v>2556.5</v>
      </c>
    </row>
    <row r="4963" spans="1:9" x14ac:dyDescent="0.25">
      <c r="A4963" t="s">
        <v>9616</v>
      </c>
      <c r="C4963" t="s">
        <v>9617</v>
      </c>
      <c r="D4963" t="str">
        <f>"80198091"</f>
        <v>80198091</v>
      </c>
      <c r="E4963" t="s">
        <v>10495</v>
      </c>
      <c r="F4963" s="1">
        <v>45768</v>
      </c>
      <c r="G4963" t="str">
        <f>"300381"</f>
        <v>300381</v>
      </c>
      <c r="H4963" t="s">
        <v>3118</v>
      </c>
      <c r="I4963">
        <v>333934.96950000001</v>
      </c>
    </row>
    <row r="4964" spans="1:9" x14ac:dyDescent="0.25">
      <c r="A4964" t="s">
        <v>9616</v>
      </c>
      <c r="C4964" t="s">
        <v>9617</v>
      </c>
      <c r="D4964" t="str">
        <f>"80198199"</f>
        <v>80198199</v>
      </c>
      <c r="E4964" t="s">
        <v>9566</v>
      </c>
      <c r="F4964" s="1">
        <v>45768</v>
      </c>
      <c r="G4964" t="str">
        <f>"300381"</f>
        <v>300381</v>
      </c>
      <c r="H4964" t="s">
        <v>3118</v>
      </c>
      <c r="I4964">
        <v>333934.96950000001</v>
      </c>
    </row>
    <row r="4965" spans="1:9" x14ac:dyDescent="0.25">
      <c r="A4965" t="s">
        <v>9616</v>
      </c>
      <c r="C4965" t="s">
        <v>9617</v>
      </c>
      <c r="D4965" t="str">
        <f>"80198228"</f>
        <v>80198228</v>
      </c>
      <c r="E4965" t="s">
        <v>10495</v>
      </c>
      <c r="F4965" s="1">
        <v>45768</v>
      </c>
      <c r="G4965" t="str">
        <f>"300381"</f>
        <v>300381</v>
      </c>
      <c r="H4965" t="s">
        <v>3118</v>
      </c>
      <c r="I4965">
        <v>333934.96950000001</v>
      </c>
    </row>
    <row r="4966" spans="1:9" x14ac:dyDescent="0.25">
      <c r="A4966" t="s">
        <v>9616</v>
      </c>
      <c r="C4966" t="s">
        <v>9617</v>
      </c>
      <c r="D4966" t="str">
        <f>"36063"</f>
        <v>36063</v>
      </c>
      <c r="E4966" s="4">
        <v>45839</v>
      </c>
      <c r="F4966" s="1">
        <v>45769</v>
      </c>
      <c r="G4966" t="str">
        <f>"300043"</f>
        <v>300043</v>
      </c>
      <c r="H4966" t="s">
        <v>2876</v>
      </c>
      <c r="I4966">
        <v>884</v>
      </c>
    </row>
    <row r="4967" spans="1:9" x14ac:dyDescent="0.25">
      <c r="A4967" t="s">
        <v>9616</v>
      </c>
      <c r="C4967" t="s">
        <v>9617</v>
      </c>
      <c r="D4967" t="s">
        <v>12265</v>
      </c>
      <c r="E4967" t="s">
        <v>12227</v>
      </c>
      <c r="F4967" s="1">
        <v>45769</v>
      </c>
      <c r="G4967" t="str">
        <f>"300191"</f>
        <v>300191</v>
      </c>
      <c r="H4967" t="s">
        <v>3008</v>
      </c>
      <c r="I4967">
        <v>4471.5</v>
      </c>
    </row>
    <row r="4968" spans="1:9" x14ac:dyDescent="0.25">
      <c r="A4968" t="s">
        <v>9616</v>
      </c>
      <c r="C4968" t="s">
        <v>9617</v>
      </c>
      <c r="D4968" t="s">
        <v>12266</v>
      </c>
      <c r="F4968" s="1">
        <v>45769</v>
      </c>
      <c r="G4968" t="str">
        <f>"300321"</f>
        <v>300321</v>
      </c>
      <c r="H4968" t="s">
        <v>2706</v>
      </c>
      <c r="I4968">
        <v>27000</v>
      </c>
    </row>
    <row r="4969" spans="1:9" x14ac:dyDescent="0.25">
      <c r="A4969" t="s">
        <v>9616</v>
      </c>
      <c r="C4969" t="s">
        <v>9617</v>
      </c>
      <c r="D4969" t="str">
        <f>"80198270"</f>
        <v>80198270</v>
      </c>
      <c r="E4969" t="s">
        <v>9189</v>
      </c>
      <c r="F4969" s="1">
        <v>45769</v>
      </c>
      <c r="G4969" t="str">
        <f>"300381"</f>
        <v>300381</v>
      </c>
      <c r="H4969" t="s">
        <v>3118</v>
      </c>
      <c r="I4969">
        <v>333934.96950000001</v>
      </c>
    </row>
    <row r="4970" spans="1:9" x14ac:dyDescent="0.25">
      <c r="A4970" t="s">
        <v>9616</v>
      </c>
      <c r="C4970" t="s">
        <v>9617</v>
      </c>
      <c r="D4970" t="str">
        <f>"36349"</f>
        <v>36349</v>
      </c>
      <c r="E4970" t="s">
        <v>12267</v>
      </c>
      <c r="F4970" s="1">
        <v>45770</v>
      </c>
      <c r="G4970" t="str">
        <f>"300043"</f>
        <v>300043</v>
      </c>
      <c r="H4970" t="s">
        <v>2876</v>
      </c>
      <c r="I4970">
        <v>1288</v>
      </c>
    </row>
    <row r="4971" spans="1:9" x14ac:dyDescent="0.25">
      <c r="A4971" t="s">
        <v>9616</v>
      </c>
      <c r="C4971" t="s">
        <v>9617</v>
      </c>
      <c r="D4971" t="str">
        <f>"36723"</f>
        <v>36723</v>
      </c>
      <c r="E4971" t="s">
        <v>12268</v>
      </c>
      <c r="F4971" s="1">
        <v>45771</v>
      </c>
      <c r="G4971" t="str">
        <f>"300043"</f>
        <v>300043</v>
      </c>
      <c r="H4971" t="s">
        <v>2876</v>
      </c>
      <c r="I4971">
        <v>1284</v>
      </c>
    </row>
    <row r="4972" spans="1:9" x14ac:dyDescent="0.25">
      <c r="A4972" t="s">
        <v>9616</v>
      </c>
      <c r="C4972" t="s">
        <v>9617</v>
      </c>
      <c r="D4972" t="str">
        <f>"36724"</f>
        <v>36724</v>
      </c>
      <c r="E4972" t="s">
        <v>12269</v>
      </c>
      <c r="F4972" s="1">
        <v>45771</v>
      </c>
      <c r="G4972" t="str">
        <f>"300043"</f>
        <v>300043</v>
      </c>
      <c r="H4972" t="s">
        <v>2876</v>
      </c>
      <c r="I4972">
        <v>1284</v>
      </c>
    </row>
    <row r="4973" spans="1:9" x14ac:dyDescent="0.25">
      <c r="A4973" t="s">
        <v>9616</v>
      </c>
      <c r="C4973" t="s">
        <v>9617</v>
      </c>
      <c r="D4973" t="str">
        <f>"36725"</f>
        <v>36725</v>
      </c>
      <c r="E4973" t="s">
        <v>12270</v>
      </c>
      <c r="F4973" s="1">
        <v>45771</v>
      </c>
      <c r="G4973" t="str">
        <f>"300043"</f>
        <v>300043</v>
      </c>
      <c r="H4973" t="s">
        <v>2876</v>
      </c>
      <c r="I4973">
        <v>1284</v>
      </c>
    </row>
    <row r="4974" spans="1:9" x14ac:dyDescent="0.25">
      <c r="A4974" t="s">
        <v>9616</v>
      </c>
      <c r="C4974" t="s">
        <v>9617</v>
      </c>
      <c r="D4974" t="str">
        <f>"8000453708"</f>
        <v>8000453708</v>
      </c>
      <c r="E4974" t="s">
        <v>9438</v>
      </c>
      <c r="F4974" s="1">
        <v>45771</v>
      </c>
      <c r="G4974" t="str">
        <f>"300220"</f>
        <v>300220</v>
      </c>
      <c r="H4974" t="s">
        <v>2170</v>
      </c>
      <c r="I4974">
        <v>1133858.8799999999</v>
      </c>
    </row>
    <row r="4975" spans="1:9" x14ac:dyDescent="0.25">
      <c r="A4975" t="s">
        <v>9616</v>
      </c>
      <c r="C4975" t="s">
        <v>9617</v>
      </c>
      <c r="D4975" t="s">
        <v>12271</v>
      </c>
      <c r="E4975" t="s">
        <v>12263</v>
      </c>
      <c r="F4975" s="1">
        <v>45771</v>
      </c>
      <c r="G4975" t="str">
        <f>"300423"</f>
        <v>300423</v>
      </c>
      <c r="H4975" t="s">
        <v>3156</v>
      </c>
      <c r="I4975">
        <v>3545.92</v>
      </c>
    </row>
    <row r="4976" spans="1:9" x14ac:dyDescent="0.25">
      <c r="A4976" t="s">
        <v>9616</v>
      </c>
      <c r="C4976" t="s">
        <v>9617</v>
      </c>
      <c r="D4976" t="s">
        <v>12272</v>
      </c>
      <c r="E4976" t="s">
        <v>12262</v>
      </c>
      <c r="F4976" s="1">
        <v>45771</v>
      </c>
      <c r="G4976" t="str">
        <f>"300423"</f>
        <v>300423</v>
      </c>
      <c r="H4976" t="s">
        <v>3156</v>
      </c>
      <c r="I4976">
        <v>3376.19</v>
      </c>
    </row>
    <row r="4977" spans="1:9" x14ac:dyDescent="0.25">
      <c r="A4977" t="s">
        <v>9616</v>
      </c>
      <c r="C4977" t="s">
        <v>9617</v>
      </c>
      <c r="D4977" t="s">
        <v>12273</v>
      </c>
      <c r="E4977" t="s">
        <v>12252</v>
      </c>
      <c r="F4977" s="1">
        <v>45771</v>
      </c>
      <c r="G4977" t="str">
        <f>"300423"</f>
        <v>300423</v>
      </c>
      <c r="H4977" t="s">
        <v>3156</v>
      </c>
      <c r="I4977">
        <v>3206.46</v>
      </c>
    </row>
    <row r="4978" spans="1:9" x14ac:dyDescent="0.25">
      <c r="A4978" t="s">
        <v>9616</v>
      </c>
      <c r="C4978" t="s">
        <v>9617</v>
      </c>
      <c r="D4978" t="str">
        <f>"5164"</f>
        <v>5164</v>
      </c>
      <c r="E4978" t="s">
        <v>11471</v>
      </c>
      <c r="F4978" s="1">
        <v>45772</v>
      </c>
      <c r="G4978" t="str">
        <f>"300043"</f>
        <v>300043</v>
      </c>
      <c r="H4978" t="s">
        <v>2876</v>
      </c>
      <c r="I4978">
        <v>2833</v>
      </c>
    </row>
    <row r="4979" spans="1:9" x14ac:dyDescent="0.25">
      <c r="A4979" t="s">
        <v>9616</v>
      </c>
      <c r="C4979" t="s">
        <v>9617</v>
      </c>
      <c r="D4979" t="str">
        <f>"25001415"</f>
        <v>25001415</v>
      </c>
      <c r="E4979" t="s">
        <v>9522</v>
      </c>
      <c r="F4979" s="1">
        <v>45772</v>
      </c>
      <c r="G4979" t="str">
        <f>"300154"</f>
        <v>300154</v>
      </c>
      <c r="H4979" t="s">
        <v>1313</v>
      </c>
      <c r="I4979">
        <v>223566.72</v>
      </c>
    </row>
    <row r="4980" spans="1:9" x14ac:dyDescent="0.25">
      <c r="A4980" t="s">
        <v>9616</v>
      </c>
      <c r="C4980" t="s">
        <v>9617</v>
      </c>
      <c r="D4980" t="s">
        <v>12274</v>
      </c>
      <c r="E4980" t="s">
        <v>12275</v>
      </c>
      <c r="F4980" s="1">
        <v>45772</v>
      </c>
      <c r="G4980" t="str">
        <f>"300237"</f>
        <v>300237</v>
      </c>
      <c r="H4980" t="s">
        <v>3036</v>
      </c>
      <c r="I4980">
        <v>445713.84</v>
      </c>
    </row>
    <row r="4981" spans="1:9" x14ac:dyDescent="0.25">
      <c r="A4981" t="s">
        <v>9616</v>
      </c>
      <c r="C4981" t="s">
        <v>9617</v>
      </c>
      <c r="D4981" t="s">
        <v>12276</v>
      </c>
      <c r="F4981" s="1">
        <v>45772</v>
      </c>
      <c r="G4981" t="str">
        <f>"300321"</f>
        <v>300321</v>
      </c>
      <c r="H4981" t="s">
        <v>2706</v>
      </c>
      <c r="I4981">
        <v>30000</v>
      </c>
    </row>
    <row r="4982" spans="1:9" x14ac:dyDescent="0.25">
      <c r="A4982" t="s">
        <v>9616</v>
      </c>
      <c r="C4982" t="s">
        <v>9617</v>
      </c>
      <c r="D4982" t="s">
        <v>12277</v>
      </c>
      <c r="F4982" s="1">
        <v>45772</v>
      </c>
      <c r="G4982" t="str">
        <f>"300321"</f>
        <v>300321</v>
      </c>
      <c r="H4982" t="s">
        <v>2706</v>
      </c>
      <c r="I4982">
        <v>27000</v>
      </c>
    </row>
    <row r="4983" spans="1:9" x14ac:dyDescent="0.25">
      <c r="A4983" t="s">
        <v>9616</v>
      </c>
      <c r="C4983" t="s">
        <v>9617</v>
      </c>
      <c r="D4983" t="s">
        <v>12278</v>
      </c>
      <c r="F4983" s="1">
        <v>45772</v>
      </c>
      <c r="G4983" t="str">
        <f>"300321"</f>
        <v>300321</v>
      </c>
      <c r="H4983" t="s">
        <v>2706</v>
      </c>
      <c r="I4983">
        <v>30000</v>
      </c>
    </row>
    <row r="4984" spans="1:9" x14ac:dyDescent="0.25">
      <c r="A4984" t="s">
        <v>9616</v>
      </c>
      <c r="C4984" t="s">
        <v>9617</v>
      </c>
      <c r="D4984" t="s">
        <v>12279</v>
      </c>
      <c r="F4984" s="1">
        <v>45772</v>
      </c>
      <c r="G4984" t="str">
        <f>"300321"</f>
        <v>300321</v>
      </c>
      <c r="H4984" t="s">
        <v>2706</v>
      </c>
      <c r="I4984">
        <v>30000</v>
      </c>
    </row>
    <row r="4985" spans="1:9" x14ac:dyDescent="0.25">
      <c r="A4985" t="s">
        <v>9616</v>
      </c>
      <c r="C4985" t="s">
        <v>9617</v>
      </c>
      <c r="D4985" t="str">
        <f>"80198475"</f>
        <v>80198475</v>
      </c>
      <c r="E4985" t="s">
        <v>8852</v>
      </c>
      <c r="F4985" s="1">
        <v>45772</v>
      </c>
      <c r="G4985" t="str">
        <f>"300381"</f>
        <v>300381</v>
      </c>
      <c r="H4985" t="s">
        <v>3118</v>
      </c>
      <c r="I4985">
        <v>352643.59350000002</v>
      </c>
    </row>
    <row r="4986" spans="1:9" x14ac:dyDescent="0.25">
      <c r="A4986" t="s">
        <v>9616</v>
      </c>
      <c r="C4986" t="s">
        <v>9617</v>
      </c>
      <c r="D4986" t="s">
        <v>12280</v>
      </c>
      <c r="F4986" s="1">
        <v>45775</v>
      </c>
      <c r="G4986" t="str">
        <f>"300321"</f>
        <v>300321</v>
      </c>
      <c r="H4986" t="s">
        <v>2706</v>
      </c>
      <c r="I4986">
        <v>30000</v>
      </c>
    </row>
    <row r="4987" spans="1:9" x14ac:dyDescent="0.25">
      <c r="A4987" t="s">
        <v>9616</v>
      </c>
      <c r="C4987" t="s">
        <v>9617</v>
      </c>
      <c r="D4987" t="str">
        <f>"252200176"</f>
        <v>252200176</v>
      </c>
      <c r="E4987" t="s">
        <v>12281</v>
      </c>
      <c r="F4987" s="1">
        <v>45775</v>
      </c>
      <c r="G4987" t="str">
        <f>"300373"</f>
        <v>300373</v>
      </c>
      <c r="H4987" t="s">
        <v>3110</v>
      </c>
      <c r="I4987">
        <v>179863.29680000001</v>
      </c>
    </row>
    <row r="4988" spans="1:9" x14ac:dyDescent="0.25">
      <c r="A4988" t="s">
        <v>9616</v>
      </c>
      <c r="C4988" t="s">
        <v>9617</v>
      </c>
      <c r="D4988" t="str">
        <f>"252200177"</f>
        <v>252200177</v>
      </c>
      <c r="E4988" t="s">
        <v>12282</v>
      </c>
      <c r="F4988" s="1">
        <v>45775</v>
      </c>
      <c r="G4988" t="str">
        <f>"300373"</f>
        <v>300373</v>
      </c>
      <c r="H4988" t="s">
        <v>3110</v>
      </c>
      <c r="I4988">
        <v>169679.092</v>
      </c>
    </row>
    <row r="4989" spans="1:9" x14ac:dyDescent="0.25">
      <c r="A4989" t="s">
        <v>9616</v>
      </c>
      <c r="C4989" t="s">
        <v>9617</v>
      </c>
      <c r="D4989" t="str">
        <f>"80198273"</f>
        <v>80198273</v>
      </c>
      <c r="E4989" t="s">
        <v>10495</v>
      </c>
      <c r="F4989" s="1">
        <v>45775</v>
      </c>
      <c r="G4989" t="str">
        <f>"300381"</f>
        <v>300381</v>
      </c>
      <c r="H4989" t="s">
        <v>3118</v>
      </c>
      <c r="I4989">
        <v>333934.96950000001</v>
      </c>
    </row>
    <row r="4990" spans="1:9" x14ac:dyDescent="0.25">
      <c r="A4990" t="s">
        <v>9616</v>
      </c>
      <c r="C4990" t="s">
        <v>9617</v>
      </c>
      <c r="D4990" t="str">
        <f>"80198573"</f>
        <v>80198573</v>
      </c>
      <c r="E4990" t="s">
        <v>10495</v>
      </c>
      <c r="F4990" s="1">
        <v>45775</v>
      </c>
      <c r="G4990" t="str">
        <f>"300381"</f>
        <v>300381</v>
      </c>
      <c r="H4990" t="s">
        <v>3118</v>
      </c>
      <c r="I4990">
        <v>333934.96950000001</v>
      </c>
    </row>
    <row r="4991" spans="1:9" x14ac:dyDescent="0.25">
      <c r="A4991" t="s">
        <v>9616</v>
      </c>
      <c r="C4991" t="s">
        <v>9617</v>
      </c>
      <c r="D4991" t="str">
        <f>"38500"</f>
        <v>38500</v>
      </c>
      <c r="E4991" t="s">
        <v>12283</v>
      </c>
      <c r="F4991" s="1">
        <v>45776</v>
      </c>
      <c r="G4991" t="str">
        <f>"300043"</f>
        <v>300043</v>
      </c>
      <c r="H4991" t="s">
        <v>2876</v>
      </c>
      <c r="I4991">
        <v>1341</v>
      </c>
    </row>
    <row r="4992" spans="1:9" x14ac:dyDescent="0.25">
      <c r="A4992" t="s">
        <v>9616</v>
      </c>
      <c r="C4992" t="s">
        <v>9617</v>
      </c>
      <c r="D4992" t="s">
        <v>12284</v>
      </c>
      <c r="E4992" t="s">
        <v>12285</v>
      </c>
      <c r="F4992" s="1">
        <v>45776</v>
      </c>
      <c r="G4992" t="str">
        <f>"300191"</f>
        <v>300191</v>
      </c>
      <c r="H4992" t="s">
        <v>3008</v>
      </c>
      <c r="I4992">
        <v>153.63</v>
      </c>
    </row>
    <row r="4993" spans="1:9" x14ac:dyDescent="0.25">
      <c r="A4993" t="s">
        <v>9616</v>
      </c>
      <c r="C4993" t="s">
        <v>9617</v>
      </c>
      <c r="D4993" t="str">
        <f>"250008705"</f>
        <v>250008705</v>
      </c>
      <c r="E4993" t="s">
        <v>12286</v>
      </c>
      <c r="F4993" s="1">
        <v>45776</v>
      </c>
      <c r="G4993" t="str">
        <f>"300344"</f>
        <v>300344</v>
      </c>
      <c r="H4993" t="s">
        <v>3084</v>
      </c>
      <c r="I4993">
        <v>9583.2312000000002</v>
      </c>
    </row>
    <row r="4994" spans="1:9" x14ac:dyDescent="0.25">
      <c r="A4994" t="s">
        <v>9616</v>
      </c>
      <c r="C4994" t="s">
        <v>9617</v>
      </c>
      <c r="D4994" t="str">
        <f>"80198574"</f>
        <v>80198574</v>
      </c>
      <c r="E4994" t="s">
        <v>10522</v>
      </c>
      <c r="F4994" s="1">
        <v>45776</v>
      </c>
      <c r="G4994" t="str">
        <f>"300381"</f>
        <v>300381</v>
      </c>
      <c r="H4994" t="s">
        <v>3118</v>
      </c>
      <c r="I4994">
        <v>333942.16899999999</v>
      </c>
    </row>
    <row r="4995" spans="1:9" x14ac:dyDescent="0.25">
      <c r="A4995" t="s">
        <v>9616</v>
      </c>
      <c r="C4995" t="s">
        <v>9617</v>
      </c>
      <c r="D4995" t="s">
        <v>12287</v>
      </c>
      <c r="E4995" t="s">
        <v>12270</v>
      </c>
      <c r="F4995" s="1">
        <v>45776</v>
      </c>
      <c r="G4995" t="str">
        <f>"300423"</f>
        <v>300423</v>
      </c>
      <c r="H4995" t="s">
        <v>3156</v>
      </c>
      <c r="I4995">
        <v>3206.46</v>
      </c>
    </row>
    <row r="4996" spans="1:9" x14ac:dyDescent="0.25">
      <c r="A4996" t="s">
        <v>9616</v>
      </c>
      <c r="C4996" t="s">
        <v>9617</v>
      </c>
      <c r="D4996" t="s">
        <v>12288</v>
      </c>
      <c r="E4996" t="s">
        <v>12267</v>
      </c>
      <c r="F4996" s="1">
        <v>45776</v>
      </c>
      <c r="G4996" t="str">
        <f>"300423"</f>
        <v>300423</v>
      </c>
      <c r="H4996" t="s">
        <v>3156</v>
      </c>
      <c r="I4996">
        <v>3206.46</v>
      </c>
    </row>
    <row r="4997" spans="1:9" x14ac:dyDescent="0.25">
      <c r="A4997" t="s">
        <v>9616</v>
      </c>
      <c r="C4997" t="s">
        <v>9617</v>
      </c>
      <c r="D4997" t="s">
        <v>12289</v>
      </c>
      <c r="E4997" t="s">
        <v>12269</v>
      </c>
      <c r="F4997" s="1">
        <v>45776</v>
      </c>
      <c r="G4997" t="str">
        <f>"300423"</f>
        <v>300423</v>
      </c>
      <c r="H4997" t="s">
        <v>3156</v>
      </c>
      <c r="I4997">
        <v>3206.46</v>
      </c>
    </row>
    <row r="4998" spans="1:9" x14ac:dyDescent="0.25">
      <c r="A4998" t="s">
        <v>9616</v>
      </c>
      <c r="C4998" t="s">
        <v>9617</v>
      </c>
      <c r="D4998" t="s">
        <v>12290</v>
      </c>
      <c r="E4998" t="s">
        <v>12268</v>
      </c>
      <c r="F4998" s="1">
        <v>45776</v>
      </c>
      <c r="G4998" t="str">
        <f>"300423"</f>
        <v>300423</v>
      </c>
      <c r="H4998" t="s">
        <v>3156</v>
      </c>
      <c r="I4998">
        <v>3206.46</v>
      </c>
    </row>
    <row r="4999" spans="1:9" x14ac:dyDescent="0.25">
      <c r="A4999" t="s">
        <v>9616</v>
      </c>
      <c r="C4999" t="s">
        <v>9617</v>
      </c>
      <c r="D4999" t="str">
        <f>"48743"</f>
        <v>48743</v>
      </c>
      <c r="E4999" t="s">
        <v>12239</v>
      </c>
      <c r="F4999" s="1">
        <v>45777</v>
      </c>
      <c r="G4999" t="str">
        <f>"300043"</f>
        <v>300043</v>
      </c>
      <c r="H4999" t="s">
        <v>2876</v>
      </c>
      <c r="I4999">
        <v>595</v>
      </c>
    </row>
    <row r="5000" spans="1:9" x14ac:dyDescent="0.25">
      <c r="A5000" t="s">
        <v>9616</v>
      </c>
      <c r="C5000" t="s">
        <v>9617</v>
      </c>
      <c r="D5000" t="s">
        <v>12291</v>
      </c>
      <c r="E5000" t="s">
        <v>12283</v>
      </c>
      <c r="F5000" s="1">
        <v>45777</v>
      </c>
      <c r="G5000" t="str">
        <f>"300191"</f>
        <v>300191</v>
      </c>
      <c r="H5000" t="s">
        <v>3008</v>
      </c>
      <c r="I5000">
        <v>3277.56</v>
      </c>
    </row>
    <row r="5001" spans="1:9" x14ac:dyDescent="0.25">
      <c r="A5001" t="s">
        <v>9616</v>
      </c>
      <c r="C5001" t="s">
        <v>9617</v>
      </c>
      <c r="D5001" t="s">
        <v>12292</v>
      </c>
      <c r="E5001" t="s">
        <v>12283</v>
      </c>
      <c r="F5001" s="1">
        <v>45777</v>
      </c>
      <c r="G5001" t="str">
        <f>"300321"</f>
        <v>300321</v>
      </c>
      <c r="H5001" t="s">
        <v>2706</v>
      </c>
      <c r="I5001">
        <v>25500</v>
      </c>
    </row>
    <row r="5002" spans="1:9" x14ac:dyDescent="0.25">
      <c r="A5002" t="s">
        <v>9616</v>
      </c>
      <c r="C5002" t="s">
        <v>9617</v>
      </c>
      <c r="D5002" t="str">
        <f>"80198741"</f>
        <v>80198741</v>
      </c>
      <c r="E5002" t="s">
        <v>9189</v>
      </c>
      <c r="F5002" s="1">
        <v>45777</v>
      </c>
      <c r="G5002" t="str">
        <f>"300381"</f>
        <v>300381</v>
      </c>
      <c r="H5002" t="s">
        <v>3118</v>
      </c>
      <c r="I5002">
        <v>361037.16</v>
      </c>
    </row>
    <row r="5003" spans="1:9" x14ac:dyDescent="0.25">
      <c r="A5003" t="s">
        <v>9616</v>
      </c>
      <c r="C5003" t="s">
        <v>9617</v>
      </c>
      <c r="D5003" t="str">
        <f>"39097"</f>
        <v>39097</v>
      </c>
      <c r="E5003" t="s">
        <v>12293</v>
      </c>
      <c r="F5003" s="1">
        <v>45779</v>
      </c>
      <c r="G5003" t="str">
        <f>"300043"</f>
        <v>300043</v>
      </c>
      <c r="H5003" t="s">
        <v>2876</v>
      </c>
      <c r="I5003">
        <v>1282</v>
      </c>
    </row>
    <row r="5004" spans="1:9" x14ac:dyDescent="0.25">
      <c r="A5004" t="s">
        <v>9616</v>
      </c>
      <c r="C5004" t="s">
        <v>9617</v>
      </c>
      <c r="D5004" t="str">
        <f>"39099"</f>
        <v>39099</v>
      </c>
      <c r="E5004" t="s">
        <v>12294</v>
      </c>
      <c r="F5004" s="1">
        <v>45779</v>
      </c>
      <c r="G5004" t="str">
        <f>"300043"</f>
        <v>300043</v>
      </c>
      <c r="H5004" t="s">
        <v>2876</v>
      </c>
      <c r="I5004">
        <v>1282</v>
      </c>
    </row>
    <row r="5005" spans="1:9" x14ac:dyDescent="0.25">
      <c r="A5005" t="s">
        <v>9616</v>
      </c>
      <c r="C5005" t="s">
        <v>9617</v>
      </c>
      <c r="D5005" t="str">
        <f>"39100"</f>
        <v>39100</v>
      </c>
      <c r="E5005" t="s">
        <v>12295</v>
      </c>
      <c r="F5005" s="1">
        <v>45779</v>
      </c>
      <c r="G5005" t="str">
        <f>"300043"</f>
        <v>300043</v>
      </c>
      <c r="H5005" t="s">
        <v>2876</v>
      </c>
      <c r="I5005">
        <v>1282</v>
      </c>
    </row>
    <row r="5006" spans="1:9" x14ac:dyDescent="0.25">
      <c r="A5006" t="s">
        <v>9616</v>
      </c>
      <c r="C5006" t="s">
        <v>9617</v>
      </c>
      <c r="D5006" t="s">
        <v>12296</v>
      </c>
      <c r="E5006" t="s">
        <v>12293</v>
      </c>
      <c r="F5006" s="1">
        <v>45779</v>
      </c>
      <c r="G5006" t="str">
        <f>"300321"</f>
        <v>300321</v>
      </c>
      <c r="H5006" t="s">
        <v>2706</v>
      </c>
      <c r="I5006">
        <v>30000</v>
      </c>
    </row>
    <row r="5007" spans="1:9" x14ac:dyDescent="0.25">
      <c r="A5007" t="s">
        <v>9616</v>
      </c>
      <c r="C5007" t="s">
        <v>9617</v>
      </c>
      <c r="D5007" t="s">
        <v>12297</v>
      </c>
      <c r="E5007" t="s">
        <v>12295</v>
      </c>
      <c r="F5007" s="1">
        <v>45780</v>
      </c>
      <c r="G5007" t="str">
        <f>"300321"</f>
        <v>300321</v>
      </c>
      <c r="H5007" t="s">
        <v>2706</v>
      </c>
      <c r="I5007">
        <v>30000</v>
      </c>
    </row>
    <row r="5008" spans="1:9" x14ac:dyDescent="0.25">
      <c r="A5008" t="s">
        <v>9616</v>
      </c>
      <c r="C5008" t="s">
        <v>9617</v>
      </c>
      <c r="D5008" t="s">
        <v>12298</v>
      </c>
      <c r="E5008" t="s">
        <v>12294</v>
      </c>
      <c r="F5008" s="1">
        <v>45780</v>
      </c>
      <c r="G5008" t="str">
        <f>"300321"</f>
        <v>300321</v>
      </c>
      <c r="H5008" t="s">
        <v>2706</v>
      </c>
      <c r="I5008">
        <v>30000</v>
      </c>
    </row>
    <row r="5009" spans="1:9" x14ac:dyDescent="0.25">
      <c r="A5009" t="s">
        <v>9616</v>
      </c>
      <c r="C5009" t="s">
        <v>9617</v>
      </c>
      <c r="D5009" t="s">
        <v>12299</v>
      </c>
      <c r="E5009" t="s">
        <v>12300</v>
      </c>
      <c r="F5009" s="1">
        <v>45780</v>
      </c>
      <c r="G5009" t="str">
        <f>"300321"</f>
        <v>300321</v>
      </c>
      <c r="H5009" t="s">
        <v>2706</v>
      </c>
      <c r="I5009">
        <v>30000</v>
      </c>
    </row>
    <row r="5010" spans="1:9" x14ac:dyDescent="0.25">
      <c r="A5010" t="s">
        <v>9616</v>
      </c>
      <c r="C5010" t="s">
        <v>9617</v>
      </c>
      <c r="D5010" t="str">
        <f>"39862"</f>
        <v>39862</v>
      </c>
      <c r="E5010" t="s">
        <v>12300</v>
      </c>
      <c r="F5010" s="1">
        <v>45782</v>
      </c>
      <c r="G5010" t="str">
        <f>"300043"</f>
        <v>300043</v>
      </c>
      <c r="H5010" t="s">
        <v>2876</v>
      </c>
      <c r="I5010">
        <v>1366</v>
      </c>
    </row>
    <row r="5011" spans="1:9" x14ac:dyDescent="0.25">
      <c r="A5011" t="s">
        <v>9616</v>
      </c>
      <c r="C5011" t="s">
        <v>9617</v>
      </c>
      <c r="D5011" t="str">
        <f>"10167183"</f>
        <v>10167183</v>
      </c>
      <c r="E5011" t="s">
        <v>2014</v>
      </c>
      <c r="F5011" s="1">
        <v>45783</v>
      </c>
      <c r="G5011" t="str">
        <f>"300115"</f>
        <v>300115</v>
      </c>
      <c r="H5011" t="s">
        <v>2938</v>
      </c>
      <c r="I5011">
        <v>107687.25</v>
      </c>
    </row>
    <row r="5012" spans="1:9" x14ac:dyDescent="0.25">
      <c r="A5012" t="s">
        <v>9616</v>
      </c>
      <c r="C5012" t="s">
        <v>9617</v>
      </c>
      <c r="D5012" t="str">
        <f>"5591"</f>
        <v>5591</v>
      </c>
      <c r="E5012" t="s">
        <v>11471</v>
      </c>
      <c r="F5012" s="1">
        <v>45784</v>
      </c>
      <c r="G5012" t="str">
        <f>"300043"</f>
        <v>300043</v>
      </c>
      <c r="H5012" t="s">
        <v>2876</v>
      </c>
      <c r="I5012">
        <v>4139</v>
      </c>
    </row>
    <row r="5013" spans="1:9" x14ac:dyDescent="0.25">
      <c r="A5013" t="s">
        <v>9616</v>
      </c>
      <c r="C5013" t="s">
        <v>9617</v>
      </c>
      <c r="D5013" t="str">
        <f>"46527"</f>
        <v>46527</v>
      </c>
      <c r="E5013" t="s">
        <v>12286</v>
      </c>
      <c r="F5013" s="1">
        <v>45784</v>
      </c>
      <c r="G5013" t="str">
        <f>"300043"</f>
        <v>300043</v>
      </c>
      <c r="H5013" t="s">
        <v>2876</v>
      </c>
      <c r="I5013">
        <v>396</v>
      </c>
    </row>
    <row r="5014" spans="1:9" x14ac:dyDescent="0.25">
      <c r="A5014" t="s">
        <v>9616</v>
      </c>
      <c r="C5014" t="s">
        <v>9617</v>
      </c>
      <c r="D5014" t="s">
        <v>12301</v>
      </c>
      <c r="E5014" s="4">
        <v>45839</v>
      </c>
      <c r="F5014" s="1">
        <v>45785</v>
      </c>
      <c r="G5014" t="str">
        <f>"300101"</f>
        <v>300101</v>
      </c>
      <c r="H5014" t="s">
        <v>2926</v>
      </c>
      <c r="I5014">
        <v>4097.92</v>
      </c>
    </row>
    <row r="5015" spans="1:9" x14ac:dyDescent="0.25">
      <c r="A5015" t="s">
        <v>9616</v>
      </c>
      <c r="C5015" t="s">
        <v>9617</v>
      </c>
      <c r="D5015" t="str">
        <f>"10167239"</f>
        <v>10167239</v>
      </c>
      <c r="E5015" t="s">
        <v>2014</v>
      </c>
      <c r="F5015" s="1">
        <v>45785</v>
      </c>
      <c r="G5015" t="str">
        <f>"300115"</f>
        <v>300115</v>
      </c>
      <c r="H5015" t="s">
        <v>2938</v>
      </c>
      <c r="I5015">
        <v>107687.25</v>
      </c>
    </row>
    <row r="5016" spans="1:9" x14ac:dyDescent="0.25">
      <c r="A5016" t="s">
        <v>9616</v>
      </c>
      <c r="C5016" t="s">
        <v>9617</v>
      </c>
      <c r="D5016" t="s">
        <v>12302</v>
      </c>
      <c r="E5016" t="s">
        <v>12303</v>
      </c>
      <c r="F5016" s="1">
        <v>45785</v>
      </c>
      <c r="G5016" t="str">
        <f>"300220"</f>
        <v>300220</v>
      </c>
      <c r="H5016" t="s">
        <v>2170</v>
      </c>
      <c r="I5016">
        <v>948672.34</v>
      </c>
    </row>
    <row r="5017" spans="1:9" x14ac:dyDescent="0.25">
      <c r="A5017" t="s">
        <v>9616</v>
      </c>
      <c r="C5017" t="s">
        <v>9617</v>
      </c>
      <c r="D5017" t="str">
        <f>"80198989"</f>
        <v>80198989</v>
      </c>
      <c r="E5017" t="s">
        <v>10495</v>
      </c>
      <c r="F5017" s="1">
        <v>45785</v>
      </c>
      <c r="G5017" t="str">
        <f>"300381"</f>
        <v>300381</v>
      </c>
      <c r="H5017" t="s">
        <v>3118</v>
      </c>
      <c r="I5017">
        <v>333907.20000000001</v>
      </c>
    </row>
    <row r="5018" spans="1:9" x14ac:dyDescent="0.25">
      <c r="A5018" t="s">
        <v>9616</v>
      </c>
      <c r="C5018" t="s">
        <v>9617</v>
      </c>
      <c r="D5018" t="str">
        <f>"80198990"</f>
        <v>80198990</v>
      </c>
      <c r="E5018" t="s">
        <v>8852</v>
      </c>
      <c r="F5018" s="1">
        <v>45785</v>
      </c>
      <c r="G5018" t="str">
        <f>"300381"</f>
        <v>300381</v>
      </c>
      <c r="H5018" t="s">
        <v>3118</v>
      </c>
      <c r="I5018">
        <v>348786.9</v>
      </c>
    </row>
    <row r="5019" spans="1:9" x14ac:dyDescent="0.25">
      <c r="A5019" t="s">
        <v>9616</v>
      </c>
      <c r="C5019" t="s">
        <v>9617</v>
      </c>
      <c r="D5019" t="str">
        <f>"45048"</f>
        <v>45048</v>
      </c>
      <c r="E5019" t="s">
        <v>12304</v>
      </c>
      <c r="F5019" s="1">
        <v>45786</v>
      </c>
      <c r="G5019" t="str">
        <f>"300043"</f>
        <v>300043</v>
      </c>
      <c r="H5019" t="s">
        <v>2876</v>
      </c>
      <c r="I5019">
        <v>21807</v>
      </c>
    </row>
    <row r="5020" spans="1:9" x14ac:dyDescent="0.25">
      <c r="A5020" t="s">
        <v>9616</v>
      </c>
      <c r="C5020" t="s">
        <v>9617</v>
      </c>
      <c r="D5020" t="s">
        <v>12305</v>
      </c>
      <c r="E5020" t="s">
        <v>12286</v>
      </c>
      <c r="F5020" s="1">
        <v>45786</v>
      </c>
      <c r="G5020" t="str">
        <f>"300191"</f>
        <v>300191</v>
      </c>
      <c r="H5020" t="s">
        <v>3008</v>
      </c>
      <c r="I5020">
        <v>1621.1</v>
      </c>
    </row>
    <row r="5021" spans="1:9" x14ac:dyDescent="0.25">
      <c r="A5021" t="s">
        <v>9616</v>
      </c>
      <c r="C5021" t="s">
        <v>9617</v>
      </c>
      <c r="D5021" t="s">
        <v>12306</v>
      </c>
      <c r="E5021" t="s">
        <v>12307</v>
      </c>
      <c r="F5021" s="1">
        <v>45786</v>
      </c>
      <c r="G5021" t="str">
        <f>"300237"</f>
        <v>300237</v>
      </c>
      <c r="H5021" t="s">
        <v>3036</v>
      </c>
      <c r="I5021">
        <v>231831.01259999999</v>
      </c>
    </row>
    <row r="5022" spans="1:9" x14ac:dyDescent="0.25">
      <c r="A5022" t="s">
        <v>9616</v>
      </c>
      <c r="C5022" t="s">
        <v>9617</v>
      </c>
      <c r="D5022" t="str">
        <f>"80199073"</f>
        <v>80199073</v>
      </c>
      <c r="E5022" t="s">
        <v>10495</v>
      </c>
      <c r="F5022" s="1">
        <v>45786</v>
      </c>
      <c r="G5022" t="str">
        <f>"300381"</f>
        <v>300381</v>
      </c>
      <c r="H5022" t="s">
        <v>3118</v>
      </c>
      <c r="I5022">
        <v>333907.20000000001</v>
      </c>
    </row>
    <row r="5023" spans="1:9" x14ac:dyDescent="0.25">
      <c r="A5023" t="s">
        <v>9616</v>
      </c>
      <c r="C5023" t="s">
        <v>9617</v>
      </c>
      <c r="D5023" t="s">
        <v>12308</v>
      </c>
      <c r="E5023" t="s">
        <v>12295</v>
      </c>
      <c r="F5023" s="1">
        <v>45786</v>
      </c>
      <c r="G5023" t="str">
        <f>"300423"</f>
        <v>300423</v>
      </c>
      <c r="H5023" t="s">
        <v>3156</v>
      </c>
      <c r="I5023">
        <v>3850.13</v>
      </c>
    </row>
    <row r="5024" spans="1:9" x14ac:dyDescent="0.25">
      <c r="A5024" t="s">
        <v>9616</v>
      </c>
      <c r="C5024" t="s">
        <v>9617</v>
      </c>
      <c r="D5024" t="s">
        <v>12309</v>
      </c>
      <c r="E5024" t="s">
        <v>12294</v>
      </c>
      <c r="F5024" s="1">
        <v>45786</v>
      </c>
      <c r="G5024" t="str">
        <f>"300423"</f>
        <v>300423</v>
      </c>
      <c r="H5024" t="s">
        <v>3156</v>
      </c>
      <c r="I5024">
        <v>3376.19</v>
      </c>
    </row>
    <row r="5025" spans="1:9" x14ac:dyDescent="0.25">
      <c r="A5025" t="s">
        <v>9616</v>
      </c>
      <c r="C5025" t="s">
        <v>9617</v>
      </c>
      <c r="D5025" t="s">
        <v>12310</v>
      </c>
      <c r="E5025" t="s">
        <v>12293</v>
      </c>
      <c r="F5025" s="1">
        <v>45786</v>
      </c>
      <c r="G5025" t="str">
        <f>"300423"</f>
        <v>300423</v>
      </c>
      <c r="H5025" t="s">
        <v>3156</v>
      </c>
      <c r="I5025">
        <v>3376.19</v>
      </c>
    </row>
    <row r="5026" spans="1:9" x14ac:dyDescent="0.25">
      <c r="A5026" t="s">
        <v>9616</v>
      </c>
      <c r="C5026" t="s">
        <v>9617</v>
      </c>
      <c r="D5026" t="s">
        <v>12311</v>
      </c>
      <c r="E5026" t="s">
        <v>12300</v>
      </c>
      <c r="F5026" s="1">
        <v>45786</v>
      </c>
      <c r="G5026" t="str">
        <f>"300423"</f>
        <v>300423</v>
      </c>
      <c r="H5026" t="s">
        <v>3156</v>
      </c>
      <c r="I5026">
        <v>3376.19</v>
      </c>
    </row>
    <row r="5027" spans="1:9" x14ac:dyDescent="0.25">
      <c r="A5027" t="s">
        <v>9616</v>
      </c>
      <c r="C5027" t="s">
        <v>9617</v>
      </c>
      <c r="D5027" t="str">
        <f>"42500"</f>
        <v>42500</v>
      </c>
      <c r="E5027" t="s">
        <v>12312</v>
      </c>
      <c r="F5027" s="1">
        <v>45789</v>
      </c>
      <c r="G5027" t="str">
        <f t="shared" ref="G5027:G5032" si="24">"300043"</f>
        <v>300043</v>
      </c>
      <c r="H5027" t="s">
        <v>2876</v>
      </c>
      <c r="I5027">
        <v>1317</v>
      </c>
    </row>
    <row r="5028" spans="1:9" x14ac:dyDescent="0.25">
      <c r="A5028" t="s">
        <v>9616</v>
      </c>
      <c r="C5028" t="s">
        <v>9617</v>
      </c>
      <c r="D5028" t="str">
        <f>"42502"</f>
        <v>42502</v>
      </c>
      <c r="E5028" t="s">
        <v>12313</v>
      </c>
      <c r="F5028" s="1">
        <v>45789</v>
      </c>
      <c r="G5028" t="str">
        <f t="shared" si="24"/>
        <v>300043</v>
      </c>
      <c r="H5028" t="s">
        <v>2876</v>
      </c>
      <c r="I5028">
        <v>1269</v>
      </c>
    </row>
    <row r="5029" spans="1:9" x14ac:dyDescent="0.25">
      <c r="A5029" t="s">
        <v>9616</v>
      </c>
      <c r="C5029" t="s">
        <v>9617</v>
      </c>
      <c r="D5029" t="str">
        <f>"42581"</f>
        <v>42581</v>
      </c>
      <c r="E5029" t="s">
        <v>12314</v>
      </c>
      <c r="F5029" s="1">
        <v>45789</v>
      </c>
      <c r="G5029" t="str">
        <f t="shared" si="24"/>
        <v>300043</v>
      </c>
      <c r="H5029" t="s">
        <v>2876</v>
      </c>
      <c r="I5029">
        <v>1269</v>
      </c>
    </row>
    <row r="5030" spans="1:9" x14ac:dyDescent="0.25">
      <c r="A5030" t="s">
        <v>9616</v>
      </c>
      <c r="C5030" t="s">
        <v>9617</v>
      </c>
      <c r="D5030" t="str">
        <f>"42715"</f>
        <v>42715</v>
      </c>
      <c r="E5030" s="4">
        <v>45901</v>
      </c>
      <c r="F5030" s="1">
        <v>45789</v>
      </c>
      <c r="G5030" t="str">
        <f t="shared" si="24"/>
        <v>300043</v>
      </c>
      <c r="H5030" t="s">
        <v>2876</v>
      </c>
      <c r="I5030">
        <v>576</v>
      </c>
    </row>
    <row r="5031" spans="1:9" x14ac:dyDescent="0.25">
      <c r="A5031" t="s">
        <v>9616</v>
      </c>
      <c r="C5031" t="s">
        <v>9617</v>
      </c>
      <c r="D5031" t="str">
        <f>"42794"</f>
        <v>42794</v>
      </c>
      <c r="E5031" s="4">
        <v>45870</v>
      </c>
      <c r="F5031" s="1">
        <v>45789</v>
      </c>
      <c r="G5031" t="str">
        <f t="shared" si="24"/>
        <v>300043</v>
      </c>
      <c r="H5031" t="s">
        <v>2876</v>
      </c>
      <c r="I5031">
        <v>576</v>
      </c>
    </row>
    <row r="5032" spans="1:9" x14ac:dyDescent="0.25">
      <c r="A5032" t="s">
        <v>9616</v>
      </c>
      <c r="C5032" t="s">
        <v>9617</v>
      </c>
      <c r="D5032" t="str">
        <f>"45676"</f>
        <v>45676</v>
      </c>
      <c r="E5032" t="s">
        <v>12315</v>
      </c>
      <c r="F5032" s="1">
        <v>45789</v>
      </c>
      <c r="G5032" t="str">
        <f t="shared" si="24"/>
        <v>300043</v>
      </c>
      <c r="H5032" t="s">
        <v>2876</v>
      </c>
      <c r="I5032">
        <v>6254</v>
      </c>
    </row>
    <row r="5033" spans="1:9" x14ac:dyDescent="0.25">
      <c r="A5033" t="s">
        <v>9616</v>
      </c>
      <c r="C5033" t="s">
        <v>9617</v>
      </c>
      <c r="D5033" t="s">
        <v>12316</v>
      </c>
      <c r="E5033" t="s">
        <v>9579</v>
      </c>
      <c r="F5033" s="1">
        <v>45789</v>
      </c>
      <c r="G5033" t="str">
        <f>"300133"</f>
        <v>300133</v>
      </c>
      <c r="H5033" t="s">
        <v>2955</v>
      </c>
      <c r="I5033">
        <v>61188</v>
      </c>
    </row>
    <row r="5034" spans="1:9" x14ac:dyDescent="0.25">
      <c r="A5034" t="s">
        <v>9616</v>
      </c>
      <c r="C5034" t="s">
        <v>9617</v>
      </c>
      <c r="D5034" t="str">
        <f>"5836"</f>
        <v>5836</v>
      </c>
      <c r="E5034" t="s">
        <v>11471</v>
      </c>
      <c r="F5034" s="1">
        <v>45790</v>
      </c>
      <c r="G5034" t="str">
        <f>"300043"</f>
        <v>300043</v>
      </c>
      <c r="H5034" t="s">
        <v>2876</v>
      </c>
      <c r="I5034">
        <v>4485</v>
      </c>
    </row>
    <row r="5035" spans="1:9" x14ac:dyDescent="0.25">
      <c r="A5035" t="s">
        <v>9616</v>
      </c>
      <c r="C5035" t="s">
        <v>9617</v>
      </c>
      <c r="D5035" t="str">
        <f>"42691"</f>
        <v>42691</v>
      </c>
      <c r="E5035" t="s">
        <v>12317</v>
      </c>
      <c r="F5035" s="1">
        <v>45790</v>
      </c>
      <c r="G5035" t="str">
        <f>"300043"</f>
        <v>300043</v>
      </c>
      <c r="H5035" t="s">
        <v>2876</v>
      </c>
      <c r="I5035">
        <v>3306</v>
      </c>
    </row>
    <row r="5036" spans="1:9" x14ac:dyDescent="0.25">
      <c r="A5036" t="s">
        <v>9616</v>
      </c>
      <c r="C5036" t="s">
        <v>9617</v>
      </c>
      <c r="D5036" t="s">
        <v>12318</v>
      </c>
      <c r="E5036" s="4">
        <v>45870</v>
      </c>
      <c r="F5036" s="1">
        <v>45790</v>
      </c>
      <c r="G5036" t="str">
        <f>"300101"</f>
        <v>300101</v>
      </c>
      <c r="H5036" t="s">
        <v>2926</v>
      </c>
      <c r="I5036">
        <v>3377.92</v>
      </c>
    </row>
    <row r="5037" spans="1:9" x14ac:dyDescent="0.25">
      <c r="A5037" t="s">
        <v>9616</v>
      </c>
      <c r="C5037" t="s">
        <v>9617</v>
      </c>
      <c r="D5037" t="s">
        <v>12319</v>
      </c>
      <c r="E5037" s="4">
        <v>45901</v>
      </c>
      <c r="F5037" s="1">
        <v>45790</v>
      </c>
      <c r="G5037" t="str">
        <f>"300101"</f>
        <v>300101</v>
      </c>
      <c r="H5037" t="s">
        <v>2926</v>
      </c>
      <c r="I5037">
        <v>3547.64</v>
      </c>
    </row>
    <row r="5038" spans="1:9" x14ac:dyDescent="0.25">
      <c r="A5038" t="s">
        <v>9616</v>
      </c>
      <c r="C5038" t="s">
        <v>9617</v>
      </c>
      <c r="D5038" t="s">
        <v>12320</v>
      </c>
      <c r="E5038" t="s">
        <v>9562</v>
      </c>
      <c r="F5038" s="1">
        <v>45790</v>
      </c>
      <c r="G5038" t="str">
        <f>"300133"</f>
        <v>300133</v>
      </c>
      <c r="H5038" t="s">
        <v>2955</v>
      </c>
      <c r="I5038">
        <v>46944</v>
      </c>
    </row>
    <row r="5039" spans="1:9" x14ac:dyDescent="0.25">
      <c r="A5039" t="s">
        <v>9616</v>
      </c>
      <c r="C5039" t="s">
        <v>9617</v>
      </c>
      <c r="D5039" t="s">
        <v>12321</v>
      </c>
      <c r="E5039" t="s">
        <v>12313</v>
      </c>
      <c r="F5039" s="1">
        <v>45790</v>
      </c>
      <c r="G5039" t="str">
        <f>"300321"</f>
        <v>300321</v>
      </c>
      <c r="H5039" t="s">
        <v>2706</v>
      </c>
      <c r="I5039">
        <v>30000</v>
      </c>
    </row>
    <row r="5040" spans="1:9" x14ac:dyDescent="0.25">
      <c r="A5040" t="s">
        <v>9616</v>
      </c>
      <c r="C5040" t="s">
        <v>9617</v>
      </c>
      <c r="D5040" t="s">
        <v>12322</v>
      </c>
      <c r="E5040" t="s">
        <v>12314</v>
      </c>
      <c r="F5040" s="1">
        <v>45790</v>
      </c>
      <c r="G5040" t="str">
        <f>"300321"</f>
        <v>300321</v>
      </c>
      <c r="H5040" t="s">
        <v>2706</v>
      </c>
      <c r="I5040">
        <v>30000</v>
      </c>
    </row>
    <row r="5041" spans="1:9" x14ac:dyDescent="0.25">
      <c r="A5041" t="s">
        <v>9616</v>
      </c>
      <c r="C5041" t="s">
        <v>9617</v>
      </c>
      <c r="D5041" t="s">
        <v>12323</v>
      </c>
      <c r="F5041" s="1">
        <v>45790</v>
      </c>
      <c r="G5041" t="str">
        <f>"300321"</f>
        <v>300321</v>
      </c>
      <c r="H5041" t="s">
        <v>2706</v>
      </c>
      <c r="I5041">
        <v>27000</v>
      </c>
    </row>
    <row r="5042" spans="1:9" x14ac:dyDescent="0.25">
      <c r="A5042" t="s">
        <v>9616</v>
      </c>
      <c r="C5042" t="s">
        <v>9617</v>
      </c>
      <c r="D5042" t="s">
        <v>12324</v>
      </c>
      <c r="E5042" t="s">
        <v>12315</v>
      </c>
      <c r="F5042" s="1">
        <v>45791</v>
      </c>
      <c r="G5042" t="str">
        <f>"300191"</f>
        <v>300191</v>
      </c>
      <c r="H5042" t="s">
        <v>3008</v>
      </c>
      <c r="I5042">
        <v>2990.33</v>
      </c>
    </row>
    <row r="5043" spans="1:9" x14ac:dyDescent="0.25">
      <c r="A5043" t="s">
        <v>9616</v>
      </c>
      <c r="C5043" t="s">
        <v>9617</v>
      </c>
      <c r="D5043" t="s">
        <v>12325</v>
      </c>
      <c r="E5043" t="s">
        <v>12317</v>
      </c>
      <c r="F5043" s="1">
        <v>45791</v>
      </c>
      <c r="G5043" t="str">
        <f>"300321"</f>
        <v>300321</v>
      </c>
      <c r="H5043" t="s">
        <v>2706</v>
      </c>
      <c r="I5043">
        <v>67875</v>
      </c>
    </row>
    <row r="5044" spans="1:9" x14ac:dyDescent="0.25">
      <c r="A5044" t="s">
        <v>9616</v>
      </c>
      <c r="C5044" t="s">
        <v>9617</v>
      </c>
      <c r="D5044" t="str">
        <f>"5975"</f>
        <v>5975</v>
      </c>
      <c r="E5044" t="s">
        <v>11471</v>
      </c>
      <c r="F5044" s="1">
        <v>45792</v>
      </c>
      <c r="G5044" t="str">
        <f>"300043"</f>
        <v>300043</v>
      </c>
      <c r="H5044" t="s">
        <v>2876</v>
      </c>
      <c r="I5044">
        <v>3933</v>
      </c>
    </row>
    <row r="5045" spans="1:9" x14ac:dyDescent="0.25">
      <c r="A5045" t="s">
        <v>9616</v>
      </c>
      <c r="C5045" t="s">
        <v>9617</v>
      </c>
      <c r="D5045" t="s">
        <v>12326</v>
      </c>
      <c r="E5045" t="s">
        <v>12317</v>
      </c>
      <c r="F5045" s="1">
        <v>45792</v>
      </c>
      <c r="G5045" t="str">
        <f>"300423"</f>
        <v>300423</v>
      </c>
      <c r="H5045" t="s">
        <v>3156</v>
      </c>
      <c r="I5045">
        <v>3206.46</v>
      </c>
    </row>
    <row r="5046" spans="1:9" x14ac:dyDescent="0.25">
      <c r="A5046" t="s">
        <v>9616</v>
      </c>
      <c r="C5046" t="s">
        <v>9617</v>
      </c>
      <c r="D5046" t="s">
        <v>12327</v>
      </c>
      <c r="E5046" t="s">
        <v>12312</v>
      </c>
      <c r="F5046" s="1">
        <v>45792</v>
      </c>
      <c r="G5046" t="str">
        <f>"300423"</f>
        <v>300423</v>
      </c>
      <c r="H5046" t="s">
        <v>3156</v>
      </c>
      <c r="I5046">
        <v>3376.19</v>
      </c>
    </row>
    <row r="5047" spans="1:9" x14ac:dyDescent="0.25">
      <c r="A5047" t="s">
        <v>9616</v>
      </c>
      <c r="C5047" t="s">
        <v>9617</v>
      </c>
      <c r="D5047" t="s">
        <v>12328</v>
      </c>
      <c r="E5047" t="s">
        <v>12313</v>
      </c>
      <c r="F5047" s="1">
        <v>45792</v>
      </c>
      <c r="G5047" t="str">
        <f>"300423"</f>
        <v>300423</v>
      </c>
      <c r="H5047" t="s">
        <v>3156</v>
      </c>
      <c r="I5047">
        <v>3376.19</v>
      </c>
    </row>
    <row r="5048" spans="1:9" x14ac:dyDescent="0.25">
      <c r="A5048" t="s">
        <v>9616</v>
      </c>
      <c r="C5048" t="s">
        <v>9617</v>
      </c>
      <c r="D5048" t="s">
        <v>12329</v>
      </c>
      <c r="E5048" t="s">
        <v>12314</v>
      </c>
      <c r="F5048" s="1">
        <v>45792</v>
      </c>
      <c r="G5048" t="str">
        <f>"300423"</f>
        <v>300423</v>
      </c>
      <c r="H5048" t="s">
        <v>3156</v>
      </c>
      <c r="I5048">
        <v>3206.46</v>
      </c>
    </row>
    <row r="5049" spans="1:9" x14ac:dyDescent="0.25">
      <c r="A5049" t="s">
        <v>9616</v>
      </c>
      <c r="C5049" t="s">
        <v>9617</v>
      </c>
      <c r="D5049" t="str">
        <f>"47465"</f>
        <v>47465</v>
      </c>
      <c r="E5049" t="s">
        <v>12330</v>
      </c>
      <c r="F5049" s="1">
        <v>45793</v>
      </c>
      <c r="G5049" t="str">
        <f>"300043"</f>
        <v>300043</v>
      </c>
      <c r="H5049" t="s">
        <v>2876</v>
      </c>
      <c r="I5049">
        <v>7660</v>
      </c>
    </row>
    <row r="5050" spans="1:9" x14ac:dyDescent="0.25">
      <c r="A5050" t="s">
        <v>9616</v>
      </c>
      <c r="C5050" t="s">
        <v>9617</v>
      </c>
      <c r="D5050" t="str">
        <f>"68232"</f>
        <v>68232</v>
      </c>
      <c r="E5050" t="s">
        <v>12331</v>
      </c>
      <c r="F5050" s="1">
        <v>45796</v>
      </c>
      <c r="G5050" t="str">
        <f>"300043"</f>
        <v>300043</v>
      </c>
      <c r="H5050" t="s">
        <v>2876</v>
      </c>
      <c r="I5050">
        <v>1430</v>
      </c>
    </row>
    <row r="5051" spans="1:9" x14ac:dyDescent="0.25">
      <c r="A5051" t="s">
        <v>9616</v>
      </c>
      <c r="C5051" t="s">
        <v>9617</v>
      </c>
      <c r="D5051" t="str">
        <f>"2734"</f>
        <v>2734</v>
      </c>
      <c r="E5051" t="s">
        <v>12332</v>
      </c>
      <c r="F5051" s="1">
        <v>45797</v>
      </c>
      <c r="G5051" t="str">
        <f>"300043"</f>
        <v>300043</v>
      </c>
      <c r="H5051" t="s">
        <v>2876</v>
      </c>
      <c r="I5051">
        <v>5138</v>
      </c>
    </row>
    <row r="5052" spans="1:9" x14ac:dyDescent="0.25">
      <c r="A5052" t="s">
        <v>9616</v>
      </c>
      <c r="C5052" t="s">
        <v>9617</v>
      </c>
      <c r="D5052" t="str">
        <f>"70593"</f>
        <v>70593</v>
      </c>
      <c r="E5052" t="s">
        <v>12333</v>
      </c>
      <c r="F5052" s="1">
        <v>45797</v>
      </c>
      <c r="G5052" t="str">
        <f>"300043"</f>
        <v>300043</v>
      </c>
      <c r="H5052" t="s">
        <v>2876</v>
      </c>
      <c r="I5052">
        <v>723</v>
      </c>
    </row>
    <row r="5053" spans="1:9" x14ac:dyDescent="0.25">
      <c r="A5053" t="s">
        <v>9616</v>
      </c>
      <c r="C5053" t="s">
        <v>9617</v>
      </c>
      <c r="D5053" t="s">
        <v>12334</v>
      </c>
      <c r="E5053" t="s">
        <v>9522</v>
      </c>
      <c r="F5053" s="1">
        <v>45797</v>
      </c>
      <c r="G5053" t="str">
        <f>"300154"</f>
        <v>300154</v>
      </c>
      <c r="H5053" t="s">
        <v>1313</v>
      </c>
      <c r="I5053">
        <v>558916.80000000005</v>
      </c>
    </row>
    <row r="5054" spans="1:9" x14ac:dyDescent="0.25">
      <c r="A5054" t="s">
        <v>9616</v>
      </c>
      <c r="C5054" t="s">
        <v>9617</v>
      </c>
      <c r="D5054" t="s">
        <v>12335</v>
      </c>
      <c r="E5054" t="s">
        <v>12331</v>
      </c>
      <c r="F5054" s="1">
        <v>45798</v>
      </c>
      <c r="G5054" t="str">
        <f>"300191"</f>
        <v>300191</v>
      </c>
      <c r="H5054" t="s">
        <v>3008</v>
      </c>
      <c r="I5054">
        <v>8293.42</v>
      </c>
    </row>
    <row r="5055" spans="1:9" x14ac:dyDescent="0.25">
      <c r="A5055" t="s">
        <v>9616</v>
      </c>
      <c r="C5055" t="s">
        <v>9617</v>
      </c>
      <c r="D5055" t="s">
        <v>12336</v>
      </c>
      <c r="E5055" t="s">
        <v>12337</v>
      </c>
      <c r="F5055" s="1">
        <v>45798</v>
      </c>
      <c r="G5055" t="str">
        <f>"300191"</f>
        <v>300191</v>
      </c>
      <c r="H5055" t="s">
        <v>3008</v>
      </c>
      <c r="I5055">
        <v>8812.81</v>
      </c>
    </row>
    <row r="5056" spans="1:9" x14ac:dyDescent="0.25">
      <c r="A5056" t="s">
        <v>9616</v>
      </c>
      <c r="C5056" t="s">
        <v>9617</v>
      </c>
      <c r="D5056" t="s">
        <v>12338</v>
      </c>
      <c r="E5056" t="s">
        <v>12330</v>
      </c>
      <c r="F5056" s="1">
        <v>45798</v>
      </c>
      <c r="G5056" t="str">
        <f>"300191"</f>
        <v>300191</v>
      </c>
      <c r="H5056" t="s">
        <v>3008</v>
      </c>
      <c r="I5056">
        <v>6445.31</v>
      </c>
    </row>
    <row r="5057" spans="1:9" x14ac:dyDescent="0.25">
      <c r="A5057" t="s">
        <v>9616</v>
      </c>
      <c r="C5057" t="s">
        <v>9617</v>
      </c>
      <c r="D5057" t="s">
        <v>12339</v>
      </c>
      <c r="E5057" t="s">
        <v>12332</v>
      </c>
      <c r="F5057" s="1">
        <v>45798</v>
      </c>
      <c r="G5057" t="str">
        <f>"300423"</f>
        <v>300423</v>
      </c>
      <c r="H5057" t="s">
        <v>3156</v>
      </c>
      <c r="I5057">
        <v>15498.44</v>
      </c>
    </row>
    <row r="5058" spans="1:9" x14ac:dyDescent="0.25">
      <c r="A5058" t="s">
        <v>9616</v>
      </c>
      <c r="C5058" t="s">
        <v>9617</v>
      </c>
      <c r="D5058" t="s">
        <v>12340</v>
      </c>
      <c r="E5058" t="s">
        <v>11471</v>
      </c>
      <c r="F5058" s="1">
        <v>45800</v>
      </c>
      <c r="G5058" t="str">
        <f>"300423"</f>
        <v>300423</v>
      </c>
      <c r="H5058" t="s">
        <v>3156</v>
      </c>
      <c r="I5058">
        <v>200</v>
      </c>
    </row>
    <row r="5059" spans="1:9" x14ac:dyDescent="0.25">
      <c r="A5059" t="s">
        <v>9616</v>
      </c>
      <c r="C5059" t="s">
        <v>9617</v>
      </c>
      <c r="D5059" t="s">
        <v>12341</v>
      </c>
      <c r="E5059" t="s">
        <v>9565</v>
      </c>
      <c r="F5059" s="1">
        <v>45803</v>
      </c>
      <c r="G5059" t="str">
        <f>"300133"</f>
        <v>300133</v>
      </c>
      <c r="H5059" t="s">
        <v>2955</v>
      </c>
      <c r="I5059">
        <v>13068</v>
      </c>
    </row>
    <row r="5060" spans="1:9" x14ac:dyDescent="0.25">
      <c r="A5060" t="s">
        <v>9616</v>
      </c>
      <c r="C5060" t="s">
        <v>9617</v>
      </c>
      <c r="D5060" t="s">
        <v>12342</v>
      </c>
      <c r="E5060" t="str">
        <f>"280"</f>
        <v>280</v>
      </c>
      <c r="F5060" s="1">
        <v>45803</v>
      </c>
      <c r="G5060" t="str">
        <f>"300133"</f>
        <v>300133</v>
      </c>
      <c r="H5060" t="s">
        <v>2955</v>
      </c>
      <c r="I5060">
        <v>18000</v>
      </c>
    </row>
    <row r="5061" spans="1:9" x14ac:dyDescent="0.25">
      <c r="A5061" t="s">
        <v>9616</v>
      </c>
      <c r="C5061" t="s">
        <v>9617</v>
      </c>
      <c r="D5061" t="s">
        <v>12343</v>
      </c>
      <c r="E5061" t="s">
        <v>12304</v>
      </c>
      <c r="F5061" s="1">
        <v>45803</v>
      </c>
      <c r="G5061" t="str">
        <f>"300191"</f>
        <v>300191</v>
      </c>
      <c r="H5061" t="s">
        <v>3008</v>
      </c>
      <c r="I5061">
        <v>15634.47</v>
      </c>
    </row>
    <row r="5062" spans="1:9" x14ac:dyDescent="0.25">
      <c r="A5062" t="s">
        <v>9616</v>
      </c>
      <c r="C5062" t="s">
        <v>9617</v>
      </c>
      <c r="D5062" t="str">
        <f>"80199973"</f>
        <v>80199973</v>
      </c>
      <c r="E5062" t="s">
        <v>10495</v>
      </c>
      <c r="F5062" s="1">
        <v>45803</v>
      </c>
      <c r="G5062" t="str">
        <f>"300381"</f>
        <v>300381</v>
      </c>
      <c r="H5062" t="s">
        <v>3118</v>
      </c>
      <c r="I5062">
        <v>333907.20000000001</v>
      </c>
    </row>
    <row r="5063" spans="1:9" x14ac:dyDescent="0.25">
      <c r="A5063" t="s">
        <v>9616</v>
      </c>
      <c r="C5063" t="s">
        <v>9617</v>
      </c>
      <c r="D5063" t="str">
        <f>"80200053"</f>
        <v>80200053</v>
      </c>
      <c r="E5063" t="s">
        <v>10495</v>
      </c>
      <c r="F5063" s="1">
        <v>45804</v>
      </c>
      <c r="G5063" t="str">
        <f>"300381"</f>
        <v>300381</v>
      </c>
      <c r="H5063" t="s">
        <v>3118</v>
      </c>
      <c r="I5063">
        <v>333907.20000000001</v>
      </c>
    </row>
    <row r="5064" spans="1:9" x14ac:dyDescent="0.25">
      <c r="A5064" t="s">
        <v>9616</v>
      </c>
      <c r="C5064" t="s">
        <v>9617</v>
      </c>
      <c r="D5064" t="str">
        <f>"80200054"</f>
        <v>80200054</v>
      </c>
      <c r="E5064" t="s">
        <v>8852</v>
      </c>
      <c r="F5064" s="1">
        <v>45804</v>
      </c>
      <c r="G5064" t="str">
        <f>"300381"</f>
        <v>300381</v>
      </c>
      <c r="H5064" t="s">
        <v>3118</v>
      </c>
      <c r="I5064">
        <v>350430.696</v>
      </c>
    </row>
    <row r="5065" spans="1:9" x14ac:dyDescent="0.25">
      <c r="A5065" t="s">
        <v>9616</v>
      </c>
      <c r="C5065" t="s">
        <v>9617</v>
      </c>
      <c r="D5065" t="s">
        <v>12344</v>
      </c>
      <c r="E5065" t="s">
        <v>12345</v>
      </c>
      <c r="F5065" s="1">
        <v>45804</v>
      </c>
      <c r="G5065" t="str">
        <f>"300391"</f>
        <v>300391</v>
      </c>
      <c r="H5065" t="s">
        <v>3128</v>
      </c>
      <c r="I5065">
        <v>9313.8160000000007</v>
      </c>
    </row>
    <row r="5066" spans="1:9" x14ac:dyDescent="0.25">
      <c r="A5066" t="s">
        <v>9616</v>
      </c>
      <c r="C5066" t="s">
        <v>9617</v>
      </c>
      <c r="D5066" t="str">
        <f>"6519"</f>
        <v>6519</v>
      </c>
      <c r="E5066" t="s">
        <v>11471</v>
      </c>
      <c r="F5066" s="1">
        <v>45805</v>
      </c>
      <c r="G5066" t="str">
        <f>"300043"</f>
        <v>300043</v>
      </c>
      <c r="H5066" t="s">
        <v>2876</v>
      </c>
      <c r="I5066">
        <v>4328</v>
      </c>
    </row>
    <row r="5067" spans="1:9" x14ac:dyDescent="0.25">
      <c r="A5067" t="s">
        <v>9616</v>
      </c>
      <c r="C5067" t="s">
        <v>9617</v>
      </c>
      <c r="D5067" t="str">
        <f>"49248"</f>
        <v>49248</v>
      </c>
      <c r="E5067" t="s">
        <v>12346</v>
      </c>
      <c r="F5067" s="1">
        <v>45806</v>
      </c>
      <c r="G5067" t="str">
        <f>"300043"</f>
        <v>300043</v>
      </c>
      <c r="H5067" t="s">
        <v>2876</v>
      </c>
      <c r="I5067">
        <v>1278</v>
      </c>
    </row>
    <row r="5068" spans="1:9" x14ac:dyDescent="0.25">
      <c r="A5068" t="s">
        <v>9616</v>
      </c>
      <c r="C5068" t="s">
        <v>9617</v>
      </c>
      <c r="D5068" t="str">
        <f>"49311"</f>
        <v>49311</v>
      </c>
      <c r="E5068" t="s">
        <v>12347</v>
      </c>
      <c r="F5068" s="1">
        <v>45806</v>
      </c>
      <c r="G5068" t="str">
        <f>"300043"</f>
        <v>300043</v>
      </c>
      <c r="H5068" t="s">
        <v>2876</v>
      </c>
      <c r="I5068">
        <v>1330</v>
      </c>
    </row>
    <row r="5069" spans="1:9" x14ac:dyDescent="0.25">
      <c r="A5069" t="s">
        <v>9616</v>
      </c>
      <c r="C5069" t="s">
        <v>9617</v>
      </c>
      <c r="D5069" t="str">
        <f>"10167783"</f>
        <v>10167783</v>
      </c>
      <c r="E5069" t="s">
        <v>9438</v>
      </c>
      <c r="F5069" s="1">
        <v>45806</v>
      </c>
      <c r="G5069" t="str">
        <f>"300115"</f>
        <v>300115</v>
      </c>
      <c r="H5069" t="s">
        <v>2938</v>
      </c>
      <c r="I5069">
        <v>346254.57900000003</v>
      </c>
    </row>
    <row r="5070" spans="1:9" x14ac:dyDescent="0.25">
      <c r="A5070" t="s">
        <v>9616</v>
      </c>
      <c r="C5070" t="s">
        <v>9617</v>
      </c>
      <c r="D5070" t="s">
        <v>12348</v>
      </c>
      <c r="E5070" t="s">
        <v>9565</v>
      </c>
      <c r="F5070" s="1">
        <v>45806</v>
      </c>
      <c r="G5070" t="str">
        <f>"300133"</f>
        <v>300133</v>
      </c>
      <c r="H5070" t="s">
        <v>2955</v>
      </c>
      <c r="I5070">
        <v>6534</v>
      </c>
    </row>
    <row r="5071" spans="1:9" x14ac:dyDescent="0.25">
      <c r="A5071" t="s">
        <v>9616</v>
      </c>
      <c r="C5071" t="s">
        <v>9617</v>
      </c>
      <c r="D5071" t="s">
        <v>12349</v>
      </c>
      <c r="E5071" t="s">
        <v>12307</v>
      </c>
      <c r="F5071" s="1">
        <v>45806</v>
      </c>
      <c r="G5071" t="str">
        <f>"300237"</f>
        <v>300237</v>
      </c>
      <c r="H5071" t="s">
        <v>3036</v>
      </c>
      <c r="I5071">
        <v>250701.50599999999</v>
      </c>
    </row>
    <row r="5072" spans="1:9" x14ac:dyDescent="0.25">
      <c r="A5072" t="s">
        <v>9616</v>
      </c>
      <c r="C5072" t="s">
        <v>9617</v>
      </c>
      <c r="D5072" t="s">
        <v>12350</v>
      </c>
      <c r="E5072" t="s">
        <v>11856</v>
      </c>
      <c r="F5072" s="1">
        <v>45806</v>
      </c>
      <c r="G5072" t="str">
        <f>"300237"</f>
        <v>300237</v>
      </c>
      <c r="H5072" t="s">
        <v>3036</v>
      </c>
      <c r="I5072">
        <v>103038.804</v>
      </c>
    </row>
    <row r="5073" spans="1:9" x14ac:dyDescent="0.25">
      <c r="A5073" t="s">
        <v>9616</v>
      </c>
      <c r="C5073" t="s">
        <v>9617</v>
      </c>
      <c r="D5073" t="str">
        <f>"49745"</f>
        <v>49745</v>
      </c>
      <c r="E5073" t="s">
        <v>12351</v>
      </c>
      <c r="F5073" s="1">
        <v>45807</v>
      </c>
      <c r="G5073" t="str">
        <f>"300043"</f>
        <v>300043</v>
      </c>
      <c r="H5073" t="s">
        <v>2876</v>
      </c>
      <c r="I5073">
        <v>1273</v>
      </c>
    </row>
    <row r="5074" spans="1:9" x14ac:dyDescent="0.25">
      <c r="A5074" t="s">
        <v>9616</v>
      </c>
      <c r="C5074" t="s">
        <v>9617</v>
      </c>
      <c r="D5074" t="s">
        <v>12352</v>
      </c>
      <c r="E5074" t="s">
        <v>12346</v>
      </c>
      <c r="F5074" s="1">
        <v>45807</v>
      </c>
      <c r="G5074" t="str">
        <f>"300321"</f>
        <v>300321</v>
      </c>
      <c r="H5074" t="s">
        <v>2706</v>
      </c>
      <c r="I5074">
        <v>30000</v>
      </c>
    </row>
    <row r="5075" spans="1:9" x14ac:dyDescent="0.25">
      <c r="A5075" t="s">
        <v>9616</v>
      </c>
      <c r="C5075" t="s">
        <v>9617</v>
      </c>
      <c r="D5075" t="s">
        <v>12353</v>
      </c>
      <c r="E5075" t="s">
        <v>12347</v>
      </c>
      <c r="F5075" s="1">
        <v>45807</v>
      </c>
      <c r="G5075" t="str">
        <f>"300321"</f>
        <v>300321</v>
      </c>
      <c r="H5075" t="s">
        <v>2706</v>
      </c>
      <c r="I5075">
        <v>27000</v>
      </c>
    </row>
    <row r="5076" spans="1:9" x14ac:dyDescent="0.25">
      <c r="A5076" t="s">
        <v>9616</v>
      </c>
      <c r="C5076" t="s">
        <v>9617</v>
      </c>
      <c r="D5076" t="s">
        <v>12354</v>
      </c>
      <c r="E5076" t="s">
        <v>12351</v>
      </c>
      <c r="F5076" s="1">
        <v>45807</v>
      </c>
      <c r="G5076" t="str">
        <f>"300321"</f>
        <v>300321</v>
      </c>
      <c r="H5076" t="s">
        <v>2706</v>
      </c>
      <c r="I5076">
        <v>30000</v>
      </c>
    </row>
    <row r="5077" spans="1:9" x14ac:dyDescent="0.25">
      <c r="A5077" t="s">
        <v>9616</v>
      </c>
      <c r="C5077" t="s">
        <v>9617</v>
      </c>
      <c r="D5077" t="str">
        <f>"80200287"</f>
        <v>80200287</v>
      </c>
      <c r="E5077" t="s">
        <v>10495</v>
      </c>
      <c r="F5077" s="1">
        <v>45807</v>
      </c>
      <c r="G5077" t="str">
        <f>"300381"</f>
        <v>300381</v>
      </c>
      <c r="H5077" t="s">
        <v>3118</v>
      </c>
      <c r="I5077">
        <v>324394.95</v>
      </c>
    </row>
    <row r="5078" spans="1:9" x14ac:dyDescent="0.25">
      <c r="A5078" t="s">
        <v>9616</v>
      </c>
      <c r="C5078" t="s">
        <v>9617</v>
      </c>
      <c r="D5078" t="s">
        <v>12355</v>
      </c>
      <c r="E5078" t="s">
        <v>12346</v>
      </c>
      <c r="F5078" s="1">
        <v>45808</v>
      </c>
      <c r="G5078" t="str">
        <f>"300423"</f>
        <v>300423</v>
      </c>
      <c r="H5078" t="s">
        <v>3156</v>
      </c>
      <c r="I5078">
        <v>3650.07</v>
      </c>
    </row>
    <row r="5079" spans="1:9" x14ac:dyDescent="0.25">
      <c r="A5079" t="s">
        <v>9616</v>
      </c>
      <c r="C5079" t="s">
        <v>9617</v>
      </c>
      <c r="D5079" t="s">
        <v>12356</v>
      </c>
      <c r="E5079" t="s">
        <v>12347</v>
      </c>
      <c r="F5079" s="1">
        <v>45808</v>
      </c>
      <c r="G5079" t="str">
        <f>"300423"</f>
        <v>300423</v>
      </c>
      <c r="H5079" t="s">
        <v>3156</v>
      </c>
      <c r="I5079">
        <v>3206.46</v>
      </c>
    </row>
    <row r="5080" spans="1:9" x14ac:dyDescent="0.25">
      <c r="A5080" t="s">
        <v>9616</v>
      </c>
      <c r="C5080" t="s">
        <v>9617</v>
      </c>
      <c r="D5080" t="s">
        <v>12357</v>
      </c>
      <c r="E5080" t="s">
        <v>12351</v>
      </c>
      <c r="F5080" s="1">
        <v>45808</v>
      </c>
      <c r="G5080" t="str">
        <f>"300423"</f>
        <v>300423</v>
      </c>
      <c r="H5080" t="s">
        <v>3156</v>
      </c>
      <c r="I5080">
        <v>3206.46</v>
      </c>
    </row>
    <row r="5081" spans="1:9" x14ac:dyDescent="0.25">
      <c r="A5081" t="s">
        <v>9616</v>
      </c>
      <c r="C5081" t="s">
        <v>9617</v>
      </c>
      <c r="D5081" t="str">
        <f>"6731"</f>
        <v>6731</v>
      </c>
      <c r="E5081" t="s">
        <v>11471</v>
      </c>
      <c r="F5081" s="1">
        <v>45810</v>
      </c>
      <c r="G5081" t="str">
        <f>"300043"</f>
        <v>300043</v>
      </c>
      <c r="H5081" t="s">
        <v>2876</v>
      </c>
      <c r="I5081">
        <v>3915</v>
      </c>
    </row>
    <row r="5082" spans="1:9" x14ac:dyDescent="0.25">
      <c r="A5082" t="s">
        <v>9616</v>
      </c>
      <c r="C5082" t="s">
        <v>9617</v>
      </c>
      <c r="D5082" t="str">
        <f>"50558"</f>
        <v>50558</v>
      </c>
      <c r="E5082" t="s">
        <v>12358</v>
      </c>
      <c r="F5082" s="1">
        <v>45810</v>
      </c>
      <c r="G5082" t="str">
        <f>"300043"</f>
        <v>300043</v>
      </c>
      <c r="H5082" t="s">
        <v>2876</v>
      </c>
      <c r="I5082">
        <v>1265</v>
      </c>
    </row>
    <row r="5083" spans="1:9" x14ac:dyDescent="0.25">
      <c r="A5083" t="s">
        <v>9616</v>
      </c>
      <c r="C5083" t="s">
        <v>9617</v>
      </c>
      <c r="D5083" t="str">
        <f>"50854"</f>
        <v>50854</v>
      </c>
      <c r="E5083" t="s">
        <v>12359</v>
      </c>
      <c r="F5083" s="1">
        <v>45810</v>
      </c>
      <c r="G5083" t="str">
        <f>"300043"</f>
        <v>300043</v>
      </c>
      <c r="H5083" t="s">
        <v>2876</v>
      </c>
      <c r="I5083">
        <v>1300</v>
      </c>
    </row>
    <row r="5084" spans="1:9" x14ac:dyDescent="0.25">
      <c r="A5084" t="s">
        <v>9616</v>
      </c>
      <c r="C5084" t="s">
        <v>9617</v>
      </c>
      <c r="D5084" t="s">
        <v>12360</v>
      </c>
      <c r="E5084" t="s">
        <v>12359</v>
      </c>
      <c r="F5084" s="1">
        <v>45810</v>
      </c>
      <c r="G5084" t="str">
        <f>"300191"</f>
        <v>300191</v>
      </c>
      <c r="H5084" t="s">
        <v>3008</v>
      </c>
      <c r="I5084">
        <v>3810.44</v>
      </c>
    </row>
    <row r="5085" spans="1:9" x14ac:dyDescent="0.25">
      <c r="A5085" t="s">
        <v>9616</v>
      </c>
      <c r="C5085" t="s">
        <v>9617</v>
      </c>
      <c r="D5085" t="str">
        <f>"3008"</f>
        <v>3008</v>
      </c>
      <c r="E5085" t="s">
        <v>12361</v>
      </c>
      <c r="F5085" s="1">
        <v>45811</v>
      </c>
      <c r="G5085" t="str">
        <f>"300043"</f>
        <v>300043</v>
      </c>
      <c r="H5085" t="s">
        <v>2876</v>
      </c>
      <c r="I5085">
        <v>3781</v>
      </c>
    </row>
    <row r="5086" spans="1:9" x14ac:dyDescent="0.25">
      <c r="A5086" t="s">
        <v>9616</v>
      </c>
      <c r="C5086" t="s">
        <v>9617</v>
      </c>
      <c r="D5086" t="str">
        <f>"250011372"</f>
        <v>250011372</v>
      </c>
      <c r="E5086" t="s">
        <v>12362</v>
      </c>
      <c r="F5086" s="1">
        <v>45811</v>
      </c>
      <c r="G5086" t="str">
        <f>"300344"</f>
        <v>300344</v>
      </c>
      <c r="H5086" t="s">
        <v>3084</v>
      </c>
      <c r="I5086">
        <v>272321.81579999998</v>
      </c>
    </row>
    <row r="5087" spans="1:9" x14ac:dyDescent="0.25">
      <c r="A5087" t="s">
        <v>9616</v>
      </c>
      <c r="C5087" t="s">
        <v>9617</v>
      </c>
      <c r="D5087" t="str">
        <f>"78861"</f>
        <v>78861</v>
      </c>
      <c r="E5087" t="s">
        <v>12345</v>
      </c>
      <c r="F5087" s="1">
        <v>45812</v>
      </c>
      <c r="G5087" t="str">
        <f>"300043"</f>
        <v>300043</v>
      </c>
      <c r="H5087" t="s">
        <v>2876</v>
      </c>
      <c r="I5087">
        <v>1017</v>
      </c>
    </row>
    <row r="5088" spans="1:9" x14ac:dyDescent="0.25">
      <c r="A5088" t="s">
        <v>9616</v>
      </c>
      <c r="C5088" t="s">
        <v>9617</v>
      </c>
      <c r="D5088" t="s">
        <v>12363</v>
      </c>
      <c r="E5088" t="s">
        <v>12359</v>
      </c>
      <c r="F5088" s="1">
        <v>45812</v>
      </c>
      <c r="G5088" t="str">
        <f>"300321"</f>
        <v>300321</v>
      </c>
      <c r="H5088" t="s">
        <v>2706</v>
      </c>
      <c r="I5088">
        <v>18000</v>
      </c>
    </row>
    <row r="5089" spans="1:9" x14ac:dyDescent="0.25">
      <c r="A5089" t="s">
        <v>9616</v>
      </c>
      <c r="C5089" t="s">
        <v>9617</v>
      </c>
      <c r="D5089" t="s">
        <v>12364</v>
      </c>
      <c r="E5089" t="s">
        <v>12358</v>
      </c>
      <c r="F5089" s="1">
        <v>45812</v>
      </c>
      <c r="G5089" t="str">
        <f>"300321"</f>
        <v>300321</v>
      </c>
      <c r="H5089" t="s">
        <v>2706</v>
      </c>
      <c r="I5089">
        <v>30000</v>
      </c>
    </row>
    <row r="5090" spans="1:9" x14ac:dyDescent="0.25">
      <c r="A5090" t="s">
        <v>9616</v>
      </c>
      <c r="C5090" t="s">
        <v>9617</v>
      </c>
      <c r="D5090" t="str">
        <f>"80200503"</f>
        <v>80200503</v>
      </c>
      <c r="E5090" t="s">
        <v>8852</v>
      </c>
      <c r="F5090" s="1">
        <v>45812</v>
      </c>
      <c r="G5090" t="str">
        <f>"300381"</f>
        <v>300381</v>
      </c>
      <c r="H5090" t="s">
        <v>3118</v>
      </c>
      <c r="I5090">
        <v>341693.79200000002</v>
      </c>
    </row>
    <row r="5091" spans="1:9" x14ac:dyDescent="0.25">
      <c r="A5091" t="s">
        <v>9616</v>
      </c>
      <c r="C5091" t="s">
        <v>9617</v>
      </c>
      <c r="D5091" t="str">
        <f>"10167976"</f>
        <v>10167976</v>
      </c>
      <c r="E5091" t="s">
        <v>1313</v>
      </c>
      <c r="F5091" s="1">
        <v>45813</v>
      </c>
      <c r="G5091" t="str">
        <f>"300115"</f>
        <v>300115</v>
      </c>
      <c r="H5091" t="s">
        <v>2938</v>
      </c>
      <c r="I5091">
        <v>141039.35999999999</v>
      </c>
    </row>
    <row r="5092" spans="1:9" x14ac:dyDescent="0.25">
      <c r="A5092" t="s">
        <v>9616</v>
      </c>
      <c r="C5092" t="s">
        <v>9617</v>
      </c>
      <c r="D5092" t="str">
        <f>"10167982"</f>
        <v>10167982</v>
      </c>
      <c r="E5092" t="s">
        <v>1313</v>
      </c>
      <c r="F5092" s="1">
        <v>45813</v>
      </c>
      <c r="G5092" t="str">
        <f>"300115"</f>
        <v>300115</v>
      </c>
      <c r="H5092" t="s">
        <v>2938</v>
      </c>
      <c r="I5092">
        <v>141039.35999999999</v>
      </c>
    </row>
    <row r="5093" spans="1:9" x14ac:dyDescent="0.25">
      <c r="A5093" t="s">
        <v>9616</v>
      </c>
      <c r="C5093" t="s">
        <v>9617</v>
      </c>
      <c r="D5093" t="str">
        <f>"10167984"</f>
        <v>10167984</v>
      </c>
      <c r="E5093" t="s">
        <v>1313</v>
      </c>
      <c r="F5093" s="1">
        <v>45814</v>
      </c>
      <c r="G5093" t="str">
        <f>"300115"</f>
        <v>300115</v>
      </c>
      <c r="H5093" t="s">
        <v>2938</v>
      </c>
      <c r="I5093">
        <v>141039.35999999999</v>
      </c>
    </row>
    <row r="5094" spans="1:9" x14ac:dyDescent="0.25">
      <c r="A5094" t="s">
        <v>9616</v>
      </c>
      <c r="C5094" t="s">
        <v>9617</v>
      </c>
      <c r="D5094" t="str">
        <f>"10168010"</f>
        <v>10168010</v>
      </c>
      <c r="E5094" t="s">
        <v>1313</v>
      </c>
      <c r="F5094" s="1">
        <v>45814</v>
      </c>
      <c r="G5094" t="str">
        <f>"300115"</f>
        <v>300115</v>
      </c>
      <c r="H5094" t="s">
        <v>2938</v>
      </c>
      <c r="I5094">
        <v>141039.35999999999</v>
      </c>
    </row>
    <row r="5095" spans="1:9" x14ac:dyDescent="0.25">
      <c r="A5095" t="s">
        <v>9616</v>
      </c>
      <c r="C5095" t="s">
        <v>9617</v>
      </c>
      <c r="D5095" t="s">
        <v>12365</v>
      </c>
      <c r="E5095" t="s">
        <v>12345</v>
      </c>
      <c r="F5095" s="1">
        <v>45814</v>
      </c>
      <c r="G5095" t="str">
        <f>"300191"</f>
        <v>300191</v>
      </c>
      <c r="H5095" t="s">
        <v>3008</v>
      </c>
      <c r="I5095">
        <v>4710.38</v>
      </c>
    </row>
    <row r="5096" spans="1:9" x14ac:dyDescent="0.25">
      <c r="A5096" t="s">
        <v>9616</v>
      </c>
      <c r="C5096" t="s">
        <v>9617</v>
      </c>
      <c r="D5096" t="s">
        <v>12366</v>
      </c>
      <c r="E5096" t="s">
        <v>12361</v>
      </c>
      <c r="F5096" s="1">
        <v>45814</v>
      </c>
      <c r="G5096" t="str">
        <f>"300423"</f>
        <v>300423</v>
      </c>
      <c r="H5096" t="s">
        <v>3156</v>
      </c>
      <c r="I5096">
        <v>9227.5400000000009</v>
      </c>
    </row>
    <row r="5097" spans="1:9" x14ac:dyDescent="0.25">
      <c r="A5097" t="s">
        <v>9616</v>
      </c>
      <c r="C5097" t="s">
        <v>9617</v>
      </c>
      <c r="D5097" t="str">
        <f>"10168080"</f>
        <v>10168080</v>
      </c>
      <c r="E5097" t="s">
        <v>1313</v>
      </c>
      <c r="F5097" s="1">
        <v>45817</v>
      </c>
      <c r="G5097" t="str">
        <f>"300115"</f>
        <v>300115</v>
      </c>
      <c r="H5097" t="s">
        <v>2938</v>
      </c>
      <c r="I5097">
        <v>141039.35999999999</v>
      </c>
    </row>
    <row r="5098" spans="1:9" x14ac:dyDescent="0.25">
      <c r="A5098" t="s">
        <v>9616</v>
      </c>
      <c r="C5098" t="s">
        <v>9617</v>
      </c>
      <c r="D5098" t="str">
        <f>"10168084"</f>
        <v>10168084</v>
      </c>
      <c r="E5098" t="s">
        <v>1313</v>
      </c>
      <c r="F5098" s="1">
        <v>45817</v>
      </c>
      <c r="G5098" t="str">
        <f>"300115"</f>
        <v>300115</v>
      </c>
      <c r="H5098" t="s">
        <v>2938</v>
      </c>
      <c r="I5098">
        <v>141039.35999999999</v>
      </c>
    </row>
    <row r="5099" spans="1:9" x14ac:dyDescent="0.25">
      <c r="A5099" t="s">
        <v>9616</v>
      </c>
      <c r="C5099" t="s">
        <v>9617</v>
      </c>
      <c r="D5099" t="str">
        <f>"80200640"</f>
        <v>80200640</v>
      </c>
      <c r="E5099" t="s">
        <v>9438</v>
      </c>
      <c r="F5099" s="1">
        <v>45817</v>
      </c>
      <c r="G5099" t="str">
        <f>"300381"</f>
        <v>300381</v>
      </c>
      <c r="H5099" t="s">
        <v>3118</v>
      </c>
      <c r="I5099">
        <v>192885.264</v>
      </c>
    </row>
    <row r="5100" spans="1:9" x14ac:dyDescent="0.25">
      <c r="A5100" t="s">
        <v>9616</v>
      </c>
      <c r="C5100" t="s">
        <v>9617</v>
      </c>
      <c r="D5100" t="str">
        <f>"80200655"</f>
        <v>80200655</v>
      </c>
      <c r="E5100" t="s">
        <v>10495</v>
      </c>
      <c r="F5100" s="1">
        <v>45817</v>
      </c>
      <c r="G5100" t="str">
        <f>"300381"</f>
        <v>300381</v>
      </c>
      <c r="H5100" t="s">
        <v>3118</v>
      </c>
      <c r="I5100">
        <v>333907.20000000001</v>
      </c>
    </row>
    <row r="5101" spans="1:9" x14ac:dyDescent="0.25">
      <c r="A5101" t="s">
        <v>9616</v>
      </c>
      <c r="C5101" t="s">
        <v>9617</v>
      </c>
      <c r="D5101" t="str">
        <f>"52718"</f>
        <v>52718</v>
      </c>
      <c r="E5101" t="s">
        <v>12367</v>
      </c>
      <c r="F5101" s="1">
        <v>45818</v>
      </c>
      <c r="G5101" t="str">
        <f>"300043"</f>
        <v>300043</v>
      </c>
      <c r="H5101" t="s">
        <v>2876</v>
      </c>
      <c r="I5101">
        <v>1298</v>
      </c>
    </row>
    <row r="5102" spans="1:9" x14ac:dyDescent="0.25">
      <c r="A5102" t="s">
        <v>9616</v>
      </c>
      <c r="C5102" t="s">
        <v>9617</v>
      </c>
      <c r="D5102" t="str">
        <f>"10168086"</f>
        <v>10168086</v>
      </c>
      <c r="E5102" t="s">
        <v>1313</v>
      </c>
      <c r="F5102" s="1">
        <v>45818</v>
      </c>
      <c r="G5102" t="str">
        <f>"300115"</f>
        <v>300115</v>
      </c>
      <c r="H5102" t="s">
        <v>2938</v>
      </c>
      <c r="I5102">
        <v>141039.35999999999</v>
      </c>
    </row>
    <row r="5103" spans="1:9" x14ac:dyDescent="0.25">
      <c r="A5103" t="s">
        <v>9616</v>
      </c>
      <c r="C5103" t="s">
        <v>9617</v>
      </c>
      <c r="D5103" t="str">
        <f>"10168087"</f>
        <v>10168087</v>
      </c>
      <c r="E5103" t="s">
        <v>1313</v>
      </c>
      <c r="F5103" s="1">
        <v>45818</v>
      </c>
      <c r="G5103" t="str">
        <f>"300115"</f>
        <v>300115</v>
      </c>
      <c r="H5103" t="s">
        <v>2938</v>
      </c>
      <c r="I5103">
        <v>141039.35999999999</v>
      </c>
    </row>
    <row r="5104" spans="1:9" x14ac:dyDescent="0.25">
      <c r="A5104" t="s">
        <v>9616</v>
      </c>
      <c r="C5104" t="s">
        <v>9617</v>
      </c>
      <c r="D5104" t="str">
        <f>"10168127"</f>
        <v>10168127</v>
      </c>
      <c r="E5104" t="s">
        <v>9438</v>
      </c>
      <c r="F5104" s="1">
        <v>45818</v>
      </c>
      <c r="G5104" t="str">
        <f>"300115"</f>
        <v>300115</v>
      </c>
      <c r="H5104" t="s">
        <v>2938</v>
      </c>
      <c r="I5104">
        <v>346254.57900000003</v>
      </c>
    </row>
    <row r="5105" spans="1:9" x14ac:dyDescent="0.25">
      <c r="A5105" t="s">
        <v>9616</v>
      </c>
      <c r="C5105" t="s">
        <v>9617</v>
      </c>
      <c r="D5105" t="str">
        <f>"7025"</f>
        <v>7025</v>
      </c>
      <c r="E5105" t="s">
        <v>11471</v>
      </c>
      <c r="F5105" s="1">
        <v>45819</v>
      </c>
      <c r="G5105" t="str">
        <f>"300043"</f>
        <v>300043</v>
      </c>
      <c r="H5105" t="s">
        <v>2876</v>
      </c>
      <c r="I5105">
        <v>4472</v>
      </c>
    </row>
    <row r="5106" spans="1:9" x14ac:dyDescent="0.25">
      <c r="A5106" t="s">
        <v>9616</v>
      </c>
      <c r="C5106" t="s">
        <v>9617</v>
      </c>
      <c r="D5106" t="str">
        <f>"53653"</f>
        <v>53653</v>
      </c>
      <c r="E5106" s="4">
        <v>45962</v>
      </c>
      <c r="F5106" s="1">
        <v>45819</v>
      </c>
      <c r="G5106" t="str">
        <f>"300043"</f>
        <v>300043</v>
      </c>
      <c r="H5106" t="s">
        <v>2876</v>
      </c>
      <c r="I5106">
        <v>613</v>
      </c>
    </row>
    <row r="5107" spans="1:9" x14ac:dyDescent="0.25">
      <c r="A5107" t="s">
        <v>9616</v>
      </c>
      <c r="C5107" t="s">
        <v>9617</v>
      </c>
      <c r="D5107" t="str">
        <f>"53657"</f>
        <v>53657</v>
      </c>
      <c r="E5107" s="4">
        <v>45992</v>
      </c>
      <c r="F5107" s="1">
        <v>45819</v>
      </c>
      <c r="G5107" t="str">
        <f>"300043"</f>
        <v>300043</v>
      </c>
      <c r="H5107" t="s">
        <v>2876</v>
      </c>
      <c r="I5107">
        <v>613</v>
      </c>
    </row>
    <row r="5108" spans="1:9" x14ac:dyDescent="0.25">
      <c r="A5108" t="s">
        <v>9616</v>
      </c>
      <c r="C5108" t="s">
        <v>9617</v>
      </c>
      <c r="D5108" t="s">
        <v>12368</v>
      </c>
      <c r="E5108" t="s">
        <v>12367</v>
      </c>
      <c r="F5108" s="1">
        <v>45819</v>
      </c>
      <c r="G5108" t="str">
        <f>"300321"</f>
        <v>300321</v>
      </c>
      <c r="H5108" t="s">
        <v>2706</v>
      </c>
      <c r="I5108">
        <v>27000</v>
      </c>
    </row>
    <row r="5109" spans="1:9" x14ac:dyDescent="0.25">
      <c r="A5109" t="s">
        <v>9616</v>
      </c>
      <c r="C5109" t="s">
        <v>9617</v>
      </c>
      <c r="D5109" t="str">
        <f>"53732"</f>
        <v>53732</v>
      </c>
      <c r="E5109" t="s">
        <v>12369</v>
      </c>
      <c r="F5109" s="1">
        <v>45820</v>
      </c>
      <c r="G5109" t="str">
        <f t="shared" ref="G5109:G5116" si="25">"300043"</f>
        <v>300043</v>
      </c>
      <c r="H5109" t="s">
        <v>2876</v>
      </c>
      <c r="I5109">
        <v>1285</v>
      </c>
    </row>
    <row r="5110" spans="1:9" x14ac:dyDescent="0.25">
      <c r="A5110" t="s">
        <v>9616</v>
      </c>
      <c r="C5110" t="s">
        <v>9617</v>
      </c>
      <c r="D5110" t="str">
        <f>"53734"</f>
        <v>53734</v>
      </c>
      <c r="E5110" t="s">
        <v>12370</v>
      </c>
      <c r="F5110" s="1">
        <v>45820</v>
      </c>
      <c r="G5110" t="str">
        <f t="shared" si="25"/>
        <v>300043</v>
      </c>
      <c r="H5110" t="s">
        <v>2876</v>
      </c>
      <c r="I5110">
        <v>836</v>
      </c>
    </row>
    <row r="5111" spans="1:9" x14ac:dyDescent="0.25">
      <c r="A5111" t="s">
        <v>9616</v>
      </c>
      <c r="C5111" t="s">
        <v>9617</v>
      </c>
      <c r="D5111" t="str">
        <f>"53995"</f>
        <v>53995</v>
      </c>
      <c r="E5111" t="s">
        <v>12371</v>
      </c>
      <c r="F5111" s="1">
        <v>45820</v>
      </c>
      <c r="G5111" t="str">
        <f t="shared" si="25"/>
        <v>300043</v>
      </c>
      <c r="H5111" t="s">
        <v>2876</v>
      </c>
      <c r="I5111">
        <v>613</v>
      </c>
    </row>
    <row r="5112" spans="1:9" x14ac:dyDescent="0.25">
      <c r="A5112" t="s">
        <v>9616</v>
      </c>
      <c r="C5112" t="s">
        <v>9617</v>
      </c>
      <c r="D5112" t="str">
        <f>"54007"</f>
        <v>54007</v>
      </c>
      <c r="E5112" s="4">
        <v>45931</v>
      </c>
      <c r="F5112" s="1">
        <v>45820</v>
      </c>
      <c r="G5112" t="str">
        <f t="shared" si="25"/>
        <v>300043</v>
      </c>
      <c r="H5112" t="s">
        <v>2876</v>
      </c>
      <c r="I5112">
        <v>613</v>
      </c>
    </row>
    <row r="5113" spans="1:9" x14ac:dyDescent="0.25">
      <c r="A5113" t="s">
        <v>9616</v>
      </c>
      <c r="C5113" t="s">
        <v>9617</v>
      </c>
      <c r="D5113" t="str">
        <f>"54025"</f>
        <v>54025</v>
      </c>
      <c r="E5113" t="s">
        <v>12372</v>
      </c>
      <c r="F5113" s="1">
        <v>45820</v>
      </c>
      <c r="G5113" t="str">
        <f t="shared" si="25"/>
        <v>300043</v>
      </c>
      <c r="H5113" t="s">
        <v>2876</v>
      </c>
      <c r="I5113">
        <v>613</v>
      </c>
    </row>
    <row r="5114" spans="1:9" x14ac:dyDescent="0.25">
      <c r="A5114" t="s">
        <v>9616</v>
      </c>
      <c r="C5114" t="s">
        <v>9617</v>
      </c>
      <c r="D5114" t="str">
        <f>"54036"</f>
        <v>54036</v>
      </c>
      <c r="E5114" t="s">
        <v>12373</v>
      </c>
      <c r="F5114" s="1">
        <v>45820</v>
      </c>
      <c r="G5114" t="str">
        <f t="shared" si="25"/>
        <v>300043</v>
      </c>
      <c r="H5114" t="s">
        <v>2876</v>
      </c>
      <c r="I5114">
        <v>612</v>
      </c>
    </row>
    <row r="5115" spans="1:9" x14ac:dyDescent="0.25">
      <c r="A5115" t="s">
        <v>9616</v>
      </c>
      <c r="C5115" t="s">
        <v>9617</v>
      </c>
      <c r="D5115" t="str">
        <f>"54061"</f>
        <v>54061</v>
      </c>
      <c r="E5115" t="s">
        <v>12374</v>
      </c>
      <c r="F5115" s="1">
        <v>45820</v>
      </c>
      <c r="G5115" t="str">
        <f t="shared" si="25"/>
        <v>300043</v>
      </c>
      <c r="H5115" t="s">
        <v>2876</v>
      </c>
      <c r="I5115">
        <v>1307</v>
      </c>
    </row>
    <row r="5116" spans="1:9" x14ac:dyDescent="0.25">
      <c r="A5116" t="s">
        <v>9616</v>
      </c>
      <c r="C5116" t="s">
        <v>9617</v>
      </c>
      <c r="D5116" t="str">
        <f>"054075"</f>
        <v>054075</v>
      </c>
      <c r="E5116" t="s">
        <v>12375</v>
      </c>
      <c r="F5116" s="1">
        <v>45820</v>
      </c>
      <c r="G5116" t="str">
        <f t="shared" si="25"/>
        <v>300043</v>
      </c>
      <c r="H5116" t="s">
        <v>2876</v>
      </c>
      <c r="I5116">
        <v>613</v>
      </c>
    </row>
    <row r="5117" spans="1:9" x14ac:dyDescent="0.25">
      <c r="A5117" t="s">
        <v>9616</v>
      </c>
      <c r="C5117" t="s">
        <v>9617</v>
      </c>
      <c r="D5117" t="s">
        <v>12376</v>
      </c>
      <c r="E5117" t="s">
        <v>12377</v>
      </c>
      <c r="F5117" s="1">
        <v>45820</v>
      </c>
      <c r="G5117" t="str">
        <f>"300364"</f>
        <v>300364</v>
      </c>
      <c r="H5117" t="s">
        <v>3101</v>
      </c>
      <c r="I5117">
        <v>8889.116</v>
      </c>
    </row>
    <row r="5118" spans="1:9" x14ac:dyDescent="0.25">
      <c r="A5118" t="s">
        <v>9616</v>
      </c>
      <c r="C5118" t="s">
        <v>9617</v>
      </c>
      <c r="D5118" t="str">
        <f>"80200594"</f>
        <v>80200594</v>
      </c>
      <c r="E5118" t="s">
        <v>9438</v>
      </c>
      <c r="F5118" s="1">
        <v>45820</v>
      </c>
      <c r="G5118" t="str">
        <f>"300381"</f>
        <v>300381</v>
      </c>
      <c r="H5118" t="s">
        <v>3118</v>
      </c>
      <c r="I5118">
        <v>192885.264</v>
      </c>
    </row>
    <row r="5119" spans="1:9" x14ac:dyDescent="0.25">
      <c r="A5119" t="s">
        <v>9616</v>
      </c>
      <c r="C5119" t="s">
        <v>9617</v>
      </c>
      <c r="D5119" t="str">
        <f>"80200812"</f>
        <v>80200812</v>
      </c>
      <c r="E5119" t="s">
        <v>1313</v>
      </c>
      <c r="F5119" s="1">
        <v>45820</v>
      </c>
      <c r="G5119" t="str">
        <f>"300381"</f>
        <v>300381</v>
      </c>
      <c r="H5119" t="s">
        <v>3118</v>
      </c>
      <c r="I5119">
        <v>340585.34399999998</v>
      </c>
    </row>
    <row r="5120" spans="1:9" x14ac:dyDescent="0.25">
      <c r="A5120" t="s">
        <v>9616</v>
      </c>
      <c r="C5120" t="s">
        <v>9617</v>
      </c>
      <c r="D5120" t="s">
        <v>12378</v>
      </c>
      <c r="E5120" t="s">
        <v>12358</v>
      </c>
      <c r="F5120" s="1">
        <v>45820</v>
      </c>
      <c r="G5120" t="str">
        <f>"300423"</f>
        <v>300423</v>
      </c>
      <c r="H5120" t="s">
        <v>3156</v>
      </c>
      <c r="I5120">
        <v>3206.46</v>
      </c>
    </row>
    <row r="5121" spans="1:9" x14ac:dyDescent="0.25">
      <c r="A5121" t="s">
        <v>9616</v>
      </c>
      <c r="C5121" t="s">
        <v>9617</v>
      </c>
      <c r="D5121" t="str">
        <f>"54269"</f>
        <v>54269</v>
      </c>
      <c r="E5121" t="s">
        <v>12379</v>
      </c>
      <c r="F5121" s="1">
        <v>45821</v>
      </c>
      <c r="G5121" t="str">
        <f>"300043"</f>
        <v>300043</v>
      </c>
      <c r="H5121" t="s">
        <v>2876</v>
      </c>
      <c r="I5121">
        <v>616</v>
      </c>
    </row>
    <row r="5122" spans="1:9" x14ac:dyDescent="0.25">
      <c r="A5122" t="s">
        <v>9616</v>
      </c>
      <c r="C5122" t="s">
        <v>9617</v>
      </c>
      <c r="D5122" t="s">
        <v>12380</v>
      </c>
      <c r="E5122" t="s">
        <v>12381</v>
      </c>
      <c r="F5122" s="1">
        <v>45821</v>
      </c>
      <c r="G5122" t="str">
        <f>"300133"</f>
        <v>300133</v>
      </c>
      <c r="H5122" t="s">
        <v>2955</v>
      </c>
      <c r="I5122">
        <v>23184</v>
      </c>
    </row>
    <row r="5123" spans="1:9" x14ac:dyDescent="0.25">
      <c r="A5123" t="s">
        <v>9616</v>
      </c>
      <c r="C5123" t="s">
        <v>9617</v>
      </c>
      <c r="D5123" t="s">
        <v>12382</v>
      </c>
      <c r="E5123" t="s">
        <v>9629</v>
      </c>
      <c r="F5123" s="1">
        <v>45821</v>
      </c>
      <c r="G5123" t="str">
        <f>"300133"</f>
        <v>300133</v>
      </c>
      <c r="H5123" t="s">
        <v>2955</v>
      </c>
      <c r="I5123">
        <v>35712</v>
      </c>
    </row>
    <row r="5124" spans="1:9" x14ac:dyDescent="0.25">
      <c r="A5124" t="s">
        <v>9616</v>
      </c>
      <c r="C5124" t="s">
        <v>9617</v>
      </c>
      <c r="D5124" t="s">
        <v>12383</v>
      </c>
      <c r="E5124" t="str">
        <f>"1200"</f>
        <v>1200</v>
      </c>
      <c r="F5124" s="1">
        <v>45821</v>
      </c>
      <c r="G5124" t="str">
        <f>"300133"</f>
        <v>300133</v>
      </c>
      <c r="H5124" t="s">
        <v>2955</v>
      </c>
      <c r="I5124">
        <v>7752</v>
      </c>
    </row>
    <row r="5125" spans="1:9" x14ac:dyDescent="0.25">
      <c r="A5125" t="s">
        <v>9616</v>
      </c>
      <c r="C5125" t="s">
        <v>9617</v>
      </c>
      <c r="D5125" t="str">
        <f>"80200933"</f>
        <v>80200933</v>
      </c>
      <c r="E5125" t="s">
        <v>1313</v>
      </c>
      <c r="F5125" s="1">
        <v>45821</v>
      </c>
      <c r="G5125" t="str">
        <f>"300381"</f>
        <v>300381</v>
      </c>
      <c r="H5125" t="s">
        <v>3118</v>
      </c>
      <c r="I5125">
        <v>340585.34399999998</v>
      </c>
    </row>
    <row r="5126" spans="1:9" x14ac:dyDescent="0.25">
      <c r="A5126" t="s">
        <v>9616</v>
      </c>
      <c r="C5126" t="s">
        <v>9617</v>
      </c>
      <c r="D5126" t="str">
        <f>"54697"</f>
        <v>54697</v>
      </c>
      <c r="E5126" t="s">
        <v>12384</v>
      </c>
      <c r="F5126" s="1">
        <v>45824</v>
      </c>
      <c r="G5126" t="str">
        <f>"300043"</f>
        <v>300043</v>
      </c>
      <c r="H5126" t="s">
        <v>2876</v>
      </c>
      <c r="I5126">
        <v>1303</v>
      </c>
    </row>
    <row r="5127" spans="1:9" x14ac:dyDescent="0.25">
      <c r="A5127" t="s">
        <v>9616</v>
      </c>
      <c r="C5127" t="s">
        <v>9617</v>
      </c>
      <c r="D5127" t="str">
        <f>"55056"</f>
        <v>55056</v>
      </c>
      <c r="E5127" t="s">
        <v>12385</v>
      </c>
      <c r="F5127" s="1">
        <v>45824</v>
      </c>
      <c r="G5127" t="str">
        <f>"300043"</f>
        <v>300043</v>
      </c>
      <c r="H5127" t="s">
        <v>2876</v>
      </c>
      <c r="I5127">
        <v>829</v>
      </c>
    </row>
    <row r="5128" spans="1:9" x14ac:dyDescent="0.25">
      <c r="A5128" t="s">
        <v>9616</v>
      </c>
      <c r="C5128" t="s">
        <v>9617</v>
      </c>
      <c r="D5128" t="s">
        <v>12386</v>
      </c>
      <c r="E5128" s="4">
        <v>45931</v>
      </c>
      <c r="F5128" s="1">
        <v>45824</v>
      </c>
      <c r="G5128" t="str">
        <f>"300101"</f>
        <v>300101</v>
      </c>
      <c r="H5128" t="s">
        <v>2926</v>
      </c>
      <c r="I5128">
        <v>4566.01</v>
      </c>
    </row>
    <row r="5129" spans="1:9" x14ac:dyDescent="0.25">
      <c r="A5129" t="s">
        <v>9616</v>
      </c>
      <c r="C5129" t="s">
        <v>9617</v>
      </c>
      <c r="D5129" t="s">
        <v>12387</v>
      </c>
      <c r="E5129" s="4">
        <v>45962</v>
      </c>
      <c r="F5129" s="1">
        <v>45824</v>
      </c>
      <c r="G5129" t="str">
        <f>"300101"</f>
        <v>300101</v>
      </c>
      <c r="H5129" t="s">
        <v>2926</v>
      </c>
      <c r="I5129">
        <v>3547.64</v>
      </c>
    </row>
    <row r="5130" spans="1:9" x14ac:dyDescent="0.25">
      <c r="A5130" t="s">
        <v>9616</v>
      </c>
      <c r="C5130" t="s">
        <v>9617</v>
      </c>
      <c r="D5130" t="s">
        <v>12388</v>
      </c>
      <c r="E5130" s="4">
        <v>45992</v>
      </c>
      <c r="F5130" s="1">
        <v>45824</v>
      </c>
      <c r="G5130" t="str">
        <f>"300101"</f>
        <v>300101</v>
      </c>
      <c r="H5130" t="s">
        <v>2926</v>
      </c>
      <c r="I5130">
        <v>3887.1</v>
      </c>
    </row>
    <row r="5131" spans="1:9" x14ac:dyDescent="0.25">
      <c r="A5131" t="s">
        <v>9616</v>
      </c>
      <c r="C5131" t="s">
        <v>9617</v>
      </c>
      <c r="D5131" t="str">
        <f>"10168219"</f>
        <v>10168219</v>
      </c>
      <c r="E5131" t="s">
        <v>9438</v>
      </c>
      <c r="F5131" s="1">
        <v>45824</v>
      </c>
      <c r="G5131" t="str">
        <f>"300115"</f>
        <v>300115</v>
      </c>
      <c r="H5131" t="s">
        <v>2938</v>
      </c>
      <c r="I5131">
        <v>346254.57900000003</v>
      </c>
    </row>
    <row r="5132" spans="1:9" x14ac:dyDescent="0.25">
      <c r="A5132" t="s">
        <v>9616</v>
      </c>
      <c r="C5132" t="s">
        <v>9617</v>
      </c>
      <c r="D5132" t="s">
        <v>12389</v>
      </c>
      <c r="E5132" t="s">
        <v>12374</v>
      </c>
      <c r="F5132" s="1">
        <v>45824</v>
      </c>
      <c r="G5132" t="str">
        <f>"300191"</f>
        <v>300191</v>
      </c>
      <c r="H5132" t="s">
        <v>3008</v>
      </c>
      <c r="I5132">
        <v>3277.56</v>
      </c>
    </row>
    <row r="5133" spans="1:9" x14ac:dyDescent="0.25">
      <c r="A5133" t="s">
        <v>9616</v>
      </c>
      <c r="C5133" t="s">
        <v>9617</v>
      </c>
      <c r="D5133" t="str">
        <f>"80200813"</f>
        <v>80200813</v>
      </c>
      <c r="E5133" t="s">
        <v>1313</v>
      </c>
      <c r="F5133" s="1">
        <v>45824</v>
      </c>
      <c r="G5133" t="str">
        <f>"300381"</f>
        <v>300381</v>
      </c>
      <c r="H5133" t="s">
        <v>3118</v>
      </c>
      <c r="I5133">
        <v>340585.34399999998</v>
      </c>
    </row>
    <row r="5134" spans="1:9" x14ac:dyDescent="0.25">
      <c r="A5134" t="s">
        <v>9616</v>
      </c>
      <c r="C5134" t="s">
        <v>9617</v>
      </c>
      <c r="D5134" t="str">
        <f>"7319"</f>
        <v>7319</v>
      </c>
      <c r="E5134" t="s">
        <v>11471</v>
      </c>
      <c r="F5134" s="1">
        <v>45825</v>
      </c>
      <c r="G5134" t="str">
        <f>"300043"</f>
        <v>300043</v>
      </c>
      <c r="H5134" t="s">
        <v>2876</v>
      </c>
      <c r="I5134">
        <v>4147</v>
      </c>
    </row>
    <row r="5135" spans="1:9" x14ac:dyDescent="0.25">
      <c r="A5135" t="s">
        <v>9616</v>
      </c>
      <c r="C5135" t="s">
        <v>9617</v>
      </c>
      <c r="D5135" t="str">
        <f>"55268"</f>
        <v>55268</v>
      </c>
      <c r="E5135" t="s">
        <v>12390</v>
      </c>
      <c r="F5135" s="1">
        <v>45825</v>
      </c>
      <c r="G5135" t="str">
        <f>"300043"</f>
        <v>300043</v>
      </c>
      <c r="H5135" t="s">
        <v>2876</v>
      </c>
      <c r="I5135">
        <v>1305</v>
      </c>
    </row>
    <row r="5136" spans="1:9" x14ac:dyDescent="0.25">
      <c r="A5136" t="s">
        <v>9616</v>
      </c>
      <c r="C5136" t="s">
        <v>9617</v>
      </c>
      <c r="D5136" t="s">
        <v>12391</v>
      </c>
      <c r="E5136" t="s">
        <v>12385</v>
      </c>
      <c r="F5136" s="1">
        <v>45825</v>
      </c>
      <c r="G5136" t="str">
        <f>"300321"</f>
        <v>300321</v>
      </c>
      <c r="H5136" t="s">
        <v>2706</v>
      </c>
      <c r="I5136">
        <v>30000</v>
      </c>
    </row>
    <row r="5137" spans="1:9" x14ac:dyDescent="0.25">
      <c r="A5137" t="s">
        <v>9616</v>
      </c>
      <c r="C5137" t="s">
        <v>9617</v>
      </c>
      <c r="D5137" t="s">
        <v>12392</v>
      </c>
      <c r="E5137" t="s">
        <v>12370</v>
      </c>
      <c r="F5137" s="1">
        <v>45825</v>
      </c>
      <c r="G5137" t="str">
        <f>"300321"</f>
        <v>300321</v>
      </c>
      <c r="H5137" t="s">
        <v>2706</v>
      </c>
      <c r="I5137">
        <v>31500</v>
      </c>
    </row>
    <row r="5138" spans="1:9" x14ac:dyDescent="0.25">
      <c r="A5138" t="s">
        <v>9616</v>
      </c>
      <c r="C5138" t="s">
        <v>9617</v>
      </c>
      <c r="D5138" t="s">
        <v>12393</v>
      </c>
      <c r="E5138" t="s">
        <v>12369</v>
      </c>
      <c r="F5138" s="1">
        <v>45825</v>
      </c>
      <c r="G5138" t="str">
        <f>"300321"</f>
        <v>300321</v>
      </c>
      <c r="H5138" t="s">
        <v>2706</v>
      </c>
      <c r="I5138">
        <v>31500</v>
      </c>
    </row>
    <row r="5139" spans="1:9" x14ac:dyDescent="0.25">
      <c r="A5139" t="s">
        <v>9616</v>
      </c>
      <c r="C5139" t="s">
        <v>9617</v>
      </c>
      <c r="D5139" t="s">
        <v>12394</v>
      </c>
      <c r="E5139" t="s">
        <v>12384</v>
      </c>
      <c r="F5139" s="1">
        <v>45825</v>
      </c>
      <c r="G5139" t="str">
        <f>"300321"</f>
        <v>300321</v>
      </c>
      <c r="H5139" t="s">
        <v>2706</v>
      </c>
      <c r="I5139">
        <v>27000</v>
      </c>
    </row>
    <row r="5140" spans="1:9" x14ac:dyDescent="0.25">
      <c r="A5140" t="s">
        <v>9616</v>
      </c>
      <c r="C5140" t="s">
        <v>9617</v>
      </c>
      <c r="D5140" t="s">
        <v>12395</v>
      </c>
      <c r="E5140" t="s">
        <v>12374</v>
      </c>
      <c r="F5140" s="1">
        <v>45825</v>
      </c>
      <c r="G5140" t="str">
        <f>"300321"</f>
        <v>300321</v>
      </c>
      <c r="H5140" t="s">
        <v>2706</v>
      </c>
      <c r="I5140">
        <v>21000</v>
      </c>
    </row>
    <row r="5141" spans="1:9" x14ac:dyDescent="0.25">
      <c r="A5141" t="s">
        <v>9616</v>
      </c>
      <c r="C5141" t="s">
        <v>9617</v>
      </c>
      <c r="D5141" t="str">
        <f>"55726"</f>
        <v>55726</v>
      </c>
      <c r="E5141" t="s">
        <v>12396</v>
      </c>
      <c r="F5141" s="1">
        <v>45826</v>
      </c>
      <c r="G5141" t="str">
        <f>"300043"</f>
        <v>300043</v>
      </c>
      <c r="H5141" t="s">
        <v>2876</v>
      </c>
      <c r="I5141">
        <v>1303</v>
      </c>
    </row>
    <row r="5142" spans="1:9" x14ac:dyDescent="0.25">
      <c r="A5142" t="s">
        <v>9616</v>
      </c>
      <c r="C5142" t="s">
        <v>9617</v>
      </c>
      <c r="D5142" t="str">
        <f>"55889"</f>
        <v>55889</v>
      </c>
      <c r="E5142" t="s">
        <v>12397</v>
      </c>
      <c r="F5142" s="1">
        <v>45826</v>
      </c>
      <c r="G5142" t="str">
        <f>"300043"</f>
        <v>300043</v>
      </c>
      <c r="H5142" t="s">
        <v>2876</v>
      </c>
      <c r="I5142">
        <v>1312</v>
      </c>
    </row>
    <row r="5143" spans="1:9" x14ac:dyDescent="0.25">
      <c r="A5143" t="s">
        <v>9616</v>
      </c>
      <c r="C5143" t="s">
        <v>9617</v>
      </c>
      <c r="D5143" t="str">
        <f>"86021"</f>
        <v>86021</v>
      </c>
      <c r="E5143" t="s">
        <v>12377</v>
      </c>
      <c r="F5143" s="1">
        <v>45826</v>
      </c>
      <c r="G5143" t="str">
        <f>"300043"</f>
        <v>300043</v>
      </c>
      <c r="H5143" t="s">
        <v>2876</v>
      </c>
      <c r="I5143">
        <v>377</v>
      </c>
    </row>
    <row r="5144" spans="1:9" x14ac:dyDescent="0.25">
      <c r="A5144" t="s">
        <v>9616</v>
      </c>
      <c r="C5144" t="s">
        <v>9617</v>
      </c>
      <c r="D5144" t="s">
        <v>12398</v>
      </c>
      <c r="E5144" t="s">
        <v>12390</v>
      </c>
      <c r="F5144" s="1">
        <v>45826</v>
      </c>
      <c r="G5144" t="str">
        <f>"300321"</f>
        <v>300321</v>
      </c>
      <c r="H5144" t="s">
        <v>2706</v>
      </c>
      <c r="I5144">
        <v>27000</v>
      </c>
    </row>
    <row r="5145" spans="1:9" x14ac:dyDescent="0.25">
      <c r="A5145" t="s">
        <v>9616</v>
      </c>
      <c r="C5145" t="s">
        <v>9617</v>
      </c>
      <c r="D5145" t="s">
        <v>12399</v>
      </c>
      <c r="E5145" t="s">
        <v>12370</v>
      </c>
      <c r="F5145" s="1">
        <v>45826</v>
      </c>
      <c r="G5145" t="str">
        <f>"300423"</f>
        <v>300423</v>
      </c>
      <c r="H5145" t="s">
        <v>3156</v>
      </c>
      <c r="I5145">
        <v>3989.59</v>
      </c>
    </row>
    <row r="5146" spans="1:9" x14ac:dyDescent="0.25">
      <c r="A5146" t="s">
        <v>9616</v>
      </c>
      <c r="C5146" t="s">
        <v>9617</v>
      </c>
      <c r="D5146" t="s">
        <v>12400</v>
      </c>
      <c r="E5146" t="s">
        <v>12367</v>
      </c>
      <c r="F5146" s="1">
        <v>45826</v>
      </c>
      <c r="G5146" t="str">
        <f>"300423"</f>
        <v>300423</v>
      </c>
      <c r="H5146" t="s">
        <v>3156</v>
      </c>
      <c r="I5146">
        <v>3715.64</v>
      </c>
    </row>
    <row r="5147" spans="1:9" x14ac:dyDescent="0.25">
      <c r="A5147" t="s">
        <v>9616</v>
      </c>
      <c r="C5147" t="s">
        <v>9617</v>
      </c>
      <c r="D5147" t="s">
        <v>12401</v>
      </c>
      <c r="E5147" t="s">
        <v>12369</v>
      </c>
      <c r="F5147" s="1">
        <v>45826</v>
      </c>
      <c r="G5147" t="str">
        <f>"300423"</f>
        <v>300423</v>
      </c>
      <c r="H5147" t="s">
        <v>3156</v>
      </c>
      <c r="I5147">
        <v>3206.46</v>
      </c>
    </row>
    <row r="5148" spans="1:9" x14ac:dyDescent="0.25">
      <c r="A5148" t="s">
        <v>9616</v>
      </c>
      <c r="C5148" t="s">
        <v>9617</v>
      </c>
      <c r="D5148" t="s">
        <v>12402</v>
      </c>
      <c r="E5148" t="s">
        <v>12377</v>
      </c>
      <c r="F5148" s="1">
        <v>45827</v>
      </c>
      <c r="G5148" t="str">
        <f>"300191"</f>
        <v>300191</v>
      </c>
      <c r="H5148" t="s">
        <v>3008</v>
      </c>
      <c r="I5148">
        <v>4093.2</v>
      </c>
    </row>
    <row r="5149" spans="1:9" x14ac:dyDescent="0.25">
      <c r="A5149" t="s">
        <v>9616</v>
      </c>
      <c r="C5149" t="s">
        <v>9617</v>
      </c>
      <c r="D5149" t="s">
        <v>12403</v>
      </c>
      <c r="E5149" t="s">
        <v>9460</v>
      </c>
      <c r="F5149" s="1">
        <v>45827</v>
      </c>
      <c r="G5149" t="str">
        <f>"300220"</f>
        <v>300220</v>
      </c>
      <c r="H5149" t="s">
        <v>2170</v>
      </c>
      <c r="I5149">
        <v>1099707.8400000001</v>
      </c>
    </row>
    <row r="5150" spans="1:9" x14ac:dyDescent="0.25">
      <c r="A5150" t="s">
        <v>9616</v>
      </c>
      <c r="C5150" t="s">
        <v>9617</v>
      </c>
      <c r="D5150" t="s">
        <v>12404</v>
      </c>
      <c r="E5150" t="s">
        <v>12405</v>
      </c>
      <c r="F5150" s="1">
        <v>45827</v>
      </c>
      <c r="G5150" t="str">
        <f>"300220"</f>
        <v>300220</v>
      </c>
      <c r="H5150" t="s">
        <v>2170</v>
      </c>
      <c r="I5150">
        <v>1099707.8400000001</v>
      </c>
    </row>
    <row r="5151" spans="1:9" x14ac:dyDescent="0.25">
      <c r="A5151" t="s">
        <v>9616</v>
      </c>
      <c r="C5151" t="s">
        <v>9617</v>
      </c>
      <c r="D5151" t="s">
        <v>12406</v>
      </c>
      <c r="E5151" t="s">
        <v>12407</v>
      </c>
      <c r="F5151" s="1">
        <v>45827</v>
      </c>
      <c r="G5151" t="str">
        <f>"300220"</f>
        <v>300220</v>
      </c>
      <c r="H5151" t="s">
        <v>2170</v>
      </c>
      <c r="I5151">
        <v>1270329.9839999999</v>
      </c>
    </row>
    <row r="5152" spans="1:9" x14ac:dyDescent="0.25">
      <c r="A5152" t="s">
        <v>9616</v>
      </c>
      <c r="C5152" t="s">
        <v>9617</v>
      </c>
      <c r="D5152" t="s">
        <v>12408</v>
      </c>
      <c r="E5152" t="s">
        <v>12396</v>
      </c>
      <c r="F5152" s="1">
        <v>45827</v>
      </c>
      <c r="G5152" t="str">
        <f>"300321"</f>
        <v>300321</v>
      </c>
      <c r="H5152" t="s">
        <v>2706</v>
      </c>
      <c r="I5152">
        <v>25300</v>
      </c>
    </row>
    <row r="5153" spans="1:9" x14ac:dyDescent="0.25">
      <c r="A5153" t="s">
        <v>9616</v>
      </c>
      <c r="C5153" t="s">
        <v>9617</v>
      </c>
      <c r="D5153" t="s">
        <v>12409</v>
      </c>
      <c r="E5153" t="s">
        <v>12397</v>
      </c>
      <c r="F5153" s="1">
        <v>45828</v>
      </c>
      <c r="G5153" t="str">
        <f>"300191"</f>
        <v>300191</v>
      </c>
      <c r="H5153" t="s">
        <v>3008</v>
      </c>
      <c r="I5153">
        <v>3277.56</v>
      </c>
    </row>
    <row r="5154" spans="1:9" x14ac:dyDescent="0.25">
      <c r="A5154" t="s">
        <v>9616</v>
      </c>
      <c r="C5154" t="s">
        <v>9617</v>
      </c>
      <c r="D5154" t="s">
        <v>12410</v>
      </c>
      <c r="E5154" t="s">
        <v>12164</v>
      </c>
      <c r="F5154" s="1">
        <v>45828</v>
      </c>
      <c r="G5154" t="str">
        <f>"300321"</f>
        <v>300321</v>
      </c>
      <c r="H5154" t="s">
        <v>2706</v>
      </c>
      <c r="I5154">
        <v>15400</v>
      </c>
    </row>
    <row r="5155" spans="1:9" x14ac:dyDescent="0.25">
      <c r="A5155" t="s">
        <v>9616</v>
      </c>
      <c r="C5155" t="s">
        <v>9617</v>
      </c>
      <c r="D5155" t="str">
        <f>"80200791"</f>
        <v>80200791</v>
      </c>
      <c r="E5155" t="s">
        <v>2172</v>
      </c>
      <c r="F5155" s="1">
        <v>45828</v>
      </c>
      <c r="G5155" t="str">
        <f>"300381"</f>
        <v>300381</v>
      </c>
      <c r="H5155" t="s">
        <v>3118</v>
      </c>
      <c r="I5155">
        <v>333907.20000000001</v>
      </c>
    </row>
    <row r="5156" spans="1:9" x14ac:dyDescent="0.25">
      <c r="A5156" t="s">
        <v>9616</v>
      </c>
      <c r="C5156" t="s">
        <v>9617</v>
      </c>
      <c r="D5156" t="str">
        <f>"80201209"</f>
        <v>80201209</v>
      </c>
      <c r="E5156" t="s">
        <v>12411</v>
      </c>
      <c r="F5156" s="1">
        <v>45828</v>
      </c>
      <c r="G5156" t="str">
        <f>"300381"</f>
        <v>300381</v>
      </c>
      <c r="H5156" t="s">
        <v>3118</v>
      </c>
      <c r="I5156">
        <v>187527.34</v>
      </c>
    </row>
    <row r="5157" spans="1:9" x14ac:dyDescent="0.25">
      <c r="A5157" t="s">
        <v>9616</v>
      </c>
      <c r="C5157" t="s">
        <v>9617</v>
      </c>
      <c r="D5157" t="s">
        <v>12412</v>
      </c>
      <c r="E5157" t="s">
        <v>12390</v>
      </c>
      <c r="F5157" s="1">
        <v>45829</v>
      </c>
      <c r="G5157" t="str">
        <f>"300423"</f>
        <v>300423</v>
      </c>
      <c r="H5157" t="s">
        <v>3156</v>
      </c>
      <c r="I5157">
        <v>3206.46</v>
      </c>
    </row>
    <row r="5158" spans="1:9" x14ac:dyDescent="0.25">
      <c r="A5158" t="s">
        <v>9616</v>
      </c>
      <c r="C5158" t="s">
        <v>9617</v>
      </c>
      <c r="D5158" t="s">
        <v>12413</v>
      </c>
      <c r="E5158" t="s">
        <v>12385</v>
      </c>
      <c r="F5158" s="1">
        <v>45829</v>
      </c>
      <c r="G5158" t="str">
        <f>"300423"</f>
        <v>300423</v>
      </c>
      <c r="H5158" t="s">
        <v>3156</v>
      </c>
      <c r="I5158">
        <v>3206.46</v>
      </c>
    </row>
    <row r="5159" spans="1:9" x14ac:dyDescent="0.25">
      <c r="A5159" t="s">
        <v>9616</v>
      </c>
      <c r="C5159" t="s">
        <v>9617</v>
      </c>
      <c r="D5159" t="s">
        <v>12414</v>
      </c>
      <c r="E5159" t="s">
        <v>12384</v>
      </c>
      <c r="F5159" s="1">
        <v>45829</v>
      </c>
      <c r="G5159" t="str">
        <f>"300423"</f>
        <v>300423</v>
      </c>
      <c r="H5159" t="s">
        <v>3156</v>
      </c>
      <c r="I5159">
        <v>3206.46</v>
      </c>
    </row>
    <row r="5160" spans="1:9" x14ac:dyDescent="0.25">
      <c r="A5160" t="s">
        <v>9616</v>
      </c>
      <c r="C5160" t="s">
        <v>9617</v>
      </c>
      <c r="D5160" t="s">
        <v>12415</v>
      </c>
      <c r="E5160" t="s">
        <v>12396</v>
      </c>
      <c r="F5160" s="1">
        <v>45829</v>
      </c>
      <c r="G5160" t="str">
        <f>"300423"</f>
        <v>300423</v>
      </c>
      <c r="H5160" t="s">
        <v>3156</v>
      </c>
      <c r="I5160">
        <v>3206.46</v>
      </c>
    </row>
    <row r="5161" spans="1:9" x14ac:dyDescent="0.25">
      <c r="A5161" t="s">
        <v>9616</v>
      </c>
      <c r="C5161" t="s">
        <v>9617</v>
      </c>
      <c r="D5161" t="str">
        <f>"57180"</f>
        <v>57180</v>
      </c>
      <c r="E5161" t="s">
        <v>12416</v>
      </c>
      <c r="F5161" s="1">
        <v>45831</v>
      </c>
      <c r="G5161" t="str">
        <f>"300043"</f>
        <v>300043</v>
      </c>
      <c r="H5161" t="s">
        <v>2876</v>
      </c>
      <c r="I5161">
        <v>1280</v>
      </c>
    </row>
    <row r="5162" spans="1:9" x14ac:dyDescent="0.25">
      <c r="A5162" t="s">
        <v>9616</v>
      </c>
      <c r="C5162" t="s">
        <v>9617</v>
      </c>
      <c r="D5162" t="str">
        <f>"57390"</f>
        <v>57390</v>
      </c>
      <c r="E5162" t="s">
        <v>12417</v>
      </c>
      <c r="F5162" s="1">
        <v>45831</v>
      </c>
      <c r="G5162" t="str">
        <f>"300043"</f>
        <v>300043</v>
      </c>
      <c r="H5162" t="s">
        <v>2876</v>
      </c>
      <c r="I5162">
        <v>814</v>
      </c>
    </row>
    <row r="5163" spans="1:9" x14ac:dyDescent="0.25">
      <c r="A5163" t="s">
        <v>9616</v>
      </c>
      <c r="C5163" t="s">
        <v>9617</v>
      </c>
      <c r="D5163" t="s">
        <v>12418</v>
      </c>
      <c r="E5163" t="s">
        <v>12419</v>
      </c>
      <c r="F5163" s="1">
        <v>45831</v>
      </c>
      <c r="G5163" t="str">
        <f>"300101"</f>
        <v>300101</v>
      </c>
      <c r="H5163" t="s">
        <v>2926</v>
      </c>
      <c r="I5163">
        <v>3038.46</v>
      </c>
    </row>
    <row r="5164" spans="1:9" x14ac:dyDescent="0.25">
      <c r="A5164" t="s">
        <v>9616</v>
      </c>
      <c r="C5164" t="s">
        <v>9617</v>
      </c>
      <c r="D5164" t="s">
        <v>12420</v>
      </c>
      <c r="E5164" t="s">
        <v>12379</v>
      </c>
      <c r="F5164" s="1">
        <v>45831</v>
      </c>
      <c r="G5164" t="str">
        <f>"300101"</f>
        <v>300101</v>
      </c>
      <c r="H5164" t="s">
        <v>2926</v>
      </c>
      <c r="I5164">
        <v>3377.92</v>
      </c>
    </row>
    <row r="5165" spans="1:9" x14ac:dyDescent="0.25">
      <c r="A5165" t="s">
        <v>9616</v>
      </c>
      <c r="C5165" t="s">
        <v>9617</v>
      </c>
      <c r="D5165" t="s">
        <v>12421</v>
      </c>
      <c r="E5165" t="s">
        <v>12371</v>
      </c>
      <c r="F5165" s="1">
        <v>45831</v>
      </c>
      <c r="G5165" t="str">
        <f>"300101"</f>
        <v>300101</v>
      </c>
      <c r="H5165" t="s">
        <v>2926</v>
      </c>
      <c r="I5165">
        <v>3038.46</v>
      </c>
    </row>
    <row r="5166" spans="1:9" x14ac:dyDescent="0.25">
      <c r="A5166" t="s">
        <v>9616</v>
      </c>
      <c r="C5166" t="s">
        <v>9617</v>
      </c>
      <c r="D5166" t="s">
        <v>12422</v>
      </c>
      <c r="E5166" t="s">
        <v>12423</v>
      </c>
      <c r="F5166" s="1">
        <v>45831</v>
      </c>
      <c r="G5166" t="str">
        <f>"300101"</f>
        <v>300101</v>
      </c>
      <c r="H5166" t="s">
        <v>2926</v>
      </c>
      <c r="I5166">
        <v>3208.19</v>
      </c>
    </row>
    <row r="5167" spans="1:9" x14ac:dyDescent="0.25">
      <c r="A5167" t="s">
        <v>9616</v>
      </c>
      <c r="C5167" t="s">
        <v>9617</v>
      </c>
      <c r="D5167" t="s">
        <v>12424</v>
      </c>
      <c r="E5167" t="s">
        <v>12372</v>
      </c>
      <c r="F5167" s="1">
        <v>45831</v>
      </c>
      <c r="G5167" t="str">
        <f>"300101"</f>
        <v>300101</v>
      </c>
      <c r="H5167" t="s">
        <v>2926</v>
      </c>
      <c r="I5167">
        <v>4566.01</v>
      </c>
    </row>
    <row r="5168" spans="1:9" x14ac:dyDescent="0.25">
      <c r="A5168" t="s">
        <v>9616</v>
      </c>
      <c r="C5168" t="s">
        <v>9617</v>
      </c>
      <c r="D5168" t="s">
        <v>12425</v>
      </c>
      <c r="E5168" t="s">
        <v>10339</v>
      </c>
      <c r="F5168" s="1">
        <v>45831</v>
      </c>
      <c r="G5168" t="str">
        <f>"300133"</f>
        <v>300133</v>
      </c>
      <c r="H5168" t="s">
        <v>2955</v>
      </c>
      <c r="I5168">
        <v>45648</v>
      </c>
    </row>
    <row r="5169" spans="1:9" x14ac:dyDescent="0.25">
      <c r="A5169" t="s">
        <v>9616</v>
      </c>
      <c r="C5169" t="s">
        <v>9617</v>
      </c>
      <c r="D5169" t="str">
        <f>"80201328"</f>
        <v>80201328</v>
      </c>
      <c r="E5169" t="s">
        <v>12405</v>
      </c>
      <c r="F5169" s="1">
        <v>45831</v>
      </c>
      <c r="G5169" t="str">
        <f>"300381"</f>
        <v>300381</v>
      </c>
      <c r="H5169" t="s">
        <v>3118</v>
      </c>
      <c r="I5169">
        <v>294624</v>
      </c>
    </row>
    <row r="5170" spans="1:9" x14ac:dyDescent="0.25">
      <c r="A5170" t="s">
        <v>9616</v>
      </c>
      <c r="C5170" t="s">
        <v>9617</v>
      </c>
      <c r="D5170" t="str">
        <f>"80201329"</f>
        <v>80201329</v>
      </c>
      <c r="E5170" t="s">
        <v>12426</v>
      </c>
      <c r="F5170" s="1">
        <v>45831</v>
      </c>
      <c r="G5170" t="str">
        <f>"300381"</f>
        <v>300381</v>
      </c>
      <c r="H5170" t="s">
        <v>3118</v>
      </c>
      <c r="I5170">
        <v>294624</v>
      </c>
    </row>
    <row r="5171" spans="1:9" x14ac:dyDescent="0.25">
      <c r="A5171" t="s">
        <v>9616</v>
      </c>
      <c r="C5171" t="s">
        <v>9617</v>
      </c>
      <c r="D5171" t="str">
        <f>"57988"</f>
        <v>57988</v>
      </c>
      <c r="E5171" t="s">
        <v>12427</v>
      </c>
      <c r="F5171" s="1">
        <v>45832</v>
      </c>
      <c r="G5171" t="str">
        <f>"300043"</f>
        <v>300043</v>
      </c>
      <c r="H5171" t="s">
        <v>2876</v>
      </c>
      <c r="I5171">
        <v>4388</v>
      </c>
    </row>
    <row r="5172" spans="1:9" x14ac:dyDescent="0.25">
      <c r="A5172" t="s">
        <v>9616</v>
      </c>
      <c r="C5172" t="s">
        <v>9617</v>
      </c>
      <c r="D5172" t="s">
        <v>12428</v>
      </c>
      <c r="E5172" t="s">
        <v>12416</v>
      </c>
      <c r="F5172" s="1">
        <v>45832</v>
      </c>
      <c r="G5172" t="str">
        <f>"300321"</f>
        <v>300321</v>
      </c>
      <c r="H5172" t="s">
        <v>2706</v>
      </c>
      <c r="I5172">
        <v>25300</v>
      </c>
    </row>
    <row r="5173" spans="1:9" x14ac:dyDescent="0.25">
      <c r="A5173" t="s">
        <v>9616</v>
      </c>
      <c r="C5173" t="s">
        <v>9617</v>
      </c>
      <c r="D5173" t="s">
        <v>12429</v>
      </c>
      <c r="E5173" t="s">
        <v>12417</v>
      </c>
      <c r="F5173" s="1">
        <v>45832</v>
      </c>
      <c r="G5173" t="str">
        <f>"300321"</f>
        <v>300321</v>
      </c>
      <c r="H5173" t="s">
        <v>2706</v>
      </c>
      <c r="I5173">
        <v>25300</v>
      </c>
    </row>
    <row r="5174" spans="1:9" x14ac:dyDescent="0.25">
      <c r="A5174" t="s">
        <v>9616</v>
      </c>
      <c r="C5174" t="s">
        <v>9617</v>
      </c>
      <c r="D5174" t="str">
        <f>"80201355"</f>
        <v>80201355</v>
      </c>
      <c r="E5174" t="s">
        <v>9438</v>
      </c>
      <c r="F5174" s="1">
        <v>45832</v>
      </c>
      <c r="G5174" t="str">
        <f>"300381"</f>
        <v>300381</v>
      </c>
      <c r="H5174" t="s">
        <v>3118</v>
      </c>
      <c r="I5174">
        <v>192885.264</v>
      </c>
    </row>
    <row r="5175" spans="1:9" x14ac:dyDescent="0.25">
      <c r="A5175" t="s">
        <v>9616</v>
      </c>
      <c r="C5175" t="s">
        <v>9617</v>
      </c>
      <c r="D5175" t="str">
        <f>"80201356"</f>
        <v>80201356</v>
      </c>
      <c r="E5175" t="s">
        <v>9522</v>
      </c>
      <c r="F5175" s="1">
        <v>45832</v>
      </c>
      <c r="G5175" t="str">
        <f>"300381"</f>
        <v>300381</v>
      </c>
      <c r="H5175" t="s">
        <v>3118</v>
      </c>
      <c r="I5175">
        <v>192885.264</v>
      </c>
    </row>
    <row r="5176" spans="1:9" x14ac:dyDescent="0.25">
      <c r="A5176" t="s">
        <v>9616</v>
      </c>
      <c r="C5176" t="s">
        <v>9617</v>
      </c>
      <c r="D5176" t="str">
        <f>"80201377"</f>
        <v>80201377</v>
      </c>
      <c r="E5176" t="s">
        <v>8852</v>
      </c>
      <c r="F5176" s="1">
        <v>45832</v>
      </c>
      <c r="G5176" t="str">
        <f>"300381"</f>
        <v>300381</v>
      </c>
      <c r="H5176" t="s">
        <v>3118</v>
      </c>
      <c r="I5176">
        <v>350749.87199999997</v>
      </c>
    </row>
    <row r="5177" spans="1:9" x14ac:dyDescent="0.25">
      <c r="A5177" t="s">
        <v>9616</v>
      </c>
      <c r="C5177" t="s">
        <v>9617</v>
      </c>
      <c r="D5177" t="s">
        <v>12430</v>
      </c>
      <c r="F5177" s="1">
        <v>45833</v>
      </c>
      <c r="G5177" t="str">
        <f>"300391"</f>
        <v>300391</v>
      </c>
      <c r="H5177" t="s">
        <v>3128</v>
      </c>
      <c r="I5177">
        <v>9307.68</v>
      </c>
    </row>
    <row r="5178" spans="1:9" x14ac:dyDescent="0.25">
      <c r="A5178" t="s">
        <v>9616</v>
      </c>
      <c r="C5178" t="s">
        <v>9617</v>
      </c>
      <c r="D5178" t="str">
        <f>"7905"</f>
        <v>7905</v>
      </c>
      <c r="E5178" t="s">
        <v>11471</v>
      </c>
      <c r="F5178" s="1">
        <v>45834</v>
      </c>
      <c r="G5178" t="str">
        <f>"300043"</f>
        <v>300043</v>
      </c>
      <c r="H5178" t="s">
        <v>2876</v>
      </c>
      <c r="I5178">
        <v>4054</v>
      </c>
    </row>
    <row r="5179" spans="1:9" x14ac:dyDescent="0.25">
      <c r="A5179" t="s">
        <v>9616</v>
      </c>
      <c r="C5179" t="s">
        <v>9617</v>
      </c>
      <c r="D5179" t="str">
        <f>"58556"</f>
        <v>58556</v>
      </c>
      <c r="E5179" t="s">
        <v>12431</v>
      </c>
      <c r="F5179" s="1">
        <v>45834</v>
      </c>
      <c r="G5179" t="str">
        <f>"300043"</f>
        <v>300043</v>
      </c>
      <c r="H5179" t="s">
        <v>2876</v>
      </c>
      <c r="I5179">
        <v>1340</v>
      </c>
    </row>
    <row r="5180" spans="1:9" x14ac:dyDescent="0.25">
      <c r="A5180" t="s">
        <v>9616</v>
      </c>
      <c r="C5180" t="s">
        <v>9617</v>
      </c>
      <c r="D5180" t="str">
        <f>"58558"</f>
        <v>58558</v>
      </c>
      <c r="E5180" t="s">
        <v>12432</v>
      </c>
      <c r="F5180" s="1">
        <v>45834</v>
      </c>
      <c r="G5180" t="str">
        <f>"300043"</f>
        <v>300043</v>
      </c>
      <c r="H5180" t="s">
        <v>2876</v>
      </c>
      <c r="I5180">
        <v>832</v>
      </c>
    </row>
    <row r="5181" spans="1:9" x14ac:dyDescent="0.25">
      <c r="A5181" t="s">
        <v>9616</v>
      </c>
      <c r="C5181" t="s">
        <v>9617</v>
      </c>
      <c r="D5181" t="str">
        <f>"58594"</f>
        <v>58594</v>
      </c>
      <c r="E5181" t="s">
        <v>12433</v>
      </c>
      <c r="F5181" s="1">
        <v>45834</v>
      </c>
      <c r="G5181" t="str">
        <f>"300043"</f>
        <v>300043</v>
      </c>
      <c r="H5181" t="s">
        <v>2876</v>
      </c>
      <c r="I5181">
        <v>832</v>
      </c>
    </row>
    <row r="5182" spans="1:9" x14ac:dyDescent="0.25">
      <c r="A5182" t="s">
        <v>9616</v>
      </c>
      <c r="C5182" t="s">
        <v>9617</v>
      </c>
      <c r="D5182" t="s">
        <v>12434</v>
      </c>
      <c r="E5182" t="s">
        <v>12427</v>
      </c>
      <c r="F5182" s="1">
        <v>45834</v>
      </c>
      <c r="G5182" t="str">
        <f>"300321"</f>
        <v>300321</v>
      </c>
      <c r="H5182" t="s">
        <v>2706</v>
      </c>
      <c r="I5182">
        <v>56595</v>
      </c>
    </row>
    <row r="5183" spans="1:9" x14ac:dyDescent="0.25">
      <c r="A5183" t="s">
        <v>9616</v>
      </c>
      <c r="C5183" t="s">
        <v>9617</v>
      </c>
      <c r="D5183" t="str">
        <f>"80201448"</f>
        <v>80201448</v>
      </c>
      <c r="E5183" t="s">
        <v>9189</v>
      </c>
      <c r="F5183" s="1">
        <v>45834</v>
      </c>
      <c r="G5183" t="str">
        <f>"300381"</f>
        <v>300381</v>
      </c>
      <c r="H5183" t="s">
        <v>3118</v>
      </c>
      <c r="I5183">
        <v>333907.20000000001</v>
      </c>
    </row>
    <row r="5184" spans="1:9" x14ac:dyDescent="0.25">
      <c r="A5184" t="s">
        <v>9616</v>
      </c>
      <c r="C5184" t="s">
        <v>9617</v>
      </c>
      <c r="D5184" t="s">
        <v>12435</v>
      </c>
      <c r="E5184" t="s">
        <v>12416</v>
      </c>
      <c r="F5184" s="1">
        <v>45834</v>
      </c>
      <c r="G5184" t="str">
        <f>"300423"</f>
        <v>300423</v>
      </c>
      <c r="H5184" t="s">
        <v>3156</v>
      </c>
      <c r="I5184">
        <v>3206.46</v>
      </c>
    </row>
    <row r="5185" spans="1:9" x14ac:dyDescent="0.25">
      <c r="A5185" t="s">
        <v>9616</v>
      </c>
      <c r="C5185" t="s">
        <v>9617</v>
      </c>
      <c r="D5185" t="s">
        <v>12436</v>
      </c>
      <c r="E5185" t="s">
        <v>12417</v>
      </c>
      <c r="F5185" s="1">
        <v>45834</v>
      </c>
      <c r="G5185" t="str">
        <f>"300423"</f>
        <v>300423</v>
      </c>
      <c r="H5185" t="s">
        <v>3156</v>
      </c>
      <c r="I5185">
        <v>3376.19</v>
      </c>
    </row>
    <row r="5186" spans="1:9" x14ac:dyDescent="0.25">
      <c r="A5186" t="s">
        <v>9616</v>
      </c>
      <c r="C5186" t="s">
        <v>9617</v>
      </c>
      <c r="D5186" t="s">
        <v>12437</v>
      </c>
      <c r="F5186" s="1">
        <v>45835</v>
      </c>
      <c r="G5186" t="str">
        <f>"300321"</f>
        <v>300321</v>
      </c>
      <c r="H5186" t="s">
        <v>2706</v>
      </c>
      <c r="I5186">
        <v>25300</v>
      </c>
    </row>
    <row r="5187" spans="1:9" x14ac:dyDescent="0.25">
      <c r="A5187" t="s">
        <v>9616</v>
      </c>
      <c r="C5187" t="s">
        <v>9617</v>
      </c>
      <c r="D5187" t="str">
        <f>"80201449"</f>
        <v>80201449</v>
      </c>
      <c r="E5187" t="s">
        <v>9438</v>
      </c>
      <c r="F5187" s="1">
        <v>45835</v>
      </c>
      <c r="G5187" t="str">
        <f>"300381"</f>
        <v>300381</v>
      </c>
      <c r="H5187" t="s">
        <v>3118</v>
      </c>
      <c r="I5187">
        <v>192038.63800000001</v>
      </c>
    </row>
    <row r="5188" spans="1:9" x14ac:dyDescent="0.25">
      <c r="A5188" t="s">
        <v>9616</v>
      </c>
      <c r="C5188" t="s">
        <v>9617</v>
      </c>
      <c r="D5188" t="s">
        <v>12438</v>
      </c>
      <c r="E5188" t="s">
        <v>12433</v>
      </c>
      <c r="F5188" s="1">
        <v>45836</v>
      </c>
      <c r="G5188" t="str">
        <f>"300321"</f>
        <v>300321</v>
      </c>
      <c r="H5188" t="s">
        <v>2706</v>
      </c>
      <c r="I5188">
        <v>27500</v>
      </c>
    </row>
    <row r="5189" spans="1:9" x14ac:dyDescent="0.25">
      <c r="A5189" t="s">
        <v>9616</v>
      </c>
      <c r="C5189" t="s">
        <v>9617</v>
      </c>
      <c r="D5189" t="s">
        <v>12439</v>
      </c>
      <c r="E5189" t="s">
        <v>12432</v>
      </c>
      <c r="F5189" s="1">
        <v>45836</v>
      </c>
      <c r="G5189" t="str">
        <f>"300321"</f>
        <v>300321</v>
      </c>
      <c r="H5189" t="s">
        <v>2706</v>
      </c>
      <c r="I5189">
        <v>27500</v>
      </c>
    </row>
    <row r="5190" spans="1:9" x14ac:dyDescent="0.25">
      <c r="A5190" t="s">
        <v>9616</v>
      </c>
      <c r="C5190" t="s">
        <v>9617</v>
      </c>
      <c r="D5190" t="str">
        <f>"59385"</f>
        <v>59385</v>
      </c>
      <c r="E5190" t="s">
        <v>12440</v>
      </c>
      <c r="F5190" s="1">
        <v>45838</v>
      </c>
      <c r="G5190" t="str">
        <f>"300043"</f>
        <v>300043</v>
      </c>
      <c r="H5190" t="s">
        <v>2876</v>
      </c>
      <c r="I5190">
        <v>1288</v>
      </c>
    </row>
    <row r="5191" spans="1:9" x14ac:dyDescent="0.25">
      <c r="A5191" t="s">
        <v>9616</v>
      </c>
      <c r="C5191" t="s">
        <v>9617</v>
      </c>
      <c r="D5191" t="s">
        <v>12441</v>
      </c>
      <c r="E5191" t="s">
        <v>9460</v>
      </c>
      <c r="F5191" s="1">
        <v>45838</v>
      </c>
      <c r="G5191" t="str">
        <f>"300220"</f>
        <v>300220</v>
      </c>
      <c r="H5191" t="s">
        <v>2170</v>
      </c>
      <c r="I5191">
        <v>1142064</v>
      </c>
    </row>
    <row r="5192" spans="1:9" x14ac:dyDescent="0.25">
      <c r="A5192" t="s">
        <v>9616</v>
      </c>
      <c r="C5192" t="s">
        <v>9617</v>
      </c>
      <c r="D5192" t="s">
        <v>12442</v>
      </c>
      <c r="E5192" t="s">
        <v>12405</v>
      </c>
      <c r="F5192" s="1">
        <v>45838</v>
      </c>
      <c r="G5192" t="str">
        <f>"300220"</f>
        <v>300220</v>
      </c>
      <c r="H5192" t="s">
        <v>2170</v>
      </c>
      <c r="I5192">
        <v>1142064</v>
      </c>
    </row>
    <row r="5193" spans="1:9" x14ac:dyDescent="0.25">
      <c r="A5193" t="s">
        <v>9616</v>
      </c>
      <c r="C5193" t="s">
        <v>9617</v>
      </c>
      <c r="D5193" t="str">
        <f>"80201631"</f>
        <v>80201631</v>
      </c>
      <c r="E5193" t="s">
        <v>12443</v>
      </c>
      <c r="F5193" s="1">
        <v>45838</v>
      </c>
      <c r="G5193" t="str">
        <f>"300381"</f>
        <v>300381</v>
      </c>
      <c r="H5193" t="s">
        <v>3118</v>
      </c>
      <c r="I5193">
        <v>307377.40000000002</v>
      </c>
    </row>
    <row r="5194" spans="1:9" x14ac:dyDescent="0.25">
      <c r="A5194" t="s">
        <v>9616</v>
      </c>
      <c r="C5194" t="s">
        <v>9617</v>
      </c>
      <c r="D5194" t="str">
        <f>"80201632"</f>
        <v>80201632</v>
      </c>
      <c r="E5194" t="s">
        <v>9447</v>
      </c>
      <c r="F5194" s="1">
        <v>45838</v>
      </c>
      <c r="G5194" t="str">
        <f>"300381"</f>
        <v>300381</v>
      </c>
      <c r="H5194" t="s">
        <v>3118</v>
      </c>
      <c r="I5194">
        <v>307377.40000000002</v>
      </c>
    </row>
    <row r="5195" spans="1:9" x14ac:dyDescent="0.25">
      <c r="A5195" t="s">
        <v>9616</v>
      </c>
      <c r="C5195" t="s">
        <v>9617</v>
      </c>
      <c r="D5195" t="str">
        <f>"1900000171"</f>
        <v>1900000171</v>
      </c>
      <c r="E5195" t="s">
        <v>12444</v>
      </c>
      <c r="F5195" s="1">
        <v>45838</v>
      </c>
      <c r="G5195" t="str">
        <f>"300381"</f>
        <v>300381</v>
      </c>
      <c r="H5195" t="s">
        <v>3118</v>
      </c>
      <c r="I5195">
        <v>842.27</v>
      </c>
    </row>
    <row r="5196" spans="1:9" x14ac:dyDescent="0.25">
      <c r="A5196" t="s">
        <v>9616</v>
      </c>
      <c r="C5196" t="s">
        <v>9617</v>
      </c>
      <c r="D5196" t="s">
        <v>12445</v>
      </c>
      <c r="E5196" t="s">
        <v>12432</v>
      </c>
      <c r="F5196" s="1">
        <v>45838</v>
      </c>
      <c r="G5196" t="str">
        <f>"300423"</f>
        <v>300423</v>
      </c>
      <c r="H5196" t="s">
        <v>3156</v>
      </c>
      <c r="I5196">
        <v>3206.46</v>
      </c>
    </row>
    <row r="5197" spans="1:9" x14ac:dyDescent="0.25">
      <c r="A5197" t="s">
        <v>9616</v>
      </c>
      <c r="C5197" t="s">
        <v>9617</v>
      </c>
      <c r="D5197" t="s">
        <v>12446</v>
      </c>
      <c r="E5197" t="s">
        <v>12433</v>
      </c>
      <c r="F5197" s="1">
        <v>45838</v>
      </c>
      <c r="G5197" t="str">
        <f>"300423"</f>
        <v>300423</v>
      </c>
      <c r="H5197" t="s">
        <v>3156</v>
      </c>
      <c r="I5197">
        <v>3206.46</v>
      </c>
    </row>
    <row r="5198" spans="1:9" x14ac:dyDescent="0.25">
      <c r="A5198" t="s">
        <v>9616</v>
      </c>
      <c r="C5198" t="s">
        <v>9617</v>
      </c>
      <c r="D5198" t="s">
        <v>12447</v>
      </c>
      <c r="E5198" t="s">
        <v>12431</v>
      </c>
      <c r="F5198" s="1">
        <v>45838</v>
      </c>
      <c r="G5198" t="str">
        <f>"300423"</f>
        <v>300423</v>
      </c>
      <c r="H5198" t="s">
        <v>3156</v>
      </c>
      <c r="I5198">
        <v>3206.46</v>
      </c>
    </row>
    <row r="5199" spans="1:9" x14ac:dyDescent="0.25">
      <c r="A5199" t="s">
        <v>9616</v>
      </c>
      <c r="C5199" t="s">
        <v>9617</v>
      </c>
      <c r="D5199" t="s">
        <v>12448</v>
      </c>
      <c r="E5199" t="s">
        <v>12427</v>
      </c>
      <c r="F5199" s="1">
        <v>45838</v>
      </c>
      <c r="G5199" t="str">
        <f>"300423"</f>
        <v>300423</v>
      </c>
      <c r="H5199" t="s">
        <v>3156</v>
      </c>
      <c r="I5199">
        <v>3579.86</v>
      </c>
    </row>
    <row r="5200" spans="1:9" x14ac:dyDescent="0.25">
      <c r="A5200" t="s">
        <v>9616</v>
      </c>
      <c r="C5200" t="s">
        <v>9617</v>
      </c>
      <c r="D5200" t="s">
        <v>12449</v>
      </c>
      <c r="E5200" t="s">
        <v>12440</v>
      </c>
      <c r="F5200" s="1">
        <v>45838</v>
      </c>
      <c r="G5200" t="str">
        <f>"300423"</f>
        <v>300423</v>
      </c>
      <c r="H5200" t="s">
        <v>3156</v>
      </c>
      <c r="I5200">
        <v>3206.46</v>
      </c>
    </row>
    <row r="5201" spans="1:9" x14ac:dyDescent="0.25">
      <c r="A5201" t="s">
        <v>9616</v>
      </c>
      <c r="C5201" t="s">
        <v>9617</v>
      </c>
      <c r="D5201" t="str">
        <f>"9996"</f>
        <v>9996</v>
      </c>
      <c r="E5201" t="s">
        <v>12450</v>
      </c>
      <c r="F5201" s="1">
        <v>45839</v>
      </c>
      <c r="G5201" t="str">
        <f>"300043"</f>
        <v>300043</v>
      </c>
      <c r="H5201" t="s">
        <v>2876</v>
      </c>
      <c r="I5201">
        <v>829</v>
      </c>
    </row>
    <row r="5202" spans="1:9" x14ac:dyDescent="0.25">
      <c r="A5202" t="s">
        <v>9616</v>
      </c>
      <c r="C5202" t="s">
        <v>9617</v>
      </c>
      <c r="D5202" t="s">
        <v>12451</v>
      </c>
      <c r="E5202" t="s">
        <v>12440</v>
      </c>
      <c r="F5202" s="1">
        <v>45839</v>
      </c>
      <c r="G5202" t="str">
        <f>"300321"</f>
        <v>300321</v>
      </c>
      <c r="H5202" t="s">
        <v>2706</v>
      </c>
      <c r="I5202">
        <v>27500</v>
      </c>
    </row>
    <row r="5203" spans="1:9" x14ac:dyDescent="0.25">
      <c r="A5203" t="s">
        <v>9616</v>
      </c>
      <c r="C5203" t="s">
        <v>9617</v>
      </c>
      <c r="D5203" t="s">
        <v>12452</v>
      </c>
      <c r="F5203" s="1">
        <v>45839</v>
      </c>
      <c r="G5203" t="str">
        <f>"300321"</f>
        <v>300321</v>
      </c>
      <c r="H5203" t="s">
        <v>2706</v>
      </c>
      <c r="I5203">
        <v>27500</v>
      </c>
    </row>
    <row r="5204" spans="1:9" x14ac:dyDescent="0.25">
      <c r="A5204" t="s">
        <v>9616</v>
      </c>
      <c r="C5204" t="s">
        <v>9617</v>
      </c>
      <c r="D5204" t="str">
        <f>"80201782"</f>
        <v>80201782</v>
      </c>
      <c r="E5204" t="s">
        <v>9438</v>
      </c>
      <c r="F5204" s="1">
        <v>45839</v>
      </c>
      <c r="G5204" t="str">
        <f>"300381"</f>
        <v>300381</v>
      </c>
      <c r="H5204" t="s">
        <v>3118</v>
      </c>
      <c r="I5204">
        <v>230657.47099999999</v>
      </c>
    </row>
    <row r="5205" spans="1:9" x14ac:dyDescent="0.25">
      <c r="A5205" t="s">
        <v>9616</v>
      </c>
      <c r="C5205" t="s">
        <v>9617</v>
      </c>
      <c r="D5205" t="str">
        <f>"8105"</f>
        <v>8105</v>
      </c>
      <c r="E5205" t="s">
        <v>11471</v>
      </c>
      <c r="F5205" s="1">
        <v>45840</v>
      </c>
      <c r="G5205" t="str">
        <f>"300043"</f>
        <v>300043</v>
      </c>
      <c r="H5205" t="s">
        <v>2876</v>
      </c>
      <c r="I5205">
        <v>3725</v>
      </c>
    </row>
    <row r="5206" spans="1:9" x14ac:dyDescent="0.25">
      <c r="A5206" t="s">
        <v>9616</v>
      </c>
      <c r="C5206" t="s">
        <v>9617</v>
      </c>
      <c r="D5206" t="str">
        <f>"80201774"</f>
        <v>80201774</v>
      </c>
      <c r="E5206" t="s">
        <v>1313</v>
      </c>
      <c r="F5206" s="1">
        <v>45840</v>
      </c>
      <c r="G5206" t="str">
        <f>"300381"</f>
        <v>300381</v>
      </c>
      <c r="H5206" t="s">
        <v>3118</v>
      </c>
      <c r="I5206">
        <v>340585.34399999998</v>
      </c>
    </row>
    <row r="5207" spans="1:9" x14ac:dyDescent="0.25">
      <c r="A5207" t="s">
        <v>9616</v>
      </c>
      <c r="C5207" t="s">
        <v>9617</v>
      </c>
      <c r="D5207" t="str">
        <f>"4771"</f>
        <v>4771</v>
      </c>
      <c r="E5207" t="s">
        <v>12453</v>
      </c>
      <c r="F5207" s="1">
        <v>45841</v>
      </c>
      <c r="G5207" t="str">
        <f>"300043"</f>
        <v>300043</v>
      </c>
      <c r="H5207" t="s">
        <v>2876</v>
      </c>
      <c r="I5207">
        <v>390</v>
      </c>
    </row>
    <row r="5208" spans="1:9" x14ac:dyDescent="0.25">
      <c r="A5208" t="s">
        <v>9616</v>
      </c>
      <c r="C5208" t="s">
        <v>9617</v>
      </c>
      <c r="D5208" t="s">
        <v>12454</v>
      </c>
      <c r="E5208" t="s">
        <v>12455</v>
      </c>
      <c r="F5208" s="1">
        <v>45841</v>
      </c>
      <c r="G5208" t="str">
        <f>"300220"</f>
        <v>300220</v>
      </c>
      <c r="H5208" t="s">
        <v>2170</v>
      </c>
      <c r="I5208">
        <v>24371.49</v>
      </c>
    </row>
    <row r="5209" spans="1:9" x14ac:dyDescent="0.25">
      <c r="A5209" t="s">
        <v>9616</v>
      </c>
      <c r="C5209" t="s">
        <v>9617</v>
      </c>
      <c r="D5209" t="str">
        <f>"1275"</f>
        <v>1275</v>
      </c>
      <c r="E5209" t="s">
        <v>12456</v>
      </c>
      <c r="F5209" s="1">
        <v>45842</v>
      </c>
      <c r="G5209" t="str">
        <f>"300043"</f>
        <v>300043</v>
      </c>
      <c r="H5209" t="s">
        <v>2876</v>
      </c>
      <c r="I5209">
        <v>1308</v>
      </c>
    </row>
    <row r="5210" spans="1:9" x14ac:dyDescent="0.25">
      <c r="A5210" t="s">
        <v>9616</v>
      </c>
      <c r="C5210" t="s">
        <v>9617</v>
      </c>
      <c r="D5210" t="str">
        <f>"66373"</f>
        <v>66373</v>
      </c>
      <c r="E5210" t="s">
        <v>12457</v>
      </c>
      <c r="F5210" s="1">
        <v>45842</v>
      </c>
      <c r="G5210" t="str">
        <f>"300043"</f>
        <v>300043</v>
      </c>
      <c r="H5210" t="s">
        <v>2876</v>
      </c>
      <c r="I5210">
        <v>6818</v>
      </c>
    </row>
    <row r="5211" spans="1:9" x14ac:dyDescent="0.25">
      <c r="A5211" t="s">
        <v>9616</v>
      </c>
      <c r="C5211" t="s">
        <v>9617</v>
      </c>
      <c r="D5211" t="s">
        <v>12458</v>
      </c>
      <c r="E5211" t="s">
        <v>9438</v>
      </c>
      <c r="F5211" s="1">
        <v>45842</v>
      </c>
      <c r="G5211" t="str">
        <f>"300220"</f>
        <v>300220</v>
      </c>
      <c r="H5211" t="s">
        <v>2170</v>
      </c>
      <c r="I5211">
        <v>716975.16</v>
      </c>
    </row>
    <row r="5212" spans="1:9" x14ac:dyDescent="0.25">
      <c r="A5212" t="s">
        <v>9616</v>
      </c>
      <c r="C5212" t="s">
        <v>9617</v>
      </c>
      <c r="D5212" t="s">
        <v>12459</v>
      </c>
      <c r="E5212" t="s">
        <v>11856</v>
      </c>
      <c r="F5212" s="1">
        <v>45842</v>
      </c>
      <c r="G5212" t="str">
        <f>"300237"</f>
        <v>300237</v>
      </c>
      <c r="H5212" t="s">
        <v>3036</v>
      </c>
      <c r="I5212">
        <v>126710.6093</v>
      </c>
    </row>
    <row r="5213" spans="1:9" x14ac:dyDescent="0.25">
      <c r="A5213" t="s">
        <v>9616</v>
      </c>
      <c r="C5213" t="s">
        <v>9617</v>
      </c>
      <c r="D5213" t="s">
        <v>12460</v>
      </c>
      <c r="F5213" s="1">
        <v>45843</v>
      </c>
      <c r="G5213" t="str">
        <f>"300321"</f>
        <v>300321</v>
      </c>
      <c r="H5213" t="s">
        <v>2706</v>
      </c>
      <c r="I5213">
        <v>25300</v>
      </c>
    </row>
    <row r="5214" spans="1:9" x14ac:dyDescent="0.25">
      <c r="A5214" t="s">
        <v>9616</v>
      </c>
      <c r="C5214" t="s">
        <v>9617</v>
      </c>
      <c r="D5214" t="str">
        <f>"1869"</f>
        <v>1869</v>
      </c>
      <c r="E5214" t="s">
        <v>12461</v>
      </c>
      <c r="F5214" s="1">
        <v>45845</v>
      </c>
      <c r="G5214" t="str">
        <f>"300043"</f>
        <v>300043</v>
      </c>
      <c r="H5214" t="s">
        <v>2876</v>
      </c>
      <c r="I5214">
        <v>954</v>
      </c>
    </row>
    <row r="5215" spans="1:9" x14ac:dyDescent="0.25">
      <c r="A5215" t="s">
        <v>9616</v>
      </c>
      <c r="C5215" t="s">
        <v>9617</v>
      </c>
      <c r="D5215" t="s">
        <v>12462</v>
      </c>
      <c r="E5215" s="2">
        <v>46027</v>
      </c>
      <c r="F5215" s="1">
        <v>45845</v>
      </c>
      <c r="G5215" t="str">
        <f>"300064"</f>
        <v>300064</v>
      </c>
      <c r="H5215" t="s">
        <v>2896</v>
      </c>
      <c r="I5215">
        <v>126980</v>
      </c>
    </row>
    <row r="5216" spans="1:9" x14ac:dyDescent="0.25">
      <c r="A5216" t="s">
        <v>9616</v>
      </c>
      <c r="C5216" t="s">
        <v>9617</v>
      </c>
      <c r="D5216" t="s">
        <v>12463</v>
      </c>
      <c r="E5216" s="2">
        <v>46027</v>
      </c>
      <c r="F5216" s="1">
        <v>45845</v>
      </c>
      <c r="G5216" t="str">
        <f>"300064"</f>
        <v>300064</v>
      </c>
      <c r="H5216" t="s">
        <v>2896</v>
      </c>
      <c r="I5216">
        <v>126980</v>
      </c>
    </row>
    <row r="5217" spans="1:9" x14ac:dyDescent="0.25">
      <c r="A5217" t="s">
        <v>9616</v>
      </c>
      <c r="C5217" t="s">
        <v>9617</v>
      </c>
      <c r="D5217" t="s">
        <v>12464</v>
      </c>
      <c r="E5217" s="2">
        <v>46027</v>
      </c>
      <c r="F5217" s="1">
        <v>45845</v>
      </c>
      <c r="G5217" t="str">
        <f>"300064"</f>
        <v>300064</v>
      </c>
      <c r="H5217" t="s">
        <v>2896</v>
      </c>
      <c r="I5217">
        <v>126980</v>
      </c>
    </row>
    <row r="5218" spans="1:9" x14ac:dyDescent="0.25">
      <c r="A5218" t="s">
        <v>9616</v>
      </c>
      <c r="C5218" t="s">
        <v>9617</v>
      </c>
      <c r="D5218" t="s">
        <v>12465</v>
      </c>
      <c r="E5218" t="s">
        <v>12453</v>
      </c>
      <c r="F5218" s="1">
        <v>45845</v>
      </c>
      <c r="G5218" t="str">
        <f>"300191"</f>
        <v>300191</v>
      </c>
      <c r="H5218" t="s">
        <v>3008</v>
      </c>
      <c r="I5218">
        <v>67086.600000000006</v>
      </c>
    </row>
    <row r="5219" spans="1:9" x14ac:dyDescent="0.25">
      <c r="A5219" t="s">
        <v>9616</v>
      </c>
      <c r="C5219" t="s">
        <v>9617</v>
      </c>
      <c r="D5219" t="str">
        <f>"80201986"</f>
        <v>80201986</v>
      </c>
      <c r="E5219" t="s">
        <v>10914</v>
      </c>
      <c r="F5219" s="1">
        <v>45845</v>
      </c>
      <c r="G5219" t="str">
        <f>"300381"</f>
        <v>300381</v>
      </c>
      <c r="H5219" t="s">
        <v>3118</v>
      </c>
      <c r="I5219">
        <v>307377.40000000002</v>
      </c>
    </row>
    <row r="5220" spans="1:9" x14ac:dyDescent="0.25">
      <c r="A5220" t="s">
        <v>9616</v>
      </c>
      <c r="C5220" t="s">
        <v>9617</v>
      </c>
      <c r="D5220" t="str">
        <f>"80201987"</f>
        <v>80201987</v>
      </c>
      <c r="E5220" t="s">
        <v>10049</v>
      </c>
      <c r="F5220" s="1">
        <v>45845</v>
      </c>
      <c r="G5220" t="str">
        <f>"300381"</f>
        <v>300381</v>
      </c>
      <c r="H5220" t="s">
        <v>3118</v>
      </c>
      <c r="I5220">
        <v>307377.40000000002</v>
      </c>
    </row>
    <row r="5221" spans="1:9" x14ac:dyDescent="0.25">
      <c r="A5221" t="s">
        <v>9616</v>
      </c>
      <c r="C5221" t="s">
        <v>9617</v>
      </c>
      <c r="D5221" t="str">
        <f>"2706"</f>
        <v>2706</v>
      </c>
      <c r="E5221" t="s">
        <v>12466</v>
      </c>
      <c r="F5221" s="1">
        <v>45846</v>
      </c>
      <c r="G5221" t="str">
        <f>"300043"</f>
        <v>300043</v>
      </c>
      <c r="H5221" t="s">
        <v>2876</v>
      </c>
      <c r="I5221">
        <v>2631</v>
      </c>
    </row>
    <row r="5222" spans="1:9" x14ac:dyDescent="0.25">
      <c r="A5222" t="s">
        <v>9616</v>
      </c>
      <c r="C5222" t="s">
        <v>9617</v>
      </c>
      <c r="D5222" t="str">
        <f>"10168858"</f>
        <v>10168858</v>
      </c>
      <c r="E5222" t="s">
        <v>10843</v>
      </c>
      <c r="F5222" s="1">
        <v>45846</v>
      </c>
      <c r="G5222" t="str">
        <f>"300115"</f>
        <v>300115</v>
      </c>
      <c r="H5222" t="s">
        <v>2938</v>
      </c>
      <c r="I5222">
        <v>107687.25</v>
      </c>
    </row>
    <row r="5223" spans="1:9" x14ac:dyDescent="0.25">
      <c r="A5223" t="s">
        <v>9616</v>
      </c>
      <c r="C5223" t="s">
        <v>9617</v>
      </c>
      <c r="D5223" t="s">
        <v>12467</v>
      </c>
      <c r="E5223" t="s">
        <v>9579</v>
      </c>
      <c r="F5223" s="1">
        <v>45846</v>
      </c>
      <c r="G5223" t="str">
        <f>"300133"</f>
        <v>300133</v>
      </c>
      <c r="H5223" t="s">
        <v>2955</v>
      </c>
      <c r="I5223">
        <v>33939</v>
      </c>
    </row>
    <row r="5224" spans="1:9" x14ac:dyDescent="0.25">
      <c r="A5224" t="s">
        <v>9616</v>
      </c>
      <c r="C5224" t="s">
        <v>9617</v>
      </c>
      <c r="D5224" t="s">
        <v>12468</v>
      </c>
      <c r="F5224" s="1">
        <v>45846</v>
      </c>
      <c r="G5224" t="str">
        <f>"300321"</f>
        <v>300321</v>
      </c>
      <c r="H5224" t="s">
        <v>2706</v>
      </c>
      <c r="I5224">
        <v>27500</v>
      </c>
    </row>
    <row r="5225" spans="1:9" x14ac:dyDescent="0.25">
      <c r="A5225" t="s">
        <v>9616</v>
      </c>
      <c r="C5225" t="s">
        <v>9617</v>
      </c>
      <c r="D5225" t="str">
        <f>"8455"</f>
        <v>8455</v>
      </c>
      <c r="E5225" t="s">
        <v>11471</v>
      </c>
      <c r="F5225" s="1">
        <v>45847</v>
      </c>
      <c r="G5225" t="str">
        <f>"300043"</f>
        <v>300043</v>
      </c>
      <c r="H5225" t="s">
        <v>2876</v>
      </c>
      <c r="I5225">
        <v>3762</v>
      </c>
    </row>
    <row r="5226" spans="1:9" x14ac:dyDescent="0.25">
      <c r="A5226" t="s">
        <v>9616</v>
      </c>
      <c r="C5226" t="s">
        <v>9617</v>
      </c>
      <c r="D5226" t="str">
        <f>"10168897"</f>
        <v>10168897</v>
      </c>
      <c r="E5226" t="s">
        <v>2762</v>
      </c>
      <c r="F5226" s="1">
        <v>45847</v>
      </c>
      <c r="G5226" t="str">
        <f>"300115"</f>
        <v>300115</v>
      </c>
      <c r="H5226" t="s">
        <v>2938</v>
      </c>
      <c r="I5226">
        <v>107687.25</v>
      </c>
    </row>
    <row r="5227" spans="1:9" x14ac:dyDescent="0.25">
      <c r="A5227" t="s">
        <v>9616</v>
      </c>
      <c r="C5227" t="s">
        <v>9617</v>
      </c>
      <c r="D5227" t="s">
        <v>12469</v>
      </c>
      <c r="E5227" t="s">
        <v>12457</v>
      </c>
      <c r="F5227" s="1">
        <v>45847</v>
      </c>
      <c r="G5227" t="str">
        <f>"300191"</f>
        <v>300191</v>
      </c>
      <c r="H5227" t="s">
        <v>3008</v>
      </c>
      <c r="I5227">
        <v>6084.76</v>
      </c>
    </row>
    <row r="5228" spans="1:9" x14ac:dyDescent="0.25">
      <c r="A5228" t="s">
        <v>9616</v>
      </c>
      <c r="C5228" t="s">
        <v>9617</v>
      </c>
      <c r="D5228" t="s">
        <v>12470</v>
      </c>
      <c r="E5228" t="s">
        <v>9438</v>
      </c>
      <c r="F5228" s="1">
        <v>45847</v>
      </c>
      <c r="G5228" t="str">
        <f>"300220"</f>
        <v>300220</v>
      </c>
      <c r="H5228" t="s">
        <v>2170</v>
      </c>
      <c r="I5228">
        <v>659529.45299999998</v>
      </c>
    </row>
    <row r="5229" spans="1:9" x14ac:dyDescent="0.25">
      <c r="A5229" t="s">
        <v>9616</v>
      </c>
      <c r="C5229" t="s">
        <v>9617</v>
      </c>
      <c r="D5229" t="str">
        <f>"10168930"</f>
        <v>10168930</v>
      </c>
      <c r="E5229" t="s">
        <v>2762</v>
      </c>
      <c r="F5229" s="1">
        <v>45848</v>
      </c>
      <c r="G5229" t="str">
        <f>"300115"</f>
        <v>300115</v>
      </c>
      <c r="H5229" t="s">
        <v>2938</v>
      </c>
      <c r="I5229">
        <v>107687.25</v>
      </c>
    </row>
    <row r="5230" spans="1:9" x14ac:dyDescent="0.25">
      <c r="A5230" t="s">
        <v>9616</v>
      </c>
      <c r="C5230" t="s">
        <v>9617</v>
      </c>
      <c r="D5230" t="s">
        <v>12471</v>
      </c>
      <c r="E5230" t="s">
        <v>12466</v>
      </c>
      <c r="F5230" s="1">
        <v>45848</v>
      </c>
      <c r="G5230" t="str">
        <f>"300321"</f>
        <v>300321</v>
      </c>
      <c r="H5230" t="s">
        <v>2706</v>
      </c>
      <c r="I5230">
        <v>56918.400000000001</v>
      </c>
    </row>
    <row r="5231" spans="1:9" x14ac:dyDescent="0.25">
      <c r="A5231" t="s">
        <v>9616</v>
      </c>
      <c r="C5231" t="s">
        <v>9617</v>
      </c>
      <c r="D5231" t="str">
        <f>"80202091"</f>
        <v>80202091</v>
      </c>
      <c r="E5231" t="s">
        <v>1313</v>
      </c>
      <c r="F5231" s="1">
        <v>45848</v>
      </c>
      <c r="G5231" t="str">
        <f>"300381"</f>
        <v>300381</v>
      </c>
      <c r="H5231" t="s">
        <v>3118</v>
      </c>
      <c r="I5231">
        <v>340585.34399999998</v>
      </c>
    </row>
    <row r="5232" spans="1:9" x14ac:dyDescent="0.25">
      <c r="A5232" t="s">
        <v>9616</v>
      </c>
      <c r="C5232" t="s">
        <v>9617</v>
      </c>
      <c r="D5232" t="s">
        <v>12472</v>
      </c>
      <c r="E5232" t="s">
        <v>12456</v>
      </c>
      <c r="F5232" s="1">
        <v>45848</v>
      </c>
      <c r="G5232" t="str">
        <f>"300423"</f>
        <v>300423</v>
      </c>
      <c r="H5232" t="s">
        <v>3156</v>
      </c>
      <c r="I5232">
        <v>3206.46</v>
      </c>
    </row>
    <row r="5233" spans="1:9" x14ac:dyDescent="0.25">
      <c r="A5233" t="s">
        <v>9616</v>
      </c>
      <c r="C5233" t="s">
        <v>9617</v>
      </c>
      <c r="D5233" t="s">
        <v>12473</v>
      </c>
      <c r="E5233" t="s">
        <v>12461</v>
      </c>
      <c r="F5233" s="1">
        <v>45848</v>
      </c>
      <c r="G5233" t="str">
        <f>"300423"</f>
        <v>300423</v>
      </c>
      <c r="H5233" t="s">
        <v>3156</v>
      </c>
      <c r="I5233">
        <v>3715.64</v>
      </c>
    </row>
    <row r="5234" spans="1:9" x14ac:dyDescent="0.25">
      <c r="A5234" t="s">
        <v>9616</v>
      </c>
      <c r="C5234" t="s">
        <v>9617</v>
      </c>
      <c r="D5234" t="s">
        <v>12474</v>
      </c>
      <c r="E5234" t="s">
        <v>12450</v>
      </c>
      <c r="F5234" s="1">
        <v>45848</v>
      </c>
      <c r="G5234" t="str">
        <f>"300423"</f>
        <v>300423</v>
      </c>
      <c r="H5234" t="s">
        <v>3156</v>
      </c>
      <c r="I5234">
        <v>3306.46</v>
      </c>
    </row>
    <row r="5235" spans="1:9" x14ac:dyDescent="0.25">
      <c r="A5235" t="s">
        <v>9616</v>
      </c>
      <c r="C5235" t="s">
        <v>9617</v>
      </c>
      <c r="D5235" t="str">
        <f>"9647"</f>
        <v>9647</v>
      </c>
      <c r="E5235" t="s">
        <v>12475</v>
      </c>
      <c r="F5235" s="1">
        <v>45849</v>
      </c>
      <c r="G5235" t="str">
        <f>"300043"</f>
        <v>300043</v>
      </c>
      <c r="H5235" t="s">
        <v>2876</v>
      </c>
      <c r="I5235">
        <v>1137</v>
      </c>
    </row>
    <row r="5236" spans="1:9" x14ac:dyDescent="0.25">
      <c r="A5236" t="s">
        <v>9616</v>
      </c>
      <c r="C5236" t="s">
        <v>9617</v>
      </c>
      <c r="D5236" t="str">
        <f>"10168965"</f>
        <v>10168965</v>
      </c>
      <c r="E5236" t="s">
        <v>9470</v>
      </c>
      <c r="F5236" s="1">
        <v>45849</v>
      </c>
      <c r="G5236" t="str">
        <f>"300115"</f>
        <v>300115</v>
      </c>
      <c r="H5236" t="s">
        <v>2938</v>
      </c>
      <c r="I5236">
        <v>194615.861</v>
      </c>
    </row>
    <row r="5237" spans="1:9" x14ac:dyDescent="0.25">
      <c r="A5237" t="s">
        <v>9616</v>
      </c>
      <c r="C5237" t="s">
        <v>9617</v>
      </c>
      <c r="D5237" t="str">
        <f>"10168966"</f>
        <v>10168966</v>
      </c>
      <c r="E5237" t="s">
        <v>10809</v>
      </c>
      <c r="F5237" s="1">
        <v>45849</v>
      </c>
      <c r="G5237" t="str">
        <f>"300115"</f>
        <v>300115</v>
      </c>
      <c r="H5237" t="s">
        <v>2938</v>
      </c>
      <c r="I5237">
        <v>31342.080000000002</v>
      </c>
    </row>
    <row r="5238" spans="1:9" x14ac:dyDescent="0.25">
      <c r="A5238" t="s">
        <v>9616</v>
      </c>
      <c r="C5238" t="s">
        <v>9617</v>
      </c>
      <c r="D5238" t="s">
        <v>12476</v>
      </c>
      <c r="E5238" t="s">
        <v>12477</v>
      </c>
      <c r="F5238" s="1">
        <v>45849</v>
      </c>
      <c r="G5238" t="str">
        <f>"300237"</f>
        <v>300237</v>
      </c>
      <c r="H5238" t="s">
        <v>3036</v>
      </c>
      <c r="I5238">
        <v>248089.60000000001</v>
      </c>
    </row>
    <row r="5239" spans="1:9" x14ac:dyDescent="0.25">
      <c r="A5239" t="s">
        <v>9616</v>
      </c>
      <c r="C5239" t="s">
        <v>9617</v>
      </c>
      <c r="D5239" t="str">
        <f>"80202092"</f>
        <v>80202092</v>
      </c>
      <c r="E5239" t="s">
        <v>1313</v>
      </c>
      <c r="F5239" s="1">
        <v>45849</v>
      </c>
      <c r="G5239" t="str">
        <f>"300381"</f>
        <v>300381</v>
      </c>
      <c r="H5239" t="s">
        <v>3118</v>
      </c>
      <c r="I5239">
        <v>340585.34399999998</v>
      </c>
    </row>
    <row r="5240" spans="1:9" x14ac:dyDescent="0.25">
      <c r="A5240" t="s">
        <v>9616</v>
      </c>
      <c r="C5240" t="s">
        <v>9617</v>
      </c>
      <c r="D5240" t="str">
        <f>"4109"</f>
        <v>4109</v>
      </c>
      <c r="E5240" t="s">
        <v>12478</v>
      </c>
      <c r="F5240" s="1">
        <v>45850</v>
      </c>
      <c r="G5240" t="str">
        <f t="shared" ref="G5240:G5245" si="26">"300043"</f>
        <v>300043</v>
      </c>
      <c r="H5240" t="s">
        <v>2876</v>
      </c>
      <c r="I5240">
        <v>576</v>
      </c>
    </row>
    <row r="5241" spans="1:9" x14ac:dyDescent="0.25">
      <c r="A5241" t="s">
        <v>9616</v>
      </c>
      <c r="C5241" t="s">
        <v>9617</v>
      </c>
      <c r="D5241" t="str">
        <f>"4389"</f>
        <v>4389</v>
      </c>
      <c r="E5241" t="s">
        <v>12479</v>
      </c>
      <c r="F5241" s="1">
        <v>45852</v>
      </c>
      <c r="G5241" t="str">
        <f t="shared" si="26"/>
        <v>300043</v>
      </c>
      <c r="H5241" t="s">
        <v>2876</v>
      </c>
      <c r="I5241">
        <v>1303</v>
      </c>
    </row>
    <row r="5242" spans="1:9" x14ac:dyDescent="0.25">
      <c r="A5242" t="s">
        <v>9616</v>
      </c>
      <c r="C5242" t="s">
        <v>9617</v>
      </c>
      <c r="D5242" t="str">
        <f>"4429"</f>
        <v>4429</v>
      </c>
      <c r="E5242" t="s">
        <v>12480</v>
      </c>
      <c r="F5242" s="1">
        <v>45852</v>
      </c>
      <c r="G5242" t="str">
        <f t="shared" si="26"/>
        <v>300043</v>
      </c>
      <c r="H5242" t="s">
        <v>2876</v>
      </c>
      <c r="I5242">
        <v>1303</v>
      </c>
    </row>
    <row r="5243" spans="1:9" x14ac:dyDescent="0.25">
      <c r="A5243" t="s">
        <v>9616</v>
      </c>
      <c r="C5243" t="s">
        <v>9617</v>
      </c>
      <c r="D5243" t="str">
        <f>"4543"</f>
        <v>4543</v>
      </c>
      <c r="E5243" t="s">
        <v>12481</v>
      </c>
      <c r="F5243" s="1">
        <v>45852</v>
      </c>
      <c r="G5243" t="str">
        <f t="shared" si="26"/>
        <v>300043</v>
      </c>
      <c r="H5243" t="s">
        <v>2876</v>
      </c>
      <c r="I5243">
        <v>576</v>
      </c>
    </row>
    <row r="5244" spans="1:9" x14ac:dyDescent="0.25">
      <c r="A5244" t="s">
        <v>9616</v>
      </c>
      <c r="C5244" t="s">
        <v>9617</v>
      </c>
      <c r="D5244" t="str">
        <f>"4666"</f>
        <v>4666</v>
      </c>
      <c r="E5244" t="s">
        <v>12482</v>
      </c>
      <c r="F5244" s="1">
        <v>45852</v>
      </c>
      <c r="G5244" t="str">
        <f t="shared" si="26"/>
        <v>300043</v>
      </c>
      <c r="H5244" t="s">
        <v>2876</v>
      </c>
      <c r="I5244">
        <v>576</v>
      </c>
    </row>
    <row r="5245" spans="1:9" x14ac:dyDescent="0.25">
      <c r="A5245" t="s">
        <v>9616</v>
      </c>
      <c r="C5245" t="s">
        <v>9617</v>
      </c>
      <c r="D5245" t="str">
        <f>"8691"</f>
        <v>8691</v>
      </c>
      <c r="E5245" t="s">
        <v>11471</v>
      </c>
      <c r="F5245" s="1">
        <v>45852</v>
      </c>
      <c r="G5245" t="str">
        <f t="shared" si="26"/>
        <v>300043</v>
      </c>
      <c r="H5245" t="s">
        <v>2876</v>
      </c>
      <c r="I5245">
        <v>5055</v>
      </c>
    </row>
    <row r="5246" spans="1:9" x14ac:dyDescent="0.25">
      <c r="A5246" t="s">
        <v>9616</v>
      </c>
      <c r="C5246" t="s">
        <v>9617</v>
      </c>
      <c r="D5246" t="s">
        <v>12483</v>
      </c>
      <c r="E5246" t="s">
        <v>12475</v>
      </c>
      <c r="F5246" s="1">
        <v>45852</v>
      </c>
      <c r="G5246" t="str">
        <f>"300191"</f>
        <v>300191</v>
      </c>
      <c r="H5246" t="s">
        <v>3008</v>
      </c>
      <c r="I5246">
        <v>4586.91</v>
      </c>
    </row>
    <row r="5247" spans="1:9" x14ac:dyDescent="0.25">
      <c r="A5247" t="s">
        <v>9616</v>
      </c>
      <c r="C5247" t="s">
        <v>9617</v>
      </c>
      <c r="D5247" t="str">
        <f>"80202210"</f>
        <v>80202210</v>
      </c>
      <c r="E5247" t="s">
        <v>8852</v>
      </c>
      <c r="F5247" s="1">
        <v>45852</v>
      </c>
      <c r="G5247" t="str">
        <f>"300381"</f>
        <v>300381</v>
      </c>
      <c r="H5247" t="s">
        <v>3118</v>
      </c>
      <c r="I5247">
        <v>343138.75199999998</v>
      </c>
    </row>
    <row r="5248" spans="1:9" x14ac:dyDescent="0.25">
      <c r="A5248" t="s">
        <v>9616</v>
      </c>
      <c r="C5248" t="s">
        <v>9617</v>
      </c>
      <c r="D5248" t="str">
        <f>"10169043"</f>
        <v>10169043</v>
      </c>
      <c r="E5248" t="s">
        <v>2762</v>
      </c>
      <c r="F5248" s="1">
        <v>45853</v>
      </c>
      <c r="G5248" t="str">
        <f>"300115"</f>
        <v>300115</v>
      </c>
      <c r="H5248" t="s">
        <v>2938</v>
      </c>
      <c r="I5248">
        <v>107687.25</v>
      </c>
    </row>
    <row r="5249" spans="1:9" x14ac:dyDescent="0.25">
      <c r="A5249" t="s">
        <v>9616</v>
      </c>
      <c r="C5249" t="s">
        <v>9617</v>
      </c>
      <c r="D5249" t="str">
        <f>"10169046"</f>
        <v>10169046</v>
      </c>
      <c r="E5249" t="s">
        <v>10843</v>
      </c>
      <c r="F5249" s="1">
        <v>45853</v>
      </c>
      <c r="G5249" t="str">
        <f>"300115"</f>
        <v>300115</v>
      </c>
      <c r="H5249" t="s">
        <v>2938</v>
      </c>
      <c r="I5249">
        <v>107687.25</v>
      </c>
    </row>
    <row r="5250" spans="1:9" x14ac:dyDescent="0.25">
      <c r="A5250" t="s">
        <v>9616</v>
      </c>
      <c r="C5250" t="s">
        <v>9617</v>
      </c>
      <c r="D5250" t="s">
        <v>12484</v>
      </c>
      <c r="E5250" t="s">
        <v>12479</v>
      </c>
      <c r="F5250" s="1">
        <v>45853</v>
      </c>
      <c r="G5250" t="str">
        <f>"300321"</f>
        <v>300321</v>
      </c>
      <c r="H5250" t="s">
        <v>2706</v>
      </c>
      <c r="I5250">
        <v>25300</v>
      </c>
    </row>
    <row r="5251" spans="1:9" x14ac:dyDescent="0.25">
      <c r="A5251" t="s">
        <v>9616</v>
      </c>
      <c r="C5251" t="s">
        <v>9617</v>
      </c>
      <c r="D5251" t="s">
        <v>12485</v>
      </c>
      <c r="E5251" t="s">
        <v>12466</v>
      </c>
      <c r="F5251" s="1">
        <v>45853</v>
      </c>
      <c r="G5251" t="str">
        <f>"300423"</f>
        <v>300423</v>
      </c>
      <c r="H5251" t="s">
        <v>3156</v>
      </c>
      <c r="I5251">
        <v>3239.29</v>
      </c>
    </row>
    <row r="5252" spans="1:9" x14ac:dyDescent="0.25">
      <c r="A5252" t="s">
        <v>9616</v>
      </c>
      <c r="C5252" t="s">
        <v>9617</v>
      </c>
      <c r="D5252" t="str">
        <f>"5156"</f>
        <v>5156</v>
      </c>
      <c r="E5252" t="s">
        <v>12486</v>
      </c>
      <c r="F5252" s="1">
        <v>45854</v>
      </c>
      <c r="G5252" t="str">
        <f>"300043"</f>
        <v>300043</v>
      </c>
      <c r="H5252" t="s">
        <v>2876</v>
      </c>
      <c r="I5252">
        <v>1311</v>
      </c>
    </row>
    <row r="5253" spans="1:9" x14ac:dyDescent="0.25">
      <c r="A5253" t="s">
        <v>9616</v>
      </c>
      <c r="C5253" t="s">
        <v>9617</v>
      </c>
      <c r="D5253" t="s">
        <v>12487</v>
      </c>
      <c r="E5253" t="s">
        <v>12480</v>
      </c>
      <c r="F5253" s="1">
        <v>45854</v>
      </c>
      <c r="G5253" t="str">
        <f>"300321"</f>
        <v>300321</v>
      </c>
      <c r="H5253" t="s">
        <v>2706</v>
      </c>
      <c r="I5253">
        <v>25300</v>
      </c>
    </row>
    <row r="5254" spans="1:9" x14ac:dyDescent="0.25">
      <c r="A5254" t="s">
        <v>9616</v>
      </c>
      <c r="C5254" t="s">
        <v>9617</v>
      </c>
      <c r="D5254" t="str">
        <f>"4048"</f>
        <v>4048</v>
      </c>
      <c r="E5254" t="s">
        <v>12488</v>
      </c>
      <c r="F5254" s="1">
        <v>45855</v>
      </c>
      <c r="G5254" t="str">
        <f>"300043"</f>
        <v>300043</v>
      </c>
      <c r="H5254" t="s">
        <v>2876</v>
      </c>
      <c r="I5254">
        <v>7185</v>
      </c>
    </row>
    <row r="5255" spans="1:9" x14ac:dyDescent="0.25">
      <c r="A5255" t="s">
        <v>9616</v>
      </c>
      <c r="C5255" t="s">
        <v>9617</v>
      </c>
      <c r="D5255" t="str">
        <f>"5925"</f>
        <v>5925</v>
      </c>
      <c r="E5255" t="s">
        <v>12489</v>
      </c>
      <c r="F5255" s="1">
        <v>45855</v>
      </c>
      <c r="G5255" t="str">
        <f>"300043"</f>
        <v>300043</v>
      </c>
      <c r="H5255" t="s">
        <v>2876</v>
      </c>
      <c r="I5255">
        <v>576</v>
      </c>
    </row>
    <row r="5256" spans="1:9" x14ac:dyDescent="0.25">
      <c r="A5256" t="s">
        <v>9616</v>
      </c>
      <c r="C5256" t="s">
        <v>9617</v>
      </c>
      <c r="D5256" t="str">
        <f>"5926"</f>
        <v>5926</v>
      </c>
      <c r="E5256" t="s">
        <v>12490</v>
      </c>
      <c r="F5256" s="1">
        <v>45855</v>
      </c>
      <c r="G5256" t="str">
        <f>"300043"</f>
        <v>300043</v>
      </c>
      <c r="H5256" t="s">
        <v>2876</v>
      </c>
      <c r="I5256">
        <v>576</v>
      </c>
    </row>
    <row r="5257" spans="1:9" x14ac:dyDescent="0.25">
      <c r="A5257" t="s">
        <v>9616</v>
      </c>
      <c r="C5257" t="s">
        <v>9617</v>
      </c>
      <c r="D5257" t="s">
        <v>12491</v>
      </c>
      <c r="E5257" t="s">
        <v>12486</v>
      </c>
      <c r="F5257" s="1">
        <v>45855</v>
      </c>
      <c r="G5257" t="str">
        <f>"300321"</f>
        <v>300321</v>
      </c>
      <c r="H5257" t="s">
        <v>2706</v>
      </c>
      <c r="I5257">
        <v>25300</v>
      </c>
    </row>
    <row r="5258" spans="1:9" x14ac:dyDescent="0.25">
      <c r="A5258" t="s">
        <v>9616</v>
      </c>
      <c r="C5258" t="s">
        <v>9617</v>
      </c>
      <c r="D5258" t="s">
        <v>12492</v>
      </c>
      <c r="E5258" t="s">
        <v>8967</v>
      </c>
      <c r="F5258" s="1">
        <v>45855</v>
      </c>
      <c r="G5258" t="str">
        <f>"300356"</f>
        <v>300356</v>
      </c>
      <c r="H5258" t="s">
        <v>3094</v>
      </c>
      <c r="I5258">
        <v>207050.84400000001</v>
      </c>
    </row>
    <row r="5259" spans="1:9" x14ac:dyDescent="0.25">
      <c r="A5259" t="s">
        <v>9616</v>
      </c>
      <c r="C5259" t="s">
        <v>9617</v>
      </c>
      <c r="D5259" t="s">
        <v>12493</v>
      </c>
      <c r="E5259" t="s">
        <v>12494</v>
      </c>
      <c r="F5259" s="1">
        <v>45855</v>
      </c>
      <c r="G5259" t="str">
        <f>"300364"</f>
        <v>300364</v>
      </c>
      <c r="H5259" t="s">
        <v>3101</v>
      </c>
      <c r="I5259">
        <v>6782.6419999999998</v>
      </c>
    </row>
    <row r="5260" spans="1:9" x14ac:dyDescent="0.25">
      <c r="A5260" t="s">
        <v>9616</v>
      </c>
      <c r="C5260" t="s">
        <v>9617</v>
      </c>
      <c r="D5260" t="s">
        <v>12495</v>
      </c>
      <c r="E5260" t="s">
        <v>9565</v>
      </c>
      <c r="F5260" s="1">
        <v>45856</v>
      </c>
      <c r="G5260" t="str">
        <f>"300133"</f>
        <v>300133</v>
      </c>
      <c r="H5260" t="s">
        <v>2955</v>
      </c>
      <c r="I5260">
        <v>32670</v>
      </c>
    </row>
    <row r="5261" spans="1:9" x14ac:dyDescent="0.25">
      <c r="A5261" t="s">
        <v>9616</v>
      </c>
      <c r="C5261" t="s">
        <v>9617</v>
      </c>
      <c r="D5261" t="str">
        <f>"80202274"</f>
        <v>80202274</v>
      </c>
      <c r="E5261" t="s">
        <v>9438</v>
      </c>
      <c r="F5261" s="1">
        <v>45856</v>
      </c>
      <c r="G5261" t="str">
        <f>"300381"</f>
        <v>300381</v>
      </c>
      <c r="H5261" t="s">
        <v>3118</v>
      </c>
      <c r="I5261">
        <v>287907.10519999999</v>
      </c>
    </row>
    <row r="5262" spans="1:9" x14ac:dyDescent="0.25">
      <c r="A5262" t="s">
        <v>9616</v>
      </c>
      <c r="C5262" t="s">
        <v>9617</v>
      </c>
      <c r="D5262" t="str">
        <f>"80202597"</f>
        <v>80202597</v>
      </c>
      <c r="E5262" t="s">
        <v>9438</v>
      </c>
      <c r="F5262" s="1">
        <v>45856</v>
      </c>
      <c r="G5262" t="str">
        <f>"300381"</f>
        <v>300381</v>
      </c>
      <c r="H5262" t="s">
        <v>3118</v>
      </c>
      <c r="I5262">
        <v>287907.10519999999</v>
      </c>
    </row>
    <row r="5263" spans="1:9" x14ac:dyDescent="0.25">
      <c r="A5263" t="s">
        <v>9616</v>
      </c>
      <c r="C5263" t="s">
        <v>9617</v>
      </c>
      <c r="D5263" t="s">
        <v>12496</v>
      </c>
      <c r="E5263" t="s">
        <v>12497</v>
      </c>
      <c r="F5263" s="1">
        <v>45856</v>
      </c>
      <c r="G5263" t="str">
        <f>"300398"</f>
        <v>300398</v>
      </c>
      <c r="H5263" t="s">
        <v>3134</v>
      </c>
      <c r="I5263">
        <v>52465.51</v>
      </c>
    </row>
    <row r="5264" spans="1:9" x14ac:dyDescent="0.25">
      <c r="A5264" t="s">
        <v>9616</v>
      </c>
      <c r="C5264" t="s">
        <v>9617</v>
      </c>
      <c r="D5264" t="s">
        <v>12498</v>
      </c>
      <c r="E5264" t="s">
        <v>12499</v>
      </c>
      <c r="F5264" s="1">
        <v>45856</v>
      </c>
      <c r="G5264" t="str">
        <f>"300398"</f>
        <v>300398</v>
      </c>
      <c r="H5264" t="s">
        <v>3134</v>
      </c>
      <c r="I5264">
        <v>52465.51</v>
      </c>
    </row>
    <row r="5265" spans="1:9" x14ac:dyDescent="0.25">
      <c r="A5265" t="s">
        <v>9616</v>
      </c>
      <c r="C5265" t="s">
        <v>9617</v>
      </c>
      <c r="D5265" t="s">
        <v>12500</v>
      </c>
      <c r="E5265" t="s">
        <v>12497</v>
      </c>
      <c r="F5265" s="1">
        <v>45856</v>
      </c>
      <c r="G5265" t="str">
        <f>"300398"</f>
        <v>300398</v>
      </c>
      <c r="H5265" t="s">
        <v>3134</v>
      </c>
      <c r="I5265">
        <v>2298</v>
      </c>
    </row>
    <row r="5266" spans="1:9" x14ac:dyDescent="0.25">
      <c r="A5266" t="s">
        <v>9616</v>
      </c>
      <c r="C5266" t="s">
        <v>9617</v>
      </c>
      <c r="D5266" t="s">
        <v>12501</v>
      </c>
      <c r="E5266" t="s">
        <v>12499</v>
      </c>
      <c r="F5266" s="1">
        <v>45856</v>
      </c>
      <c r="G5266" t="str">
        <f>"300398"</f>
        <v>300398</v>
      </c>
      <c r="H5266" t="s">
        <v>3134</v>
      </c>
      <c r="I5266">
        <v>2298</v>
      </c>
    </row>
    <row r="5267" spans="1:9" x14ac:dyDescent="0.25">
      <c r="A5267" t="s">
        <v>9616</v>
      </c>
      <c r="C5267" t="s">
        <v>9617</v>
      </c>
      <c r="D5267" t="str">
        <f>"6602"</f>
        <v>6602</v>
      </c>
      <c r="E5267" t="s">
        <v>12502</v>
      </c>
      <c r="F5267" s="1">
        <v>45859</v>
      </c>
      <c r="G5267" t="str">
        <f>"300043"</f>
        <v>300043</v>
      </c>
      <c r="H5267" t="s">
        <v>2876</v>
      </c>
      <c r="I5267">
        <v>1134</v>
      </c>
    </row>
    <row r="5268" spans="1:9" x14ac:dyDescent="0.25">
      <c r="A5268" t="s">
        <v>9616</v>
      </c>
      <c r="C5268" t="s">
        <v>9617</v>
      </c>
      <c r="D5268" t="str">
        <f>"9034"</f>
        <v>9034</v>
      </c>
      <c r="E5268" t="s">
        <v>11471</v>
      </c>
      <c r="F5268" s="1">
        <v>45859</v>
      </c>
      <c r="G5268" t="str">
        <f>"300043"</f>
        <v>300043</v>
      </c>
      <c r="H5268" t="s">
        <v>2876</v>
      </c>
      <c r="I5268">
        <v>3939</v>
      </c>
    </row>
    <row r="5269" spans="1:9" x14ac:dyDescent="0.25">
      <c r="A5269" t="s">
        <v>9616</v>
      </c>
      <c r="C5269" t="s">
        <v>9617</v>
      </c>
      <c r="D5269" t="str">
        <f>"66614"</f>
        <v>66614</v>
      </c>
      <c r="E5269" t="s">
        <v>12503</v>
      </c>
      <c r="F5269" s="1">
        <v>45859</v>
      </c>
      <c r="G5269" t="str">
        <f>"300043"</f>
        <v>300043</v>
      </c>
      <c r="H5269" t="s">
        <v>2876</v>
      </c>
      <c r="I5269">
        <v>1134</v>
      </c>
    </row>
    <row r="5270" spans="1:9" x14ac:dyDescent="0.25">
      <c r="A5270" t="s">
        <v>9616</v>
      </c>
      <c r="C5270" t="s">
        <v>9617</v>
      </c>
      <c r="D5270" t="str">
        <f>"250373"</f>
        <v>250373</v>
      </c>
      <c r="E5270" t="s">
        <v>9629</v>
      </c>
      <c r="F5270" s="1">
        <v>45859</v>
      </c>
      <c r="G5270" t="str">
        <f>"300081"</f>
        <v>300081</v>
      </c>
      <c r="H5270" t="s">
        <v>2045</v>
      </c>
      <c r="I5270">
        <v>91969.75</v>
      </c>
    </row>
    <row r="5271" spans="1:9" x14ac:dyDescent="0.25">
      <c r="A5271" t="s">
        <v>9616</v>
      </c>
      <c r="C5271" t="s">
        <v>9617</v>
      </c>
      <c r="D5271" t="str">
        <f>"80202528"</f>
        <v>80202528</v>
      </c>
      <c r="E5271" t="s">
        <v>9447</v>
      </c>
      <c r="F5271" s="1">
        <v>45859</v>
      </c>
      <c r="G5271" t="str">
        <f>"300381"</f>
        <v>300381</v>
      </c>
      <c r="H5271" t="s">
        <v>3118</v>
      </c>
      <c r="I5271">
        <v>307377.40000000002</v>
      </c>
    </row>
    <row r="5272" spans="1:9" x14ac:dyDescent="0.25">
      <c r="A5272" t="s">
        <v>9616</v>
      </c>
      <c r="C5272" t="s">
        <v>9617</v>
      </c>
      <c r="D5272" t="str">
        <f>"80202540"</f>
        <v>80202540</v>
      </c>
      <c r="E5272" t="s">
        <v>12443</v>
      </c>
      <c r="F5272" s="1">
        <v>45859</v>
      </c>
      <c r="G5272" t="str">
        <f>"300381"</f>
        <v>300381</v>
      </c>
      <c r="H5272" t="s">
        <v>3118</v>
      </c>
      <c r="I5272">
        <v>307377.40000000002</v>
      </c>
    </row>
    <row r="5273" spans="1:9" x14ac:dyDescent="0.25">
      <c r="A5273" t="s">
        <v>9616</v>
      </c>
      <c r="C5273" t="s">
        <v>9617</v>
      </c>
      <c r="D5273" t="s">
        <v>12504</v>
      </c>
      <c r="E5273" t="s">
        <v>12479</v>
      </c>
      <c r="F5273" s="1">
        <v>45859</v>
      </c>
      <c r="G5273" t="str">
        <f>"300423"</f>
        <v>300423</v>
      </c>
      <c r="H5273" t="s">
        <v>3156</v>
      </c>
      <c r="I5273">
        <v>3206.46</v>
      </c>
    </row>
    <row r="5274" spans="1:9" x14ac:dyDescent="0.25">
      <c r="A5274" t="s">
        <v>9616</v>
      </c>
      <c r="C5274" t="s">
        <v>9617</v>
      </c>
      <c r="D5274" t="s">
        <v>12505</v>
      </c>
      <c r="E5274" t="s">
        <v>12480</v>
      </c>
      <c r="F5274" s="1">
        <v>45859</v>
      </c>
      <c r="G5274" t="str">
        <f>"300423"</f>
        <v>300423</v>
      </c>
      <c r="H5274" t="s">
        <v>3156</v>
      </c>
      <c r="I5274">
        <v>3545.92</v>
      </c>
    </row>
    <row r="5275" spans="1:9" x14ac:dyDescent="0.25">
      <c r="A5275" t="s">
        <v>9616</v>
      </c>
      <c r="C5275" t="s">
        <v>9617</v>
      </c>
      <c r="D5275" t="s">
        <v>12506</v>
      </c>
      <c r="E5275" t="s">
        <v>12486</v>
      </c>
      <c r="F5275" s="1">
        <v>45859</v>
      </c>
      <c r="G5275" t="str">
        <f>"300423"</f>
        <v>300423</v>
      </c>
      <c r="H5275" t="s">
        <v>3156</v>
      </c>
      <c r="I5275">
        <v>3206.46</v>
      </c>
    </row>
    <row r="5276" spans="1:9" x14ac:dyDescent="0.25">
      <c r="A5276" t="s">
        <v>9616</v>
      </c>
      <c r="C5276" t="s">
        <v>9617</v>
      </c>
      <c r="D5276" t="str">
        <f>"3558090"</f>
        <v>3558090</v>
      </c>
      <c r="E5276" t="s">
        <v>12507</v>
      </c>
      <c r="F5276" s="1">
        <v>45859</v>
      </c>
      <c r="G5276" t="str">
        <f>"300537"</f>
        <v>300537</v>
      </c>
      <c r="H5276" t="s">
        <v>3268</v>
      </c>
      <c r="I5276">
        <v>832</v>
      </c>
    </row>
    <row r="5277" spans="1:9" x14ac:dyDescent="0.25">
      <c r="A5277" t="s">
        <v>9616</v>
      </c>
      <c r="C5277" t="s">
        <v>9617</v>
      </c>
      <c r="D5277" t="str">
        <f>"7417"</f>
        <v>7417</v>
      </c>
      <c r="E5277" t="s">
        <v>12508</v>
      </c>
      <c r="F5277" s="1">
        <v>45860</v>
      </c>
      <c r="G5277" t="str">
        <f>"300043"</f>
        <v>300043</v>
      </c>
      <c r="H5277" t="s">
        <v>2876</v>
      </c>
      <c r="I5277">
        <v>887</v>
      </c>
    </row>
    <row r="5278" spans="1:9" x14ac:dyDescent="0.25">
      <c r="A5278" t="s">
        <v>9616</v>
      </c>
      <c r="C5278" t="s">
        <v>9617</v>
      </c>
      <c r="D5278" t="s">
        <v>12509</v>
      </c>
      <c r="E5278" t="s">
        <v>12502</v>
      </c>
      <c r="F5278" s="1">
        <v>45860</v>
      </c>
      <c r="G5278" t="str">
        <f>"300321"</f>
        <v>300321</v>
      </c>
      <c r="H5278" t="s">
        <v>2706</v>
      </c>
      <c r="I5278">
        <v>27500</v>
      </c>
    </row>
    <row r="5279" spans="1:9" x14ac:dyDescent="0.25">
      <c r="A5279" t="s">
        <v>9616</v>
      </c>
      <c r="C5279" t="s">
        <v>9617</v>
      </c>
      <c r="D5279" t="s">
        <v>12510</v>
      </c>
      <c r="E5279" t="s">
        <v>12503</v>
      </c>
      <c r="F5279" s="1">
        <v>45860</v>
      </c>
      <c r="G5279" t="str">
        <f>"300321"</f>
        <v>300321</v>
      </c>
      <c r="H5279" t="s">
        <v>2706</v>
      </c>
      <c r="I5279">
        <v>27500</v>
      </c>
    </row>
    <row r="5280" spans="1:9" x14ac:dyDescent="0.25">
      <c r="A5280" t="s">
        <v>9616</v>
      </c>
      <c r="C5280" t="s">
        <v>9617</v>
      </c>
      <c r="D5280" t="str">
        <f>"80202724"</f>
        <v>80202724</v>
      </c>
      <c r="E5280" t="s">
        <v>1313</v>
      </c>
      <c r="F5280" s="1">
        <v>45860</v>
      </c>
      <c r="G5280" t="str">
        <f>"300381"</f>
        <v>300381</v>
      </c>
      <c r="H5280" t="s">
        <v>3118</v>
      </c>
      <c r="I5280">
        <v>340585.34399999998</v>
      </c>
    </row>
    <row r="5281" spans="1:9" x14ac:dyDescent="0.25">
      <c r="A5281" t="s">
        <v>9616</v>
      </c>
      <c r="C5281" t="s">
        <v>9617</v>
      </c>
      <c r="D5281" t="str">
        <f>"80202756"</f>
        <v>80202756</v>
      </c>
      <c r="E5281" t="s">
        <v>1313</v>
      </c>
      <c r="F5281" s="1">
        <v>45860</v>
      </c>
      <c r="G5281" t="str">
        <f>"300381"</f>
        <v>300381</v>
      </c>
      <c r="H5281" t="s">
        <v>3118</v>
      </c>
      <c r="I5281">
        <v>340585.34399999998</v>
      </c>
    </row>
    <row r="5282" spans="1:9" x14ac:dyDescent="0.25">
      <c r="A5282" t="s">
        <v>9616</v>
      </c>
      <c r="C5282" t="s">
        <v>9617</v>
      </c>
      <c r="D5282" t="s">
        <v>12511</v>
      </c>
      <c r="E5282" t="s">
        <v>12488</v>
      </c>
      <c r="F5282" s="1">
        <v>45860</v>
      </c>
      <c r="G5282" t="str">
        <f>"300423"</f>
        <v>300423</v>
      </c>
      <c r="H5282" t="s">
        <v>3156</v>
      </c>
      <c r="I5282">
        <v>16855.54</v>
      </c>
    </row>
    <row r="5283" spans="1:9" x14ac:dyDescent="0.25">
      <c r="A5283" t="s">
        <v>9616</v>
      </c>
      <c r="C5283" t="s">
        <v>9617</v>
      </c>
      <c r="D5283" t="s">
        <v>12512</v>
      </c>
      <c r="E5283" t="s">
        <v>12489</v>
      </c>
      <c r="F5283" s="1">
        <v>45861</v>
      </c>
      <c r="G5283" t="str">
        <f>"300101"</f>
        <v>300101</v>
      </c>
      <c r="H5283" t="s">
        <v>2926</v>
      </c>
      <c r="I5283">
        <v>3038.46</v>
      </c>
    </row>
    <row r="5284" spans="1:9" x14ac:dyDescent="0.25">
      <c r="A5284" t="s">
        <v>9616</v>
      </c>
      <c r="C5284" t="s">
        <v>9617</v>
      </c>
      <c r="D5284" t="s">
        <v>12513</v>
      </c>
      <c r="E5284" t="s">
        <v>12481</v>
      </c>
      <c r="F5284" s="1">
        <v>45861</v>
      </c>
      <c r="G5284" t="str">
        <f>"300101"</f>
        <v>300101</v>
      </c>
      <c r="H5284" t="s">
        <v>2926</v>
      </c>
      <c r="I5284">
        <v>3547.64</v>
      </c>
    </row>
    <row r="5285" spans="1:9" x14ac:dyDescent="0.25">
      <c r="A5285" t="s">
        <v>9616</v>
      </c>
      <c r="C5285" t="s">
        <v>9617</v>
      </c>
      <c r="D5285" t="s">
        <v>12514</v>
      </c>
      <c r="E5285" t="s">
        <v>12515</v>
      </c>
      <c r="F5285" s="1">
        <v>45861</v>
      </c>
      <c r="G5285" t="str">
        <f>"300101"</f>
        <v>300101</v>
      </c>
      <c r="H5285" t="s">
        <v>2926</v>
      </c>
      <c r="I5285">
        <v>3547.64</v>
      </c>
    </row>
    <row r="5286" spans="1:9" x14ac:dyDescent="0.25">
      <c r="A5286" t="s">
        <v>9616</v>
      </c>
      <c r="C5286" t="s">
        <v>9617</v>
      </c>
      <c r="D5286" t="s">
        <v>12516</v>
      </c>
      <c r="E5286" t="s">
        <v>12517</v>
      </c>
      <c r="F5286" s="1">
        <v>45861</v>
      </c>
      <c r="G5286" t="str">
        <f>"300101"</f>
        <v>300101</v>
      </c>
      <c r="H5286" t="s">
        <v>2926</v>
      </c>
      <c r="I5286">
        <v>3547.64</v>
      </c>
    </row>
    <row r="5287" spans="1:9" x14ac:dyDescent="0.25">
      <c r="A5287" t="s">
        <v>9616</v>
      </c>
      <c r="C5287" t="s">
        <v>9617</v>
      </c>
      <c r="D5287" t="s">
        <v>12518</v>
      </c>
      <c r="E5287" t="s">
        <v>12490</v>
      </c>
      <c r="F5287" s="1">
        <v>45861</v>
      </c>
      <c r="G5287" t="str">
        <f>"300101"</f>
        <v>300101</v>
      </c>
      <c r="H5287" t="s">
        <v>2926</v>
      </c>
      <c r="I5287">
        <v>3208.19</v>
      </c>
    </row>
    <row r="5288" spans="1:9" x14ac:dyDescent="0.25">
      <c r="A5288" t="s">
        <v>9616</v>
      </c>
      <c r="C5288" t="s">
        <v>9617</v>
      </c>
      <c r="D5288" t="str">
        <f>"7784"</f>
        <v>7784</v>
      </c>
      <c r="E5288" t="s">
        <v>12519</v>
      </c>
      <c r="F5288" s="1">
        <v>45862</v>
      </c>
      <c r="G5288" t="str">
        <f>"300043"</f>
        <v>300043</v>
      </c>
      <c r="H5288" t="s">
        <v>2876</v>
      </c>
      <c r="I5288">
        <v>824</v>
      </c>
    </row>
    <row r="5289" spans="1:9" x14ac:dyDescent="0.25">
      <c r="A5289" t="s">
        <v>9616</v>
      </c>
      <c r="C5289" t="s">
        <v>9617</v>
      </c>
      <c r="D5289" t="str">
        <f>"7890"</f>
        <v>7890</v>
      </c>
      <c r="E5289" t="s">
        <v>12520</v>
      </c>
      <c r="F5289" s="1">
        <v>45862</v>
      </c>
      <c r="G5289" t="str">
        <f>"300043"</f>
        <v>300043</v>
      </c>
      <c r="H5289" t="s">
        <v>2876</v>
      </c>
      <c r="I5289">
        <v>1322</v>
      </c>
    </row>
    <row r="5290" spans="1:9" x14ac:dyDescent="0.25">
      <c r="A5290" t="s">
        <v>9616</v>
      </c>
      <c r="C5290" t="s">
        <v>9617</v>
      </c>
      <c r="D5290" t="str">
        <f>"7895"</f>
        <v>7895</v>
      </c>
      <c r="E5290" t="s">
        <v>12521</v>
      </c>
      <c r="F5290" s="1">
        <v>45862</v>
      </c>
      <c r="G5290" t="str">
        <f>"300043"</f>
        <v>300043</v>
      </c>
      <c r="H5290" t="s">
        <v>2876</v>
      </c>
      <c r="I5290">
        <v>1322</v>
      </c>
    </row>
    <row r="5291" spans="1:9" x14ac:dyDescent="0.25">
      <c r="A5291" t="s">
        <v>9616</v>
      </c>
      <c r="C5291" t="s">
        <v>9617</v>
      </c>
      <c r="D5291" t="s">
        <v>12522</v>
      </c>
      <c r="E5291" t="s">
        <v>12508</v>
      </c>
      <c r="F5291" s="1">
        <v>45862</v>
      </c>
      <c r="G5291" t="str">
        <f>"300101"</f>
        <v>300101</v>
      </c>
      <c r="H5291" t="s">
        <v>2926</v>
      </c>
      <c r="I5291">
        <v>5244.92</v>
      </c>
    </row>
    <row r="5292" spans="1:9" x14ac:dyDescent="0.25">
      <c r="A5292" t="s">
        <v>9616</v>
      </c>
      <c r="C5292" t="s">
        <v>9617</v>
      </c>
      <c r="D5292" t="str">
        <f>"80202866"</f>
        <v>80202866</v>
      </c>
      <c r="E5292" t="s">
        <v>8852</v>
      </c>
      <c r="F5292" s="1">
        <v>45862</v>
      </c>
      <c r="G5292" t="str">
        <f>"300381"</f>
        <v>300381</v>
      </c>
      <c r="H5292" t="s">
        <v>3118</v>
      </c>
      <c r="I5292">
        <v>355181.50799999997</v>
      </c>
    </row>
    <row r="5293" spans="1:9" x14ac:dyDescent="0.25">
      <c r="A5293" t="s">
        <v>9616</v>
      </c>
      <c r="C5293" t="s">
        <v>9617</v>
      </c>
      <c r="D5293" t="str">
        <f>"4276"</f>
        <v>4276</v>
      </c>
      <c r="E5293" t="s">
        <v>12494</v>
      </c>
      <c r="F5293" s="1">
        <v>45863</v>
      </c>
      <c r="G5293" t="str">
        <f>"300043"</f>
        <v>300043</v>
      </c>
      <c r="H5293" t="s">
        <v>2876</v>
      </c>
      <c r="I5293">
        <v>5652</v>
      </c>
    </row>
    <row r="5294" spans="1:9" x14ac:dyDescent="0.25">
      <c r="A5294" t="s">
        <v>9616</v>
      </c>
      <c r="C5294" t="s">
        <v>9617</v>
      </c>
      <c r="D5294" t="str">
        <f>"4278"</f>
        <v>4278</v>
      </c>
      <c r="E5294" t="s">
        <v>12497</v>
      </c>
      <c r="F5294" s="1">
        <v>45863</v>
      </c>
      <c r="G5294" t="str">
        <f>"300043"</f>
        <v>300043</v>
      </c>
      <c r="H5294" t="s">
        <v>2876</v>
      </c>
      <c r="I5294">
        <v>2197</v>
      </c>
    </row>
    <row r="5295" spans="1:9" x14ac:dyDescent="0.25">
      <c r="A5295" t="s">
        <v>9616</v>
      </c>
      <c r="C5295" t="s">
        <v>9617</v>
      </c>
      <c r="D5295" t="str">
        <f>"4279"</f>
        <v>4279</v>
      </c>
      <c r="E5295" t="s">
        <v>12499</v>
      </c>
      <c r="F5295" s="1">
        <v>45863</v>
      </c>
      <c r="G5295" t="str">
        <f>"300043"</f>
        <v>300043</v>
      </c>
      <c r="H5295" t="s">
        <v>2876</v>
      </c>
      <c r="I5295">
        <v>2279</v>
      </c>
    </row>
    <row r="5296" spans="1:9" x14ac:dyDescent="0.25">
      <c r="A5296" t="s">
        <v>9616</v>
      </c>
      <c r="C5296" t="s">
        <v>9617</v>
      </c>
      <c r="D5296" t="str">
        <f>"9320"</f>
        <v>9320</v>
      </c>
      <c r="E5296" t="s">
        <v>11471</v>
      </c>
      <c r="F5296" s="1">
        <v>45863</v>
      </c>
      <c r="G5296" t="str">
        <f>"300043"</f>
        <v>300043</v>
      </c>
      <c r="H5296" t="s">
        <v>2876</v>
      </c>
      <c r="I5296">
        <v>3480</v>
      </c>
    </row>
    <row r="5297" spans="1:9" x14ac:dyDescent="0.25">
      <c r="A5297" t="s">
        <v>9616</v>
      </c>
      <c r="C5297" t="s">
        <v>9617</v>
      </c>
      <c r="D5297" t="s">
        <v>12523</v>
      </c>
      <c r="E5297" t="s">
        <v>12521</v>
      </c>
      <c r="F5297" s="1">
        <v>45863</v>
      </c>
      <c r="G5297" t="str">
        <f>"300321"</f>
        <v>300321</v>
      </c>
      <c r="H5297" t="s">
        <v>2706</v>
      </c>
      <c r="I5297">
        <v>25300</v>
      </c>
    </row>
    <row r="5298" spans="1:9" x14ac:dyDescent="0.25">
      <c r="A5298" t="s">
        <v>9616</v>
      </c>
      <c r="C5298" t="s">
        <v>9617</v>
      </c>
      <c r="D5298" t="s">
        <v>12524</v>
      </c>
      <c r="E5298" t="s">
        <v>12520</v>
      </c>
      <c r="F5298" s="1">
        <v>45863</v>
      </c>
      <c r="G5298" t="str">
        <f>"300321"</f>
        <v>300321</v>
      </c>
      <c r="H5298" t="s">
        <v>2706</v>
      </c>
      <c r="I5298">
        <v>25300</v>
      </c>
    </row>
    <row r="5299" spans="1:9" x14ac:dyDescent="0.25">
      <c r="A5299" t="s">
        <v>9616</v>
      </c>
      <c r="C5299" t="s">
        <v>9617</v>
      </c>
      <c r="D5299" t="str">
        <f>"8861"</f>
        <v>8861</v>
      </c>
      <c r="E5299" t="s">
        <v>12525</v>
      </c>
      <c r="F5299" s="1">
        <v>45866</v>
      </c>
      <c r="G5299" t="str">
        <f>"300043"</f>
        <v>300043</v>
      </c>
      <c r="H5299" t="s">
        <v>2876</v>
      </c>
      <c r="I5299">
        <v>1369</v>
      </c>
    </row>
    <row r="5300" spans="1:9" x14ac:dyDescent="0.25">
      <c r="A5300" t="s">
        <v>9616</v>
      </c>
      <c r="C5300" t="s">
        <v>9617</v>
      </c>
      <c r="D5300" t="str">
        <f>"09337"</f>
        <v>09337</v>
      </c>
      <c r="E5300" t="s">
        <v>11471</v>
      </c>
      <c r="F5300" s="1">
        <v>45866</v>
      </c>
      <c r="G5300" t="str">
        <f>"300043"</f>
        <v>300043</v>
      </c>
      <c r="H5300" t="s">
        <v>2876</v>
      </c>
      <c r="I5300">
        <v>4482</v>
      </c>
    </row>
    <row r="5301" spans="1:9" x14ac:dyDescent="0.25">
      <c r="A5301" t="s">
        <v>9616</v>
      </c>
      <c r="C5301" t="s">
        <v>9617</v>
      </c>
      <c r="D5301" t="str">
        <f>"7912"</f>
        <v>7912</v>
      </c>
      <c r="E5301" t="s">
        <v>12526</v>
      </c>
      <c r="F5301" s="1">
        <v>45867</v>
      </c>
      <c r="G5301" t="str">
        <f>"300043"</f>
        <v>300043</v>
      </c>
      <c r="H5301" t="s">
        <v>2876</v>
      </c>
      <c r="I5301">
        <v>612</v>
      </c>
    </row>
    <row r="5302" spans="1:9" x14ac:dyDescent="0.25">
      <c r="A5302" t="s">
        <v>9616</v>
      </c>
      <c r="C5302" t="s">
        <v>9617</v>
      </c>
      <c r="D5302" t="s">
        <v>12527</v>
      </c>
      <c r="E5302" t="s">
        <v>12525</v>
      </c>
      <c r="F5302" s="1">
        <v>45867</v>
      </c>
      <c r="G5302" t="str">
        <f>"300321"</f>
        <v>300321</v>
      </c>
      <c r="H5302" t="s">
        <v>2706</v>
      </c>
      <c r="I5302">
        <v>25300</v>
      </c>
    </row>
    <row r="5303" spans="1:9" x14ac:dyDescent="0.25">
      <c r="A5303" t="s">
        <v>9616</v>
      </c>
      <c r="C5303" t="s">
        <v>9617</v>
      </c>
      <c r="D5303" t="s">
        <v>12528</v>
      </c>
      <c r="E5303" t="s">
        <v>12497</v>
      </c>
      <c r="F5303" s="1">
        <v>45867</v>
      </c>
      <c r="G5303" t="str">
        <f>"300423"</f>
        <v>300423</v>
      </c>
      <c r="H5303" t="s">
        <v>3156</v>
      </c>
      <c r="I5303">
        <v>4193.8</v>
      </c>
    </row>
    <row r="5304" spans="1:9" x14ac:dyDescent="0.25">
      <c r="A5304" t="s">
        <v>9616</v>
      </c>
      <c r="C5304" t="s">
        <v>9617</v>
      </c>
      <c r="D5304" t="s">
        <v>12529</v>
      </c>
      <c r="E5304" t="s">
        <v>12499</v>
      </c>
      <c r="F5304" s="1">
        <v>45867</v>
      </c>
      <c r="G5304" t="str">
        <f>"300423"</f>
        <v>300423</v>
      </c>
      <c r="H5304" t="s">
        <v>3156</v>
      </c>
      <c r="I5304">
        <v>4310.1400000000003</v>
      </c>
    </row>
    <row r="5305" spans="1:9" x14ac:dyDescent="0.25">
      <c r="A5305" t="s">
        <v>9616</v>
      </c>
      <c r="C5305" t="s">
        <v>9617</v>
      </c>
      <c r="D5305" t="str">
        <f>"10169497"</f>
        <v>10169497</v>
      </c>
      <c r="E5305" t="s">
        <v>2762</v>
      </c>
      <c r="F5305" s="1">
        <v>45868</v>
      </c>
      <c r="G5305" t="str">
        <f>"300115"</f>
        <v>300115</v>
      </c>
      <c r="H5305" t="s">
        <v>2938</v>
      </c>
      <c r="I5305">
        <v>110373.71400000001</v>
      </c>
    </row>
    <row r="5306" spans="1:9" x14ac:dyDescent="0.25">
      <c r="A5306" t="s">
        <v>9616</v>
      </c>
      <c r="C5306" t="s">
        <v>9617</v>
      </c>
      <c r="D5306" t="s">
        <v>12530</v>
      </c>
      <c r="E5306" t="s">
        <v>12405</v>
      </c>
      <c r="F5306" s="1">
        <v>45868</v>
      </c>
      <c r="G5306" t="str">
        <f>"300220"</f>
        <v>300220</v>
      </c>
      <c r="H5306" t="s">
        <v>2170</v>
      </c>
      <c r="I5306">
        <v>1142064</v>
      </c>
    </row>
    <row r="5307" spans="1:9" x14ac:dyDescent="0.25">
      <c r="A5307" t="s">
        <v>9616</v>
      </c>
      <c r="C5307" t="s">
        <v>9617</v>
      </c>
      <c r="D5307" t="s">
        <v>12531</v>
      </c>
      <c r="E5307" t="s">
        <v>12122</v>
      </c>
      <c r="F5307" s="1">
        <v>45868</v>
      </c>
      <c r="G5307" t="str">
        <f>"300220"</f>
        <v>300220</v>
      </c>
      <c r="H5307" t="s">
        <v>2170</v>
      </c>
      <c r="I5307">
        <v>1142064</v>
      </c>
    </row>
    <row r="5308" spans="1:9" x14ac:dyDescent="0.25">
      <c r="A5308" t="s">
        <v>9616</v>
      </c>
      <c r="C5308" t="s">
        <v>9617</v>
      </c>
      <c r="D5308" t="s">
        <v>12532</v>
      </c>
      <c r="E5308" t="s">
        <v>9562</v>
      </c>
      <c r="F5308" s="1">
        <v>45869</v>
      </c>
      <c r="G5308" t="str">
        <f>"300133"</f>
        <v>300133</v>
      </c>
      <c r="H5308" t="s">
        <v>2955</v>
      </c>
      <c r="I5308">
        <v>57748</v>
      </c>
    </row>
    <row r="5309" spans="1:9" x14ac:dyDescent="0.25">
      <c r="A5309" t="s">
        <v>9616</v>
      </c>
      <c r="C5309" t="s">
        <v>9617</v>
      </c>
      <c r="D5309" t="s">
        <v>12533</v>
      </c>
      <c r="E5309" t="s">
        <v>12526</v>
      </c>
      <c r="F5309" s="1">
        <v>45869</v>
      </c>
      <c r="G5309" t="str">
        <f>"300191"</f>
        <v>300191</v>
      </c>
      <c r="H5309" t="s">
        <v>3008</v>
      </c>
      <c r="I5309">
        <v>8284.85</v>
      </c>
    </row>
    <row r="5310" spans="1:9" x14ac:dyDescent="0.25">
      <c r="A5310" t="s">
        <v>9616</v>
      </c>
      <c r="C5310" t="s">
        <v>9617</v>
      </c>
      <c r="D5310" t="s">
        <v>12534</v>
      </c>
      <c r="E5310" t="s">
        <v>12520</v>
      </c>
      <c r="F5310" s="1">
        <v>45869</v>
      </c>
      <c r="G5310" t="str">
        <f t="shared" ref="G5310:G5315" si="27">"300423"</f>
        <v>300423</v>
      </c>
      <c r="H5310" t="s">
        <v>3156</v>
      </c>
      <c r="I5310">
        <v>3136.38</v>
      </c>
    </row>
    <row r="5311" spans="1:9" x14ac:dyDescent="0.25">
      <c r="A5311" t="s">
        <v>9616</v>
      </c>
      <c r="C5311" t="s">
        <v>9617</v>
      </c>
      <c r="D5311" t="s">
        <v>12535</v>
      </c>
      <c r="E5311" t="s">
        <v>12521</v>
      </c>
      <c r="F5311" s="1">
        <v>45869</v>
      </c>
      <c r="G5311" t="str">
        <f t="shared" si="27"/>
        <v>300423</v>
      </c>
      <c r="H5311" t="s">
        <v>3156</v>
      </c>
      <c r="I5311">
        <v>3136.38</v>
      </c>
    </row>
    <row r="5312" spans="1:9" x14ac:dyDescent="0.25">
      <c r="A5312" t="s">
        <v>9616</v>
      </c>
      <c r="C5312" t="s">
        <v>9617</v>
      </c>
      <c r="D5312" t="s">
        <v>12536</v>
      </c>
      <c r="E5312" t="s">
        <v>12503</v>
      </c>
      <c r="F5312" s="1">
        <v>45869</v>
      </c>
      <c r="G5312" t="str">
        <f t="shared" si="27"/>
        <v>300423</v>
      </c>
      <c r="H5312" t="s">
        <v>3156</v>
      </c>
      <c r="I5312">
        <v>3376.19</v>
      </c>
    </row>
    <row r="5313" spans="1:9" x14ac:dyDescent="0.25">
      <c r="A5313" t="s">
        <v>9616</v>
      </c>
      <c r="C5313" t="s">
        <v>9617</v>
      </c>
      <c r="D5313" t="s">
        <v>12537</v>
      </c>
      <c r="E5313" t="s">
        <v>12502</v>
      </c>
      <c r="F5313" s="1">
        <v>45869</v>
      </c>
      <c r="G5313" t="str">
        <f t="shared" si="27"/>
        <v>300423</v>
      </c>
      <c r="H5313" t="s">
        <v>3156</v>
      </c>
      <c r="I5313">
        <v>3206.46</v>
      </c>
    </row>
    <row r="5314" spans="1:9" x14ac:dyDescent="0.25">
      <c r="A5314" t="s">
        <v>9616</v>
      </c>
      <c r="C5314" t="s">
        <v>9617</v>
      </c>
      <c r="D5314" t="s">
        <v>12538</v>
      </c>
      <c r="E5314" t="s">
        <v>12494</v>
      </c>
      <c r="F5314" s="1">
        <v>45869</v>
      </c>
      <c r="G5314" t="str">
        <f t="shared" si="27"/>
        <v>300423</v>
      </c>
      <c r="H5314" t="s">
        <v>3156</v>
      </c>
      <c r="I5314">
        <v>15716.65</v>
      </c>
    </row>
    <row r="5315" spans="1:9" x14ac:dyDescent="0.25">
      <c r="A5315" t="s">
        <v>9616</v>
      </c>
      <c r="C5315" t="s">
        <v>9617</v>
      </c>
      <c r="D5315" t="s">
        <v>12539</v>
      </c>
      <c r="E5315" t="s">
        <v>12525</v>
      </c>
      <c r="F5315" s="1">
        <v>45869</v>
      </c>
      <c r="G5315" t="str">
        <f t="shared" si="27"/>
        <v>300423</v>
      </c>
      <c r="H5315" t="s">
        <v>3156</v>
      </c>
      <c r="I5315">
        <v>3136.38</v>
      </c>
    </row>
    <row r="5316" spans="1:9" x14ac:dyDescent="0.25">
      <c r="A5316" t="s">
        <v>9616</v>
      </c>
      <c r="C5316" t="s">
        <v>9617</v>
      </c>
      <c r="D5316" t="s">
        <v>12540</v>
      </c>
      <c r="E5316" t="s">
        <v>12541</v>
      </c>
      <c r="F5316" s="1">
        <v>45870</v>
      </c>
      <c r="G5316" t="str">
        <f>"300364"</f>
        <v>300364</v>
      </c>
      <c r="H5316" t="s">
        <v>3101</v>
      </c>
      <c r="I5316">
        <v>3586.3159999999998</v>
      </c>
    </row>
    <row r="5317" spans="1:9" x14ac:dyDescent="0.25">
      <c r="A5317" t="s">
        <v>9616</v>
      </c>
      <c r="C5317" t="s">
        <v>9617</v>
      </c>
      <c r="D5317" t="str">
        <f>"80202924"</f>
        <v>80202924</v>
      </c>
      <c r="E5317" t="s">
        <v>9438</v>
      </c>
      <c r="F5317" s="1">
        <v>45870</v>
      </c>
      <c r="G5317" t="str">
        <f>"300381"</f>
        <v>300381</v>
      </c>
      <c r="H5317" t="s">
        <v>3118</v>
      </c>
      <c r="I5317">
        <v>333524.598</v>
      </c>
    </row>
    <row r="5318" spans="1:9" x14ac:dyDescent="0.25">
      <c r="A5318" t="s">
        <v>9616</v>
      </c>
      <c r="C5318" t="s">
        <v>9617</v>
      </c>
      <c r="D5318" t="str">
        <f>"80203339"</f>
        <v>80203339</v>
      </c>
      <c r="E5318" t="s">
        <v>8852</v>
      </c>
      <c r="F5318" s="1">
        <v>45870</v>
      </c>
      <c r="G5318" t="str">
        <f>"300381"</f>
        <v>300381</v>
      </c>
      <c r="H5318" t="s">
        <v>3118</v>
      </c>
      <c r="I5318">
        <v>353217.348</v>
      </c>
    </row>
    <row r="5319" spans="1:9" x14ac:dyDescent="0.25">
      <c r="A5319" t="s">
        <v>9616</v>
      </c>
      <c r="C5319" t="s">
        <v>9617</v>
      </c>
      <c r="D5319" t="s">
        <v>12542</v>
      </c>
      <c r="E5319" t="s">
        <v>12543</v>
      </c>
      <c r="F5319" s="1">
        <v>45870</v>
      </c>
      <c r="G5319" t="str">
        <f>"300398"</f>
        <v>300398</v>
      </c>
      <c r="H5319" t="s">
        <v>3134</v>
      </c>
      <c r="I5319">
        <v>52456.66</v>
      </c>
    </row>
    <row r="5320" spans="1:9" x14ac:dyDescent="0.25">
      <c r="A5320" t="s">
        <v>9616</v>
      </c>
      <c r="C5320" t="s">
        <v>9617</v>
      </c>
      <c r="D5320" t="str">
        <f>"0823"</f>
        <v>0823</v>
      </c>
      <c r="E5320" t="s">
        <v>12544</v>
      </c>
      <c r="F5320" s="1">
        <v>45871</v>
      </c>
      <c r="G5320" t="str">
        <f>"300043"</f>
        <v>300043</v>
      </c>
      <c r="H5320" t="s">
        <v>2876</v>
      </c>
      <c r="I5320">
        <v>516</v>
      </c>
    </row>
    <row r="5321" spans="1:9" x14ac:dyDescent="0.25">
      <c r="A5321" t="s">
        <v>9616</v>
      </c>
      <c r="C5321" t="s">
        <v>9617</v>
      </c>
      <c r="D5321" t="str">
        <f>"1113"</f>
        <v>1113</v>
      </c>
      <c r="E5321" t="s">
        <v>12545</v>
      </c>
      <c r="F5321" s="1">
        <v>45873</v>
      </c>
      <c r="G5321" t="str">
        <f>"300043"</f>
        <v>300043</v>
      </c>
      <c r="H5321" t="s">
        <v>2876</v>
      </c>
      <c r="I5321">
        <v>1289</v>
      </c>
    </row>
    <row r="5322" spans="1:9" x14ac:dyDescent="0.25">
      <c r="A5322" t="s">
        <v>9616</v>
      </c>
      <c r="C5322" t="s">
        <v>9617</v>
      </c>
      <c r="D5322" t="str">
        <f>"10169579"</f>
        <v>10169579</v>
      </c>
      <c r="E5322" t="s">
        <v>2762</v>
      </c>
      <c r="F5322" s="1">
        <v>45873</v>
      </c>
      <c r="G5322" t="str">
        <f>"300115"</f>
        <v>300115</v>
      </c>
      <c r="H5322" t="s">
        <v>2938</v>
      </c>
      <c r="I5322">
        <v>110373.71400000001</v>
      </c>
    </row>
    <row r="5323" spans="1:9" x14ac:dyDescent="0.25">
      <c r="A5323" t="s">
        <v>9616</v>
      </c>
      <c r="C5323" t="s">
        <v>9617</v>
      </c>
      <c r="D5323" t="str">
        <f>"10169581"</f>
        <v>10169581</v>
      </c>
      <c r="E5323" t="s">
        <v>9438</v>
      </c>
      <c r="F5323" s="1">
        <v>45873</v>
      </c>
      <c r="G5323" t="str">
        <f>"300115"</f>
        <v>300115</v>
      </c>
      <c r="H5323" t="s">
        <v>2938</v>
      </c>
      <c r="I5323">
        <v>346254.57900000003</v>
      </c>
    </row>
    <row r="5324" spans="1:9" x14ac:dyDescent="0.25">
      <c r="A5324" t="s">
        <v>9616</v>
      </c>
      <c r="C5324" t="s">
        <v>9617</v>
      </c>
      <c r="D5324" t="s">
        <v>12546</v>
      </c>
      <c r="E5324" t="s">
        <v>9438</v>
      </c>
      <c r="F5324" s="1">
        <v>45873</v>
      </c>
      <c r="G5324" t="str">
        <f>"300220"</f>
        <v>300220</v>
      </c>
      <c r="H5324" t="s">
        <v>2170</v>
      </c>
      <c r="I5324">
        <v>1164358.8</v>
      </c>
    </row>
    <row r="5325" spans="1:9" x14ac:dyDescent="0.25">
      <c r="A5325" t="s">
        <v>9616</v>
      </c>
      <c r="C5325" t="s">
        <v>9617</v>
      </c>
      <c r="D5325" t="s">
        <v>12547</v>
      </c>
      <c r="E5325" t="s">
        <v>12545</v>
      </c>
      <c r="F5325" s="1">
        <v>45873</v>
      </c>
      <c r="G5325" t="str">
        <f>"300321"</f>
        <v>300321</v>
      </c>
      <c r="H5325" t="s">
        <v>2706</v>
      </c>
      <c r="I5325">
        <v>27500</v>
      </c>
    </row>
    <row r="5326" spans="1:9" x14ac:dyDescent="0.25">
      <c r="A5326" t="s">
        <v>9616</v>
      </c>
      <c r="C5326" t="s">
        <v>9617</v>
      </c>
      <c r="D5326" t="str">
        <f>"1389"</f>
        <v>1389</v>
      </c>
      <c r="E5326" t="s">
        <v>12548</v>
      </c>
      <c r="F5326" s="1">
        <v>45874</v>
      </c>
      <c r="G5326" t="str">
        <f>"300043"</f>
        <v>300043</v>
      </c>
      <c r="H5326" t="s">
        <v>2876</v>
      </c>
      <c r="I5326">
        <v>1357</v>
      </c>
    </row>
    <row r="5327" spans="1:9" x14ac:dyDescent="0.25">
      <c r="A5327" t="s">
        <v>9616</v>
      </c>
      <c r="C5327" t="s">
        <v>9617</v>
      </c>
      <c r="D5327" t="str">
        <f>"9685"</f>
        <v>9685</v>
      </c>
      <c r="E5327" t="s">
        <v>11471</v>
      </c>
      <c r="F5327" s="1">
        <v>45874</v>
      </c>
      <c r="G5327" t="str">
        <f>"300043"</f>
        <v>300043</v>
      </c>
      <c r="H5327" t="s">
        <v>2876</v>
      </c>
      <c r="I5327">
        <v>4022</v>
      </c>
    </row>
    <row r="5328" spans="1:9" x14ac:dyDescent="0.25">
      <c r="A5328" t="s">
        <v>9616</v>
      </c>
      <c r="C5328" t="s">
        <v>9617</v>
      </c>
      <c r="D5328" t="str">
        <f>"10169638"</f>
        <v>10169638</v>
      </c>
      <c r="E5328" t="s">
        <v>9438</v>
      </c>
      <c r="F5328" s="1">
        <v>45874</v>
      </c>
      <c r="G5328" t="str">
        <f>"300115"</f>
        <v>300115</v>
      </c>
      <c r="H5328" t="s">
        <v>2938</v>
      </c>
      <c r="I5328">
        <v>346254.57900000003</v>
      </c>
    </row>
    <row r="5329" spans="1:9" x14ac:dyDescent="0.25">
      <c r="A5329" t="s">
        <v>9616</v>
      </c>
      <c r="C5329" t="s">
        <v>9617</v>
      </c>
      <c r="D5329" t="s">
        <v>12549</v>
      </c>
      <c r="E5329" t="s">
        <v>12550</v>
      </c>
      <c r="F5329" s="1">
        <v>45874</v>
      </c>
      <c r="G5329" t="str">
        <f>"300237"</f>
        <v>300237</v>
      </c>
      <c r="H5329" t="s">
        <v>3036</v>
      </c>
      <c r="I5329">
        <v>384615</v>
      </c>
    </row>
    <row r="5330" spans="1:9" x14ac:dyDescent="0.25">
      <c r="A5330" t="s">
        <v>9616</v>
      </c>
      <c r="C5330" t="s">
        <v>9617</v>
      </c>
      <c r="D5330" t="str">
        <f>"10169676"</f>
        <v>10169676</v>
      </c>
      <c r="E5330" t="s">
        <v>9506</v>
      </c>
      <c r="F5330" s="1">
        <v>45875</v>
      </c>
      <c r="G5330" t="str">
        <f>"300115"</f>
        <v>300115</v>
      </c>
      <c r="H5330" t="s">
        <v>2938</v>
      </c>
      <c r="I5330">
        <v>110373.71400000001</v>
      </c>
    </row>
    <row r="5331" spans="1:9" x14ac:dyDescent="0.25">
      <c r="A5331" t="s">
        <v>9616</v>
      </c>
      <c r="C5331" t="s">
        <v>9617</v>
      </c>
      <c r="D5331" t="s">
        <v>12551</v>
      </c>
      <c r="E5331" t="s">
        <v>9449</v>
      </c>
      <c r="F5331" s="1">
        <v>45875</v>
      </c>
      <c r="G5331" t="str">
        <f>"300220"</f>
        <v>300220</v>
      </c>
      <c r="H5331" t="s">
        <v>2170</v>
      </c>
      <c r="I5331">
        <v>1040116.968</v>
      </c>
    </row>
    <row r="5332" spans="1:9" x14ac:dyDescent="0.25">
      <c r="A5332" t="s">
        <v>9616</v>
      </c>
      <c r="C5332" t="s">
        <v>9617</v>
      </c>
      <c r="D5332" t="s">
        <v>12552</v>
      </c>
      <c r="E5332" t="s">
        <v>12548</v>
      </c>
      <c r="F5332" s="1">
        <v>45875</v>
      </c>
      <c r="G5332" t="str">
        <f>"300321"</f>
        <v>300321</v>
      </c>
      <c r="H5332" t="s">
        <v>2706</v>
      </c>
      <c r="I5332">
        <v>25300</v>
      </c>
    </row>
    <row r="5333" spans="1:9" x14ac:dyDescent="0.25">
      <c r="A5333" t="s">
        <v>9616</v>
      </c>
      <c r="C5333" t="s">
        <v>9617</v>
      </c>
      <c r="D5333" t="str">
        <f>"80203617"</f>
        <v>80203617</v>
      </c>
      <c r="E5333" t="s">
        <v>9438</v>
      </c>
      <c r="F5333" s="1">
        <v>45875</v>
      </c>
      <c r="G5333" t="str">
        <f>"300381"</f>
        <v>300381</v>
      </c>
      <c r="H5333" t="s">
        <v>3118</v>
      </c>
      <c r="I5333">
        <v>333907.20000000001</v>
      </c>
    </row>
    <row r="5334" spans="1:9" x14ac:dyDescent="0.25">
      <c r="A5334" t="s">
        <v>9616</v>
      </c>
      <c r="C5334" t="s">
        <v>9617</v>
      </c>
      <c r="D5334" t="str">
        <f>"1906"</f>
        <v>1906</v>
      </c>
      <c r="E5334" t="s">
        <v>12553</v>
      </c>
      <c r="F5334" s="1">
        <v>45876</v>
      </c>
      <c r="G5334" t="str">
        <f>"300043"</f>
        <v>300043</v>
      </c>
      <c r="H5334" t="s">
        <v>2876</v>
      </c>
      <c r="I5334">
        <v>576</v>
      </c>
    </row>
    <row r="5335" spans="1:9" x14ac:dyDescent="0.25">
      <c r="A5335" t="s">
        <v>9616</v>
      </c>
      <c r="C5335" t="s">
        <v>9617</v>
      </c>
      <c r="D5335" t="str">
        <f>"4624"</f>
        <v>4624</v>
      </c>
      <c r="E5335" t="s">
        <v>12541</v>
      </c>
      <c r="F5335" s="1">
        <v>45876</v>
      </c>
      <c r="G5335" t="str">
        <f>"300043"</f>
        <v>300043</v>
      </c>
      <c r="H5335" t="s">
        <v>2876</v>
      </c>
      <c r="I5335">
        <v>2266</v>
      </c>
    </row>
    <row r="5336" spans="1:9" x14ac:dyDescent="0.25">
      <c r="A5336" t="s">
        <v>9616</v>
      </c>
      <c r="C5336" t="s">
        <v>9617</v>
      </c>
      <c r="D5336" t="str">
        <f>"10169705"</f>
        <v>10169705</v>
      </c>
      <c r="E5336" t="s">
        <v>12554</v>
      </c>
      <c r="F5336" s="1">
        <v>45876</v>
      </c>
      <c r="G5336" t="str">
        <f>"300115"</f>
        <v>300115</v>
      </c>
      <c r="H5336" t="s">
        <v>2938</v>
      </c>
      <c r="I5336">
        <v>110373.71400000001</v>
      </c>
    </row>
    <row r="5337" spans="1:9" x14ac:dyDescent="0.25">
      <c r="A5337" t="s">
        <v>9616</v>
      </c>
      <c r="C5337" t="s">
        <v>9617</v>
      </c>
      <c r="D5337" t="str">
        <f>"10169707"</f>
        <v>10169707</v>
      </c>
      <c r="E5337" t="s">
        <v>9438</v>
      </c>
      <c r="F5337" s="1">
        <v>45876</v>
      </c>
      <c r="G5337" t="str">
        <f>"300115"</f>
        <v>300115</v>
      </c>
      <c r="H5337" t="s">
        <v>2938</v>
      </c>
      <c r="I5337">
        <v>203686.56</v>
      </c>
    </row>
    <row r="5338" spans="1:9" x14ac:dyDescent="0.25">
      <c r="A5338" t="s">
        <v>9616</v>
      </c>
      <c r="C5338" t="s">
        <v>9617</v>
      </c>
      <c r="D5338" t="str">
        <f>"4651"</f>
        <v>4651</v>
      </c>
      <c r="E5338" t="s">
        <v>12543</v>
      </c>
      <c r="F5338" s="1">
        <v>45877</v>
      </c>
      <c r="G5338" t="str">
        <f>"300043"</f>
        <v>300043</v>
      </c>
      <c r="H5338" t="s">
        <v>2876</v>
      </c>
      <c r="I5338">
        <v>2278</v>
      </c>
    </row>
    <row r="5339" spans="1:9" x14ac:dyDescent="0.25">
      <c r="A5339" t="s">
        <v>9616</v>
      </c>
      <c r="C5339" t="s">
        <v>9617</v>
      </c>
      <c r="D5339" t="str">
        <f>"5339"</f>
        <v>5339</v>
      </c>
      <c r="E5339" t="s">
        <v>12555</v>
      </c>
      <c r="F5339" s="1">
        <v>45877</v>
      </c>
      <c r="G5339" t="str">
        <f>"300043"</f>
        <v>300043</v>
      </c>
      <c r="H5339" t="s">
        <v>2876</v>
      </c>
      <c r="I5339">
        <v>893</v>
      </c>
    </row>
    <row r="5340" spans="1:9" x14ac:dyDescent="0.25">
      <c r="A5340" t="s">
        <v>9616</v>
      </c>
      <c r="C5340" t="s">
        <v>9617</v>
      </c>
      <c r="D5340" t="str">
        <f>"9965"</f>
        <v>9965</v>
      </c>
      <c r="E5340" t="s">
        <v>11471</v>
      </c>
      <c r="F5340" s="1">
        <v>45877</v>
      </c>
      <c r="G5340" t="str">
        <f>"300043"</f>
        <v>300043</v>
      </c>
      <c r="H5340" t="s">
        <v>2876</v>
      </c>
      <c r="I5340">
        <v>4591</v>
      </c>
    </row>
    <row r="5341" spans="1:9" x14ac:dyDescent="0.25">
      <c r="A5341" t="s">
        <v>9616</v>
      </c>
      <c r="C5341" t="s">
        <v>9617</v>
      </c>
      <c r="D5341" t="s">
        <v>12556</v>
      </c>
      <c r="E5341" t="s">
        <v>12519</v>
      </c>
      <c r="F5341" s="1">
        <v>45877</v>
      </c>
      <c r="G5341" t="str">
        <f>"300101"</f>
        <v>300101</v>
      </c>
      <c r="H5341" t="s">
        <v>2926</v>
      </c>
      <c r="I5341">
        <v>3860.14</v>
      </c>
    </row>
    <row r="5342" spans="1:9" x14ac:dyDescent="0.25">
      <c r="A5342" t="s">
        <v>9616</v>
      </c>
      <c r="C5342" t="s">
        <v>9617</v>
      </c>
      <c r="D5342" t="s">
        <v>12557</v>
      </c>
      <c r="E5342" t="s">
        <v>12544</v>
      </c>
      <c r="F5342" s="1">
        <v>45877</v>
      </c>
      <c r="G5342" t="str">
        <f>"300101"</f>
        <v>300101</v>
      </c>
      <c r="H5342" t="s">
        <v>2926</v>
      </c>
      <c r="I5342">
        <v>3297.05</v>
      </c>
    </row>
    <row r="5343" spans="1:9" x14ac:dyDescent="0.25">
      <c r="A5343" t="s">
        <v>9616</v>
      </c>
      <c r="C5343" t="s">
        <v>9617</v>
      </c>
      <c r="D5343" t="str">
        <f>"80203739"</f>
        <v>80203739</v>
      </c>
      <c r="E5343" t="s">
        <v>9438</v>
      </c>
      <c r="F5343" s="1">
        <v>45877</v>
      </c>
      <c r="G5343" t="str">
        <f>"300381"</f>
        <v>300381</v>
      </c>
      <c r="H5343" t="s">
        <v>3118</v>
      </c>
      <c r="I5343">
        <v>333907.20000000001</v>
      </c>
    </row>
    <row r="5344" spans="1:9" x14ac:dyDescent="0.25">
      <c r="A5344" t="s">
        <v>9616</v>
      </c>
      <c r="C5344" t="s">
        <v>9617</v>
      </c>
      <c r="D5344" t="s">
        <v>12558</v>
      </c>
      <c r="E5344" t="s">
        <v>12548</v>
      </c>
      <c r="F5344" s="1">
        <v>45877</v>
      </c>
      <c r="G5344" t="str">
        <f>"300423"</f>
        <v>300423</v>
      </c>
      <c r="H5344" t="s">
        <v>3156</v>
      </c>
      <c r="I5344">
        <v>3136.38</v>
      </c>
    </row>
    <row r="5345" spans="1:9" x14ac:dyDescent="0.25">
      <c r="A5345" t="s">
        <v>9616</v>
      </c>
      <c r="C5345" t="s">
        <v>9617</v>
      </c>
      <c r="D5345" t="s">
        <v>12559</v>
      </c>
      <c r="E5345" t="s">
        <v>12545</v>
      </c>
      <c r="F5345" s="1">
        <v>45877</v>
      </c>
      <c r="G5345" t="str">
        <f>"300423"</f>
        <v>300423</v>
      </c>
      <c r="H5345" t="s">
        <v>3156</v>
      </c>
      <c r="I5345">
        <v>3136.38</v>
      </c>
    </row>
    <row r="5346" spans="1:9" x14ac:dyDescent="0.25">
      <c r="A5346" t="s">
        <v>9616</v>
      </c>
      <c r="C5346" t="s">
        <v>9617</v>
      </c>
      <c r="D5346" t="str">
        <f>"2901"</f>
        <v>2901</v>
      </c>
      <c r="E5346" t="s">
        <v>12560</v>
      </c>
      <c r="F5346" s="1">
        <v>45878</v>
      </c>
      <c r="G5346" t="str">
        <f>"300043"</f>
        <v>300043</v>
      </c>
      <c r="H5346" t="s">
        <v>2876</v>
      </c>
      <c r="I5346">
        <v>1274</v>
      </c>
    </row>
    <row r="5347" spans="1:9" x14ac:dyDescent="0.25">
      <c r="A5347" t="s">
        <v>9616</v>
      </c>
      <c r="C5347" t="s">
        <v>9617</v>
      </c>
      <c r="D5347" t="str">
        <f>"2908"</f>
        <v>2908</v>
      </c>
      <c r="E5347" t="s">
        <v>12561</v>
      </c>
      <c r="F5347" s="1">
        <v>45878</v>
      </c>
      <c r="G5347" t="str">
        <f>"300043"</f>
        <v>300043</v>
      </c>
      <c r="H5347" t="s">
        <v>2876</v>
      </c>
      <c r="I5347">
        <v>1274</v>
      </c>
    </row>
    <row r="5348" spans="1:9" x14ac:dyDescent="0.25">
      <c r="A5348" t="s">
        <v>9616</v>
      </c>
      <c r="C5348" t="s">
        <v>9617</v>
      </c>
      <c r="D5348" t="str">
        <f>"3284"</f>
        <v>3284</v>
      </c>
      <c r="E5348" t="s">
        <v>12562</v>
      </c>
      <c r="F5348" s="1">
        <v>45880</v>
      </c>
      <c r="G5348" t="str">
        <f>"300043"</f>
        <v>300043</v>
      </c>
      <c r="H5348" t="s">
        <v>2876</v>
      </c>
      <c r="I5348">
        <v>1306</v>
      </c>
    </row>
    <row r="5349" spans="1:9" x14ac:dyDescent="0.25">
      <c r="A5349" t="s">
        <v>9616</v>
      </c>
      <c r="C5349" t="s">
        <v>9617</v>
      </c>
      <c r="D5349" t="str">
        <f>"3126"</f>
        <v>3126</v>
      </c>
      <c r="E5349" t="s">
        <v>12563</v>
      </c>
      <c r="F5349" s="1">
        <v>45881</v>
      </c>
      <c r="G5349" t="str">
        <f>"300043"</f>
        <v>300043</v>
      </c>
      <c r="H5349" t="s">
        <v>2876</v>
      </c>
      <c r="I5349">
        <v>3234</v>
      </c>
    </row>
    <row r="5350" spans="1:9" x14ac:dyDescent="0.25">
      <c r="A5350" t="s">
        <v>9616</v>
      </c>
      <c r="C5350" t="s">
        <v>9617</v>
      </c>
      <c r="D5350" t="s">
        <v>12564</v>
      </c>
      <c r="E5350" t="s">
        <v>12553</v>
      </c>
      <c r="F5350" s="1">
        <v>45881</v>
      </c>
      <c r="G5350" t="str">
        <f>"300101"</f>
        <v>300101</v>
      </c>
      <c r="H5350" t="s">
        <v>2926</v>
      </c>
      <c r="I5350">
        <v>3132.72</v>
      </c>
    </row>
    <row r="5351" spans="1:9" x14ac:dyDescent="0.25">
      <c r="A5351" t="s">
        <v>9616</v>
      </c>
      <c r="C5351" t="s">
        <v>9617</v>
      </c>
      <c r="D5351" t="s">
        <v>12565</v>
      </c>
      <c r="E5351" t="s">
        <v>12561</v>
      </c>
      <c r="F5351" s="1">
        <v>45881</v>
      </c>
      <c r="G5351" t="str">
        <f>"300101"</f>
        <v>300101</v>
      </c>
      <c r="H5351" t="s">
        <v>2926</v>
      </c>
      <c r="I5351">
        <v>3132.72</v>
      </c>
    </row>
    <row r="5352" spans="1:9" x14ac:dyDescent="0.25">
      <c r="A5352" t="s">
        <v>9616</v>
      </c>
      <c r="C5352" t="s">
        <v>9617</v>
      </c>
      <c r="D5352" t="s">
        <v>12566</v>
      </c>
      <c r="E5352" t="s">
        <v>12560</v>
      </c>
      <c r="F5352" s="1">
        <v>45881</v>
      </c>
      <c r="G5352" t="str">
        <f>"300101"</f>
        <v>300101</v>
      </c>
      <c r="H5352" t="s">
        <v>2926</v>
      </c>
      <c r="I5352">
        <v>3132.72</v>
      </c>
    </row>
    <row r="5353" spans="1:9" x14ac:dyDescent="0.25">
      <c r="A5353" t="s">
        <v>9616</v>
      </c>
      <c r="C5353" t="s">
        <v>9617</v>
      </c>
      <c r="D5353" t="str">
        <f>"80203779"</f>
        <v>80203779</v>
      </c>
      <c r="E5353" t="s">
        <v>9438</v>
      </c>
      <c r="F5353" s="1">
        <v>45881</v>
      </c>
      <c r="G5353" t="str">
        <f>"300381"</f>
        <v>300381</v>
      </c>
      <c r="H5353" t="s">
        <v>3118</v>
      </c>
      <c r="I5353">
        <v>333907.20000000001</v>
      </c>
    </row>
    <row r="5354" spans="1:9" x14ac:dyDescent="0.25">
      <c r="A5354" t="s">
        <v>9616</v>
      </c>
      <c r="C5354" t="s">
        <v>9617</v>
      </c>
      <c r="D5354" t="str">
        <f>"80203780"</f>
        <v>80203780</v>
      </c>
      <c r="E5354" t="s">
        <v>9438</v>
      </c>
      <c r="F5354" s="1">
        <v>45881</v>
      </c>
      <c r="G5354" t="str">
        <f>"300381"</f>
        <v>300381</v>
      </c>
      <c r="H5354" t="s">
        <v>3118</v>
      </c>
      <c r="I5354">
        <v>333907.20000000001</v>
      </c>
    </row>
    <row r="5355" spans="1:9" x14ac:dyDescent="0.25">
      <c r="A5355" t="s">
        <v>9616</v>
      </c>
      <c r="C5355" t="s">
        <v>9617</v>
      </c>
      <c r="D5355" t="s">
        <v>12567</v>
      </c>
      <c r="E5355" t="s">
        <v>12541</v>
      </c>
      <c r="F5355" s="1">
        <v>45881</v>
      </c>
      <c r="G5355" t="str">
        <f>"300423"</f>
        <v>300423</v>
      </c>
      <c r="H5355" t="s">
        <v>3156</v>
      </c>
      <c r="I5355">
        <v>3533.16</v>
      </c>
    </row>
    <row r="5356" spans="1:9" x14ac:dyDescent="0.25">
      <c r="A5356" t="s">
        <v>9616</v>
      </c>
      <c r="C5356" t="s">
        <v>9617</v>
      </c>
      <c r="D5356" t="s">
        <v>12568</v>
      </c>
      <c r="E5356" t="s">
        <v>12543</v>
      </c>
      <c r="F5356" s="1">
        <v>45881</v>
      </c>
      <c r="G5356" t="str">
        <f>"300423"</f>
        <v>300423</v>
      </c>
      <c r="H5356" t="s">
        <v>3156</v>
      </c>
      <c r="I5356">
        <v>4182.58</v>
      </c>
    </row>
    <row r="5357" spans="1:9" x14ac:dyDescent="0.25">
      <c r="A5357" t="s">
        <v>9616</v>
      </c>
      <c r="C5357" t="s">
        <v>9617</v>
      </c>
      <c r="D5357" t="str">
        <f>"0229"</f>
        <v>0229</v>
      </c>
      <c r="E5357" t="s">
        <v>11471</v>
      </c>
      <c r="F5357" s="1">
        <v>45882</v>
      </c>
      <c r="G5357" t="str">
        <f>"300043"</f>
        <v>300043</v>
      </c>
      <c r="H5357" t="s">
        <v>2876</v>
      </c>
      <c r="I5357">
        <v>3991</v>
      </c>
    </row>
    <row r="5358" spans="1:9" x14ac:dyDescent="0.25">
      <c r="A5358" t="s">
        <v>9616</v>
      </c>
      <c r="C5358" t="s">
        <v>9617</v>
      </c>
      <c r="D5358" t="str">
        <f>"3906"</f>
        <v>3906</v>
      </c>
      <c r="E5358" t="s">
        <v>12569</v>
      </c>
      <c r="F5358" s="1">
        <v>45882</v>
      </c>
      <c r="G5358" t="str">
        <f>"300043"</f>
        <v>300043</v>
      </c>
      <c r="H5358" t="s">
        <v>2876</v>
      </c>
      <c r="I5358">
        <v>1297</v>
      </c>
    </row>
    <row r="5359" spans="1:9" x14ac:dyDescent="0.25">
      <c r="A5359" t="s">
        <v>9616</v>
      </c>
      <c r="C5359" t="s">
        <v>9617</v>
      </c>
      <c r="D5359" t="s">
        <v>12570</v>
      </c>
      <c r="E5359" t="s">
        <v>12555</v>
      </c>
      <c r="F5359" s="1">
        <v>45882</v>
      </c>
      <c r="G5359" t="str">
        <f>"300191"</f>
        <v>300191</v>
      </c>
      <c r="H5359" t="s">
        <v>3008</v>
      </c>
      <c r="I5359">
        <v>8322.25</v>
      </c>
    </row>
    <row r="5360" spans="1:9" x14ac:dyDescent="0.25">
      <c r="A5360" t="s">
        <v>9616</v>
      </c>
      <c r="C5360" t="s">
        <v>9617</v>
      </c>
      <c r="D5360" t="str">
        <f>"10169884"</f>
        <v>10169884</v>
      </c>
      <c r="E5360" t="s">
        <v>9438</v>
      </c>
      <c r="F5360" s="1">
        <v>45883</v>
      </c>
      <c r="G5360" t="str">
        <f>"300115"</f>
        <v>300115</v>
      </c>
      <c r="H5360" t="s">
        <v>2938</v>
      </c>
      <c r="I5360">
        <v>341443.10200000001</v>
      </c>
    </row>
    <row r="5361" spans="1:9" x14ac:dyDescent="0.25">
      <c r="A5361" t="s">
        <v>9616</v>
      </c>
      <c r="C5361" t="s">
        <v>9617</v>
      </c>
      <c r="D5361" t="str">
        <f>"4220"</f>
        <v>4220</v>
      </c>
      <c r="E5361" t="s">
        <v>12571</v>
      </c>
      <c r="F5361" s="1">
        <v>45884</v>
      </c>
      <c r="G5361" t="str">
        <f>"300043"</f>
        <v>300043</v>
      </c>
      <c r="H5361" t="s">
        <v>2876</v>
      </c>
      <c r="I5361">
        <v>575</v>
      </c>
    </row>
    <row r="5362" spans="1:9" x14ac:dyDescent="0.25">
      <c r="A5362" t="s">
        <v>9616</v>
      </c>
      <c r="C5362" t="s">
        <v>9617</v>
      </c>
      <c r="D5362" t="str">
        <f>"4358"</f>
        <v>4358</v>
      </c>
      <c r="E5362" t="s">
        <v>12572</v>
      </c>
      <c r="F5362" s="1">
        <v>45884</v>
      </c>
      <c r="G5362" t="str">
        <f>"300043"</f>
        <v>300043</v>
      </c>
      <c r="H5362" t="s">
        <v>2876</v>
      </c>
      <c r="I5362">
        <v>1300</v>
      </c>
    </row>
    <row r="5363" spans="1:9" x14ac:dyDescent="0.25">
      <c r="A5363" t="s">
        <v>9616</v>
      </c>
      <c r="C5363" t="s">
        <v>9617</v>
      </c>
      <c r="D5363" t="str">
        <f>"4424"</f>
        <v>4424</v>
      </c>
      <c r="E5363" t="s">
        <v>12573</v>
      </c>
      <c r="F5363" s="1">
        <v>45884</v>
      </c>
      <c r="G5363" t="str">
        <f>"300043"</f>
        <v>300043</v>
      </c>
      <c r="H5363" t="s">
        <v>2876</v>
      </c>
      <c r="I5363">
        <v>1300</v>
      </c>
    </row>
    <row r="5364" spans="1:9" x14ac:dyDescent="0.25">
      <c r="A5364" t="s">
        <v>9616</v>
      </c>
      <c r="C5364" t="s">
        <v>9617</v>
      </c>
      <c r="D5364" t="s">
        <v>12574</v>
      </c>
      <c r="E5364" t="s">
        <v>12563</v>
      </c>
      <c r="F5364" s="1">
        <v>45884</v>
      </c>
      <c r="G5364" t="str">
        <f>"300321"</f>
        <v>300321</v>
      </c>
      <c r="H5364" t="s">
        <v>2706</v>
      </c>
      <c r="I5364">
        <v>57750</v>
      </c>
    </row>
    <row r="5365" spans="1:9" x14ac:dyDescent="0.25">
      <c r="A5365" t="s">
        <v>9616</v>
      </c>
      <c r="C5365" t="s">
        <v>9617</v>
      </c>
      <c r="D5365" t="s">
        <v>12575</v>
      </c>
      <c r="E5365" t="s">
        <v>12562</v>
      </c>
      <c r="F5365" s="1">
        <v>45884</v>
      </c>
      <c r="G5365" t="str">
        <f>"300321"</f>
        <v>300321</v>
      </c>
      <c r="H5365" t="s">
        <v>2706</v>
      </c>
      <c r="I5365">
        <v>27500</v>
      </c>
    </row>
    <row r="5366" spans="1:9" x14ac:dyDescent="0.25">
      <c r="A5366" t="s">
        <v>9616</v>
      </c>
      <c r="C5366" t="s">
        <v>9617</v>
      </c>
      <c r="D5366" t="s">
        <v>12576</v>
      </c>
      <c r="E5366" t="s">
        <v>12569</v>
      </c>
      <c r="F5366" s="1">
        <v>45884</v>
      </c>
      <c r="G5366" t="str">
        <f>"300321"</f>
        <v>300321</v>
      </c>
      <c r="H5366" t="s">
        <v>2706</v>
      </c>
      <c r="I5366">
        <v>27500</v>
      </c>
    </row>
    <row r="5367" spans="1:9" x14ac:dyDescent="0.25">
      <c r="A5367" t="s">
        <v>9616</v>
      </c>
      <c r="C5367" t="s">
        <v>9617</v>
      </c>
      <c r="D5367" t="s">
        <v>12577</v>
      </c>
      <c r="E5367" t="s">
        <v>12572</v>
      </c>
      <c r="F5367" s="1">
        <v>45884</v>
      </c>
      <c r="G5367" t="str">
        <f>"300321"</f>
        <v>300321</v>
      </c>
      <c r="H5367" t="s">
        <v>2706</v>
      </c>
      <c r="I5367">
        <v>25300</v>
      </c>
    </row>
    <row r="5368" spans="1:9" x14ac:dyDescent="0.25">
      <c r="A5368" t="s">
        <v>9616</v>
      </c>
      <c r="C5368" t="s">
        <v>9617</v>
      </c>
      <c r="D5368" t="s">
        <v>12578</v>
      </c>
      <c r="E5368" t="s">
        <v>12573</v>
      </c>
      <c r="F5368" s="1">
        <v>45884</v>
      </c>
      <c r="G5368" t="str">
        <f>"300321"</f>
        <v>300321</v>
      </c>
      <c r="H5368" t="s">
        <v>2706</v>
      </c>
      <c r="I5368">
        <v>25300</v>
      </c>
    </row>
    <row r="5369" spans="1:9" x14ac:dyDescent="0.25">
      <c r="A5369" t="s">
        <v>9616</v>
      </c>
      <c r="C5369" t="s">
        <v>9617</v>
      </c>
      <c r="D5369" t="s">
        <v>12579</v>
      </c>
      <c r="E5369" t="s">
        <v>12580</v>
      </c>
      <c r="F5369" s="1">
        <v>45884</v>
      </c>
      <c r="G5369" t="str">
        <f>"300398"</f>
        <v>300398</v>
      </c>
      <c r="H5369" t="s">
        <v>3134</v>
      </c>
      <c r="I5369">
        <v>54868.83</v>
      </c>
    </row>
    <row r="5370" spans="1:9" x14ac:dyDescent="0.25">
      <c r="A5370" t="s">
        <v>9616</v>
      </c>
      <c r="C5370" t="s">
        <v>9617</v>
      </c>
      <c r="D5370" t="str">
        <f>"4642"</f>
        <v>4642</v>
      </c>
      <c r="E5370" t="s">
        <v>12581</v>
      </c>
      <c r="F5370" s="1">
        <v>45885</v>
      </c>
      <c r="G5370" t="str">
        <f>"300043"</f>
        <v>300043</v>
      </c>
      <c r="H5370" t="s">
        <v>2876</v>
      </c>
      <c r="I5370">
        <v>576</v>
      </c>
    </row>
    <row r="5371" spans="1:9" x14ac:dyDescent="0.25">
      <c r="A5371" t="s">
        <v>9616</v>
      </c>
      <c r="C5371" t="s">
        <v>9617</v>
      </c>
      <c r="D5371" t="str">
        <f>"10169920"</f>
        <v>10169920</v>
      </c>
      <c r="E5371" t="s">
        <v>9438</v>
      </c>
      <c r="F5371" s="1">
        <v>45887</v>
      </c>
      <c r="G5371" t="str">
        <f>"300115"</f>
        <v>300115</v>
      </c>
      <c r="H5371" t="s">
        <v>2938</v>
      </c>
      <c r="I5371">
        <v>341443.10200000001</v>
      </c>
    </row>
    <row r="5372" spans="1:9" x14ac:dyDescent="0.25">
      <c r="A5372" t="s">
        <v>9616</v>
      </c>
      <c r="C5372" t="s">
        <v>9617</v>
      </c>
      <c r="D5372" t="s">
        <v>12582</v>
      </c>
      <c r="E5372" t="s">
        <v>12583</v>
      </c>
      <c r="F5372" s="1">
        <v>45887</v>
      </c>
      <c r="G5372" t="str">
        <f>"300220"</f>
        <v>300220</v>
      </c>
      <c r="H5372" t="s">
        <v>2170</v>
      </c>
      <c r="I5372">
        <v>1256737.68</v>
      </c>
    </row>
    <row r="5373" spans="1:9" x14ac:dyDescent="0.25">
      <c r="A5373" t="s">
        <v>9616</v>
      </c>
      <c r="C5373" t="s">
        <v>9617</v>
      </c>
      <c r="D5373" t="s">
        <v>12584</v>
      </c>
      <c r="E5373" t="s">
        <v>9438</v>
      </c>
      <c r="F5373" s="1">
        <v>45887</v>
      </c>
      <c r="G5373" t="str">
        <f>"300220"</f>
        <v>300220</v>
      </c>
      <c r="H5373" t="s">
        <v>2170</v>
      </c>
      <c r="I5373">
        <v>1217916.216</v>
      </c>
    </row>
    <row r="5374" spans="1:9" x14ac:dyDescent="0.25">
      <c r="A5374" t="s">
        <v>9616</v>
      </c>
      <c r="C5374" t="s">
        <v>9617</v>
      </c>
      <c r="D5374" t="str">
        <f>"80204067"</f>
        <v>80204067</v>
      </c>
      <c r="E5374" t="s">
        <v>9438</v>
      </c>
      <c r="F5374" s="1">
        <v>45887</v>
      </c>
      <c r="G5374" t="str">
        <f>"300381"</f>
        <v>300381</v>
      </c>
      <c r="H5374" t="s">
        <v>3118</v>
      </c>
      <c r="I5374">
        <v>287907.10519999999</v>
      </c>
    </row>
    <row r="5375" spans="1:9" x14ac:dyDescent="0.25">
      <c r="A5375" t="s">
        <v>9616</v>
      </c>
      <c r="C5375" t="s">
        <v>9617</v>
      </c>
      <c r="D5375" t="str">
        <f>"80204092"</f>
        <v>80204092</v>
      </c>
      <c r="E5375" t="s">
        <v>8852</v>
      </c>
      <c r="F5375" s="1">
        <v>45887</v>
      </c>
      <c r="G5375" t="str">
        <f>"300381"</f>
        <v>300381</v>
      </c>
      <c r="H5375" t="s">
        <v>3118</v>
      </c>
      <c r="I5375">
        <v>343464.6765</v>
      </c>
    </row>
    <row r="5376" spans="1:9" x14ac:dyDescent="0.25">
      <c r="A5376" t="s">
        <v>9616</v>
      </c>
      <c r="C5376" t="s">
        <v>9617</v>
      </c>
      <c r="D5376" t="str">
        <f>"0458"</f>
        <v>0458</v>
      </c>
      <c r="E5376" t="s">
        <v>11471</v>
      </c>
      <c r="F5376" s="1">
        <v>45888</v>
      </c>
      <c r="G5376" t="str">
        <f>"300043"</f>
        <v>300043</v>
      </c>
      <c r="H5376" t="s">
        <v>2876</v>
      </c>
      <c r="I5376">
        <v>4976</v>
      </c>
    </row>
    <row r="5377" spans="1:9" x14ac:dyDescent="0.25">
      <c r="A5377" t="s">
        <v>9616</v>
      </c>
      <c r="C5377" t="s">
        <v>9617</v>
      </c>
      <c r="D5377" t="str">
        <f>"5600"</f>
        <v>5600</v>
      </c>
      <c r="E5377" t="s">
        <v>12585</v>
      </c>
      <c r="F5377" s="1">
        <v>45888</v>
      </c>
      <c r="G5377" t="str">
        <f>"300043"</f>
        <v>300043</v>
      </c>
      <c r="H5377" t="s">
        <v>2876</v>
      </c>
      <c r="I5377">
        <v>1257</v>
      </c>
    </row>
    <row r="5378" spans="1:9" x14ac:dyDescent="0.25">
      <c r="A5378" t="s">
        <v>9616</v>
      </c>
      <c r="C5378" t="s">
        <v>9617</v>
      </c>
      <c r="D5378" t="str">
        <f>"80204146"</f>
        <v>80204146</v>
      </c>
      <c r="E5378" t="s">
        <v>1313</v>
      </c>
      <c r="F5378" s="1">
        <v>45888</v>
      </c>
      <c r="G5378" t="str">
        <f>"300381"</f>
        <v>300381</v>
      </c>
      <c r="H5378" t="s">
        <v>3118</v>
      </c>
      <c r="I5378">
        <v>340585.34399999998</v>
      </c>
    </row>
    <row r="5379" spans="1:9" x14ac:dyDescent="0.25">
      <c r="A5379" t="s">
        <v>9616</v>
      </c>
      <c r="C5379" t="s">
        <v>9617</v>
      </c>
      <c r="D5379" t="str">
        <f>"80204152"</f>
        <v>80204152</v>
      </c>
      <c r="E5379" t="s">
        <v>1313</v>
      </c>
      <c r="F5379" s="1">
        <v>45888</v>
      </c>
      <c r="G5379" t="str">
        <f>"300381"</f>
        <v>300381</v>
      </c>
      <c r="H5379" t="s">
        <v>3118</v>
      </c>
      <c r="I5379">
        <v>340585.34399999998</v>
      </c>
    </row>
    <row r="5380" spans="1:9" x14ac:dyDescent="0.25">
      <c r="A5380" t="s">
        <v>9616</v>
      </c>
      <c r="C5380" t="s">
        <v>9617</v>
      </c>
      <c r="D5380" t="s">
        <v>12586</v>
      </c>
      <c r="E5380" t="s">
        <v>12563</v>
      </c>
      <c r="F5380" s="1">
        <v>45888</v>
      </c>
      <c r="G5380" t="str">
        <f>"300423"</f>
        <v>300423</v>
      </c>
      <c r="H5380" t="s">
        <v>3156</v>
      </c>
      <c r="I5380">
        <v>3629.39</v>
      </c>
    </row>
    <row r="5381" spans="1:9" x14ac:dyDescent="0.25">
      <c r="A5381" t="s">
        <v>9616</v>
      </c>
      <c r="C5381" t="s">
        <v>9617</v>
      </c>
      <c r="D5381" t="s">
        <v>12587</v>
      </c>
      <c r="E5381" t="s">
        <v>12569</v>
      </c>
      <c r="F5381" s="1">
        <v>45888</v>
      </c>
      <c r="G5381" t="str">
        <f>"300423"</f>
        <v>300423</v>
      </c>
      <c r="H5381" t="s">
        <v>3156</v>
      </c>
      <c r="I5381">
        <v>3958.06</v>
      </c>
    </row>
    <row r="5382" spans="1:9" x14ac:dyDescent="0.25">
      <c r="A5382" t="s">
        <v>9616</v>
      </c>
      <c r="C5382" t="s">
        <v>9617</v>
      </c>
      <c r="D5382" t="s">
        <v>12588</v>
      </c>
      <c r="E5382" t="s">
        <v>12562</v>
      </c>
      <c r="F5382" s="1">
        <v>45888</v>
      </c>
      <c r="G5382" t="str">
        <f>"300423"</f>
        <v>300423</v>
      </c>
      <c r="H5382" t="s">
        <v>3156</v>
      </c>
      <c r="I5382">
        <v>3136.38</v>
      </c>
    </row>
    <row r="5383" spans="1:9" x14ac:dyDescent="0.25">
      <c r="A5383" t="s">
        <v>9616</v>
      </c>
      <c r="C5383" t="s">
        <v>9617</v>
      </c>
      <c r="D5383" t="s">
        <v>12589</v>
      </c>
      <c r="E5383" t="s">
        <v>9458</v>
      </c>
      <c r="F5383" s="1">
        <v>45890</v>
      </c>
      <c r="G5383" t="str">
        <f>"300220"</f>
        <v>300220</v>
      </c>
      <c r="H5383" t="s">
        <v>2170</v>
      </c>
      <c r="I5383">
        <v>1195245.216</v>
      </c>
    </row>
    <row r="5384" spans="1:9" x14ac:dyDescent="0.25">
      <c r="A5384" t="s">
        <v>9616</v>
      </c>
      <c r="C5384" t="s">
        <v>9617</v>
      </c>
      <c r="D5384" t="str">
        <f>"4876"</f>
        <v>4876</v>
      </c>
      <c r="E5384" t="s">
        <v>12580</v>
      </c>
      <c r="F5384" s="1">
        <v>45891</v>
      </c>
      <c r="G5384" t="str">
        <f>"300043"</f>
        <v>300043</v>
      </c>
      <c r="H5384" t="s">
        <v>2876</v>
      </c>
      <c r="I5384">
        <v>2274</v>
      </c>
    </row>
    <row r="5385" spans="1:9" x14ac:dyDescent="0.25">
      <c r="A5385" t="s">
        <v>9616</v>
      </c>
      <c r="C5385" t="s">
        <v>9617</v>
      </c>
      <c r="D5385" t="str">
        <f>"5700"</f>
        <v>5700</v>
      </c>
      <c r="E5385" t="s">
        <v>12590</v>
      </c>
      <c r="F5385" s="1">
        <v>45891</v>
      </c>
      <c r="G5385" t="str">
        <f>"300043"</f>
        <v>300043</v>
      </c>
      <c r="H5385" t="s">
        <v>2876</v>
      </c>
      <c r="I5385">
        <v>817</v>
      </c>
    </row>
    <row r="5386" spans="1:9" x14ac:dyDescent="0.25">
      <c r="A5386" t="s">
        <v>9616</v>
      </c>
      <c r="C5386" t="s">
        <v>9617</v>
      </c>
      <c r="D5386" t="str">
        <f>"5878"</f>
        <v>5878</v>
      </c>
      <c r="E5386" t="s">
        <v>12591</v>
      </c>
      <c r="F5386" s="1">
        <v>45891</v>
      </c>
      <c r="G5386" t="str">
        <f>"300043"</f>
        <v>300043</v>
      </c>
      <c r="H5386" t="s">
        <v>2876</v>
      </c>
      <c r="I5386">
        <v>1152</v>
      </c>
    </row>
    <row r="5387" spans="1:9" x14ac:dyDescent="0.25">
      <c r="A5387" t="s">
        <v>9616</v>
      </c>
      <c r="C5387" t="s">
        <v>9617</v>
      </c>
      <c r="D5387" t="str">
        <f>"5931"</f>
        <v>5931</v>
      </c>
      <c r="E5387" t="s">
        <v>12592</v>
      </c>
      <c r="F5387" s="1">
        <v>45891</v>
      </c>
      <c r="G5387" t="str">
        <f>"300043"</f>
        <v>300043</v>
      </c>
      <c r="H5387" t="s">
        <v>2876</v>
      </c>
      <c r="I5387">
        <v>1329</v>
      </c>
    </row>
    <row r="5388" spans="1:9" x14ac:dyDescent="0.25">
      <c r="A5388" t="s">
        <v>9616</v>
      </c>
      <c r="C5388" t="s">
        <v>9617</v>
      </c>
      <c r="D5388" t="str">
        <f>"10170036"</f>
        <v>10170036</v>
      </c>
      <c r="E5388" t="s">
        <v>9438</v>
      </c>
      <c r="F5388" s="1">
        <v>45891</v>
      </c>
      <c r="G5388" t="str">
        <f>"300115"</f>
        <v>300115</v>
      </c>
      <c r="H5388" t="s">
        <v>2938</v>
      </c>
      <c r="I5388">
        <v>341443.10200000001</v>
      </c>
    </row>
    <row r="5389" spans="1:9" x14ac:dyDescent="0.25">
      <c r="A5389" t="s">
        <v>9616</v>
      </c>
      <c r="C5389" t="s">
        <v>9617</v>
      </c>
      <c r="D5389" t="str">
        <f>"10170037"</f>
        <v>10170037</v>
      </c>
      <c r="E5389" t="s">
        <v>9438</v>
      </c>
      <c r="F5389" s="1">
        <v>45891</v>
      </c>
      <c r="G5389" t="str">
        <f>"300115"</f>
        <v>300115</v>
      </c>
      <c r="H5389" t="s">
        <v>2938</v>
      </c>
      <c r="I5389">
        <v>341443.10200000001</v>
      </c>
    </row>
    <row r="5390" spans="1:9" x14ac:dyDescent="0.25">
      <c r="A5390" t="s">
        <v>9616</v>
      </c>
      <c r="C5390" t="s">
        <v>9617</v>
      </c>
      <c r="D5390" t="s">
        <v>12593</v>
      </c>
      <c r="E5390" t="s">
        <v>10339</v>
      </c>
      <c r="F5390" s="1">
        <v>45891</v>
      </c>
      <c r="G5390" t="str">
        <f>"300133"</f>
        <v>300133</v>
      </c>
      <c r="H5390" t="s">
        <v>2955</v>
      </c>
      <c r="I5390">
        <v>45648</v>
      </c>
    </row>
    <row r="5391" spans="1:9" x14ac:dyDescent="0.25">
      <c r="A5391" t="s">
        <v>9616</v>
      </c>
      <c r="C5391" t="s">
        <v>9617</v>
      </c>
      <c r="D5391" t="s">
        <v>12594</v>
      </c>
      <c r="E5391" t="s">
        <v>9921</v>
      </c>
      <c r="F5391" s="1">
        <v>45891</v>
      </c>
      <c r="G5391" t="str">
        <f>"300133"</f>
        <v>300133</v>
      </c>
      <c r="H5391" t="s">
        <v>2955</v>
      </c>
      <c r="I5391">
        <v>39106.800000000003</v>
      </c>
    </row>
    <row r="5392" spans="1:9" x14ac:dyDescent="0.25">
      <c r="A5392" t="s">
        <v>9616</v>
      </c>
      <c r="C5392" t="s">
        <v>9617</v>
      </c>
      <c r="D5392" t="s">
        <v>12595</v>
      </c>
      <c r="E5392" t="s">
        <v>12580</v>
      </c>
      <c r="F5392" s="1">
        <v>45892</v>
      </c>
      <c r="G5392" t="str">
        <f>"300423"</f>
        <v>300423</v>
      </c>
      <c r="H5392" t="s">
        <v>3156</v>
      </c>
      <c r="I5392">
        <v>4504.62</v>
      </c>
    </row>
    <row r="5393" spans="1:9" x14ac:dyDescent="0.25">
      <c r="A5393" t="s">
        <v>9616</v>
      </c>
      <c r="C5393" t="s">
        <v>9617</v>
      </c>
      <c r="D5393" t="str">
        <f>"6512"</f>
        <v>6512</v>
      </c>
      <c r="E5393" t="s">
        <v>12596</v>
      </c>
      <c r="F5393" s="1">
        <v>45894</v>
      </c>
      <c r="G5393" t="str">
        <f>"300043"</f>
        <v>300043</v>
      </c>
      <c r="H5393" t="s">
        <v>2876</v>
      </c>
      <c r="I5393">
        <v>1317</v>
      </c>
    </row>
    <row r="5394" spans="1:9" x14ac:dyDescent="0.25">
      <c r="A5394" t="s">
        <v>9616</v>
      </c>
      <c r="C5394" t="s">
        <v>9617</v>
      </c>
      <c r="D5394" t="str">
        <f>"6521"</f>
        <v>6521</v>
      </c>
      <c r="E5394" t="s">
        <v>12597</v>
      </c>
      <c r="F5394" s="1">
        <v>45894</v>
      </c>
      <c r="G5394" t="str">
        <f>"300043"</f>
        <v>300043</v>
      </c>
      <c r="H5394" t="s">
        <v>2876</v>
      </c>
      <c r="I5394">
        <v>1317</v>
      </c>
    </row>
    <row r="5395" spans="1:9" x14ac:dyDescent="0.25">
      <c r="A5395" t="s">
        <v>9616</v>
      </c>
      <c r="C5395" t="s">
        <v>9617</v>
      </c>
      <c r="D5395" t="s">
        <v>12598</v>
      </c>
      <c r="E5395" t="s">
        <v>9438</v>
      </c>
      <c r="F5395" s="1">
        <v>45894</v>
      </c>
      <c r="G5395" t="str">
        <f>"300220"</f>
        <v>300220</v>
      </c>
      <c r="H5395" t="s">
        <v>2170</v>
      </c>
      <c r="I5395">
        <v>1256737.68</v>
      </c>
    </row>
    <row r="5396" spans="1:9" x14ac:dyDescent="0.25">
      <c r="A5396" t="s">
        <v>9616</v>
      </c>
      <c r="C5396" t="s">
        <v>9617</v>
      </c>
      <c r="D5396" t="s">
        <v>12599</v>
      </c>
      <c r="E5396" t="s">
        <v>12600</v>
      </c>
      <c r="F5396" s="1">
        <v>45894</v>
      </c>
      <c r="G5396" t="str">
        <f>"300237"</f>
        <v>300237</v>
      </c>
      <c r="H5396" t="s">
        <v>3036</v>
      </c>
      <c r="I5396">
        <v>385447.7</v>
      </c>
    </row>
    <row r="5397" spans="1:9" x14ac:dyDescent="0.25">
      <c r="A5397" t="s">
        <v>9616</v>
      </c>
      <c r="C5397" t="s">
        <v>9617</v>
      </c>
      <c r="D5397" t="s">
        <v>12601</v>
      </c>
      <c r="E5397" t="s">
        <v>12602</v>
      </c>
      <c r="F5397" s="1">
        <v>45894</v>
      </c>
      <c r="G5397" t="str">
        <f>"300237"</f>
        <v>300237</v>
      </c>
      <c r="H5397" t="s">
        <v>3036</v>
      </c>
      <c r="I5397">
        <v>127776</v>
      </c>
    </row>
    <row r="5398" spans="1:9" x14ac:dyDescent="0.25">
      <c r="A5398" t="s">
        <v>9616</v>
      </c>
      <c r="C5398" t="s">
        <v>9617</v>
      </c>
      <c r="D5398" t="s">
        <v>12603</v>
      </c>
      <c r="E5398" t="s">
        <v>12604</v>
      </c>
      <c r="F5398" s="1">
        <v>45894</v>
      </c>
      <c r="G5398" t="str">
        <f>"300237"</f>
        <v>300237</v>
      </c>
      <c r="H5398" t="s">
        <v>3036</v>
      </c>
      <c r="I5398">
        <v>152212.5</v>
      </c>
    </row>
    <row r="5399" spans="1:9" x14ac:dyDescent="0.25">
      <c r="A5399" t="s">
        <v>9616</v>
      </c>
      <c r="C5399" t="s">
        <v>9617</v>
      </c>
      <c r="D5399" t="s">
        <v>12605</v>
      </c>
      <c r="E5399" t="s">
        <v>12591</v>
      </c>
      <c r="F5399" s="1">
        <v>45894</v>
      </c>
      <c r="G5399" t="str">
        <f>"300321"</f>
        <v>300321</v>
      </c>
      <c r="H5399" t="s">
        <v>2706</v>
      </c>
      <c r="I5399">
        <v>27500</v>
      </c>
    </row>
    <row r="5400" spans="1:9" x14ac:dyDescent="0.25">
      <c r="A5400" t="s">
        <v>9616</v>
      </c>
      <c r="C5400" t="s">
        <v>9617</v>
      </c>
      <c r="D5400" t="str">
        <f>"80204412"</f>
        <v>80204412</v>
      </c>
      <c r="E5400" t="s">
        <v>9438</v>
      </c>
      <c r="F5400" s="1">
        <v>45894</v>
      </c>
      <c r="G5400" t="str">
        <f>"300381"</f>
        <v>300381</v>
      </c>
      <c r="H5400" t="s">
        <v>3118</v>
      </c>
      <c r="I5400">
        <v>333907.20000000001</v>
      </c>
    </row>
    <row r="5401" spans="1:9" x14ac:dyDescent="0.25">
      <c r="A5401" t="s">
        <v>9616</v>
      </c>
      <c r="C5401" t="s">
        <v>9617</v>
      </c>
      <c r="D5401" t="str">
        <f>"0724"</f>
        <v>0724</v>
      </c>
      <c r="E5401" t="s">
        <v>11471</v>
      </c>
      <c r="F5401" s="1">
        <v>45895</v>
      </c>
      <c r="G5401" t="str">
        <f>"300043"</f>
        <v>300043</v>
      </c>
      <c r="H5401" t="s">
        <v>2876</v>
      </c>
      <c r="I5401">
        <v>4724</v>
      </c>
    </row>
    <row r="5402" spans="1:9" x14ac:dyDescent="0.25">
      <c r="A5402" t="s">
        <v>9616</v>
      </c>
      <c r="C5402" t="s">
        <v>9617</v>
      </c>
      <c r="D5402" t="str">
        <f>"6917"</f>
        <v>6917</v>
      </c>
      <c r="E5402" t="s">
        <v>12606</v>
      </c>
      <c r="F5402" s="1">
        <v>45895</v>
      </c>
      <c r="G5402" t="str">
        <f>"300043"</f>
        <v>300043</v>
      </c>
      <c r="H5402" t="s">
        <v>2876</v>
      </c>
      <c r="I5402">
        <v>4350</v>
      </c>
    </row>
    <row r="5403" spans="1:9" x14ac:dyDescent="0.25">
      <c r="A5403" t="s">
        <v>9616</v>
      </c>
      <c r="C5403" t="s">
        <v>9617</v>
      </c>
      <c r="D5403" t="str">
        <f>"6919"</f>
        <v>6919</v>
      </c>
      <c r="E5403" t="s">
        <v>12607</v>
      </c>
      <c r="F5403" s="1">
        <v>45895</v>
      </c>
      <c r="G5403" t="str">
        <f>"300043"</f>
        <v>300043</v>
      </c>
      <c r="H5403" t="s">
        <v>2876</v>
      </c>
      <c r="I5403">
        <v>4226</v>
      </c>
    </row>
    <row r="5404" spans="1:9" x14ac:dyDescent="0.25">
      <c r="A5404" t="s">
        <v>9616</v>
      </c>
      <c r="C5404" t="s">
        <v>9617</v>
      </c>
      <c r="D5404" t="str">
        <f>"7229"</f>
        <v>7229</v>
      </c>
      <c r="E5404" t="s">
        <v>12608</v>
      </c>
      <c r="F5404" s="1">
        <v>45895</v>
      </c>
      <c r="G5404" t="str">
        <f>"300043"</f>
        <v>300043</v>
      </c>
      <c r="H5404" t="s">
        <v>2876</v>
      </c>
      <c r="I5404">
        <v>1245</v>
      </c>
    </row>
    <row r="5405" spans="1:9" x14ac:dyDescent="0.25">
      <c r="A5405" t="s">
        <v>9616</v>
      </c>
      <c r="C5405" t="s">
        <v>9617</v>
      </c>
      <c r="D5405" t="s">
        <v>12609</v>
      </c>
      <c r="E5405" t="s">
        <v>9438</v>
      </c>
      <c r="F5405" s="1">
        <v>45895</v>
      </c>
      <c r="G5405" t="str">
        <f>"300220"</f>
        <v>300220</v>
      </c>
      <c r="H5405" t="s">
        <v>2170</v>
      </c>
      <c r="I5405">
        <v>1217911.8038999999</v>
      </c>
    </row>
    <row r="5406" spans="1:9" x14ac:dyDescent="0.25">
      <c r="A5406" t="s">
        <v>9616</v>
      </c>
      <c r="C5406" t="s">
        <v>9617</v>
      </c>
      <c r="D5406" t="s">
        <v>12610</v>
      </c>
      <c r="E5406" t="s">
        <v>12597</v>
      </c>
      <c r="F5406" s="1">
        <v>45895</v>
      </c>
      <c r="G5406" t="str">
        <f>"300321"</f>
        <v>300321</v>
      </c>
      <c r="H5406" t="s">
        <v>2706</v>
      </c>
      <c r="I5406">
        <v>25300</v>
      </c>
    </row>
    <row r="5407" spans="1:9" x14ac:dyDescent="0.25">
      <c r="A5407" t="s">
        <v>9616</v>
      </c>
      <c r="C5407" t="s">
        <v>9617</v>
      </c>
      <c r="D5407" t="s">
        <v>12611</v>
      </c>
      <c r="E5407" t="s">
        <v>12596</v>
      </c>
      <c r="F5407" s="1">
        <v>45895</v>
      </c>
      <c r="G5407" t="str">
        <f>"300321"</f>
        <v>300321</v>
      </c>
      <c r="H5407" t="s">
        <v>2706</v>
      </c>
      <c r="I5407">
        <v>25300</v>
      </c>
    </row>
    <row r="5408" spans="1:9" x14ac:dyDescent="0.25">
      <c r="A5408" t="s">
        <v>9616</v>
      </c>
      <c r="C5408" t="s">
        <v>9617</v>
      </c>
      <c r="D5408" t="s">
        <v>12612</v>
      </c>
      <c r="E5408" t="s">
        <v>12592</v>
      </c>
      <c r="F5408" s="1">
        <v>45895</v>
      </c>
      <c r="G5408" t="str">
        <f>"300321"</f>
        <v>300321</v>
      </c>
      <c r="H5408" t="s">
        <v>2706</v>
      </c>
      <c r="I5408">
        <v>25300</v>
      </c>
    </row>
    <row r="5409" spans="1:9" x14ac:dyDescent="0.25">
      <c r="A5409" t="s">
        <v>9616</v>
      </c>
      <c r="C5409" t="s">
        <v>9617</v>
      </c>
      <c r="D5409" t="str">
        <f>"80204303"</f>
        <v>80204303</v>
      </c>
      <c r="E5409" t="s">
        <v>1313</v>
      </c>
      <c r="F5409" s="1">
        <v>45895</v>
      </c>
      <c r="G5409" t="str">
        <f>"300381"</f>
        <v>300381</v>
      </c>
      <c r="H5409" t="s">
        <v>3118</v>
      </c>
      <c r="I5409">
        <v>340585.34399999998</v>
      </c>
    </row>
    <row r="5410" spans="1:9" x14ac:dyDescent="0.25">
      <c r="A5410" t="s">
        <v>9616</v>
      </c>
      <c r="C5410" t="s">
        <v>9617</v>
      </c>
      <c r="D5410" t="str">
        <f>"80204438"</f>
        <v>80204438</v>
      </c>
      <c r="E5410" t="s">
        <v>9438</v>
      </c>
      <c r="F5410" s="1">
        <v>45895</v>
      </c>
      <c r="G5410" t="str">
        <f>"300381"</f>
        <v>300381</v>
      </c>
      <c r="H5410" t="s">
        <v>3118</v>
      </c>
      <c r="I5410">
        <v>333907.20000000001</v>
      </c>
    </row>
    <row r="5411" spans="1:9" x14ac:dyDescent="0.25">
      <c r="A5411" t="s">
        <v>9616</v>
      </c>
      <c r="C5411" t="s">
        <v>9617</v>
      </c>
      <c r="D5411" t="str">
        <f>"80204441"</f>
        <v>80204441</v>
      </c>
      <c r="E5411" t="s">
        <v>9438</v>
      </c>
      <c r="F5411" s="1">
        <v>45895</v>
      </c>
      <c r="G5411" t="str">
        <f>"300381"</f>
        <v>300381</v>
      </c>
      <c r="H5411" t="s">
        <v>3118</v>
      </c>
      <c r="I5411">
        <v>333907.20000000001</v>
      </c>
    </row>
    <row r="5412" spans="1:9" x14ac:dyDescent="0.25">
      <c r="A5412" t="s">
        <v>9616</v>
      </c>
      <c r="C5412" t="s">
        <v>9617</v>
      </c>
      <c r="D5412" t="s">
        <v>12613</v>
      </c>
      <c r="E5412" t="s">
        <v>12573</v>
      </c>
      <c r="F5412" s="1">
        <v>45895</v>
      </c>
      <c r="G5412" t="str">
        <f>"300423"</f>
        <v>300423</v>
      </c>
      <c r="H5412" t="s">
        <v>3156</v>
      </c>
      <c r="I5412">
        <v>3300.72</v>
      </c>
    </row>
    <row r="5413" spans="1:9" x14ac:dyDescent="0.25">
      <c r="A5413" t="s">
        <v>9616</v>
      </c>
      <c r="C5413" t="s">
        <v>9617</v>
      </c>
      <c r="D5413" t="s">
        <v>12614</v>
      </c>
      <c r="E5413" t="s">
        <v>12572</v>
      </c>
      <c r="F5413" s="1">
        <v>45895</v>
      </c>
      <c r="G5413" t="str">
        <f>"300423"</f>
        <v>300423</v>
      </c>
      <c r="H5413" t="s">
        <v>3156</v>
      </c>
      <c r="I5413">
        <v>3136.38</v>
      </c>
    </row>
    <row r="5414" spans="1:9" x14ac:dyDescent="0.25">
      <c r="A5414" t="s">
        <v>9616</v>
      </c>
      <c r="C5414" t="s">
        <v>9617</v>
      </c>
      <c r="D5414" t="s">
        <v>12615</v>
      </c>
      <c r="E5414" t="s">
        <v>12592</v>
      </c>
      <c r="F5414" s="1">
        <v>45895</v>
      </c>
      <c r="G5414" t="str">
        <f>"300423"</f>
        <v>300423</v>
      </c>
      <c r="H5414" t="s">
        <v>3156</v>
      </c>
      <c r="I5414">
        <v>3136.38</v>
      </c>
    </row>
    <row r="5415" spans="1:9" x14ac:dyDescent="0.25">
      <c r="A5415" t="s">
        <v>9616</v>
      </c>
      <c r="C5415" t="s">
        <v>9617</v>
      </c>
      <c r="D5415" t="s">
        <v>12616</v>
      </c>
      <c r="E5415" t="s">
        <v>12591</v>
      </c>
      <c r="F5415" s="1">
        <v>45895</v>
      </c>
      <c r="G5415" t="str">
        <f>"300423"</f>
        <v>300423</v>
      </c>
      <c r="H5415" t="s">
        <v>3156</v>
      </c>
      <c r="I5415">
        <v>3629.39</v>
      </c>
    </row>
    <row r="5416" spans="1:9" x14ac:dyDescent="0.25">
      <c r="A5416" t="s">
        <v>9616</v>
      </c>
      <c r="C5416" t="s">
        <v>9617</v>
      </c>
      <c r="D5416" t="str">
        <f>"7260"</f>
        <v>7260</v>
      </c>
      <c r="E5416" t="s">
        <v>12617</v>
      </c>
      <c r="F5416" s="1">
        <v>45896</v>
      </c>
      <c r="G5416" t="str">
        <f>"300043"</f>
        <v>300043</v>
      </c>
      <c r="H5416" t="s">
        <v>2876</v>
      </c>
      <c r="I5416">
        <v>1304</v>
      </c>
    </row>
    <row r="5417" spans="1:9" x14ac:dyDescent="0.25">
      <c r="A5417" t="s">
        <v>9616</v>
      </c>
      <c r="C5417" t="s">
        <v>9617</v>
      </c>
      <c r="D5417" t="str">
        <f>"7311"</f>
        <v>7311</v>
      </c>
      <c r="E5417" t="s">
        <v>12618</v>
      </c>
      <c r="F5417" s="1">
        <v>45896</v>
      </c>
      <c r="G5417" t="str">
        <f>"300043"</f>
        <v>300043</v>
      </c>
      <c r="H5417" t="s">
        <v>2876</v>
      </c>
      <c r="I5417">
        <v>4149</v>
      </c>
    </row>
    <row r="5418" spans="1:9" x14ac:dyDescent="0.25">
      <c r="A5418" t="s">
        <v>9616</v>
      </c>
      <c r="C5418" t="s">
        <v>9617</v>
      </c>
      <c r="D5418" t="s">
        <v>12619</v>
      </c>
      <c r="E5418" t="s">
        <v>12581</v>
      </c>
      <c r="F5418" s="1">
        <v>45896</v>
      </c>
      <c r="G5418" t="str">
        <f>"300101"</f>
        <v>300101</v>
      </c>
      <c r="H5418" t="s">
        <v>2926</v>
      </c>
      <c r="I5418">
        <v>4447.41</v>
      </c>
    </row>
    <row r="5419" spans="1:9" x14ac:dyDescent="0.25">
      <c r="A5419" t="s">
        <v>9616</v>
      </c>
      <c r="C5419" t="s">
        <v>9617</v>
      </c>
      <c r="D5419" t="s">
        <v>12620</v>
      </c>
      <c r="E5419" t="s">
        <v>12607</v>
      </c>
      <c r="F5419" s="1">
        <v>45896</v>
      </c>
      <c r="G5419" t="str">
        <f>"300321"</f>
        <v>300321</v>
      </c>
      <c r="H5419" t="s">
        <v>2706</v>
      </c>
      <c r="I5419">
        <v>57750</v>
      </c>
    </row>
    <row r="5420" spans="1:9" x14ac:dyDescent="0.25">
      <c r="A5420" t="s">
        <v>9616</v>
      </c>
      <c r="C5420" t="s">
        <v>9617</v>
      </c>
      <c r="D5420" t="s">
        <v>12621</v>
      </c>
      <c r="E5420" t="s">
        <v>12606</v>
      </c>
      <c r="F5420" s="1">
        <v>45896</v>
      </c>
      <c r="G5420" t="str">
        <f>"300321"</f>
        <v>300321</v>
      </c>
      <c r="H5420" t="s">
        <v>2706</v>
      </c>
      <c r="I5420">
        <v>57750</v>
      </c>
    </row>
    <row r="5421" spans="1:9" x14ac:dyDescent="0.25">
      <c r="A5421" t="s">
        <v>9616</v>
      </c>
      <c r="C5421" t="s">
        <v>9617</v>
      </c>
      <c r="D5421" t="str">
        <f>"80204522"</f>
        <v>80204522</v>
      </c>
      <c r="E5421" t="s">
        <v>1313</v>
      </c>
      <c r="F5421" s="1">
        <v>45896</v>
      </c>
      <c r="G5421" t="str">
        <f>"300381"</f>
        <v>300381</v>
      </c>
      <c r="H5421" t="s">
        <v>3118</v>
      </c>
      <c r="I5421">
        <v>340585.34399999998</v>
      </c>
    </row>
    <row r="5422" spans="1:9" x14ac:dyDescent="0.25">
      <c r="A5422" t="s">
        <v>9616</v>
      </c>
      <c r="C5422" t="s">
        <v>9617</v>
      </c>
      <c r="D5422" t="str">
        <f>"7599"</f>
        <v>7599</v>
      </c>
      <c r="E5422" t="s">
        <v>12622</v>
      </c>
      <c r="F5422" s="1">
        <v>45897</v>
      </c>
      <c r="G5422" t="str">
        <f>"300043"</f>
        <v>300043</v>
      </c>
      <c r="H5422" t="s">
        <v>2876</v>
      </c>
      <c r="I5422">
        <v>1302</v>
      </c>
    </row>
    <row r="5423" spans="1:9" x14ac:dyDescent="0.25">
      <c r="A5423" t="s">
        <v>9616</v>
      </c>
      <c r="C5423" t="s">
        <v>9617</v>
      </c>
      <c r="D5423" t="str">
        <f>"7604"</f>
        <v>7604</v>
      </c>
      <c r="E5423" t="s">
        <v>12623</v>
      </c>
      <c r="F5423" s="1">
        <v>45897</v>
      </c>
      <c r="G5423" t="str">
        <f>"300043"</f>
        <v>300043</v>
      </c>
      <c r="H5423" t="s">
        <v>2876</v>
      </c>
      <c r="I5423">
        <v>1317</v>
      </c>
    </row>
    <row r="5424" spans="1:9" x14ac:dyDescent="0.25">
      <c r="A5424" t="s">
        <v>9616</v>
      </c>
      <c r="C5424" t="s">
        <v>9617</v>
      </c>
      <c r="D5424" t="str">
        <f>"7869"</f>
        <v>7869</v>
      </c>
      <c r="E5424" t="s">
        <v>12624</v>
      </c>
      <c r="F5424" s="1">
        <v>45897</v>
      </c>
      <c r="G5424" t="str">
        <f>"300043"</f>
        <v>300043</v>
      </c>
      <c r="H5424" t="s">
        <v>2876</v>
      </c>
      <c r="I5424">
        <v>1244</v>
      </c>
    </row>
    <row r="5425" spans="1:9" x14ac:dyDescent="0.25">
      <c r="A5425" t="s">
        <v>9616</v>
      </c>
      <c r="C5425" t="s">
        <v>9617</v>
      </c>
      <c r="D5425" t="str">
        <f>"80204286"</f>
        <v>80204286</v>
      </c>
      <c r="E5425" t="s">
        <v>1313</v>
      </c>
      <c r="F5425" s="1">
        <v>45897</v>
      </c>
      <c r="G5425" t="str">
        <f>"300381"</f>
        <v>300381</v>
      </c>
      <c r="H5425" t="s">
        <v>3118</v>
      </c>
      <c r="I5425">
        <v>340585.34399999998</v>
      </c>
    </row>
    <row r="5426" spans="1:9" x14ac:dyDescent="0.25">
      <c r="A5426" t="s">
        <v>9616</v>
      </c>
      <c r="C5426" t="s">
        <v>9617</v>
      </c>
      <c r="D5426" t="str">
        <f>"0942"</f>
        <v>0942</v>
      </c>
      <c r="E5426" t="s">
        <v>11471</v>
      </c>
      <c r="F5426" s="1">
        <v>45898</v>
      </c>
      <c r="G5426" t="str">
        <f>"300043"</f>
        <v>300043</v>
      </c>
      <c r="H5426" t="s">
        <v>2876</v>
      </c>
      <c r="I5426">
        <v>4719</v>
      </c>
    </row>
    <row r="5427" spans="1:9" x14ac:dyDescent="0.25">
      <c r="A5427" t="s">
        <v>9616</v>
      </c>
      <c r="C5427" t="s">
        <v>9617</v>
      </c>
      <c r="D5427" t="str">
        <f>"7973"</f>
        <v>7973</v>
      </c>
      <c r="E5427" t="s">
        <v>12625</v>
      </c>
      <c r="F5427" s="1">
        <v>45898</v>
      </c>
      <c r="G5427" t="str">
        <f>"300043"</f>
        <v>300043</v>
      </c>
      <c r="H5427" t="s">
        <v>2876</v>
      </c>
      <c r="I5427">
        <v>1305</v>
      </c>
    </row>
    <row r="5428" spans="1:9" x14ac:dyDescent="0.25">
      <c r="A5428" t="s">
        <v>9616</v>
      </c>
      <c r="C5428" t="s">
        <v>9617</v>
      </c>
      <c r="D5428" t="str">
        <f>"7986"</f>
        <v>7986</v>
      </c>
      <c r="E5428" t="s">
        <v>12626</v>
      </c>
      <c r="F5428" s="1">
        <v>45898</v>
      </c>
      <c r="G5428" t="str">
        <f>"300043"</f>
        <v>300043</v>
      </c>
      <c r="H5428" t="s">
        <v>2876</v>
      </c>
      <c r="I5428">
        <v>1319</v>
      </c>
    </row>
    <row r="5429" spans="1:9" x14ac:dyDescent="0.25">
      <c r="A5429" t="s">
        <v>9616</v>
      </c>
      <c r="C5429" t="s">
        <v>9617</v>
      </c>
      <c r="D5429" t="str">
        <f>"77893"</f>
        <v>77893</v>
      </c>
      <c r="E5429" t="s">
        <v>12627</v>
      </c>
      <c r="F5429" s="1">
        <v>45898</v>
      </c>
      <c r="G5429" t="str">
        <f>"300043"</f>
        <v>300043</v>
      </c>
      <c r="H5429" t="s">
        <v>2876</v>
      </c>
      <c r="I5429">
        <v>4347</v>
      </c>
    </row>
    <row r="5430" spans="1:9" x14ac:dyDescent="0.25">
      <c r="A5430" t="s">
        <v>9616</v>
      </c>
      <c r="C5430" t="s">
        <v>9617</v>
      </c>
      <c r="D5430" t="s">
        <v>12628</v>
      </c>
      <c r="E5430" t="s">
        <v>9506</v>
      </c>
      <c r="F5430" s="1">
        <v>45898</v>
      </c>
      <c r="G5430" t="str">
        <f>"300064"</f>
        <v>300064</v>
      </c>
      <c r="H5430" t="s">
        <v>2896</v>
      </c>
      <c r="I5430">
        <v>126980</v>
      </c>
    </row>
    <row r="5431" spans="1:9" x14ac:dyDescent="0.25">
      <c r="A5431" t="s">
        <v>9616</v>
      </c>
      <c r="C5431" t="s">
        <v>9617</v>
      </c>
      <c r="D5431" t="s">
        <v>12629</v>
      </c>
      <c r="E5431" t="s">
        <v>9506</v>
      </c>
      <c r="F5431" s="1">
        <v>45898</v>
      </c>
      <c r="G5431" t="str">
        <f>"300064"</f>
        <v>300064</v>
      </c>
      <c r="H5431" t="s">
        <v>2896</v>
      </c>
      <c r="I5431">
        <v>126980</v>
      </c>
    </row>
    <row r="5432" spans="1:9" x14ac:dyDescent="0.25">
      <c r="A5432" t="s">
        <v>9616</v>
      </c>
      <c r="C5432" t="s">
        <v>9617</v>
      </c>
      <c r="D5432" t="s">
        <v>12630</v>
      </c>
      <c r="E5432" t="s">
        <v>12623</v>
      </c>
      <c r="F5432" s="1">
        <v>45898</v>
      </c>
      <c r="G5432" t="str">
        <f>"300321"</f>
        <v>300321</v>
      </c>
      <c r="H5432" t="s">
        <v>2706</v>
      </c>
      <c r="I5432">
        <v>25300</v>
      </c>
    </row>
    <row r="5433" spans="1:9" x14ac:dyDescent="0.25">
      <c r="A5433" t="s">
        <v>9616</v>
      </c>
      <c r="C5433" t="s">
        <v>9617</v>
      </c>
      <c r="D5433" t="s">
        <v>12631</v>
      </c>
      <c r="E5433" t="s">
        <v>12632</v>
      </c>
      <c r="F5433" s="1">
        <v>45898</v>
      </c>
      <c r="G5433" t="str">
        <f>"300364"</f>
        <v>300364</v>
      </c>
      <c r="H5433" t="s">
        <v>3101</v>
      </c>
      <c r="I5433">
        <v>6782.6419999999998</v>
      </c>
    </row>
    <row r="5434" spans="1:9" x14ac:dyDescent="0.25">
      <c r="A5434" t="s">
        <v>9616</v>
      </c>
      <c r="C5434" t="s">
        <v>9617</v>
      </c>
      <c r="D5434" t="s">
        <v>12633</v>
      </c>
      <c r="E5434" t="s">
        <v>12634</v>
      </c>
      <c r="F5434" s="1">
        <v>45898</v>
      </c>
      <c r="G5434" t="str">
        <f>"300364"</f>
        <v>300364</v>
      </c>
      <c r="H5434" t="s">
        <v>3101</v>
      </c>
      <c r="I5434">
        <v>3586.3159999999998</v>
      </c>
    </row>
    <row r="5435" spans="1:9" x14ac:dyDescent="0.25">
      <c r="A5435" t="s">
        <v>9616</v>
      </c>
      <c r="C5435" t="s">
        <v>9617</v>
      </c>
      <c r="D5435" t="s">
        <v>12635</v>
      </c>
      <c r="E5435" t="s">
        <v>12625</v>
      </c>
      <c r="F5435" s="1">
        <v>45899</v>
      </c>
      <c r="G5435" t="str">
        <f>"300321"</f>
        <v>300321</v>
      </c>
      <c r="H5435" t="s">
        <v>2706</v>
      </c>
      <c r="I5435">
        <v>27500</v>
      </c>
    </row>
    <row r="5436" spans="1:9" x14ac:dyDescent="0.25">
      <c r="A5436" t="s">
        <v>9616</v>
      </c>
      <c r="C5436" t="s">
        <v>9617</v>
      </c>
      <c r="D5436" t="s">
        <v>12636</v>
      </c>
      <c r="E5436" t="s">
        <v>12626</v>
      </c>
      <c r="F5436" s="1">
        <v>45899</v>
      </c>
      <c r="G5436" t="str">
        <f>"300321"</f>
        <v>300321</v>
      </c>
      <c r="H5436" t="s">
        <v>2706</v>
      </c>
      <c r="I5436">
        <v>25300</v>
      </c>
    </row>
    <row r="5437" spans="1:9" x14ac:dyDescent="0.25">
      <c r="A5437" t="s">
        <v>9616</v>
      </c>
      <c r="C5437" t="s">
        <v>9617</v>
      </c>
      <c r="D5437" t="s">
        <v>12637</v>
      </c>
      <c r="E5437" t="s">
        <v>12618</v>
      </c>
      <c r="F5437" s="1">
        <v>45899</v>
      </c>
      <c r="G5437" t="str">
        <f>"300321"</f>
        <v>300321</v>
      </c>
      <c r="H5437" t="s">
        <v>2706</v>
      </c>
      <c r="I5437">
        <v>57750</v>
      </c>
    </row>
    <row r="5438" spans="1:9" x14ac:dyDescent="0.25">
      <c r="A5438" t="s">
        <v>9616</v>
      </c>
      <c r="C5438" t="s">
        <v>9617</v>
      </c>
      <c r="D5438" t="s">
        <v>12638</v>
      </c>
      <c r="E5438" t="s">
        <v>12617</v>
      </c>
      <c r="F5438" s="1">
        <v>45899</v>
      </c>
      <c r="G5438" t="str">
        <f>"300321"</f>
        <v>300321</v>
      </c>
      <c r="H5438" t="s">
        <v>2706</v>
      </c>
      <c r="I5438">
        <v>27500</v>
      </c>
    </row>
    <row r="5439" spans="1:9" x14ac:dyDescent="0.25">
      <c r="A5439" t="s">
        <v>9616</v>
      </c>
      <c r="C5439" t="s">
        <v>9617</v>
      </c>
      <c r="D5439" t="s">
        <v>12639</v>
      </c>
      <c r="E5439" t="s">
        <v>12622</v>
      </c>
      <c r="F5439" s="1">
        <v>45899</v>
      </c>
      <c r="G5439" t="str">
        <f>"300321"</f>
        <v>300321</v>
      </c>
      <c r="H5439" t="s">
        <v>2706</v>
      </c>
      <c r="I5439">
        <v>27500</v>
      </c>
    </row>
    <row r="5440" spans="1:9" x14ac:dyDescent="0.25">
      <c r="A5440" t="s">
        <v>9616</v>
      </c>
      <c r="C5440" t="s">
        <v>9617</v>
      </c>
      <c r="D5440" t="s">
        <v>12640</v>
      </c>
      <c r="E5440" t="s">
        <v>12617</v>
      </c>
      <c r="F5440" s="1">
        <v>45900</v>
      </c>
      <c r="G5440" t="str">
        <f t="shared" ref="G5440:G5450" si="28">"300423"</f>
        <v>300423</v>
      </c>
      <c r="H5440" t="s">
        <v>3156</v>
      </c>
      <c r="I5440">
        <v>3136.38</v>
      </c>
    </row>
    <row r="5441" spans="1:9" x14ac:dyDescent="0.25">
      <c r="A5441" t="s">
        <v>9616</v>
      </c>
      <c r="C5441" t="s">
        <v>9617</v>
      </c>
      <c r="D5441" t="s">
        <v>12641</v>
      </c>
      <c r="E5441" t="s">
        <v>12623</v>
      </c>
      <c r="F5441" s="1">
        <v>45900</v>
      </c>
      <c r="G5441" t="str">
        <f t="shared" si="28"/>
        <v>300423</v>
      </c>
      <c r="H5441" t="s">
        <v>3156</v>
      </c>
      <c r="I5441">
        <v>3136.38</v>
      </c>
    </row>
    <row r="5442" spans="1:9" x14ac:dyDescent="0.25">
      <c r="A5442" t="s">
        <v>9616</v>
      </c>
      <c r="C5442" t="s">
        <v>9617</v>
      </c>
      <c r="D5442" t="s">
        <v>12642</v>
      </c>
      <c r="E5442" t="s">
        <v>12606</v>
      </c>
      <c r="F5442" s="1">
        <v>45900</v>
      </c>
      <c r="G5442" t="str">
        <f t="shared" si="28"/>
        <v>300423</v>
      </c>
      <c r="H5442" t="s">
        <v>3156</v>
      </c>
      <c r="I5442">
        <v>3958.06</v>
      </c>
    </row>
    <row r="5443" spans="1:9" x14ac:dyDescent="0.25">
      <c r="A5443" t="s">
        <v>9616</v>
      </c>
      <c r="C5443" t="s">
        <v>9617</v>
      </c>
      <c r="D5443" t="s">
        <v>12643</v>
      </c>
      <c r="E5443" t="s">
        <v>12607</v>
      </c>
      <c r="F5443" s="1">
        <v>45900</v>
      </c>
      <c r="G5443" t="str">
        <f t="shared" si="28"/>
        <v>300423</v>
      </c>
      <c r="H5443" t="s">
        <v>3156</v>
      </c>
      <c r="I5443">
        <v>3958.06</v>
      </c>
    </row>
    <row r="5444" spans="1:9" x14ac:dyDescent="0.25">
      <c r="A5444" t="s">
        <v>9616</v>
      </c>
      <c r="C5444" t="s">
        <v>9617</v>
      </c>
      <c r="D5444" t="s">
        <v>12644</v>
      </c>
      <c r="E5444" t="s">
        <v>12596</v>
      </c>
      <c r="F5444" s="1">
        <v>45900</v>
      </c>
      <c r="G5444" t="str">
        <f t="shared" si="28"/>
        <v>300423</v>
      </c>
      <c r="H5444" t="s">
        <v>3156</v>
      </c>
      <c r="I5444">
        <v>3465.05</v>
      </c>
    </row>
    <row r="5445" spans="1:9" x14ac:dyDescent="0.25">
      <c r="A5445" t="s">
        <v>9616</v>
      </c>
      <c r="C5445" t="s">
        <v>9617</v>
      </c>
      <c r="D5445" t="s">
        <v>12645</v>
      </c>
      <c r="E5445" t="s">
        <v>12597</v>
      </c>
      <c r="F5445" s="1">
        <v>45900</v>
      </c>
      <c r="G5445" t="str">
        <f t="shared" si="28"/>
        <v>300423</v>
      </c>
      <c r="H5445" t="s">
        <v>3156</v>
      </c>
      <c r="I5445">
        <v>3465.05</v>
      </c>
    </row>
    <row r="5446" spans="1:9" x14ac:dyDescent="0.25">
      <c r="A5446" t="s">
        <v>9616</v>
      </c>
      <c r="C5446" t="s">
        <v>9617</v>
      </c>
      <c r="D5446" t="s">
        <v>12646</v>
      </c>
      <c r="E5446" t="s">
        <v>12618</v>
      </c>
      <c r="F5446" s="1">
        <v>45900</v>
      </c>
      <c r="G5446" t="str">
        <f t="shared" si="28"/>
        <v>300423</v>
      </c>
      <c r="H5446" t="s">
        <v>3156</v>
      </c>
      <c r="I5446">
        <v>3136.38</v>
      </c>
    </row>
    <row r="5447" spans="1:9" x14ac:dyDescent="0.25">
      <c r="A5447" t="s">
        <v>9616</v>
      </c>
      <c r="C5447" t="s">
        <v>9617</v>
      </c>
      <c r="D5447" t="s">
        <v>12647</v>
      </c>
      <c r="E5447" t="s">
        <v>12622</v>
      </c>
      <c r="F5447" s="1">
        <v>45900</v>
      </c>
      <c r="G5447" t="str">
        <f t="shared" si="28"/>
        <v>300423</v>
      </c>
      <c r="H5447" t="s">
        <v>3156</v>
      </c>
      <c r="I5447">
        <v>3136.38</v>
      </c>
    </row>
    <row r="5448" spans="1:9" x14ac:dyDescent="0.25">
      <c r="A5448" t="s">
        <v>9616</v>
      </c>
      <c r="C5448" t="s">
        <v>9617</v>
      </c>
      <c r="D5448" t="s">
        <v>12648</v>
      </c>
      <c r="E5448" t="s">
        <v>12625</v>
      </c>
      <c r="F5448" s="1">
        <v>45900</v>
      </c>
      <c r="G5448" t="str">
        <f t="shared" si="28"/>
        <v>300423</v>
      </c>
      <c r="H5448" t="s">
        <v>3156</v>
      </c>
      <c r="I5448">
        <v>3136.38</v>
      </c>
    </row>
    <row r="5449" spans="1:9" x14ac:dyDescent="0.25">
      <c r="A5449" t="s">
        <v>9616</v>
      </c>
      <c r="C5449" t="s">
        <v>9617</v>
      </c>
      <c r="D5449" t="s">
        <v>12649</v>
      </c>
      <c r="E5449" t="s">
        <v>12626</v>
      </c>
      <c r="F5449" s="1">
        <v>45900</v>
      </c>
      <c r="G5449" t="str">
        <f t="shared" si="28"/>
        <v>300423</v>
      </c>
      <c r="H5449" t="s">
        <v>3156</v>
      </c>
      <c r="I5449">
        <v>3136.38</v>
      </c>
    </row>
    <row r="5450" spans="1:9" x14ac:dyDescent="0.25">
      <c r="A5450" t="s">
        <v>9616</v>
      </c>
      <c r="C5450" t="s">
        <v>9617</v>
      </c>
      <c r="D5450" t="s">
        <v>12650</v>
      </c>
      <c r="E5450" t="s">
        <v>12627</v>
      </c>
      <c r="F5450" s="1">
        <v>45900</v>
      </c>
      <c r="G5450" t="str">
        <f t="shared" si="28"/>
        <v>300423</v>
      </c>
      <c r="H5450" t="s">
        <v>3156</v>
      </c>
      <c r="I5450">
        <v>3136.38</v>
      </c>
    </row>
    <row r="5451" spans="1:9" x14ac:dyDescent="0.25">
      <c r="A5451" t="s">
        <v>9616</v>
      </c>
      <c r="C5451" t="s">
        <v>9617</v>
      </c>
      <c r="D5451" t="str">
        <f>"0981"</f>
        <v>0981</v>
      </c>
      <c r="E5451" t="s">
        <v>11471</v>
      </c>
      <c r="F5451" s="1">
        <v>45901</v>
      </c>
      <c r="G5451" t="str">
        <f>"300043"</f>
        <v>300043</v>
      </c>
      <c r="H5451" t="s">
        <v>2876</v>
      </c>
      <c r="I5451">
        <v>3573</v>
      </c>
    </row>
    <row r="5452" spans="1:9" x14ac:dyDescent="0.25">
      <c r="A5452" t="s">
        <v>9616</v>
      </c>
      <c r="C5452" t="s">
        <v>9617</v>
      </c>
      <c r="D5452" t="str">
        <f>"8329"</f>
        <v>8329</v>
      </c>
      <c r="E5452" t="s">
        <v>12651</v>
      </c>
      <c r="F5452" s="1">
        <v>45901</v>
      </c>
      <c r="G5452" t="str">
        <f>"300043"</f>
        <v>300043</v>
      </c>
      <c r="H5452" t="s">
        <v>2876</v>
      </c>
      <c r="I5452">
        <v>1319</v>
      </c>
    </row>
    <row r="5453" spans="1:9" x14ac:dyDescent="0.25">
      <c r="A5453" t="s">
        <v>9616</v>
      </c>
      <c r="C5453" t="s">
        <v>9617</v>
      </c>
      <c r="D5453" t="str">
        <f>"8460"</f>
        <v>8460</v>
      </c>
      <c r="E5453" t="s">
        <v>12652</v>
      </c>
      <c r="F5453" s="1">
        <v>45901</v>
      </c>
      <c r="G5453" t="str">
        <f>"300043"</f>
        <v>300043</v>
      </c>
      <c r="H5453" t="s">
        <v>2876</v>
      </c>
      <c r="I5453">
        <v>4223</v>
      </c>
    </row>
    <row r="5454" spans="1:9" x14ac:dyDescent="0.25">
      <c r="A5454" t="s">
        <v>9616</v>
      </c>
      <c r="C5454" t="s">
        <v>9617</v>
      </c>
      <c r="D5454" t="str">
        <f>"10170333"</f>
        <v>10170333</v>
      </c>
      <c r="E5454" t="s">
        <v>9438</v>
      </c>
      <c r="F5454" s="1">
        <v>45901</v>
      </c>
      <c r="G5454" t="str">
        <f>"300115"</f>
        <v>300115</v>
      </c>
      <c r="H5454" t="s">
        <v>2938</v>
      </c>
      <c r="I5454">
        <v>341443.10200000001</v>
      </c>
    </row>
    <row r="5455" spans="1:9" x14ac:dyDescent="0.25">
      <c r="A5455" t="s">
        <v>9616</v>
      </c>
      <c r="C5455" t="s">
        <v>9617</v>
      </c>
      <c r="D5455" t="s">
        <v>12653</v>
      </c>
      <c r="E5455" t="s">
        <v>12627</v>
      </c>
      <c r="F5455" s="1">
        <v>45901</v>
      </c>
      <c r="G5455" t="str">
        <f>"300321"</f>
        <v>300321</v>
      </c>
      <c r="H5455" t="s">
        <v>2706</v>
      </c>
      <c r="I5455">
        <v>57750</v>
      </c>
    </row>
    <row r="5456" spans="1:9" x14ac:dyDescent="0.25">
      <c r="A5456" t="s">
        <v>9616</v>
      </c>
      <c r="C5456" t="s">
        <v>9617</v>
      </c>
      <c r="D5456" t="str">
        <f>"1059"</f>
        <v>1059</v>
      </c>
      <c r="E5456" t="s">
        <v>11471</v>
      </c>
      <c r="F5456" s="1">
        <v>45902</v>
      </c>
      <c r="G5456" t="str">
        <f>"300043"</f>
        <v>300043</v>
      </c>
      <c r="H5456" t="s">
        <v>2876</v>
      </c>
      <c r="I5456">
        <v>2744</v>
      </c>
    </row>
    <row r="5457" spans="1:9" x14ac:dyDescent="0.25">
      <c r="A5457" t="s">
        <v>9616</v>
      </c>
      <c r="C5457" t="s">
        <v>9617</v>
      </c>
      <c r="D5457" t="str">
        <f>"7348"</f>
        <v>7348</v>
      </c>
      <c r="E5457" t="s">
        <v>12654</v>
      </c>
      <c r="F5457" s="1">
        <v>45902</v>
      </c>
      <c r="G5457" t="str">
        <f>"300043"</f>
        <v>300043</v>
      </c>
      <c r="H5457" t="s">
        <v>2876</v>
      </c>
      <c r="I5457">
        <v>1217</v>
      </c>
    </row>
    <row r="5458" spans="1:9" x14ac:dyDescent="0.25">
      <c r="A5458" t="s">
        <v>9616</v>
      </c>
      <c r="C5458" t="s">
        <v>9617</v>
      </c>
      <c r="D5458" t="str">
        <f>"10170375"</f>
        <v>10170375</v>
      </c>
      <c r="E5458" t="s">
        <v>2762</v>
      </c>
      <c r="F5458" s="1">
        <v>45902</v>
      </c>
      <c r="G5458" t="str">
        <f>"300115"</f>
        <v>300115</v>
      </c>
      <c r="H5458" t="s">
        <v>2938</v>
      </c>
      <c r="I5458">
        <v>110044.5852</v>
      </c>
    </row>
    <row r="5459" spans="1:9" x14ac:dyDescent="0.25">
      <c r="A5459" t="s">
        <v>9616</v>
      </c>
      <c r="C5459" t="s">
        <v>9617</v>
      </c>
      <c r="D5459" t="str">
        <f>"10170430"</f>
        <v>10170430</v>
      </c>
      <c r="E5459" t="s">
        <v>9438</v>
      </c>
      <c r="F5459" s="1">
        <v>45902</v>
      </c>
      <c r="G5459" t="str">
        <f>"300115"</f>
        <v>300115</v>
      </c>
      <c r="H5459" t="s">
        <v>2938</v>
      </c>
      <c r="I5459">
        <v>341443.10200000001</v>
      </c>
    </row>
    <row r="5460" spans="1:9" x14ac:dyDescent="0.25">
      <c r="A5460" t="s">
        <v>9616</v>
      </c>
      <c r="C5460" t="s">
        <v>9617</v>
      </c>
      <c r="D5460" t="s">
        <v>12655</v>
      </c>
      <c r="E5460" t="s">
        <v>12652</v>
      </c>
      <c r="F5460" s="1">
        <v>45902</v>
      </c>
      <c r="G5460" t="str">
        <f>"300321"</f>
        <v>300321</v>
      </c>
      <c r="H5460" t="s">
        <v>2706</v>
      </c>
      <c r="I5460">
        <v>57750</v>
      </c>
    </row>
    <row r="5461" spans="1:9" x14ac:dyDescent="0.25">
      <c r="A5461" t="s">
        <v>9616</v>
      </c>
      <c r="C5461" t="s">
        <v>9617</v>
      </c>
      <c r="D5461" t="s">
        <v>12656</v>
      </c>
      <c r="E5461" t="s">
        <v>12651</v>
      </c>
      <c r="F5461" s="1">
        <v>45902</v>
      </c>
      <c r="G5461" t="str">
        <f>"300321"</f>
        <v>300321</v>
      </c>
      <c r="H5461" t="s">
        <v>2706</v>
      </c>
      <c r="I5461">
        <v>25300</v>
      </c>
    </row>
    <row r="5462" spans="1:9" x14ac:dyDescent="0.25">
      <c r="A5462" t="s">
        <v>9616</v>
      </c>
      <c r="C5462" t="s">
        <v>9617</v>
      </c>
      <c r="D5462" t="str">
        <f>"9109"</f>
        <v>9109</v>
      </c>
      <c r="E5462" t="s">
        <v>12657</v>
      </c>
      <c r="F5462" s="1">
        <v>45903</v>
      </c>
      <c r="G5462" t="str">
        <f>"300043"</f>
        <v>300043</v>
      </c>
      <c r="H5462" t="s">
        <v>2876</v>
      </c>
      <c r="I5462">
        <v>1257</v>
      </c>
    </row>
    <row r="5463" spans="1:9" x14ac:dyDescent="0.25">
      <c r="A5463" t="s">
        <v>9616</v>
      </c>
      <c r="C5463" t="s">
        <v>9617</v>
      </c>
      <c r="D5463" t="str">
        <f>"9240"</f>
        <v>9240</v>
      </c>
      <c r="E5463" t="s">
        <v>12658</v>
      </c>
      <c r="F5463" s="1">
        <v>45903</v>
      </c>
      <c r="G5463" t="str">
        <f>"300043"</f>
        <v>300043</v>
      </c>
      <c r="H5463" t="s">
        <v>2876</v>
      </c>
      <c r="I5463">
        <v>1256</v>
      </c>
    </row>
    <row r="5464" spans="1:9" x14ac:dyDescent="0.25">
      <c r="A5464" t="s">
        <v>9616</v>
      </c>
      <c r="C5464" t="s">
        <v>9617</v>
      </c>
      <c r="D5464" t="str">
        <f>"80204211"</f>
        <v>80204211</v>
      </c>
      <c r="E5464" t="s">
        <v>9438</v>
      </c>
      <c r="F5464" s="1">
        <v>45903</v>
      </c>
      <c r="G5464" t="str">
        <f>"300381"</f>
        <v>300381</v>
      </c>
      <c r="H5464" t="s">
        <v>3118</v>
      </c>
      <c r="I5464">
        <v>294417.27149999997</v>
      </c>
    </row>
    <row r="5465" spans="1:9" x14ac:dyDescent="0.25">
      <c r="A5465" t="s">
        <v>9616</v>
      </c>
      <c r="C5465" t="s">
        <v>9617</v>
      </c>
      <c r="D5465" t="str">
        <f>"80204217"</f>
        <v>80204217</v>
      </c>
      <c r="E5465" t="s">
        <v>9438</v>
      </c>
      <c r="F5465" s="1">
        <v>45903</v>
      </c>
      <c r="G5465" t="str">
        <f>"300381"</f>
        <v>300381</v>
      </c>
      <c r="H5465" t="s">
        <v>3118</v>
      </c>
      <c r="I5465">
        <v>295389.20400000003</v>
      </c>
    </row>
    <row r="5466" spans="1:9" x14ac:dyDescent="0.25">
      <c r="A5466" t="s">
        <v>9616</v>
      </c>
      <c r="C5466" t="s">
        <v>9617</v>
      </c>
      <c r="D5466" t="str">
        <f>"80204856"</f>
        <v>80204856</v>
      </c>
      <c r="E5466" t="s">
        <v>8852</v>
      </c>
      <c r="F5466" s="1">
        <v>45903</v>
      </c>
      <c r="G5466" t="str">
        <f>"300381"</f>
        <v>300381</v>
      </c>
      <c r="H5466" t="s">
        <v>3118</v>
      </c>
      <c r="I5466">
        <v>338745.62920000002</v>
      </c>
    </row>
    <row r="5467" spans="1:9" x14ac:dyDescent="0.25">
      <c r="A5467" t="s">
        <v>9616</v>
      </c>
      <c r="C5467" t="s">
        <v>9617</v>
      </c>
      <c r="D5467" t="str">
        <f>"80204857"</f>
        <v>80204857</v>
      </c>
      <c r="E5467" t="s">
        <v>9438</v>
      </c>
      <c r="F5467" s="1">
        <v>45903</v>
      </c>
      <c r="G5467" t="str">
        <f>"300381"</f>
        <v>300381</v>
      </c>
      <c r="H5467" t="s">
        <v>3118</v>
      </c>
      <c r="I5467">
        <v>333907.20000000001</v>
      </c>
    </row>
    <row r="5468" spans="1:9" x14ac:dyDescent="0.25">
      <c r="A5468" t="s">
        <v>9616</v>
      </c>
      <c r="C5468" t="s">
        <v>9617</v>
      </c>
      <c r="D5468" t="str">
        <f>"80204966"</f>
        <v>80204966</v>
      </c>
      <c r="E5468" t="s">
        <v>9438</v>
      </c>
      <c r="F5468" s="1">
        <v>45903</v>
      </c>
      <c r="G5468" t="str">
        <f>"300381"</f>
        <v>300381</v>
      </c>
      <c r="H5468" t="s">
        <v>3118</v>
      </c>
      <c r="I5468">
        <v>333907.20000000001</v>
      </c>
    </row>
    <row r="5469" spans="1:9" x14ac:dyDescent="0.25">
      <c r="A5469" t="s">
        <v>9616</v>
      </c>
      <c r="C5469" t="s">
        <v>9617</v>
      </c>
      <c r="D5469" t="str">
        <f>"5166"</f>
        <v>5166</v>
      </c>
      <c r="E5469" t="s">
        <v>12632</v>
      </c>
      <c r="F5469" s="1">
        <v>45904</v>
      </c>
      <c r="G5469" t="str">
        <f t="shared" ref="G5469:G5474" si="29">"300043"</f>
        <v>300043</v>
      </c>
      <c r="H5469" t="s">
        <v>2876</v>
      </c>
      <c r="I5469">
        <v>7503</v>
      </c>
    </row>
    <row r="5470" spans="1:9" x14ac:dyDescent="0.25">
      <c r="A5470" t="s">
        <v>9616</v>
      </c>
      <c r="C5470" t="s">
        <v>9617</v>
      </c>
      <c r="D5470" t="str">
        <f>"0016"</f>
        <v>0016</v>
      </c>
      <c r="E5470" t="s">
        <v>12659</v>
      </c>
      <c r="F5470" s="1">
        <v>45908</v>
      </c>
      <c r="G5470" t="str">
        <f t="shared" si="29"/>
        <v>300043</v>
      </c>
      <c r="H5470" t="s">
        <v>2876</v>
      </c>
      <c r="I5470">
        <v>1263</v>
      </c>
    </row>
    <row r="5471" spans="1:9" x14ac:dyDescent="0.25">
      <c r="A5471" t="s">
        <v>9616</v>
      </c>
      <c r="C5471" t="s">
        <v>9617</v>
      </c>
      <c r="D5471" t="str">
        <f>"0057"</f>
        <v>0057</v>
      </c>
      <c r="E5471" t="s">
        <v>12660</v>
      </c>
      <c r="F5471" s="1">
        <v>45908</v>
      </c>
      <c r="G5471" t="str">
        <f t="shared" si="29"/>
        <v>300043</v>
      </c>
      <c r="H5471" t="s">
        <v>2876</v>
      </c>
      <c r="I5471">
        <v>575</v>
      </c>
    </row>
    <row r="5472" spans="1:9" x14ac:dyDescent="0.25">
      <c r="A5472" t="s">
        <v>9616</v>
      </c>
      <c r="C5472" t="s">
        <v>9617</v>
      </c>
      <c r="D5472" t="str">
        <f>"9805"</f>
        <v>9805</v>
      </c>
      <c r="E5472" t="s">
        <v>12661</v>
      </c>
      <c r="F5472" s="1">
        <v>45908</v>
      </c>
      <c r="G5472" t="str">
        <f t="shared" si="29"/>
        <v>300043</v>
      </c>
      <c r="H5472" t="s">
        <v>2876</v>
      </c>
      <c r="I5472">
        <v>1312</v>
      </c>
    </row>
    <row r="5473" spans="1:9" x14ac:dyDescent="0.25">
      <c r="A5473" t="s">
        <v>9616</v>
      </c>
      <c r="C5473" t="s">
        <v>9617</v>
      </c>
      <c r="D5473" t="str">
        <f>"9807"</f>
        <v>9807</v>
      </c>
      <c r="E5473" t="s">
        <v>12662</v>
      </c>
      <c r="F5473" s="1">
        <v>45908</v>
      </c>
      <c r="G5473" t="str">
        <f t="shared" si="29"/>
        <v>300043</v>
      </c>
      <c r="H5473" t="s">
        <v>2876</v>
      </c>
      <c r="I5473">
        <v>1312</v>
      </c>
    </row>
    <row r="5474" spans="1:9" x14ac:dyDescent="0.25">
      <c r="A5474" t="s">
        <v>9616</v>
      </c>
      <c r="C5474" t="s">
        <v>9617</v>
      </c>
      <c r="D5474" t="str">
        <f>"9815"</f>
        <v>9815</v>
      </c>
      <c r="E5474" t="s">
        <v>12663</v>
      </c>
      <c r="F5474" s="1">
        <v>45908</v>
      </c>
      <c r="G5474" t="str">
        <f t="shared" si="29"/>
        <v>300043</v>
      </c>
      <c r="H5474" t="s">
        <v>2876</v>
      </c>
      <c r="I5474">
        <v>1320</v>
      </c>
    </row>
    <row r="5475" spans="1:9" x14ac:dyDescent="0.25">
      <c r="A5475" t="s">
        <v>9616</v>
      </c>
      <c r="C5475" t="s">
        <v>9617</v>
      </c>
      <c r="D5475" t="s">
        <v>12664</v>
      </c>
      <c r="E5475" t="s">
        <v>9506</v>
      </c>
      <c r="F5475" s="1">
        <v>45908</v>
      </c>
      <c r="G5475" t="str">
        <f>"300064"</f>
        <v>300064</v>
      </c>
      <c r="H5475" t="s">
        <v>2896</v>
      </c>
      <c r="I5475">
        <v>126980</v>
      </c>
    </row>
    <row r="5476" spans="1:9" x14ac:dyDescent="0.25">
      <c r="A5476" t="s">
        <v>9616</v>
      </c>
      <c r="C5476" t="s">
        <v>9617</v>
      </c>
      <c r="D5476" t="s">
        <v>12665</v>
      </c>
      <c r="E5476" t="s">
        <v>9506</v>
      </c>
      <c r="F5476" s="1">
        <v>45908</v>
      </c>
      <c r="G5476" t="str">
        <f>"300064"</f>
        <v>300064</v>
      </c>
      <c r="H5476" t="s">
        <v>2896</v>
      </c>
      <c r="I5476">
        <v>126980</v>
      </c>
    </row>
    <row r="5477" spans="1:9" x14ac:dyDescent="0.25">
      <c r="A5477" t="s">
        <v>9616</v>
      </c>
      <c r="C5477" t="s">
        <v>9617</v>
      </c>
      <c r="D5477" t="s">
        <v>12666</v>
      </c>
      <c r="E5477" t="s">
        <v>12657</v>
      </c>
      <c r="F5477" s="1">
        <v>45908</v>
      </c>
      <c r="G5477" t="str">
        <f t="shared" ref="G5477:G5483" si="30">"300101"</f>
        <v>300101</v>
      </c>
      <c r="H5477" t="s">
        <v>2926</v>
      </c>
      <c r="I5477">
        <v>2968.38</v>
      </c>
    </row>
    <row r="5478" spans="1:9" x14ac:dyDescent="0.25">
      <c r="A5478" t="s">
        <v>9616</v>
      </c>
      <c r="C5478" t="s">
        <v>9617</v>
      </c>
      <c r="D5478" t="s">
        <v>12667</v>
      </c>
      <c r="E5478" t="s">
        <v>12624</v>
      </c>
      <c r="F5478" s="1">
        <v>45908</v>
      </c>
      <c r="G5478" t="str">
        <f t="shared" si="30"/>
        <v>300101</v>
      </c>
      <c r="H5478" t="s">
        <v>2926</v>
      </c>
      <c r="I5478">
        <v>4118.74</v>
      </c>
    </row>
    <row r="5479" spans="1:9" x14ac:dyDescent="0.25">
      <c r="A5479" t="s">
        <v>9616</v>
      </c>
      <c r="C5479" t="s">
        <v>9617</v>
      </c>
      <c r="D5479" t="s">
        <v>12668</v>
      </c>
      <c r="E5479" t="s">
        <v>12658</v>
      </c>
      <c r="F5479" s="1">
        <v>45908</v>
      </c>
      <c r="G5479" t="str">
        <f t="shared" si="30"/>
        <v>300101</v>
      </c>
      <c r="H5479" t="s">
        <v>2926</v>
      </c>
      <c r="I5479">
        <v>7734.14</v>
      </c>
    </row>
    <row r="5480" spans="1:9" x14ac:dyDescent="0.25">
      <c r="A5480" t="s">
        <v>9616</v>
      </c>
      <c r="C5480" t="s">
        <v>9617</v>
      </c>
      <c r="D5480" t="s">
        <v>12669</v>
      </c>
      <c r="E5480" t="s">
        <v>12585</v>
      </c>
      <c r="F5480" s="1">
        <v>45908</v>
      </c>
      <c r="G5480" t="str">
        <f t="shared" si="30"/>
        <v>300101</v>
      </c>
      <c r="H5480" t="s">
        <v>2926</v>
      </c>
      <c r="I5480">
        <v>3790.06</v>
      </c>
    </row>
    <row r="5481" spans="1:9" x14ac:dyDescent="0.25">
      <c r="A5481" t="s">
        <v>9616</v>
      </c>
      <c r="C5481" t="s">
        <v>9617</v>
      </c>
      <c r="D5481" t="s">
        <v>12670</v>
      </c>
      <c r="E5481" t="s">
        <v>12571</v>
      </c>
      <c r="F5481" s="1">
        <v>45908</v>
      </c>
      <c r="G5481" t="str">
        <f t="shared" si="30"/>
        <v>300101</v>
      </c>
      <c r="H5481" t="s">
        <v>2926</v>
      </c>
      <c r="I5481">
        <v>4447.41</v>
      </c>
    </row>
    <row r="5482" spans="1:9" x14ac:dyDescent="0.25">
      <c r="A5482" t="s">
        <v>9616</v>
      </c>
      <c r="C5482" t="s">
        <v>9617</v>
      </c>
      <c r="D5482" t="s">
        <v>12671</v>
      </c>
      <c r="E5482" t="s">
        <v>12590</v>
      </c>
      <c r="F5482" s="1">
        <v>45908</v>
      </c>
      <c r="G5482" t="str">
        <f t="shared" si="30"/>
        <v>300101</v>
      </c>
      <c r="H5482" t="s">
        <v>2926</v>
      </c>
      <c r="I5482">
        <v>6857.68</v>
      </c>
    </row>
    <row r="5483" spans="1:9" x14ac:dyDescent="0.25">
      <c r="A5483" t="s">
        <v>9616</v>
      </c>
      <c r="C5483" t="s">
        <v>9617</v>
      </c>
      <c r="D5483" t="s">
        <v>12672</v>
      </c>
      <c r="E5483" t="s">
        <v>12608</v>
      </c>
      <c r="F5483" s="1">
        <v>45908</v>
      </c>
      <c r="G5483" t="str">
        <f t="shared" si="30"/>
        <v>300101</v>
      </c>
      <c r="H5483" t="s">
        <v>2926</v>
      </c>
      <c r="I5483">
        <v>3297.05</v>
      </c>
    </row>
    <row r="5484" spans="1:9" x14ac:dyDescent="0.25">
      <c r="A5484" t="s">
        <v>9616</v>
      </c>
      <c r="C5484" t="s">
        <v>9617</v>
      </c>
      <c r="D5484" t="str">
        <f>"5221"</f>
        <v>5221</v>
      </c>
      <c r="E5484" t="s">
        <v>12634</v>
      </c>
      <c r="F5484" s="1">
        <v>45909</v>
      </c>
      <c r="G5484" t="str">
        <f>"300043"</f>
        <v>300043</v>
      </c>
      <c r="H5484" t="s">
        <v>2876</v>
      </c>
      <c r="I5484">
        <v>3506</v>
      </c>
    </row>
    <row r="5485" spans="1:9" x14ac:dyDescent="0.25">
      <c r="A5485" t="s">
        <v>9616</v>
      </c>
      <c r="C5485" t="s">
        <v>9617</v>
      </c>
      <c r="D5485" t="s">
        <v>12673</v>
      </c>
      <c r="E5485" t="s">
        <v>12661</v>
      </c>
      <c r="F5485" s="1">
        <v>45909</v>
      </c>
      <c r="G5485" t="str">
        <f>"300321"</f>
        <v>300321</v>
      </c>
      <c r="H5485" t="s">
        <v>2706</v>
      </c>
      <c r="I5485">
        <v>27500</v>
      </c>
    </row>
    <row r="5486" spans="1:9" x14ac:dyDescent="0.25">
      <c r="A5486" t="s">
        <v>9616</v>
      </c>
      <c r="C5486" t="s">
        <v>9617</v>
      </c>
      <c r="D5486" t="s">
        <v>12674</v>
      </c>
      <c r="E5486" t="s">
        <v>12662</v>
      </c>
      <c r="F5486" s="1">
        <v>45909</v>
      </c>
      <c r="G5486" t="str">
        <f>"300321"</f>
        <v>300321</v>
      </c>
      <c r="H5486" t="s">
        <v>2706</v>
      </c>
      <c r="I5486">
        <v>27500</v>
      </c>
    </row>
    <row r="5487" spans="1:9" x14ac:dyDescent="0.25">
      <c r="A5487" t="s">
        <v>9616</v>
      </c>
      <c r="C5487" t="s">
        <v>9617</v>
      </c>
      <c r="D5487" t="s">
        <v>12675</v>
      </c>
      <c r="E5487" t="s">
        <v>12663</v>
      </c>
      <c r="F5487" s="1">
        <v>45909</v>
      </c>
      <c r="G5487" t="str">
        <f>"300321"</f>
        <v>300321</v>
      </c>
      <c r="H5487" t="s">
        <v>2706</v>
      </c>
      <c r="I5487">
        <v>25300</v>
      </c>
    </row>
    <row r="5488" spans="1:9" x14ac:dyDescent="0.25">
      <c r="A5488" t="s">
        <v>9616</v>
      </c>
      <c r="C5488" t="s">
        <v>9617</v>
      </c>
      <c r="D5488" t="str">
        <f>"80205270"</f>
        <v>80205270</v>
      </c>
      <c r="E5488" t="s">
        <v>8852</v>
      </c>
      <c r="F5488" s="1">
        <v>45909</v>
      </c>
      <c r="G5488" t="str">
        <f>"300381"</f>
        <v>300381</v>
      </c>
      <c r="H5488" t="s">
        <v>3118</v>
      </c>
      <c r="I5488">
        <v>359416.728</v>
      </c>
    </row>
    <row r="5489" spans="1:9" x14ac:dyDescent="0.25">
      <c r="A5489" t="s">
        <v>9616</v>
      </c>
      <c r="C5489" t="s">
        <v>9617</v>
      </c>
      <c r="D5489" t="str">
        <f>"80205305"</f>
        <v>80205305</v>
      </c>
      <c r="E5489" t="s">
        <v>1313</v>
      </c>
      <c r="F5489" s="1">
        <v>45909</v>
      </c>
      <c r="G5489" t="str">
        <f>"300381"</f>
        <v>300381</v>
      </c>
      <c r="H5489" t="s">
        <v>3118</v>
      </c>
      <c r="I5489">
        <v>340585.34399999998</v>
      </c>
    </row>
    <row r="5490" spans="1:9" x14ac:dyDescent="0.25">
      <c r="A5490" t="s">
        <v>9616</v>
      </c>
      <c r="C5490" t="s">
        <v>9617</v>
      </c>
      <c r="D5490" t="s">
        <v>12676</v>
      </c>
      <c r="E5490" t="s">
        <v>9562</v>
      </c>
      <c r="F5490" s="1">
        <v>45910</v>
      </c>
      <c r="G5490" t="str">
        <f>"300133"</f>
        <v>300133</v>
      </c>
      <c r="H5490" t="s">
        <v>2955</v>
      </c>
      <c r="I5490">
        <v>45648</v>
      </c>
    </row>
    <row r="5491" spans="1:9" x14ac:dyDescent="0.25">
      <c r="A5491" t="s">
        <v>9616</v>
      </c>
      <c r="C5491" t="s">
        <v>9617</v>
      </c>
      <c r="D5491" t="s">
        <v>12677</v>
      </c>
      <c r="E5491" t="s">
        <v>12070</v>
      </c>
      <c r="F5491" s="1">
        <v>45910</v>
      </c>
      <c r="G5491" t="str">
        <f>"300133"</f>
        <v>300133</v>
      </c>
      <c r="H5491" t="s">
        <v>2955</v>
      </c>
      <c r="I5491">
        <v>31125.46</v>
      </c>
    </row>
    <row r="5492" spans="1:9" x14ac:dyDescent="0.25">
      <c r="A5492" t="s">
        <v>9616</v>
      </c>
      <c r="C5492" t="s">
        <v>9617</v>
      </c>
      <c r="D5492" t="s">
        <v>12678</v>
      </c>
      <c r="E5492" t="s">
        <v>12632</v>
      </c>
      <c r="F5492" s="1">
        <v>45910</v>
      </c>
      <c r="G5492" t="str">
        <f>"300423"</f>
        <v>300423</v>
      </c>
      <c r="H5492" t="s">
        <v>3156</v>
      </c>
      <c r="I5492">
        <v>9409.64</v>
      </c>
    </row>
    <row r="5493" spans="1:9" x14ac:dyDescent="0.25">
      <c r="A5493" t="s">
        <v>9616</v>
      </c>
      <c r="C5493" t="s">
        <v>9617</v>
      </c>
      <c r="D5493" t="s">
        <v>12679</v>
      </c>
      <c r="E5493" t="s">
        <v>12634</v>
      </c>
      <c r="F5493" s="1">
        <v>45910</v>
      </c>
      <c r="G5493" t="str">
        <f>"300423"</f>
        <v>300423</v>
      </c>
      <c r="H5493" t="s">
        <v>3156</v>
      </c>
      <c r="I5493">
        <v>4423.3100000000004</v>
      </c>
    </row>
    <row r="5494" spans="1:9" x14ac:dyDescent="0.25">
      <c r="A5494" t="s">
        <v>9616</v>
      </c>
      <c r="C5494" t="s">
        <v>9617</v>
      </c>
      <c r="D5494" t="str">
        <f>"1009"</f>
        <v>1009</v>
      </c>
      <c r="E5494" t="s">
        <v>12680</v>
      </c>
      <c r="F5494" s="1">
        <v>45911</v>
      </c>
      <c r="G5494" t="str">
        <f>"300043"</f>
        <v>300043</v>
      </c>
      <c r="H5494" t="s">
        <v>2876</v>
      </c>
      <c r="I5494">
        <v>1324</v>
      </c>
    </row>
    <row r="5495" spans="1:9" x14ac:dyDescent="0.25">
      <c r="A5495" t="s">
        <v>9616</v>
      </c>
      <c r="C5495" t="s">
        <v>9617</v>
      </c>
      <c r="D5495" t="str">
        <f>"1020"</f>
        <v>1020</v>
      </c>
      <c r="E5495" t="s">
        <v>12681</v>
      </c>
      <c r="F5495" s="1">
        <v>45911</v>
      </c>
      <c r="G5495" t="str">
        <f>"300043"</f>
        <v>300043</v>
      </c>
      <c r="H5495" t="s">
        <v>2876</v>
      </c>
      <c r="I5495">
        <v>1384</v>
      </c>
    </row>
    <row r="5496" spans="1:9" x14ac:dyDescent="0.25">
      <c r="A5496" t="s">
        <v>9616</v>
      </c>
      <c r="C5496" t="s">
        <v>9617</v>
      </c>
      <c r="D5496" t="str">
        <f>"1322"</f>
        <v>1322</v>
      </c>
      <c r="E5496" t="s">
        <v>12682</v>
      </c>
      <c r="F5496" s="1">
        <v>45912</v>
      </c>
      <c r="G5496" t="str">
        <f>"300043"</f>
        <v>300043</v>
      </c>
      <c r="H5496" t="s">
        <v>2876</v>
      </c>
      <c r="I5496">
        <v>1323</v>
      </c>
    </row>
    <row r="5497" spans="1:9" x14ac:dyDescent="0.25">
      <c r="A5497" t="s">
        <v>9616</v>
      </c>
      <c r="C5497" t="s">
        <v>9617</v>
      </c>
      <c r="D5497" t="str">
        <f>"1563"</f>
        <v>1563</v>
      </c>
      <c r="E5497" t="s">
        <v>11471</v>
      </c>
      <c r="F5497" s="1">
        <v>45912</v>
      </c>
      <c r="G5497" t="str">
        <f>"300043"</f>
        <v>300043</v>
      </c>
      <c r="H5497" t="s">
        <v>2876</v>
      </c>
      <c r="I5497">
        <v>3746</v>
      </c>
    </row>
    <row r="5498" spans="1:9" x14ac:dyDescent="0.25">
      <c r="A5498" t="s">
        <v>9616</v>
      </c>
      <c r="C5498" t="s">
        <v>9617</v>
      </c>
      <c r="D5498" t="s">
        <v>12683</v>
      </c>
      <c r="E5498" t="s">
        <v>12654</v>
      </c>
      <c r="F5498" s="1">
        <v>45912</v>
      </c>
      <c r="G5498" t="str">
        <f>"300191"</f>
        <v>300191</v>
      </c>
      <c r="H5498" t="s">
        <v>3008</v>
      </c>
      <c r="I5498">
        <v>8287.19</v>
      </c>
    </row>
    <row r="5499" spans="1:9" x14ac:dyDescent="0.25">
      <c r="A5499" t="s">
        <v>9616</v>
      </c>
      <c r="C5499" t="s">
        <v>9617</v>
      </c>
      <c r="D5499" t="s">
        <v>12684</v>
      </c>
      <c r="E5499" t="s">
        <v>12681</v>
      </c>
      <c r="F5499" s="1">
        <v>45912</v>
      </c>
      <c r="G5499" t="str">
        <f>"300321"</f>
        <v>300321</v>
      </c>
      <c r="H5499" t="s">
        <v>2706</v>
      </c>
      <c r="I5499">
        <v>25300</v>
      </c>
    </row>
    <row r="5500" spans="1:9" x14ac:dyDescent="0.25">
      <c r="A5500" t="s">
        <v>9616</v>
      </c>
      <c r="C5500" t="s">
        <v>9617</v>
      </c>
      <c r="D5500" t="s">
        <v>12685</v>
      </c>
      <c r="E5500" t="s">
        <v>12680</v>
      </c>
      <c r="F5500" s="1">
        <v>45912</v>
      </c>
      <c r="G5500" t="str">
        <f>"300321"</f>
        <v>300321</v>
      </c>
      <c r="H5500" t="s">
        <v>2706</v>
      </c>
      <c r="I5500">
        <v>25300</v>
      </c>
    </row>
    <row r="5501" spans="1:9" x14ac:dyDescent="0.25">
      <c r="A5501" t="s">
        <v>9616</v>
      </c>
      <c r="C5501" t="s">
        <v>9617</v>
      </c>
      <c r="D5501" t="s">
        <v>12686</v>
      </c>
      <c r="E5501" t="s">
        <v>12652</v>
      </c>
      <c r="F5501" s="1">
        <v>45912</v>
      </c>
      <c r="G5501" t="str">
        <f>"300423"</f>
        <v>300423</v>
      </c>
      <c r="H5501" t="s">
        <v>3156</v>
      </c>
      <c r="I5501">
        <v>3136.38</v>
      </c>
    </row>
    <row r="5502" spans="1:9" x14ac:dyDescent="0.25">
      <c r="A5502" t="s">
        <v>9616</v>
      </c>
      <c r="C5502" t="s">
        <v>9617</v>
      </c>
      <c r="D5502" t="s">
        <v>12687</v>
      </c>
      <c r="E5502" t="s">
        <v>12688</v>
      </c>
      <c r="F5502" s="1">
        <v>45912</v>
      </c>
      <c r="G5502" t="str">
        <f>"300423"</f>
        <v>300423</v>
      </c>
      <c r="H5502" t="s">
        <v>3156</v>
      </c>
      <c r="I5502">
        <v>3300.72</v>
      </c>
    </row>
    <row r="5503" spans="1:9" x14ac:dyDescent="0.25">
      <c r="A5503" t="s">
        <v>9616</v>
      </c>
      <c r="C5503" t="s">
        <v>9617</v>
      </c>
      <c r="D5503" t="s">
        <v>12689</v>
      </c>
      <c r="E5503" t="s">
        <v>12662</v>
      </c>
      <c r="F5503" s="1">
        <v>45912</v>
      </c>
      <c r="G5503" t="str">
        <f>"300423"</f>
        <v>300423</v>
      </c>
      <c r="H5503" t="s">
        <v>3156</v>
      </c>
      <c r="I5503">
        <v>3300.72</v>
      </c>
    </row>
    <row r="5504" spans="1:9" x14ac:dyDescent="0.25">
      <c r="A5504" t="s">
        <v>9616</v>
      </c>
      <c r="C5504" t="s">
        <v>9617</v>
      </c>
      <c r="D5504" t="s">
        <v>12690</v>
      </c>
      <c r="E5504" t="s">
        <v>12663</v>
      </c>
      <c r="F5504" s="1">
        <v>45912</v>
      </c>
      <c r="G5504" t="str">
        <f>"300423"</f>
        <v>300423</v>
      </c>
      <c r="H5504" t="s">
        <v>3156</v>
      </c>
      <c r="I5504">
        <v>3300.72</v>
      </c>
    </row>
    <row r="5505" spans="1:9" x14ac:dyDescent="0.25">
      <c r="A5505" t="s">
        <v>9616</v>
      </c>
      <c r="C5505" t="s">
        <v>9617</v>
      </c>
      <c r="D5505" t="s">
        <v>12691</v>
      </c>
      <c r="E5505" t="s">
        <v>12651</v>
      </c>
      <c r="F5505" s="1">
        <v>45912</v>
      </c>
      <c r="G5505" t="str">
        <f>"300423"</f>
        <v>300423</v>
      </c>
      <c r="H5505" t="s">
        <v>3156</v>
      </c>
      <c r="I5505">
        <v>3300.72</v>
      </c>
    </row>
    <row r="5506" spans="1:9" x14ac:dyDescent="0.25">
      <c r="A5506" t="s">
        <v>9616</v>
      </c>
      <c r="C5506" t="s">
        <v>9617</v>
      </c>
      <c r="D5506" t="str">
        <f>"3569"</f>
        <v>3569</v>
      </c>
      <c r="E5506" t="s">
        <v>12692</v>
      </c>
      <c r="F5506" s="1">
        <v>45913</v>
      </c>
      <c r="G5506" t="str">
        <f>"300043"</f>
        <v>300043</v>
      </c>
      <c r="H5506" t="s">
        <v>2876</v>
      </c>
      <c r="I5506">
        <v>2285</v>
      </c>
    </row>
    <row r="5507" spans="1:9" x14ac:dyDescent="0.25">
      <c r="A5507" t="s">
        <v>9616</v>
      </c>
      <c r="C5507" t="s">
        <v>9617</v>
      </c>
      <c r="D5507" t="s">
        <v>12693</v>
      </c>
      <c r="E5507" t="s">
        <v>12682</v>
      </c>
      <c r="F5507" s="1">
        <v>45913</v>
      </c>
      <c r="G5507" t="str">
        <f>"300321"</f>
        <v>300321</v>
      </c>
      <c r="H5507" t="s">
        <v>2706</v>
      </c>
      <c r="I5507">
        <v>25300</v>
      </c>
    </row>
    <row r="5508" spans="1:9" x14ac:dyDescent="0.25">
      <c r="A5508" t="s">
        <v>9616</v>
      </c>
      <c r="C5508" t="s">
        <v>9617</v>
      </c>
      <c r="D5508" t="str">
        <f>"80205329"</f>
        <v>80205329</v>
      </c>
      <c r="E5508" t="s">
        <v>1313</v>
      </c>
      <c r="F5508" s="1">
        <v>45913</v>
      </c>
      <c r="G5508" t="str">
        <f>"300381"</f>
        <v>300381</v>
      </c>
      <c r="H5508" t="s">
        <v>3118</v>
      </c>
      <c r="I5508">
        <v>340585.34399999998</v>
      </c>
    </row>
    <row r="5509" spans="1:9" x14ac:dyDescent="0.25">
      <c r="A5509" t="s">
        <v>9616</v>
      </c>
      <c r="C5509" t="s">
        <v>9617</v>
      </c>
      <c r="D5509" t="str">
        <f>"1264819563"</f>
        <v>1264819563</v>
      </c>
      <c r="E5509" t="s">
        <v>9522</v>
      </c>
      <c r="F5509" s="1">
        <v>45915</v>
      </c>
      <c r="G5509" t="str">
        <f>"300344"</f>
        <v>300344</v>
      </c>
      <c r="H5509" t="s">
        <v>3084</v>
      </c>
      <c r="I5509">
        <v>427993.91</v>
      </c>
    </row>
    <row r="5510" spans="1:9" x14ac:dyDescent="0.25">
      <c r="A5510" t="s">
        <v>9616</v>
      </c>
      <c r="C5510" t="s">
        <v>9617</v>
      </c>
      <c r="D5510" t="str">
        <f>"80205642"</f>
        <v>80205642</v>
      </c>
      <c r="E5510" t="s">
        <v>9189</v>
      </c>
      <c r="F5510" s="1">
        <v>45915</v>
      </c>
      <c r="G5510" t="str">
        <f>"300381"</f>
        <v>300381</v>
      </c>
      <c r="H5510" t="s">
        <v>3118</v>
      </c>
      <c r="I5510">
        <v>346409.38199999998</v>
      </c>
    </row>
    <row r="5511" spans="1:9" x14ac:dyDescent="0.25">
      <c r="A5511" t="s">
        <v>9616</v>
      </c>
      <c r="C5511" t="s">
        <v>9617</v>
      </c>
      <c r="D5511" t="s">
        <v>12694</v>
      </c>
      <c r="E5511" t="s">
        <v>12659</v>
      </c>
      <c r="F5511" s="1">
        <v>45916</v>
      </c>
      <c r="G5511" t="str">
        <f>"300101"</f>
        <v>300101</v>
      </c>
      <c r="H5511" t="s">
        <v>2926</v>
      </c>
      <c r="I5511">
        <v>3790.94</v>
      </c>
    </row>
    <row r="5512" spans="1:9" x14ac:dyDescent="0.25">
      <c r="A5512" t="s">
        <v>9616</v>
      </c>
      <c r="C5512" t="s">
        <v>9617</v>
      </c>
      <c r="D5512" t="s">
        <v>12695</v>
      </c>
      <c r="E5512" t="s">
        <v>12660</v>
      </c>
      <c r="F5512" s="1">
        <v>45916</v>
      </c>
      <c r="G5512" t="str">
        <f>"300101"</f>
        <v>300101</v>
      </c>
      <c r="H5512" t="s">
        <v>2926</v>
      </c>
      <c r="I5512">
        <v>3790.94</v>
      </c>
    </row>
    <row r="5513" spans="1:9" x14ac:dyDescent="0.25">
      <c r="A5513" t="s">
        <v>9616</v>
      </c>
      <c r="C5513" t="s">
        <v>9617</v>
      </c>
      <c r="D5513" t="str">
        <f>"10170835"</f>
        <v>10170835</v>
      </c>
      <c r="E5513" t="s">
        <v>9506</v>
      </c>
      <c r="F5513" s="1">
        <v>45916</v>
      </c>
      <c r="G5513" t="str">
        <f>"300115"</f>
        <v>300115</v>
      </c>
      <c r="H5513" t="s">
        <v>2938</v>
      </c>
      <c r="I5513">
        <v>110526.66899999999</v>
      </c>
    </row>
    <row r="5514" spans="1:9" x14ac:dyDescent="0.25">
      <c r="A5514" t="s">
        <v>9616</v>
      </c>
      <c r="C5514" t="s">
        <v>9617</v>
      </c>
      <c r="D5514" t="s">
        <v>12696</v>
      </c>
      <c r="E5514" s="2">
        <v>46027</v>
      </c>
      <c r="F5514" s="1">
        <v>45917</v>
      </c>
      <c r="G5514" t="str">
        <f>"300064"</f>
        <v>300064</v>
      </c>
      <c r="H5514" t="s">
        <v>2896</v>
      </c>
      <c r="I5514">
        <v>126980</v>
      </c>
    </row>
    <row r="5515" spans="1:9" x14ac:dyDescent="0.25">
      <c r="A5515" t="s">
        <v>9616</v>
      </c>
      <c r="C5515" t="s">
        <v>9617</v>
      </c>
      <c r="D5515" t="s">
        <v>12697</v>
      </c>
      <c r="E5515" t="s">
        <v>12692</v>
      </c>
      <c r="F5515" s="1">
        <v>45917</v>
      </c>
      <c r="G5515" t="str">
        <f>"300191"</f>
        <v>300191</v>
      </c>
      <c r="H5515" t="s">
        <v>3008</v>
      </c>
      <c r="I5515">
        <v>22500.93</v>
      </c>
    </row>
    <row r="5516" spans="1:9" x14ac:dyDescent="0.25">
      <c r="A5516" t="s">
        <v>9616</v>
      </c>
      <c r="C5516" t="s">
        <v>9617</v>
      </c>
      <c r="D5516" t="str">
        <f>"80205643"</f>
        <v>80205643</v>
      </c>
      <c r="E5516" t="s">
        <v>8852</v>
      </c>
      <c r="F5516" s="1">
        <v>45917</v>
      </c>
      <c r="G5516" t="str">
        <f>"300381"</f>
        <v>300381</v>
      </c>
      <c r="H5516" t="s">
        <v>3118</v>
      </c>
      <c r="I5516">
        <v>364646.304</v>
      </c>
    </row>
    <row r="5517" spans="1:9" x14ac:dyDescent="0.25">
      <c r="A5517" t="s">
        <v>9616</v>
      </c>
      <c r="C5517" t="s">
        <v>9617</v>
      </c>
      <c r="D5517" t="s">
        <v>12698</v>
      </c>
      <c r="E5517" t="s">
        <v>12682</v>
      </c>
      <c r="F5517" s="1">
        <v>45917</v>
      </c>
      <c r="G5517" t="str">
        <f>"300423"</f>
        <v>300423</v>
      </c>
      <c r="H5517" t="s">
        <v>3156</v>
      </c>
      <c r="I5517">
        <v>3138.65</v>
      </c>
    </row>
    <row r="5518" spans="1:9" x14ac:dyDescent="0.25">
      <c r="A5518" t="s">
        <v>9616</v>
      </c>
      <c r="C5518" t="s">
        <v>9617</v>
      </c>
      <c r="D5518" t="s">
        <v>12699</v>
      </c>
      <c r="E5518" t="s">
        <v>12680</v>
      </c>
      <c r="F5518" s="1">
        <v>45917</v>
      </c>
      <c r="G5518" t="str">
        <f>"300423"</f>
        <v>300423</v>
      </c>
      <c r="H5518" t="s">
        <v>3156</v>
      </c>
      <c r="I5518">
        <v>3138.65</v>
      </c>
    </row>
    <row r="5519" spans="1:9" x14ac:dyDescent="0.25">
      <c r="A5519" t="s">
        <v>9616</v>
      </c>
      <c r="C5519" t="s">
        <v>9617</v>
      </c>
      <c r="D5519" t="s">
        <v>12700</v>
      </c>
      <c r="E5519" t="s">
        <v>12681</v>
      </c>
      <c r="F5519" s="1">
        <v>45917</v>
      </c>
      <c r="G5519" t="str">
        <f>"300423"</f>
        <v>300423</v>
      </c>
      <c r="H5519" t="s">
        <v>3156</v>
      </c>
      <c r="I5519">
        <v>3138.65</v>
      </c>
    </row>
    <row r="5520" spans="1:9" x14ac:dyDescent="0.25">
      <c r="A5520" t="s">
        <v>9616</v>
      </c>
      <c r="C5520" t="s">
        <v>9617</v>
      </c>
      <c r="D5520" t="str">
        <f>"2929"</f>
        <v>2929</v>
      </c>
      <c r="E5520" t="s">
        <v>12701</v>
      </c>
      <c r="F5520" s="1">
        <v>45918</v>
      </c>
      <c r="G5520" t="str">
        <f>"300043"</f>
        <v>300043</v>
      </c>
      <c r="H5520" t="s">
        <v>2876</v>
      </c>
      <c r="I5520">
        <v>1355</v>
      </c>
    </row>
    <row r="5521" spans="1:9" x14ac:dyDescent="0.25">
      <c r="A5521" t="s">
        <v>9616</v>
      </c>
      <c r="C5521" t="s">
        <v>9617</v>
      </c>
      <c r="D5521" t="str">
        <f>"10170915"</f>
        <v>10170915</v>
      </c>
      <c r="E5521" t="s">
        <v>9506</v>
      </c>
      <c r="F5521" s="1">
        <v>45918</v>
      </c>
      <c r="G5521" t="str">
        <f>"300115"</f>
        <v>300115</v>
      </c>
      <c r="H5521" t="s">
        <v>2938</v>
      </c>
      <c r="I5521">
        <v>110526.66899999999</v>
      </c>
    </row>
    <row r="5522" spans="1:9" x14ac:dyDescent="0.25">
      <c r="A5522" t="s">
        <v>9616</v>
      </c>
      <c r="C5522" t="s">
        <v>9617</v>
      </c>
      <c r="D5522" t="str">
        <f>"3326"</f>
        <v>3326</v>
      </c>
      <c r="E5522" t="s">
        <v>12702</v>
      </c>
      <c r="F5522" s="1">
        <v>45919</v>
      </c>
      <c r="G5522" t="str">
        <f>"300043"</f>
        <v>300043</v>
      </c>
      <c r="H5522" t="s">
        <v>2876</v>
      </c>
      <c r="I5522">
        <v>1408</v>
      </c>
    </row>
    <row r="5523" spans="1:9" x14ac:dyDescent="0.25">
      <c r="A5523" t="s">
        <v>9616</v>
      </c>
      <c r="C5523" t="s">
        <v>9617</v>
      </c>
      <c r="D5523" t="str">
        <f>"3361"</f>
        <v>3361</v>
      </c>
      <c r="E5523" t="s">
        <v>12703</v>
      </c>
      <c r="F5523" s="1">
        <v>45919</v>
      </c>
      <c r="G5523" t="str">
        <f>"300043"</f>
        <v>300043</v>
      </c>
      <c r="H5523" t="s">
        <v>2876</v>
      </c>
      <c r="I5523">
        <v>577</v>
      </c>
    </row>
    <row r="5524" spans="1:9" x14ac:dyDescent="0.25">
      <c r="A5524" t="s">
        <v>9616</v>
      </c>
      <c r="C5524" t="s">
        <v>9617</v>
      </c>
      <c r="D5524" t="str">
        <f>"10170966"</f>
        <v>10170966</v>
      </c>
      <c r="E5524" t="s">
        <v>9506</v>
      </c>
      <c r="F5524" s="1">
        <v>45919</v>
      </c>
      <c r="G5524" t="str">
        <f>"300115"</f>
        <v>300115</v>
      </c>
      <c r="H5524" t="s">
        <v>2938</v>
      </c>
      <c r="I5524">
        <v>110526.66899999999</v>
      </c>
    </row>
    <row r="5525" spans="1:9" x14ac:dyDescent="0.25">
      <c r="A5525" t="s">
        <v>9616</v>
      </c>
      <c r="C5525" t="s">
        <v>9617</v>
      </c>
      <c r="D5525" t="s">
        <v>12704</v>
      </c>
      <c r="E5525" t="s">
        <v>12701</v>
      </c>
      <c r="F5525" s="1">
        <v>45919</v>
      </c>
      <c r="G5525" t="str">
        <f>"300321"</f>
        <v>300321</v>
      </c>
      <c r="H5525" t="s">
        <v>2706</v>
      </c>
      <c r="I5525">
        <v>27500</v>
      </c>
    </row>
    <row r="5526" spans="1:9" x14ac:dyDescent="0.25">
      <c r="A5526" t="s">
        <v>9616</v>
      </c>
      <c r="C5526" t="s">
        <v>9617</v>
      </c>
      <c r="D5526" t="s">
        <v>12705</v>
      </c>
      <c r="E5526" t="s">
        <v>12702</v>
      </c>
      <c r="F5526" s="1">
        <v>45920</v>
      </c>
      <c r="G5526" t="str">
        <f>"300321"</f>
        <v>300321</v>
      </c>
      <c r="H5526" t="s">
        <v>2706</v>
      </c>
      <c r="I5526">
        <v>25300</v>
      </c>
    </row>
    <row r="5527" spans="1:9" x14ac:dyDescent="0.25">
      <c r="A5527" t="s">
        <v>9616</v>
      </c>
      <c r="C5527" t="s">
        <v>9617</v>
      </c>
      <c r="D5527" t="str">
        <f>"2040"</f>
        <v>2040</v>
      </c>
      <c r="E5527" t="s">
        <v>11471</v>
      </c>
      <c r="F5527" s="1">
        <v>45922</v>
      </c>
      <c r="G5527" t="str">
        <f>"300043"</f>
        <v>300043</v>
      </c>
      <c r="H5527" t="s">
        <v>2876</v>
      </c>
      <c r="I5527">
        <v>3699</v>
      </c>
    </row>
    <row r="5528" spans="1:9" x14ac:dyDescent="0.25">
      <c r="A5528" t="s">
        <v>9616</v>
      </c>
      <c r="C5528" t="s">
        <v>9617</v>
      </c>
      <c r="D5528" t="str">
        <f>"3871"</f>
        <v>3871</v>
      </c>
      <c r="E5528" t="s">
        <v>12706</v>
      </c>
      <c r="F5528" s="1">
        <v>45922</v>
      </c>
      <c r="G5528" t="str">
        <f>"300043"</f>
        <v>300043</v>
      </c>
      <c r="H5528" t="s">
        <v>2876</v>
      </c>
      <c r="I5528">
        <v>521</v>
      </c>
    </row>
    <row r="5529" spans="1:9" x14ac:dyDescent="0.25">
      <c r="A5529" t="s">
        <v>9616</v>
      </c>
      <c r="C5529" t="s">
        <v>9617</v>
      </c>
      <c r="D5529" t="str">
        <f>"4143"</f>
        <v>4143</v>
      </c>
      <c r="E5529" t="s">
        <v>12707</v>
      </c>
      <c r="F5529" s="1">
        <v>45922</v>
      </c>
      <c r="G5529" t="str">
        <f>"300043"</f>
        <v>300043</v>
      </c>
      <c r="H5529" t="s">
        <v>2876</v>
      </c>
      <c r="I5529">
        <v>577</v>
      </c>
    </row>
    <row r="5530" spans="1:9" x14ac:dyDescent="0.25">
      <c r="A5530" t="s">
        <v>9616</v>
      </c>
      <c r="C5530" t="s">
        <v>9617</v>
      </c>
      <c r="D5530" t="s">
        <v>12708</v>
      </c>
      <c r="E5530" t="s">
        <v>12702</v>
      </c>
      <c r="F5530" s="1">
        <v>45923</v>
      </c>
      <c r="G5530" t="str">
        <f>"300423"</f>
        <v>300423</v>
      </c>
      <c r="H5530" t="s">
        <v>3156</v>
      </c>
      <c r="I5530">
        <v>3138.65</v>
      </c>
    </row>
    <row r="5531" spans="1:9" x14ac:dyDescent="0.25">
      <c r="A5531" t="s">
        <v>9616</v>
      </c>
      <c r="C5531" t="s">
        <v>9617</v>
      </c>
      <c r="D5531" t="s">
        <v>12709</v>
      </c>
      <c r="E5531" t="s">
        <v>12701</v>
      </c>
      <c r="F5531" s="1">
        <v>45923</v>
      </c>
      <c r="G5531" t="str">
        <f>"300423"</f>
        <v>300423</v>
      </c>
      <c r="H5531" t="s">
        <v>3156</v>
      </c>
      <c r="I5531">
        <v>3138.65</v>
      </c>
    </row>
    <row r="5532" spans="1:9" x14ac:dyDescent="0.25">
      <c r="A5532" t="s">
        <v>9616</v>
      </c>
      <c r="C5532" t="s">
        <v>9617</v>
      </c>
      <c r="D5532" t="str">
        <f>"80206163"</f>
        <v>80206163</v>
      </c>
      <c r="E5532" t="s">
        <v>8852</v>
      </c>
      <c r="F5532" s="1">
        <v>45924</v>
      </c>
      <c r="G5532" t="str">
        <f>"300381"</f>
        <v>300381</v>
      </c>
      <c r="H5532" t="s">
        <v>3118</v>
      </c>
      <c r="I5532">
        <v>359269.41600000003</v>
      </c>
    </row>
    <row r="5533" spans="1:9" x14ac:dyDescent="0.25">
      <c r="A5533" t="s">
        <v>9616</v>
      </c>
      <c r="C5533" t="s">
        <v>9617</v>
      </c>
      <c r="D5533" t="str">
        <f>"5471"</f>
        <v>5471</v>
      </c>
      <c r="E5533" t="s">
        <v>12710</v>
      </c>
      <c r="F5533" s="1">
        <v>45926</v>
      </c>
      <c r="G5533" t="str">
        <f>"300043"</f>
        <v>300043</v>
      </c>
      <c r="H5533" t="s">
        <v>2876</v>
      </c>
      <c r="I5533">
        <v>1388</v>
      </c>
    </row>
    <row r="5534" spans="1:9" x14ac:dyDescent="0.25">
      <c r="A5534" t="s">
        <v>9616</v>
      </c>
      <c r="C5534" t="s">
        <v>9617</v>
      </c>
      <c r="D5534" t="s">
        <v>12711</v>
      </c>
      <c r="E5534" t="s">
        <v>12707</v>
      </c>
      <c r="F5534" s="1">
        <v>45926</v>
      </c>
      <c r="G5534" t="str">
        <f>"300101"</f>
        <v>300101</v>
      </c>
      <c r="H5534" t="s">
        <v>2926</v>
      </c>
      <c r="I5534">
        <v>3299.67</v>
      </c>
    </row>
    <row r="5535" spans="1:9" x14ac:dyDescent="0.25">
      <c r="A5535" t="s">
        <v>9616</v>
      </c>
      <c r="C5535" t="s">
        <v>9617</v>
      </c>
      <c r="D5535" t="s">
        <v>12712</v>
      </c>
      <c r="E5535" t="s">
        <v>12706</v>
      </c>
      <c r="F5535" s="1">
        <v>45926</v>
      </c>
      <c r="G5535" t="str">
        <f>"300101"</f>
        <v>300101</v>
      </c>
      <c r="H5535" t="s">
        <v>2926</v>
      </c>
      <c r="I5535">
        <v>3299.67</v>
      </c>
    </row>
    <row r="5536" spans="1:9" x14ac:dyDescent="0.25">
      <c r="A5536" t="s">
        <v>9616</v>
      </c>
      <c r="C5536" t="s">
        <v>9617</v>
      </c>
      <c r="D5536" t="s">
        <v>12713</v>
      </c>
      <c r="E5536" t="s">
        <v>12703</v>
      </c>
      <c r="F5536" s="1">
        <v>45926</v>
      </c>
      <c r="G5536" t="str">
        <f>"300101"</f>
        <v>300101</v>
      </c>
      <c r="H5536" t="s">
        <v>2926</v>
      </c>
      <c r="I5536">
        <v>2970.65</v>
      </c>
    </row>
    <row r="5537" spans="1:9" x14ac:dyDescent="0.25">
      <c r="A5537" t="s">
        <v>9616</v>
      </c>
      <c r="C5537" t="s">
        <v>9617</v>
      </c>
      <c r="D5537" t="s">
        <v>12714</v>
      </c>
      <c r="E5537" t="s">
        <v>12710</v>
      </c>
      <c r="F5537" s="1">
        <v>45926</v>
      </c>
      <c r="G5537" t="str">
        <f>"300321"</f>
        <v>300321</v>
      </c>
      <c r="H5537" t="s">
        <v>2706</v>
      </c>
      <c r="I5537">
        <v>25300</v>
      </c>
    </row>
    <row r="5538" spans="1:9" x14ac:dyDescent="0.25">
      <c r="A5538" t="s">
        <v>9616</v>
      </c>
      <c r="C5538" t="s">
        <v>9617</v>
      </c>
      <c r="D5538" t="str">
        <f>"2335"</f>
        <v>2335</v>
      </c>
      <c r="E5538" t="s">
        <v>11471</v>
      </c>
      <c r="F5538" s="1">
        <v>45929</v>
      </c>
      <c r="G5538" t="str">
        <f>"300043"</f>
        <v>300043</v>
      </c>
      <c r="H5538" t="s">
        <v>2876</v>
      </c>
      <c r="I5538">
        <v>3672</v>
      </c>
    </row>
    <row r="5539" spans="1:9" x14ac:dyDescent="0.25">
      <c r="A5539" t="s">
        <v>9616</v>
      </c>
      <c r="C5539" t="s">
        <v>9617</v>
      </c>
      <c r="D5539" t="s">
        <v>12715</v>
      </c>
      <c r="E5539" t="s">
        <v>9543</v>
      </c>
      <c r="F5539" s="1">
        <v>45930</v>
      </c>
      <c r="G5539" t="str">
        <f>"300064"</f>
        <v>300064</v>
      </c>
      <c r="H5539" t="s">
        <v>2896</v>
      </c>
      <c r="I5539">
        <v>175840</v>
      </c>
    </row>
    <row r="5540" spans="1:9" x14ac:dyDescent="0.25">
      <c r="A5540" t="s">
        <v>9616</v>
      </c>
      <c r="C5540" t="s">
        <v>9617</v>
      </c>
      <c r="D5540" t="s">
        <v>12716</v>
      </c>
      <c r="E5540" t="s">
        <v>12717</v>
      </c>
      <c r="F5540" s="1">
        <v>45930</v>
      </c>
      <c r="G5540" t="str">
        <f>"300133"</f>
        <v>300133</v>
      </c>
      <c r="H5540" t="s">
        <v>2955</v>
      </c>
      <c r="I5540">
        <v>16548.48</v>
      </c>
    </row>
    <row r="5541" spans="1:9" x14ac:dyDescent="0.25">
      <c r="A5541" t="s">
        <v>9616</v>
      </c>
      <c r="C5541" t="s">
        <v>9617</v>
      </c>
      <c r="D5541" t="s">
        <v>12718</v>
      </c>
      <c r="E5541" t="s">
        <v>11471</v>
      </c>
      <c r="F5541" s="1">
        <v>45930</v>
      </c>
      <c r="G5541" t="str">
        <f>"300191"</f>
        <v>300191</v>
      </c>
      <c r="H5541" t="s">
        <v>3008</v>
      </c>
      <c r="I5541">
        <v>509.78</v>
      </c>
    </row>
    <row r="5542" spans="1:9" x14ac:dyDescent="0.25">
      <c r="A5542" t="s">
        <v>9616</v>
      </c>
      <c r="C5542" t="s">
        <v>9617</v>
      </c>
      <c r="D5542" t="s">
        <v>12719</v>
      </c>
      <c r="E5542" t="s">
        <v>12710</v>
      </c>
      <c r="F5542" s="1">
        <v>45930</v>
      </c>
      <c r="G5542" t="str">
        <f>"300423"</f>
        <v>300423</v>
      </c>
      <c r="H5542" t="s">
        <v>3156</v>
      </c>
      <c r="I5542">
        <v>3303.07</v>
      </c>
    </row>
    <row r="5543" spans="1:9" x14ac:dyDescent="0.25">
      <c r="A5543" t="s">
        <v>9616</v>
      </c>
      <c r="C5543" t="s">
        <v>9617</v>
      </c>
      <c r="D5543" t="str">
        <f>"10171303"</f>
        <v>10171303</v>
      </c>
      <c r="E5543" t="s">
        <v>1928</v>
      </c>
      <c r="F5543" s="1">
        <v>45931</v>
      </c>
      <c r="G5543" t="str">
        <f>"300115"</f>
        <v>300115</v>
      </c>
      <c r="H5543" t="s">
        <v>2938</v>
      </c>
      <c r="I5543">
        <v>110526.66899999999</v>
      </c>
    </row>
    <row r="5544" spans="1:9" x14ac:dyDescent="0.25">
      <c r="A5544" t="s">
        <v>9616</v>
      </c>
      <c r="C5544" t="s">
        <v>9617</v>
      </c>
      <c r="D5544" t="str">
        <f>"80206168"</f>
        <v>80206168</v>
      </c>
      <c r="E5544" t="s">
        <v>1313</v>
      </c>
      <c r="F5544" s="1">
        <v>45931</v>
      </c>
      <c r="G5544" t="str">
        <f>"300381"</f>
        <v>300381</v>
      </c>
      <c r="H5544" t="s">
        <v>3118</v>
      </c>
      <c r="I5544">
        <v>340585.34399999998</v>
      </c>
    </row>
    <row r="5545" spans="1:9" x14ac:dyDescent="0.25">
      <c r="A5545" t="s">
        <v>9616</v>
      </c>
      <c r="C5545" t="s">
        <v>9617</v>
      </c>
      <c r="D5545" t="s">
        <v>12720</v>
      </c>
      <c r="E5545" t="s">
        <v>12721</v>
      </c>
      <c r="F5545" s="1">
        <v>45932</v>
      </c>
      <c r="G5545" t="str">
        <f>"300398"</f>
        <v>300398</v>
      </c>
      <c r="H5545" t="s">
        <v>3134</v>
      </c>
      <c r="I5545">
        <v>55318.52</v>
      </c>
    </row>
    <row r="5546" spans="1:9" x14ac:dyDescent="0.25">
      <c r="A5546" t="s">
        <v>9616</v>
      </c>
      <c r="C5546" t="s">
        <v>9617</v>
      </c>
      <c r="D5546" t="str">
        <f>"87519"</f>
        <v>87519</v>
      </c>
      <c r="E5546" t="s">
        <v>12722</v>
      </c>
      <c r="F5546" s="1">
        <v>45933</v>
      </c>
      <c r="G5546" t="str">
        <f>"300043"</f>
        <v>300043</v>
      </c>
      <c r="H5546" t="s">
        <v>2876</v>
      </c>
      <c r="I5546">
        <v>1360</v>
      </c>
    </row>
    <row r="5547" spans="1:9" x14ac:dyDescent="0.25">
      <c r="A5547" t="s">
        <v>9616</v>
      </c>
      <c r="C5547" t="s">
        <v>9617</v>
      </c>
      <c r="D5547" t="str">
        <f>"87916"</f>
        <v>87916</v>
      </c>
      <c r="E5547" t="s">
        <v>12723</v>
      </c>
      <c r="F5547" s="1">
        <v>45933</v>
      </c>
      <c r="G5547" t="str">
        <f>"300043"</f>
        <v>300043</v>
      </c>
      <c r="H5547" t="s">
        <v>2876</v>
      </c>
      <c r="I5547">
        <v>577</v>
      </c>
    </row>
    <row r="5548" spans="1:9" x14ac:dyDescent="0.25">
      <c r="A5548" t="s">
        <v>9616</v>
      </c>
      <c r="C5548" t="s">
        <v>9617</v>
      </c>
      <c r="D5548" t="str">
        <f>"10171405"</f>
        <v>10171405</v>
      </c>
      <c r="E5548" t="s">
        <v>9438</v>
      </c>
      <c r="F5548" s="1">
        <v>45933</v>
      </c>
      <c r="G5548" t="str">
        <f>"300115"</f>
        <v>300115</v>
      </c>
      <c r="H5548" t="s">
        <v>2938</v>
      </c>
      <c r="I5548">
        <v>345984.90299999999</v>
      </c>
    </row>
    <row r="5549" spans="1:9" x14ac:dyDescent="0.25">
      <c r="A5549" t="s">
        <v>9616</v>
      </c>
      <c r="C5549" t="s">
        <v>9617</v>
      </c>
      <c r="D5549" t="s">
        <v>12724</v>
      </c>
      <c r="E5549" t="s">
        <v>12725</v>
      </c>
      <c r="F5549" s="1">
        <v>45933</v>
      </c>
      <c r="G5549" t="str">
        <f>"300237"</f>
        <v>300237</v>
      </c>
      <c r="H5549" t="s">
        <v>3036</v>
      </c>
      <c r="I5549">
        <v>130656.57</v>
      </c>
    </row>
    <row r="5550" spans="1:9" x14ac:dyDescent="0.25">
      <c r="A5550" t="s">
        <v>9616</v>
      </c>
      <c r="C5550" t="s">
        <v>9617</v>
      </c>
      <c r="D5550" t="s">
        <v>12726</v>
      </c>
      <c r="E5550" t="s">
        <v>12722</v>
      </c>
      <c r="F5550" s="1">
        <v>45934</v>
      </c>
      <c r="G5550" t="str">
        <f>"300321"</f>
        <v>300321</v>
      </c>
      <c r="H5550" t="s">
        <v>2706</v>
      </c>
      <c r="I5550">
        <v>33000</v>
      </c>
    </row>
    <row r="5551" spans="1:9" x14ac:dyDescent="0.25">
      <c r="A5551" t="s">
        <v>9616</v>
      </c>
      <c r="C5551" t="s">
        <v>9617</v>
      </c>
      <c r="D5551" t="s">
        <v>12727</v>
      </c>
      <c r="E5551" t="s">
        <v>9112</v>
      </c>
      <c r="F5551" s="1">
        <v>45936</v>
      </c>
      <c r="G5551" t="str">
        <f>"300064"</f>
        <v>300064</v>
      </c>
      <c r="H5551" t="s">
        <v>2896</v>
      </c>
      <c r="I5551">
        <v>126980</v>
      </c>
    </row>
    <row r="5552" spans="1:9" x14ac:dyDescent="0.25">
      <c r="A5552" t="s">
        <v>9616</v>
      </c>
      <c r="C5552" t="s">
        <v>9617</v>
      </c>
      <c r="D5552" t="str">
        <f>"10171440"</f>
        <v>10171440</v>
      </c>
      <c r="E5552" t="s">
        <v>9438</v>
      </c>
      <c r="F5552" s="1">
        <v>45936</v>
      </c>
      <c r="G5552" t="str">
        <f>"300115"</f>
        <v>300115</v>
      </c>
      <c r="H5552" t="s">
        <v>2938</v>
      </c>
      <c r="I5552">
        <v>346257.81300000002</v>
      </c>
    </row>
    <row r="5553" spans="1:9" x14ac:dyDescent="0.25">
      <c r="A5553" t="s">
        <v>9616</v>
      </c>
      <c r="C5553" t="s">
        <v>9617</v>
      </c>
      <c r="D5553" t="str">
        <f>"80206820"</f>
        <v>80206820</v>
      </c>
      <c r="E5553" t="s">
        <v>1313</v>
      </c>
      <c r="F5553" s="1">
        <v>45936</v>
      </c>
      <c r="G5553" t="str">
        <f>"300381"</f>
        <v>300381</v>
      </c>
      <c r="H5553" t="s">
        <v>3118</v>
      </c>
      <c r="I5553">
        <v>340585.34399999998</v>
      </c>
    </row>
    <row r="5554" spans="1:9" x14ac:dyDescent="0.25">
      <c r="A5554" t="s">
        <v>9616</v>
      </c>
      <c r="C5554" t="s">
        <v>9617</v>
      </c>
      <c r="D5554" t="str">
        <f>"2691"</f>
        <v>2691</v>
      </c>
      <c r="E5554" t="s">
        <v>11471</v>
      </c>
      <c r="F5554" s="1">
        <v>45937</v>
      </c>
      <c r="G5554" t="str">
        <f>"300043"</f>
        <v>300043</v>
      </c>
      <c r="H5554" t="s">
        <v>2876</v>
      </c>
      <c r="I5554">
        <v>4051</v>
      </c>
    </row>
    <row r="5555" spans="1:9" x14ac:dyDescent="0.25">
      <c r="A5555" t="s">
        <v>9616</v>
      </c>
      <c r="C5555" t="s">
        <v>9617</v>
      </c>
      <c r="D5555" t="str">
        <f>"5786"</f>
        <v>5786</v>
      </c>
      <c r="E5555" t="s">
        <v>12721</v>
      </c>
      <c r="F5555" s="1">
        <v>45937</v>
      </c>
      <c r="G5555" t="str">
        <f>"300043"</f>
        <v>300043</v>
      </c>
      <c r="H5555" t="s">
        <v>2876</v>
      </c>
      <c r="I5555">
        <v>2220</v>
      </c>
    </row>
    <row r="5556" spans="1:9" x14ac:dyDescent="0.25">
      <c r="A5556" t="s">
        <v>9616</v>
      </c>
      <c r="C5556" t="s">
        <v>9617</v>
      </c>
      <c r="D5556" t="str">
        <f>"80206932"</f>
        <v>80206932</v>
      </c>
      <c r="E5556" t="s">
        <v>1313</v>
      </c>
      <c r="F5556" s="1">
        <v>45937</v>
      </c>
      <c r="G5556" t="str">
        <f>"300381"</f>
        <v>300381</v>
      </c>
      <c r="H5556" t="s">
        <v>3118</v>
      </c>
      <c r="I5556">
        <v>341420.11200000002</v>
      </c>
    </row>
    <row r="5557" spans="1:9" x14ac:dyDescent="0.25">
      <c r="A5557" t="s">
        <v>9616</v>
      </c>
      <c r="C5557" t="s">
        <v>9617</v>
      </c>
      <c r="D5557" t="str">
        <f>"89273"</f>
        <v>89273</v>
      </c>
      <c r="E5557" t="s">
        <v>12728</v>
      </c>
      <c r="F5557" s="1">
        <v>45938</v>
      </c>
      <c r="G5557" t="str">
        <f>"300043"</f>
        <v>300043</v>
      </c>
      <c r="H5557" t="s">
        <v>2876</v>
      </c>
      <c r="I5557">
        <v>1352</v>
      </c>
    </row>
    <row r="5558" spans="1:9" x14ac:dyDescent="0.25">
      <c r="A5558" t="s">
        <v>9616</v>
      </c>
      <c r="C5558" t="s">
        <v>9617</v>
      </c>
      <c r="D5558" t="str">
        <f>"89388"</f>
        <v>89388</v>
      </c>
      <c r="E5558" t="s">
        <v>12729</v>
      </c>
      <c r="F5558" s="1">
        <v>45938</v>
      </c>
      <c r="G5558" t="str">
        <f>"300043"</f>
        <v>300043</v>
      </c>
      <c r="H5558" t="s">
        <v>2876</v>
      </c>
      <c r="I5558">
        <v>1349</v>
      </c>
    </row>
    <row r="5559" spans="1:9" x14ac:dyDescent="0.25">
      <c r="A5559" t="s">
        <v>9616</v>
      </c>
      <c r="C5559" t="s">
        <v>9617</v>
      </c>
      <c r="D5559" t="str">
        <f>"89428"</f>
        <v>89428</v>
      </c>
      <c r="E5559" t="s">
        <v>12730</v>
      </c>
      <c r="F5559" s="1">
        <v>45938</v>
      </c>
      <c r="G5559" t="str">
        <f>"300043"</f>
        <v>300043</v>
      </c>
      <c r="H5559" t="s">
        <v>2876</v>
      </c>
      <c r="I5559">
        <v>1285</v>
      </c>
    </row>
    <row r="5560" spans="1:9" x14ac:dyDescent="0.25">
      <c r="A5560" t="s">
        <v>9616</v>
      </c>
      <c r="C5560" t="s">
        <v>9617</v>
      </c>
      <c r="D5560" t="str">
        <f>"10171544"</f>
        <v>10171544</v>
      </c>
      <c r="E5560" t="s">
        <v>1928</v>
      </c>
      <c r="F5560" s="1">
        <v>45938</v>
      </c>
      <c r="G5560" t="str">
        <f>"300115"</f>
        <v>300115</v>
      </c>
      <c r="H5560" t="s">
        <v>2938</v>
      </c>
      <c r="I5560">
        <v>110373.71400000001</v>
      </c>
    </row>
    <row r="5561" spans="1:9" x14ac:dyDescent="0.25">
      <c r="A5561" t="s">
        <v>9616</v>
      </c>
      <c r="C5561" t="s">
        <v>9617</v>
      </c>
      <c r="D5561" t="s">
        <v>12731</v>
      </c>
      <c r="E5561" t="s">
        <v>9629</v>
      </c>
      <c r="F5561" s="1">
        <v>45938</v>
      </c>
      <c r="G5561" t="str">
        <f>"300133"</f>
        <v>300133</v>
      </c>
      <c r="H5561" t="s">
        <v>2955</v>
      </c>
      <c r="I5561">
        <v>49741.2</v>
      </c>
    </row>
    <row r="5562" spans="1:9" x14ac:dyDescent="0.25">
      <c r="A5562" t="s">
        <v>9616</v>
      </c>
      <c r="C5562" t="s">
        <v>9617</v>
      </c>
      <c r="D5562" t="s">
        <v>12732</v>
      </c>
      <c r="E5562" t="s">
        <v>9386</v>
      </c>
      <c r="F5562" s="1">
        <v>45938</v>
      </c>
      <c r="G5562" t="str">
        <f>"300220"</f>
        <v>300220</v>
      </c>
      <c r="H5562" t="s">
        <v>2170</v>
      </c>
      <c r="I5562">
        <v>1217916.216</v>
      </c>
    </row>
    <row r="5563" spans="1:9" x14ac:dyDescent="0.25">
      <c r="A5563" t="s">
        <v>9616</v>
      </c>
      <c r="C5563" t="s">
        <v>9617</v>
      </c>
      <c r="D5563" t="str">
        <f>"80206904"</f>
        <v>80206904</v>
      </c>
      <c r="E5563" t="s">
        <v>8852</v>
      </c>
      <c r="F5563" s="1">
        <v>45938</v>
      </c>
      <c r="G5563" t="str">
        <f>"300381"</f>
        <v>300381</v>
      </c>
      <c r="H5563" t="s">
        <v>3118</v>
      </c>
      <c r="I5563">
        <v>353437.21600000001</v>
      </c>
    </row>
    <row r="5564" spans="1:9" x14ac:dyDescent="0.25">
      <c r="A5564" t="s">
        <v>9616</v>
      </c>
      <c r="C5564" t="s">
        <v>9617</v>
      </c>
      <c r="D5564" t="s">
        <v>12733</v>
      </c>
      <c r="E5564" t="s">
        <v>12721</v>
      </c>
      <c r="F5564" s="1">
        <v>45938</v>
      </c>
      <c r="G5564" t="str">
        <f>"300423"</f>
        <v>300423</v>
      </c>
      <c r="H5564" t="s">
        <v>3156</v>
      </c>
      <c r="I5564">
        <v>4274.2</v>
      </c>
    </row>
    <row r="5565" spans="1:9" x14ac:dyDescent="0.25">
      <c r="A5565" t="s">
        <v>9616</v>
      </c>
      <c r="C5565" t="s">
        <v>9617</v>
      </c>
      <c r="D5565" t="str">
        <f>"89680"</f>
        <v>89680</v>
      </c>
      <c r="E5565" t="s">
        <v>12734</v>
      </c>
      <c r="F5565" s="1">
        <v>45939</v>
      </c>
      <c r="G5565" t="str">
        <f>"300043"</f>
        <v>300043</v>
      </c>
      <c r="H5565" t="s">
        <v>2876</v>
      </c>
      <c r="I5565">
        <v>1280</v>
      </c>
    </row>
    <row r="5566" spans="1:9" x14ac:dyDescent="0.25">
      <c r="A5566" t="s">
        <v>9616</v>
      </c>
      <c r="C5566" t="s">
        <v>9617</v>
      </c>
      <c r="D5566" t="str">
        <f>"10171578"</f>
        <v>10171578</v>
      </c>
      <c r="E5566" t="s">
        <v>1928</v>
      </c>
      <c r="F5566" s="1">
        <v>45939</v>
      </c>
      <c r="G5566" t="str">
        <f>"300115"</f>
        <v>300115</v>
      </c>
      <c r="H5566" t="s">
        <v>2938</v>
      </c>
      <c r="I5566">
        <v>110526.66899999999</v>
      </c>
    </row>
    <row r="5567" spans="1:9" x14ac:dyDescent="0.25">
      <c r="A5567" t="s">
        <v>9616</v>
      </c>
      <c r="C5567" t="s">
        <v>9617</v>
      </c>
      <c r="D5567" t="s">
        <v>12735</v>
      </c>
      <c r="E5567" t="s">
        <v>11691</v>
      </c>
      <c r="F5567" s="1">
        <v>45939</v>
      </c>
      <c r="G5567" t="str">
        <f>"300133"</f>
        <v>300133</v>
      </c>
      <c r="H5567" t="s">
        <v>2955</v>
      </c>
      <c r="I5567">
        <v>45648</v>
      </c>
    </row>
    <row r="5568" spans="1:9" x14ac:dyDescent="0.25">
      <c r="A5568" t="s">
        <v>9616</v>
      </c>
      <c r="C5568" t="s">
        <v>9617</v>
      </c>
      <c r="D5568" t="s">
        <v>12736</v>
      </c>
      <c r="E5568" t="s">
        <v>11650</v>
      </c>
      <c r="F5568" s="1">
        <v>45939</v>
      </c>
      <c r="G5568" t="str">
        <f>"300220"</f>
        <v>300220</v>
      </c>
      <c r="H5568" t="s">
        <v>2170</v>
      </c>
      <c r="I5568">
        <v>29956.52</v>
      </c>
    </row>
    <row r="5569" spans="1:9" x14ac:dyDescent="0.25">
      <c r="A5569" t="s">
        <v>9616</v>
      </c>
      <c r="C5569" t="s">
        <v>9617</v>
      </c>
      <c r="D5569" t="s">
        <v>12737</v>
      </c>
      <c r="E5569" t="s">
        <v>12728</v>
      </c>
      <c r="F5569" s="1">
        <v>45939</v>
      </c>
      <c r="G5569" t="str">
        <f>"300321"</f>
        <v>300321</v>
      </c>
      <c r="H5569" t="s">
        <v>2706</v>
      </c>
      <c r="I5569">
        <v>31900</v>
      </c>
    </row>
    <row r="5570" spans="1:9" x14ac:dyDescent="0.25">
      <c r="A5570" t="s">
        <v>9616</v>
      </c>
      <c r="C5570" t="s">
        <v>9617</v>
      </c>
      <c r="D5570" t="str">
        <f>"89846"</f>
        <v>89846</v>
      </c>
      <c r="E5570" t="s">
        <v>12738</v>
      </c>
      <c r="F5570" s="1">
        <v>45940</v>
      </c>
      <c r="G5570" t="str">
        <f>"300043"</f>
        <v>300043</v>
      </c>
      <c r="H5570" t="s">
        <v>2876</v>
      </c>
      <c r="I5570">
        <v>1388</v>
      </c>
    </row>
    <row r="5571" spans="1:9" x14ac:dyDescent="0.25">
      <c r="A5571" t="s">
        <v>9616</v>
      </c>
      <c r="C5571" t="s">
        <v>9617</v>
      </c>
      <c r="D5571" t="s">
        <v>12739</v>
      </c>
      <c r="E5571" t="s">
        <v>12723</v>
      </c>
      <c r="F5571" s="1">
        <v>45940</v>
      </c>
      <c r="G5571" t="str">
        <f>"300101"</f>
        <v>300101</v>
      </c>
      <c r="H5571" t="s">
        <v>2926</v>
      </c>
      <c r="I5571">
        <v>3139.01</v>
      </c>
    </row>
    <row r="5572" spans="1:9" x14ac:dyDescent="0.25">
      <c r="A5572" t="s">
        <v>9616</v>
      </c>
      <c r="C5572" t="s">
        <v>9617</v>
      </c>
      <c r="D5572" t="s">
        <v>12740</v>
      </c>
      <c r="E5572" t="s">
        <v>12729</v>
      </c>
      <c r="F5572" s="1">
        <v>45940</v>
      </c>
      <c r="G5572" t="str">
        <f>"300321"</f>
        <v>300321</v>
      </c>
      <c r="H5572" t="s">
        <v>2706</v>
      </c>
      <c r="I5572">
        <v>29700</v>
      </c>
    </row>
    <row r="5573" spans="1:9" x14ac:dyDescent="0.25">
      <c r="A5573" t="s">
        <v>9616</v>
      </c>
      <c r="C5573" t="s">
        <v>9617</v>
      </c>
      <c r="D5573" t="s">
        <v>12741</v>
      </c>
      <c r="E5573" t="s">
        <v>12722</v>
      </c>
      <c r="F5573" s="1">
        <v>45940</v>
      </c>
      <c r="G5573" t="str">
        <f>"300423"</f>
        <v>300423</v>
      </c>
      <c r="H5573" t="s">
        <v>3156</v>
      </c>
      <c r="I5573">
        <v>3142.22</v>
      </c>
    </row>
    <row r="5574" spans="1:9" x14ac:dyDescent="0.25">
      <c r="A5574" t="s">
        <v>9616</v>
      </c>
      <c r="C5574" t="s">
        <v>9617</v>
      </c>
      <c r="D5574" t="s">
        <v>12742</v>
      </c>
      <c r="E5574" t="s">
        <v>12738</v>
      </c>
      <c r="F5574" s="1">
        <v>45941</v>
      </c>
      <c r="G5574" t="str">
        <f>"300321"</f>
        <v>300321</v>
      </c>
      <c r="H5574" t="s">
        <v>2706</v>
      </c>
      <c r="I5574">
        <v>31900</v>
      </c>
    </row>
    <row r="5575" spans="1:9" x14ac:dyDescent="0.25">
      <c r="A5575" t="s">
        <v>9616</v>
      </c>
      <c r="C5575" t="s">
        <v>9617</v>
      </c>
      <c r="D5575" t="str">
        <f>"90385"</f>
        <v>90385</v>
      </c>
      <c r="E5575" t="s">
        <v>12743</v>
      </c>
      <c r="F5575" s="1">
        <v>45943</v>
      </c>
      <c r="G5575" t="str">
        <f>"300043"</f>
        <v>300043</v>
      </c>
      <c r="H5575" t="s">
        <v>2876</v>
      </c>
      <c r="I5575">
        <v>4255</v>
      </c>
    </row>
    <row r="5576" spans="1:9" x14ac:dyDescent="0.25">
      <c r="A5576" t="s">
        <v>9616</v>
      </c>
      <c r="C5576" t="s">
        <v>9617</v>
      </c>
      <c r="D5576" t="str">
        <f>"90517"</f>
        <v>90517</v>
      </c>
      <c r="E5576" t="s">
        <v>12744</v>
      </c>
      <c r="F5576" s="1">
        <v>45943</v>
      </c>
      <c r="G5576" t="str">
        <f>"300043"</f>
        <v>300043</v>
      </c>
      <c r="H5576" t="s">
        <v>2876</v>
      </c>
      <c r="I5576">
        <v>577</v>
      </c>
    </row>
    <row r="5577" spans="1:9" x14ac:dyDescent="0.25">
      <c r="A5577" t="s">
        <v>9616</v>
      </c>
      <c r="C5577" t="s">
        <v>9617</v>
      </c>
      <c r="D5577" t="str">
        <f>"10171657"</f>
        <v>10171657</v>
      </c>
      <c r="E5577" t="s">
        <v>1928</v>
      </c>
      <c r="F5577" s="1">
        <v>45943</v>
      </c>
      <c r="G5577" t="str">
        <f>"300115"</f>
        <v>300115</v>
      </c>
      <c r="H5577" t="s">
        <v>2938</v>
      </c>
      <c r="I5577">
        <v>110373.71400000001</v>
      </c>
    </row>
    <row r="5578" spans="1:9" x14ac:dyDescent="0.25">
      <c r="A5578" t="s">
        <v>9616</v>
      </c>
      <c r="C5578" t="s">
        <v>9617</v>
      </c>
      <c r="D5578" t="s">
        <v>12745</v>
      </c>
      <c r="E5578" t="s">
        <v>9438</v>
      </c>
      <c r="F5578" s="1">
        <v>45943</v>
      </c>
      <c r="G5578" t="str">
        <f>"300220"</f>
        <v>300220</v>
      </c>
      <c r="H5578" t="s">
        <v>2170</v>
      </c>
      <c r="I5578">
        <v>1142064</v>
      </c>
    </row>
    <row r="5579" spans="1:9" x14ac:dyDescent="0.25">
      <c r="A5579" t="s">
        <v>9616</v>
      </c>
      <c r="C5579" t="s">
        <v>9617</v>
      </c>
      <c r="D5579" t="s">
        <v>12746</v>
      </c>
      <c r="E5579" t="s">
        <v>12743</v>
      </c>
      <c r="F5579" s="1">
        <v>45944</v>
      </c>
      <c r="G5579" t="str">
        <f>"300321"</f>
        <v>300321</v>
      </c>
      <c r="H5579" t="s">
        <v>2706</v>
      </c>
      <c r="I5579">
        <v>57750</v>
      </c>
    </row>
    <row r="5580" spans="1:9" x14ac:dyDescent="0.25">
      <c r="A5580" t="s">
        <v>9616</v>
      </c>
      <c r="C5580" t="s">
        <v>9617</v>
      </c>
      <c r="D5580" t="s">
        <v>12747</v>
      </c>
      <c r="E5580" t="s">
        <v>12728</v>
      </c>
      <c r="F5580" s="1">
        <v>45945</v>
      </c>
      <c r="G5580" t="str">
        <f>"300423"</f>
        <v>300423</v>
      </c>
      <c r="H5580" t="s">
        <v>3156</v>
      </c>
      <c r="I5580">
        <v>3142.22</v>
      </c>
    </row>
    <row r="5581" spans="1:9" x14ac:dyDescent="0.25">
      <c r="A5581" t="s">
        <v>9616</v>
      </c>
      <c r="C5581" t="s">
        <v>9617</v>
      </c>
      <c r="D5581" t="s">
        <v>12748</v>
      </c>
      <c r="E5581" t="s">
        <v>12729</v>
      </c>
      <c r="F5581" s="1">
        <v>45945</v>
      </c>
      <c r="G5581" t="str">
        <f>"300423"</f>
        <v>300423</v>
      </c>
      <c r="H5581" t="s">
        <v>3156</v>
      </c>
      <c r="I5581">
        <v>3142.22</v>
      </c>
    </row>
    <row r="5582" spans="1:9" x14ac:dyDescent="0.25">
      <c r="A5582" t="s">
        <v>9616</v>
      </c>
      <c r="C5582" t="s">
        <v>9617</v>
      </c>
      <c r="D5582" t="s">
        <v>12749</v>
      </c>
      <c r="E5582" t="s">
        <v>12738</v>
      </c>
      <c r="F5582" s="1">
        <v>45945</v>
      </c>
      <c r="G5582" t="str">
        <f>"300423"</f>
        <v>300423</v>
      </c>
      <c r="H5582" t="s">
        <v>3156</v>
      </c>
      <c r="I5582">
        <v>3142.22</v>
      </c>
    </row>
    <row r="5583" spans="1:9" x14ac:dyDescent="0.25">
      <c r="A5583" t="s">
        <v>9616</v>
      </c>
      <c r="C5583" t="s">
        <v>9617</v>
      </c>
      <c r="D5583" t="str">
        <f>"13129"</f>
        <v>13129</v>
      </c>
      <c r="E5583" t="s">
        <v>9535</v>
      </c>
      <c r="F5583" s="1">
        <v>45946</v>
      </c>
      <c r="G5583" t="str">
        <f>"300043"</f>
        <v>300043</v>
      </c>
      <c r="H5583" t="s">
        <v>2876</v>
      </c>
      <c r="I5583">
        <v>4328</v>
      </c>
    </row>
    <row r="5584" spans="1:9" x14ac:dyDescent="0.25">
      <c r="A5584" t="s">
        <v>9616</v>
      </c>
      <c r="C5584" t="s">
        <v>9617</v>
      </c>
      <c r="D5584" t="s">
        <v>12750</v>
      </c>
      <c r="E5584" t="s">
        <v>9438</v>
      </c>
      <c r="F5584" s="1">
        <v>45946</v>
      </c>
      <c r="G5584" t="str">
        <f>"300220"</f>
        <v>300220</v>
      </c>
      <c r="H5584" t="s">
        <v>2170</v>
      </c>
      <c r="I5584">
        <v>1092643.2</v>
      </c>
    </row>
    <row r="5585" spans="1:9" x14ac:dyDescent="0.25">
      <c r="A5585" t="s">
        <v>9616</v>
      </c>
      <c r="C5585" t="s">
        <v>9617</v>
      </c>
      <c r="D5585" t="str">
        <f>"1500003585"</f>
        <v>1500003585</v>
      </c>
      <c r="E5585" t="s">
        <v>9105</v>
      </c>
      <c r="F5585" s="1">
        <v>45946</v>
      </c>
      <c r="G5585" t="str">
        <f>"300381"</f>
        <v>300381</v>
      </c>
      <c r="H5585" t="s">
        <v>3118</v>
      </c>
      <c r="I5585">
        <v>813.54349999999999</v>
      </c>
    </row>
    <row r="5586" spans="1:9" x14ac:dyDescent="0.25">
      <c r="A5586" t="s">
        <v>9616</v>
      </c>
      <c r="C5586" t="s">
        <v>9617</v>
      </c>
      <c r="D5586" t="str">
        <f>"91314"</f>
        <v>91314</v>
      </c>
      <c r="E5586" t="s">
        <v>12751</v>
      </c>
      <c r="F5586" s="1">
        <v>45947</v>
      </c>
      <c r="G5586" t="str">
        <f>"300043"</f>
        <v>300043</v>
      </c>
      <c r="H5586" t="s">
        <v>2876</v>
      </c>
      <c r="I5586">
        <v>576</v>
      </c>
    </row>
    <row r="5587" spans="1:9" x14ac:dyDescent="0.25">
      <c r="A5587" t="s">
        <v>9616</v>
      </c>
      <c r="C5587" t="s">
        <v>9617</v>
      </c>
      <c r="D5587" t="s">
        <v>12752</v>
      </c>
      <c r="E5587" t="s">
        <v>11902</v>
      </c>
      <c r="F5587" s="1">
        <v>45947</v>
      </c>
      <c r="G5587" t="str">
        <f>"300237"</f>
        <v>300237</v>
      </c>
      <c r="H5587" t="s">
        <v>3036</v>
      </c>
      <c r="I5587">
        <v>129972.48</v>
      </c>
    </row>
    <row r="5588" spans="1:9" x14ac:dyDescent="0.25">
      <c r="A5588" t="s">
        <v>9616</v>
      </c>
      <c r="C5588" t="s">
        <v>9617</v>
      </c>
      <c r="D5588" t="s">
        <v>12753</v>
      </c>
      <c r="E5588" t="s">
        <v>12754</v>
      </c>
      <c r="F5588" s="1">
        <v>45947</v>
      </c>
      <c r="G5588" t="str">
        <f>"300237"</f>
        <v>300237</v>
      </c>
      <c r="H5588" t="s">
        <v>3036</v>
      </c>
      <c r="I5588">
        <v>125677.2</v>
      </c>
    </row>
    <row r="5589" spans="1:9" x14ac:dyDescent="0.25">
      <c r="A5589" t="s">
        <v>9616</v>
      </c>
      <c r="C5589" t="s">
        <v>9617</v>
      </c>
      <c r="D5589" t="str">
        <f>"92973"</f>
        <v>92973</v>
      </c>
      <c r="E5589" t="s">
        <v>12755</v>
      </c>
      <c r="F5589" s="1">
        <v>45950</v>
      </c>
      <c r="G5589" t="str">
        <f>"300043"</f>
        <v>300043</v>
      </c>
      <c r="H5589" t="s">
        <v>2876</v>
      </c>
      <c r="I5589">
        <v>577</v>
      </c>
    </row>
    <row r="5590" spans="1:9" x14ac:dyDescent="0.25">
      <c r="A5590" t="s">
        <v>9616</v>
      </c>
      <c r="C5590" t="s">
        <v>9617</v>
      </c>
      <c r="D5590" t="str">
        <f>"80207582"</f>
        <v>80207582</v>
      </c>
      <c r="E5590" t="s">
        <v>8852</v>
      </c>
      <c r="F5590" s="1">
        <v>45950</v>
      </c>
      <c r="G5590" t="str">
        <f>"300381"</f>
        <v>300381</v>
      </c>
      <c r="H5590" t="s">
        <v>3118</v>
      </c>
      <c r="I5590">
        <v>352650.47399999999</v>
      </c>
    </row>
    <row r="5591" spans="1:9" x14ac:dyDescent="0.25">
      <c r="A5591" t="s">
        <v>9616</v>
      </c>
      <c r="C5591" t="s">
        <v>9617</v>
      </c>
      <c r="D5591" t="str">
        <f>"13450"</f>
        <v>13450</v>
      </c>
      <c r="E5591" t="s">
        <v>9535</v>
      </c>
      <c r="F5591" s="1">
        <v>45951</v>
      </c>
      <c r="G5591" t="str">
        <f>"300043"</f>
        <v>300043</v>
      </c>
      <c r="H5591" t="s">
        <v>2876</v>
      </c>
      <c r="I5591">
        <v>3751</v>
      </c>
    </row>
    <row r="5592" spans="1:9" x14ac:dyDescent="0.25">
      <c r="A5592" t="s">
        <v>9616</v>
      </c>
      <c r="C5592" t="s">
        <v>9617</v>
      </c>
      <c r="D5592" t="s">
        <v>12756</v>
      </c>
      <c r="E5592" t="s">
        <v>12757</v>
      </c>
      <c r="F5592" s="1">
        <v>45951</v>
      </c>
      <c r="G5592" t="str">
        <f>"300043"</f>
        <v>300043</v>
      </c>
      <c r="H5592" t="s">
        <v>2876</v>
      </c>
      <c r="I5592">
        <v>47766</v>
      </c>
    </row>
    <row r="5593" spans="1:9" x14ac:dyDescent="0.25">
      <c r="A5593" t="s">
        <v>9616</v>
      </c>
      <c r="C5593" t="s">
        <v>9617</v>
      </c>
      <c r="D5593" t="s">
        <v>12758</v>
      </c>
      <c r="E5593" t="s">
        <v>11504</v>
      </c>
      <c r="F5593" s="1">
        <v>45951</v>
      </c>
      <c r="G5593" t="str">
        <f>"300064"</f>
        <v>300064</v>
      </c>
      <c r="H5593" t="s">
        <v>2896</v>
      </c>
      <c r="I5593">
        <v>23250</v>
      </c>
    </row>
    <row r="5594" spans="1:9" x14ac:dyDescent="0.25">
      <c r="A5594" t="s">
        <v>9616</v>
      </c>
      <c r="C5594" t="s">
        <v>9617</v>
      </c>
      <c r="D5594" t="s">
        <v>12759</v>
      </c>
      <c r="E5594" t="s">
        <v>12744</v>
      </c>
      <c r="F5594" s="1">
        <v>45951</v>
      </c>
      <c r="G5594" t="str">
        <f>"300101"</f>
        <v>300101</v>
      </c>
      <c r="H5594" t="s">
        <v>2926</v>
      </c>
      <c r="I5594">
        <v>3139.01</v>
      </c>
    </row>
    <row r="5595" spans="1:9" x14ac:dyDescent="0.25">
      <c r="A5595" t="s">
        <v>9616</v>
      </c>
      <c r="C5595" t="s">
        <v>9617</v>
      </c>
      <c r="D5595" t="s">
        <v>12760</v>
      </c>
      <c r="E5595" t="s">
        <v>12730</v>
      </c>
      <c r="F5595" s="1">
        <v>45951</v>
      </c>
      <c r="G5595" t="str">
        <f>"300101"</f>
        <v>300101</v>
      </c>
      <c r="H5595" t="s">
        <v>2926</v>
      </c>
      <c r="I5595">
        <v>3139.01</v>
      </c>
    </row>
    <row r="5596" spans="1:9" x14ac:dyDescent="0.25">
      <c r="A5596" t="s">
        <v>9616</v>
      </c>
      <c r="C5596" t="s">
        <v>9617</v>
      </c>
      <c r="D5596" t="s">
        <v>12761</v>
      </c>
      <c r="E5596" t="s">
        <v>12734</v>
      </c>
      <c r="F5596" s="1">
        <v>45951</v>
      </c>
      <c r="G5596" t="str">
        <f>"300101"</f>
        <v>300101</v>
      </c>
      <c r="H5596" t="s">
        <v>2926</v>
      </c>
      <c r="I5596">
        <v>2974.22</v>
      </c>
    </row>
    <row r="5597" spans="1:9" x14ac:dyDescent="0.25">
      <c r="A5597" t="s">
        <v>9616</v>
      </c>
      <c r="C5597" t="s">
        <v>9617</v>
      </c>
      <c r="D5597" t="s">
        <v>12762</v>
      </c>
      <c r="E5597" t="s">
        <v>12743</v>
      </c>
      <c r="F5597" s="1">
        <v>45951</v>
      </c>
      <c r="G5597" t="str">
        <f>"300423"</f>
        <v>300423</v>
      </c>
      <c r="H5597" t="s">
        <v>3156</v>
      </c>
      <c r="I5597">
        <v>3142.22</v>
      </c>
    </row>
    <row r="5598" spans="1:9" x14ac:dyDescent="0.25">
      <c r="A5598" t="s">
        <v>9616</v>
      </c>
      <c r="C5598" t="s">
        <v>9617</v>
      </c>
      <c r="D5598" t="str">
        <f>"93779"</f>
        <v>93779</v>
      </c>
      <c r="E5598" t="s">
        <v>12763</v>
      </c>
      <c r="F5598" s="1">
        <v>45952</v>
      </c>
      <c r="G5598" t="str">
        <f>"300043"</f>
        <v>300043</v>
      </c>
      <c r="H5598" t="s">
        <v>2876</v>
      </c>
      <c r="I5598">
        <v>1377</v>
      </c>
    </row>
    <row r="5599" spans="1:9" x14ac:dyDescent="0.25">
      <c r="A5599" t="s">
        <v>9616</v>
      </c>
      <c r="C5599" t="s">
        <v>9617</v>
      </c>
      <c r="D5599" t="str">
        <f>"80207587"</f>
        <v>80207587</v>
      </c>
      <c r="E5599" t="s">
        <v>1313</v>
      </c>
      <c r="F5599" s="1">
        <v>45952</v>
      </c>
      <c r="G5599" t="str">
        <f>"300381"</f>
        <v>300381</v>
      </c>
      <c r="H5599" t="s">
        <v>3118</v>
      </c>
      <c r="I5599">
        <v>341420.11200000002</v>
      </c>
    </row>
    <row r="5600" spans="1:9" x14ac:dyDescent="0.25">
      <c r="A5600" t="s">
        <v>9616</v>
      </c>
      <c r="C5600" t="s">
        <v>9617</v>
      </c>
      <c r="D5600" t="s">
        <v>12764</v>
      </c>
      <c r="E5600" t="s">
        <v>12763</v>
      </c>
      <c r="F5600" s="1">
        <v>45953</v>
      </c>
      <c r="G5600" t="str">
        <f>"300321"</f>
        <v>300321</v>
      </c>
      <c r="H5600" t="s">
        <v>2706</v>
      </c>
      <c r="I5600">
        <v>25300</v>
      </c>
    </row>
    <row r="5601" spans="1:9" x14ac:dyDescent="0.25">
      <c r="A5601" t="s">
        <v>9616</v>
      </c>
      <c r="C5601" t="s">
        <v>9617</v>
      </c>
      <c r="D5601" t="str">
        <f>"80206667"</f>
        <v>80206667</v>
      </c>
      <c r="E5601" t="s">
        <v>2793</v>
      </c>
      <c r="F5601" s="1">
        <v>45953</v>
      </c>
      <c r="G5601" t="str">
        <f>"300381"</f>
        <v>300381</v>
      </c>
      <c r="H5601" t="s">
        <v>3118</v>
      </c>
      <c r="I5601">
        <v>324160.69400000002</v>
      </c>
    </row>
    <row r="5602" spans="1:9" x14ac:dyDescent="0.25">
      <c r="A5602" t="s">
        <v>9616</v>
      </c>
      <c r="C5602" t="s">
        <v>9617</v>
      </c>
      <c r="D5602" t="str">
        <f>"80207573"</f>
        <v>80207573</v>
      </c>
      <c r="E5602" t="s">
        <v>1313</v>
      </c>
      <c r="F5602" s="1">
        <v>45953</v>
      </c>
      <c r="G5602" t="str">
        <f>"300381"</f>
        <v>300381</v>
      </c>
      <c r="H5602" t="s">
        <v>3118</v>
      </c>
      <c r="I5602">
        <v>341420.11200000002</v>
      </c>
    </row>
    <row r="5603" spans="1:9" x14ac:dyDescent="0.25">
      <c r="A5603" t="s">
        <v>9616</v>
      </c>
      <c r="C5603" t="s">
        <v>9617</v>
      </c>
      <c r="D5603" t="str">
        <f>"94555"</f>
        <v>94555</v>
      </c>
      <c r="E5603" t="s">
        <v>12765</v>
      </c>
      <c r="F5603" s="1">
        <v>45954</v>
      </c>
      <c r="G5603" t="str">
        <f>"300043"</f>
        <v>300043</v>
      </c>
      <c r="H5603" t="s">
        <v>2876</v>
      </c>
      <c r="I5603">
        <v>1360</v>
      </c>
    </row>
    <row r="5604" spans="1:9" x14ac:dyDescent="0.25">
      <c r="A5604" t="s">
        <v>9616</v>
      </c>
      <c r="C5604" t="s">
        <v>9617</v>
      </c>
      <c r="D5604" t="s">
        <v>12766</v>
      </c>
      <c r="E5604" t="s">
        <v>12767</v>
      </c>
      <c r="F5604" s="1">
        <v>45954</v>
      </c>
      <c r="G5604" t="str">
        <f>"300191"</f>
        <v>300191</v>
      </c>
      <c r="H5604" t="s">
        <v>3008</v>
      </c>
      <c r="I5604">
        <v>523.75</v>
      </c>
    </row>
    <row r="5605" spans="1:9" x14ac:dyDescent="0.25">
      <c r="A5605" t="s">
        <v>9616</v>
      </c>
      <c r="C5605" t="s">
        <v>9617</v>
      </c>
      <c r="D5605" t="s">
        <v>12768</v>
      </c>
      <c r="E5605" t="s">
        <v>11856</v>
      </c>
      <c r="F5605" s="1">
        <v>45954</v>
      </c>
      <c r="G5605" t="str">
        <f>"300237"</f>
        <v>300237</v>
      </c>
      <c r="H5605" t="s">
        <v>3036</v>
      </c>
      <c r="I5605">
        <v>82069.02</v>
      </c>
    </row>
    <row r="5606" spans="1:9" x14ac:dyDescent="0.25">
      <c r="A5606" t="s">
        <v>9616</v>
      </c>
      <c r="C5606" t="s">
        <v>9617</v>
      </c>
      <c r="D5606" t="str">
        <f>"157491"</f>
        <v>157491</v>
      </c>
      <c r="E5606" t="s">
        <v>12769</v>
      </c>
      <c r="F5606" s="1">
        <v>45955</v>
      </c>
      <c r="G5606" t="str">
        <f>"300043"</f>
        <v>300043</v>
      </c>
      <c r="H5606" t="s">
        <v>2876</v>
      </c>
      <c r="I5606">
        <v>611</v>
      </c>
    </row>
    <row r="5607" spans="1:9" x14ac:dyDescent="0.25">
      <c r="A5607" t="s">
        <v>9616</v>
      </c>
      <c r="C5607" t="s">
        <v>9617</v>
      </c>
      <c r="D5607" t="s">
        <v>12770</v>
      </c>
      <c r="E5607" t="s">
        <v>12765</v>
      </c>
      <c r="F5607" s="1">
        <v>45955</v>
      </c>
      <c r="G5607" t="str">
        <f>"300321"</f>
        <v>300321</v>
      </c>
      <c r="H5607" t="s">
        <v>2706</v>
      </c>
      <c r="I5607">
        <v>30800</v>
      </c>
    </row>
    <row r="5608" spans="1:9" x14ac:dyDescent="0.25">
      <c r="A5608" t="s">
        <v>9616</v>
      </c>
      <c r="C5608" t="s">
        <v>9617</v>
      </c>
      <c r="D5608" t="str">
        <f>"95129"</f>
        <v>95129</v>
      </c>
      <c r="E5608" t="s">
        <v>12771</v>
      </c>
      <c r="F5608" s="1">
        <v>45957</v>
      </c>
      <c r="G5608" t="str">
        <f>"300043"</f>
        <v>300043</v>
      </c>
      <c r="H5608" t="s">
        <v>2876</v>
      </c>
      <c r="I5608">
        <v>1300</v>
      </c>
    </row>
    <row r="5609" spans="1:9" x14ac:dyDescent="0.25">
      <c r="A5609" t="s">
        <v>9616</v>
      </c>
      <c r="C5609" t="s">
        <v>9617</v>
      </c>
      <c r="D5609" t="str">
        <f>"95132"</f>
        <v>95132</v>
      </c>
      <c r="E5609" t="s">
        <v>12772</v>
      </c>
      <c r="F5609" s="1">
        <v>45957</v>
      </c>
      <c r="G5609" t="str">
        <f>"300043"</f>
        <v>300043</v>
      </c>
      <c r="H5609" t="s">
        <v>2876</v>
      </c>
      <c r="I5609">
        <v>1361</v>
      </c>
    </row>
    <row r="5610" spans="1:9" x14ac:dyDescent="0.25">
      <c r="A5610" t="s">
        <v>9616</v>
      </c>
      <c r="C5610" t="s">
        <v>9617</v>
      </c>
      <c r="D5610" t="str">
        <f>"250023780"</f>
        <v>250023780</v>
      </c>
      <c r="E5610" t="s">
        <v>12773</v>
      </c>
      <c r="F5610" s="1">
        <v>45957</v>
      </c>
      <c r="G5610" t="str">
        <f>"300344"</f>
        <v>300344</v>
      </c>
      <c r="H5610" t="s">
        <v>3084</v>
      </c>
      <c r="I5610">
        <v>243217.08</v>
      </c>
    </row>
    <row r="5611" spans="1:9" x14ac:dyDescent="0.25">
      <c r="A5611" t="s">
        <v>9616</v>
      </c>
      <c r="C5611" t="s">
        <v>9617</v>
      </c>
      <c r="D5611" t="str">
        <f>"80207734"</f>
        <v>80207734</v>
      </c>
      <c r="E5611" t="s">
        <v>8852</v>
      </c>
      <c r="F5611" s="1">
        <v>45957</v>
      </c>
      <c r="G5611" t="str">
        <f>"300381"</f>
        <v>300381</v>
      </c>
      <c r="H5611" t="s">
        <v>3118</v>
      </c>
      <c r="I5611">
        <v>346490.1</v>
      </c>
    </row>
    <row r="5612" spans="1:9" x14ac:dyDescent="0.25">
      <c r="A5612" t="s">
        <v>9616</v>
      </c>
      <c r="C5612" t="s">
        <v>9617</v>
      </c>
      <c r="D5612" t="s">
        <v>12774</v>
      </c>
      <c r="E5612" t="s">
        <v>12763</v>
      </c>
      <c r="F5612" s="1">
        <v>45957</v>
      </c>
      <c r="G5612" t="str">
        <f>"300423"</f>
        <v>300423</v>
      </c>
      <c r="H5612" t="s">
        <v>3156</v>
      </c>
      <c r="I5612">
        <v>3144.75</v>
      </c>
    </row>
    <row r="5613" spans="1:9" x14ac:dyDescent="0.25">
      <c r="A5613" t="s">
        <v>9616</v>
      </c>
      <c r="C5613" t="s">
        <v>9617</v>
      </c>
      <c r="D5613" t="s">
        <v>12775</v>
      </c>
      <c r="E5613" t="s">
        <v>9438</v>
      </c>
      <c r="F5613" s="1">
        <v>45958</v>
      </c>
      <c r="G5613" t="str">
        <f>"300220"</f>
        <v>300220</v>
      </c>
      <c r="H5613" t="s">
        <v>2170</v>
      </c>
      <c r="I5613">
        <v>1114654.4639999999</v>
      </c>
    </row>
    <row r="5614" spans="1:9" x14ac:dyDescent="0.25">
      <c r="A5614" t="s">
        <v>9616</v>
      </c>
      <c r="C5614" t="s">
        <v>9617</v>
      </c>
      <c r="D5614" t="s">
        <v>12776</v>
      </c>
      <c r="E5614" t="s">
        <v>12772</v>
      </c>
      <c r="F5614" s="1">
        <v>45958</v>
      </c>
      <c r="G5614" t="str">
        <f>"300321"</f>
        <v>300321</v>
      </c>
      <c r="H5614" t="s">
        <v>2706</v>
      </c>
      <c r="I5614">
        <v>30800</v>
      </c>
    </row>
    <row r="5615" spans="1:9" x14ac:dyDescent="0.25">
      <c r="A5615" t="s">
        <v>9616</v>
      </c>
      <c r="C5615" t="s">
        <v>9617</v>
      </c>
      <c r="D5615" t="s">
        <v>12777</v>
      </c>
      <c r="E5615" t="s">
        <v>12771</v>
      </c>
      <c r="F5615" s="1">
        <v>45958</v>
      </c>
      <c r="G5615" t="str">
        <f>"300321"</f>
        <v>300321</v>
      </c>
      <c r="H5615" t="s">
        <v>2706</v>
      </c>
      <c r="I5615">
        <v>29150</v>
      </c>
    </row>
    <row r="5616" spans="1:9" x14ac:dyDescent="0.25">
      <c r="A5616" t="s">
        <v>9616</v>
      </c>
      <c r="C5616" t="s">
        <v>9617</v>
      </c>
      <c r="D5616" t="str">
        <f>"96148"</f>
        <v>96148</v>
      </c>
      <c r="E5616" t="s">
        <v>12778</v>
      </c>
      <c r="F5616" s="1">
        <v>45959</v>
      </c>
      <c r="G5616" t="str">
        <f>"300043"</f>
        <v>300043</v>
      </c>
      <c r="H5616" t="s">
        <v>2876</v>
      </c>
      <c r="I5616">
        <v>1358</v>
      </c>
    </row>
    <row r="5617" spans="1:9" x14ac:dyDescent="0.25">
      <c r="A5617" t="s">
        <v>9616</v>
      </c>
      <c r="C5617" t="s">
        <v>9617</v>
      </c>
      <c r="D5617" t="s">
        <v>12779</v>
      </c>
      <c r="E5617" t="s">
        <v>12769</v>
      </c>
      <c r="F5617" s="1">
        <v>45959</v>
      </c>
      <c r="G5617" t="str">
        <f>"300191"</f>
        <v>300191</v>
      </c>
      <c r="H5617" t="s">
        <v>3008</v>
      </c>
      <c r="I5617">
        <v>8410.7199999999993</v>
      </c>
    </row>
    <row r="5618" spans="1:9" x14ac:dyDescent="0.25">
      <c r="A5618" t="s">
        <v>9616</v>
      </c>
      <c r="C5618" t="s">
        <v>9617</v>
      </c>
      <c r="D5618" t="str">
        <f>"10172163"</f>
        <v>10172163</v>
      </c>
      <c r="E5618" t="s">
        <v>9438</v>
      </c>
      <c r="F5618" s="1">
        <v>45960</v>
      </c>
      <c r="G5618" t="str">
        <f>"300115"</f>
        <v>300115</v>
      </c>
      <c r="H5618" t="s">
        <v>2938</v>
      </c>
      <c r="I5618">
        <v>335757.31199999998</v>
      </c>
    </row>
    <row r="5619" spans="1:9" x14ac:dyDescent="0.25">
      <c r="A5619" t="s">
        <v>9616</v>
      </c>
      <c r="C5619" t="s">
        <v>9617</v>
      </c>
      <c r="D5619" t="s">
        <v>12780</v>
      </c>
      <c r="E5619" t="s">
        <v>12778</v>
      </c>
      <c r="F5619" s="1">
        <v>45960</v>
      </c>
      <c r="G5619" t="str">
        <f>"300321"</f>
        <v>300321</v>
      </c>
      <c r="H5619" t="s">
        <v>2706</v>
      </c>
      <c r="I5619">
        <v>25300</v>
      </c>
    </row>
    <row r="5620" spans="1:9" x14ac:dyDescent="0.25">
      <c r="A5620" t="s">
        <v>9616</v>
      </c>
      <c r="C5620" t="s">
        <v>9617</v>
      </c>
      <c r="D5620" t="str">
        <f>"10172278"</f>
        <v>10172278</v>
      </c>
      <c r="E5620" t="s">
        <v>9438</v>
      </c>
      <c r="F5620" s="1">
        <v>45961</v>
      </c>
      <c r="G5620" t="str">
        <f>"300115"</f>
        <v>300115</v>
      </c>
      <c r="H5620" t="s">
        <v>2938</v>
      </c>
      <c r="I5620">
        <v>335757.31199999998</v>
      </c>
    </row>
    <row r="5621" spans="1:9" x14ac:dyDescent="0.25">
      <c r="A5621" t="s">
        <v>9616</v>
      </c>
      <c r="C5621" t="s">
        <v>9617</v>
      </c>
      <c r="D5621" t="s">
        <v>12781</v>
      </c>
      <c r="E5621" t="s">
        <v>12757</v>
      </c>
      <c r="F5621" s="1">
        <v>45961</v>
      </c>
      <c r="G5621" t="str">
        <f>"300191"</f>
        <v>300191</v>
      </c>
      <c r="H5621" t="s">
        <v>3008</v>
      </c>
      <c r="I5621">
        <v>27807.09</v>
      </c>
    </row>
    <row r="5622" spans="1:9" x14ac:dyDescent="0.25">
      <c r="A5622" t="s">
        <v>9616</v>
      </c>
      <c r="C5622" t="s">
        <v>9617</v>
      </c>
      <c r="D5622" t="s">
        <v>12782</v>
      </c>
      <c r="E5622" t="s">
        <v>12772</v>
      </c>
      <c r="F5622" s="1">
        <v>45961</v>
      </c>
      <c r="G5622" t="str">
        <f>"300423"</f>
        <v>300423</v>
      </c>
      <c r="H5622" t="s">
        <v>3156</v>
      </c>
      <c r="I5622">
        <v>3309.73</v>
      </c>
    </row>
    <row r="5623" spans="1:9" x14ac:dyDescent="0.25">
      <c r="A5623" t="s">
        <v>9616</v>
      </c>
      <c r="C5623" t="s">
        <v>9617</v>
      </c>
      <c r="D5623" t="s">
        <v>12783</v>
      </c>
      <c r="E5623" t="s">
        <v>12765</v>
      </c>
      <c r="F5623" s="1">
        <v>45961</v>
      </c>
      <c r="G5623" t="str">
        <f>"300423"</f>
        <v>300423</v>
      </c>
      <c r="H5623" t="s">
        <v>3156</v>
      </c>
      <c r="I5623">
        <v>3144.75</v>
      </c>
    </row>
    <row r="5624" spans="1:9" x14ac:dyDescent="0.25">
      <c r="A5624" t="s">
        <v>9616</v>
      </c>
      <c r="C5624" t="s">
        <v>9617</v>
      </c>
      <c r="D5624" t="s">
        <v>12784</v>
      </c>
      <c r="E5624" t="s">
        <v>12778</v>
      </c>
      <c r="F5624" s="1">
        <v>45961</v>
      </c>
      <c r="G5624" t="str">
        <f>"300423"</f>
        <v>300423</v>
      </c>
      <c r="H5624" t="s">
        <v>3156</v>
      </c>
      <c r="I5624">
        <v>3201.75</v>
      </c>
    </row>
    <row r="5625" spans="1:9" x14ac:dyDescent="0.25">
      <c r="A5625" t="s">
        <v>9616</v>
      </c>
      <c r="C5625" t="s">
        <v>9617</v>
      </c>
      <c r="D5625" t="s">
        <v>12785</v>
      </c>
      <c r="E5625" t="s">
        <v>12771</v>
      </c>
      <c r="F5625" s="1">
        <v>45961</v>
      </c>
      <c r="G5625" t="str">
        <f>"300423"</f>
        <v>300423</v>
      </c>
      <c r="H5625" t="s">
        <v>3156</v>
      </c>
      <c r="I5625">
        <v>3309.73</v>
      </c>
    </row>
    <row r="5626" spans="1:9" x14ac:dyDescent="0.25">
      <c r="A5626" t="s">
        <v>9616</v>
      </c>
      <c r="C5626" t="s">
        <v>9617</v>
      </c>
      <c r="D5626" t="str">
        <f>"97923"</f>
        <v>97923</v>
      </c>
      <c r="E5626" t="s">
        <v>12786</v>
      </c>
      <c r="F5626" s="1">
        <v>45964</v>
      </c>
      <c r="G5626" t="str">
        <f>"300043"</f>
        <v>300043</v>
      </c>
      <c r="H5626" t="s">
        <v>2876</v>
      </c>
      <c r="I5626">
        <v>1294</v>
      </c>
    </row>
    <row r="5627" spans="1:9" x14ac:dyDescent="0.25">
      <c r="A5627" t="s">
        <v>9616</v>
      </c>
      <c r="C5627" t="s">
        <v>9617</v>
      </c>
      <c r="D5627" t="str">
        <f>"10172260"</f>
        <v>10172260</v>
      </c>
      <c r="E5627" t="s">
        <v>10948</v>
      </c>
      <c r="F5627" s="1">
        <v>45964</v>
      </c>
      <c r="G5627" t="str">
        <f>"300115"</f>
        <v>300115</v>
      </c>
      <c r="H5627" t="s">
        <v>2938</v>
      </c>
      <c r="I5627">
        <v>213506.7</v>
      </c>
    </row>
    <row r="5628" spans="1:9" x14ac:dyDescent="0.25">
      <c r="A5628" t="s">
        <v>9616</v>
      </c>
      <c r="C5628" t="s">
        <v>9617</v>
      </c>
      <c r="D5628" t="str">
        <f>"14255"</f>
        <v>14255</v>
      </c>
      <c r="E5628" t="s">
        <v>9535</v>
      </c>
      <c r="F5628" s="1">
        <v>45965</v>
      </c>
      <c r="G5628" t="str">
        <f>"300043"</f>
        <v>300043</v>
      </c>
      <c r="H5628" t="s">
        <v>2876</v>
      </c>
      <c r="I5628">
        <v>2572</v>
      </c>
    </row>
    <row r="5629" spans="1:9" x14ac:dyDescent="0.25">
      <c r="A5629" t="s">
        <v>9616</v>
      </c>
      <c r="C5629" t="s">
        <v>9617</v>
      </c>
      <c r="D5629" t="s">
        <v>12787</v>
      </c>
      <c r="E5629" t="s">
        <v>12788</v>
      </c>
      <c r="F5629" s="1">
        <v>45965</v>
      </c>
      <c r="G5629" t="str">
        <f>"300356"</f>
        <v>300356</v>
      </c>
      <c r="H5629" t="s">
        <v>3094</v>
      </c>
      <c r="I5629">
        <v>226769.97200000001</v>
      </c>
    </row>
    <row r="5630" spans="1:9" x14ac:dyDescent="0.25">
      <c r="A5630" t="s">
        <v>9616</v>
      </c>
      <c r="C5630" t="s">
        <v>9617</v>
      </c>
      <c r="D5630" t="str">
        <f>"98562"</f>
        <v>98562</v>
      </c>
      <c r="E5630" t="s">
        <v>12789</v>
      </c>
      <c r="F5630" s="1">
        <v>45966</v>
      </c>
      <c r="G5630" t="str">
        <f>"300043"</f>
        <v>300043</v>
      </c>
      <c r="H5630" t="s">
        <v>2876</v>
      </c>
      <c r="I5630">
        <v>3956</v>
      </c>
    </row>
    <row r="5631" spans="1:9" x14ac:dyDescent="0.25">
      <c r="A5631" t="s">
        <v>9616</v>
      </c>
      <c r="C5631" t="s">
        <v>9617</v>
      </c>
      <c r="D5631" t="str">
        <f>"551"</f>
        <v>551</v>
      </c>
      <c r="E5631" t="s">
        <v>12790</v>
      </c>
      <c r="F5631" s="1">
        <v>45966</v>
      </c>
      <c r="G5631" t="str">
        <f>"300556"</f>
        <v>300556</v>
      </c>
      <c r="H5631" t="s">
        <v>3287</v>
      </c>
      <c r="I5631">
        <v>166980</v>
      </c>
    </row>
    <row r="5632" spans="1:9" x14ac:dyDescent="0.25">
      <c r="A5632" t="s">
        <v>9616</v>
      </c>
      <c r="C5632" t="s">
        <v>9617</v>
      </c>
      <c r="D5632" t="str">
        <f>"10172415"</f>
        <v>10172415</v>
      </c>
      <c r="E5632" t="s">
        <v>12791</v>
      </c>
      <c r="F5632" s="1">
        <v>45967</v>
      </c>
      <c r="G5632" t="str">
        <f>"300115"</f>
        <v>300115</v>
      </c>
      <c r="H5632" t="s">
        <v>2938</v>
      </c>
      <c r="I5632">
        <v>335757.31199999998</v>
      </c>
    </row>
    <row r="5633" spans="1:9" x14ac:dyDescent="0.25">
      <c r="A5633" t="s">
        <v>9616</v>
      </c>
      <c r="C5633" t="s">
        <v>9617</v>
      </c>
      <c r="D5633" t="str">
        <f>"10172418"</f>
        <v>10172418</v>
      </c>
      <c r="E5633" t="s">
        <v>12792</v>
      </c>
      <c r="F5633" s="1">
        <v>45967</v>
      </c>
      <c r="G5633" t="str">
        <f>"300115"</f>
        <v>300115</v>
      </c>
      <c r="H5633" t="s">
        <v>2938</v>
      </c>
      <c r="I5633">
        <v>335757.31199999998</v>
      </c>
    </row>
    <row r="5634" spans="1:9" x14ac:dyDescent="0.25">
      <c r="A5634" t="s">
        <v>9616</v>
      </c>
      <c r="C5634" t="s">
        <v>9617</v>
      </c>
      <c r="D5634" t="s">
        <v>12793</v>
      </c>
      <c r="E5634" t="s">
        <v>9438</v>
      </c>
      <c r="F5634" s="1">
        <v>45967</v>
      </c>
      <c r="G5634" t="str">
        <f>"300220"</f>
        <v>300220</v>
      </c>
      <c r="H5634" t="s">
        <v>2170</v>
      </c>
      <c r="I5634">
        <v>1217916.216</v>
      </c>
    </row>
    <row r="5635" spans="1:9" x14ac:dyDescent="0.25">
      <c r="A5635" t="s">
        <v>9616</v>
      </c>
      <c r="C5635" t="s">
        <v>9617</v>
      </c>
      <c r="D5635" t="s">
        <v>12794</v>
      </c>
      <c r="E5635" t="s">
        <v>12789</v>
      </c>
      <c r="F5635" s="1">
        <v>45967</v>
      </c>
      <c r="G5635" t="str">
        <f>"300321"</f>
        <v>300321</v>
      </c>
      <c r="H5635" t="s">
        <v>2706</v>
      </c>
      <c r="I5635">
        <v>57750</v>
      </c>
    </row>
    <row r="5636" spans="1:9" x14ac:dyDescent="0.25">
      <c r="A5636" t="s">
        <v>9616</v>
      </c>
      <c r="C5636" t="s">
        <v>9617</v>
      </c>
      <c r="D5636" t="s">
        <v>12795</v>
      </c>
      <c r="E5636" t="s">
        <v>9112</v>
      </c>
      <c r="F5636" s="1">
        <v>45968</v>
      </c>
      <c r="G5636" t="str">
        <f>"300064"</f>
        <v>300064</v>
      </c>
      <c r="H5636" t="s">
        <v>2896</v>
      </c>
      <c r="I5636">
        <v>126980</v>
      </c>
    </row>
    <row r="5637" spans="1:9" x14ac:dyDescent="0.25">
      <c r="A5637" t="s">
        <v>9616</v>
      </c>
      <c r="C5637" t="s">
        <v>9617</v>
      </c>
      <c r="D5637" t="s">
        <v>12796</v>
      </c>
      <c r="E5637" t="s">
        <v>12797</v>
      </c>
      <c r="F5637" s="1">
        <v>45968</v>
      </c>
      <c r="G5637" t="str">
        <f>"300133"</f>
        <v>300133</v>
      </c>
      <c r="H5637" t="s">
        <v>2955</v>
      </c>
      <c r="I5637">
        <v>25502.400000000001</v>
      </c>
    </row>
    <row r="5638" spans="1:9" x14ac:dyDescent="0.25">
      <c r="A5638" t="s">
        <v>9616</v>
      </c>
      <c r="C5638" t="s">
        <v>9617</v>
      </c>
      <c r="D5638" t="s">
        <v>12798</v>
      </c>
      <c r="E5638" t="s">
        <v>9555</v>
      </c>
      <c r="F5638" s="1">
        <v>45968</v>
      </c>
      <c r="G5638" t="str">
        <f>"300133"</f>
        <v>300133</v>
      </c>
      <c r="H5638" t="s">
        <v>2955</v>
      </c>
      <c r="I5638">
        <v>11664</v>
      </c>
    </row>
    <row r="5639" spans="1:9" x14ac:dyDescent="0.25">
      <c r="A5639" t="s">
        <v>9616</v>
      </c>
      <c r="C5639" t="s">
        <v>9617</v>
      </c>
      <c r="D5639" t="str">
        <f>"99662"</f>
        <v>99662</v>
      </c>
      <c r="E5639" t="s">
        <v>12799</v>
      </c>
      <c r="F5639" s="1">
        <v>45969</v>
      </c>
      <c r="G5639" t="str">
        <f>"300043"</f>
        <v>300043</v>
      </c>
      <c r="H5639" t="s">
        <v>2876</v>
      </c>
      <c r="I5639">
        <v>714</v>
      </c>
    </row>
    <row r="5640" spans="1:9" x14ac:dyDescent="0.25">
      <c r="A5640" t="s">
        <v>9616</v>
      </c>
      <c r="C5640" t="s">
        <v>9617</v>
      </c>
      <c r="D5640" t="str">
        <f>"100096"</f>
        <v>100096</v>
      </c>
      <c r="E5640" t="s">
        <v>12800</v>
      </c>
      <c r="F5640" s="1">
        <v>45971</v>
      </c>
      <c r="G5640" t="str">
        <f>"300043"</f>
        <v>300043</v>
      </c>
      <c r="H5640" t="s">
        <v>2876</v>
      </c>
      <c r="I5640">
        <v>1293</v>
      </c>
    </row>
    <row r="5641" spans="1:9" x14ac:dyDescent="0.25">
      <c r="A5641" t="s">
        <v>9616</v>
      </c>
      <c r="C5641" t="s">
        <v>9617</v>
      </c>
      <c r="D5641" t="str">
        <f>"100331"</f>
        <v>100331</v>
      </c>
      <c r="E5641" t="s">
        <v>12801</v>
      </c>
      <c r="F5641" s="1">
        <v>45971</v>
      </c>
      <c r="G5641" t="str">
        <f>"300043"</f>
        <v>300043</v>
      </c>
      <c r="H5641" t="s">
        <v>2876</v>
      </c>
      <c r="I5641">
        <v>1293</v>
      </c>
    </row>
    <row r="5642" spans="1:9" x14ac:dyDescent="0.25">
      <c r="A5642" t="s">
        <v>9616</v>
      </c>
      <c r="C5642" t="s">
        <v>9617</v>
      </c>
      <c r="D5642" t="str">
        <f>"14481"</f>
        <v>14481</v>
      </c>
      <c r="E5642" t="s">
        <v>9535</v>
      </c>
      <c r="F5642" s="1">
        <v>45972</v>
      </c>
      <c r="G5642" t="str">
        <f>"300043"</f>
        <v>300043</v>
      </c>
      <c r="H5642" t="s">
        <v>2876</v>
      </c>
      <c r="I5642">
        <v>2346</v>
      </c>
    </row>
    <row r="5643" spans="1:9" x14ac:dyDescent="0.25">
      <c r="A5643" t="s">
        <v>9616</v>
      </c>
      <c r="C5643" t="s">
        <v>9617</v>
      </c>
      <c r="D5643" t="str">
        <f>"165963"</f>
        <v>165963</v>
      </c>
      <c r="E5643" t="s">
        <v>12802</v>
      </c>
      <c r="F5643" s="1">
        <v>45972</v>
      </c>
      <c r="G5643" t="str">
        <f>"300043"</f>
        <v>300043</v>
      </c>
      <c r="H5643" t="s">
        <v>2876</v>
      </c>
      <c r="I5643">
        <v>1080</v>
      </c>
    </row>
    <row r="5644" spans="1:9" x14ac:dyDescent="0.25">
      <c r="A5644" t="s">
        <v>9616</v>
      </c>
      <c r="C5644" t="s">
        <v>9617</v>
      </c>
      <c r="D5644" t="s">
        <v>12803</v>
      </c>
      <c r="E5644" t="s">
        <v>12786</v>
      </c>
      <c r="F5644" s="1">
        <v>45972</v>
      </c>
      <c r="G5644" t="str">
        <f>"300101"</f>
        <v>300101</v>
      </c>
      <c r="H5644" t="s">
        <v>2926</v>
      </c>
      <c r="I5644">
        <v>2976.75</v>
      </c>
    </row>
    <row r="5645" spans="1:9" x14ac:dyDescent="0.25">
      <c r="A5645" t="s">
        <v>9616</v>
      </c>
      <c r="C5645" t="s">
        <v>9617</v>
      </c>
      <c r="D5645" t="s">
        <v>12804</v>
      </c>
      <c r="E5645" t="s">
        <v>12755</v>
      </c>
      <c r="F5645" s="1">
        <v>45972</v>
      </c>
      <c r="G5645" t="str">
        <f>"300101"</f>
        <v>300101</v>
      </c>
      <c r="H5645" t="s">
        <v>2926</v>
      </c>
      <c r="I5645">
        <v>4131.62</v>
      </c>
    </row>
    <row r="5646" spans="1:9" x14ac:dyDescent="0.25">
      <c r="A5646" t="s">
        <v>9616</v>
      </c>
      <c r="C5646" t="s">
        <v>9617</v>
      </c>
      <c r="D5646" t="s">
        <v>12805</v>
      </c>
      <c r="E5646" t="s">
        <v>9522</v>
      </c>
      <c r="F5646" s="1">
        <v>45972</v>
      </c>
      <c r="G5646" t="str">
        <f>"300356"</f>
        <v>300356</v>
      </c>
      <c r="H5646" t="s">
        <v>3094</v>
      </c>
      <c r="I5646">
        <v>226769.97200000001</v>
      </c>
    </row>
    <row r="5647" spans="1:9" x14ac:dyDescent="0.25">
      <c r="A5647" t="s">
        <v>9616</v>
      </c>
      <c r="C5647" t="s">
        <v>9617</v>
      </c>
      <c r="D5647" t="s">
        <v>12806</v>
      </c>
      <c r="E5647" t="s">
        <v>9522</v>
      </c>
      <c r="F5647" s="1">
        <v>45972</v>
      </c>
      <c r="G5647" t="str">
        <f>"300375"</f>
        <v>300375</v>
      </c>
      <c r="H5647" t="s">
        <v>3112</v>
      </c>
      <c r="I5647">
        <v>127908.9427</v>
      </c>
    </row>
    <row r="5648" spans="1:9" x14ac:dyDescent="0.25">
      <c r="A5648" t="s">
        <v>9616</v>
      </c>
      <c r="C5648" t="s">
        <v>9617</v>
      </c>
      <c r="D5648" t="s">
        <v>12807</v>
      </c>
      <c r="E5648" t="s">
        <v>9522</v>
      </c>
      <c r="F5648" s="1">
        <v>45972</v>
      </c>
      <c r="G5648" t="str">
        <f>"300375"</f>
        <v>300375</v>
      </c>
      <c r="H5648" t="s">
        <v>3112</v>
      </c>
      <c r="I5648">
        <v>102699.4397</v>
      </c>
    </row>
    <row r="5649" spans="1:9" x14ac:dyDescent="0.25">
      <c r="A5649" t="s">
        <v>9616</v>
      </c>
      <c r="C5649" t="s">
        <v>9617</v>
      </c>
      <c r="D5649" t="s">
        <v>12808</v>
      </c>
      <c r="E5649" t="s">
        <v>12789</v>
      </c>
      <c r="F5649" s="1">
        <v>45972</v>
      </c>
      <c r="G5649" t="str">
        <f>"300423"</f>
        <v>300423</v>
      </c>
      <c r="H5649" t="s">
        <v>3156</v>
      </c>
      <c r="I5649">
        <v>3639.69</v>
      </c>
    </row>
    <row r="5650" spans="1:9" x14ac:dyDescent="0.25">
      <c r="A5650" t="s">
        <v>9616</v>
      </c>
      <c r="C5650" t="s">
        <v>9617</v>
      </c>
      <c r="D5650" t="str">
        <f>"114341"</f>
        <v>114341</v>
      </c>
      <c r="E5650" t="s">
        <v>12809</v>
      </c>
      <c r="F5650" s="1">
        <v>45973</v>
      </c>
      <c r="G5650" t="str">
        <f>"300043"</f>
        <v>300043</v>
      </c>
      <c r="H5650" t="s">
        <v>2876</v>
      </c>
      <c r="I5650">
        <v>6834</v>
      </c>
    </row>
    <row r="5651" spans="1:9" x14ac:dyDescent="0.25">
      <c r="A5651" t="s">
        <v>9616</v>
      </c>
      <c r="C5651" t="s">
        <v>9617</v>
      </c>
      <c r="D5651" t="s">
        <v>12810</v>
      </c>
      <c r="E5651" t="s">
        <v>12751</v>
      </c>
      <c r="F5651" s="1">
        <v>45973</v>
      </c>
      <c r="G5651" t="str">
        <f>"300101"</f>
        <v>300101</v>
      </c>
      <c r="H5651" t="s">
        <v>2926</v>
      </c>
      <c r="I5651">
        <v>5558.92</v>
      </c>
    </row>
    <row r="5652" spans="1:9" x14ac:dyDescent="0.25">
      <c r="A5652" t="s">
        <v>9616</v>
      </c>
      <c r="C5652" t="s">
        <v>9617</v>
      </c>
      <c r="D5652" t="str">
        <f>"80208797"</f>
        <v>80208797</v>
      </c>
      <c r="E5652" t="s">
        <v>8852</v>
      </c>
      <c r="F5652" s="1">
        <v>45973</v>
      </c>
      <c r="G5652" t="str">
        <f>"300381"</f>
        <v>300381</v>
      </c>
      <c r="H5652" t="s">
        <v>3118</v>
      </c>
      <c r="I5652">
        <v>371275.34399999998</v>
      </c>
    </row>
    <row r="5653" spans="1:9" x14ac:dyDescent="0.25">
      <c r="A5653" t="s">
        <v>9616</v>
      </c>
      <c r="C5653" t="s">
        <v>9617</v>
      </c>
      <c r="D5653" t="str">
        <f>"101407"</f>
        <v>101407</v>
      </c>
      <c r="E5653" t="s">
        <v>12811</v>
      </c>
      <c r="F5653" s="1">
        <v>45974</v>
      </c>
      <c r="G5653" t="str">
        <f>"300043"</f>
        <v>300043</v>
      </c>
      <c r="H5653" t="s">
        <v>2876</v>
      </c>
      <c r="I5653">
        <v>4307</v>
      </c>
    </row>
    <row r="5654" spans="1:9" x14ac:dyDescent="0.25">
      <c r="A5654" t="s">
        <v>9616</v>
      </c>
      <c r="C5654" t="s">
        <v>9617</v>
      </c>
      <c r="D5654" t="str">
        <f>"101456"</f>
        <v>101456</v>
      </c>
      <c r="E5654" t="s">
        <v>12812</v>
      </c>
      <c r="F5654" s="1">
        <v>45974</v>
      </c>
      <c r="G5654" t="str">
        <f>"300043"</f>
        <v>300043</v>
      </c>
      <c r="H5654" t="s">
        <v>2876</v>
      </c>
      <c r="I5654">
        <v>1590</v>
      </c>
    </row>
    <row r="5655" spans="1:9" x14ac:dyDescent="0.25">
      <c r="A5655" t="s">
        <v>9616</v>
      </c>
      <c r="C5655" t="s">
        <v>9617</v>
      </c>
      <c r="D5655" t="s">
        <v>12813</v>
      </c>
      <c r="E5655" t="s">
        <v>12814</v>
      </c>
      <c r="F5655" s="1">
        <v>45974</v>
      </c>
      <c r="G5655" t="str">
        <f>"300101"</f>
        <v>300101</v>
      </c>
      <c r="H5655" t="s">
        <v>2926</v>
      </c>
      <c r="I5655">
        <v>164.98</v>
      </c>
    </row>
    <row r="5656" spans="1:9" x14ac:dyDescent="0.25">
      <c r="A5656" t="s">
        <v>9616</v>
      </c>
      <c r="C5656" t="s">
        <v>9617</v>
      </c>
      <c r="D5656" t="s">
        <v>12815</v>
      </c>
      <c r="E5656" t="s">
        <v>12802</v>
      </c>
      <c r="F5656" s="1">
        <v>45974</v>
      </c>
      <c r="G5656" t="str">
        <f>"300191"</f>
        <v>300191</v>
      </c>
      <c r="H5656" t="s">
        <v>3008</v>
      </c>
      <c r="I5656">
        <v>15122.82</v>
      </c>
    </row>
    <row r="5657" spans="1:9" x14ac:dyDescent="0.25">
      <c r="A5657" t="s">
        <v>9616</v>
      </c>
      <c r="C5657" t="s">
        <v>9617</v>
      </c>
      <c r="D5657" t="s">
        <v>12816</v>
      </c>
      <c r="E5657" t="s">
        <v>12809</v>
      </c>
      <c r="F5657" s="1">
        <v>45974</v>
      </c>
      <c r="G5657" t="str">
        <f>"300191"</f>
        <v>300191</v>
      </c>
      <c r="H5657" t="s">
        <v>3008</v>
      </c>
      <c r="I5657">
        <v>5448.68</v>
      </c>
    </row>
    <row r="5658" spans="1:9" x14ac:dyDescent="0.25">
      <c r="A5658" t="s">
        <v>9616</v>
      </c>
      <c r="C5658" t="s">
        <v>9617</v>
      </c>
      <c r="D5658" t="s">
        <v>12817</v>
      </c>
      <c r="E5658" t="s">
        <v>12818</v>
      </c>
      <c r="F5658" s="1">
        <v>45974</v>
      </c>
      <c r="G5658" t="str">
        <f>"300237"</f>
        <v>300237</v>
      </c>
      <c r="H5658" t="s">
        <v>3036</v>
      </c>
      <c r="I5658">
        <v>361202.6</v>
      </c>
    </row>
    <row r="5659" spans="1:9" x14ac:dyDescent="0.25">
      <c r="A5659" t="s">
        <v>9616</v>
      </c>
      <c r="C5659" t="s">
        <v>9617</v>
      </c>
      <c r="D5659" t="s">
        <v>12819</v>
      </c>
      <c r="E5659" t="s">
        <v>9517</v>
      </c>
      <c r="F5659" s="1">
        <v>45974</v>
      </c>
      <c r="G5659" t="str">
        <f>"300237"</f>
        <v>300237</v>
      </c>
      <c r="H5659" t="s">
        <v>3036</v>
      </c>
      <c r="I5659">
        <v>126033.60000000001</v>
      </c>
    </row>
    <row r="5660" spans="1:9" x14ac:dyDescent="0.25">
      <c r="A5660" t="s">
        <v>9616</v>
      </c>
      <c r="C5660" t="s">
        <v>9617</v>
      </c>
      <c r="D5660" t="str">
        <f>"101841"</f>
        <v>101841</v>
      </c>
      <c r="E5660" t="s">
        <v>12820</v>
      </c>
      <c r="F5660" s="1">
        <v>45975</v>
      </c>
      <c r="G5660" t="str">
        <f>"300043"</f>
        <v>300043</v>
      </c>
      <c r="H5660" t="s">
        <v>2876</v>
      </c>
      <c r="I5660">
        <v>1461</v>
      </c>
    </row>
    <row r="5661" spans="1:9" x14ac:dyDescent="0.25">
      <c r="A5661" t="s">
        <v>9616</v>
      </c>
      <c r="C5661" t="s">
        <v>9617</v>
      </c>
      <c r="D5661" t="s">
        <v>12821</v>
      </c>
      <c r="E5661" t="s">
        <v>12800</v>
      </c>
      <c r="F5661" s="1">
        <v>45975</v>
      </c>
      <c r="G5661" t="str">
        <f>"300101"</f>
        <v>300101</v>
      </c>
      <c r="H5661" t="s">
        <v>2926</v>
      </c>
      <c r="I5661">
        <v>3471.69</v>
      </c>
    </row>
    <row r="5662" spans="1:9" x14ac:dyDescent="0.25">
      <c r="A5662" t="s">
        <v>9616</v>
      </c>
      <c r="C5662" t="s">
        <v>9617</v>
      </c>
      <c r="D5662" t="s">
        <v>12822</v>
      </c>
      <c r="E5662" t="s">
        <v>12799</v>
      </c>
      <c r="F5662" s="1">
        <v>45975</v>
      </c>
      <c r="G5662" t="str">
        <f>"300101"</f>
        <v>300101</v>
      </c>
      <c r="H5662" t="s">
        <v>2926</v>
      </c>
      <c r="I5662">
        <v>3802.41</v>
      </c>
    </row>
    <row r="5663" spans="1:9" x14ac:dyDescent="0.25">
      <c r="A5663" t="s">
        <v>9616</v>
      </c>
      <c r="C5663" t="s">
        <v>9617</v>
      </c>
      <c r="D5663" t="s">
        <v>12823</v>
      </c>
      <c r="E5663" t="s">
        <v>12820</v>
      </c>
      <c r="F5663" s="1">
        <v>45976</v>
      </c>
      <c r="G5663" t="str">
        <f>"300321"</f>
        <v>300321</v>
      </c>
      <c r="H5663" t="s">
        <v>2706</v>
      </c>
      <c r="I5663">
        <v>30800</v>
      </c>
    </row>
    <row r="5664" spans="1:9" x14ac:dyDescent="0.25">
      <c r="A5664" t="s">
        <v>9616</v>
      </c>
      <c r="C5664" t="s">
        <v>9617</v>
      </c>
      <c r="D5664" t="s">
        <v>12824</v>
      </c>
      <c r="E5664" t="s">
        <v>12811</v>
      </c>
      <c r="F5664" s="1">
        <v>45976</v>
      </c>
      <c r="G5664" t="str">
        <f>"300321"</f>
        <v>300321</v>
      </c>
      <c r="H5664" t="s">
        <v>2706</v>
      </c>
      <c r="I5664">
        <v>56548.800000000003</v>
      </c>
    </row>
    <row r="5665" spans="1:9" x14ac:dyDescent="0.25">
      <c r="A5665" t="s">
        <v>9616</v>
      </c>
      <c r="C5665" t="s">
        <v>9617</v>
      </c>
      <c r="D5665" t="str">
        <f>"102672"</f>
        <v>102672</v>
      </c>
      <c r="E5665" t="s">
        <v>12825</v>
      </c>
      <c r="F5665" s="1">
        <v>45978</v>
      </c>
      <c r="G5665" t="str">
        <f>"300043"</f>
        <v>300043</v>
      </c>
      <c r="H5665" t="s">
        <v>2876</v>
      </c>
      <c r="I5665">
        <v>861</v>
      </c>
    </row>
    <row r="5666" spans="1:9" x14ac:dyDescent="0.25">
      <c r="A5666" t="s">
        <v>9616</v>
      </c>
      <c r="C5666" t="s">
        <v>9617</v>
      </c>
      <c r="D5666" t="str">
        <f>"80209102"</f>
        <v>80209102</v>
      </c>
      <c r="E5666" t="s">
        <v>8852</v>
      </c>
      <c r="F5666" s="1">
        <v>45978</v>
      </c>
      <c r="G5666" t="str">
        <f>"300381"</f>
        <v>300381</v>
      </c>
      <c r="H5666" t="s">
        <v>3118</v>
      </c>
      <c r="I5666">
        <v>371403.90100000001</v>
      </c>
    </row>
    <row r="5667" spans="1:9" x14ac:dyDescent="0.25">
      <c r="A5667" t="s">
        <v>9616</v>
      </c>
      <c r="C5667" t="s">
        <v>9617</v>
      </c>
      <c r="D5667" t="str">
        <f>"14762"</f>
        <v>14762</v>
      </c>
      <c r="E5667" t="s">
        <v>9535</v>
      </c>
      <c r="F5667" s="1">
        <v>45980</v>
      </c>
      <c r="G5667" t="str">
        <f>"300043"</f>
        <v>300043</v>
      </c>
      <c r="H5667" t="s">
        <v>2876</v>
      </c>
      <c r="I5667">
        <v>3271</v>
      </c>
    </row>
    <row r="5668" spans="1:9" x14ac:dyDescent="0.25">
      <c r="A5668" t="s">
        <v>9616</v>
      </c>
      <c r="C5668" t="s">
        <v>9617</v>
      </c>
      <c r="D5668" t="str">
        <f>"103726"</f>
        <v>103726</v>
      </c>
      <c r="E5668" t="s">
        <v>12826</v>
      </c>
      <c r="F5668" s="1">
        <v>45980</v>
      </c>
      <c r="G5668" t="str">
        <f>"300043"</f>
        <v>300043</v>
      </c>
      <c r="H5668" t="s">
        <v>2876</v>
      </c>
      <c r="I5668">
        <v>903</v>
      </c>
    </row>
    <row r="5669" spans="1:9" x14ac:dyDescent="0.25">
      <c r="A5669" t="s">
        <v>9616</v>
      </c>
      <c r="C5669" t="s">
        <v>9617</v>
      </c>
      <c r="D5669" t="str">
        <f>"104090"</f>
        <v>104090</v>
      </c>
      <c r="E5669" t="s">
        <v>12827</v>
      </c>
      <c r="F5669" s="1">
        <v>45981</v>
      </c>
      <c r="G5669" t="str">
        <f>"300043"</f>
        <v>300043</v>
      </c>
      <c r="H5669" t="s">
        <v>2876</v>
      </c>
      <c r="I5669">
        <v>1452</v>
      </c>
    </row>
    <row r="5670" spans="1:9" x14ac:dyDescent="0.25">
      <c r="A5670" t="s">
        <v>9616</v>
      </c>
      <c r="C5670" t="s">
        <v>9617</v>
      </c>
      <c r="D5670" t="s">
        <v>12828</v>
      </c>
      <c r="E5670" t="s">
        <v>9629</v>
      </c>
      <c r="F5670" s="1">
        <v>45981</v>
      </c>
      <c r="G5670" t="str">
        <f>"300133"</f>
        <v>300133</v>
      </c>
      <c r="H5670" t="s">
        <v>2955</v>
      </c>
      <c r="I5670">
        <v>45648</v>
      </c>
    </row>
    <row r="5671" spans="1:9" x14ac:dyDescent="0.25">
      <c r="A5671" t="s">
        <v>9616</v>
      </c>
      <c r="C5671" t="s">
        <v>9617</v>
      </c>
      <c r="D5671" t="s">
        <v>12829</v>
      </c>
      <c r="E5671" t="s">
        <v>9629</v>
      </c>
      <c r="F5671" s="1">
        <v>45981</v>
      </c>
      <c r="G5671" t="str">
        <f>"300133"</f>
        <v>300133</v>
      </c>
      <c r="H5671" t="s">
        <v>2955</v>
      </c>
      <c r="I5671">
        <v>40708.800000000003</v>
      </c>
    </row>
    <row r="5672" spans="1:9" x14ac:dyDescent="0.25">
      <c r="A5672" t="s">
        <v>9616</v>
      </c>
      <c r="C5672" t="s">
        <v>9617</v>
      </c>
      <c r="D5672" t="s">
        <v>12830</v>
      </c>
      <c r="E5672" t="s">
        <v>11650</v>
      </c>
      <c r="F5672" s="1">
        <v>45981</v>
      </c>
      <c r="G5672" t="str">
        <f>"300220"</f>
        <v>300220</v>
      </c>
      <c r="H5672" t="s">
        <v>2170</v>
      </c>
      <c r="I5672">
        <v>979181.28</v>
      </c>
    </row>
    <row r="5673" spans="1:9" x14ac:dyDescent="0.25">
      <c r="A5673" t="s">
        <v>9616</v>
      </c>
      <c r="C5673" t="s">
        <v>9617</v>
      </c>
      <c r="D5673" t="s">
        <v>12831</v>
      </c>
      <c r="E5673" t="s">
        <v>12811</v>
      </c>
      <c r="F5673" s="1">
        <v>45981</v>
      </c>
      <c r="G5673" t="str">
        <f>"300423"</f>
        <v>300423</v>
      </c>
      <c r="H5673" t="s">
        <v>3156</v>
      </c>
      <c r="I5673">
        <v>3146.72</v>
      </c>
    </row>
    <row r="5674" spans="1:9" x14ac:dyDescent="0.25">
      <c r="A5674" t="s">
        <v>9616</v>
      </c>
      <c r="C5674" t="s">
        <v>9617</v>
      </c>
      <c r="D5674" t="s">
        <v>12832</v>
      </c>
      <c r="E5674" t="s">
        <v>12820</v>
      </c>
      <c r="F5674" s="1">
        <v>45981</v>
      </c>
      <c r="G5674" t="str">
        <f>"300423"</f>
        <v>300423</v>
      </c>
      <c r="H5674" t="s">
        <v>3156</v>
      </c>
      <c r="I5674">
        <v>3148.87</v>
      </c>
    </row>
    <row r="5675" spans="1:9" x14ac:dyDescent="0.25">
      <c r="A5675" t="s">
        <v>9616</v>
      </c>
      <c r="C5675" t="s">
        <v>9617</v>
      </c>
      <c r="D5675" t="s">
        <v>12833</v>
      </c>
      <c r="E5675" s="2">
        <v>46027</v>
      </c>
      <c r="F5675" s="1">
        <v>45982</v>
      </c>
      <c r="G5675" t="str">
        <f>"300064"</f>
        <v>300064</v>
      </c>
      <c r="H5675" t="s">
        <v>2896</v>
      </c>
      <c r="I5675">
        <v>65406</v>
      </c>
    </row>
    <row r="5676" spans="1:9" x14ac:dyDescent="0.25">
      <c r="A5676" t="s">
        <v>9616</v>
      </c>
      <c r="C5676" t="s">
        <v>9617</v>
      </c>
      <c r="D5676" t="s">
        <v>12834</v>
      </c>
      <c r="E5676" t="s">
        <v>12812</v>
      </c>
      <c r="F5676" s="1">
        <v>45982</v>
      </c>
      <c r="G5676" t="str">
        <f>"300101"</f>
        <v>300101</v>
      </c>
      <c r="H5676" t="s">
        <v>2926</v>
      </c>
      <c r="I5676">
        <v>3805.21</v>
      </c>
    </row>
    <row r="5677" spans="1:9" x14ac:dyDescent="0.25">
      <c r="A5677" t="s">
        <v>9616</v>
      </c>
      <c r="C5677" t="s">
        <v>9617</v>
      </c>
      <c r="D5677" t="s">
        <v>12835</v>
      </c>
      <c r="E5677" t="s">
        <v>12801</v>
      </c>
      <c r="F5677" s="1">
        <v>45982</v>
      </c>
      <c r="G5677" t="str">
        <f>"300101"</f>
        <v>300101</v>
      </c>
      <c r="H5677" t="s">
        <v>2926</v>
      </c>
      <c r="I5677">
        <v>4134.6499999999996</v>
      </c>
    </row>
    <row r="5678" spans="1:9" x14ac:dyDescent="0.25">
      <c r="A5678" t="s">
        <v>9616</v>
      </c>
      <c r="C5678" t="s">
        <v>9617</v>
      </c>
      <c r="D5678" t="s">
        <v>12836</v>
      </c>
      <c r="E5678" t="s">
        <v>12827</v>
      </c>
      <c r="F5678" s="1">
        <v>45982</v>
      </c>
      <c r="G5678" t="str">
        <f>"300321"</f>
        <v>300321</v>
      </c>
      <c r="H5678" t="s">
        <v>2706</v>
      </c>
      <c r="I5678">
        <v>29850.05</v>
      </c>
    </row>
    <row r="5679" spans="1:9" x14ac:dyDescent="0.25">
      <c r="A5679" t="s">
        <v>9616</v>
      </c>
      <c r="C5679" t="s">
        <v>9617</v>
      </c>
      <c r="D5679" t="str">
        <f>"172742"</f>
        <v>172742</v>
      </c>
      <c r="E5679" t="s">
        <v>12837</v>
      </c>
      <c r="F5679" s="1">
        <v>45983</v>
      </c>
      <c r="G5679" t="str">
        <f>"300043"</f>
        <v>300043</v>
      </c>
      <c r="H5679" t="s">
        <v>2876</v>
      </c>
      <c r="I5679">
        <v>398</v>
      </c>
    </row>
    <row r="5680" spans="1:9" x14ac:dyDescent="0.25">
      <c r="A5680" t="s">
        <v>9616</v>
      </c>
      <c r="C5680" t="s">
        <v>9617</v>
      </c>
      <c r="D5680" t="str">
        <f>"6645"</f>
        <v>6645</v>
      </c>
      <c r="E5680" t="s">
        <v>12838</v>
      </c>
      <c r="F5680" s="1">
        <v>45985</v>
      </c>
      <c r="G5680" t="str">
        <f>"300043"</f>
        <v>300043</v>
      </c>
      <c r="H5680" t="s">
        <v>2876</v>
      </c>
      <c r="I5680">
        <v>3707</v>
      </c>
    </row>
    <row r="5681" spans="1:9" x14ac:dyDescent="0.25">
      <c r="A5681" t="s">
        <v>9616</v>
      </c>
      <c r="C5681" t="s">
        <v>9617</v>
      </c>
      <c r="D5681" t="str">
        <f>"15122"</f>
        <v>15122</v>
      </c>
      <c r="E5681" t="s">
        <v>9535</v>
      </c>
      <c r="F5681" s="1">
        <v>45985</v>
      </c>
      <c r="G5681" t="str">
        <f>"300043"</f>
        <v>300043</v>
      </c>
      <c r="H5681" t="s">
        <v>2876</v>
      </c>
      <c r="I5681">
        <v>3078</v>
      </c>
    </row>
    <row r="5682" spans="1:9" x14ac:dyDescent="0.25">
      <c r="A5682" t="s">
        <v>9616</v>
      </c>
      <c r="C5682" t="s">
        <v>9617</v>
      </c>
      <c r="D5682" t="s">
        <v>12839</v>
      </c>
      <c r="E5682" t="s">
        <v>12840</v>
      </c>
      <c r="F5682" s="1">
        <v>45985</v>
      </c>
      <c r="G5682" t="str">
        <f>"300133"</f>
        <v>300133</v>
      </c>
      <c r="H5682" t="s">
        <v>2955</v>
      </c>
      <c r="I5682">
        <v>53222.400000000001</v>
      </c>
    </row>
    <row r="5683" spans="1:9" x14ac:dyDescent="0.25">
      <c r="A5683" t="s">
        <v>9616</v>
      </c>
      <c r="C5683" t="s">
        <v>9617</v>
      </c>
      <c r="D5683" t="s">
        <v>12841</v>
      </c>
      <c r="E5683" t="s">
        <v>12842</v>
      </c>
      <c r="F5683" s="1">
        <v>45985</v>
      </c>
      <c r="G5683" t="str">
        <f>"300191"</f>
        <v>300191</v>
      </c>
      <c r="H5683" t="s">
        <v>3008</v>
      </c>
      <c r="I5683">
        <v>328.21</v>
      </c>
    </row>
    <row r="5684" spans="1:9" x14ac:dyDescent="0.25">
      <c r="A5684" t="s">
        <v>9616</v>
      </c>
      <c r="C5684" t="s">
        <v>9617</v>
      </c>
      <c r="D5684" t="str">
        <f>"105415"</f>
        <v>105415</v>
      </c>
      <c r="E5684" t="s">
        <v>12843</v>
      </c>
      <c r="F5684" s="1">
        <v>45986</v>
      </c>
      <c r="G5684" t="str">
        <f>"300043"</f>
        <v>300043</v>
      </c>
      <c r="H5684" t="s">
        <v>2876</v>
      </c>
      <c r="I5684">
        <v>3494</v>
      </c>
    </row>
    <row r="5685" spans="1:9" x14ac:dyDescent="0.25">
      <c r="A5685" t="s">
        <v>9616</v>
      </c>
      <c r="C5685" t="s">
        <v>9617</v>
      </c>
      <c r="D5685" t="str">
        <f>"1727422"</f>
        <v>1727422</v>
      </c>
      <c r="E5685" t="s">
        <v>12844</v>
      </c>
      <c r="F5685" s="1">
        <v>45986</v>
      </c>
      <c r="G5685" t="str">
        <f>"300043"</f>
        <v>300043</v>
      </c>
      <c r="H5685" t="s">
        <v>2876</v>
      </c>
      <c r="I5685">
        <v>122</v>
      </c>
    </row>
    <row r="5686" spans="1:9" x14ac:dyDescent="0.25">
      <c r="A5686" t="s">
        <v>9616</v>
      </c>
      <c r="C5686" t="s">
        <v>9617</v>
      </c>
      <c r="D5686" t="str">
        <f>"80209583"</f>
        <v>80209583</v>
      </c>
      <c r="E5686" t="s">
        <v>8852</v>
      </c>
      <c r="F5686" s="1">
        <v>45986</v>
      </c>
      <c r="G5686" t="str">
        <f>"300381"</f>
        <v>300381</v>
      </c>
      <c r="H5686" t="s">
        <v>3118</v>
      </c>
      <c r="I5686">
        <v>344900.13799999998</v>
      </c>
    </row>
    <row r="5687" spans="1:9" x14ac:dyDescent="0.25">
      <c r="A5687" t="s">
        <v>9616</v>
      </c>
      <c r="C5687" t="s">
        <v>9617</v>
      </c>
      <c r="D5687" t="s">
        <v>12845</v>
      </c>
      <c r="E5687" t="s">
        <v>12838</v>
      </c>
      <c r="F5687" s="1">
        <v>45986</v>
      </c>
      <c r="G5687" t="str">
        <f>"300423"</f>
        <v>300423</v>
      </c>
      <c r="H5687" t="s">
        <v>3156</v>
      </c>
      <c r="I5687">
        <v>8776.39</v>
      </c>
    </row>
    <row r="5688" spans="1:9" x14ac:dyDescent="0.25">
      <c r="A5688" t="s">
        <v>9616</v>
      </c>
      <c r="C5688" t="s">
        <v>9617</v>
      </c>
      <c r="D5688" t="str">
        <f>"6706"</f>
        <v>6706</v>
      </c>
      <c r="E5688" t="s">
        <v>12846</v>
      </c>
      <c r="F5688" s="1">
        <v>45987</v>
      </c>
      <c r="G5688" t="str">
        <f>"300043"</f>
        <v>300043</v>
      </c>
      <c r="H5688" t="s">
        <v>2876</v>
      </c>
      <c r="I5688">
        <v>3870</v>
      </c>
    </row>
    <row r="5689" spans="1:9" x14ac:dyDescent="0.25">
      <c r="A5689" t="s">
        <v>9616</v>
      </c>
      <c r="C5689" t="s">
        <v>9617</v>
      </c>
      <c r="D5689" t="s">
        <v>12847</v>
      </c>
      <c r="E5689" t="s">
        <v>9506</v>
      </c>
      <c r="F5689" s="1">
        <v>45987</v>
      </c>
      <c r="G5689" t="str">
        <f>"300064"</f>
        <v>300064</v>
      </c>
      <c r="H5689" t="s">
        <v>2896</v>
      </c>
      <c r="I5689">
        <v>54540</v>
      </c>
    </row>
    <row r="5690" spans="1:9" x14ac:dyDescent="0.25">
      <c r="A5690" t="s">
        <v>9616</v>
      </c>
      <c r="C5690" t="s">
        <v>9617</v>
      </c>
      <c r="D5690" t="s">
        <v>12848</v>
      </c>
      <c r="E5690" t="s">
        <v>10041</v>
      </c>
      <c r="F5690" s="1">
        <v>45987</v>
      </c>
      <c r="G5690" t="str">
        <f>"300133"</f>
        <v>300133</v>
      </c>
      <c r="H5690" t="s">
        <v>2955</v>
      </c>
      <c r="I5690">
        <v>11592</v>
      </c>
    </row>
    <row r="5691" spans="1:9" x14ac:dyDescent="0.25">
      <c r="A5691" t="s">
        <v>9616</v>
      </c>
      <c r="C5691" t="s">
        <v>9617</v>
      </c>
      <c r="D5691" t="s">
        <v>12849</v>
      </c>
      <c r="E5691" t="s">
        <v>12837</v>
      </c>
      <c r="F5691" s="1">
        <v>45987</v>
      </c>
      <c r="G5691" t="str">
        <f>"300191"</f>
        <v>300191</v>
      </c>
      <c r="H5691" t="s">
        <v>3008</v>
      </c>
      <c r="I5691">
        <v>8451.25</v>
      </c>
    </row>
    <row r="5692" spans="1:9" x14ac:dyDescent="0.25">
      <c r="A5692" t="s">
        <v>9616</v>
      </c>
      <c r="C5692" t="s">
        <v>9617</v>
      </c>
      <c r="D5692" t="s">
        <v>12850</v>
      </c>
      <c r="E5692" t="s">
        <v>12827</v>
      </c>
      <c r="F5692" s="1">
        <v>45987</v>
      </c>
      <c r="G5692" t="str">
        <f>"300423"</f>
        <v>300423</v>
      </c>
      <c r="H5692" t="s">
        <v>3156</v>
      </c>
      <c r="I5692">
        <v>3148.87</v>
      </c>
    </row>
    <row r="5693" spans="1:9" x14ac:dyDescent="0.25">
      <c r="A5693" t="s">
        <v>9616</v>
      </c>
      <c r="C5693" t="s">
        <v>9617</v>
      </c>
      <c r="D5693" t="str">
        <f>"106804"</f>
        <v>106804</v>
      </c>
      <c r="E5693" t="s">
        <v>12851</v>
      </c>
      <c r="F5693" s="1">
        <v>45988</v>
      </c>
      <c r="G5693" t="str">
        <f>"300043"</f>
        <v>300043</v>
      </c>
      <c r="H5693" t="s">
        <v>2876</v>
      </c>
      <c r="I5693">
        <v>1365</v>
      </c>
    </row>
    <row r="5694" spans="1:9" x14ac:dyDescent="0.25">
      <c r="A5694" t="s">
        <v>9616</v>
      </c>
      <c r="C5694" t="s">
        <v>9617</v>
      </c>
      <c r="D5694" t="s">
        <v>12852</v>
      </c>
      <c r="E5694" t="s">
        <v>12851</v>
      </c>
      <c r="F5694" s="1">
        <v>45989</v>
      </c>
      <c r="G5694" t="str">
        <f>"300321"</f>
        <v>300321</v>
      </c>
      <c r="H5694" t="s">
        <v>2706</v>
      </c>
      <c r="I5694">
        <v>29209.119999999999</v>
      </c>
    </row>
    <row r="5695" spans="1:9" x14ac:dyDescent="0.25">
      <c r="A5695" t="s">
        <v>9616</v>
      </c>
      <c r="C5695" t="s">
        <v>9617</v>
      </c>
      <c r="D5695" t="s">
        <v>12853</v>
      </c>
      <c r="E5695" t="s">
        <v>12843</v>
      </c>
      <c r="F5695" s="1">
        <v>45989</v>
      </c>
      <c r="G5695" t="str">
        <f>"300321"</f>
        <v>300321</v>
      </c>
      <c r="H5695" t="s">
        <v>2706</v>
      </c>
      <c r="I5695">
        <v>51739.6</v>
      </c>
    </row>
    <row r="5696" spans="1:9" x14ac:dyDescent="0.25">
      <c r="A5696" t="s">
        <v>9616</v>
      </c>
      <c r="C5696" t="s">
        <v>9617</v>
      </c>
      <c r="D5696" t="s">
        <v>12854</v>
      </c>
      <c r="E5696" t="s">
        <v>12846</v>
      </c>
      <c r="F5696" s="1">
        <v>45989</v>
      </c>
      <c r="G5696" t="str">
        <f>"300423"</f>
        <v>300423</v>
      </c>
      <c r="H5696" t="s">
        <v>3156</v>
      </c>
      <c r="I5696">
        <v>8991.08</v>
      </c>
    </row>
    <row r="5697" spans="1:9" x14ac:dyDescent="0.25">
      <c r="A5697" t="s">
        <v>9616</v>
      </c>
      <c r="C5697" t="s">
        <v>9617</v>
      </c>
      <c r="D5697" t="s">
        <v>12855</v>
      </c>
      <c r="E5697" t="s">
        <v>12851</v>
      </c>
      <c r="F5697" s="1">
        <v>45990</v>
      </c>
      <c r="G5697" t="str">
        <f>"300423"</f>
        <v>300423</v>
      </c>
      <c r="H5697" t="s">
        <v>3156</v>
      </c>
      <c r="I5697">
        <v>3148.87</v>
      </c>
    </row>
    <row r="5698" spans="1:9" x14ac:dyDescent="0.25">
      <c r="A5698" t="s">
        <v>9616</v>
      </c>
      <c r="C5698" t="s">
        <v>9617</v>
      </c>
      <c r="D5698" t="s">
        <v>12856</v>
      </c>
      <c r="E5698" t="s">
        <v>12843</v>
      </c>
      <c r="F5698" s="1">
        <v>45990</v>
      </c>
      <c r="G5698" t="str">
        <f>"300423"</f>
        <v>300423</v>
      </c>
      <c r="H5698" t="s">
        <v>3156</v>
      </c>
      <c r="I5698">
        <v>3148.87</v>
      </c>
    </row>
    <row r="5699" spans="1:9" x14ac:dyDescent="0.25">
      <c r="A5699" t="s">
        <v>9616</v>
      </c>
      <c r="C5699" t="s">
        <v>9617</v>
      </c>
      <c r="D5699" t="s">
        <v>12857</v>
      </c>
      <c r="E5699" t="s">
        <v>12825</v>
      </c>
      <c r="F5699" s="1">
        <v>45992</v>
      </c>
      <c r="G5699" t="str">
        <f>"300101"</f>
        <v>300101</v>
      </c>
      <c r="H5699" t="s">
        <v>2926</v>
      </c>
      <c r="I5699">
        <v>7333.71</v>
      </c>
    </row>
    <row r="5700" spans="1:9" x14ac:dyDescent="0.25">
      <c r="A5700" t="s">
        <v>9616</v>
      </c>
      <c r="C5700" t="s">
        <v>9617</v>
      </c>
      <c r="D5700" t="str">
        <f>"15612"</f>
        <v>15612</v>
      </c>
      <c r="E5700" t="s">
        <v>9535</v>
      </c>
      <c r="F5700" s="1">
        <v>45993</v>
      </c>
      <c r="G5700" t="str">
        <f>"300043"</f>
        <v>300043</v>
      </c>
      <c r="H5700" t="s">
        <v>2876</v>
      </c>
      <c r="I5700">
        <v>2652</v>
      </c>
    </row>
    <row r="5701" spans="1:9" x14ac:dyDescent="0.25">
      <c r="A5701" t="s">
        <v>9616</v>
      </c>
      <c r="C5701" t="s">
        <v>9617</v>
      </c>
      <c r="D5701" t="s">
        <v>12858</v>
      </c>
      <c r="E5701" t="s">
        <v>12859</v>
      </c>
      <c r="F5701" s="1">
        <v>45993</v>
      </c>
      <c r="G5701" t="str">
        <f>"300064"</f>
        <v>300064</v>
      </c>
      <c r="H5701" t="s">
        <v>2896</v>
      </c>
      <c r="I5701">
        <v>72650</v>
      </c>
    </row>
    <row r="5702" spans="1:9" x14ac:dyDescent="0.25">
      <c r="A5702" t="s">
        <v>9616</v>
      </c>
      <c r="C5702" t="s">
        <v>9617</v>
      </c>
      <c r="D5702" t="str">
        <f>"80209484"</f>
        <v>80209484</v>
      </c>
      <c r="E5702" t="s">
        <v>2172</v>
      </c>
      <c r="F5702" s="1">
        <v>45993</v>
      </c>
      <c r="G5702" t="str">
        <f>"300381"</f>
        <v>300381</v>
      </c>
      <c r="H5702" t="s">
        <v>3118</v>
      </c>
      <c r="I5702">
        <v>333907.20000000001</v>
      </c>
    </row>
    <row r="5703" spans="1:9" x14ac:dyDescent="0.25">
      <c r="A5703" t="s">
        <v>9616</v>
      </c>
      <c r="C5703" t="s">
        <v>9617</v>
      </c>
      <c r="D5703" t="str">
        <f>"80209972"</f>
        <v>80209972</v>
      </c>
      <c r="E5703" t="s">
        <v>2793</v>
      </c>
      <c r="F5703" s="1">
        <v>45993</v>
      </c>
      <c r="G5703" t="str">
        <f>"300381"</f>
        <v>300381</v>
      </c>
      <c r="H5703" t="s">
        <v>3118</v>
      </c>
      <c r="I5703">
        <v>333907.20000000001</v>
      </c>
    </row>
    <row r="5704" spans="1:9" x14ac:dyDescent="0.25">
      <c r="A5704" t="s">
        <v>9616</v>
      </c>
      <c r="C5704" t="s">
        <v>9617</v>
      </c>
      <c r="D5704" t="s">
        <v>12860</v>
      </c>
      <c r="E5704" t="s">
        <v>2602</v>
      </c>
      <c r="F5704" s="1">
        <v>45994</v>
      </c>
      <c r="G5704" t="str">
        <f>"300064"</f>
        <v>300064</v>
      </c>
      <c r="H5704" t="s">
        <v>2896</v>
      </c>
      <c r="I5704">
        <v>175840</v>
      </c>
    </row>
    <row r="5705" spans="1:9" x14ac:dyDescent="0.25">
      <c r="A5705" t="s">
        <v>9616</v>
      </c>
      <c r="C5705" t="s">
        <v>9617</v>
      </c>
      <c r="D5705" t="s">
        <v>12861</v>
      </c>
      <c r="E5705" t="s">
        <v>12862</v>
      </c>
      <c r="F5705" s="1">
        <v>45994</v>
      </c>
      <c r="G5705" t="str">
        <f>"300321"</f>
        <v>300321</v>
      </c>
      <c r="H5705" t="s">
        <v>2706</v>
      </c>
      <c r="I5705">
        <v>29209.119999999999</v>
      </c>
    </row>
    <row r="5706" spans="1:9" x14ac:dyDescent="0.25">
      <c r="A5706" t="s">
        <v>9616</v>
      </c>
      <c r="C5706" t="s">
        <v>9617</v>
      </c>
      <c r="D5706" t="str">
        <f>"109412"</f>
        <v>109412</v>
      </c>
      <c r="E5706" t="s">
        <v>12863</v>
      </c>
      <c r="F5706" s="1">
        <v>45995</v>
      </c>
      <c r="G5706" t="str">
        <f>"300043"</f>
        <v>300043</v>
      </c>
      <c r="H5706" t="s">
        <v>2876</v>
      </c>
      <c r="I5706">
        <v>1334</v>
      </c>
    </row>
    <row r="5707" spans="1:9" x14ac:dyDescent="0.25">
      <c r="A5707" t="s">
        <v>9616</v>
      </c>
      <c r="C5707" t="s">
        <v>9617</v>
      </c>
      <c r="D5707" t="str">
        <f>"175044"</f>
        <v>175044</v>
      </c>
      <c r="E5707" t="s">
        <v>12864</v>
      </c>
      <c r="F5707" s="1">
        <v>45995</v>
      </c>
      <c r="G5707" t="str">
        <f>"300043"</f>
        <v>300043</v>
      </c>
      <c r="H5707" t="s">
        <v>2876</v>
      </c>
      <c r="I5707">
        <v>633</v>
      </c>
    </row>
    <row r="5708" spans="1:9" x14ac:dyDescent="0.25">
      <c r="A5708" t="s">
        <v>9616</v>
      </c>
      <c r="C5708" t="s">
        <v>9617</v>
      </c>
      <c r="D5708" t="s">
        <v>12865</v>
      </c>
      <c r="E5708" t="s">
        <v>12866</v>
      </c>
      <c r="F5708" s="1">
        <v>45995</v>
      </c>
      <c r="G5708" t="str">
        <f>"300237"</f>
        <v>300237</v>
      </c>
      <c r="H5708" t="s">
        <v>3036</v>
      </c>
      <c r="I5708">
        <v>80600.63</v>
      </c>
    </row>
    <row r="5709" spans="1:9" x14ac:dyDescent="0.25">
      <c r="A5709" t="s">
        <v>9616</v>
      </c>
      <c r="C5709" t="s">
        <v>9617</v>
      </c>
      <c r="D5709" t="str">
        <f>"109747"</f>
        <v>109747</v>
      </c>
      <c r="E5709" t="s">
        <v>12867</v>
      </c>
      <c r="F5709" s="1">
        <v>45996</v>
      </c>
      <c r="G5709" t="str">
        <f>"300043"</f>
        <v>300043</v>
      </c>
      <c r="H5709" t="s">
        <v>2876</v>
      </c>
      <c r="I5709">
        <v>1308</v>
      </c>
    </row>
    <row r="5710" spans="1:9" x14ac:dyDescent="0.25">
      <c r="A5710" t="s">
        <v>9616</v>
      </c>
      <c r="C5710" t="s">
        <v>9617</v>
      </c>
      <c r="D5710" t="s">
        <v>12868</v>
      </c>
      <c r="E5710" t="s">
        <v>12867</v>
      </c>
      <c r="F5710" s="1">
        <v>45997</v>
      </c>
      <c r="G5710" t="str">
        <f>"300321"</f>
        <v>300321</v>
      </c>
      <c r="H5710" t="s">
        <v>2706</v>
      </c>
      <c r="I5710">
        <v>20900</v>
      </c>
    </row>
    <row r="5711" spans="1:9" x14ac:dyDescent="0.25">
      <c r="A5711" t="s">
        <v>9616</v>
      </c>
      <c r="C5711" t="s">
        <v>9617</v>
      </c>
      <c r="D5711" t="str">
        <f>"15889"</f>
        <v>15889</v>
      </c>
      <c r="E5711" t="s">
        <v>9535</v>
      </c>
      <c r="F5711" s="1">
        <v>45999</v>
      </c>
      <c r="G5711" t="str">
        <f>"300043"</f>
        <v>300043</v>
      </c>
      <c r="H5711" t="s">
        <v>2876</v>
      </c>
      <c r="I5711">
        <v>3909</v>
      </c>
    </row>
    <row r="5712" spans="1:9" x14ac:dyDescent="0.25">
      <c r="A5712" t="s">
        <v>9616</v>
      </c>
      <c r="C5712" t="s">
        <v>9617</v>
      </c>
      <c r="D5712" t="s">
        <v>12869</v>
      </c>
      <c r="E5712" t="s">
        <v>12826</v>
      </c>
      <c r="F5712" s="1">
        <v>46000</v>
      </c>
      <c r="G5712" t="str">
        <f>"300101"</f>
        <v>300101</v>
      </c>
      <c r="H5712" t="s">
        <v>2926</v>
      </c>
      <c r="I5712">
        <v>4137.95</v>
      </c>
    </row>
    <row r="5713" spans="1:9" x14ac:dyDescent="0.25">
      <c r="A5713" t="s">
        <v>9616</v>
      </c>
      <c r="C5713" t="s">
        <v>9617</v>
      </c>
      <c r="D5713" t="s">
        <v>12870</v>
      </c>
      <c r="E5713" t="s">
        <v>12864</v>
      </c>
      <c r="F5713" s="1">
        <v>46000</v>
      </c>
      <c r="G5713" t="str">
        <f>"300191"</f>
        <v>300191</v>
      </c>
      <c r="H5713" t="s">
        <v>3008</v>
      </c>
      <c r="I5713">
        <v>15505.26</v>
      </c>
    </row>
    <row r="5714" spans="1:9" x14ac:dyDescent="0.25">
      <c r="A5714" t="s">
        <v>9616</v>
      </c>
      <c r="C5714" t="s">
        <v>9617</v>
      </c>
      <c r="D5714" t="str">
        <f>"80210316"</f>
        <v>80210316</v>
      </c>
      <c r="E5714" t="s">
        <v>9189</v>
      </c>
      <c r="F5714" s="1">
        <v>46000</v>
      </c>
      <c r="G5714" t="str">
        <f>"300381"</f>
        <v>300381</v>
      </c>
      <c r="H5714" t="s">
        <v>3118</v>
      </c>
      <c r="I5714">
        <v>320184.2611</v>
      </c>
    </row>
    <row r="5715" spans="1:9" x14ac:dyDescent="0.25">
      <c r="A5715" t="s">
        <v>9616</v>
      </c>
      <c r="C5715" t="s">
        <v>9617</v>
      </c>
      <c r="D5715" t="str">
        <f>"183177"</f>
        <v>183177</v>
      </c>
      <c r="E5715" t="s">
        <v>12871</v>
      </c>
      <c r="F5715" s="1">
        <v>46001</v>
      </c>
      <c r="G5715" t="str">
        <f>"300043"</f>
        <v>300043</v>
      </c>
      <c r="H5715" t="s">
        <v>2876</v>
      </c>
      <c r="I5715">
        <v>1638</v>
      </c>
    </row>
    <row r="5716" spans="1:9" x14ac:dyDescent="0.25">
      <c r="A5716" t="s">
        <v>9616</v>
      </c>
      <c r="C5716" t="s">
        <v>9617</v>
      </c>
      <c r="D5716" t="str">
        <f>"16195"</f>
        <v>16195</v>
      </c>
      <c r="E5716" t="s">
        <v>9535</v>
      </c>
      <c r="F5716" s="1">
        <v>46002</v>
      </c>
      <c r="G5716" t="str">
        <f>"300043"</f>
        <v>300043</v>
      </c>
      <c r="H5716" t="s">
        <v>2876</v>
      </c>
      <c r="I5716">
        <v>2754</v>
      </c>
    </row>
    <row r="5717" spans="1:9" x14ac:dyDescent="0.25">
      <c r="A5717" t="s">
        <v>9616</v>
      </c>
      <c r="C5717" t="s">
        <v>9617</v>
      </c>
      <c r="D5717" t="str">
        <f>"111945"</f>
        <v>111945</v>
      </c>
      <c r="E5717" t="s">
        <v>12872</v>
      </c>
      <c r="F5717" s="1">
        <v>46002</v>
      </c>
      <c r="G5717" t="str">
        <f>"300043"</f>
        <v>300043</v>
      </c>
      <c r="H5717" t="s">
        <v>2876</v>
      </c>
      <c r="I5717">
        <v>1280</v>
      </c>
    </row>
    <row r="5718" spans="1:9" x14ac:dyDescent="0.25">
      <c r="A5718" t="s">
        <v>9616</v>
      </c>
      <c r="C5718" t="s">
        <v>9617</v>
      </c>
      <c r="D5718" t="str">
        <f>"184079"</f>
        <v>184079</v>
      </c>
      <c r="E5718" t="s">
        <v>12873</v>
      </c>
      <c r="F5718" s="1">
        <v>46004</v>
      </c>
      <c r="G5718" t="str">
        <f>"300043"</f>
        <v>300043</v>
      </c>
      <c r="H5718" t="s">
        <v>2876</v>
      </c>
      <c r="I5718">
        <v>637</v>
      </c>
    </row>
    <row r="5719" spans="1:9" x14ac:dyDescent="0.25">
      <c r="A5719" t="s">
        <v>9616</v>
      </c>
      <c r="C5719" t="s">
        <v>9617</v>
      </c>
      <c r="D5719" t="str">
        <f>"184083"</f>
        <v>184083</v>
      </c>
      <c r="E5719" t="s">
        <v>12874</v>
      </c>
      <c r="F5719" s="1">
        <v>46004</v>
      </c>
      <c r="G5719" t="str">
        <f>"300043"</f>
        <v>300043</v>
      </c>
      <c r="H5719" t="s">
        <v>2876</v>
      </c>
      <c r="I5719">
        <v>699</v>
      </c>
    </row>
    <row r="5720" spans="1:9" x14ac:dyDescent="0.25">
      <c r="A5720" t="s">
        <v>9616</v>
      </c>
      <c r="C5720" t="s">
        <v>9617</v>
      </c>
      <c r="D5720" t="s">
        <v>12875</v>
      </c>
      <c r="E5720" t="s">
        <v>12872</v>
      </c>
      <c r="F5720" s="1">
        <v>46004</v>
      </c>
      <c r="G5720" t="str">
        <f>"300321"</f>
        <v>300321</v>
      </c>
      <c r="H5720" t="s">
        <v>2706</v>
      </c>
      <c r="I5720">
        <v>28149</v>
      </c>
    </row>
    <row r="5721" spans="1:9" x14ac:dyDescent="0.25">
      <c r="A5721" t="s">
        <v>9616</v>
      </c>
      <c r="C5721" t="s">
        <v>9617</v>
      </c>
      <c r="D5721" t="str">
        <f>"10173405"</f>
        <v>10173405</v>
      </c>
      <c r="E5721" t="s">
        <v>12791</v>
      </c>
      <c r="F5721" s="1">
        <v>46006</v>
      </c>
      <c r="G5721" t="str">
        <f>"300115"</f>
        <v>300115</v>
      </c>
      <c r="H5721" t="s">
        <v>2938</v>
      </c>
      <c r="I5721">
        <v>329160.98599999998</v>
      </c>
    </row>
    <row r="5722" spans="1:9" x14ac:dyDescent="0.25">
      <c r="A5722" t="s">
        <v>9616</v>
      </c>
      <c r="C5722" t="s">
        <v>9617</v>
      </c>
      <c r="D5722" t="s">
        <v>12876</v>
      </c>
      <c r="E5722" t="s">
        <v>12874</v>
      </c>
      <c r="F5722" s="1">
        <v>46006</v>
      </c>
      <c r="G5722" t="str">
        <f>"300191"</f>
        <v>300191</v>
      </c>
      <c r="H5722" t="s">
        <v>3008</v>
      </c>
      <c r="I5722">
        <v>7805.27</v>
      </c>
    </row>
    <row r="5723" spans="1:9" x14ac:dyDescent="0.25">
      <c r="A5723" t="s">
        <v>9616</v>
      </c>
      <c r="C5723" t="s">
        <v>9617</v>
      </c>
      <c r="D5723" t="s">
        <v>12877</v>
      </c>
      <c r="E5723" t="s">
        <v>12871</v>
      </c>
      <c r="F5723" s="1">
        <v>46006</v>
      </c>
      <c r="G5723" t="str">
        <f>"300191"</f>
        <v>300191</v>
      </c>
      <c r="H5723" t="s">
        <v>3008</v>
      </c>
      <c r="I5723">
        <v>18224.89</v>
      </c>
    </row>
    <row r="5724" spans="1:9" x14ac:dyDescent="0.25">
      <c r="A5724" t="s">
        <v>9616</v>
      </c>
      <c r="C5724" t="s">
        <v>9617</v>
      </c>
      <c r="D5724" t="s">
        <v>12878</v>
      </c>
      <c r="E5724" t="s">
        <v>12879</v>
      </c>
      <c r="F5724" s="1">
        <v>46006</v>
      </c>
      <c r="G5724" t="str">
        <f>"300191"</f>
        <v>300191</v>
      </c>
      <c r="H5724" t="s">
        <v>3008</v>
      </c>
      <c r="I5724">
        <v>6974</v>
      </c>
    </row>
    <row r="5725" spans="1:9" x14ac:dyDescent="0.25">
      <c r="A5725" t="s">
        <v>9616</v>
      </c>
      <c r="C5725" t="s">
        <v>9617</v>
      </c>
      <c r="D5725" t="s">
        <v>12880</v>
      </c>
      <c r="E5725" t="s">
        <v>12873</v>
      </c>
      <c r="F5725" s="1">
        <v>46006</v>
      </c>
      <c r="G5725" t="str">
        <f>"300191"</f>
        <v>300191</v>
      </c>
      <c r="H5725" t="s">
        <v>3008</v>
      </c>
      <c r="I5725">
        <v>7596.87</v>
      </c>
    </row>
    <row r="5726" spans="1:9" x14ac:dyDescent="0.25">
      <c r="A5726" t="s">
        <v>9616</v>
      </c>
      <c r="C5726" t="s">
        <v>9617</v>
      </c>
      <c r="D5726" t="str">
        <f>"80210423"</f>
        <v>80210423</v>
      </c>
      <c r="E5726" t="s">
        <v>9438</v>
      </c>
      <c r="F5726" s="1">
        <v>46006</v>
      </c>
      <c r="G5726" t="str">
        <f>"300381"</f>
        <v>300381</v>
      </c>
      <c r="H5726" t="s">
        <v>3118</v>
      </c>
      <c r="I5726">
        <v>360407.45400000003</v>
      </c>
    </row>
    <row r="5727" spans="1:9" x14ac:dyDescent="0.25">
      <c r="A5727" t="s">
        <v>9616</v>
      </c>
      <c r="C5727" t="s">
        <v>9617</v>
      </c>
      <c r="D5727" t="s">
        <v>12881</v>
      </c>
      <c r="E5727" t="s">
        <v>12862</v>
      </c>
      <c r="F5727" s="1">
        <v>46006</v>
      </c>
      <c r="G5727" t="str">
        <f>"300423"</f>
        <v>300423</v>
      </c>
      <c r="H5727" t="s">
        <v>3156</v>
      </c>
      <c r="I5727">
        <v>3314.17</v>
      </c>
    </row>
    <row r="5728" spans="1:9" x14ac:dyDescent="0.25">
      <c r="A5728" t="s">
        <v>9616</v>
      </c>
      <c r="C5728" t="s">
        <v>9617</v>
      </c>
      <c r="D5728" t="s">
        <v>12882</v>
      </c>
      <c r="E5728" t="s">
        <v>12867</v>
      </c>
      <c r="F5728" s="1">
        <v>46006</v>
      </c>
      <c r="G5728" t="str">
        <f>"300423"</f>
        <v>300423</v>
      </c>
      <c r="H5728" t="s">
        <v>3156</v>
      </c>
      <c r="I5728">
        <v>3148.87</v>
      </c>
    </row>
    <row r="5729" spans="1:9" x14ac:dyDescent="0.25">
      <c r="A5729" t="s">
        <v>9616</v>
      </c>
      <c r="C5729" t="s">
        <v>9617</v>
      </c>
      <c r="D5729" t="str">
        <f>"16472"</f>
        <v>16472</v>
      </c>
      <c r="E5729" t="s">
        <v>9535</v>
      </c>
      <c r="F5729" s="1">
        <v>46008</v>
      </c>
      <c r="G5729" t="str">
        <f>"300043"</f>
        <v>300043</v>
      </c>
      <c r="H5729" t="s">
        <v>2876</v>
      </c>
      <c r="I5729">
        <v>3337</v>
      </c>
    </row>
    <row r="5730" spans="1:9" x14ac:dyDescent="0.25">
      <c r="A5730" t="s">
        <v>9616</v>
      </c>
      <c r="C5730" t="s">
        <v>9617</v>
      </c>
      <c r="D5730" t="str">
        <f>"80210659"</f>
        <v>80210659</v>
      </c>
      <c r="E5730" t="s">
        <v>1313</v>
      </c>
      <c r="F5730" s="1">
        <v>46008</v>
      </c>
      <c r="G5730" t="str">
        <f>"300381"</f>
        <v>300381</v>
      </c>
      <c r="H5730" t="s">
        <v>3118</v>
      </c>
      <c r="I5730">
        <v>341420.11200000002</v>
      </c>
    </row>
    <row r="5731" spans="1:9" x14ac:dyDescent="0.25">
      <c r="A5731" t="s">
        <v>9616</v>
      </c>
      <c r="C5731" t="s">
        <v>9617</v>
      </c>
      <c r="D5731" t="s">
        <v>12883</v>
      </c>
      <c r="E5731" t="s">
        <v>12872</v>
      </c>
      <c r="F5731" s="1">
        <v>46008</v>
      </c>
      <c r="G5731" t="str">
        <f>"300423"</f>
        <v>300423</v>
      </c>
      <c r="H5731" t="s">
        <v>3156</v>
      </c>
      <c r="I5731">
        <v>3152.11</v>
      </c>
    </row>
    <row r="5732" spans="1:9" x14ac:dyDescent="0.25">
      <c r="A5732" t="s">
        <v>9616</v>
      </c>
      <c r="C5732" t="s">
        <v>9617</v>
      </c>
      <c r="D5732" t="str">
        <f>"80210719"</f>
        <v>80210719</v>
      </c>
      <c r="E5732" t="s">
        <v>1313</v>
      </c>
      <c r="F5732" s="1">
        <v>46010</v>
      </c>
      <c r="G5732" t="str">
        <f>"300381"</f>
        <v>300381</v>
      </c>
      <c r="H5732" t="s">
        <v>3118</v>
      </c>
      <c r="I5732">
        <v>335576.73599999998</v>
      </c>
    </row>
    <row r="5733" spans="1:9" x14ac:dyDescent="0.25">
      <c r="A5733" t="s">
        <v>9616</v>
      </c>
      <c r="C5733" t="s">
        <v>9617</v>
      </c>
      <c r="D5733" t="str">
        <f>"80210720"</f>
        <v>80210720</v>
      </c>
      <c r="E5733" t="s">
        <v>1313</v>
      </c>
      <c r="F5733" s="1">
        <v>46010</v>
      </c>
      <c r="G5733" t="str">
        <f>"300381"</f>
        <v>300381</v>
      </c>
      <c r="H5733" t="s">
        <v>3118</v>
      </c>
      <c r="I5733">
        <v>335576.73599999998</v>
      </c>
    </row>
    <row r="5734" spans="1:9" x14ac:dyDescent="0.25">
      <c r="A5734" t="s">
        <v>9616</v>
      </c>
      <c r="C5734" t="s">
        <v>9617</v>
      </c>
      <c r="D5734" t="str">
        <f>"80210773"</f>
        <v>80210773</v>
      </c>
      <c r="E5734" t="s">
        <v>12884</v>
      </c>
      <c r="F5734" s="1">
        <v>46010</v>
      </c>
      <c r="G5734" t="str">
        <f>"300381"</f>
        <v>300381</v>
      </c>
      <c r="H5734" t="s">
        <v>3118</v>
      </c>
      <c r="I5734">
        <v>361798.272</v>
      </c>
    </row>
    <row r="5735" spans="1:9" x14ac:dyDescent="0.25">
      <c r="A5735" t="s">
        <v>9616</v>
      </c>
      <c r="C5735" t="s">
        <v>9617</v>
      </c>
      <c r="D5735" t="str">
        <f>"16673"</f>
        <v>16673</v>
      </c>
      <c r="E5735" t="s">
        <v>9535</v>
      </c>
      <c r="F5735" s="1">
        <v>46013</v>
      </c>
      <c r="G5735" t="str">
        <f>"300043"</f>
        <v>300043</v>
      </c>
      <c r="H5735" t="s">
        <v>2876</v>
      </c>
      <c r="I5735">
        <v>3017</v>
      </c>
    </row>
    <row r="5736" spans="1:9" x14ac:dyDescent="0.25">
      <c r="A5736" t="s">
        <v>9616</v>
      </c>
      <c r="C5736" t="s">
        <v>9617</v>
      </c>
      <c r="D5736" t="str">
        <f>"115318"</f>
        <v>115318</v>
      </c>
      <c r="E5736" t="s">
        <v>12885</v>
      </c>
      <c r="F5736" s="1">
        <v>46013</v>
      </c>
      <c r="G5736" t="str">
        <f>"300043"</f>
        <v>300043</v>
      </c>
      <c r="H5736" t="s">
        <v>2876</v>
      </c>
      <c r="I5736">
        <v>1411</v>
      </c>
    </row>
    <row r="5737" spans="1:9" x14ac:dyDescent="0.25">
      <c r="A5737" t="s">
        <v>9616</v>
      </c>
      <c r="C5737" t="s">
        <v>9617</v>
      </c>
      <c r="D5737" t="str">
        <f>"115940"</f>
        <v>115940</v>
      </c>
      <c r="E5737" t="s">
        <v>12886</v>
      </c>
      <c r="F5737" s="1">
        <v>46014</v>
      </c>
      <c r="G5737" t="str">
        <f>"300043"</f>
        <v>300043</v>
      </c>
      <c r="H5737" t="s">
        <v>2876</v>
      </c>
      <c r="I5737">
        <v>1341</v>
      </c>
    </row>
    <row r="5738" spans="1:9" x14ac:dyDescent="0.25">
      <c r="A5738" t="s">
        <v>9616</v>
      </c>
      <c r="C5738" t="s">
        <v>9617</v>
      </c>
      <c r="D5738" t="s">
        <v>12887</v>
      </c>
      <c r="E5738" t="s">
        <v>12885</v>
      </c>
      <c r="F5738" s="1">
        <v>46015</v>
      </c>
      <c r="G5738" t="str">
        <f>"300423"</f>
        <v>300423</v>
      </c>
      <c r="H5738" t="s">
        <v>3156</v>
      </c>
      <c r="I5738">
        <v>3483.2</v>
      </c>
    </row>
    <row r="5739" spans="1:9" x14ac:dyDescent="0.25">
      <c r="A5739" t="s">
        <v>9616</v>
      </c>
      <c r="C5739" t="s">
        <v>9617</v>
      </c>
      <c r="D5739" t="str">
        <f>"16835"</f>
        <v>16835</v>
      </c>
      <c r="E5739" t="s">
        <v>9535</v>
      </c>
      <c r="F5739" s="1">
        <v>46016</v>
      </c>
      <c r="G5739" t="str">
        <f>"300043"</f>
        <v>300043</v>
      </c>
      <c r="H5739" t="s">
        <v>2876</v>
      </c>
      <c r="I5739">
        <v>3223</v>
      </c>
    </row>
    <row r="5740" spans="1:9" x14ac:dyDescent="0.25">
      <c r="A5740" t="s">
        <v>9616</v>
      </c>
      <c r="C5740" t="s">
        <v>9617</v>
      </c>
      <c r="D5740" t="str">
        <f>"117061"</f>
        <v>117061</v>
      </c>
      <c r="E5740" t="s">
        <v>12888</v>
      </c>
      <c r="F5740" s="1">
        <v>46016</v>
      </c>
      <c r="G5740" t="str">
        <f>"300043"</f>
        <v>300043</v>
      </c>
      <c r="H5740" t="s">
        <v>2876</v>
      </c>
      <c r="I5740">
        <v>1240</v>
      </c>
    </row>
    <row r="5741" spans="1:9" x14ac:dyDescent="0.25">
      <c r="A5741" t="s">
        <v>9616</v>
      </c>
      <c r="C5741" t="s">
        <v>9617</v>
      </c>
      <c r="D5741" t="s">
        <v>12889</v>
      </c>
      <c r="E5741" t="s">
        <v>9562</v>
      </c>
      <c r="F5741" s="1">
        <v>46018</v>
      </c>
      <c r="G5741" t="str">
        <f>"300133"</f>
        <v>300133</v>
      </c>
      <c r="H5741" t="s">
        <v>2955</v>
      </c>
      <c r="I5741">
        <v>34924</v>
      </c>
    </row>
    <row r="5742" spans="1:9" x14ac:dyDescent="0.25">
      <c r="A5742" t="s">
        <v>9616</v>
      </c>
      <c r="C5742" t="s">
        <v>9617</v>
      </c>
      <c r="D5742" t="s">
        <v>12890</v>
      </c>
      <c r="E5742" t="s">
        <v>12886</v>
      </c>
      <c r="F5742" s="1">
        <v>46018</v>
      </c>
      <c r="G5742" t="str">
        <f>"300423"</f>
        <v>300423</v>
      </c>
      <c r="H5742" t="s">
        <v>3156</v>
      </c>
      <c r="I5742">
        <v>3152.11</v>
      </c>
    </row>
    <row r="5743" spans="1:9" x14ac:dyDescent="0.25">
      <c r="A5743" t="s">
        <v>9616</v>
      </c>
      <c r="C5743" t="s">
        <v>9617</v>
      </c>
      <c r="D5743" t="str">
        <f>"117776"</f>
        <v>117776</v>
      </c>
      <c r="E5743" t="s">
        <v>12891</v>
      </c>
      <c r="F5743" s="1">
        <v>46020</v>
      </c>
      <c r="G5743" t="str">
        <f>"300043"</f>
        <v>300043</v>
      </c>
      <c r="H5743" t="s">
        <v>2876</v>
      </c>
      <c r="I5743">
        <v>1322</v>
      </c>
    </row>
    <row r="5744" spans="1:9" x14ac:dyDescent="0.25">
      <c r="A5744" t="s">
        <v>9616</v>
      </c>
      <c r="C5744" t="s">
        <v>9617</v>
      </c>
      <c r="D5744" t="str">
        <f>"117830"</f>
        <v>117830</v>
      </c>
      <c r="E5744" t="s">
        <v>12892</v>
      </c>
      <c r="F5744" s="1">
        <v>46020</v>
      </c>
      <c r="G5744" t="str">
        <f>"300043"</f>
        <v>300043</v>
      </c>
      <c r="H5744" t="s">
        <v>2876</v>
      </c>
      <c r="I5744">
        <v>1322</v>
      </c>
    </row>
    <row r="5745" spans="1:9" x14ac:dyDescent="0.25">
      <c r="A5745" t="s">
        <v>9616</v>
      </c>
      <c r="C5745" t="s">
        <v>9617</v>
      </c>
      <c r="D5745" t="str">
        <f>"17158"</f>
        <v>17158</v>
      </c>
      <c r="E5745" t="s">
        <v>9535</v>
      </c>
      <c r="F5745" s="1">
        <v>46021</v>
      </c>
      <c r="G5745" t="str">
        <f>"300043"</f>
        <v>300043</v>
      </c>
      <c r="H5745" t="s">
        <v>2876</v>
      </c>
      <c r="I5745">
        <v>4739</v>
      </c>
    </row>
    <row r="5746" spans="1:9" x14ac:dyDescent="0.25">
      <c r="A5746" t="s">
        <v>9616</v>
      </c>
      <c r="C5746" t="s">
        <v>9617</v>
      </c>
      <c r="D5746" t="str">
        <f>"118378"</f>
        <v>118378</v>
      </c>
      <c r="E5746" t="s">
        <v>12893</v>
      </c>
      <c r="F5746" s="1">
        <v>46021</v>
      </c>
      <c r="G5746" t="str">
        <f>"300043"</f>
        <v>300043</v>
      </c>
      <c r="H5746" t="s">
        <v>2876</v>
      </c>
      <c r="I5746">
        <v>1405</v>
      </c>
    </row>
    <row r="5747" spans="1:9" x14ac:dyDescent="0.25">
      <c r="A5747" t="s">
        <v>9616</v>
      </c>
      <c r="C5747" t="s">
        <v>9617</v>
      </c>
      <c r="D5747" t="str">
        <f>"55802"</f>
        <v>55802</v>
      </c>
      <c r="E5747" t="s">
        <v>2793</v>
      </c>
      <c r="F5747" s="1">
        <v>46021</v>
      </c>
      <c r="G5747" t="str">
        <f>"300416"</f>
        <v>300416</v>
      </c>
      <c r="H5747" t="s">
        <v>3150</v>
      </c>
      <c r="I5747">
        <v>80735.820000000007</v>
      </c>
    </row>
    <row r="5748" spans="1:9" x14ac:dyDescent="0.25">
      <c r="A5748" t="s">
        <v>9616</v>
      </c>
      <c r="C5748" t="s">
        <v>9617</v>
      </c>
      <c r="D5748" t="s">
        <v>12894</v>
      </c>
      <c r="E5748" t="s">
        <v>12888</v>
      </c>
      <c r="F5748" s="1">
        <v>46022</v>
      </c>
      <c r="G5748" t="str">
        <f>"300101"</f>
        <v>300101</v>
      </c>
      <c r="H5748" t="s">
        <v>2926</v>
      </c>
      <c r="I5748">
        <v>4142.9399999999996</v>
      </c>
    </row>
    <row r="5749" spans="1:9" x14ac:dyDescent="0.25">
      <c r="A5749" t="s">
        <v>9616</v>
      </c>
      <c r="C5749" t="s">
        <v>9617</v>
      </c>
      <c r="D5749" t="s">
        <v>12895</v>
      </c>
      <c r="E5749" t="s">
        <v>10230</v>
      </c>
      <c r="F5749" s="1">
        <v>46022</v>
      </c>
      <c r="G5749" t="str">
        <f>"300237"</f>
        <v>300237</v>
      </c>
      <c r="H5749" t="s">
        <v>3036</v>
      </c>
      <c r="I5749">
        <v>103366.56</v>
      </c>
    </row>
    <row r="5750" spans="1:9" x14ac:dyDescent="0.25">
      <c r="A5750" t="s">
        <v>9616</v>
      </c>
      <c r="C5750" t="s">
        <v>9617</v>
      </c>
      <c r="D5750" t="str">
        <f>"1900000069"</f>
        <v>1900000069</v>
      </c>
      <c r="E5750" t="s">
        <v>10528</v>
      </c>
      <c r="F5750" s="1">
        <v>46022</v>
      </c>
      <c r="G5750" t="str">
        <f>"300381"</f>
        <v>300381</v>
      </c>
      <c r="H5750" t="s">
        <v>3118</v>
      </c>
      <c r="I5750">
        <v>1968628.31</v>
      </c>
    </row>
    <row r="5751" spans="1:9" x14ac:dyDescent="0.25">
      <c r="A5751" t="s">
        <v>9616</v>
      </c>
      <c r="C5751" t="s">
        <v>9617</v>
      </c>
      <c r="D5751" t="s">
        <v>12896</v>
      </c>
      <c r="E5751" t="s">
        <v>12891</v>
      </c>
      <c r="F5751" s="1">
        <v>46022</v>
      </c>
      <c r="G5751" t="str">
        <f>"300423"</f>
        <v>300423</v>
      </c>
      <c r="H5751" t="s">
        <v>3156</v>
      </c>
      <c r="I5751">
        <v>3979.85</v>
      </c>
    </row>
    <row r="5752" spans="1:9" x14ac:dyDescent="0.25">
      <c r="A5752" t="s">
        <v>9616</v>
      </c>
      <c r="C5752" t="s">
        <v>9617</v>
      </c>
      <c r="D5752" t="s">
        <v>12897</v>
      </c>
      <c r="E5752" t="s">
        <v>12892</v>
      </c>
      <c r="F5752" s="1">
        <v>46022</v>
      </c>
      <c r="G5752" t="str">
        <f>"300423"</f>
        <v>300423</v>
      </c>
      <c r="H5752" t="s">
        <v>3156</v>
      </c>
      <c r="I5752">
        <v>3979.85</v>
      </c>
    </row>
    <row r="5753" spans="1:9" x14ac:dyDescent="0.25">
      <c r="A5753" t="s">
        <v>9616</v>
      </c>
      <c r="C5753" t="s">
        <v>9617</v>
      </c>
      <c r="D5753" t="s">
        <v>12898</v>
      </c>
      <c r="E5753" t="s">
        <v>12893</v>
      </c>
      <c r="F5753" s="1">
        <v>46022</v>
      </c>
      <c r="G5753" t="str">
        <f>"300423"</f>
        <v>300423</v>
      </c>
      <c r="H5753" t="s">
        <v>3156</v>
      </c>
      <c r="I5753">
        <v>5249.04</v>
      </c>
    </row>
    <row r="5754" spans="1:9" x14ac:dyDescent="0.25">
      <c r="A5754" t="s">
        <v>9616</v>
      </c>
      <c r="C5754" t="s">
        <v>9617</v>
      </c>
      <c r="D5754" t="str">
        <f>"1048"</f>
        <v>1048</v>
      </c>
      <c r="E5754" t="s">
        <v>12899</v>
      </c>
      <c r="F5754" s="1">
        <v>46027</v>
      </c>
      <c r="G5754" t="str">
        <f>"300043"</f>
        <v>300043</v>
      </c>
      <c r="H5754" t="s">
        <v>2876</v>
      </c>
      <c r="I5754">
        <v>532</v>
      </c>
    </row>
    <row r="5755" spans="1:9" x14ac:dyDescent="0.25">
      <c r="A5755" t="s">
        <v>9616</v>
      </c>
      <c r="C5755" t="s">
        <v>9617</v>
      </c>
      <c r="D5755" t="s">
        <v>12900</v>
      </c>
      <c r="E5755" t="s">
        <v>12899</v>
      </c>
      <c r="F5755" s="1">
        <v>46030</v>
      </c>
      <c r="G5755" t="str">
        <f>"300191"</f>
        <v>300191</v>
      </c>
      <c r="H5755" t="s">
        <v>3008</v>
      </c>
      <c r="I5755">
        <v>8813.24</v>
      </c>
    </row>
    <row r="5756" spans="1:9" x14ac:dyDescent="0.25">
      <c r="A5756" t="s">
        <v>9616</v>
      </c>
      <c r="C5756" t="s">
        <v>9617</v>
      </c>
      <c r="D5756" t="s">
        <v>12901</v>
      </c>
      <c r="E5756" t="s">
        <v>9438</v>
      </c>
      <c r="F5756" s="1">
        <v>46030</v>
      </c>
      <c r="G5756" t="str">
        <f>"300220"</f>
        <v>300220</v>
      </c>
      <c r="H5756" t="s">
        <v>2170</v>
      </c>
      <c r="I5756">
        <v>1141118.352</v>
      </c>
    </row>
    <row r="5757" spans="1:9" x14ac:dyDescent="0.25">
      <c r="A5757" t="s">
        <v>9616</v>
      </c>
      <c r="C5757" t="s">
        <v>9617</v>
      </c>
      <c r="D5757" t="s">
        <v>12902</v>
      </c>
      <c r="E5757" t="s">
        <v>12885</v>
      </c>
      <c r="F5757" s="1">
        <v>46030</v>
      </c>
      <c r="G5757" t="str">
        <f>"300321"</f>
        <v>300321</v>
      </c>
      <c r="H5757" t="s">
        <v>2706</v>
      </c>
      <c r="I5757">
        <v>31850</v>
      </c>
    </row>
    <row r="5758" spans="1:9" x14ac:dyDescent="0.25">
      <c r="A5758" t="s">
        <v>9616</v>
      </c>
      <c r="C5758" t="s">
        <v>9617</v>
      </c>
      <c r="D5758" t="s">
        <v>12903</v>
      </c>
      <c r="E5758" t="s">
        <v>12886</v>
      </c>
      <c r="F5758" s="1">
        <v>46030</v>
      </c>
      <c r="G5758" t="str">
        <f>"300321"</f>
        <v>300321</v>
      </c>
      <c r="H5758" t="s">
        <v>2706</v>
      </c>
      <c r="I5758">
        <v>28600</v>
      </c>
    </row>
    <row r="5759" spans="1:9" x14ac:dyDescent="0.25">
      <c r="A5759" t="s">
        <v>9616</v>
      </c>
      <c r="C5759" t="s">
        <v>9617</v>
      </c>
      <c r="D5759" t="s">
        <v>12904</v>
      </c>
      <c r="E5759" t="s">
        <v>12905</v>
      </c>
      <c r="F5759" s="1">
        <v>46031</v>
      </c>
      <c r="G5759" t="str">
        <f>"300338"</f>
        <v>300338</v>
      </c>
      <c r="H5759" t="s">
        <v>3078</v>
      </c>
      <c r="I5759">
        <v>84623</v>
      </c>
    </row>
    <row r="5760" spans="1:9" x14ac:dyDescent="0.25">
      <c r="A5760" t="s">
        <v>9616</v>
      </c>
      <c r="C5760" t="s">
        <v>9617</v>
      </c>
      <c r="D5760" t="str">
        <f>"80211184"</f>
        <v>80211184</v>
      </c>
      <c r="E5760" t="s">
        <v>9566</v>
      </c>
      <c r="F5760" s="1">
        <v>46031</v>
      </c>
      <c r="G5760" t="str">
        <f>"300381"</f>
        <v>300381</v>
      </c>
      <c r="H5760" t="s">
        <v>3118</v>
      </c>
      <c r="I5760">
        <v>333907.20000000001</v>
      </c>
    </row>
    <row r="5761" spans="1:9" x14ac:dyDescent="0.25">
      <c r="A5761" t="s">
        <v>9616</v>
      </c>
      <c r="C5761" t="s">
        <v>9617</v>
      </c>
      <c r="D5761" t="str">
        <f>"80211213"</f>
        <v>80211213</v>
      </c>
      <c r="E5761" t="s">
        <v>8852</v>
      </c>
      <c r="F5761" s="1">
        <v>46031</v>
      </c>
      <c r="G5761" t="str">
        <f>"300381"</f>
        <v>300381</v>
      </c>
      <c r="H5761" t="s">
        <v>3118</v>
      </c>
      <c r="I5761">
        <v>368930.62800000003</v>
      </c>
    </row>
    <row r="5762" spans="1:9" x14ac:dyDescent="0.25">
      <c r="A5762" t="s">
        <v>9616</v>
      </c>
      <c r="C5762" t="s">
        <v>9617</v>
      </c>
      <c r="D5762" t="str">
        <f>"80211222"</f>
        <v>80211222</v>
      </c>
      <c r="E5762" t="s">
        <v>9566</v>
      </c>
      <c r="F5762" s="1">
        <v>46031</v>
      </c>
      <c r="G5762" t="str">
        <f>"300381"</f>
        <v>300381</v>
      </c>
      <c r="H5762" t="s">
        <v>3118</v>
      </c>
      <c r="I5762">
        <v>333907.20000000001</v>
      </c>
    </row>
    <row r="5763" spans="1:9" x14ac:dyDescent="0.25">
      <c r="A5763" t="s">
        <v>9616</v>
      </c>
      <c r="C5763" t="s">
        <v>9617</v>
      </c>
      <c r="D5763" t="str">
        <f>"2472"</f>
        <v>2472</v>
      </c>
      <c r="E5763" t="s">
        <v>12906</v>
      </c>
      <c r="F5763" s="1">
        <v>46034</v>
      </c>
      <c r="G5763" t="str">
        <f>"300043"</f>
        <v>300043</v>
      </c>
      <c r="H5763" t="s">
        <v>2876</v>
      </c>
      <c r="I5763">
        <v>1308</v>
      </c>
    </row>
    <row r="5764" spans="1:9" x14ac:dyDescent="0.25">
      <c r="A5764" t="s">
        <v>9616</v>
      </c>
      <c r="C5764" t="s">
        <v>9617</v>
      </c>
      <c r="D5764" t="str">
        <f>"2591"</f>
        <v>2591</v>
      </c>
      <c r="E5764" t="s">
        <v>12907</v>
      </c>
      <c r="F5764" s="1">
        <v>46034</v>
      </c>
      <c r="G5764" t="str">
        <f>"300043"</f>
        <v>300043</v>
      </c>
      <c r="H5764" t="s">
        <v>2876</v>
      </c>
      <c r="I5764">
        <v>1308</v>
      </c>
    </row>
    <row r="5765" spans="1:9" x14ac:dyDescent="0.25">
      <c r="A5765" t="s">
        <v>9616</v>
      </c>
      <c r="C5765" t="s">
        <v>9617</v>
      </c>
      <c r="D5765" t="str">
        <f>"2618"</f>
        <v>2618</v>
      </c>
      <c r="E5765" t="s">
        <v>12908</v>
      </c>
      <c r="F5765" s="1">
        <v>46034</v>
      </c>
      <c r="G5765" t="str">
        <f>"300043"</f>
        <v>300043</v>
      </c>
      <c r="H5765" t="s">
        <v>2876</v>
      </c>
      <c r="I5765">
        <v>1423</v>
      </c>
    </row>
    <row r="5766" spans="1:9" x14ac:dyDescent="0.25">
      <c r="A5766" t="s">
        <v>9616</v>
      </c>
      <c r="C5766" t="s">
        <v>9617</v>
      </c>
      <c r="D5766" t="str">
        <f>"55487"</f>
        <v>55487</v>
      </c>
      <c r="E5766" t="s">
        <v>11471</v>
      </c>
      <c r="F5766" s="1">
        <v>46034</v>
      </c>
      <c r="G5766" t="str">
        <f>"300043"</f>
        <v>300043</v>
      </c>
      <c r="H5766" t="s">
        <v>2876</v>
      </c>
      <c r="I5766">
        <v>2920</v>
      </c>
    </row>
    <row r="5767" spans="1:9" x14ac:dyDescent="0.25">
      <c r="A5767" t="s">
        <v>9616</v>
      </c>
      <c r="C5767" t="s">
        <v>9617</v>
      </c>
      <c r="D5767" t="s">
        <v>12909</v>
      </c>
      <c r="E5767" t="s">
        <v>10092</v>
      </c>
      <c r="F5767" s="1">
        <v>46034</v>
      </c>
      <c r="G5767" t="str">
        <f>"300133"</f>
        <v>300133</v>
      </c>
      <c r="H5767" t="s">
        <v>2955</v>
      </c>
      <c r="I5767">
        <v>17353.73</v>
      </c>
    </row>
    <row r="5768" spans="1:9" x14ac:dyDescent="0.25">
      <c r="A5768" t="s">
        <v>9616</v>
      </c>
      <c r="C5768" t="s">
        <v>9617</v>
      </c>
      <c r="D5768" t="s">
        <v>12910</v>
      </c>
      <c r="E5768" t="s">
        <v>9562</v>
      </c>
      <c r="F5768" s="1">
        <v>46034</v>
      </c>
      <c r="G5768" t="str">
        <f>"300133"</f>
        <v>300133</v>
      </c>
      <c r="H5768" t="s">
        <v>2955</v>
      </c>
      <c r="I5768">
        <v>45648</v>
      </c>
    </row>
    <row r="5769" spans="1:9" x14ac:dyDescent="0.25">
      <c r="A5769" t="s">
        <v>9616</v>
      </c>
      <c r="C5769" t="s">
        <v>9617</v>
      </c>
      <c r="D5769" t="s">
        <v>12911</v>
      </c>
      <c r="E5769" t="s">
        <v>12906</v>
      </c>
      <c r="F5769" s="1">
        <v>46034</v>
      </c>
      <c r="G5769" t="str">
        <f>"300321"</f>
        <v>300321</v>
      </c>
      <c r="H5769" t="s">
        <v>2706</v>
      </c>
      <c r="I5769">
        <v>24700</v>
      </c>
    </row>
    <row r="5770" spans="1:9" x14ac:dyDescent="0.25">
      <c r="A5770" t="s">
        <v>9616</v>
      </c>
      <c r="C5770" t="s">
        <v>9617</v>
      </c>
      <c r="D5770" t="str">
        <f>"80211185"</f>
        <v>80211185</v>
      </c>
      <c r="E5770" t="s">
        <v>12912</v>
      </c>
      <c r="F5770" s="1">
        <v>46034</v>
      </c>
      <c r="G5770" t="str">
        <f>"300381"</f>
        <v>300381</v>
      </c>
      <c r="H5770" t="s">
        <v>3118</v>
      </c>
      <c r="I5770">
        <v>333907.20000000001</v>
      </c>
    </row>
    <row r="5771" spans="1:9" x14ac:dyDescent="0.25">
      <c r="A5771" t="s">
        <v>9616</v>
      </c>
      <c r="C5771" t="s">
        <v>9617</v>
      </c>
      <c r="D5771" t="str">
        <f>"80211347"</f>
        <v>80211347</v>
      </c>
      <c r="E5771" t="s">
        <v>9566</v>
      </c>
      <c r="F5771" s="1">
        <v>46034</v>
      </c>
      <c r="G5771" t="str">
        <f>"300381"</f>
        <v>300381</v>
      </c>
      <c r="H5771" t="s">
        <v>3118</v>
      </c>
      <c r="I5771">
        <v>333907.20000000001</v>
      </c>
    </row>
    <row r="5772" spans="1:9" x14ac:dyDescent="0.25">
      <c r="A5772" t="s">
        <v>9616</v>
      </c>
      <c r="C5772" t="s">
        <v>9617</v>
      </c>
      <c r="D5772" t="s">
        <v>12913</v>
      </c>
      <c r="E5772" t="s">
        <v>9565</v>
      </c>
      <c r="F5772" s="1">
        <v>46035</v>
      </c>
      <c r="G5772" t="str">
        <f>"300133"</f>
        <v>300133</v>
      </c>
      <c r="H5772" t="s">
        <v>2955</v>
      </c>
      <c r="I5772">
        <v>32670</v>
      </c>
    </row>
    <row r="5773" spans="1:9" x14ac:dyDescent="0.25">
      <c r="A5773" t="s">
        <v>9616</v>
      </c>
      <c r="C5773" t="s">
        <v>9617</v>
      </c>
      <c r="D5773" t="str">
        <f>"80211375"</f>
        <v>80211375</v>
      </c>
      <c r="E5773" t="s">
        <v>9566</v>
      </c>
      <c r="F5773" s="1">
        <v>46035</v>
      </c>
      <c r="G5773" t="str">
        <f>"300381"</f>
        <v>300381</v>
      </c>
      <c r="H5773" t="s">
        <v>3118</v>
      </c>
      <c r="I5773">
        <v>333907.20000000001</v>
      </c>
    </row>
    <row r="5774" spans="1:9" x14ac:dyDescent="0.25">
      <c r="A5774" t="s">
        <v>9616</v>
      </c>
      <c r="C5774" t="s">
        <v>9617</v>
      </c>
      <c r="D5774" t="s">
        <v>12914</v>
      </c>
      <c r="E5774" t="s">
        <v>12908</v>
      </c>
      <c r="F5774" s="1">
        <v>46036</v>
      </c>
      <c r="G5774" t="str">
        <f>"300321"</f>
        <v>300321</v>
      </c>
      <c r="H5774" t="s">
        <v>2706</v>
      </c>
      <c r="I5774">
        <v>24700</v>
      </c>
    </row>
    <row r="5775" spans="1:9" x14ac:dyDescent="0.25">
      <c r="A5775" t="s">
        <v>9616</v>
      </c>
      <c r="C5775" t="s">
        <v>9617</v>
      </c>
      <c r="D5775" t="s">
        <v>12915</v>
      </c>
      <c r="E5775" t="s">
        <v>12907</v>
      </c>
      <c r="F5775" s="1">
        <v>46036</v>
      </c>
      <c r="G5775" t="str">
        <f>"300321"</f>
        <v>300321</v>
      </c>
      <c r="H5775" t="s">
        <v>2706</v>
      </c>
      <c r="I5775">
        <v>24700</v>
      </c>
    </row>
    <row r="5776" spans="1:9" x14ac:dyDescent="0.25">
      <c r="A5776" t="s">
        <v>9616</v>
      </c>
      <c r="C5776" t="s">
        <v>9617</v>
      </c>
      <c r="D5776" t="s">
        <v>12916</v>
      </c>
      <c r="E5776" t="s">
        <v>12917</v>
      </c>
      <c r="F5776" s="1">
        <v>46036</v>
      </c>
      <c r="G5776" t="str">
        <f>"300321"</f>
        <v>300321</v>
      </c>
      <c r="H5776" t="s">
        <v>2706</v>
      </c>
      <c r="I5776">
        <v>24700</v>
      </c>
    </row>
    <row r="5777" spans="1:9" x14ac:dyDescent="0.25">
      <c r="A5777" t="s">
        <v>9616</v>
      </c>
      <c r="C5777" t="s">
        <v>9617</v>
      </c>
      <c r="D5777" t="s">
        <v>12918</v>
      </c>
      <c r="E5777" t="s">
        <v>12919</v>
      </c>
      <c r="F5777" s="1">
        <v>46036</v>
      </c>
      <c r="G5777" t="str">
        <f>"300321"</f>
        <v>300321</v>
      </c>
      <c r="H5777" t="s">
        <v>2706</v>
      </c>
      <c r="I5777">
        <v>24700</v>
      </c>
    </row>
    <row r="5778" spans="1:9" x14ac:dyDescent="0.25">
      <c r="A5778" t="s">
        <v>9616</v>
      </c>
      <c r="C5778" t="s">
        <v>9617</v>
      </c>
      <c r="D5778" t="s">
        <v>12920</v>
      </c>
      <c r="E5778" t="s">
        <v>12921</v>
      </c>
      <c r="F5778" s="1">
        <v>46036</v>
      </c>
      <c r="G5778" t="str">
        <f>"300321"</f>
        <v>300321</v>
      </c>
      <c r="H5778" t="s">
        <v>2706</v>
      </c>
      <c r="I5778">
        <v>24700</v>
      </c>
    </row>
    <row r="5779" spans="1:9" x14ac:dyDescent="0.25">
      <c r="A5779" t="s">
        <v>9616</v>
      </c>
      <c r="C5779" t="s">
        <v>9617</v>
      </c>
      <c r="D5779" t="str">
        <f>"80211331"</f>
        <v>80211331</v>
      </c>
      <c r="E5779" t="s">
        <v>8852</v>
      </c>
      <c r="F5779" s="1">
        <v>46036</v>
      </c>
      <c r="G5779" t="str">
        <f>"300381"</f>
        <v>300381</v>
      </c>
      <c r="H5779" t="s">
        <v>3118</v>
      </c>
      <c r="I5779">
        <v>369725.95439999999</v>
      </c>
    </row>
    <row r="5780" spans="1:9" x14ac:dyDescent="0.25">
      <c r="A5780" t="s">
        <v>9616</v>
      </c>
      <c r="C5780" t="s">
        <v>9617</v>
      </c>
      <c r="D5780" t="str">
        <f>"3507"</f>
        <v>3507</v>
      </c>
      <c r="E5780" t="s">
        <v>12922</v>
      </c>
      <c r="F5780" s="1">
        <v>46037</v>
      </c>
      <c r="G5780" t="str">
        <f>"300043"</f>
        <v>300043</v>
      </c>
      <c r="H5780" t="s">
        <v>2876</v>
      </c>
      <c r="I5780">
        <v>1306</v>
      </c>
    </row>
    <row r="5781" spans="1:9" x14ac:dyDescent="0.25">
      <c r="A5781" t="s">
        <v>9616</v>
      </c>
      <c r="C5781" t="s">
        <v>9617</v>
      </c>
      <c r="D5781" t="str">
        <f>"3703"</f>
        <v>3703</v>
      </c>
      <c r="E5781" t="s">
        <v>12919</v>
      </c>
      <c r="F5781" s="1">
        <v>46037</v>
      </c>
      <c r="G5781" t="str">
        <f>"300043"</f>
        <v>300043</v>
      </c>
      <c r="H5781" t="s">
        <v>2876</v>
      </c>
      <c r="I5781">
        <v>1306</v>
      </c>
    </row>
    <row r="5782" spans="1:9" x14ac:dyDescent="0.25">
      <c r="A5782" t="s">
        <v>9616</v>
      </c>
      <c r="C5782" t="s">
        <v>9617</v>
      </c>
      <c r="D5782" t="s">
        <v>12923</v>
      </c>
      <c r="E5782" t="s">
        <v>9579</v>
      </c>
      <c r="F5782" s="1">
        <v>46037</v>
      </c>
      <c r="G5782" t="str">
        <f>"300133"</f>
        <v>300133</v>
      </c>
      <c r="H5782" t="s">
        <v>2955</v>
      </c>
      <c r="I5782">
        <v>39456.46</v>
      </c>
    </row>
    <row r="5783" spans="1:9" x14ac:dyDescent="0.25">
      <c r="A5783" t="s">
        <v>9616</v>
      </c>
      <c r="C5783" t="s">
        <v>9617</v>
      </c>
      <c r="D5783" t="str">
        <f>"80211459"</f>
        <v>80211459</v>
      </c>
      <c r="E5783" t="s">
        <v>9517</v>
      </c>
      <c r="F5783" s="1">
        <v>46037</v>
      </c>
      <c r="G5783" t="str">
        <f>"300381"</f>
        <v>300381</v>
      </c>
      <c r="H5783" t="s">
        <v>3118</v>
      </c>
      <c r="I5783">
        <v>333907.20000000001</v>
      </c>
    </row>
    <row r="5784" spans="1:9" x14ac:dyDescent="0.25">
      <c r="A5784" t="s">
        <v>9616</v>
      </c>
      <c r="C5784" t="s">
        <v>9617</v>
      </c>
      <c r="D5784" t="str">
        <f>"3911"</f>
        <v>3911</v>
      </c>
      <c r="E5784" t="s">
        <v>12921</v>
      </c>
      <c r="F5784" s="1">
        <v>46038</v>
      </c>
      <c r="G5784" t="str">
        <f>"300043"</f>
        <v>300043</v>
      </c>
      <c r="H5784" t="s">
        <v>2876</v>
      </c>
      <c r="I5784">
        <v>1305</v>
      </c>
    </row>
    <row r="5785" spans="1:9" x14ac:dyDescent="0.25">
      <c r="A5785" t="s">
        <v>9616</v>
      </c>
      <c r="C5785" t="s">
        <v>9617</v>
      </c>
      <c r="D5785" t="s">
        <v>12924</v>
      </c>
      <c r="E5785" t="s">
        <v>12925</v>
      </c>
      <c r="F5785" s="1">
        <v>46038</v>
      </c>
      <c r="G5785" t="str">
        <f>"300133"</f>
        <v>300133</v>
      </c>
      <c r="H5785" t="s">
        <v>2955</v>
      </c>
      <c r="I5785">
        <v>19766.88</v>
      </c>
    </row>
    <row r="5786" spans="1:9" x14ac:dyDescent="0.25">
      <c r="A5786" t="s">
        <v>9616</v>
      </c>
      <c r="C5786" t="s">
        <v>9617</v>
      </c>
      <c r="D5786" t="s">
        <v>12926</v>
      </c>
      <c r="E5786" t="s">
        <v>12927</v>
      </c>
      <c r="F5786" s="1">
        <v>46038</v>
      </c>
      <c r="G5786" t="str">
        <f>"300321"</f>
        <v>300321</v>
      </c>
      <c r="H5786" t="s">
        <v>2706</v>
      </c>
      <c r="I5786">
        <v>24700</v>
      </c>
    </row>
    <row r="5787" spans="1:9" x14ac:dyDescent="0.25">
      <c r="A5787" t="s">
        <v>9616</v>
      </c>
      <c r="C5787" t="s">
        <v>9617</v>
      </c>
      <c r="D5787" t="str">
        <f>"4563"</f>
        <v>4563</v>
      </c>
      <c r="E5787" t="s">
        <v>12928</v>
      </c>
      <c r="F5787" s="1">
        <v>46041</v>
      </c>
      <c r="G5787" t="str">
        <f>"300043"</f>
        <v>300043</v>
      </c>
      <c r="H5787" t="s">
        <v>2876</v>
      </c>
      <c r="I5787">
        <v>1420</v>
      </c>
    </row>
    <row r="5788" spans="1:9" x14ac:dyDescent="0.25">
      <c r="A5788" t="s">
        <v>9616</v>
      </c>
      <c r="C5788" t="s">
        <v>9617</v>
      </c>
      <c r="D5788" t="str">
        <f>"4573"</f>
        <v>4573</v>
      </c>
      <c r="E5788" t="s">
        <v>12927</v>
      </c>
      <c r="F5788" s="1">
        <v>46041</v>
      </c>
      <c r="G5788" t="str">
        <f>"300043"</f>
        <v>300043</v>
      </c>
      <c r="H5788" t="s">
        <v>2876</v>
      </c>
      <c r="I5788">
        <v>1303</v>
      </c>
    </row>
    <row r="5789" spans="1:9" x14ac:dyDescent="0.25">
      <c r="A5789" t="s">
        <v>9616</v>
      </c>
      <c r="C5789" t="s">
        <v>9617</v>
      </c>
      <c r="D5789" t="str">
        <f>"80211525"</f>
        <v>80211525</v>
      </c>
      <c r="E5789" t="s">
        <v>9438</v>
      </c>
      <c r="F5789" s="1">
        <v>46041</v>
      </c>
      <c r="G5789" t="str">
        <f>"300381"</f>
        <v>300381</v>
      </c>
      <c r="H5789" t="s">
        <v>3118</v>
      </c>
      <c r="I5789">
        <v>333907.20000000001</v>
      </c>
    </row>
    <row r="5790" spans="1:9" x14ac:dyDescent="0.25">
      <c r="A5790" t="s">
        <v>9616</v>
      </c>
      <c r="C5790" t="s">
        <v>9617</v>
      </c>
      <c r="D5790" t="s">
        <v>12929</v>
      </c>
      <c r="E5790" t="s">
        <v>12797</v>
      </c>
      <c r="F5790" s="1">
        <v>46042</v>
      </c>
      <c r="G5790" t="str">
        <f>"300133"</f>
        <v>300133</v>
      </c>
      <c r="H5790" t="s">
        <v>2955</v>
      </c>
      <c r="I5790">
        <v>25502.400000000001</v>
      </c>
    </row>
    <row r="5791" spans="1:9" x14ac:dyDescent="0.25">
      <c r="A5791" t="s">
        <v>9616</v>
      </c>
      <c r="C5791" t="s">
        <v>9617</v>
      </c>
      <c r="D5791" t="s">
        <v>12930</v>
      </c>
      <c r="E5791" t="s">
        <v>12907</v>
      </c>
      <c r="F5791" s="1">
        <v>46042</v>
      </c>
      <c r="G5791" t="str">
        <f>"300423"</f>
        <v>300423</v>
      </c>
      <c r="H5791" t="s">
        <v>3156</v>
      </c>
      <c r="I5791">
        <v>3185.22</v>
      </c>
    </row>
    <row r="5792" spans="1:9" x14ac:dyDescent="0.25">
      <c r="A5792" t="s">
        <v>9616</v>
      </c>
      <c r="C5792" t="s">
        <v>9617</v>
      </c>
      <c r="D5792" t="s">
        <v>12931</v>
      </c>
      <c r="E5792" t="s">
        <v>12908</v>
      </c>
      <c r="F5792" s="1">
        <v>46042</v>
      </c>
      <c r="G5792" t="str">
        <f>"300423"</f>
        <v>300423</v>
      </c>
      <c r="H5792" t="s">
        <v>3156</v>
      </c>
      <c r="I5792">
        <v>3185.22</v>
      </c>
    </row>
    <row r="5793" spans="1:9" x14ac:dyDescent="0.25">
      <c r="A5793" t="s">
        <v>9616</v>
      </c>
      <c r="C5793" t="s">
        <v>9617</v>
      </c>
      <c r="D5793" t="s">
        <v>12932</v>
      </c>
      <c r="E5793" t="s">
        <v>12906</v>
      </c>
      <c r="F5793" s="1">
        <v>46042</v>
      </c>
      <c r="G5793" t="str">
        <f>"300423"</f>
        <v>300423</v>
      </c>
      <c r="H5793" t="s">
        <v>3156</v>
      </c>
      <c r="I5793">
        <v>3845.95</v>
      </c>
    </row>
    <row r="5794" spans="1:9" x14ac:dyDescent="0.25">
      <c r="A5794" t="s">
        <v>9616</v>
      </c>
      <c r="C5794" t="s">
        <v>9617</v>
      </c>
      <c r="D5794" t="s">
        <v>12933</v>
      </c>
      <c r="E5794" t="s">
        <v>12919</v>
      </c>
      <c r="F5794" s="1">
        <v>46042</v>
      </c>
      <c r="G5794" t="str">
        <f>"300423"</f>
        <v>300423</v>
      </c>
      <c r="H5794" t="s">
        <v>3156</v>
      </c>
      <c r="I5794">
        <v>3185.22</v>
      </c>
    </row>
    <row r="5795" spans="1:9" x14ac:dyDescent="0.25">
      <c r="A5795" t="s">
        <v>9616</v>
      </c>
      <c r="C5795" t="s">
        <v>9617</v>
      </c>
      <c r="D5795" t="s">
        <v>12934</v>
      </c>
      <c r="E5795" t="s">
        <v>12921</v>
      </c>
      <c r="F5795" s="1">
        <v>46042</v>
      </c>
      <c r="G5795" t="str">
        <f>"300423"</f>
        <v>300423</v>
      </c>
      <c r="H5795" t="s">
        <v>3156</v>
      </c>
      <c r="I5795">
        <v>3516.31</v>
      </c>
    </row>
    <row r="5796" spans="1:9" x14ac:dyDescent="0.25">
      <c r="A5796" t="s">
        <v>9616</v>
      </c>
      <c r="C5796" t="s">
        <v>9617</v>
      </c>
      <c r="D5796" t="s">
        <v>12935</v>
      </c>
      <c r="E5796" t="s">
        <v>12928</v>
      </c>
      <c r="F5796" s="1">
        <v>46043</v>
      </c>
      <c r="G5796" t="str">
        <f>"300321"</f>
        <v>300321</v>
      </c>
      <c r="H5796" t="s">
        <v>2706</v>
      </c>
      <c r="I5796">
        <v>24700</v>
      </c>
    </row>
    <row r="5797" spans="1:9" x14ac:dyDescent="0.25">
      <c r="A5797" t="s">
        <v>9616</v>
      </c>
      <c r="C5797" t="s">
        <v>9617</v>
      </c>
      <c r="D5797" t="s">
        <v>12936</v>
      </c>
      <c r="E5797" t="s">
        <v>12922</v>
      </c>
      <c r="F5797" s="1">
        <v>46043</v>
      </c>
      <c r="G5797" t="str">
        <f>"300423"</f>
        <v>300423</v>
      </c>
      <c r="H5797" t="s">
        <v>3156</v>
      </c>
      <c r="I5797">
        <v>3185.22</v>
      </c>
    </row>
    <row r="5798" spans="1:9" x14ac:dyDescent="0.25">
      <c r="A5798" t="s">
        <v>9616</v>
      </c>
      <c r="C5798" t="s">
        <v>9617</v>
      </c>
      <c r="D5798" t="str">
        <f>"5938"</f>
        <v>5938</v>
      </c>
      <c r="E5798" t="s">
        <v>12937</v>
      </c>
      <c r="F5798" s="1">
        <v>46044</v>
      </c>
      <c r="G5798" t="str">
        <f>"300043"</f>
        <v>300043</v>
      </c>
      <c r="H5798" t="s">
        <v>2876</v>
      </c>
      <c r="I5798">
        <v>1312</v>
      </c>
    </row>
    <row r="5799" spans="1:9" x14ac:dyDescent="0.25">
      <c r="A5799" t="s">
        <v>9616</v>
      </c>
      <c r="C5799" t="s">
        <v>9617</v>
      </c>
      <c r="D5799" t="str">
        <f>"10173955"</f>
        <v>10173955</v>
      </c>
      <c r="E5799" t="s">
        <v>9204</v>
      </c>
      <c r="F5799" s="1">
        <v>46044</v>
      </c>
      <c r="G5799" t="str">
        <f>"300115"</f>
        <v>300115</v>
      </c>
      <c r="H5799" t="s">
        <v>2938</v>
      </c>
      <c r="I5799">
        <v>232323.63</v>
      </c>
    </row>
    <row r="5800" spans="1:9" x14ac:dyDescent="0.25">
      <c r="A5800" t="s">
        <v>9616</v>
      </c>
      <c r="C5800" t="s">
        <v>9617</v>
      </c>
      <c r="D5800" t="str">
        <f>"10173956"</f>
        <v>10173956</v>
      </c>
      <c r="E5800" t="s">
        <v>9522</v>
      </c>
      <c r="F5800" s="1">
        <v>46044</v>
      </c>
      <c r="G5800" t="str">
        <f>"300115"</f>
        <v>300115</v>
      </c>
      <c r="H5800" t="s">
        <v>2938</v>
      </c>
      <c r="I5800">
        <v>16722.633399999999</v>
      </c>
    </row>
    <row r="5801" spans="1:9" x14ac:dyDescent="0.25">
      <c r="A5801" t="s">
        <v>9616</v>
      </c>
      <c r="C5801" t="s">
        <v>9617</v>
      </c>
      <c r="D5801" t="str">
        <f>"260001800"</f>
        <v>260001800</v>
      </c>
      <c r="E5801" t="s">
        <v>8992</v>
      </c>
      <c r="F5801" s="1">
        <v>46044</v>
      </c>
      <c r="G5801" t="str">
        <f>"300344"</f>
        <v>300344</v>
      </c>
      <c r="H5801" t="s">
        <v>3084</v>
      </c>
      <c r="I5801">
        <v>224601.57</v>
      </c>
    </row>
    <row r="5802" spans="1:9" x14ac:dyDescent="0.25">
      <c r="A5802" t="s">
        <v>9616</v>
      </c>
      <c r="C5802" t="s">
        <v>9617</v>
      </c>
      <c r="D5802" t="s">
        <v>12938</v>
      </c>
      <c r="E5802" t="s">
        <v>12937</v>
      </c>
      <c r="F5802" s="1">
        <v>46046</v>
      </c>
      <c r="G5802" t="str">
        <f>"300321"</f>
        <v>300321</v>
      </c>
      <c r="H5802" t="s">
        <v>2706</v>
      </c>
      <c r="I5802">
        <v>28600</v>
      </c>
    </row>
    <row r="5803" spans="1:9" x14ac:dyDescent="0.25">
      <c r="A5803" t="s">
        <v>9616</v>
      </c>
      <c r="C5803" t="s">
        <v>9617</v>
      </c>
      <c r="D5803" t="str">
        <f>"14495"</f>
        <v>14495</v>
      </c>
      <c r="E5803" t="s">
        <v>9535</v>
      </c>
      <c r="F5803" s="1">
        <v>46048</v>
      </c>
      <c r="G5803" t="str">
        <f>"300043"</f>
        <v>300043</v>
      </c>
      <c r="H5803" t="s">
        <v>2876</v>
      </c>
      <c r="I5803">
        <v>3353</v>
      </c>
    </row>
    <row r="5804" spans="1:9" x14ac:dyDescent="0.25">
      <c r="A5804" t="s">
        <v>9616</v>
      </c>
      <c r="C5804" t="s">
        <v>9617</v>
      </c>
      <c r="D5804" t="str">
        <f>"80211738"</f>
        <v>80211738</v>
      </c>
      <c r="E5804" t="s">
        <v>9522</v>
      </c>
      <c r="F5804" s="1">
        <v>46048</v>
      </c>
      <c r="G5804" t="str">
        <f>"300381"</f>
        <v>300381</v>
      </c>
      <c r="H5804" t="s">
        <v>3118</v>
      </c>
      <c r="I5804">
        <v>333907.20000000001</v>
      </c>
    </row>
    <row r="5805" spans="1:9" x14ac:dyDescent="0.25">
      <c r="A5805" t="s">
        <v>9616</v>
      </c>
      <c r="C5805" t="s">
        <v>9617</v>
      </c>
      <c r="D5805" t="str">
        <f>"80211937"</f>
        <v>80211937</v>
      </c>
      <c r="E5805" t="s">
        <v>8852</v>
      </c>
      <c r="F5805" s="1">
        <v>46048</v>
      </c>
      <c r="G5805" t="str">
        <f>"300381"</f>
        <v>300381</v>
      </c>
      <c r="H5805" t="s">
        <v>3118</v>
      </c>
      <c r="I5805">
        <v>357470.78399999999</v>
      </c>
    </row>
    <row r="5806" spans="1:9" x14ac:dyDescent="0.25">
      <c r="A5806" t="s">
        <v>9616</v>
      </c>
      <c r="C5806" t="s">
        <v>9617</v>
      </c>
      <c r="D5806" t="s">
        <v>12939</v>
      </c>
      <c r="E5806" t="s">
        <v>12927</v>
      </c>
      <c r="F5806" s="1">
        <v>46048</v>
      </c>
      <c r="G5806" t="str">
        <f>"300423"</f>
        <v>300423</v>
      </c>
      <c r="H5806" t="s">
        <v>3156</v>
      </c>
      <c r="I5806">
        <v>3847.41</v>
      </c>
    </row>
    <row r="5807" spans="1:9" x14ac:dyDescent="0.25">
      <c r="A5807" t="s">
        <v>9616</v>
      </c>
      <c r="C5807" t="s">
        <v>9617</v>
      </c>
      <c r="D5807" t="s">
        <v>12940</v>
      </c>
      <c r="E5807" t="s">
        <v>12928</v>
      </c>
      <c r="F5807" s="1">
        <v>46048</v>
      </c>
      <c r="G5807" t="str">
        <f>"300423"</f>
        <v>300423</v>
      </c>
      <c r="H5807" t="s">
        <v>3156</v>
      </c>
      <c r="I5807">
        <v>4509.6000000000004</v>
      </c>
    </row>
    <row r="5808" spans="1:9" x14ac:dyDescent="0.25">
      <c r="A5808" t="s">
        <v>9616</v>
      </c>
      <c r="C5808" t="s">
        <v>9617</v>
      </c>
      <c r="D5808" t="str">
        <f>"11968"</f>
        <v>11968</v>
      </c>
      <c r="E5808" t="s">
        <v>12941</v>
      </c>
      <c r="F5808" s="1">
        <v>46049</v>
      </c>
      <c r="G5808" t="str">
        <f>"300043"</f>
        <v>300043</v>
      </c>
      <c r="H5808" t="s">
        <v>2876</v>
      </c>
      <c r="I5808">
        <v>432</v>
      </c>
    </row>
    <row r="5809" spans="1:9" x14ac:dyDescent="0.25">
      <c r="A5809" t="s">
        <v>9616</v>
      </c>
      <c r="C5809" t="s">
        <v>9617</v>
      </c>
      <c r="D5809" t="s">
        <v>12942</v>
      </c>
      <c r="E5809" t="s">
        <v>9562</v>
      </c>
      <c r="F5809" s="1">
        <v>46049</v>
      </c>
      <c r="G5809" t="str">
        <f>"300133"</f>
        <v>300133</v>
      </c>
      <c r="H5809" t="s">
        <v>2955</v>
      </c>
      <c r="I5809">
        <v>45648</v>
      </c>
    </row>
    <row r="5810" spans="1:9" x14ac:dyDescent="0.25">
      <c r="A5810" t="s">
        <v>9616</v>
      </c>
      <c r="C5810" t="s">
        <v>9617</v>
      </c>
      <c r="D5810" t="s">
        <v>12943</v>
      </c>
      <c r="E5810" t="s">
        <v>12893</v>
      </c>
      <c r="F5810" s="1">
        <v>46050</v>
      </c>
      <c r="G5810" t="str">
        <f>"300321"</f>
        <v>300321</v>
      </c>
      <c r="H5810" t="s">
        <v>2706</v>
      </c>
      <c r="I5810">
        <v>30225</v>
      </c>
    </row>
    <row r="5811" spans="1:9" x14ac:dyDescent="0.25">
      <c r="A5811" t="s">
        <v>9616</v>
      </c>
      <c r="C5811" t="s">
        <v>9617</v>
      </c>
      <c r="D5811" t="s">
        <v>12944</v>
      </c>
      <c r="E5811" t="s">
        <v>12892</v>
      </c>
      <c r="F5811" s="1">
        <v>46050</v>
      </c>
      <c r="G5811" t="str">
        <f>"300321"</f>
        <v>300321</v>
      </c>
      <c r="H5811" t="s">
        <v>2706</v>
      </c>
      <c r="I5811">
        <v>30225</v>
      </c>
    </row>
    <row r="5812" spans="1:9" x14ac:dyDescent="0.25">
      <c r="A5812" t="s">
        <v>9616</v>
      </c>
      <c r="C5812" t="s">
        <v>9617</v>
      </c>
      <c r="D5812" t="s">
        <v>12945</v>
      </c>
      <c r="E5812" t="s">
        <v>12891</v>
      </c>
      <c r="F5812" s="1">
        <v>46050</v>
      </c>
      <c r="G5812" t="str">
        <f>"300321"</f>
        <v>300321</v>
      </c>
      <c r="H5812" t="s">
        <v>2706</v>
      </c>
      <c r="I5812">
        <v>30225</v>
      </c>
    </row>
    <row r="5813" spans="1:9" x14ac:dyDescent="0.25">
      <c r="A5813" t="s">
        <v>9616</v>
      </c>
      <c r="C5813" t="s">
        <v>9617</v>
      </c>
      <c r="D5813" t="s">
        <v>12946</v>
      </c>
      <c r="E5813" t="s">
        <v>12937</v>
      </c>
      <c r="F5813" s="1">
        <v>46051</v>
      </c>
      <c r="G5813" t="str">
        <f>"300423"</f>
        <v>300423</v>
      </c>
      <c r="H5813" t="s">
        <v>3156</v>
      </c>
      <c r="I5813">
        <v>3516.31</v>
      </c>
    </row>
    <row r="5814" spans="1:9" x14ac:dyDescent="0.25">
      <c r="A5814" t="s">
        <v>9616</v>
      </c>
      <c r="C5814" t="s">
        <v>9617</v>
      </c>
      <c r="D5814" t="s">
        <v>12947</v>
      </c>
      <c r="E5814" t="s">
        <v>12941</v>
      </c>
      <c r="F5814" s="1">
        <v>46052</v>
      </c>
      <c r="G5814" t="str">
        <f>"300191"</f>
        <v>300191</v>
      </c>
      <c r="H5814" t="s">
        <v>3008</v>
      </c>
      <c r="I5814">
        <v>7009.94</v>
      </c>
    </row>
    <row r="5815" spans="1:9" x14ac:dyDescent="0.25">
      <c r="A5815" t="s">
        <v>9616</v>
      </c>
      <c r="C5815" t="s">
        <v>9617</v>
      </c>
      <c r="D5815" t="str">
        <f>"8350"</f>
        <v>8350</v>
      </c>
      <c r="E5815" t="s">
        <v>12948</v>
      </c>
      <c r="F5815" s="1">
        <v>46055</v>
      </c>
      <c r="G5815" t="str">
        <f>"300043"</f>
        <v>300043</v>
      </c>
      <c r="H5815" t="s">
        <v>2876</v>
      </c>
      <c r="I5815">
        <v>1319</v>
      </c>
    </row>
    <row r="5816" spans="1:9" x14ac:dyDescent="0.25">
      <c r="A5816" t="s">
        <v>9616</v>
      </c>
      <c r="C5816" t="s">
        <v>9617</v>
      </c>
      <c r="D5816" t="str">
        <f>"8381"</f>
        <v>8381</v>
      </c>
      <c r="E5816" t="s">
        <v>12949</v>
      </c>
      <c r="F5816" s="1">
        <v>46055</v>
      </c>
      <c r="G5816" t="str">
        <f>"300043"</f>
        <v>300043</v>
      </c>
      <c r="H5816" t="s">
        <v>2876</v>
      </c>
      <c r="I5816">
        <v>1389</v>
      </c>
    </row>
    <row r="5817" spans="1:9" x14ac:dyDescent="0.25">
      <c r="A5817" t="s">
        <v>9616</v>
      </c>
      <c r="C5817" t="s">
        <v>9617</v>
      </c>
      <c r="D5817" t="str">
        <f>"12539"</f>
        <v>12539</v>
      </c>
      <c r="E5817" t="s">
        <v>12950</v>
      </c>
      <c r="F5817" s="1">
        <v>46055</v>
      </c>
      <c r="G5817" t="str">
        <f>"300043"</f>
        <v>300043</v>
      </c>
      <c r="H5817" t="s">
        <v>2876</v>
      </c>
      <c r="I5817">
        <v>492</v>
      </c>
    </row>
    <row r="5818" spans="1:9" x14ac:dyDescent="0.25">
      <c r="A5818" t="s">
        <v>9616</v>
      </c>
      <c r="C5818" t="s">
        <v>9617</v>
      </c>
      <c r="D5818" t="s">
        <v>12951</v>
      </c>
      <c r="E5818" t="s">
        <v>12949</v>
      </c>
      <c r="F5818" s="1">
        <v>46055</v>
      </c>
      <c r="G5818" t="str">
        <f>"300321"</f>
        <v>300321</v>
      </c>
      <c r="H5818" t="s">
        <v>2706</v>
      </c>
      <c r="I5818">
        <v>23400</v>
      </c>
    </row>
    <row r="5819" spans="1:9" x14ac:dyDescent="0.25">
      <c r="A5819" t="s">
        <v>9616</v>
      </c>
      <c r="C5819" t="s">
        <v>9617</v>
      </c>
      <c r="D5819" t="s">
        <v>12952</v>
      </c>
      <c r="E5819" t="s">
        <v>12948</v>
      </c>
      <c r="F5819" s="1">
        <v>46055</v>
      </c>
      <c r="G5819" t="str">
        <f>"300321"</f>
        <v>300321</v>
      </c>
      <c r="H5819" t="s">
        <v>2706</v>
      </c>
      <c r="I5819">
        <v>23400</v>
      </c>
    </row>
    <row r="5820" spans="1:9" x14ac:dyDescent="0.25">
      <c r="A5820" t="s">
        <v>9616</v>
      </c>
      <c r="C5820" t="s">
        <v>9617</v>
      </c>
      <c r="D5820" t="str">
        <f>"80212111"</f>
        <v>80212111</v>
      </c>
      <c r="E5820" t="s">
        <v>8852</v>
      </c>
      <c r="F5820" s="1">
        <v>46055</v>
      </c>
      <c r="G5820" t="str">
        <f>"300381"</f>
        <v>300381</v>
      </c>
      <c r="H5820" t="s">
        <v>3118</v>
      </c>
      <c r="I5820">
        <v>351191.80800000002</v>
      </c>
    </row>
    <row r="5821" spans="1:9" x14ac:dyDescent="0.25">
      <c r="A5821" t="s">
        <v>9616</v>
      </c>
      <c r="C5821" t="s">
        <v>9617</v>
      </c>
      <c r="D5821" t="str">
        <f>"160305085"</f>
        <v>160305085</v>
      </c>
      <c r="E5821" t="s">
        <v>12953</v>
      </c>
      <c r="F5821" s="1">
        <v>46055</v>
      </c>
      <c r="G5821" t="str">
        <f>"300568"</f>
        <v>300568</v>
      </c>
      <c r="H5821" t="s">
        <v>3297</v>
      </c>
      <c r="I5821">
        <v>5873.9</v>
      </c>
    </row>
    <row r="5822" spans="1:9" x14ac:dyDescent="0.25">
      <c r="A5822" t="s">
        <v>9616</v>
      </c>
      <c r="C5822" t="s">
        <v>9617</v>
      </c>
      <c r="D5822" t="s">
        <v>12954</v>
      </c>
      <c r="E5822" t="s">
        <v>12950</v>
      </c>
      <c r="F5822" s="1">
        <v>46056</v>
      </c>
      <c r="G5822" t="str">
        <f>"300191"</f>
        <v>300191</v>
      </c>
      <c r="H5822" t="s">
        <v>3008</v>
      </c>
      <c r="I5822">
        <v>14116.56</v>
      </c>
    </row>
    <row r="5823" spans="1:9" x14ac:dyDescent="0.25">
      <c r="A5823" t="s">
        <v>9616</v>
      </c>
      <c r="C5823" t="s">
        <v>9617</v>
      </c>
      <c r="D5823" t="str">
        <f>"80211528"</f>
        <v>80211528</v>
      </c>
      <c r="E5823" t="s">
        <v>2793</v>
      </c>
      <c r="F5823" s="1">
        <v>46056</v>
      </c>
      <c r="G5823" t="str">
        <f>"300381"</f>
        <v>300381</v>
      </c>
      <c r="H5823" t="s">
        <v>3118</v>
      </c>
      <c r="I5823">
        <v>324160.69400000002</v>
      </c>
    </row>
    <row r="5824" spans="1:9" x14ac:dyDescent="0.25">
      <c r="A5824" t="s">
        <v>9616</v>
      </c>
      <c r="C5824" t="s">
        <v>9617</v>
      </c>
      <c r="D5824" t="str">
        <f>"80211739"</f>
        <v>80211739</v>
      </c>
      <c r="E5824" t="s">
        <v>12955</v>
      </c>
      <c r="F5824" s="1">
        <v>46056</v>
      </c>
      <c r="G5824" t="str">
        <f>"300381"</f>
        <v>300381</v>
      </c>
      <c r="H5824" t="s">
        <v>3118</v>
      </c>
      <c r="I5824">
        <v>333907.20000000001</v>
      </c>
    </row>
    <row r="5825" spans="1:9" x14ac:dyDescent="0.25">
      <c r="A5825" t="s">
        <v>9616</v>
      </c>
      <c r="C5825" t="s">
        <v>9617</v>
      </c>
      <c r="D5825" t="str">
        <f>"80211740"</f>
        <v>80211740</v>
      </c>
      <c r="E5825" t="s">
        <v>9611</v>
      </c>
      <c r="F5825" s="1">
        <v>46056</v>
      </c>
      <c r="G5825" t="str">
        <f>"300381"</f>
        <v>300381</v>
      </c>
      <c r="H5825" t="s">
        <v>3118</v>
      </c>
      <c r="I5825">
        <v>333907.20000000001</v>
      </c>
    </row>
    <row r="5826" spans="1:9" x14ac:dyDescent="0.25">
      <c r="A5826" t="s">
        <v>9616</v>
      </c>
      <c r="C5826" t="s">
        <v>9617</v>
      </c>
      <c r="D5826" t="str">
        <f>"8853"</f>
        <v>8853</v>
      </c>
      <c r="E5826" t="s">
        <v>12953</v>
      </c>
      <c r="F5826" s="1">
        <v>46058</v>
      </c>
      <c r="G5826" t="str">
        <f>"300043"</f>
        <v>300043</v>
      </c>
      <c r="H5826" t="s">
        <v>2876</v>
      </c>
      <c r="I5826">
        <v>224</v>
      </c>
    </row>
    <row r="5827" spans="1:9" x14ac:dyDescent="0.25">
      <c r="A5827" t="s">
        <v>9616</v>
      </c>
      <c r="C5827" t="s">
        <v>9617</v>
      </c>
      <c r="D5827" t="str">
        <f>"80212448"</f>
        <v>80212448</v>
      </c>
      <c r="E5827" t="s">
        <v>9611</v>
      </c>
      <c r="F5827" s="1">
        <v>46058</v>
      </c>
      <c r="G5827" t="str">
        <f>"300381"</f>
        <v>300381</v>
      </c>
      <c r="H5827" t="s">
        <v>3118</v>
      </c>
      <c r="I5827">
        <v>333907.20000000001</v>
      </c>
    </row>
    <row r="5828" spans="1:9" x14ac:dyDescent="0.25">
      <c r="A5828" t="s">
        <v>9616</v>
      </c>
      <c r="C5828" t="s">
        <v>9617</v>
      </c>
      <c r="D5828" t="str">
        <f>"80212521"</f>
        <v>80212521</v>
      </c>
      <c r="E5828" t="s">
        <v>2172</v>
      </c>
      <c r="F5828" s="1">
        <v>46058</v>
      </c>
      <c r="G5828" t="str">
        <f>"300381"</f>
        <v>300381</v>
      </c>
      <c r="H5828" t="s">
        <v>3118</v>
      </c>
      <c r="I5828">
        <v>333907.20000000001</v>
      </c>
    </row>
    <row r="5829" spans="1:9" x14ac:dyDescent="0.25">
      <c r="A5829" t="s">
        <v>9616</v>
      </c>
      <c r="C5829" t="s">
        <v>9617</v>
      </c>
      <c r="D5829" t="str">
        <f>"564"</f>
        <v>564</v>
      </c>
      <c r="E5829" t="s">
        <v>9535</v>
      </c>
      <c r="F5829" s="1">
        <v>46059</v>
      </c>
      <c r="G5829" t="str">
        <f>"300043"</f>
        <v>300043</v>
      </c>
      <c r="H5829" t="s">
        <v>2876</v>
      </c>
      <c r="I5829">
        <v>3689</v>
      </c>
    </row>
    <row r="5830" spans="1:9" x14ac:dyDescent="0.25">
      <c r="A5830" t="s">
        <v>9616</v>
      </c>
      <c r="C5830" t="s">
        <v>9617</v>
      </c>
      <c r="D5830" t="str">
        <f>"9926"</f>
        <v>9926</v>
      </c>
      <c r="E5830" t="s">
        <v>12956</v>
      </c>
      <c r="F5830" s="1">
        <v>46059</v>
      </c>
      <c r="G5830" t="str">
        <f>"300043"</f>
        <v>300043</v>
      </c>
      <c r="H5830" t="s">
        <v>2876</v>
      </c>
      <c r="I5830">
        <v>1369</v>
      </c>
    </row>
    <row r="5831" spans="1:9" x14ac:dyDescent="0.25">
      <c r="A5831" t="s">
        <v>9616</v>
      </c>
      <c r="C5831" t="s">
        <v>9617</v>
      </c>
      <c r="D5831" t="s">
        <v>12957</v>
      </c>
      <c r="E5831" t="s">
        <v>12956</v>
      </c>
      <c r="F5831" s="1">
        <v>46060</v>
      </c>
      <c r="G5831" t="str">
        <f>"300321"</f>
        <v>300321</v>
      </c>
      <c r="H5831" t="s">
        <v>2706</v>
      </c>
      <c r="I5831">
        <v>23400</v>
      </c>
    </row>
    <row r="5832" spans="1:9" x14ac:dyDescent="0.25">
      <c r="A5832" t="s">
        <v>9616</v>
      </c>
      <c r="C5832" t="s">
        <v>9617</v>
      </c>
      <c r="D5832" t="s">
        <v>12958</v>
      </c>
      <c r="E5832" t="s">
        <v>12959</v>
      </c>
      <c r="F5832" s="1">
        <v>46060</v>
      </c>
      <c r="G5832" t="str">
        <f>"300321"</f>
        <v>300321</v>
      </c>
      <c r="H5832" t="s">
        <v>2706</v>
      </c>
      <c r="I5832">
        <v>27300</v>
      </c>
    </row>
    <row r="5833" spans="1:9" x14ac:dyDescent="0.25">
      <c r="A5833" t="s">
        <v>9616</v>
      </c>
      <c r="C5833" t="s">
        <v>9617</v>
      </c>
      <c r="D5833" t="str">
        <f>"9920"</f>
        <v>9920</v>
      </c>
      <c r="E5833" t="s">
        <v>12960</v>
      </c>
      <c r="F5833" s="1">
        <v>46062</v>
      </c>
      <c r="G5833" t="str">
        <f t="shared" ref="G5833:G5838" si="31">"300043"</f>
        <v>300043</v>
      </c>
      <c r="H5833" t="s">
        <v>2876</v>
      </c>
      <c r="I5833">
        <v>6268</v>
      </c>
    </row>
    <row r="5834" spans="1:9" x14ac:dyDescent="0.25">
      <c r="A5834" t="s">
        <v>9616</v>
      </c>
      <c r="C5834" t="s">
        <v>9617</v>
      </c>
      <c r="D5834" t="str">
        <f>"10332"</f>
        <v>10332</v>
      </c>
      <c r="E5834" t="s">
        <v>12961</v>
      </c>
      <c r="F5834" s="1">
        <v>46062</v>
      </c>
      <c r="G5834" t="str">
        <f t="shared" si="31"/>
        <v>300043</v>
      </c>
      <c r="H5834" t="s">
        <v>2876</v>
      </c>
      <c r="I5834">
        <v>1322</v>
      </c>
    </row>
    <row r="5835" spans="1:9" x14ac:dyDescent="0.25">
      <c r="A5835" t="s">
        <v>9616</v>
      </c>
      <c r="C5835" t="s">
        <v>9617</v>
      </c>
      <c r="D5835" t="str">
        <f>"10478"</f>
        <v>10478</v>
      </c>
      <c r="E5835" t="s">
        <v>9515</v>
      </c>
      <c r="F5835" s="1">
        <v>46062</v>
      </c>
      <c r="G5835" t="str">
        <f t="shared" si="31"/>
        <v>300043</v>
      </c>
      <c r="H5835" t="s">
        <v>2876</v>
      </c>
      <c r="I5835">
        <v>1286</v>
      </c>
    </row>
    <row r="5836" spans="1:9" x14ac:dyDescent="0.25">
      <c r="A5836" t="s">
        <v>9616</v>
      </c>
      <c r="C5836" t="s">
        <v>9617</v>
      </c>
      <c r="D5836" t="str">
        <f>"10558"</f>
        <v>10558</v>
      </c>
      <c r="E5836" t="s">
        <v>12962</v>
      </c>
      <c r="F5836" s="1">
        <v>46062</v>
      </c>
      <c r="G5836" t="str">
        <f t="shared" si="31"/>
        <v>300043</v>
      </c>
      <c r="H5836" t="s">
        <v>2876</v>
      </c>
      <c r="I5836">
        <v>1322</v>
      </c>
    </row>
    <row r="5837" spans="1:9" x14ac:dyDescent="0.25">
      <c r="A5837" t="s">
        <v>9616</v>
      </c>
      <c r="C5837" t="s">
        <v>9617</v>
      </c>
      <c r="D5837" t="str">
        <f>"821"</f>
        <v>821</v>
      </c>
      <c r="E5837" t="s">
        <v>12963</v>
      </c>
      <c r="F5837" s="1">
        <v>46063</v>
      </c>
      <c r="G5837" t="str">
        <f t="shared" si="31"/>
        <v>300043</v>
      </c>
      <c r="H5837" t="s">
        <v>2876</v>
      </c>
      <c r="I5837">
        <v>1314</v>
      </c>
    </row>
    <row r="5838" spans="1:9" x14ac:dyDescent="0.25">
      <c r="A5838" t="s">
        <v>9616</v>
      </c>
      <c r="C5838" t="s">
        <v>9617</v>
      </c>
      <c r="D5838" t="str">
        <f>"11007"</f>
        <v>11007</v>
      </c>
      <c r="E5838" t="s">
        <v>12959</v>
      </c>
      <c r="F5838" s="1">
        <v>46063</v>
      </c>
      <c r="G5838" t="str">
        <f t="shared" si="31"/>
        <v>300043</v>
      </c>
      <c r="H5838" t="s">
        <v>2876</v>
      </c>
      <c r="I5838">
        <v>1314</v>
      </c>
    </row>
    <row r="5839" spans="1:9" x14ac:dyDescent="0.25">
      <c r="A5839" t="s">
        <v>9616</v>
      </c>
      <c r="C5839" t="s">
        <v>9617</v>
      </c>
      <c r="D5839" t="s">
        <v>12964</v>
      </c>
      <c r="E5839" t="s">
        <v>12953</v>
      </c>
      <c r="F5839" s="1">
        <v>46063</v>
      </c>
      <c r="G5839" t="str">
        <f>"300191"</f>
        <v>300191</v>
      </c>
      <c r="H5839" t="s">
        <v>3008</v>
      </c>
      <c r="I5839">
        <v>1640.5</v>
      </c>
    </row>
    <row r="5840" spans="1:9" x14ac:dyDescent="0.25">
      <c r="A5840" t="s">
        <v>9616</v>
      </c>
      <c r="C5840" t="s">
        <v>9617</v>
      </c>
      <c r="D5840" t="s">
        <v>12965</v>
      </c>
      <c r="E5840" t="s">
        <v>12961</v>
      </c>
      <c r="F5840" s="1">
        <v>46063</v>
      </c>
      <c r="G5840" t="str">
        <f>"300321"</f>
        <v>300321</v>
      </c>
      <c r="H5840" t="s">
        <v>2706</v>
      </c>
      <c r="I5840">
        <v>27300</v>
      </c>
    </row>
    <row r="5841" spans="1:9" x14ac:dyDescent="0.25">
      <c r="A5841" t="s">
        <v>9616</v>
      </c>
      <c r="C5841" t="s">
        <v>9617</v>
      </c>
      <c r="D5841" t="s">
        <v>12966</v>
      </c>
      <c r="E5841" t="s">
        <v>12963</v>
      </c>
      <c r="F5841" s="1">
        <v>46063</v>
      </c>
      <c r="G5841" t="str">
        <f>"300321"</f>
        <v>300321</v>
      </c>
      <c r="H5841" t="s">
        <v>2706</v>
      </c>
      <c r="I5841">
        <v>25782.6</v>
      </c>
    </row>
    <row r="5842" spans="1:9" x14ac:dyDescent="0.25">
      <c r="A5842" t="s">
        <v>9616</v>
      </c>
      <c r="C5842" t="s">
        <v>9617</v>
      </c>
      <c r="D5842" t="s">
        <v>12967</v>
      </c>
      <c r="E5842" t="s">
        <v>12962</v>
      </c>
      <c r="F5842" s="1">
        <v>46063</v>
      </c>
      <c r="G5842" t="str">
        <f>"300321"</f>
        <v>300321</v>
      </c>
      <c r="H5842" t="s">
        <v>2706</v>
      </c>
      <c r="I5842">
        <v>27300</v>
      </c>
    </row>
    <row r="5843" spans="1:9" x14ac:dyDescent="0.25">
      <c r="A5843" t="s">
        <v>9616</v>
      </c>
      <c r="C5843" t="s">
        <v>9617</v>
      </c>
      <c r="D5843" t="str">
        <f>"10174477"</f>
        <v>10174477</v>
      </c>
      <c r="E5843" t="s">
        <v>9409</v>
      </c>
      <c r="F5843" s="1">
        <v>46064</v>
      </c>
      <c r="G5843" t="str">
        <f>"300115"</f>
        <v>300115</v>
      </c>
      <c r="H5843" t="s">
        <v>2938</v>
      </c>
      <c r="I5843">
        <v>233734.3052</v>
      </c>
    </row>
    <row r="5844" spans="1:9" x14ac:dyDescent="0.25">
      <c r="A5844" t="s">
        <v>9616</v>
      </c>
      <c r="C5844" t="s">
        <v>9617</v>
      </c>
      <c r="D5844" t="s">
        <v>12968</v>
      </c>
      <c r="E5844" t="s">
        <v>12948</v>
      </c>
      <c r="F5844" s="1">
        <v>46064</v>
      </c>
      <c r="G5844" t="str">
        <f>"300423"</f>
        <v>300423</v>
      </c>
      <c r="H5844" t="s">
        <v>3156</v>
      </c>
      <c r="I5844">
        <v>3185.22</v>
      </c>
    </row>
    <row r="5845" spans="1:9" x14ac:dyDescent="0.25">
      <c r="A5845" t="s">
        <v>9616</v>
      </c>
      <c r="C5845" t="s">
        <v>9617</v>
      </c>
      <c r="D5845" t="s">
        <v>12969</v>
      </c>
      <c r="E5845" t="s">
        <v>12949</v>
      </c>
      <c r="F5845" s="1">
        <v>46064</v>
      </c>
      <c r="G5845" t="str">
        <f>"300423"</f>
        <v>300423</v>
      </c>
      <c r="H5845" t="s">
        <v>3156</v>
      </c>
      <c r="I5845">
        <v>3185.22</v>
      </c>
    </row>
    <row r="5846" spans="1:9" x14ac:dyDescent="0.25">
      <c r="A5846" t="s">
        <v>9616</v>
      </c>
      <c r="C5846" t="s">
        <v>9617</v>
      </c>
      <c r="D5846" t="s">
        <v>12970</v>
      </c>
      <c r="E5846" t="s">
        <v>12956</v>
      </c>
      <c r="F5846" s="1">
        <v>46064</v>
      </c>
      <c r="G5846" t="str">
        <f>"300423"</f>
        <v>300423</v>
      </c>
      <c r="H5846" t="s">
        <v>3156</v>
      </c>
      <c r="I5846">
        <v>3209.23</v>
      </c>
    </row>
    <row r="5847" spans="1:9" x14ac:dyDescent="0.25">
      <c r="A5847" t="s">
        <v>9616</v>
      </c>
      <c r="C5847" t="s">
        <v>9617</v>
      </c>
      <c r="D5847" t="s">
        <v>12971</v>
      </c>
      <c r="E5847" t="s">
        <v>12961</v>
      </c>
      <c r="F5847" s="1">
        <v>46064</v>
      </c>
      <c r="G5847" t="str">
        <f>"300423"</f>
        <v>300423</v>
      </c>
      <c r="H5847" t="s">
        <v>3156</v>
      </c>
      <c r="I5847">
        <v>3543.96</v>
      </c>
    </row>
    <row r="5848" spans="1:9" x14ac:dyDescent="0.25">
      <c r="A5848" t="s">
        <v>9616</v>
      </c>
      <c r="C5848" t="s">
        <v>9617</v>
      </c>
      <c r="D5848" t="s">
        <v>12972</v>
      </c>
      <c r="E5848" t="s">
        <v>12960</v>
      </c>
      <c r="F5848" s="1">
        <v>46065</v>
      </c>
      <c r="G5848" t="str">
        <f>"300101"</f>
        <v>300101</v>
      </c>
      <c r="H5848" t="s">
        <v>2926</v>
      </c>
      <c r="I5848">
        <v>9847.4500000000007</v>
      </c>
    </row>
    <row r="5849" spans="1:9" x14ac:dyDescent="0.25">
      <c r="A5849" t="s">
        <v>9616</v>
      </c>
      <c r="C5849" t="s">
        <v>9617</v>
      </c>
      <c r="D5849" t="s">
        <v>12973</v>
      </c>
      <c r="E5849" t="s">
        <v>9562</v>
      </c>
      <c r="F5849" s="1">
        <v>46066</v>
      </c>
      <c r="G5849" t="str">
        <f>"300133"</f>
        <v>300133</v>
      </c>
      <c r="H5849" t="s">
        <v>2955</v>
      </c>
      <c r="I5849">
        <v>13694.4</v>
      </c>
    </row>
    <row r="5850" spans="1:9" x14ac:dyDescent="0.25">
      <c r="A5850" t="s">
        <v>9616</v>
      </c>
      <c r="C5850" t="s">
        <v>9617</v>
      </c>
      <c r="D5850" t="s">
        <v>12974</v>
      </c>
      <c r="E5850" t="s">
        <v>12975</v>
      </c>
      <c r="F5850" s="1">
        <v>46066</v>
      </c>
      <c r="G5850" t="str">
        <f>"300375"</f>
        <v>300375</v>
      </c>
      <c r="H5850" t="s">
        <v>3112</v>
      </c>
      <c r="I5850">
        <v>96176.2978</v>
      </c>
    </row>
    <row r="5851" spans="1:9" x14ac:dyDescent="0.25">
      <c r="A5851" t="s">
        <v>9616</v>
      </c>
      <c r="C5851" t="s">
        <v>9617</v>
      </c>
      <c r="D5851" t="str">
        <f>"775"</f>
        <v>775</v>
      </c>
      <c r="E5851" t="s">
        <v>12976</v>
      </c>
      <c r="F5851" s="1">
        <v>46069</v>
      </c>
      <c r="G5851" t="str">
        <f>"300043"</f>
        <v>300043</v>
      </c>
      <c r="H5851" t="s">
        <v>2876</v>
      </c>
      <c r="I5851">
        <v>3917</v>
      </c>
    </row>
    <row r="5852" spans="1:9" x14ac:dyDescent="0.25">
      <c r="A5852" t="s">
        <v>9616</v>
      </c>
      <c r="C5852" t="s">
        <v>9617</v>
      </c>
      <c r="D5852" t="str">
        <f>"1108"</f>
        <v>1108</v>
      </c>
      <c r="E5852" t="s">
        <v>9535</v>
      </c>
      <c r="F5852" s="1">
        <v>46069</v>
      </c>
      <c r="G5852" t="str">
        <f>"300043"</f>
        <v>300043</v>
      </c>
      <c r="H5852" t="s">
        <v>2876</v>
      </c>
      <c r="I5852">
        <v>2468</v>
      </c>
    </row>
    <row r="5853" spans="1:9" x14ac:dyDescent="0.25">
      <c r="A5853" t="s">
        <v>9616</v>
      </c>
      <c r="C5853" t="s">
        <v>9617</v>
      </c>
      <c r="D5853" t="s">
        <v>12977</v>
      </c>
      <c r="E5853" t="s">
        <v>9562</v>
      </c>
      <c r="F5853" s="1">
        <v>46069</v>
      </c>
      <c r="G5853" t="str">
        <f>"300133"</f>
        <v>300133</v>
      </c>
      <c r="H5853" t="s">
        <v>2955</v>
      </c>
      <c r="I5853">
        <v>31953.599999999999</v>
      </c>
    </row>
    <row r="5854" spans="1:9" x14ac:dyDescent="0.25">
      <c r="A5854" t="s">
        <v>9616</v>
      </c>
      <c r="C5854" t="s">
        <v>9617</v>
      </c>
      <c r="D5854" t="str">
        <f>"80211988"</f>
        <v>80211988</v>
      </c>
      <c r="E5854" t="s">
        <v>9223</v>
      </c>
      <c r="F5854" s="1">
        <v>46069</v>
      </c>
      <c r="G5854" t="str">
        <f>"300381"</f>
        <v>300381</v>
      </c>
      <c r="H5854" t="s">
        <v>3118</v>
      </c>
      <c r="I5854">
        <v>335159.35200000001</v>
      </c>
    </row>
    <row r="5855" spans="1:9" x14ac:dyDescent="0.25">
      <c r="A5855" t="s">
        <v>9616</v>
      </c>
      <c r="C5855" t="s">
        <v>9617</v>
      </c>
      <c r="D5855" t="str">
        <f>"80213042"</f>
        <v>80213042</v>
      </c>
      <c r="E5855" t="s">
        <v>8852</v>
      </c>
      <c r="F5855" s="1">
        <v>46069</v>
      </c>
      <c r="G5855" t="str">
        <f>"300381"</f>
        <v>300381</v>
      </c>
      <c r="H5855" t="s">
        <v>3118</v>
      </c>
      <c r="I5855">
        <v>353082.31199999998</v>
      </c>
    </row>
    <row r="5856" spans="1:9" x14ac:dyDescent="0.25">
      <c r="A5856" t="s">
        <v>9616</v>
      </c>
      <c r="C5856" t="s">
        <v>9617</v>
      </c>
      <c r="D5856" t="str">
        <f>"80213043"</f>
        <v>80213043</v>
      </c>
      <c r="E5856" t="s">
        <v>9438</v>
      </c>
      <c r="F5856" s="1">
        <v>46069</v>
      </c>
      <c r="G5856" t="str">
        <f>"300381"</f>
        <v>300381</v>
      </c>
      <c r="H5856" t="s">
        <v>3118</v>
      </c>
      <c r="I5856">
        <v>333907.20000000001</v>
      </c>
    </row>
    <row r="5857" spans="1:9" x14ac:dyDescent="0.25">
      <c r="A5857" t="s">
        <v>9616</v>
      </c>
      <c r="C5857" t="s">
        <v>9617</v>
      </c>
      <c r="D5857" t="str">
        <f>"80213075"</f>
        <v>80213075</v>
      </c>
      <c r="E5857" t="s">
        <v>12978</v>
      </c>
      <c r="F5857" s="1">
        <v>46069</v>
      </c>
      <c r="G5857" t="str">
        <f>"300381"</f>
        <v>300381</v>
      </c>
      <c r="H5857" t="s">
        <v>3118</v>
      </c>
      <c r="I5857">
        <v>334422.79200000002</v>
      </c>
    </row>
    <row r="5858" spans="1:9" x14ac:dyDescent="0.25">
      <c r="A5858" t="s">
        <v>9616</v>
      </c>
      <c r="C5858" t="s">
        <v>9617</v>
      </c>
      <c r="D5858" t="s">
        <v>12979</v>
      </c>
      <c r="E5858" t="s">
        <v>12962</v>
      </c>
      <c r="F5858" s="1">
        <v>46070</v>
      </c>
      <c r="G5858" t="str">
        <f>"300423"</f>
        <v>300423</v>
      </c>
      <c r="H5858" t="s">
        <v>3156</v>
      </c>
      <c r="I5858">
        <v>3209.23</v>
      </c>
    </row>
    <row r="5859" spans="1:9" x14ac:dyDescent="0.25">
      <c r="A5859" t="s">
        <v>9616</v>
      </c>
      <c r="C5859" t="s">
        <v>9617</v>
      </c>
      <c r="D5859" t="s">
        <v>12980</v>
      </c>
      <c r="E5859" t="s">
        <v>12981</v>
      </c>
      <c r="F5859" s="1">
        <v>46070</v>
      </c>
      <c r="G5859" t="str">
        <f>"300423"</f>
        <v>300423</v>
      </c>
      <c r="H5859" t="s">
        <v>3156</v>
      </c>
      <c r="I5859">
        <v>3543.96</v>
      </c>
    </row>
    <row r="5860" spans="1:9" x14ac:dyDescent="0.25">
      <c r="A5860" t="s">
        <v>9616</v>
      </c>
      <c r="C5860" t="s">
        <v>9617</v>
      </c>
      <c r="D5860" t="s">
        <v>12982</v>
      </c>
      <c r="E5860" t="s">
        <v>12963</v>
      </c>
      <c r="F5860" s="1">
        <v>46070</v>
      </c>
      <c r="G5860" t="str">
        <f>"300423"</f>
        <v>300423</v>
      </c>
      <c r="H5860" t="s">
        <v>3156</v>
      </c>
      <c r="I5860">
        <v>3209.23</v>
      </c>
    </row>
    <row r="5861" spans="1:9" x14ac:dyDescent="0.25">
      <c r="A5861" t="s">
        <v>9616</v>
      </c>
      <c r="C5861" t="s">
        <v>9617</v>
      </c>
      <c r="D5861" t="s">
        <v>12983</v>
      </c>
      <c r="E5861" t="s">
        <v>12976</v>
      </c>
      <c r="F5861" s="1">
        <v>46071</v>
      </c>
      <c r="G5861" t="str">
        <f>"300423"</f>
        <v>300423</v>
      </c>
      <c r="H5861" t="s">
        <v>3156</v>
      </c>
      <c r="I5861">
        <v>9676.2900000000009</v>
      </c>
    </row>
    <row r="5862" spans="1:9" x14ac:dyDescent="0.25">
      <c r="A5862" t="s">
        <v>9616</v>
      </c>
      <c r="C5862" t="s">
        <v>9617</v>
      </c>
      <c r="D5862" t="str">
        <f>"14226"</f>
        <v>14226</v>
      </c>
      <c r="E5862" t="s">
        <v>12984</v>
      </c>
      <c r="F5862" s="1">
        <v>46072</v>
      </c>
      <c r="G5862" t="str">
        <f>"300043"</f>
        <v>300043</v>
      </c>
      <c r="H5862" t="s">
        <v>2876</v>
      </c>
      <c r="I5862">
        <v>1310</v>
      </c>
    </row>
    <row r="5863" spans="1:9" x14ac:dyDescent="0.25">
      <c r="A5863" t="s">
        <v>9616</v>
      </c>
      <c r="C5863" t="s">
        <v>9617</v>
      </c>
      <c r="D5863" t="str">
        <f>"14238"</f>
        <v>14238</v>
      </c>
      <c r="E5863" t="s">
        <v>12985</v>
      </c>
      <c r="F5863" s="1">
        <v>46072</v>
      </c>
      <c r="G5863" t="str">
        <f>"300043"</f>
        <v>300043</v>
      </c>
      <c r="H5863" t="s">
        <v>2876</v>
      </c>
      <c r="I5863">
        <v>1313</v>
      </c>
    </row>
    <row r="5864" spans="1:9" x14ac:dyDescent="0.25">
      <c r="A5864" t="s">
        <v>9616</v>
      </c>
      <c r="C5864" t="s">
        <v>9617</v>
      </c>
      <c r="D5864" t="str">
        <f>"14251"</f>
        <v>14251</v>
      </c>
      <c r="E5864" t="s">
        <v>12986</v>
      </c>
      <c r="F5864" s="1">
        <v>46072</v>
      </c>
      <c r="G5864" t="str">
        <f>"300043"</f>
        <v>300043</v>
      </c>
      <c r="H5864" t="s">
        <v>2876</v>
      </c>
      <c r="I5864">
        <v>1373</v>
      </c>
    </row>
    <row r="5865" spans="1:9" x14ac:dyDescent="0.25">
      <c r="A5865" t="s">
        <v>9616</v>
      </c>
      <c r="C5865" t="s">
        <v>9617</v>
      </c>
      <c r="D5865" t="str">
        <f>"14256"</f>
        <v>14256</v>
      </c>
      <c r="E5865" t="s">
        <v>12987</v>
      </c>
      <c r="F5865" s="1">
        <v>46072</v>
      </c>
      <c r="G5865" t="str">
        <f>"300043"</f>
        <v>300043</v>
      </c>
      <c r="H5865" t="s">
        <v>2876</v>
      </c>
      <c r="I5865">
        <v>1316</v>
      </c>
    </row>
    <row r="5866" spans="1:9" x14ac:dyDescent="0.25">
      <c r="A5866" t="s">
        <v>9616</v>
      </c>
      <c r="C5866" t="s">
        <v>9617</v>
      </c>
      <c r="D5866" t="str">
        <f>"80213155"</f>
        <v>80213155</v>
      </c>
      <c r="E5866" t="s">
        <v>2172</v>
      </c>
      <c r="F5866" s="1">
        <v>46072</v>
      </c>
      <c r="G5866" t="str">
        <f>"300381"</f>
        <v>300381</v>
      </c>
      <c r="H5866" t="s">
        <v>3118</v>
      </c>
      <c r="I5866">
        <v>333907.20000000001</v>
      </c>
    </row>
    <row r="5867" spans="1:9" x14ac:dyDescent="0.25">
      <c r="A5867" t="s">
        <v>9616</v>
      </c>
      <c r="C5867" t="s">
        <v>9617</v>
      </c>
      <c r="D5867" t="str">
        <f>"80213156"</f>
        <v>80213156</v>
      </c>
      <c r="E5867" t="s">
        <v>2793</v>
      </c>
      <c r="F5867" s="1">
        <v>46072</v>
      </c>
      <c r="G5867" t="str">
        <f>"300381"</f>
        <v>300381</v>
      </c>
      <c r="H5867" t="s">
        <v>3118</v>
      </c>
      <c r="I5867">
        <v>333907.20000000001</v>
      </c>
    </row>
    <row r="5868" spans="1:9" x14ac:dyDescent="0.25">
      <c r="A5868" t="s">
        <v>9616</v>
      </c>
      <c r="C5868" t="s">
        <v>9617</v>
      </c>
      <c r="D5868" t="s">
        <v>12988</v>
      </c>
      <c r="E5868" t="s">
        <v>12987</v>
      </c>
      <c r="F5868" s="1">
        <v>46073</v>
      </c>
      <c r="G5868" t="str">
        <f>"300321"</f>
        <v>300321</v>
      </c>
      <c r="H5868" t="s">
        <v>2706</v>
      </c>
      <c r="I5868">
        <v>23400</v>
      </c>
    </row>
    <row r="5869" spans="1:9" x14ac:dyDescent="0.25">
      <c r="A5869" t="s">
        <v>9616</v>
      </c>
      <c r="C5869" t="s">
        <v>9617</v>
      </c>
      <c r="D5869" t="s">
        <v>12989</v>
      </c>
      <c r="E5869" t="s">
        <v>9515</v>
      </c>
      <c r="F5869" s="1">
        <v>46073</v>
      </c>
      <c r="G5869" t="str">
        <f>"300423"</f>
        <v>300423</v>
      </c>
      <c r="H5869" t="s">
        <v>3156</v>
      </c>
      <c r="I5869">
        <v>3543.96</v>
      </c>
    </row>
    <row r="5870" spans="1:9" x14ac:dyDescent="0.25">
      <c r="A5870" t="s">
        <v>9616</v>
      </c>
      <c r="C5870" t="s">
        <v>9617</v>
      </c>
      <c r="D5870" t="s">
        <v>12990</v>
      </c>
      <c r="E5870" t="s">
        <v>9565</v>
      </c>
      <c r="F5870" s="1">
        <v>46074</v>
      </c>
      <c r="G5870" t="str">
        <f>"300133"</f>
        <v>300133</v>
      </c>
      <c r="H5870" t="s">
        <v>2955</v>
      </c>
      <c r="I5870">
        <v>32670</v>
      </c>
    </row>
    <row r="5871" spans="1:9" x14ac:dyDescent="0.25">
      <c r="A5871" t="s">
        <v>9616</v>
      </c>
      <c r="C5871" t="s">
        <v>9617</v>
      </c>
      <c r="D5871" t="s">
        <v>12991</v>
      </c>
      <c r="E5871" t="s">
        <v>9565</v>
      </c>
      <c r="F5871" s="1">
        <v>46074</v>
      </c>
      <c r="G5871" t="str">
        <f>"300133"</f>
        <v>300133</v>
      </c>
      <c r="H5871" t="s">
        <v>2955</v>
      </c>
      <c r="I5871">
        <v>12751.2</v>
      </c>
    </row>
    <row r="5872" spans="1:9" x14ac:dyDescent="0.25">
      <c r="A5872" t="s">
        <v>9616</v>
      </c>
      <c r="C5872" t="s">
        <v>9617</v>
      </c>
      <c r="D5872" t="s">
        <v>12992</v>
      </c>
      <c r="E5872" t="s">
        <v>9562</v>
      </c>
      <c r="F5872" s="1">
        <v>46074</v>
      </c>
      <c r="G5872" t="str">
        <f>"300133"</f>
        <v>300133</v>
      </c>
      <c r="H5872" t="s">
        <v>2955</v>
      </c>
      <c r="I5872">
        <v>45648</v>
      </c>
    </row>
    <row r="5873" spans="1:9" x14ac:dyDescent="0.25">
      <c r="A5873" t="s">
        <v>9616</v>
      </c>
      <c r="C5873" t="s">
        <v>9617</v>
      </c>
      <c r="D5873" t="s">
        <v>12993</v>
      </c>
      <c r="E5873" t="s">
        <v>12984</v>
      </c>
      <c r="F5873" s="1">
        <v>46074</v>
      </c>
      <c r="G5873" t="str">
        <f>"300321"</f>
        <v>300321</v>
      </c>
      <c r="H5873" t="s">
        <v>2706</v>
      </c>
      <c r="I5873">
        <v>27300</v>
      </c>
    </row>
    <row r="5874" spans="1:9" x14ac:dyDescent="0.25">
      <c r="A5874" t="s">
        <v>9616</v>
      </c>
      <c r="C5874" t="s">
        <v>9617</v>
      </c>
      <c r="D5874" t="s">
        <v>12994</v>
      </c>
      <c r="E5874" t="s">
        <v>12986</v>
      </c>
      <c r="F5874" s="1">
        <v>46074</v>
      </c>
      <c r="G5874" t="str">
        <f>"300321"</f>
        <v>300321</v>
      </c>
      <c r="H5874" t="s">
        <v>2706</v>
      </c>
      <c r="I5874">
        <v>23400</v>
      </c>
    </row>
    <row r="5875" spans="1:9" x14ac:dyDescent="0.25">
      <c r="A5875" t="s">
        <v>9616</v>
      </c>
      <c r="C5875" t="s">
        <v>9617</v>
      </c>
      <c r="D5875" t="s">
        <v>12995</v>
      </c>
      <c r="E5875" t="s">
        <v>12996</v>
      </c>
      <c r="F5875" s="1">
        <v>46074</v>
      </c>
      <c r="G5875" t="str">
        <f>"300321"</f>
        <v>300321</v>
      </c>
      <c r="H5875" t="s">
        <v>2706</v>
      </c>
      <c r="I5875">
        <v>23400</v>
      </c>
    </row>
    <row r="5876" spans="1:9" x14ac:dyDescent="0.25">
      <c r="A5876" t="s">
        <v>9616</v>
      </c>
      <c r="C5876" t="s">
        <v>9617</v>
      </c>
      <c r="D5876" t="str">
        <f>"15348"</f>
        <v>15348</v>
      </c>
      <c r="E5876" t="s">
        <v>12997</v>
      </c>
      <c r="F5876" s="1">
        <v>46076</v>
      </c>
      <c r="G5876" t="str">
        <f>"300043"</f>
        <v>300043</v>
      </c>
      <c r="H5876" t="s">
        <v>2876</v>
      </c>
      <c r="I5876">
        <v>1308</v>
      </c>
    </row>
    <row r="5877" spans="1:9" x14ac:dyDescent="0.25">
      <c r="A5877" t="s">
        <v>9616</v>
      </c>
      <c r="C5877" t="s">
        <v>9617</v>
      </c>
      <c r="D5877" t="str">
        <f>"15405"</f>
        <v>15405</v>
      </c>
      <c r="E5877" t="s">
        <v>12998</v>
      </c>
      <c r="F5877" s="1">
        <v>46076</v>
      </c>
      <c r="G5877" t="str">
        <f>"300043"</f>
        <v>300043</v>
      </c>
      <c r="H5877" t="s">
        <v>2876</v>
      </c>
      <c r="I5877">
        <v>1308</v>
      </c>
    </row>
    <row r="5878" spans="1:9" x14ac:dyDescent="0.25">
      <c r="A5878" t="s">
        <v>9616</v>
      </c>
      <c r="C5878" t="s">
        <v>9617</v>
      </c>
      <c r="D5878" t="s">
        <v>12999</v>
      </c>
      <c r="E5878" t="s">
        <v>11856</v>
      </c>
      <c r="F5878" s="1">
        <v>46076</v>
      </c>
      <c r="G5878" t="str">
        <f>"300237"</f>
        <v>300237</v>
      </c>
      <c r="H5878" t="s">
        <v>3036</v>
      </c>
      <c r="I5878">
        <v>134552</v>
      </c>
    </row>
    <row r="5879" spans="1:9" x14ac:dyDescent="0.25">
      <c r="A5879" t="s">
        <v>9616</v>
      </c>
      <c r="C5879" t="s">
        <v>9617</v>
      </c>
      <c r="D5879" t="s">
        <v>13000</v>
      </c>
      <c r="E5879" t="s">
        <v>11856</v>
      </c>
      <c r="F5879" s="1">
        <v>46076</v>
      </c>
      <c r="G5879" t="str">
        <f>"300237"</f>
        <v>300237</v>
      </c>
      <c r="H5879" t="s">
        <v>3036</v>
      </c>
      <c r="I5879">
        <v>134552</v>
      </c>
    </row>
    <row r="5880" spans="1:9" x14ac:dyDescent="0.25">
      <c r="A5880" t="s">
        <v>9616</v>
      </c>
      <c r="C5880" t="s">
        <v>9617</v>
      </c>
      <c r="D5880" t="s">
        <v>13001</v>
      </c>
      <c r="E5880" t="s">
        <v>11856</v>
      </c>
      <c r="F5880" s="1">
        <v>46076</v>
      </c>
      <c r="G5880" t="str">
        <f>"300237"</f>
        <v>300237</v>
      </c>
      <c r="H5880" t="s">
        <v>3036</v>
      </c>
      <c r="I5880">
        <v>117418.4</v>
      </c>
    </row>
    <row r="5881" spans="1:9" x14ac:dyDescent="0.25">
      <c r="A5881" t="s">
        <v>9616</v>
      </c>
      <c r="C5881" t="s">
        <v>9617</v>
      </c>
      <c r="D5881" t="str">
        <f>"80212870"</f>
        <v>80212870</v>
      </c>
      <c r="E5881" t="s">
        <v>8852</v>
      </c>
      <c r="F5881" s="1">
        <v>46076</v>
      </c>
      <c r="G5881" t="str">
        <f>"300381"</f>
        <v>300381</v>
      </c>
      <c r="H5881" t="s">
        <v>3118</v>
      </c>
      <c r="I5881">
        <v>355289.74800000002</v>
      </c>
    </row>
    <row r="5882" spans="1:9" x14ac:dyDescent="0.25">
      <c r="A5882" t="s">
        <v>9616</v>
      </c>
      <c r="C5882" t="s">
        <v>9617</v>
      </c>
      <c r="D5882" t="s">
        <v>13002</v>
      </c>
      <c r="E5882" t="s">
        <v>12997</v>
      </c>
      <c r="F5882" s="1">
        <v>46077</v>
      </c>
      <c r="G5882" t="str">
        <f>"300321"</f>
        <v>300321</v>
      </c>
      <c r="H5882" t="s">
        <v>2706</v>
      </c>
      <c r="I5882">
        <v>23400</v>
      </c>
    </row>
    <row r="5883" spans="1:9" x14ac:dyDescent="0.25">
      <c r="A5883" t="s">
        <v>9616</v>
      </c>
      <c r="C5883" t="s">
        <v>9617</v>
      </c>
      <c r="D5883" t="s">
        <v>13003</v>
      </c>
      <c r="E5883" t="s">
        <v>12998</v>
      </c>
      <c r="F5883" s="1">
        <v>46077</v>
      </c>
      <c r="G5883" t="str">
        <f>"300321"</f>
        <v>300321</v>
      </c>
      <c r="H5883" t="s">
        <v>2706</v>
      </c>
      <c r="I5883">
        <v>23400</v>
      </c>
    </row>
    <row r="5884" spans="1:9" x14ac:dyDescent="0.25">
      <c r="A5884" t="s">
        <v>9616</v>
      </c>
      <c r="C5884" t="s">
        <v>9617</v>
      </c>
      <c r="D5884" t="s">
        <v>13004</v>
      </c>
      <c r="E5884" t="s">
        <v>12996</v>
      </c>
      <c r="F5884" s="1">
        <v>46078</v>
      </c>
      <c r="G5884" t="str">
        <f>"300423"</f>
        <v>300423</v>
      </c>
      <c r="H5884" t="s">
        <v>3156</v>
      </c>
      <c r="I5884">
        <v>3209.23</v>
      </c>
    </row>
    <row r="5885" spans="1:9" x14ac:dyDescent="0.25">
      <c r="A5885" t="s">
        <v>9616</v>
      </c>
      <c r="C5885" t="s">
        <v>9617</v>
      </c>
      <c r="D5885" t="s">
        <v>13005</v>
      </c>
      <c r="E5885" t="s">
        <v>13006</v>
      </c>
      <c r="F5885" s="1">
        <v>46078</v>
      </c>
      <c r="G5885" t="str">
        <f>"300423"</f>
        <v>300423</v>
      </c>
      <c r="H5885" t="s">
        <v>3156</v>
      </c>
      <c r="I5885">
        <v>3209.23</v>
      </c>
    </row>
    <row r="5886" spans="1:9" x14ac:dyDescent="0.25">
      <c r="A5886" t="s">
        <v>9616</v>
      </c>
      <c r="C5886" t="s">
        <v>9617</v>
      </c>
      <c r="D5886" t="s">
        <v>13007</v>
      </c>
      <c r="E5886" t="s">
        <v>12987</v>
      </c>
      <c r="F5886" s="1">
        <v>46078</v>
      </c>
      <c r="G5886" t="str">
        <f>"300423"</f>
        <v>300423</v>
      </c>
      <c r="H5886" t="s">
        <v>3156</v>
      </c>
      <c r="I5886">
        <v>3543.96</v>
      </c>
    </row>
    <row r="5887" spans="1:9" x14ac:dyDescent="0.25">
      <c r="A5887" t="s">
        <v>9616</v>
      </c>
      <c r="C5887" t="s">
        <v>9617</v>
      </c>
      <c r="D5887" t="s">
        <v>13008</v>
      </c>
      <c r="E5887" t="s">
        <v>12986</v>
      </c>
      <c r="F5887" s="1">
        <v>46078</v>
      </c>
      <c r="G5887" t="str">
        <f>"300423"</f>
        <v>300423</v>
      </c>
      <c r="H5887" t="s">
        <v>3156</v>
      </c>
      <c r="I5887">
        <v>3209.23</v>
      </c>
    </row>
    <row r="5888" spans="1:9" x14ac:dyDescent="0.25">
      <c r="A5888" t="s">
        <v>9616</v>
      </c>
      <c r="C5888" t="s">
        <v>9617</v>
      </c>
      <c r="D5888" t="str">
        <f>"16989"</f>
        <v>16989</v>
      </c>
      <c r="E5888" t="s">
        <v>13009</v>
      </c>
      <c r="F5888" s="1">
        <v>46079</v>
      </c>
      <c r="G5888" t="str">
        <f>"300043"</f>
        <v>300043</v>
      </c>
      <c r="H5888" t="s">
        <v>2876</v>
      </c>
      <c r="I5888">
        <v>1390</v>
      </c>
    </row>
    <row r="5889" spans="1:9" x14ac:dyDescent="0.25">
      <c r="A5889" t="s">
        <v>9616</v>
      </c>
      <c r="C5889" t="s">
        <v>9617</v>
      </c>
      <c r="D5889" t="str">
        <f>"80213503"</f>
        <v>80213503</v>
      </c>
      <c r="E5889" t="s">
        <v>12096</v>
      </c>
      <c r="F5889" s="1">
        <v>46079</v>
      </c>
      <c r="G5889" t="str">
        <f>"300381"</f>
        <v>300381</v>
      </c>
      <c r="H5889" t="s">
        <v>3118</v>
      </c>
      <c r="I5889">
        <v>333907.20000000001</v>
      </c>
    </row>
    <row r="5890" spans="1:9" x14ac:dyDescent="0.25">
      <c r="A5890" t="s">
        <v>9616</v>
      </c>
      <c r="C5890" t="s">
        <v>9617</v>
      </c>
      <c r="D5890" t="str">
        <f>"8860"</f>
        <v>8860</v>
      </c>
      <c r="E5890" t="s">
        <v>9535</v>
      </c>
      <c r="F5890" s="1">
        <v>46080</v>
      </c>
      <c r="G5890" t="str">
        <f>"300043"</f>
        <v>300043</v>
      </c>
      <c r="H5890" t="s">
        <v>2876</v>
      </c>
      <c r="I5890">
        <v>2723</v>
      </c>
    </row>
    <row r="5891" spans="1:9" x14ac:dyDescent="0.25">
      <c r="A5891" t="s">
        <v>9616</v>
      </c>
      <c r="C5891" t="s">
        <v>9617</v>
      </c>
      <c r="D5891" t="s">
        <v>13010</v>
      </c>
      <c r="E5891" t="s">
        <v>12997</v>
      </c>
      <c r="F5891" s="1">
        <v>46081</v>
      </c>
      <c r="G5891" t="str">
        <f>"300423"</f>
        <v>300423</v>
      </c>
      <c r="H5891" t="s">
        <v>3156</v>
      </c>
      <c r="I5891">
        <v>3878.69</v>
      </c>
    </row>
    <row r="5892" spans="1:9" x14ac:dyDescent="0.25">
      <c r="A5892" t="s">
        <v>9616</v>
      </c>
      <c r="C5892" t="s">
        <v>9617</v>
      </c>
      <c r="D5892" t="s">
        <v>13011</v>
      </c>
      <c r="E5892" t="s">
        <v>12998</v>
      </c>
      <c r="F5892" s="1">
        <v>46081</v>
      </c>
      <c r="G5892" t="str">
        <f>"300423"</f>
        <v>300423</v>
      </c>
      <c r="H5892" t="s">
        <v>3156</v>
      </c>
      <c r="I5892">
        <v>4325</v>
      </c>
    </row>
    <row r="5893" spans="1:9" x14ac:dyDescent="0.25">
      <c r="A5893" t="s">
        <v>9616</v>
      </c>
      <c r="C5893" t="s">
        <v>9617</v>
      </c>
      <c r="D5893" t="s">
        <v>13012</v>
      </c>
      <c r="E5893" t="s">
        <v>13009</v>
      </c>
      <c r="F5893" s="1">
        <v>46081</v>
      </c>
      <c r="G5893" t="str">
        <f>"300423"</f>
        <v>300423</v>
      </c>
      <c r="H5893" t="s">
        <v>3156</v>
      </c>
      <c r="I5893">
        <v>3543.96</v>
      </c>
    </row>
    <row r="5894" spans="1:9" x14ac:dyDescent="0.25">
      <c r="A5894" t="s">
        <v>9616</v>
      </c>
      <c r="C5894" t="s">
        <v>9617</v>
      </c>
      <c r="D5894" t="str">
        <f>"18106"</f>
        <v>18106</v>
      </c>
      <c r="E5894" t="s">
        <v>13013</v>
      </c>
      <c r="F5894" s="1">
        <v>46083</v>
      </c>
      <c r="G5894" t="str">
        <f>"300043"</f>
        <v>300043</v>
      </c>
      <c r="H5894" t="s">
        <v>2876</v>
      </c>
      <c r="I5894">
        <v>1310</v>
      </c>
    </row>
    <row r="5895" spans="1:9" x14ac:dyDescent="0.25">
      <c r="A5895" t="s">
        <v>9616</v>
      </c>
      <c r="C5895" t="s">
        <v>9617</v>
      </c>
      <c r="D5895" t="str">
        <f>"80213397"</f>
        <v>80213397</v>
      </c>
      <c r="E5895" t="s">
        <v>12096</v>
      </c>
      <c r="F5895" s="1">
        <v>46083</v>
      </c>
      <c r="G5895" t="str">
        <f>"300381"</f>
        <v>300381</v>
      </c>
      <c r="H5895" t="s">
        <v>3118</v>
      </c>
      <c r="I5895">
        <v>333907.20000000001</v>
      </c>
    </row>
    <row r="5896" spans="1:9" x14ac:dyDescent="0.25">
      <c r="A5896" t="s">
        <v>9616</v>
      </c>
      <c r="C5896" t="s">
        <v>9617</v>
      </c>
      <c r="D5896" t="str">
        <f>"80213539"</f>
        <v>80213539</v>
      </c>
      <c r="E5896" t="s">
        <v>8852</v>
      </c>
      <c r="F5896" s="1">
        <v>46083</v>
      </c>
      <c r="G5896" t="str">
        <f>"300381"</f>
        <v>300381</v>
      </c>
      <c r="H5896" t="s">
        <v>3118</v>
      </c>
      <c r="I5896">
        <v>353168.24400000001</v>
      </c>
    </row>
    <row r="5897" spans="1:9" x14ac:dyDescent="0.25">
      <c r="A5897" t="s">
        <v>9616</v>
      </c>
      <c r="C5897" t="s">
        <v>9617</v>
      </c>
      <c r="D5897" t="str">
        <f>"18137"</f>
        <v>18137</v>
      </c>
      <c r="E5897" t="s">
        <v>9534</v>
      </c>
      <c r="F5897" s="1">
        <v>46084</v>
      </c>
      <c r="G5897" t="str">
        <f>"300043"</f>
        <v>300043</v>
      </c>
      <c r="H5897" t="s">
        <v>2876</v>
      </c>
      <c r="I5897">
        <v>932</v>
      </c>
    </row>
    <row r="5898" spans="1:9" x14ac:dyDescent="0.25">
      <c r="A5898" t="s">
        <v>9616</v>
      </c>
      <c r="C5898" t="s">
        <v>9617</v>
      </c>
      <c r="D5898" t="s">
        <v>13014</v>
      </c>
      <c r="E5898" t="s">
        <v>13013</v>
      </c>
      <c r="F5898" s="1">
        <v>46084</v>
      </c>
      <c r="G5898" t="str">
        <f>"300321"</f>
        <v>300321</v>
      </c>
      <c r="H5898" t="s">
        <v>2706</v>
      </c>
      <c r="I5898">
        <v>35100</v>
      </c>
    </row>
    <row r="5899" spans="1:9" x14ac:dyDescent="0.25">
      <c r="A5899" t="s">
        <v>9616</v>
      </c>
      <c r="C5899" t="s">
        <v>9617</v>
      </c>
      <c r="D5899" t="str">
        <f>"80213341"</f>
        <v>80213341</v>
      </c>
      <c r="E5899" t="s">
        <v>13015</v>
      </c>
      <c r="F5899" s="1">
        <v>46084</v>
      </c>
      <c r="G5899" t="str">
        <f>"300381"</f>
        <v>300381</v>
      </c>
      <c r="H5899" t="s">
        <v>3118</v>
      </c>
      <c r="I5899">
        <v>334741.96799999999</v>
      </c>
    </row>
    <row r="5900" spans="1:9" x14ac:dyDescent="0.25">
      <c r="A5900" t="s">
        <v>9616</v>
      </c>
      <c r="C5900" t="s">
        <v>9617</v>
      </c>
      <c r="D5900" t="str">
        <f>"80213786"</f>
        <v>80213786</v>
      </c>
      <c r="E5900" t="s">
        <v>2793</v>
      </c>
      <c r="F5900" s="1">
        <v>46084</v>
      </c>
      <c r="G5900" t="str">
        <f>"300381"</f>
        <v>300381</v>
      </c>
      <c r="H5900" t="s">
        <v>3118</v>
      </c>
      <c r="I5900">
        <v>333907.20000000001</v>
      </c>
    </row>
    <row r="5901" spans="1:9" x14ac:dyDescent="0.25">
      <c r="A5901" t="s">
        <v>9616</v>
      </c>
      <c r="C5901" t="s">
        <v>9617</v>
      </c>
      <c r="D5901" t="str">
        <f>"80213787"</f>
        <v>80213787</v>
      </c>
      <c r="E5901" t="s">
        <v>12096</v>
      </c>
      <c r="F5901" s="1">
        <v>46084</v>
      </c>
      <c r="G5901" t="str">
        <f>"300381"</f>
        <v>300381</v>
      </c>
      <c r="H5901" t="s">
        <v>3118</v>
      </c>
      <c r="I5901">
        <v>333907.20000000001</v>
      </c>
    </row>
    <row r="5902" spans="1:9" x14ac:dyDescent="0.25">
      <c r="A5902" t="s">
        <v>9616</v>
      </c>
      <c r="C5902" t="s">
        <v>9617</v>
      </c>
      <c r="D5902" t="str">
        <f>"19302"</f>
        <v>19302</v>
      </c>
      <c r="E5902" t="s">
        <v>13016</v>
      </c>
      <c r="F5902" s="1">
        <v>46085</v>
      </c>
      <c r="G5902" t="str">
        <f>"300043"</f>
        <v>300043</v>
      </c>
      <c r="H5902" t="s">
        <v>2876</v>
      </c>
      <c r="I5902">
        <v>1308</v>
      </c>
    </row>
    <row r="5903" spans="1:9" x14ac:dyDescent="0.25">
      <c r="A5903" t="s">
        <v>9616</v>
      </c>
      <c r="C5903" t="s">
        <v>9617</v>
      </c>
      <c r="D5903" t="str">
        <f>"19359"</f>
        <v>19359</v>
      </c>
      <c r="E5903" t="s">
        <v>13017</v>
      </c>
      <c r="F5903" s="1">
        <v>46085</v>
      </c>
      <c r="G5903" t="str">
        <f>"300043"</f>
        <v>300043</v>
      </c>
      <c r="H5903" t="s">
        <v>2876</v>
      </c>
      <c r="I5903">
        <v>1372</v>
      </c>
    </row>
    <row r="5904" spans="1:9" x14ac:dyDescent="0.25">
      <c r="A5904" t="s">
        <v>9616</v>
      </c>
      <c r="C5904" t="s">
        <v>9617</v>
      </c>
      <c r="D5904" t="s">
        <v>13018</v>
      </c>
      <c r="E5904" t="s">
        <v>13009</v>
      </c>
      <c r="F5904" s="1">
        <v>46085</v>
      </c>
      <c r="G5904" t="str">
        <f>"300321"</f>
        <v>300321</v>
      </c>
      <c r="H5904" t="s">
        <v>2706</v>
      </c>
      <c r="I5904">
        <v>27300</v>
      </c>
    </row>
    <row r="5905" spans="1:9" x14ac:dyDescent="0.25">
      <c r="A5905" t="s">
        <v>9616</v>
      </c>
      <c r="C5905" t="s">
        <v>9617</v>
      </c>
      <c r="D5905" t="s">
        <v>13019</v>
      </c>
      <c r="E5905" t="s">
        <v>13017</v>
      </c>
      <c r="F5905" s="1">
        <v>46085</v>
      </c>
      <c r="G5905" t="str">
        <f>"300321"</f>
        <v>300321</v>
      </c>
      <c r="H5905" t="s">
        <v>2706</v>
      </c>
      <c r="I5905">
        <v>23400</v>
      </c>
    </row>
    <row r="5906" spans="1:9" x14ac:dyDescent="0.25">
      <c r="A5906" t="s">
        <v>9616</v>
      </c>
      <c r="C5906" t="s">
        <v>9617</v>
      </c>
      <c r="D5906" t="s">
        <v>13020</v>
      </c>
      <c r="E5906" t="s">
        <v>13016</v>
      </c>
      <c r="F5906" s="1">
        <v>46085</v>
      </c>
      <c r="G5906" t="str">
        <f>"300321"</f>
        <v>300321</v>
      </c>
      <c r="H5906" t="s">
        <v>2706</v>
      </c>
      <c r="I5906">
        <v>37700</v>
      </c>
    </row>
    <row r="5907" spans="1:9" x14ac:dyDescent="0.25">
      <c r="A5907" t="s">
        <v>9616</v>
      </c>
      <c r="C5907" t="s">
        <v>9617</v>
      </c>
      <c r="D5907" t="str">
        <f>"80213863"</f>
        <v>80213863</v>
      </c>
      <c r="E5907" t="s">
        <v>9517</v>
      </c>
      <c r="F5907" s="1">
        <v>46086</v>
      </c>
      <c r="G5907" t="str">
        <f>"300381"</f>
        <v>300381</v>
      </c>
      <c r="H5907" t="s">
        <v>3118</v>
      </c>
      <c r="I5907">
        <v>333907.20000000001</v>
      </c>
    </row>
    <row r="5908" spans="1:9" x14ac:dyDescent="0.25">
      <c r="A5908" t="s">
        <v>9616</v>
      </c>
      <c r="C5908" t="s">
        <v>9617</v>
      </c>
      <c r="D5908" t="str">
        <f>"80213885"</f>
        <v>80213885</v>
      </c>
      <c r="E5908" t="s">
        <v>8852</v>
      </c>
      <c r="F5908" s="1">
        <v>46086</v>
      </c>
      <c r="G5908" t="str">
        <f>"300381"</f>
        <v>300381</v>
      </c>
      <c r="H5908" t="s">
        <v>3118</v>
      </c>
      <c r="I5908">
        <v>357280.70400000003</v>
      </c>
    </row>
    <row r="5909" spans="1:9" x14ac:dyDescent="0.25">
      <c r="A5909" t="s">
        <v>9616</v>
      </c>
      <c r="C5909" t="s">
        <v>9617</v>
      </c>
      <c r="D5909" t="str">
        <f>"80213912"</f>
        <v>80213912</v>
      </c>
      <c r="E5909" t="s">
        <v>9438</v>
      </c>
      <c r="F5909" s="1">
        <v>46086</v>
      </c>
      <c r="G5909" t="str">
        <f>"300381"</f>
        <v>300381</v>
      </c>
      <c r="H5909" t="s">
        <v>3118</v>
      </c>
      <c r="I5909">
        <v>333907.20000000001</v>
      </c>
    </row>
    <row r="5910" spans="1:9" x14ac:dyDescent="0.25">
      <c r="A5910" t="s">
        <v>9616</v>
      </c>
      <c r="C5910" t="s">
        <v>9617</v>
      </c>
      <c r="D5910" t="str">
        <f>"2579"</f>
        <v>2579</v>
      </c>
      <c r="E5910" t="s">
        <v>9535</v>
      </c>
      <c r="F5910" s="1">
        <v>46087</v>
      </c>
      <c r="G5910" t="str">
        <f>"300043"</f>
        <v>300043</v>
      </c>
      <c r="H5910" t="s">
        <v>2876</v>
      </c>
      <c r="I5910">
        <v>4307</v>
      </c>
    </row>
    <row r="5911" spans="1:9" x14ac:dyDescent="0.25">
      <c r="A5911" t="s">
        <v>9616</v>
      </c>
      <c r="C5911" t="s">
        <v>9617</v>
      </c>
      <c r="D5911" t="str">
        <f>"20165"</f>
        <v>20165</v>
      </c>
      <c r="E5911" t="s">
        <v>13021</v>
      </c>
      <c r="F5911" s="1">
        <v>46087</v>
      </c>
      <c r="G5911" t="str">
        <f>"300043"</f>
        <v>300043</v>
      </c>
      <c r="H5911" t="s">
        <v>2876</v>
      </c>
      <c r="I5911">
        <v>1308</v>
      </c>
    </row>
    <row r="5912" spans="1:9" x14ac:dyDescent="0.25">
      <c r="A5912" t="s">
        <v>9616</v>
      </c>
      <c r="C5912" t="s">
        <v>9617</v>
      </c>
      <c r="D5912" t="str">
        <f>"20166"</f>
        <v>20166</v>
      </c>
      <c r="E5912" t="s">
        <v>13022</v>
      </c>
      <c r="F5912" s="1">
        <v>46087</v>
      </c>
      <c r="G5912" t="str">
        <f>"300043"</f>
        <v>300043</v>
      </c>
      <c r="H5912" t="s">
        <v>2876</v>
      </c>
      <c r="I5912">
        <v>1308</v>
      </c>
    </row>
    <row r="5913" spans="1:9" x14ac:dyDescent="0.25">
      <c r="A5913" t="s">
        <v>9616</v>
      </c>
      <c r="C5913" t="s">
        <v>9617</v>
      </c>
      <c r="D5913" t="str">
        <f>"20239"</f>
        <v>20239</v>
      </c>
      <c r="E5913" t="s">
        <v>13023</v>
      </c>
      <c r="F5913" s="1">
        <v>46087</v>
      </c>
      <c r="G5913" t="str">
        <f>"300043"</f>
        <v>300043</v>
      </c>
      <c r="H5913" t="s">
        <v>2876</v>
      </c>
      <c r="I5913">
        <v>1310</v>
      </c>
    </row>
    <row r="5914" spans="1:9" x14ac:dyDescent="0.25">
      <c r="A5914" t="s">
        <v>9616</v>
      </c>
      <c r="C5914" t="s">
        <v>9617</v>
      </c>
      <c r="D5914" t="str">
        <f>"80214011"</f>
        <v>80214011</v>
      </c>
      <c r="E5914" t="s">
        <v>9517</v>
      </c>
      <c r="F5914" s="1">
        <v>46087</v>
      </c>
      <c r="G5914" t="str">
        <f>"300381"</f>
        <v>300381</v>
      </c>
      <c r="H5914" t="s">
        <v>3118</v>
      </c>
      <c r="I5914">
        <v>333907.20000000001</v>
      </c>
    </row>
    <row r="5915" spans="1:9" x14ac:dyDescent="0.25">
      <c r="A5915" t="s">
        <v>9616</v>
      </c>
      <c r="C5915" t="s">
        <v>9617</v>
      </c>
      <c r="D5915" t="s">
        <v>13024</v>
      </c>
      <c r="E5915" t="s">
        <v>13023</v>
      </c>
      <c r="F5915" s="1">
        <v>46088</v>
      </c>
      <c r="G5915" t="str">
        <f>"300321"</f>
        <v>300321</v>
      </c>
      <c r="H5915" t="s">
        <v>2706</v>
      </c>
      <c r="I5915">
        <v>23400</v>
      </c>
    </row>
    <row r="5916" spans="1:9" x14ac:dyDescent="0.25">
      <c r="A5916" t="s">
        <v>9616</v>
      </c>
      <c r="C5916" t="s">
        <v>9617</v>
      </c>
      <c r="D5916" t="s">
        <v>13025</v>
      </c>
      <c r="E5916" t="s">
        <v>13022</v>
      </c>
      <c r="F5916" s="1">
        <v>46088</v>
      </c>
      <c r="G5916" t="str">
        <f>"300321"</f>
        <v>300321</v>
      </c>
      <c r="H5916" t="s">
        <v>2706</v>
      </c>
      <c r="I5916">
        <v>27300</v>
      </c>
    </row>
    <row r="5917" spans="1:9" x14ac:dyDescent="0.25">
      <c r="A5917" t="s">
        <v>9616</v>
      </c>
      <c r="C5917" t="s">
        <v>9617</v>
      </c>
      <c r="D5917" t="s">
        <v>13026</v>
      </c>
      <c r="E5917" t="s">
        <v>13021</v>
      </c>
      <c r="F5917" s="1">
        <v>46088</v>
      </c>
      <c r="G5917" t="str">
        <f>"300321"</f>
        <v>300321</v>
      </c>
      <c r="H5917" t="s">
        <v>2706</v>
      </c>
      <c r="I5917">
        <v>23400</v>
      </c>
    </row>
    <row r="5918" spans="1:9" x14ac:dyDescent="0.25">
      <c r="A5918" t="s">
        <v>9616</v>
      </c>
      <c r="C5918" t="s">
        <v>9617</v>
      </c>
      <c r="D5918" t="s">
        <v>13027</v>
      </c>
      <c r="E5918" t="s">
        <v>13013</v>
      </c>
      <c r="F5918" s="1">
        <v>46088</v>
      </c>
      <c r="G5918" t="str">
        <f>"300423"</f>
        <v>300423</v>
      </c>
      <c r="H5918" t="s">
        <v>3156</v>
      </c>
      <c r="I5918">
        <v>3543.96</v>
      </c>
    </row>
    <row r="5919" spans="1:9" x14ac:dyDescent="0.25">
      <c r="A5919" t="s">
        <v>9616</v>
      </c>
      <c r="C5919" t="s">
        <v>9617</v>
      </c>
      <c r="D5919" t="s">
        <v>13028</v>
      </c>
      <c r="E5919" t="s">
        <v>13017</v>
      </c>
      <c r="F5919" s="1">
        <v>46088</v>
      </c>
      <c r="G5919" t="str">
        <f>"300423"</f>
        <v>300423</v>
      </c>
      <c r="H5919" t="s">
        <v>3156</v>
      </c>
      <c r="I5919">
        <v>3543.96</v>
      </c>
    </row>
    <row r="5920" spans="1:9" x14ac:dyDescent="0.25">
      <c r="A5920" t="s">
        <v>9616</v>
      </c>
      <c r="C5920" t="s">
        <v>9617</v>
      </c>
      <c r="D5920" t="s">
        <v>13029</v>
      </c>
      <c r="E5920" t="s">
        <v>13016</v>
      </c>
      <c r="F5920" s="1">
        <v>46088</v>
      </c>
      <c r="G5920" t="str">
        <f>"300423"</f>
        <v>300423</v>
      </c>
      <c r="H5920" t="s">
        <v>3156</v>
      </c>
      <c r="I5920">
        <v>3209.23</v>
      </c>
    </row>
    <row r="5921" spans="1:9" x14ac:dyDescent="0.25">
      <c r="A5921" t="s">
        <v>9616</v>
      </c>
      <c r="C5921" t="s">
        <v>9617</v>
      </c>
      <c r="D5921" t="s">
        <v>13030</v>
      </c>
      <c r="E5921" t="s">
        <v>13031</v>
      </c>
      <c r="F5921" s="1">
        <v>46089</v>
      </c>
      <c r="G5921" t="str">
        <f>"300321"</f>
        <v>300321</v>
      </c>
      <c r="H5921" t="s">
        <v>2706</v>
      </c>
      <c r="I5921">
        <v>23400</v>
      </c>
    </row>
    <row r="5922" spans="1:9" x14ac:dyDescent="0.25">
      <c r="A5922" t="s">
        <v>9616</v>
      </c>
      <c r="C5922" t="s">
        <v>9617</v>
      </c>
      <c r="D5922" t="s">
        <v>13032</v>
      </c>
      <c r="E5922" t="s">
        <v>13033</v>
      </c>
      <c r="F5922" s="1">
        <v>46089</v>
      </c>
      <c r="G5922" t="str">
        <f>"300321"</f>
        <v>300321</v>
      </c>
      <c r="H5922" t="s">
        <v>2706</v>
      </c>
      <c r="I5922">
        <v>23400</v>
      </c>
    </row>
    <row r="5923" spans="1:9" x14ac:dyDescent="0.25">
      <c r="A5923" t="s">
        <v>9616</v>
      </c>
      <c r="C5923" t="s">
        <v>9617</v>
      </c>
      <c r="D5923" t="str">
        <f>"17137"</f>
        <v>17137</v>
      </c>
      <c r="E5923" t="s">
        <v>9534</v>
      </c>
      <c r="F5923" s="1">
        <v>46090</v>
      </c>
      <c r="G5923" t="str">
        <f>"300043"</f>
        <v>300043</v>
      </c>
      <c r="H5923" t="s">
        <v>2876</v>
      </c>
      <c r="I5923">
        <v>9630</v>
      </c>
    </row>
    <row r="5924" spans="1:9" x14ac:dyDescent="0.25">
      <c r="A5924" t="s">
        <v>9616</v>
      </c>
      <c r="C5924" t="s">
        <v>9617</v>
      </c>
      <c r="D5924" t="str">
        <f>"20965"</f>
        <v>20965</v>
      </c>
      <c r="E5924" t="s">
        <v>13031</v>
      </c>
      <c r="F5924" s="1">
        <v>46090</v>
      </c>
      <c r="G5924" t="str">
        <f>"300043"</f>
        <v>300043</v>
      </c>
      <c r="H5924" t="s">
        <v>2876</v>
      </c>
      <c r="I5924">
        <v>1384</v>
      </c>
    </row>
    <row r="5925" spans="1:9" x14ac:dyDescent="0.25">
      <c r="A5925" t="s">
        <v>9616</v>
      </c>
      <c r="C5925" t="s">
        <v>9617</v>
      </c>
      <c r="D5925" t="str">
        <f>"20974"</f>
        <v>20974</v>
      </c>
      <c r="E5925" t="s">
        <v>13034</v>
      </c>
      <c r="F5925" s="1">
        <v>46090</v>
      </c>
      <c r="G5925" t="str">
        <f>"300043"</f>
        <v>300043</v>
      </c>
      <c r="H5925" t="s">
        <v>2876</v>
      </c>
      <c r="I5925">
        <v>1308</v>
      </c>
    </row>
    <row r="5926" spans="1:9" x14ac:dyDescent="0.25">
      <c r="A5926" t="s">
        <v>9616</v>
      </c>
      <c r="C5926" t="s">
        <v>9617</v>
      </c>
      <c r="D5926" t="str">
        <f>"21017"</f>
        <v>21017</v>
      </c>
      <c r="E5926" t="s">
        <v>13033</v>
      </c>
      <c r="F5926" s="1">
        <v>46090</v>
      </c>
      <c r="G5926" t="str">
        <f>"300043"</f>
        <v>300043</v>
      </c>
      <c r="H5926" t="s">
        <v>2876</v>
      </c>
      <c r="I5926">
        <v>1308</v>
      </c>
    </row>
    <row r="5927" spans="1:9" x14ac:dyDescent="0.25">
      <c r="A5927" t="s">
        <v>9616</v>
      </c>
      <c r="C5927" t="s">
        <v>9617</v>
      </c>
      <c r="D5927" t="str">
        <f>"21032"</f>
        <v>21032</v>
      </c>
      <c r="E5927" t="s">
        <v>13035</v>
      </c>
      <c r="F5927" s="1">
        <v>46090</v>
      </c>
      <c r="G5927" t="str">
        <f>"300043"</f>
        <v>300043</v>
      </c>
      <c r="H5927" t="s">
        <v>2876</v>
      </c>
      <c r="I5927">
        <v>1308</v>
      </c>
    </row>
    <row r="5928" spans="1:9" x14ac:dyDescent="0.25">
      <c r="A5928" t="s">
        <v>9616</v>
      </c>
      <c r="C5928" t="s">
        <v>9617</v>
      </c>
      <c r="D5928" t="s">
        <v>13036</v>
      </c>
      <c r="E5928" t="s">
        <v>13034</v>
      </c>
      <c r="F5928" s="1">
        <v>46091</v>
      </c>
      <c r="G5928" t="str">
        <f>"300321"</f>
        <v>300321</v>
      </c>
      <c r="H5928" t="s">
        <v>2706</v>
      </c>
      <c r="I5928">
        <v>27300</v>
      </c>
    </row>
    <row r="5929" spans="1:9" x14ac:dyDescent="0.25">
      <c r="A5929" t="s">
        <v>9616</v>
      </c>
      <c r="C5929" t="s">
        <v>9617</v>
      </c>
      <c r="D5929" t="s">
        <v>13037</v>
      </c>
      <c r="E5929" t="s">
        <v>13035</v>
      </c>
      <c r="F5929" s="1">
        <v>46091</v>
      </c>
      <c r="G5929" t="str">
        <f>"300321"</f>
        <v>300321</v>
      </c>
      <c r="H5929" t="s">
        <v>2706</v>
      </c>
      <c r="I5929">
        <v>23400</v>
      </c>
    </row>
    <row r="5930" spans="1:9" x14ac:dyDescent="0.25">
      <c r="A5930" t="s">
        <v>9616</v>
      </c>
      <c r="C5930" t="s">
        <v>9617</v>
      </c>
      <c r="D5930" t="s">
        <v>13038</v>
      </c>
      <c r="E5930" t="s">
        <v>11514</v>
      </c>
      <c r="F5930" s="1">
        <v>46091</v>
      </c>
      <c r="G5930" t="str">
        <f>"300375"</f>
        <v>300375</v>
      </c>
      <c r="H5930" t="s">
        <v>3112</v>
      </c>
      <c r="I5930">
        <v>192352.5956</v>
      </c>
    </row>
    <row r="5931" spans="1:9" x14ac:dyDescent="0.25">
      <c r="A5931" t="s">
        <v>9616</v>
      </c>
      <c r="C5931" t="s">
        <v>9617</v>
      </c>
      <c r="D5931" t="str">
        <f>"80213920"</f>
        <v>80213920</v>
      </c>
      <c r="E5931" t="s">
        <v>12096</v>
      </c>
      <c r="F5931" s="1">
        <v>46092</v>
      </c>
      <c r="G5931" t="str">
        <f>"300381"</f>
        <v>300381</v>
      </c>
      <c r="H5931" t="s">
        <v>3118</v>
      </c>
      <c r="I5931">
        <v>333907.20000000001</v>
      </c>
    </row>
    <row r="5932" spans="1:9" x14ac:dyDescent="0.25">
      <c r="A5932" t="s">
        <v>9616</v>
      </c>
      <c r="C5932" t="s">
        <v>9617</v>
      </c>
      <c r="D5932" t="str">
        <f>"80214050"</f>
        <v>80214050</v>
      </c>
      <c r="E5932" t="s">
        <v>8852</v>
      </c>
      <c r="F5932" s="1">
        <v>46092</v>
      </c>
      <c r="G5932" t="str">
        <f>"300381"</f>
        <v>300381</v>
      </c>
      <c r="H5932" t="s">
        <v>3118</v>
      </c>
      <c r="I5932">
        <v>350749.87199999997</v>
      </c>
    </row>
    <row r="5933" spans="1:9" x14ac:dyDescent="0.25">
      <c r="A5933" t="s">
        <v>9616</v>
      </c>
      <c r="C5933" t="s">
        <v>9617</v>
      </c>
      <c r="D5933" t="str">
        <f>"123"</f>
        <v>123</v>
      </c>
      <c r="E5933" t="s">
        <v>9535</v>
      </c>
      <c r="F5933" s="1">
        <v>46094</v>
      </c>
      <c r="G5933" t="str">
        <f>"300043"</f>
        <v>300043</v>
      </c>
      <c r="H5933" t="s">
        <v>2876</v>
      </c>
      <c r="I5933">
        <v>2404</v>
      </c>
    </row>
    <row r="5934" spans="1:9" x14ac:dyDescent="0.25">
      <c r="A5934" t="s">
        <v>9616</v>
      </c>
      <c r="C5934" t="s">
        <v>9617</v>
      </c>
      <c r="D5934" t="str">
        <f>"23006"</f>
        <v>23006</v>
      </c>
      <c r="E5934" t="s">
        <v>13039</v>
      </c>
      <c r="F5934" s="1">
        <v>46094</v>
      </c>
      <c r="G5934" t="str">
        <f>"300043"</f>
        <v>300043</v>
      </c>
      <c r="H5934" t="s">
        <v>2876</v>
      </c>
      <c r="I5934">
        <v>1377</v>
      </c>
    </row>
    <row r="5935" spans="1:9" x14ac:dyDescent="0.25">
      <c r="A5935" t="s">
        <v>9616</v>
      </c>
      <c r="C5935" t="s">
        <v>9617</v>
      </c>
      <c r="D5935" t="str">
        <f>"23014"</f>
        <v>23014</v>
      </c>
      <c r="E5935" t="s">
        <v>13040</v>
      </c>
      <c r="F5935" s="1">
        <v>46094</v>
      </c>
      <c r="G5935" t="str">
        <f>"300043"</f>
        <v>300043</v>
      </c>
      <c r="H5935" t="s">
        <v>2876</v>
      </c>
      <c r="I5935">
        <v>1316</v>
      </c>
    </row>
    <row r="5936" spans="1:9" x14ac:dyDescent="0.25">
      <c r="A5936" t="s">
        <v>9616</v>
      </c>
      <c r="C5936" t="s">
        <v>9617</v>
      </c>
      <c r="D5936" t="s">
        <v>13041</v>
      </c>
      <c r="E5936" t="s">
        <v>9519</v>
      </c>
      <c r="F5936" s="1">
        <v>46094</v>
      </c>
      <c r="G5936" t="str">
        <f>"300133"</f>
        <v>300133</v>
      </c>
      <c r="H5936" t="s">
        <v>2955</v>
      </c>
      <c r="I5936">
        <v>21106.799999999999</v>
      </c>
    </row>
    <row r="5937" spans="1:9" x14ac:dyDescent="0.25">
      <c r="A5937" t="s">
        <v>9616</v>
      </c>
      <c r="C5937" t="s">
        <v>9617</v>
      </c>
      <c r="D5937" t="str">
        <f>"80211575"</f>
        <v>80211575</v>
      </c>
      <c r="E5937" t="s">
        <v>2793</v>
      </c>
      <c r="F5937" s="1">
        <v>46094</v>
      </c>
      <c r="G5937" t="str">
        <f>"300381"</f>
        <v>300381</v>
      </c>
      <c r="H5937" t="s">
        <v>3118</v>
      </c>
      <c r="I5937">
        <v>324160.69400000002</v>
      </c>
    </row>
    <row r="5938" spans="1:9" x14ac:dyDescent="0.25">
      <c r="A5938" t="s">
        <v>9616</v>
      </c>
      <c r="C5938" t="s">
        <v>9617</v>
      </c>
      <c r="D5938" t="str">
        <f>"80214051"</f>
        <v>80214051</v>
      </c>
      <c r="E5938" t="s">
        <v>8852</v>
      </c>
      <c r="F5938" s="1">
        <v>46094</v>
      </c>
      <c r="G5938" t="str">
        <f>"300381"</f>
        <v>300381</v>
      </c>
      <c r="H5938" t="s">
        <v>3118</v>
      </c>
      <c r="I5938">
        <v>349816.89600000001</v>
      </c>
    </row>
    <row r="5939" spans="1:9" x14ac:dyDescent="0.25">
      <c r="A5939" t="s">
        <v>9616</v>
      </c>
      <c r="C5939" t="s">
        <v>9617</v>
      </c>
      <c r="D5939" t="str">
        <f>"80214181"</f>
        <v>80214181</v>
      </c>
      <c r="E5939" t="s">
        <v>13042</v>
      </c>
      <c r="F5939" s="1">
        <v>46094</v>
      </c>
      <c r="G5939" t="str">
        <f>"300381"</f>
        <v>300381</v>
      </c>
      <c r="H5939" t="s">
        <v>3118</v>
      </c>
      <c r="I5939">
        <v>333907.20000000001</v>
      </c>
    </row>
    <row r="5940" spans="1:9" x14ac:dyDescent="0.25">
      <c r="A5940" t="s">
        <v>9616</v>
      </c>
      <c r="C5940" t="s">
        <v>9617</v>
      </c>
      <c r="D5940" t="s">
        <v>13043</v>
      </c>
      <c r="E5940" t="s">
        <v>13035</v>
      </c>
      <c r="F5940" s="1">
        <v>46094</v>
      </c>
      <c r="G5940" t="str">
        <f t="shared" ref="G5940:G5946" si="32">"300423"</f>
        <v>300423</v>
      </c>
      <c r="H5940" t="s">
        <v>3156</v>
      </c>
      <c r="I5940">
        <v>3543.96</v>
      </c>
    </row>
    <row r="5941" spans="1:9" x14ac:dyDescent="0.25">
      <c r="A5941" t="s">
        <v>9616</v>
      </c>
      <c r="C5941" t="s">
        <v>9617</v>
      </c>
      <c r="D5941" t="s">
        <v>13044</v>
      </c>
      <c r="E5941" t="s">
        <v>13034</v>
      </c>
      <c r="F5941" s="1">
        <v>46094</v>
      </c>
      <c r="G5941" t="str">
        <f t="shared" si="32"/>
        <v>300423</v>
      </c>
      <c r="H5941" t="s">
        <v>3156</v>
      </c>
      <c r="I5941">
        <v>3878.69</v>
      </c>
    </row>
    <row r="5942" spans="1:9" x14ac:dyDescent="0.25">
      <c r="A5942" t="s">
        <v>9616</v>
      </c>
      <c r="C5942" t="s">
        <v>9617</v>
      </c>
      <c r="D5942" t="s">
        <v>13045</v>
      </c>
      <c r="E5942" t="s">
        <v>13033</v>
      </c>
      <c r="F5942" s="1">
        <v>46094</v>
      </c>
      <c r="G5942" t="str">
        <f t="shared" si="32"/>
        <v>300423</v>
      </c>
      <c r="H5942" t="s">
        <v>3156</v>
      </c>
      <c r="I5942">
        <v>3878.69</v>
      </c>
    </row>
    <row r="5943" spans="1:9" x14ac:dyDescent="0.25">
      <c r="A5943" t="s">
        <v>9616</v>
      </c>
      <c r="C5943" t="s">
        <v>9617</v>
      </c>
      <c r="D5943" t="s">
        <v>13046</v>
      </c>
      <c r="E5943" t="s">
        <v>13047</v>
      </c>
      <c r="F5943" s="1">
        <v>46094</v>
      </c>
      <c r="G5943" t="str">
        <f t="shared" si="32"/>
        <v>300423</v>
      </c>
      <c r="H5943" t="s">
        <v>3156</v>
      </c>
      <c r="I5943">
        <v>3878.69</v>
      </c>
    </row>
    <row r="5944" spans="1:9" x14ac:dyDescent="0.25">
      <c r="A5944" t="s">
        <v>9616</v>
      </c>
      <c r="C5944" t="s">
        <v>9617</v>
      </c>
      <c r="D5944" t="s">
        <v>13048</v>
      </c>
      <c r="E5944" t="s">
        <v>13022</v>
      </c>
      <c r="F5944" s="1">
        <v>46094</v>
      </c>
      <c r="G5944" t="str">
        <f t="shared" si="32"/>
        <v>300423</v>
      </c>
      <c r="H5944" t="s">
        <v>3156</v>
      </c>
      <c r="I5944">
        <v>3209.23</v>
      </c>
    </row>
    <row r="5945" spans="1:9" x14ac:dyDescent="0.25">
      <c r="A5945" t="s">
        <v>9616</v>
      </c>
      <c r="C5945" t="s">
        <v>9617</v>
      </c>
      <c r="D5945" t="s">
        <v>13049</v>
      </c>
      <c r="E5945" t="s">
        <v>13021</v>
      </c>
      <c r="F5945" s="1">
        <v>46094</v>
      </c>
      <c r="G5945" t="str">
        <f t="shared" si="32"/>
        <v>300423</v>
      </c>
      <c r="H5945" t="s">
        <v>3156</v>
      </c>
      <c r="I5945">
        <v>3209.23</v>
      </c>
    </row>
    <row r="5946" spans="1:9" x14ac:dyDescent="0.25">
      <c r="A5946" t="s">
        <v>9616</v>
      </c>
      <c r="C5946" t="s">
        <v>9617</v>
      </c>
      <c r="D5946" t="s">
        <v>13050</v>
      </c>
      <c r="E5946" t="s">
        <v>13023</v>
      </c>
      <c r="F5946" s="1">
        <v>46094</v>
      </c>
      <c r="G5946" t="str">
        <f t="shared" si="32"/>
        <v>300423</v>
      </c>
      <c r="H5946" t="s">
        <v>3156</v>
      </c>
      <c r="I5946">
        <v>3209.23</v>
      </c>
    </row>
    <row r="5947" spans="1:9" x14ac:dyDescent="0.25">
      <c r="A5947" t="s">
        <v>9616</v>
      </c>
      <c r="C5947" t="s">
        <v>9617</v>
      </c>
      <c r="D5947" t="s">
        <v>13051</v>
      </c>
      <c r="E5947" t="s">
        <v>13040</v>
      </c>
      <c r="F5947" s="1">
        <v>46095</v>
      </c>
      <c r="G5947" t="str">
        <f>"300321"</f>
        <v>300321</v>
      </c>
      <c r="H5947" t="s">
        <v>2706</v>
      </c>
      <c r="I5947">
        <v>27300</v>
      </c>
    </row>
    <row r="5948" spans="1:9" x14ac:dyDescent="0.25">
      <c r="A5948" t="s">
        <v>9616</v>
      </c>
      <c r="C5948" t="s">
        <v>9617</v>
      </c>
      <c r="D5948" t="str">
        <f>"23954"</f>
        <v>23954</v>
      </c>
      <c r="E5948" t="s">
        <v>13052</v>
      </c>
      <c r="F5948" s="1">
        <v>46097</v>
      </c>
      <c r="G5948" t="str">
        <f>"300043"</f>
        <v>300043</v>
      </c>
      <c r="H5948" t="s">
        <v>2876</v>
      </c>
      <c r="I5948">
        <v>1362</v>
      </c>
    </row>
    <row r="5949" spans="1:9" x14ac:dyDescent="0.25">
      <c r="A5949" t="s">
        <v>9616</v>
      </c>
      <c r="C5949" t="s">
        <v>9617</v>
      </c>
      <c r="D5949" t="str">
        <f>"24045"</f>
        <v>24045</v>
      </c>
      <c r="E5949" t="s">
        <v>13053</v>
      </c>
      <c r="F5949" s="1">
        <v>46097</v>
      </c>
      <c r="G5949" t="str">
        <f>"300043"</f>
        <v>300043</v>
      </c>
      <c r="H5949" t="s">
        <v>2876</v>
      </c>
      <c r="I5949">
        <v>1278</v>
      </c>
    </row>
    <row r="5950" spans="1:9" x14ac:dyDescent="0.25">
      <c r="A5950" t="s">
        <v>9616</v>
      </c>
      <c r="C5950" t="s">
        <v>9617</v>
      </c>
      <c r="D5950" t="str">
        <f>"10175191"</f>
        <v>10175191</v>
      </c>
      <c r="E5950" t="s">
        <v>9438</v>
      </c>
      <c r="F5950" s="1">
        <v>46097</v>
      </c>
      <c r="G5950" t="str">
        <f>"300115"</f>
        <v>300115</v>
      </c>
      <c r="H5950" t="s">
        <v>2938</v>
      </c>
      <c r="I5950">
        <v>346264.28100000002</v>
      </c>
    </row>
    <row r="5951" spans="1:9" x14ac:dyDescent="0.25">
      <c r="A5951" t="s">
        <v>9616</v>
      </c>
      <c r="C5951" t="s">
        <v>9617</v>
      </c>
      <c r="D5951" t="str">
        <f>"0010175162"</f>
        <v>0010175162</v>
      </c>
      <c r="E5951" t="s">
        <v>9438</v>
      </c>
      <c r="F5951" s="1">
        <v>46097</v>
      </c>
      <c r="G5951" t="str">
        <f>"300115"</f>
        <v>300115</v>
      </c>
      <c r="H5951" t="s">
        <v>2938</v>
      </c>
      <c r="I5951">
        <v>346283.685</v>
      </c>
    </row>
    <row r="5952" spans="1:9" x14ac:dyDescent="0.25">
      <c r="A5952" t="s">
        <v>9616</v>
      </c>
      <c r="C5952" t="s">
        <v>9617</v>
      </c>
      <c r="D5952" t="str">
        <f>"80213921"</f>
        <v>80213921</v>
      </c>
      <c r="E5952" t="s">
        <v>13054</v>
      </c>
      <c r="F5952" s="1">
        <v>46097</v>
      </c>
      <c r="G5952" t="str">
        <f>"300381"</f>
        <v>300381</v>
      </c>
      <c r="H5952" t="s">
        <v>3118</v>
      </c>
      <c r="I5952">
        <v>333907.20000000001</v>
      </c>
    </row>
    <row r="5953" spans="1:9" x14ac:dyDescent="0.25">
      <c r="A5953" t="s">
        <v>9616</v>
      </c>
      <c r="C5953" t="s">
        <v>9617</v>
      </c>
      <c r="D5953" t="str">
        <f>"23986"</f>
        <v>23986</v>
      </c>
      <c r="E5953" t="s">
        <v>13055</v>
      </c>
      <c r="F5953" s="1">
        <v>46098</v>
      </c>
      <c r="G5953" t="str">
        <f>"300043"</f>
        <v>300043</v>
      </c>
      <c r="H5953" t="s">
        <v>2876</v>
      </c>
      <c r="I5953">
        <v>1309</v>
      </c>
    </row>
    <row r="5954" spans="1:9" x14ac:dyDescent="0.25">
      <c r="A5954" t="s">
        <v>9616</v>
      </c>
      <c r="C5954" t="s">
        <v>9617</v>
      </c>
      <c r="D5954" t="str">
        <f>"3574"</f>
        <v>3574</v>
      </c>
      <c r="E5954" t="s">
        <v>9535</v>
      </c>
      <c r="F5954" s="1">
        <v>46099</v>
      </c>
      <c r="G5954" t="str">
        <f>"300043"</f>
        <v>300043</v>
      </c>
      <c r="H5954" t="s">
        <v>2876</v>
      </c>
      <c r="I5954">
        <v>3006</v>
      </c>
    </row>
    <row r="5955" spans="1:9" x14ac:dyDescent="0.25">
      <c r="A5955" t="s">
        <v>9616</v>
      </c>
      <c r="C5955" t="s">
        <v>9617</v>
      </c>
      <c r="D5955" t="str">
        <f>"24956"</f>
        <v>24956</v>
      </c>
      <c r="E5955" t="s">
        <v>13056</v>
      </c>
      <c r="F5955" s="1">
        <v>46099</v>
      </c>
      <c r="G5955" t="str">
        <f>"300043"</f>
        <v>300043</v>
      </c>
      <c r="H5955" t="s">
        <v>2876</v>
      </c>
      <c r="I5955">
        <v>1319</v>
      </c>
    </row>
    <row r="5956" spans="1:9" x14ac:dyDescent="0.25">
      <c r="A5956" t="s">
        <v>9616</v>
      </c>
      <c r="C5956" t="s">
        <v>9617</v>
      </c>
      <c r="D5956" t="s">
        <v>13057</v>
      </c>
      <c r="E5956" t="s">
        <v>13053</v>
      </c>
      <c r="F5956" s="1">
        <v>46099</v>
      </c>
      <c r="G5956" t="str">
        <f>"300321"</f>
        <v>300321</v>
      </c>
      <c r="H5956" t="s">
        <v>2706</v>
      </c>
      <c r="I5956">
        <v>23400</v>
      </c>
    </row>
    <row r="5957" spans="1:9" x14ac:dyDescent="0.25">
      <c r="A5957" t="s">
        <v>9616</v>
      </c>
      <c r="C5957" t="s">
        <v>9617</v>
      </c>
      <c r="D5957" t="str">
        <f>"80214377"</f>
        <v>80214377</v>
      </c>
      <c r="E5957" t="s">
        <v>9438</v>
      </c>
      <c r="F5957" s="1">
        <v>46099</v>
      </c>
      <c r="G5957" t="str">
        <f>"300381"</f>
        <v>300381</v>
      </c>
      <c r="H5957" t="s">
        <v>3118</v>
      </c>
      <c r="I5957">
        <v>333907.20000000001</v>
      </c>
    </row>
    <row r="5958" spans="1:9" x14ac:dyDescent="0.25">
      <c r="A5958" t="s">
        <v>9616</v>
      </c>
      <c r="C5958" t="s">
        <v>9617</v>
      </c>
      <c r="D5958" t="str">
        <f>"80214388"</f>
        <v>80214388</v>
      </c>
      <c r="E5958" t="s">
        <v>9517</v>
      </c>
      <c r="F5958" s="1">
        <v>46099</v>
      </c>
      <c r="G5958" t="str">
        <f>"300381"</f>
        <v>300381</v>
      </c>
      <c r="H5958" t="s">
        <v>3118</v>
      </c>
      <c r="I5958">
        <v>333907.20000000001</v>
      </c>
    </row>
    <row r="5959" spans="1:9" x14ac:dyDescent="0.25">
      <c r="A5959" t="s">
        <v>9616</v>
      </c>
      <c r="C5959" t="s">
        <v>9617</v>
      </c>
      <c r="D5959" t="str">
        <f>"3898"</f>
        <v>3898</v>
      </c>
      <c r="E5959" t="s">
        <v>9535</v>
      </c>
      <c r="F5959" s="1">
        <v>46100</v>
      </c>
      <c r="G5959" t="str">
        <f>"300043"</f>
        <v>300043</v>
      </c>
      <c r="H5959" t="s">
        <v>2876</v>
      </c>
      <c r="I5959">
        <v>3010</v>
      </c>
    </row>
    <row r="5960" spans="1:9" x14ac:dyDescent="0.25">
      <c r="A5960" t="s">
        <v>9616</v>
      </c>
      <c r="C5960" t="s">
        <v>9617</v>
      </c>
      <c r="D5960" t="s">
        <v>13058</v>
      </c>
      <c r="E5960" t="s">
        <v>13052</v>
      </c>
      <c r="F5960" s="1">
        <v>46100</v>
      </c>
      <c r="G5960" t="str">
        <f>"300321"</f>
        <v>300321</v>
      </c>
      <c r="H5960" t="s">
        <v>2706</v>
      </c>
      <c r="I5960">
        <v>23400</v>
      </c>
    </row>
    <row r="5961" spans="1:9" x14ac:dyDescent="0.25">
      <c r="A5961" t="s">
        <v>9616</v>
      </c>
      <c r="C5961" t="s">
        <v>9617</v>
      </c>
      <c r="D5961" t="s">
        <v>13059</v>
      </c>
      <c r="E5961" t="s">
        <v>13055</v>
      </c>
      <c r="F5961" s="1">
        <v>46100</v>
      </c>
      <c r="G5961" t="str">
        <f>"300321"</f>
        <v>300321</v>
      </c>
      <c r="H5961" t="s">
        <v>2706</v>
      </c>
      <c r="I5961">
        <v>23400</v>
      </c>
    </row>
    <row r="5962" spans="1:9" x14ac:dyDescent="0.25">
      <c r="A5962" t="s">
        <v>9616</v>
      </c>
      <c r="C5962" t="s">
        <v>9617</v>
      </c>
      <c r="D5962" t="s">
        <v>13060</v>
      </c>
      <c r="E5962" t="s">
        <v>13061</v>
      </c>
      <c r="F5962" s="1">
        <v>46103</v>
      </c>
      <c r="G5962" t="str">
        <f>"300321"</f>
        <v>300321</v>
      </c>
      <c r="H5962" t="s">
        <v>2706</v>
      </c>
      <c r="I5962">
        <v>23400</v>
      </c>
    </row>
    <row r="5963" spans="1:9" x14ac:dyDescent="0.25">
      <c r="A5963" t="s">
        <v>9616</v>
      </c>
      <c r="C5963" t="s">
        <v>9617</v>
      </c>
      <c r="D5963" t="s">
        <v>13062</v>
      </c>
      <c r="E5963" t="s">
        <v>11856</v>
      </c>
      <c r="F5963" s="1">
        <v>46104</v>
      </c>
      <c r="G5963" t="str">
        <f>"300237"</f>
        <v>300237</v>
      </c>
      <c r="H5963" t="s">
        <v>3036</v>
      </c>
      <c r="I5963">
        <v>111804</v>
      </c>
    </row>
    <row r="5964" spans="1:9" x14ac:dyDescent="0.25">
      <c r="A5964" t="s">
        <v>9616</v>
      </c>
      <c r="C5964" t="s">
        <v>9617</v>
      </c>
      <c r="D5964" t="str">
        <f>"26258"</f>
        <v>26258</v>
      </c>
      <c r="E5964" t="s">
        <v>13061</v>
      </c>
      <c r="F5964" s="1">
        <v>46105</v>
      </c>
      <c r="G5964" t="str">
        <f>"300043"</f>
        <v>300043</v>
      </c>
      <c r="H5964" t="s">
        <v>2876</v>
      </c>
      <c r="I5964">
        <v>1306</v>
      </c>
    </row>
    <row r="5965" spans="1:9" x14ac:dyDescent="0.25">
      <c r="A5965" t="s">
        <v>9616</v>
      </c>
      <c r="C5965" t="s">
        <v>9617</v>
      </c>
      <c r="D5965" t="str">
        <f>"26307"</f>
        <v>26307</v>
      </c>
      <c r="E5965" t="s">
        <v>13063</v>
      </c>
      <c r="F5965" s="1">
        <v>46105</v>
      </c>
      <c r="G5965" t="str">
        <f>"300043"</f>
        <v>300043</v>
      </c>
      <c r="H5965" t="s">
        <v>2876</v>
      </c>
      <c r="I5965">
        <v>1288</v>
      </c>
    </row>
    <row r="5966" spans="1:9" x14ac:dyDescent="0.25">
      <c r="A5966" t="s">
        <v>9616</v>
      </c>
      <c r="C5966" t="s">
        <v>9617</v>
      </c>
      <c r="D5966" t="str">
        <f>"26080"</f>
        <v>26080</v>
      </c>
      <c r="E5966" t="s">
        <v>13064</v>
      </c>
      <c r="F5966" s="1">
        <v>46106</v>
      </c>
      <c r="G5966" t="str">
        <f>"300043"</f>
        <v>300043</v>
      </c>
      <c r="H5966" t="s">
        <v>2876</v>
      </c>
      <c r="I5966">
        <v>1306</v>
      </c>
    </row>
    <row r="5967" spans="1:9" x14ac:dyDescent="0.25">
      <c r="A5967" t="s">
        <v>9616</v>
      </c>
      <c r="C5967" t="s">
        <v>9617</v>
      </c>
      <c r="D5967" t="str">
        <f>"38095"</f>
        <v>38095</v>
      </c>
      <c r="E5967" t="s">
        <v>13065</v>
      </c>
      <c r="F5967" s="1">
        <v>46106</v>
      </c>
      <c r="G5967" t="str">
        <f>"300043"</f>
        <v>300043</v>
      </c>
      <c r="H5967" t="s">
        <v>2876</v>
      </c>
      <c r="I5967">
        <v>1276</v>
      </c>
    </row>
    <row r="5968" spans="1:9" x14ac:dyDescent="0.25">
      <c r="A5968" t="s">
        <v>9616</v>
      </c>
      <c r="C5968" t="s">
        <v>9617</v>
      </c>
      <c r="D5968" t="s">
        <v>13066</v>
      </c>
      <c r="E5968" t="s">
        <v>11648</v>
      </c>
      <c r="F5968" s="1">
        <v>46106</v>
      </c>
      <c r="G5968" t="str">
        <f>"300133"</f>
        <v>300133</v>
      </c>
      <c r="H5968" t="s">
        <v>2955</v>
      </c>
      <c r="I5968">
        <v>71186.399999999994</v>
      </c>
    </row>
    <row r="5969" spans="1:9" x14ac:dyDescent="0.25">
      <c r="A5969" t="s">
        <v>9616</v>
      </c>
      <c r="C5969" t="s">
        <v>9617</v>
      </c>
      <c r="D5969" t="s">
        <v>13067</v>
      </c>
      <c r="E5969" t="s">
        <v>13052</v>
      </c>
      <c r="F5969" s="1">
        <v>46106</v>
      </c>
      <c r="G5969" t="str">
        <f t="shared" ref="G5969:G5974" si="33">"300423"</f>
        <v>300423</v>
      </c>
      <c r="H5969" t="s">
        <v>3156</v>
      </c>
      <c r="I5969">
        <v>3886.34</v>
      </c>
    </row>
    <row r="5970" spans="1:9" x14ac:dyDescent="0.25">
      <c r="A5970" t="s">
        <v>9616</v>
      </c>
      <c r="C5970" t="s">
        <v>9617</v>
      </c>
      <c r="D5970" t="s">
        <v>13068</v>
      </c>
      <c r="E5970" t="s">
        <v>13053</v>
      </c>
      <c r="F5970" s="1">
        <v>46106</v>
      </c>
      <c r="G5970" t="str">
        <f t="shared" si="33"/>
        <v>300423</v>
      </c>
      <c r="H5970" t="s">
        <v>3156</v>
      </c>
      <c r="I5970">
        <v>3550.72</v>
      </c>
    </row>
    <row r="5971" spans="1:9" x14ac:dyDescent="0.25">
      <c r="A5971" t="s">
        <v>9616</v>
      </c>
      <c r="C5971" t="s">
        <v>9617</v>
      </c>
      <c r="D5971" t="s">
        <v>13069</v>
      </c>
      <c r="E5971" t="s">
        <v>13055</v>
      </c>
      <c r="F5971" s="1">
        <v>46106</v>
      </c>
      <c r="G5971" t="str">
        <f t="shared" si="33"/>
        <v>300423</v>
      </c>
      <c r="H5971" t="s">
        <v>3156</v>
      </c>
      <c r="I5971">
        <v>3886.34</v>
      </c>
    </row>
    <row r="5972" spans="1:9" x14ac:dyDescent="0.25">
      <c r="A5972" t="s">
        <v>9616</v>
      </c>
      <c r="C5972" t="s">
        <v>9617</v>
      </c>
      <c r="D5972" t="s">
        <v>13070</v>
      </c>
      <c r="E5972" t="s">
        <v>13056</v>
      </c>
      <c r="F5972" s="1">
        <v>46106</v>
      </c>
      <c r="G5972" t="str">
        <f t="shared" si="33"/>
        <v>300423</v>
      </c>
      <c r="H5972" t="s">
        <v>3156</v>
      </c>
      <c r="I5972">
        <v>3550.72</v>
      </c>
    </row>
    <row r="5973" spans="1:9" x14ac:dyDescent="0.25">
      <c r="A5973" t="s">
        <v>9616</v>
      </c>
      <c r="C5973" t="s">
        <v>9617</v>
      </c>
      <c r="D5973" t="s">
        <v>13071</v>
      </c>
      <c r="E5973" t="s">
        <v>13040</v>
      </c>
      <c r="F5973" s="1">
        <v>46106</v>
      </c>
      <c r="G5973" t="str">
        <f t="shared" si="33"/>
        <v>300423</v>
      </c>
      <c r="H5973" t="s">
        <v>3156</v>
      </c>
      <c r="I5973">
        <v>3215.1</v>
      </c>
    </row>
    <row r="5974" spans="1:9" x14ac:dyDescent="0.25">
      <c r="A5974" t="s">
        <v>9616</v>
      </c>
      <c r="C5974" t="s">
        <v>9617</v>
      </c>
      <c r="D5974" t="s">
        <v>13072</v>
      </c>
      <c r="E5974" t="s">
        <v>13039</v>
      </c>
      <c r="F5974" s="1">
        <v>46106</v>
      </c>
      <c r="G5974" t="str">
        <f t="shared" si="33"/>
        <v>300423</v>
      </c>
      <c r="H5974" t="s">
        <v>3156</v>
      </c>
      <c r="I5974">
        <v>3215.1</v>
      </c>
    </row>
    <row r="5975" spans="1:9" x14ac:dyDescent="0.25">
      <c r="A5975" t="s">
        <v>9616</v>
      </c>
      <c r="C5975" t="s">
        <v>9617</v>
      </c>
      <c r="D5975" t="str">
        <f>"27515"</f>
        <v>27515</v>
      </c>
      <c r="E5975" t="s">
        <v>13073</v>
      </c>
      <c r="F5975" s="1">
        <v>46107</v>
      </c>
      <c r="G5975" t="str">
        <f>"300043"</f>
        <v>300043</v>
      </c>
      <c r="H5975" t="s">
        <v>2876</v>
      </c>
      <c r="I5975">
        <v>1290</v>
      </c>
    </row>
    <row r="5976" spans="1:9" x14ac:dyDescent="0.25">
      <c r="A5976" t="s">
        <v>9616</v>
      </c>
      <c r="C5976" t="s">
        <v>9617</v>
      </c>
      <c r="D5976" t="s">
        <v>13074</v>
      </c>
      <c r="E5976" t="s">
        <v>9896</v>
      </c>
      <c r="F5976" s="1">
        <v>46107</v>
      </c>
      <c r="G5976" t="str">
        <f>"300133"</f>
        <v>300133</v>
      </c>
      <c r="H5976" t="s">
        <v>2955</v>
      </c>
      <c r="I5976">
        <v>26395.599999999999</v>
      </c>
    </row>
    <row r="5977" spans="1:9" x14ac:dyDescent="0.25">
      <c r="A5977" t="s">
        <v>9616</v>
      </c>
      <c r="C5977" t="s">
        <v>9617</v>
      </c>
      <c r="D5977" t="s">
        <v>13075</v>
      </c>
      <c r="E5977" t="s">
        <v>13064</v>
      </c>
      <c r="F5977" s="1">
        <v>46107</v>
      </c>
      <c r="G5977" t="str">
        <f>"300321"</f>
        <v>300321</v>
      </c>
      <c r="H5977" t="s">
        <v>2706</v>
      </c>
      <c r="I5977">
        <v>27300</v>
      </c>
    </row>
    <row r="5978" spans="1:9" x14ac:dyDescent="0.25">
      <c r="A5978" t="s">
        <v>9616</v>
      </c>
      <c r="C5978" t="s">
        <v>9617</v>
      </c>
      <c r="D5978" t="s">
        <v>13076</v>
      </c>
      <c r="E5978" t="s">
        <v>13065</v>
      </c>
      <c r="F5978" s="1">
        <v>46108</v>
      </c>
      <c r="G5978" t="str">
        <f>"300191"</f>
        <v>300191</v>
      </c>
      <c r="H5978" t="s">
        <v>3008</v>
      </c>
      <c r="I5978">
        <v>28510.92</v>
      </c>
    </row>
    <row r="5979" spans="1:9" x14ac:dyDescent="0.25">
      <c r="A5979" t="s">
        <v>9616</v>
      </c>
      <c r="C5979" t="s">
        <v>9617</v>
      </c>
      <c r="D5979" t="str">
        <f>"4813"</f>
        <v>4813</v>
      </c>
      <c r="E5979" t="s">
        <v>9535</v>
      </c>
      <c r="F5979" s="1">
        <v>46111</v>
      </c>
      <c r="G5979" t="str">
        <f>"300043"</f>
        <v>300043</v>
      </c>
      <c r="H5979" t="s">
        <v>2876</v>
      </c>
      <c r="I5979">
        <v>4232</v>
      </c>
    </row>
    <row r="5980" spans="1:9" x14ac:dyDescent="0.25">
      <c r="A5980" t="s">
        <v>9616</v>
      </c>
      <c r="C5980" t="s">
        <v>9617</v>
      </c>
      <c r="D5980" t="str">
        <f>"80214475"</f>
        <v>80214475</v>
      </c>
      <c r="E5980" t="s">
        <v>2172</v>
      </c>
      <c r="F5980" s="1">
        <v>46111</v>
      </c>
      <c r="G5980" t="str">
        <f>"300381"</f>
        <v>300381</v>
      </c>
      <c r="H5980" t="s">
        <v>3118</v>
      </c>
      <c r="I5980">
        <v>333907.20000000001</v>
      </c>
    </row>
    <row r="5981" spans="1:9" x14ac:dyDescent="0.25">
      <c r="A5981" t="s">
        <v>9616</v>
      </c>
      <c r="C5981" t="s">
        <v>9617</v>
      </c>
      <c r="D5981" t="str">
        <f>"80214819"</f>
        <v>80214819</v>
      </c>
      <c r="E5981" t="s">
        <v>9517</v>
      </c>
      <c r="F5981" s="1">
        <v>46111</v>
      </c>
      <c r="G5981" t="str">
        <f>"300381"</f>
        <v>300381</v>
      </c>
      <c r="H5981" t="s">
        <v>3118</v>
      </c>
      <c r="I5981">
        <v>333907.20000000001</v>
      </c>
    </row>
    <row r="5982" spans="1:9" x14ac:dyDescent="0.25">
      <c r="A5982" t="s">
        <v>9616</v>
      </c>
      <c r="C5982" t="s">
        <v>9617</v>
      </c>
      <c r="D5982" t="s">
        <v>13077</v>
      </c>
      <c r="E5982" t="s">
        <v>13064</v>
      </c>
      <c r="F5982" s="1">
        <v>46111</v>
      </c>
      <c r="G5982" t="str">
        <f>"300423"</f>
        <v>300423</v>
      </c>
      <c r="H5982" t="s">
        <v>3156</v>
      </c>
      <c r="I5982">
        <v>4550.09</v>
      </c>
    </row>
    <row r="5983" spans="1:9" x14ac:dyDescent="0.25">
      <c r="A5983" t="s">
        <v>9616</v>
      </c>
      <c r="C5983" t="s">
        <v>9617</v>
      </c>
      <c r="D5983" t="s">
        <v>13078</v>
      </c>
      <c r="E5983" t="s">
        <v>13061</v>
      </c>
      <c r="F5983" s="1">
        <v>46111</v>
      </c>
      <c r="G5983" t="str">
        <f>"300423"</f>
        <v>300423</v>
      </c>
      <c r="H5983" t="s">
        <v>3156</v>
      </c>
      <c r="I5983">
        <v>3215.1</v>
      </c>
    </row>
    <row r="5984" spans="1:9" x14ac:dyDescent="0.25">
      <c r="A5984" t="s">
        <v>9616</v>
      </c>
      <c r="C5984" t="s">
        <v>9617</v>
      </c>
      <c r="D5984" t="s">
        <v>13079</v>
      </c>
      <c r="E5984" t="s">
        <v>13056</v>
      </c>
      <c r="F5984" s="1">
        <v>46112</v>
      </c>
      <c r="G5984" t="str">
        <f>"300321"</f>
        <v>300321</v>
      </c>
      <c r="H5984" t="s">
        <v>2706</v>
      </c>
      <c r="I5984">
        <v>27300</v>
      </c>
    </row>
    <row r="5985" spans="1:9" x14ac:dyDescent="0.25">
      <c r="A5985" t="s">
        <v>9616</v>
      </c>
      <c r="C5985" t="s">
        <v>9617</v>
      </c>
      <c r="D5985" t="s">
        <v>13080</v>
      </c>
      <c r="E5985" t="s">
        <v>13039</v>
      </c>
      <c r="F5985" s="1">
        <v>46112</v>
      </c>
      <c r="G5985" t="str">
        <f>"300321"</f>
        <v>300321</v>
      </c>
      <c r="H5985" t="s">
        <v>2706</v>
      </c>
      <c r="I5985">
        <v>27300</v>
      </c>
    </row>
    <row r="5986" spans="1:9" x14ac:dyDescent="0.25">
      <c r="A5986" t="s">
        <v>9616</v>
      </c>
      <c r="C5986" t="s">
        <v>9617</v>
      </c>
      <c r="D5986" t="s">
        <v>13081</v>
      </c>
      <c r="E5986" t="s">
        <v>9531</v>
      </c>
      <c r="F5986" s="1">
        <v>46112</v>
      </c>
      <c r="G5986" t="str">
        <f>"300321"</f>
        <v>300321</v>
      </c>
      <c r="H5986" t="s">
        <v>2706</v>
      </c>
      <c r="I5986">
        <v>23400</v>
      </c>
    </row>
    <row r="5987" spans="1:9" x14ac:dyDescent="0.25">
      <c r="A5987" t="s">
        <v>9616</v>
      </c>
      <c r="C5987" t="s">
        <v>9617</v>
      </c>
      <c r="D5987" t="s">
        <v>13082</v>
      </c>
      <c r="E5987" t="s">
        <v>9532</v>
      </c>
      <c r="F5987" s="1">
        <v>46112</v>
      </c>
      <c r="G5987" t="str">
        <f>"300321"</f>
        <v>300321</v>
      </c>
      <c r="H5987" t="s">
        <v>2706</v>
      </c>
      <c r="I5987">
        <v>23400</v>
      </c>
    </row>
    <row r="5988" spans="1:9" x14ac:dyDescent="0.25">
      <c r="A5988" t="s">
        <v>9616</v>
      </c>
      <c r="C5988" t="s">
        <v>9617</v>
      </c>
      <c r="D5988" t="s">
        <v>13083</v>
      </c>
      <c r="E5988" t="s">
        <v>13073</v>
      </c>
      <c r="F5988" s="1">
        <v>46112</v>
      </c>
      <c r="G5988" t="str">
        <f>"300423"</f>
        <v>300423</v>
      </c>
      <c r="H5988" t="s">
        <v>3156</v>
      </c>
      <c r="I5988">
        <v>7578.18</v>
      </c>
    </row>
    <row r="5989" spans="1:9" x14ac:dyDescent="0.25">
      <c r="A5989" t="s">
        <v>9616</v>
      </c>
      <c r="C5989" t="s">
        <v>9617</v>
      </c>
      <c r="D5989" t="s">
        <v>13084</v>
      </c>
      <c r="E5989" t="s">
        <v>13063</v>
      </c>
      <c r="F5989" s="1">
        <v>46112</v>
      </c>
      <c r="G5989" t="str">
        <f>"300423"</f>
        <v>300423</v>
      </c>
      <c r="H5989" t="s">
        <v>3156</v>
      </c>
      <c r="I5989">
        <v>5340.7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FD21-24E6-4D9F-AEFA-E97FEDCA027E}">
  <dimension ref="A3:A888"/>
  <sheetViews>
    <sheetView workbookViewId="0">
      <selection activeCell="A3" sqref="A3"/>
    </sheetView>
  </sheetViews>
  <sheetFormatPr baseColWidth="10" defaultRowHeight="15" x14ac:dyDescent="0.25"/>
  <cols>
    <col min="1" max="1" width="21" bestFit="1" customWidth="1"/>
  </cols>
  <sheetData>
    <row r="3" spans="1:1" x14ac:dyDescent="0.25">
      <c r="A3" s="14" t="s">
        <v>13094</v>
      </c>
    </row>
    <row r="4" spans="1:1" x14ac:dyDescent="0.25">
      <c r="A4" s="15" t="s">
        <v>7660</v>
      </c>
    </row>
    <row r="5" spans="1:1" x14ac:dyDescent="0.25">
      <c r="A5" s="16" t="s">
        <v>6745</v>
      </c>
    </row>
    <row r="6" spans="1:1" x14ac:dyDescent="0.25">
      <c r="A6" s="15" t="s">
        <v>7658</v>
      </c>
    </row>
    <row r="7" spans="1:1" x14ac:dyDescent="0.25">
      <c r="A7" s="16" t="s">
        <v>6745</v>
      </c>
    </row>
    <row r="8" spans="1:1" x14ac:dyDescent="0.25">
      <c r="A8" s="15" t="s">
        <v>7656</v>
      </c>
    </row>
    <row r="9" spans="1:1" x14ac:dyDescent="0.25">
      <c r="A9" s="16" t="s">
        <v>6745</v>
      </c>
    </row>
    <row r="10" spans="1:1" x14ac:dyDescent="0.25">
      <c r="A10" s="15" t="s">
        <v>7654</v>
      </c>
    </row>
    <row r="11" spans="1:1" x14ac:dyDescent="0.25">
      <c r="A11" s="16" t="s">
        <v>6745</v>
      </c>
    </row>
    <row r="12" spans="1:1" x14ac:dyDescent="0.25">
      <c r="A12" s="15" t="s">
        <v>7652</v>
      </c>
    </row>
    <row r="13" spans="1:1" x14ac:dyDescent="0.25">
      <c r="A13" s="16" t="s">
        <v>6745</v>
      </c>
    </row>
    <row r="14" spans="1:1" x14ac:dyDescent="0.25">
      <c r="A14" s="15" t="s">
        <v>7650</v>
      </c>
    </row>
    <row r="15" spans="1:1" x14ac:dyDescent="0.25">
      <c r="A15" s="16" t="s">
        <v>6745</v>
      </c>
    </row>
    <row r="16" spans="1:1" x14ac:dyDescent="0.25">
      <c r="A16" s="15" t="s">
        <v>7648</v>
      </c>
    </row>
    <row r="17" spans="1:1" x14ac:dyDescent="0.25">
      <c r="A17" s="16" t="s">
        <v>6745</v>
      </c>
    </row>
    <row r="18" spans="1:1" x14ac:dyDescent="0.25">
      <c r="A18" s="15" t="s">
        <v>7646</v>
      </c>
    </row>
    <row r="19" spans="1:1" x14ac:dyDescent="0.25">
      <c r="A19" s="16" t="s">
        <v>6745</v>
      </c>
    </row>
    <row r="20" spans="1:1" x14ac:dyDescent="0.25">
      <c r="A20" s="15" t="s">
        <v>7644</v>
      </c>
    </row>
    <row r="21" spans="1:1" x14ac:dyDescent="0.25">
      <c r="A21" s="16" t="s">
        <v>6745</v>
      </c>
    </row>
    <row r="22" spans="1:1" x14ac:dyDescent="0.25">
      <c r="A22" s="15" t="s">
        <v>7642</v>
      </c>
    </row>
    <row r="23" spans="1:1" x14ac:dyDescent="0.25">
      <c r="A23" s="16" t="s">
        <v>6745</v>
      </c>
    </row>
    <row r="24" spans="1:1" x14ac:dyDescent="0.25">
      <c r="A24" s="15" t="s">
        <v>7640</v>
      </c>
    </row>
    <row r="25" spans="1:1" x14ac:dyDescent="0.25">
      <c r="A25" s="16" t="s">
        <v>6745</v>
      </c>
    </row>
    <row r="26" spans="1:1" x14ac:dyDescent="0.25">
      <c r="A26" s="15" t="s">
        <v>7638</v>
      </c>
    </row>
    <row r="27" spans="1:1" x14ac:dyDescent="0.25">
      <c r="A27" s="16" t="s">
        <v>6745</v>
      </c>
    </row>
    <row r="28" spans="1:1" x14ac:dyDescent="0.25">
      <c r="A28" s="15" t="s">
        <v>7636</v>
      </c>
    </row>
    <row r="29" spans="1:1" x14ac:dyDescent="0.25">
      <c r="A29" s="16" t="s">
        <v>6745</v>
      </c>
    </row>
    <row r="30" spans="1:1" x14ac:dyDescent="0.25">
      <c r="A30" s="15" t="s">
        <v>7634</v>
      </c>
    </row>
    <row r="31" spans="1:1" x14ac:dyDescent="0.25">
      <c r="A31" s="16" t="s">
        <v>6745</v>
      </c>
    </row>
    <row r="32" spans="1:1" x14ac:dyDescent="0.25">
      <c r="A32" s="15" t="s">
        <v>7632</v>
      </c>
    </row>
    <row r="33" spans="1:1" x14ac:dyDescent="0.25">
      <c r="A33" s="16" t="s">
        <v>6745</v>
      </c>
    </row>
    <row r="34" spans="1:1" x14ac:dyDescent="0.25">
      <c r="A34" s="15" t="s">
        <v>7630</v>
      </c>
    </row>
    <row r="35" spans="1:1" x14ac:dyDescent="0.25">
      <c r="A35" s="16" t="s">
        <v>6745</v>
      </c>
    </row>
    <row r="36" spans="1:1" x14ac:dyDescent="0.25">
      <c r="A36" s="15" t="s">
        <v>7628</v>
      </c>
    </row>
    <row r="37" spans="1:1" x14ac:dyDescent="0.25">
      <c r="A37" s="16" t="s">
        <v>6745</v>
      </c>
    </row>
    <row r="38" spans="1:1" x14ac:dyDescent="0.25">
      <c r="A38" s="15" t="s">
        <v>7626</v>
      </c>
    </row>
    <row r="39" spans="1:1" x14ac:dyDescent="0.25">
      <c r="A39" s="16" t="s">
        <v>6745</v>
      </c>
    </row>
    <row r="40" spans="1:1" x14ac:dyDescent="0.25">
      <c r="A40" s="15" t="s">
        <v>7624</v>
      </c>
    </row>
    <row r="41" spans="1:1" x14ac:dyDescent="0.25">
      <c r="A41" s="16" t="s">
        <v>6745</v>
      </c>
    </row>
    <row r="42" spans="1:1" x14ac:dyDescent="0.25">
      <c r="A42" s="15" t="s">
        <v>7622</v>
      </c>
    </row>
    <row r="43" spans="1:1" x14ac:dyDescent="0.25">
      <c r="A43" s="16" t="s">
        <v>6745</v>
      </c>
    </row>
    <row r="44" spans="1:1" x14ac:dyDescent="0.25">
      <c r="A44" s="15" t="s">
        <v>7620</v>
      </c>
    </row>
    <row r="45" spans="1:1" x14ac:dyDescent="0.25">
      <c r="A45" s="16" t="s">
        <v>6745</v>
      </c>
    </row>
    <row r="46" spans="1:1" x14ac:dyDescent="0.25">
      <c r="A46" s="15" t="s">
        <v>7618</v>
      </c>
    </row>
    <row r="47" spans="1:1" x14ac:dyDescent="0.25">
      <c r="A47" s="16" t="s">
        <v>6745</v>
      </c>
    </row>
    <row r="48" spans="1:1" x14ac:dyDescent="0.25">
      <c r="A48" s="15" t="s">
        <v>7614</v>
      </c>
    </row>
    <row r="49" spans="1:1" x14ac:dyDescent="0.25">
      <c r="A49" s="16" t="s">
        <v>6745</v>
      </c>
    </row>
    <row r="50" spans="1:1" x14ac:dyDescent="0.25">
      <c r="A50" s="15" t="s">
        <v>7612</v>
      </c>
    </row>
    <row r="51" spans="1:1" x14ac:dyDescent="0.25">
      <c r="A51" s="16" t="s">
        <v>6745</v>
      </c>
    </row>
    <row r="52" spans="1:1" x14ac:dyDescent="0.25">
      <c r="A52" s="15" t="s">
        <v>7610</v>
      </c>
    </row>
    <row r="53" spans="1:1" x14ac:dyDescent="0.25">
      <c r="A53" s="16" t="s">
        <v>6745</v>
      </c>
    </row>
    <row r="54" spans="1:1" x14ac:dyDescent="0.25">
      <c r="A54" s="15" t="s">
        <v>7608</v>
      </c>
    </row>
    <row r="55" spans="1:1" x14ac:dyDescent="0.25">
      <c r="A55" s="16" t="s">
        <v>6745</v>
      </c>
    </row>
    <row r="56" spans="1:1" x14ac:dyDescent="0.25">
      <c r="A56" s="15" t="s">
        <v>7606</v>
      </c>
    </row>
    <row r="57" spans="1:1" x14ac:dyDescent="0.25">
      <c r="A57" s="16" t="s">
        <v>6745</v>
      </c>
    </row>
    <row r="58" spans="1:1" x14ac:dyDescent="0.25">
      <c r="A58" s="15" t="s">
        <v>7604</v>
      </c>
    </row>
    <row r="59" spans="1:1" x14ac:dyDescent="0.25">
      <c r="A59" s="16" t="s">
        <v>6745</v>
      </c>
    </row>
    <row r="60" spans="1:1" x14ac:dyDescent="0.25">
      <c r="A60" s="15" t="s">
        <v>7602</v>
      </c>
    </row>
    <row r="61" spans="1:1" x14ac:dyDescent="0.25">
      <c r="A61" s="16" t="s">
        <v>6745</v>
      </c>
    </row>
    <row r="62" spans="1:1" x14ac:dyDescent="0.25">
      <c r="A62" s="15" t="s">
        <v>7600</v>
      </c>
    </row>
    <row r="63" spans="1:1" x14ac:dyDescent="0.25">
      <c r="A63" s="16" t="s">
        <v>6745</v>
      </c>
    </row>
    <row r="64" spans="1:1" x14ac:dyDescent="0.25">
      <c r="A64" s="15" t="s">
        <v>7598</v>
      </c>
    </row>
    <row r="65" spans="1:1" x14ac:dyDescent="0.25">
      <c r="A65" s="16" t="s">
        <v>6745</v>
      </c>
    </row>
    <row r="66" spans="1:1" x14ac:dyDescent="0.25">
      <c r="A66" s="15" t="s">
        <v>7596</v>
      </c>
    </row>
    <row r="67" spans="1:1" x14ac:dyDescent="0.25">
      <c r="A67" s="16" t="s">
        <v>6745</v>
      </c>
    </row>
    <row r="68" spans="1:1" x14ac:dyDescent="0.25">
      <c r="A68" s="15" t="s">
        <v>7594</v>
      </c>
    </row>
    <row r="69" spans="1:1" x14ac:dyDescent="0.25">
      <c r="A69" s="16" t="s">
        <v>6745</v>
      </c>
    </row>
    <row r="70" spans="1:1" x14ac:dyDescent="0.25">
      <c r="A70" s="15" t="s">
        <v>7592</v>
      </c>
    </row>
    <row r="71" spans="1:1" x14ac:dyDescent="0.25">
      <c r="A71" s="16" t="s">
        <v>6745</v>
      </c>
    </row>
    <row r="72" spans="1:1" x14ac:dyDescent="0.25">
      <c r="A72" s="15" t="s">
        <v>7590</v>
      </c>
    </row>
    <row r="73" spans="1:1" x14ac:dyDescent="0.25">
      <c r="A73" s="16" t="s">
        <v>6745</v>
      </c>
    </row>
    <row r="74" spans="1:1" x14ac:dyDescent="0.25">
      <c r="A74" s="15" t="s">
        <v>7588</v>
      </c>
    </row>
    <row r="75" spans="1:1" x14ac:dyDescent="0.25">
      <c r="A75" s="16" t="s">
        <v>6745</v>
      </c>
    </row>
    <row r="76" spans="1:1" x14ac:dyDescent="0.25">
      <c r="A76" s="15" t="s">
        <v>7586</v>
      </c>
    </row>
    <row r="77" spans="1:1" x14ac:dyDescent="0.25">
      <c r="A77" s="16" t="s">
        <v>6745</v>
      </c>
    </row>
    <row r="78" spans="1:1" x14ac:dyDescent="0.25">
      <c r="A78" s="15" t="s">
        <v>7584</v>
      </c>
    </row>
    <row r="79" spans="1:1" x14ac:dyDescent="0.25">
      <c r="A79" s="16" t="s">
        <v>6745</v>
      </c>
    </row>
    <row r="80" spans="1:1" x14ac:dyDescent="0.25">
      <c r="A80" s="15" t="s">
        <v>7582</v>
      </c>
    </row>
    <row r="81" spans="1:1" x14ac:dyDescent="0.25">
      <c r="A81" s="16" t="s">
        <v>6745</v>
      </c>
    </row>
    <row r="82" spans="1:1" x14ac:dyDescent="0.25">
      <c r="A82" s="15" t="s">
        <v>7580</v>
      </c>
    </row>
    <row r="83" spans="1:1" x14ac:dyDescent="0.25">
      <c r="A83" s="16" t="s">
        <v>6745</v>
      </c>
    </row>
    <row r="84" spans="1:1" x14ac:dyDescent="0.25">
      <c r="A84" s="15" t="s">
        <v>7578</v>
      </c>
    </row>
    <row r="85" spans="1:1" x14ac:dyDescent="0.25">
      <c r="A85" s="16" t="s">
        <v>6745</v>
      </c>
    </row>
    <row r="86" spans="1:1" x14ac:dyDescent="0.25">
      <c r="A86" s="15" t="s">
        <v>7576</v>
      </c>
    </row>
    <row r="87" spans="1:1" x14ac:dyDescent="0.25">
      <c r="A87" s="16" t="s">
        <v>6745</v>
      </c>
    </row>
    <row r="88" spans="1:1" x14ac:dyDescent="0.25">
      <c r="A88" s="15" t="s">
        <v>7574</v>
      </c>
    </row>
    <row r="89" spans="1:1" x14ac:dyDescent="0.25">
      <c r="A89" s="16" t="s">
        <v>6745</v>
      </c>
    </row>
    <row r="90" spans="1:1" x14ac:dyDescent="0.25">
      <c r="A90" s="15" t="s">
        <v>7572</v>
      </c>
    </row>
    <row r="91" spans="1:1" x14ac:dyDescent="0.25">
      <c r="A91" s="16" t="s">
        <v>6745</v>
      </c>
    </row>
    <row r="92" spans="1:1" x14ac:dyDescent="0.25">
      <c r="A92" s="15" t="s">
        <v>7570</v>
      </c>
    </row>
    <row r="93" spans="1:1" x14ac:dyDescent="0.25">
      <c r="A93" s="16" t="s">
        <v>6745</v>
      </c>
    </row>
    <row r="94" spans="1:1" x14ac:dyDescent="0.25">
      <c r="A94" s="15" t="s">
        <v>7568</v>
      </c>
    </row>
    <row r="95" spans="1:1" x14ac:dyDescent="0.25">
      <c r="A95" s="16" t="s">
        <v>6745</v>
      </c>
    </row>
    <row r="96" spans="1:1" x14ac:dyDescent="0.25">
      <c r="A96" s="15" t="s">
        <v>7566</v>
      </c>
    </row>
    <row r="97" spans="1:1" x14ac:dyDescent="0.25">
      <c r="A97" s="16" t="s">
        <v>6745</v>
      </c>
    </row>
    <row r="98" spans="1:1" x14ac:dyDescent="0.25">
      <c r="A98" s="15" t="s">
        <v>7564</v>
      </c>
    </row>
    <row r="99" spans="1:1" x14ac:dyDescent="0.25">
      <c r="A99" s="16" t="s">
        <v>6745</v>
      </c>
    </row>
    <row r="100" spans="1:1" x14ac:dyDescent="0.25">
      <c r="A100" s="15" t="s">
        <v>7562</v>
      </c>
    </row>
    <row r="101" spans="1:1" x14ac:dyDescent="0.25">
      <c r="A101" s="16" t="s">
        <v>6745</v>
      </c>
    </row>
    <row r="102" spans="1:1" x14ac:dyDescent="0.25">
      <c r="A102" s="15" t="s">
        <v>7560</v>
      </c>
    </row>
    <row r="103" spans="1:1" x14ac:dyDescent="0.25">
      <c r="A103" s="16" t="s">
        <v>6745</v>
      </c>
    </row>
    <row r="104" spans="1:1" x14ac:dyDescent="0.25">
      <c r="A104" s="15" t="s">
        <v>7558</v>
      </c>
    </row>
    <row r="105" spans="1:1" x14ac:dyDescent="0.25">
      <c r="A105" s="16" t="s">
        <v>6745</v>
      </c>
    </row>
    <row r="106" spans="1:1" x14ac:dyDescent="0.25">
      <c r="A106" s="15" t="s">
        <v>7556</v>
      </c>
    </row>
    <row r="107" spans="1:1" x14ac:dyDescent="0.25">
      <c r="A107" s="16" t="s">
        <v>6745</v>
      </c>
    </row>
    <row r="108" spans="1:1" x14ac:dyDescent="0.25">
      <c r="A108" s="15" t="s">
        <v>7554</v>
      </c>
    </row>
    <row r="109" spans="1:1" x14ac:dyDescent="0.25">
      <c r="A109" s="16" t="s">
        <v>6745</v>
      </c>
    </row>
    <row r="110" spans="1:1" x14ac:dyDescent="0.25">
      <c r="A110" s="15" t="s">
        <v>7552</v>
      </c>
    </row>
    <row r="111" spans="1:1" x14ac:dyDescent="0.25">
      <c r="A111" s="16" t="s">
        <v>6745</v>
      </c>
    </row>
    <row r="112" spans="1:1" x14ac:dyDescent="0.25">
      <c r="A112" s="15" t="s">
        <v>7550</v>
      </c>
    </row>
    <row r="113" spans="1:1" x14ac:dyDescent="0.25">
      <c r="A113" s="16" t="s">
        <v>6745</v>
      </c>
    </row>
    <row r="114" spans="1:1" x14ac:dyDescent="0.25">
      <c r="A114" s="15" t="s">
        <v>7548</v>
      </c>
    </row>
    <row r="115" spans="1:1" x14ac:dyDescent="0.25">
      <c r="A115" s="16" t="s">
        <v>6745</v>
      </c>
    </row>
    <row r="116" spans="1:1" x14ac:dyDescent="0.25">
      <c r="A116" s="15" t="s">
        <v>7546</v>
      </c>
    </row>
    <row r="117" spans="1:1" x14ac:dyDescent="0.25">
      <c r="A117" s="16" t="s">
        <v>6745</v>
      </c>
    </row>
    <row r="118" spans="1:1" x14ac:dyDescent="0.25">
      <c r="A118" s="15" t="s">
        <v>7544</v>
      </c>
    </row>
    <row r="119" spans="1:1" x14ac:dyDescent="0.25">
      <c r="A119" s="16" t="s">
        <v>6745</v>
      </c>
    </row>
    <row r="120" spans="1:1" x14ac:dyDescent="0.25">
      <c r="A120" s="15" t="s">
        <v>7542</v>
      </c>
    </row>
    <row r="121" spans="1:1" x14ac:dyDescent="0.25">
      <c r="A121" s="16" t="s">
        <v>6745</v>
      </c>
    </row>
    <row r="122" spans="1:1" x14ac:dyDescent="0.25">
      <c r="A122" s="15" t="s">
        <v>7540</v>
      </c>
    </row>
    <row r="123" spans="1:1" x14ac:dyDescent="0.25">
      <c r="A123" s="16" t="s">
        <v>6745</v>
      </c>
    </row>
    <row r="124" spans="1:1" x14ac:dyDescent="0.25">
      <c r="A124" s="15" t="s">
        <v>7538</v>
      </c>
    </row>
    <row r="125" spans="1:1" x14ac:dyDescent="0.25">
      <c r="A125" s="16" t="s">
        <v>6745</v>
      </c>
    </row>
    <row r="126" spans="1:1" x14ac:dyDescent="0.25">
      <c r="A126" s="15" t="s">
        <v>7536</v>
      </c>
    </row>
    <row r="127" spans="1:1" x14ac:dyDescent="0.25">
      <c r="A127" s="16" t="s">
        <v>6745</v>
      </c>
    </row>
    <row r="128" spans="1:1" x14ac:dyDescent="0.25">
      <c r="A128" s="15" t="s">
        <v>7534</v>
      </c>
    </row>
    <row r="129" spans="1:1" x14ac:dyDescent="0.25">
      <c r="A129" s="16" t="s">
        <v>6745</v>
      </c>
    </row>
    <row r="130" spans="1:1" x14ac:dyDescent="0.25">
      <c r="A130" s="15" t="s">
        <v>7532</v>
      </c>
    </row>
    <row r="131" spans="1:1" x14ac:dyDescent="0.25">
      <c r="A131" s="16" t="s">
        <v>6745</v>
      </c>
    </row>
    <row r="132" spans="1:1" x14ac:dyDescent="0.25">
      <c r="A132" s="15" t="s">
        <v>7530</v>
      </c>
    </row>
    <row r="133" spans="1:1" x14ac:dyDescent="0.25">
      <c r="A133" s="16" t="s">
        <v>6745</v>
      </c>
    </row>
    <row r="134" spans="1:1" x14ac:dyDescent="0.25">
      <c r="A134" s="15" t="s">
        <v>7528</v>
      </c>
    </row>
    <row r="135" spans="1:1" x14ac:dyDescent="0.25">
      <c r="A135" s="16" t="s">
        <v>6745</v>
      </c>
    </row>
    <row r="136" spans="1:1" x14ac:dyDescent="0.25">
      <c r="A136" s="15" t="s">
        <v>7526</v>
      </c>
    </row>
    <row r="137" spans="1:1" x14ac:dyDescent="0.25">
      <c r="A137" s="16" t="s">
        <v>6745</v>
      </c>
    </row>
    <row r="138" spans="1:1" x14ac:dyDescent="0.25">
      <c r="A138" s="15" t="s">
        <v>7524</v>
      </c>
    </row>
    <row r="139" spans="1:1" x14ac:dyDescent="0.25">
      <c r="A139" s="16" t="s">
        <v>6745</v>
      </c>
    </row>
    <row r="140" spans="1:1" x14ac:dyDescent="0.25">
      <c r="A140" s="15" t="s">
        <v>7522</v>
      </c>
    </row>
    <row r="141" spans="1:1" x14ac:dyDescent="0.25">
      <c r="A141" s="16" t="s">
        <v>6745</v>
      </c>
    </row>
    <row r="142" spans="1:1" x14ac:dyDescent="0.25">
      <c r="A142" s="15" t="s">
        <v>7520</v>
      </c>
    </row>
    <row r="143" spans="1:1" x14ac:dyDescent="0.25">
      <c r="A143" s="16" t="s">
        <v>6745</v>
      </c>
    </row>
    <row r="144" spans="1:1" x14ac:dyDescent="0.25">
      <c r="A144" s="15" t="s">
        <v>7518</v>
      </c>
    </row>
    <row r="145" spans="1:1" x14ac:dyDescent="0.25">
      <c r="A145" s="16" t="s">
        <v>6745</v>
      </c>
    </row>
    <row r="146" spans="1:1" x14ac:dyDescent="0.25">
      <c r="A146" s="15" t="s">
        <v>7516</v>
      </c>
    </row>
    <row r="147" spans="1:1" x14ac:dyDescent="0.25">
      <c r="A147" s="16" t="s">
        <v>6745</v>
      </c>
    </row>
    <row r="148" spans="1:1" x14ac:dyDescent="0.25">
      <c r="A148" s="15" t="s">
        <v>7514</v>
      </c>
    </row>
    <row r="149" spans="1:1" x14ac:dyDescent="0.25">
      <c r="A149" s="16" t="s">
        <v>6745</v>
      </c>
    </row>
    <row r="150" spans="1:1" x14ac:dyDescent="0.25">
      <c r="A150" s="15" t="s">
        <v>7512</v>
      </c>
    </row>
    <row r="151" spans="1:1" x14ac:dyDescent="0.25">
      <c r="A151" s="16" t="s">
        <v>6745</v>
      </c>
    </row>
    <row r="152" spans="1:1" x14ac:dyDescent="0.25">
      <c r="A152" s="15" t="s">
        <v>7510</v>
      </c>
    </row>
    <row r="153" spans="1:1" x14ac:dyDescent="0.25">
      <c r="A153" s="16" t="s">
        <v>6745</v>
      </c>
    </row>
    <row r="154" spans="1:1" x14ac:dyDescent="0.25">
      <c r="A154" s="15" t="s">
        <v>7508</v>
      </c>
    </row>
    <row r="155" spans="1:1" x14ac:dyDescent="0.25">
      <c r="A155" s="16" t="s">
        <v>6745</v>
      </c>
    </row>
    <row r="156" spans="1:1" x14ac:dyDescent="0.25">
      <c r="A156" s="15" t="s">
        <v>7506</v>
      </c>
    </row>
    <row r="157" spans="1:1" x14ac:dyDescent="0.25">
      <c r="A157" s="16" t="s">
        <v>6745</v>
      </c>
    </row>
    <row r="158" spans="1:1" x14ac:dyDescent="0.25">
      <c r="A158" s="15" t="s">
        <v>7504</v>
      </c>
    </row>
    <row r="159" spans="1:1" x14ac:dyDescent="0.25">
      <c r="A159" s="16" t="s">
        <v>6745</v>
      </c>
    </row>
    <row r="160" spans="1:1" x14ac:dyDescent="0.25">
      <c r="A160" s="15" t="s">
        <v>7502</v>
      </c>
    </row>
    <row r="161" spans="1:1" x14ac:dyDescent="0.25">
      <c r="A161" s="16" t="s">
        <v>6745</v>
      </c>
    </row>
    <row r="162" spans="1:1" x14ac:dyDescent="0.25">
      <c r="A162" s="15" t="s">
        <v>7500</v>
      </c>
    </row>
    <row r="163" spans="1:1" x14ac:dyDescent="0.25">
      <c r="A163" s="16" t="s">
        <v>6745</v>
      </c>
    </row>
    <row r="164" spans="1:1" x14ac:dyDescent="0.25">
      <c r="A164" s="15" t="s">
        <v>7498</v>
      </c>
    </row>
    <row r="165" spans="1:1" x14ac:dyDescent="0.25">
      <c r="A165" s="16" t="s">
        <v>6745</v>
      </c>
    </row>
    <row r="166" spans="1:1" x14ac:dyDescent="0.25">
      <c r="A166" s="15" t="s">
        <v>7496</v>
      </c>
    </row>
    <row r="167" spans="1:1" x14ac:dyDescent="0.25">
      <c r="A167" s="16" t="s">
        <v>6745</v>
      </c>
    </row>
    <row r="168" spans="1:1" x14ac:dyDescent="0.25">
      <c r="A168" s="15" t="s">
        <v>7494</v>
      </c>
    </row>
    <row r="169" spans="1:1" x14ac:dyDescent="0.25">
      <c r="A169" s="16" t="s">
        <v>6745</v>
      </c>
    </row>
    <row r="170" spans="1:1" x14ac:dyDescent="0.25">
      <c r="A170" s="15" t="s">
        <v>7492</v>
      </c>
    </row>
    <row r="171" spans="1:1" x14ac:dyDescent="0.25">
      <c r="A171" s="16" t="s">
        <v>6745</v>
      </c>
    </row>
    <row r="172" spans="1:1" x14ac:dyDescent="0.25">
      <c r="A172" s="15" t="s">
        <v>7490</v>
      </c>
    </row>
    <row r="173" spans="1:1" x14ac:dyDescent="0.25">
      <c r="A173" s="16" t="s">
        <v>6745</v>
      </c>
    </row>
    <row r="174" spans="1:1" x14ac:dyDescent="0.25">
      <c r="A174" s="15" t="s">
        <v>7488</v>
      </c>
    </row>
    <row r="175" spans="1:1" x14ac:dyDescent="0.25">
      <c r="A175" s="16" t="s">
        <v>6745</v>
      </c>
    </row>
    <row r="176" spans="1:1" x14ac:dyDescent="0.25">
      <c r="A176" s="15" t="s">
        <v>7486</v>
      </c>
    </row>
    <row r="177" spans="1:1" x14ac:dyDescent="0.25">
      <c r="A177" s="16" t="s">
        <v>6745</v>
      </c>
    </row>
    <row r="178" spans="1:1" x14ac:dyDescent="0.25">
      <c r="A178" s="15" t="s">
        <v>7484</v>
      </c>
    </row>
    <row r="179" spans="1:1" x14ac:dyDescent="0.25">
      <c r="A179" s="16" t="s">
        <v>6745</v>
      </c>
    </row>
    <row r="180" spans="1:1" x14ac:dyDescent="0.25">
      <c r="A180" s="15" t="s">
        <v>7482</v>
      </c>
    </row>
    <row r="181" spans="1:1" x14ac:dyDescent="0.25">
      <c r="A181" s="16" t="s">
        <v>6745</v>
      </c>
    </row>
    <row r="182" spans="1:1" x14ac:dyDescent="0.25">
      <c r="A182" s="15" t="s">
        <v>7480</v>
      </c>
    </row>
    <row r="183" spans="1:1" x14ac:dyDescent="0.25">
      <c r="A183" s="16" t="s">
        <v>6745</v>
      </c>
    </row>
    <row r="184" spans="1:1" x14ac:dyDescent="0.25">
      <c r="A184" s="15" t="s">
        <v>7478</v>
      </c>
    </row>
    <row r="185" spans="1:1" x14ac:dyDescent="0.25">
      <c r="A185" s="16" t="s">
        <v>6745</v>
      </c>
    </row>
    <row r="186" spans="1:1" x14ac:dyDescent="0.25">
      <c r="A186" s="15" t="s">
        <v>7476</v>
      </c>
    </row>
    <row r="187" spans="1:1" x14ac:dyDescent="0.25">
      <c r="A187" s="16" t="s">
        <v>6745</v>
      </c>
    </row>
    <row r="188" spans="1:1" x14ac:dyDescent="0.25">
      <c r="A188" s="15" t="s">
        <v>7474</v>
      </c>
    </row>
    <row r="189" spans="1:1" x14ac:dyDescent="0.25">
      <c r="A189" s="16" t="s">
        <v>6745</v>
      </c>
    </row>
    <row r="190" spans="1:1" x14ac:dyDescent="0.25">
      <c r="A190" s="15" t="s">
        <v>7472</v>
      </c>
    </row>
    <row r="191" spans="1:1" x14ac:dyDescent="0.25">
      <c r="A191" s="16" t="s">
        <v>6745</v>
      </c>
    </row>
    <row r="192" spans="1:1" x14ac:dyDescent="0.25">
      <c r="A192" s="15" t="s">
        <v>7470</v>
      </c>
    </row>
    <row r="193" spans="1:1" x14ac:dyDescent="0.25">
      <c r="A193" s="16" t="s">
        <v>6745</v>
      </c>
    </row>
    <row r="194" spans="1:1" x14ac:dyDescent="0.25">
      <c r="A194" s="15" t="s">
        <v>7468</v>
      </c>
    </row>
    <row r="195" spans="1:1" x14ac:dyDescent="0.25">
      <c r="A195" s="16" t="s">
        <v>6745</v>
      </c>
    </row>
    <row r="196" spans="1:1" x14ac:dyDescent="0.25">
      <c r="A196" s="15" t="s">
        <v>7466</v>
      </c>
    </row>
    <row r="197" spans="1:1" x14ac:dyDescent="0.25">
      <c r="A197" s="16" t="s">
        <v>6745</v>
      </c>
    </row>
    <row r="198" spans="1:1" x14ac:dyDescent="0.25">
      <c r="A198" s="15" t="s">
        <v>7464</v>
      </c>
    </row>
    <row r="199" spans="1:1" x14ac:dyDescent="0.25">
      <c r="A199" s="16" t="s">
        <v>6745</v>
      </c>
    </row>
    <row r="200" spans="1:1" x14ac:dyDescent="0.25">
      <c r="A200" s="15" t="s">
        <v>7462</v>
      </c>
    </row>
    <row r="201" spans="1:1" x14ac:dyDescent="0.25">
      <c r="A201" s="16" t="s">
        <v>6745</v>
      </c>
    </row>
    <row r="202" spans="1:1" x14ac:dyDescent="0.25">
      <c r="A202" s="15" t="s">
        <v>7460</v>
      </c>
    </row>
    <row r="203" spans="1:1" x14ac:dyDescent="0.25">
      <c r="A203" s="16" t="s">
        <v>6745</v>
      </c>
    </row>
    <row r="204" spans="1:1" x14ac:dyDescent="0.25">
      <c r="A204" s="15" t="s">
        <v>7458</v>
      </c>
    </row>
    <row r="205" spans="1:1" x14ac:dyDescent="0.25">
      <c r="A205" s="16" t="s">
        <v>6745</v>
      </c>
    </row>
    <row r="206" spans="1:1" x14ac:dyDescent="0.25">
      <c r="A206" s="15" t="s">
        <v>7456</v>
      </c>
    </row>
    <row r="207" spans="1:1" x14ac:dyDescent="0.25">
      <c r="A207" s="16" t="s">
        <v>6745</v>
      </c>
    </row>
    <row r="208" spans="1:1" x14ac:dyDescent="0.25">
      <c r="A208" s="15" t="s">
        <v>7454</v>
      </c>
    </row>
    <row r="209" spans="1:1" x14ac:dyDescent="0.25">
      <c r="A209" s="16" t="s">
        <v>6745</v>
      </c>
    </row>
    <row r="210" spans="1:1" x14ac:dyDescent="0.25">
      <c r="A210" s="15" t="s">
        <v>7452</v>
      </c>
    </row>
    <row r="211" spans="1:1" x14ac:dyDescent="0.25">
      <c r="A211" s="16" t="s">
        <v>6745</v>
      </c>
    </row>
    <row r="212" spans="1:1" x14ac:dyDescent="0.25">
      <c r="A212" s="15" t="s">
        <v>7450</v>
      </c>
    </row>
    <row r="213" spans="1:1" x14ac:dyDescent="0.25">
      <c r="A213" s="16" t="s">
        <v>6745</v>
      </c>
    </row>
    <row r="214" spans="1:1" x14ac:dyDescent="0.25">
      <c r="A214" s="15" t="s">
        <v>7448</v>
      </c>
    </row>
    <row r="215" spans="1:1" x14ac:dyDescent="0.25">
      <c r="A215" s="16" t="s">
        <v>6745</v>
      </c>
    </row>
    <row r="216" spans="1:1" x14ac:dyDescent="0.25">
      <c r="A216" s="15" t="s">
        <v>7446</v>
      </c>
    </row>
    <row r="217" spans="1:1" x14ac:dyDescent="0.25">
      <c r="A217" s="16" t="s">
        <v>6745</v>
      </c>
    </row>
    <row r="218" spans="1:1" x14ac:dyDescent="0.25">
      <c r="A218" s="15" t="s">
        <v>7444</v>
      </c>
    </row>
    <row r="219" spans="1:1" x14ac:dyDescent="0.25">
      <c r="A219" s="16" t="s">
        <v>6745</v>
      </c>
    </row>
    <row r="220" spans="1:1" x14ac:dyDescent="0.25">
      <c r="A220" s="15" t="s">
        <v>7442</v>
      </c>
    </row>
    <row r="221" spans="1:1" x14ac:dyDescent="0.25">
      <c r="A221" s="16" t="s">
        <v>6745</v>
      </c>
    </row>
    <row r="222" spans="1:1" x14ac:dyDescent="0.25">
      <c r="A222" s="15" t="s">
        <v>7440</v>
      </c>
    </row>
    <row r="223" spans="1:1" x14ac:dyDescent="0.25">
      <c r="A223" s="16" t="s">
        <v>6745</v>
      </c>
    </row>
    <row r="224" spans="1:1" x14ac:dyDescent="0.25">
      <c r="A224" s="15" t="s">
        <v>7438</v>
      </c>
    </row>
    <row r="225" spans="1:1" x14ac:dyDescent="0.25">
      <c r="A225" s="16" t="s">
        <v>6745</v>
      </c>
    </row>
    <row r="226" spans="1:1" x14ac:dyDescent="0.25">
      <c r="A226" s="15" t="s">
        <v>7436</v>
      </c>
    </row>
    <row r="227" spans="1:1" x14ac:dyDescent="0.25">
      <c r="A227" s="16" t="s">
        <v>6745</v>
      </c>
    </row>
    <row r="228" spans="1:1" x14ac:dyDescent="0.25">
      <c r="A228" s="15" t="s">
        <v>7434</v>
      </c>
    </row>
    <row r="229" spans="1:1" x14ac:dyDescent="0.25">
      <c r="A229" s="16" t="s">
        <v>6745</v>
      </c>
    </row>
    <row r="230" spans="1:1" x14ac:dyDescent="0.25">
      <c r="A230" s="15" t="s">
        <v>7432</v>
      </c>
    </row>
    <row r="231" spans="1:1" x14ac:dyDescent="0.25">
      <c r="A231" s="16" t="s">
        <v>6745</v>
      </c>
    </row>
    <row r="232" spans="1:1" x14ac:dyDescent="0.25">
      <c r="A232" s="15" t="s">
        <v>7430</v>
      </c>
    </row>
    <row r="233" spans="1:1" x14ac:dyDescent="0.25">
      <c r="A233" s="16" t="s">
        <v>6745</v>
      </c>
    </row>
    <row r="234" spans="1:1" x14ac:dyDescent="0.25">
      <c r="A234" s="15" t="s">
        <v>7428</v>
      </c>
    </row>
    <row r="235" spans="1:1" x14ac:dyDescent="0.25">
      <c r="A235" s="16" t="s">
        <v>6745</v>
      </c>
    </row>
    <row r="236" spans="1:1" x14ac:dyDescent="0.25">
      <c r="A236" s="15" t="s">
        <v>7426</v>
      </c>
    </row>
    <row r="237" spans="1:1" x14ac:dyDescent="0.25">
      <c r="A237" s="16" t="s">
        <v>6745</v>
      </c>
    </row>
    <row r="238" spans="1:1" x14ac:dyDescent="0.25">
      <c r="A238" s="15" t="s">
        <v>7424</v>
      </c>
    </row>
    <row r="239" spans="1:1" x14ac:dyDescent="0.25">
      <c r="A239" s="16" t="s">
        <v>6745</v>
      </c>
    </row>
    <row r="240" spans="1:1" x14ac:dyDescent="0.25">
      <c r="A240" s="15" t="s">
        <v>7422</v>
      </c>
    </row>
    <row r="241" spans="1:1" x14ac:dyDescent="0.25">
      <c r="A241" s="16" t="s">
        <v>6745</v>
      </c>
    </row>
    <row r="242" spans="1:1" x14ac:dyDescent="0.25">
      <c r="A242" s="15" t="s">
        <v>7420</v>
      </c>
    </row>
    <row r="243" spans="1:1" x14ac:dyDescent="0.25">
      <c r="A243" s="16" t="s">
        <v>6745</v>
      </c>
    </row>
    <row r="244" spans="1:1" x14ac:dyDescent="0.25">
      <c r="A244" s="15" t="s">
        <v>7418</v>
      </c>
    </row>
    <row r="245" spans="1:1" x14ac:dyDescent="0.25">
      <c r="A245" s="16" t="s">
        <v>6745</v>
      </c>
    </row>
    <row r="246" spans="1:1" x14ac:dyDescent="0.25">
      <c r="A246" s="15" t="s">
        <v>7416</v>
      </c>
    </row>
    <row r="247" spans="1:1" x14ac:dyDescent="0.25">
      <c r="A247" s="16" t="s">
        <v>6745</v>
      </c>
    </row>
    <row r="248" spans="1:1" x14ac:dyDescent="0.25">
      <c r="A248" s="15" t="s">
        <v>7414</v>
      </c>
    </row>
    <row r="249" spans="1:1" x14ac:dyDescent="0.25">
      <c r="A249" s="16" t="s">
        <v>6745</v>
      </c>
    </row>
    <row r="250" spans="1:1" x14ac:dyDescent="0.25">
      <c r="A250" s="15" t="s">
        <v>7412</v>
      </c>
    </row>
    <row r="251" spans="1:1" x14ac:dyDescent="0.25">
      <c r="A251" s="16" t="s">
        <v>6745</v>
      </c>
    </row>
    <row r="252" spans="1:1" x14ac:dyDescent="0.25">
      <c r="A252" s="15" t="s">
        <v>7410</v>
      </c>
    </row>
    <row r="253" spans="1:1" x14ac:dyDescent="0.25">
      <c r="A253" s="16" t="s">
        <v>6745</v>
      </c>
    </row>
    <row r="254" spans="1:1" x14ac:dyDescent="0.25">
      <c r="A254" s="15" t="s">
        <v>7408</v>
      </c>
    </row>
    <row r="255" spans="1:1" x14ac:dyDescent="0.25">
      <c r="A255" s="16" t="s">
        <v>6745</v>
      </c>
    </row>
    <row r="256" spans="1:1" x14ac:dyDescent="0.25">
      <c r="A256" s="15" t="s">
        <v>7406</v>
      </c>
    </row>
    <row r="257" spans="1:1" x14ac:dyDescent="0.25">
      <c r="A257" s="16" t="s">
        <v>6745</v>
      </c>
    </row>
    <row r="258" spans="1:1" x14ac:dyDescent="0.25">
      <c r="A258" s="15" t="s">
        <v>7404</v>
      </c>
    </row>
    <row r="259" spans="1:1" x14ac:dyDescent="0.25">
      <c r="A259" s="16" t="s">
        <v>6745</v>
      </c>
    </row>
    <row r="260" spans="1:1" x14ac:dyDescent="0.25">
      <c r="A260" s="15" t="s">
        <v>7402</v>
      </c>
    </row>
    <row r="261" spans="1:1" x14ac:dyDescent="0.25">
      <c r="A261" s="16" t="s">
        <v>6745</v>
      </c>
    </row>
    <row r="262" spans="1:1" x14ac:dyDescent="0.25">
      <c r="A262" s="15" t="s">
        <v>7400</v>
      </c>
    </row>
    <row r="263" spans="1:1" x14ac:dyDescent="0.25">
      <c r="A263" s="16" t="s">
        <v>6745</v>
      </c>
    </row>
    <row r="264" spans="1:1" x14ac:dyDescent="0.25">
      <c r="A264" s="15" t="s">
        <v>7398</v>
      </c>
    </row>
    <row r="265" spans="1:1" x14ac:dyDescent="0.25">
      <c r="A265" s="16" t="s">
        <v>6745</v>
      </c>
    </row>
    <row r="266" spans="1:1" x14ac:dyDescent="0.25">
      <c r="A266" s="15" t="s">
        <v>7396</v>
      </c>
    </row>
    <row r="267" spans="1:1" x14ac:dyDescent="0.25">
      <c r="A267" s="16" t="s">
        <v>6745</v>
      </c>
    </row>
    <row r="268" spans="1:1" x14ac:dyDescent="0.25">
      <c r="A268" s="15" t="s">
        <v>7394</v>
      </c>
    </row>
    <row r="269" spans="1:1" x14ac:dyDescent="0.25">
      <c r="A269" s="16" t="s">
        <v>6745</v>
      </c>
    </row>
    <row r="270" spans="1:1" x14ac:dyDescent="0.25">
      <c r="A270" s="15" t="s">
        <v>7392</v>
      </c>
    </row>
    <row r="271" spans="1:1" x14ac:dyDescent="0.25">
      <c r="A271" s="16" t="s">
        <v>6745</v>
      </c>
    </row>
    <row r="272" spans="1:1" x14ac:dyDescent="0.25">
      <c r="A272" s="15" t="s">
        <v>7390</v>
      </c>
    </row>
    <row r="273" spans="1:1" x14ac:dyDescent="0.25">
      <c r="A273" s="16" t="s">
        <v>6745</v>
      </c>
    </row>
    <row r="274" spans="1:1" x14ac:dyDescent="0.25">
      <c r="A274" s="15" t="s">
        <v>7388</v>
      </c>
    </row>
    <row r="275" spans="1:1" x14ac:dyDescent="0.25">
      <c r="A275" s="16" t="s">
        <v>6745</v>
      </c>
    </row>
    <row r="276" spans="1:1" x14ac:dyDescent="0.25">
      <c r="A276" s="15" t="s">
        <v>7386</v>
      </c>
    </row>
    <row r="277" spans="1:1" x14ac:dyDescent="0.25">
      <c r="A277" s="16" t="s">
        <v>6745</v>
      </c>
    </row>
    <row r="278" spans="1:1" x14ac:dyDescent="0.25">
      <c r="A278" s="15" t="s">
        <v>7384</v>
      </c>
    </row>
    <row r="279" spans="1:1" x14ac:dyDescent="0.25">
      <c r="A279" s="16" t="s">
        <v>6745</v>
      </c>
    </row>
    <row r="280" spans="1:1" x14ac:dyDescent="0.25">
      <c r="A280" s="15" t="s">
        <v>7382</v>
      </c>
    </row>
    <row r="281" spans="1:1" x14ac:dyDescent="0.25">
      <c r="A281" s="16" t="s">
        <v>6745</v>
      </c>
    </row>
    <row r="282" spans="1:1" x14ac:dyDescent="0.25">
      <c r="A282" s="15" t="s">
        <v>7380</v>
      </c>
    </row>
    <row r="283" spans="1:1" x14ac:dyDescent="0.25">
      <c r="A283" s="16" t="s">
        <v>6745</v>
      </c>
    </row>
    <row r="284" spans="1:1" x14ac:dyDescent="0.25">
      <c r="A284" s="15" t="s">
        <v>7378</v>
      </c>
    </row>
    <row r="285" spans="1:1" x14ac:dyDescent="0.25">
      <c r="A285" s="16" t="s">
        <v>6745</v>
      </c>
    </row>
    <row r="286" spans="1:1" x14ac:dyDescent="0.25">
      <c r="A286" s="15" t="s">
        <v>7376</v>
      </c>
    </row>
    <row r="287" spans="1:1" x14ac:dyDescent="0.25">
      <c r="A287" s="16" t="s">
        <v>6745</v>
      </c>
    </row>
    <row r="288" spans="1:1" x14ac:dyDescent="0.25">
      <c r="A288" s="15" t="s">
        <v>7374</v>
      </c>
    </row>
    <row r="289" spans="1:1" x14ac:dyDescent="0.25">
      <c r="A289" s="16" t="s">
        <v>6745</v>
      </c>
    </row>
    <row r="290" spans="1:1" x14ac:dyDescent="0.25">
      <c r="A290" s="15" t="s">
        <v>7372</v>
      </c>
    </row>
    <row r="291" spans="1:1" x14ac:dyDescent="0.25">
      <c r="A291" s="16" t="s">
        <v>6745</v>
      </c>
    </row>
    <row r="292" spans="1:1" x14ac:dyDescent="0.25">
      <c r="A292" s="15" t="s">
        <v>7370</v>
      </c>
    </row>
    <row r="293" spans="1:1" x14ac:dyDescent="0.25">
      <c r="A293" s="16" t="s">
        <v>6745</v>
      </c>
    </row>
    <row r="294" spans="1:1" x14ac:dyDescent="0.25">
      <c r="A294" s="15" t="s">
        <v>7368</v>
      </c>
    </row>
    <row r="295" spans="1:1" x14ac:dyDescent="0.25">
      <c r="A295" s="16" t="s">
        <v>6745</v>
      </c>
    </row>
    <row r="296" spans="1:1" x14ac:dyDescent="0.25">
      <c r="A296" s="15" t="s">
        <v>7366</v>
      </c>
    </row>
    <row r="297" spans="1:1" x14ac:dyDescent="0.25">
      <c r="A297" s="16" t="s">
        <v>6745</v>
      </c>
    </row>
    <row r="298" spans="1:1" x14ac:dyDescent="0.25">
      <c r="A298" s="15" t="s">
        <v>7364</v>
      </c>
    </row>
    <row r="299" spans="1:1" x14ac:dyDescent="0.25">
      <c r="A299" s="16" t="s">
        <v>6745</v>
      </c>
    </row>
    <row r="300" spans="1:1" x14ac:dyDescent="0.25">
      <c r="A300" s="15" t="s">
        <v>7362</v>
      </c>
    </row>
    <row r="301" spans="1:1" x14ac:dyDescent="0.25">
      <c r="A301" s="16" t="s">
        <v>6745</v>
      </c>
    </row>
    <row r="302" spans="1:1" x14ac:dyDescent="0.25">
      <c r="A302" s="15" t="s">
        <v>7360</v>
      </c>
    </row>
    <row r="303" spans="1:1" x14ac:dyDescent="0.25">
      <c r="A303" s="16" t="s">
        <v>6745</v>
      </c>
    </row>
    <row r="304" spans="1:1" x14ac:dyDescent="0.25">
      <c r="A304" s="15" t="s">
        <v>7358</v>
      </c>
    </row>
    <row r="305" spans="1:1" x14ac:dyDescent="0.25">
      <c r="A305" s="16" t="s">
        <v>6745</v>
      </c>
    </row>
    <row r="306" spans="1:1" x14ac:dyDescent="0.25">
      <c r="A306" s="15" t="s">
        <v>7356</v>
      </c>
    </row>
    <row r="307" spans="1:1" x14ac:dyDescent="0.25">
      <c r="A307" s="16" t="s">
        <v>6745</v>
      </c>
    </row>
    <row r="308" spans="1:1" x14ac:dyDescent="0.25">
      <c r="A308" s="15" t="s">
        <v>7354</v>
      </c>
    </row>
    <row r="309" spans="1:1" x14ac:dyDescent="0.25">
      <c r="A309" s="16" t="s">
        <v>6745</v>
      </c>
    </row>
    <row r="310" spans="1:1" x14ac:dyDescent="0.25">
      <c r="A310" s="15" t="s">
        <v>7352</v>
      </c>
    </row>
    <row r="311" spans="1:1" x14ac:dyDescent="0.25">
      <c r="A311" s="16" t="s">
        <v>6745</v>
      </c>
    </row>
    <row r="312" spans="1:1" x14ac:dyDescent="0.25">
      <c r="A312" s="15" t="s">
        <v>7350</v>
      </c>
    </row>
    <row r="313" spans="1:1" x14ac:dyDescent="0.25">
      <c r="A313" s="16" t="s">
        <v>6745</v>
      </c>
    </row>
    <row r="314" spans="1:1" x14ac:dyDescent="0.25">
      <c r="A314" s="15" t="s">
        <v>7348</v>
      </c>
    </row>
    <row r="315" spans="1:1" x14ac:dyDescent="0.25">
      <c r="A315" s="16" t="s">
        <v>6745</v>
      </c>
    </row>
    <row r="316" spans="1:1" x14ac:dyDescent="0.25">
      <c r="A316" s="15" t="s">
        <v>7346</v>
      </c>
    </row>
    <row r="317" spans="1:1" x14ac:dyDescent="0.25">
      <c r="A317" s="16" t="s">
        <v>6745</v>
      </c>
    </row>
    <row r="318" spans="1:1" x14ac:dyDescent="0.25">
      <c r="A318" s="15" t="s">
        <v>7344</v>
      </c>
    </row>
    <row r="319" spans="1:1" x14ac:dyDescent="0.25">
      <c r="A319" s="16" t="s">
        <v>6745</v>
      </c>
    </row>
    <row r="320" spans="1:1" x14ac:dyDescent="0.25">
      <c r="A320" s="15" t="s">
        <v>7342</v>
      </c>
    </row>
    <row r="321" spans="1:1" x14ac:dyDescent="0.25">
      <c r="A321" s="16" t="s">
        <v>6745</v>
      </c>
    </row>
    <row r="322" spans="1:1" x14ac:dyDescent="0.25">
      <c r="A322" s="15" t="s">
        <v>7340</v>
      </c>
    </row>
    <row r="323" spans="1:1" x14ac:dyDescent="0.25">
      <c r="A323" s="16" t="s">
        <v>6745</v>
      </c>
    </row>
    <row r="324" spans="1:1" x14ac:dyDescent="0.25">
      <c r="A324" s="15" t="s">
        <v>7338</v>
      </c>
    </row>
    <row r="325" spans="1:1" x14ac:dyDescent="0.25">
      <c r="A325" s="16" t="s">
        <v>6745</v>
      </c>
    </row>
    <row r="326" spans="1:1" x14ac:dyDescent="0.25">
      <c r="A326" s="15" t="s">
        <v>7336</v>
      </c>
    </row>
    <row r="327" spans="1:1" x14ac:dyDescent="0.25">
      <c r="A327" s="16" t="s">
        <v>6745</v>
      </c>
    </row>
    <row r="328" spans="1:1" x14ac:dyDescent="0.25">
      <c r="A328" s="15" t="s">
        <v>7334</v>
      </c>
    </row>
    <row r="329" spans="1:1" x14ac:dyDescent="0.25">
      <c r="A329" s="16" t="s">
        <v>6745</v>
      </c>
    </row>
    <row r="330" spans="1:1" x14ac:dyDescent="0.25">
      <c r="A330" s="15" t="s">
        <v>7332</v>
      </c>
    </row>
    <row r="331" spans="1:1" x14ac:dyDescent="0.25">
      <c r="A331" s="16" t="s">
        <v>6745</v>
      </c>
    </row>
    <row r="332" spans="1:1" x14ac:dyDescent="0.25">
      <c r="A332" s="15" t="s">
        <v>7330</v>
      </c>
    </row>
    <row r="333" spans="1:1" x14ac:dyDescent="0.25">
      <c r="A333" s="16" t="s">
        <v>6745</v>
      </c>
    </row>
    <row r="334" spans="1:1" x14ac:dyDescent="0.25">
      <c r="A334" s="15" t="s">
        <v>7328</v>
      </c>
    </row>
    <row r="335" spans="1:1" x14ac:dyDescent="0.25">
      <c r="A335" s="16" t="s">
        <v>6745</v>
      </c>
    </row>
    <row r="336" spans="1:1" x14ac:dyDescent="0.25">
      <c r="A336" s="15" t="s">
        <v>7326</v>
      </c>
    </row>
    <row r="337" spans="1:1" x14ac:dyDescent="0.25">
      <c r="A337" s="16" t="s">
        <v>6745</v>
      </c>
    </row>
    <row r="338" spans="1:1" x14ac:dyDescent="0.25">
      <c r="A338" s="15" t="s">
        <v>7324</v>
      </c>
    </row>
    <row r="339" spans="1:1" x14ac:dyDescent="0.25">
      <c r="A339" s="16" t="s">
        <v>6745</v>
      </c>
    </row>
    <row r="340" spans="1:1" x14ac:dyDescent="0.25">
      <c r="A340" s="15" t="s">
        <v>7322</v>
      </c>
    </row>
    <row r="341" spans="1:1" x14ac:dyDescent="0.25">
      <c r="A341" s="16" t="s">
        <v>6745</v>
      </c>
    </row>
    <row r="342" spans="1:1" x14ac:dyDescent="0.25">
      <c r="A342" s="15" t="s">
        <v>7320</v>
      </c>
    </row>
    <row r="343" spans="1:1" x14ac:dyDescent="0.25">
      <c r="A343" s="16" t="s">
        <v>6745</v>
      </c>
    </row>
    <row r="344" spans="1:1" x14ac:dyDescent="0.25">
      <c r="A344" s="15" t="s">
        <v>7318</v>
      </c>
    </row>
    <row r="345" spans="1:1" x14ac:dyDescent="0.25">
      <c r="A345" s="16" t="s">
        <v>6745</v>
      </c>
    </row>
    <row r="346" spans="1:1" x14ac:dyDescent="0.25">
      <c r="A346" s="15" t="s">
        <v>7316</v>
      </c>
    </row>
    <row r="347" spans="1:1" x14ac:dyDescent="0.25">
      <c r="A347" s="16" t="s">
        <v>6745</v>
      </c>
    </row>
    <row r="348" spans="1:1" x14ac:dyDescent="0.25">
      <c r="A348" s="15" t="s">
        <v>7314</v>
      </c>
    </row>
    <row r="349" spans="1:1" x14ac:dyDescent="0.25">
      <c r="A349" s="16" t="s">
        <v>6745</v>
      </c>
    </row>
    <row r="350" spans="1:1" x14ac:dyDescent="0.25">
      <c r="A350" s="15" t="s">
        <v>7312</v>
      </c>
    </row>
    <row r="351" spans="1:1" x14ac:dyDescent="0.25">
      <c r="A351" s="16" t="s">
        <v>6745</v>
      </c>
    </row>
    <row r="352" spans="1:1" x14ac:dyDescent="0.25">
      <c r="A352" s="15" t="s">
        <v>7310</v>
      </c>
    </row>
    <row r="353" spans="1:1" x14ac:dyDescent="0.25">
      <c r="A353" s="16" t="s">
        <v>6745</v>
      </c>
    </row>
    <row r="354" spans="1:1" x14ac:dyDescent="0.25">
      <c r="A354" s="15" t="s">
        <v>7308</v>
      </c>
    </row>
    <row r="355" spans="1:1" x14ac:dyDescent="0.25">
      <c r="A355" s="16" t="s">
        <v>6745</v>
      </c>
    </row>
    <row r="356" spans="1:1" x14ac:dyDescent="0.25">
      <c r="A356" s="15" t="s">
        <v>7306</v>
      </c>
    </row>
    <row r="357" spans="1:1" x14ac:dyDescent="0.25">
      <c r="A357" s="16" t="s">
        <v>6745</v>
      </c>
    </row>
    <row r="358" spans="1:1" x14ac:dyDescent="0.25">
      <c r="A358" s="15" t="s">
        <v>7304</v>
      </c>
    </row>
    <row r="359" spans="1:1" x14ac:dyDescent="0.25">
      <c r="A359" s="16" t="s">
        <v>6745</v>
      </c>
    </row>
    <row r="360" spans="1:1" x14ac:dyDescent="0.25">
      <c r="A360" s="15" t="s">
        <v>7302</v>
      </c>
    </row>
    <row r="361" spans="1:1" x14ac:dyDescent="0.25">
      <c r="A361" s="16" t="s">
        <v>6745</v>
      </c>
    </row>
    <row r="362" spans="1:1" x14ac:dyDescent="0.25">
      <c r="A362" s="15" t="s">
        <v>7300</v>
      </c>
    </row>
    <row r="363" spans="1:1" x14ac:dyDescent="0.25">
      <c r="A363" s="16" t="s">
        <v>6745</v>
      </c>
    </row>
    <row r="364" spans="1:1" x14ac:dyDescent="0.25">
      <c r="A364" s="15" t="s">
        <v>7298</v>
      </c>
    </row>
    <row r="365" spans="1:1" x14ac:dyDescent="0.25">
      <c r="A365" s="16" t="s">
        <v>6745</v>
      </c>
    </row>
    <row r="366" spans="1:1" x14ac:dyDescent="0.25">
      <c r="A366" s="15" t="s">
        <v>7296</v>
      </c>
    </row>
    <row r="367" spans="1:1" x14ac:dyDescent="0.25">
      <c r="A367" s="16" t="s">
        <v>6745</v>
      </c>
    </row>
    <row r="368" spans="1:1" x14ac:dyDescent="0.25">
      <c r="A368" s="15" t="s">
        <v>7293</v>
      </c>
    </row>
    <row r="369" spans="1:1" x14ac:dyDescent="0.25">
      <c r="A369" s="16" t="s">
        <v>6745</v>
      </c>
    </row>
    <row r="370" spans="1:1" x14ac:dyDescent="0.25">
      <c r="A370" s="15" t="s">
        <v>7290</v>
      </c>
    </row>
    <row r="371" spans="1:1" x14ac:dyDescent="0.25">
      <c r="A371" s="16" t="s">
        <v>6745</v>
      </c>
    </row>
    <row r="372" spans="1:1" x14ac:dyDescent="0.25">
      <c r="A372" s="15" t="s">
        <v>7288</v>
      </c>
    </row>
    <row r="373" spans="1:1" x14ac:dyDescent="0.25">
      <c r="A373" s="16" t="s">
        <v>6745</v>
      </c>
    </row>
    <row r="374" spans="1:1" x14ac:dyDescent="0.25">
      <c r="A374" s="15" t="s">
        <v>7286</v>
      </c>
    </row>
    <row r="375" spans="1:1" x14ac:dyDescent="0.25">
      <c r="A375" s="16" t="s">
        <v>6745</v>
      </c>
    </row>
    <row r="376" spans="1:1" x14ac:dyDescent="0.25">
      <c r="A376" s="15" t="s">
        <v>7284</v>
      </c>
    </row>
    <row r="377" spans="1:1" x14ac:dyDescent="0.25">
      <c r="A377" s="16" t="s">
        <v>6745</v>
      </c>
    </row>
    <row r="378" spans="1:1" x14ac:dyDescent="0.25">
      <c r="A378" s="15" t="s">
        <v>7282</v>
      </c>
    </row>
    <row r="379" spans="1:1" x14ac:dyDescent="0.25">
      <c r="A379" s="16" t="s">
        <v>6745</v>
      </c>
    </row>
    <row r="380" spans="1:1" x14ac:dyDescent="0.25">
      <c r="A380" s="15" t="s">
        <v>7280</v>
      </c>
    </row>
    <row r="381" spans="1:1" x14ac:dyDescent="0.25">
      <c r="A381" s="16" t="s">
        <v>6745</v>
      </c>
    </row>
    <row r="382" spans="1:1" x14ac:dyDescent="0.25">
      <c r="A382" s="15" t="s">
        <v>7278</v>
      </c>
    </row>
    <row r="383" spans="1:1" x14ac:dyDescent="0.25">
      <c r="A383" s="16" t="s">
        <v>6745</v>
      </c>
    </row>
    <row r="384" spans="1:1" x14ac:dyDescent="0.25">
      <c r="A384" s="15" t="s">
        <v>7276</v>
      </c>
    </row>
    <row r="385" spans="1:1" x14ac:dyDescent="0.25">
      <c r="A385" s="16" t="s">
        <v>6745</v>
      </c>
    </row>
    <row r="386" spans="1:1" x14ac:dyDescent="0.25">
      <c r="A386" s="15" t="s">
        <v>7274</v>
      </c>
    </row>
    <row r="387" spans="1:1" x14ac:dyDescent="0.25">
      <c r="A387" s="16" t="s">
        <v>6745</v>
      </c>
    </row>
    <row r="388" spans="1:1" x14ac:dyDescent="0.25">
      <c r="A388" s="15" t="s">
        <v>7272</v>
      </c>
    </row>
    <row r="389" spans="1:1" x14ac:dyDescent="0.25">
      <c r="A389" s="16" t="s">
        <v>6745</v>
      </c>
    </row>
    <row r="390" spans="1:1" x14ac:dyDescent="0.25">
      <c r="A390" s="15" t="s">
        <v>7270</v>
      </c>
    </row>
    <row r="391" spans="1:1" x14ac:dyDescent="0.25">
      <c r="A391" s="16" t="s">
        <v>6745</v>
      </c>
    </row>
    <row r="392" spans="1:1" x14ac:dyDescent="0.25">
      <c r="A392" s="15" t="s">
        <v>7268</v>
      </c>
    </row>
    <row r="393" spans="1:1" x14ac:dyDescent="0.25">
      <c r="A393" s="16" t="s">
        <v>6745</v>
      </c>
    </row>
    <row r="394" spans="1:1" x14ac:dyDescent="0.25">
      <c r="A394" s="15" t="s">
        <v>7266</v>
      </c>
    </row>
    <row r="395" spans="1:1" x14ac:dyDescent="0.25">
      <c r="A395" s="16" t="s">
        <v>6745</v>
      </c>
    </row>
    <row r="396" spans="1:1" x14ac:dyDescent="0.25">
      <c r="A396" s="15" t="s">
        <v>7264</v>
      </c>
    </row>
    <row r="397" spans="1:1" x14ac:dyDescent="0.25">
      <c r="A397" s="16" t="s">
        <v>6745</v>
      </c>
    </row>
    <row r="398" spans="1:1" x14ac:dyDescent="0.25">
      <c r="A398" s="15" t="s">
        <v>7262</v>
      </c>
    </row>
    <row r="399" spans="1:1" x14ac:dyDescent="0.25">
      <c r="A399" s="16" t="s">
        <v>6745</v>
      </c>
    </row>
    <row r="400" spans="1:1" x14ac:dyDescent="0.25">
      <c r="A400" s="15" t="s">
        <v>7260</v>
      </c>
    </row>
    <row r="401" spans="1:1" x14ac:dyDescent="0.25">
      <c r="A401" s="16" t="s">
        <v>6745</v>
      </c>
    </row>
    <row r="402" spans="1:1" x14ac:dyDescent="0.25">
      <c r="A402" s="15" t="s">
        <v>7258</v>
      </c>
    </row>
    <row r="403" spans="1:1" x14ac:dyDescent="0.25">
      <c r="A403" s="16" t="s">
        <v>6745</v>
      </c>
    </row>
    <row r="404" spans="1:1" x14ac:dyDescent="0.25">
      <c r="A404" s="15" t="s">
        <v>7256</v>
      </c>
    </row>
    <row r="405" spans="1:1" x14ac:dyDescent="0.25">
      <c r="A405" s="16" t="s">
        <v>6745</v>
      </c>
    </row>
    <row r="406" spans="1:1" x14ac:dyDescent="0.25">
      <c r="A406" s="15" t="s">
        <v>7254</v>
      </c>
    </row>
    <row r="407" spans="1:1" x14ac:dyDescent="0.25">
      <c r="A407" s="16" t="s">
        <v>6745</v>
      </c>
    </row>
    <row r="408" spans="1:1" x14ac:dyDescent="0.25">
      <c r="A408" s="15" t="s">
        <v>7252</v>
      </c>
    </row>
    <row r="409" spans="1:1" x14ac:dyDescent="0.25">
      <c r="A409" s="16" t="s">
        <v>6745</v>
      </c>
    </row>
    <row r="410" spans="1:1" x14ac:dyDescent="0.25">
      <c r="A410" s="15" t="s">
        <v>7250</v>
      </c>
    </row>
    <row r="411" spans="1:1" x14ac:dyDescent="0.25">
      <c r="A411" s="16" t="s">
        <v>6745</v>
      </c>
    </row>
    <row r="412" spans="1:1" x14ac:dyDescent="0.25">
      <c r="A412" s="15" t="s">
        <v>7248</v>
      </c>
    </row>
    <row r="413" spans="1:1" x14ac:dyDescent="0.25">
      <c r="A413" s="16" t="s">
        <v>6745</v>
      </c>
    </row>
    <row r="414" spans="1:1" x14ac:dyDescent="0.25">
      <c r="A414" s="15" t="s">
        <v>7246</v>
      </c>
    </row>
    <row r="415" spans="1:1" x14ac:dyDescent="0.25">
      <c r="A415" s="16" t="s">
        <v>6745</v>
      </c>
    </row>
    <row r="416" spans="1:1" x14ac:dyDescent="0.25">
      <c r="A416" s="15" t="s">
        <v>7244</v>
      </c>
    </row>
    <row r="417" spans="1:1" x14ac:dyDescent="0.25">
      <c r="A417" s="16" t="s">
        <v>6745</v>
      </c>
    </row>
    <row r="418" spans="1:1" x14ac:dyDescent="0.25">
      <c r="A418" s="15" t="s">
        <v>7242</v>
      </c>
    </row>
    <row r="419" spans="1:1" x14ac:dyDescent="0.25">
      <c r="A419" s="16" t="s">
        <v>6745</v>
      </c>
    </row>
    <row r="420" spans="1:1" x14ac:dyDescent="0.25">
      <c r="A420" s="15" t="s">
        <v>7240</v>
      </c>
    </row>
    <row r="421" spans="1:1" x14ac:dyDescent="0.25">
      <c r="A421" s="16" t="s">
        <v>6745</v>
      </c>
    </row>
    <row r="422" spans="1:1" x14ac:dyDescent="0.25">
      <c r="A422" s="15" t="s">
        <v>7238</v>
      </c>
    </row>
    <row r="423" spans="1:1" x14ac:dyDescent="0.25">
      <c r="A423" s="16" t="s">
        <v>6745</v>
      </c>
    </row>
    <row r="424" spans="1:1" x14ac:dyDescent="0.25">
      <c r="A424" s="15" t="s">
        <v>7236</v>
      </c>
    </row>
    <row r="425" spans="1:1" x14ac:dyDescent="0.25">
      <c r="A425" s="16" t="s">
        <v>6745</v>
      </c>
    </row>
    <row r="426" spans="1:1" x14ac:dyDescent="0.25">
      <c r="A426" s="15" t="s">
        <v>7234</v>
      </c>
    </row>
    <row r="427" spans="1:1" x14ac:dyDescent="0.25">
      <c r="A427" s="16" t="s">
        <v>6745</v>
      </c>
    </row>
    <row r="428" spans="1:1" x14ac:dyDescent="0.25">
      <c r="A428" s="15" t="s">
        <v>7232</v>
      </c>
    </row>
    <row r="429" spans="1:1" x14ac:dyDescent="0.25">
      <c r="A429" s="16" t="s">
        <v>6745</v>
      </c>
    </row>
    <row r="430" spans="1:1" x14ac:dyDescent="0.25">
      <c r="A430" s="15" t="s">
        <v>7230</v>
      </c>
    </row>
    <row r="431" spans="1:1" x14ac:dyDescent="0.25">
      <c r="A431" s="16" t="s">
        <v>6745</v>
      </c>
    </row>
    <row r="432" spans="1:1" x14ac:dyDescent="0.25">
      <c r="A432" s="15" t="s">
        <v>7228</v>
      </c>
    </row>
    <row r="433" spans="1:1" x14ac:dyDescent="0.25">
      <c r="A433" s="16" t="s">
        <v>6745</v>
      </c>
    </row>
    <row r="434" spans="1:1" x14ac:dyDescent="0.25">
      <c r="A434" s="15" t="s">
        <v>7226</v>
      </c>
    </row>
    <row r="435" spans="1:1" x14ac:dyDescent="0.25">
      <c r="A435" s="16" t="s">
        <v>6745</v>
      </c>
    </row>
    <row r="436" spans="1:1" x14ac:dyDescent="0.25">
      <c r="A436" s="15" t="s">
        <v>7224</v>
      </c>
    </row>
    <row r="437" spans="1:1" x14ac:dyDescent="0.25">
      <c r="A437" s="16" t="s">
        <v>6745</v>
      </c>
    </row>
    <row r="438" spans="1:1" x14ac:dyDescent="0.25">
      <c r="A438" s="15" t="s">
        <v>7222</v>
      </c>
    </row>
    <row r="439" spans="1:1" x14ac:dyDescent="0.25">
      <c r="A439" s="16" t="s">
        <v>6745</v>
      </c>
    </row>
    <row r="440" spans="1:1" x14ac:dyDescent="0.25">
      <c r="A440" s="15" t="s">
        <v>7220</v>
      </c>
    </row>
    <row r="441" spans="1:1" x14ac:dyDescent="0.25">
      <c r="A441" s="16" t="s">
        <v>6745</v>
      </c>
    </row>
    <row r="442" spans="1:1" x14ac:dyDescent="0.25">
      <c r="A442" s="15" t="s">
        <v>7218</v>
      </c>
    </row>
    <row r="443" spans="1:1" x14ac:dyDescent="0.25">
      <c r="A443" s="16" t="s">
        <v>6745</v>
      </c>
    </row>
    <row r="444" spans="1:1" x14ac:dyDescent="0.25">
      <c r="A444" s="15" t="s">
        <v>7216</v>
      </c>
    </row>
    <row r="445" spans="1:1" x14ac:dyDescent="0.25">
      <c r="A445" s="16" t="s">
        <v>6745</v>
      </c>
    </row>
    <row r="446" spans="1:1" x14ac:dyDescent="0.25">
      <c r="A446" s="15" t="s">
        <v>7214</v>
      </c>
    </row>
    <row r="447" spans="1:1" x14ac:dyDescent="0.25">
      <c r="A447" s="16" t="s">
        <v>6745</v>
      </c>
    </row>
    <row r="448" spans="1:1" x14ac:dyDescent="0.25">
      <c r="A448" s="15" t="s">
        <v>7212</v>
      </c>
    </row>
    <row r="449" spans="1:1" x14ac:dyDescent="0.25">
      <c r="A449" s="16" t="s">
        <v>6745</v>
      </c>
    </row>
    <row r="450" spans="1:1" x14ac:dyDescent="0.25">
      <c r="A450" s="15" t="s">
        <v>7210</v>
      </c>
    </row>
    <row r="451" spans="1:1" x14ac:dyDescent="0.25">
      <c r="A451" s="16" t="s">
        <v>6745</v>
      </c>
    </row>
    <row r="452" spans="1:1" x14ac:dyDescent="0.25">
      <c r="A452" s="15" t="s">
        <v>7208</v>
      </c>
    </row>
    <row r="453" spans="1:1" x14ac:dyDescent="0.25">
      <c r="A453" s="16" t="s">
        <v>6745</v>
      </c>
    </row>
    <row r="454" spans="1:1" x14ac:dyDescent="0.25">
      <c r="A454" s="15" t="s">
        <v>7206</v>
      </c>
    </row>
    <row r="455" spans="1:1" x14ac:dyDescent="0.25">
      <c r="A455" s="16" t="s">
        <v>6745</v>
      </c>
    </row>
    <row r="456" spans="1:1" x14ac:dyDescent="0.25">
      <c r="A456" s="15" t="s">
        <v>7204</v>
      </c>
    </row>
    <row r="457" spans="1:1" x14ac:dyDescent="0.25">
      <c r="A457" s="16" t="s">
        <v>6745</v>
      </c>
    </row>
    <row r="458" spans="1:1" x14ac:dyDescent="0.25">
      <c r="A458" s="15" t="s">
        <v>7202</v>
      </c>
    </row>
    <row r="459" spans="1:1" x14ac:dyDescent="0.25">
      <c r="A459" s="16" t="s">
        <v>6745</v>
      </c>
    </row>
    <row r="460" spans="1:1" x14ac:dyDescent="0.25">
      <c r="A460" s="15" t="s">
        <v>7200</v>
      </c>
    </row>
    <row r="461" spans="1:1" x14ac:dyDescent="0.25">
      <c r="A461" s="16" t="s">
        <v>6745</v>
      </c>
    </row>
    <row r="462" spans="1:1" x14ac:dyDescent="0.25">
      <c r="A462" s="15" t="s">
        <v>7198</v>
      </c>
    </row>
    <row r="463" spans="1:1" x14ac:dyDescent="0.25">
      <c r="A463" s="16" t="s">
        <v>6745</v>
      </c>
    </row>
    <row r="464" spans="1:1" x14ac:dyDescent="0.25">
      <c r="A464" s="15" t="s">
        <v>7196</v>
      </c>
    </row>
    <row r="465" spans="1:1" x14ac:dyDescent="0.25">
      <c r="A465" s="16" t="s">
        <v>6745</v>
      </c>
    </row>
    <row r="466" spans="1:1" x14ac:dyDescent="0.25">
      <c r="A466" s="15" t="s">
        <v>7194</v>
      </c>
    </row>
    <row r="467" spans="1:1" x14ac:dyDescent="0.25">
      <c r="A467" s="16" t="s">
        <v>6745</v>
      </c>
    </row>
    <row r="468" spans="1:1" x14ac:dyDescent="0.25">
      <c r="A468" s="15" t="s">
        <v>7192</v>
      </c>
    </row>
    <row r="469" spans="1:1" x14ac:dyDescent="0.25">
      <c r="A469" s="16" t="s">
        <v>6745</v>
      </c>
    </row>
    <row r="470" spans="1:1" x14ac:dyDescent="0.25">
      <c r="A470" s="15" t="s">
        <v>7190</v>
      </c>
    </row>
    <row r="471" spans="1:1" x14ac:dyDescent="0.25">
      <c r="A471" s="16" t="s">
        <v>6745</v>
      </c>
    </row>
    <row r="472" spans="1:1" x14ac:dyDescent="0.25">
      <c r="A472" s="15" t="s">
        <v>7188</v>
      </c>
    </row>
    <row r="473" spans="1:1" x14ac:dyDescent="0.25">
      <c r="A473" s="16" t="s">
        <v>6745</v>
      </c>
    </row>
    <row r="474" spans="1:1" x14ac:dyDescent="0.25">
      <c r="A474" s="15" t="s">
        <v>7186</v>
      </c>
    </row>
    <row r="475" spans="1:1" x14ac:dyDescent="0.25">
      <c r="A475" s="16" t="s">
        <v>6745</v>
      </c>
    </row>
    <row r="476" spans="1:1" x14ac:dyDescent="0.25">
      <c r="A476" s="15" t="s">
        <v>7184</v>
      </c>
    </row>
    <row r="477" spans="1:1" x14ac:dyDescent="0.25">
      <c r="A477" s="16" t="s">
        <v>6745</v>
      </c>
    </row>
    <row r="478" spans="1:1" x14ac:dyDescent="0.25">
      <c r="A478" s="15" t="s">
        <v>7182</v>
      </c>
    </row>
    <row r="479" spans="1:1" x14ac:dyDescent="0.25">
      <c r="A479" s="16" t="s">
        <v>6745</v>
      </c>
    </row>
    <row r="480" spans="1:1" x14ac:dyDescent="0.25">
      <c r="A480" s="15" t="s">
        <v>7180</v>
      </c>
    </row>
    <row r="481" spans="1:1" x14ac:dyDescent="0.25">
      <c r="A481" s="16" t="s">
        <v>6745</v>
      </c>
    </row>
    <row r="482" spans="1:1" x14ac:dyDescent="0.25">
      <c r="A482" s="15" t="s">
        <v>7178</v>
      </c>
    </row>
    <row r="483" spans="1:1" x14ac:dyDescent="0.25">
      <c r="A483" s="16" t="s">
        <v>6745</v>
      </c>
    </row>
    <row r="484" spans="1:1" x14ac:dyDescent="0.25">
      <c r="A484" s="15" t="s">
        <v>7176</v>
      </c>
    </row>
    <row r="485" spans="1:1" x14ac:dyDescent="0.25">
      <c r="A485" s="16" t="s">
        <v>6745</v>
      </c>
    </row>
    <row r="486" spans="1:1" x14ac:dyDescent="0.25">
      <c r="A486" s="15" t="s">
        <v>7174</v>
      </c>
    </row>
    <row r="487" spans="1:1" x14ac:dyDescent="0.25">
      <c r="A487" s="16" t="s">
        <v>6745</v>
      </c>
    </row>
    <row r="488" spans="1:1" x14ac:dyDescent="0.25">
      <c r="A488" s="15" t="s">
        <v>7172</v>
      </c>
    </row>
    <row r="489" spans="1:1" x14ac:dyDescent="0.25">
      <c r="A489" s="16" t="s">
        <v>6745</v>
      </c>
    </row>
    <row r="490" spans="1:1" x14ac:dyDescent="0.25">
      <c r="A490" s="15" t="s">
        <v>7170</v>
      </c>
    </row>
    <row r="491" spans="1:1" x14ac:dyDescent="0.25">
      <c r="A491" s="16" t="s">
        <v>6745</v>
      </c>
    </row>
    <row r="492" spans="1:1" x14ac:dyDescent="0.25">
      <c r="A492" s="15" t="s">
        <v>7168</v>
      </c>
    </row>
    <row r="493" spans="1:1" x14ac:dyDescent="0.25">
      <c r="A493" s="16" t="s">
        <v>6745</v>
      </c>
    </row>
    <row r="494" spans="1:1" x14ac:dyDescent="0.25">
      <c r="A494" s="15" t="s">
        <v>7166</v>
      </c>
    </row>
    <row r="495" spans="1:1" x14ac:dyDescent="0.25">
      <c r="A495" s="16" t="s">
        <v>6745</v>
      </c>
    </row>
    <row r="496" spans="1:1" x14ac:dyDescent="0.25">
      <c r="A496" s="15" t="s">
        <v>7164</v>
      </c>
    </row>
    <row r="497" spans="1:1" x14ac:dyDescent="0.25">
      <c r="A497" s="16" t="s">
        <v>6745</v>
      </c>
    </row>
    <row r="498" spans="1:1" x14ac:dyDescent="0.25">
      <c r="A498" s="15" t="s">
        <v>7162</v>
      </c>
    </row>
    <row r="499" spans="1:1" x14ac:dyDescent="0.25">
      <c r="A499" s="16" t="s">
        <v>6745</v>
      </c>
    </row>
    <row r="500" spans="1:1" x14ac:dyDescent="0.25">
      <c r="A500" s="15" t="s">
        <v>7160</v>
      </c>
    </row>
    <row r="501" spans="1:1" x14ac:dyDescent="0.25">
      <c r="A501" s="16" t="s">
        <v>6745</v>
      </c>
    </row>
    <row r="502" spans="1:1" x14ac:dyDescent="0.25">
      <c r="A502" s="15" t="s">
        <v>7158</v>
      </c>
    </row>
    <row r="503" spans="1:1" x14ac:dyDescent="0.25">
      <c r="A503" s="16" t="s">
        <v>6745</v>
      </c>
    </row>
    <row r="504" spans="1:1" x14ac:dyDescent="0.25">
      <c r="A504" s="15" t="s">
        <v>7156</v>
      </c>
    </row>
    <row r="505" spans="1:1" x14ac:dyDescent="0.25">
      <c r="A505" s="16" t="s">
        <v>6745</v>
      </c>
    </row>
    <row r="506" spans="1:1" x14ac:dyDescent="0.25">
      <c r="A506" s="15" t="s">
        <v>7153</v>
      </c>
    </row>
    <row r="507" spans="1:1" x14ac:dyDescent="0.25">
      <c r="A507" s="16" t="s">
        <v>6745</v>
      </c>
    </row>
    <row r="508" spans="1:1" x14ac:dyDescent="0.25">
      <c r="A508" s="15" t="s">
        <v>7151</v>
      </c>
    </row>
    <row r="509" spans="1:1" x14ac:dyDescent="0.25">
      <c r="A509" s="16" t="s">
        <v>6745</v>
      </c>
    </row>
    <row r="510" spans="1:1" x14ac:dyDescent="0.25">
      <c r="A510" s="15" t="s">
        <v>7149</v>
      </c>
    </row>
    <row r="511" spans="1:1" x14ac:dyDescent="0.25">
      <c r="A511" s="16" t="s">
        <v>6745</v>
      </c>
    </row>
    <row r="512" spans="1:1" x14ac:dyDescent="0.25">
      <c r="A512" s="15" t="s">
        <v>7147</v>
      </c>
    </row>
    <row r="513" spans="1:1" x14ac:dyDescent="0.25">
      <c r="A513" s="16" t="s">
        <v>6745</v>
      </c>
    </row>
    <row r="514" spans="1:1" x14ac:dyDescent="0.25">
      <c r="A514" s="15" t="s">
        <v>7145</v>
      </c>
    </row>
    <row r="515" spans="1:1" x14ac:dyDescent="0.25">
      <c r="A515" s="16" t="s">
        <v>6745</v>
      </c>
    </row>
    <row r="516" spans="1:1" x14ac:dyDescent="0.25">
      <c r="A516" s="15" t="s">
        <v>7143</v>
      </c>
    </row>
    <row r="517" spans="1:1" x14ac:dyDescent="0.25">
      <c r="A517" s="16" t="s">
        <v>6745</v>
      </c>
    </row>
    <row r="518" spans="1:1" x14ac:dyDescent="0.25">
      <c r="A518" s="15" t="s">
        <v>7141</v>
      </c>
    </row>
    <row r="519" spans="1:1" x14ac:dyDescent="0.25">
      <c r="A519" s="16" t="s">
        <v>6745</v>
      </c>
    </row>
    <row r="520" spans="1:1" x14ac:dyDescent="0.25">
      <c r="A520" s="15" t="s">
        <v>7139</v>
      </c>
    </row>
    <row r="521" spans="1:1" x14ac:dyDescent="0.25">
      <c r="A521" s="16" t="s">
        <v>6745</v>
      </c>
    </row>
    <row r="522" spans="1:1" x14ac:dyDescent="0.25">
      <c r="A522" s="15" t="s">
        <v>7137</v>
      </c>
    </row>
    <row r="523" spans="1:1" x14ac:dyDescent="0.25">
      <c r="A523" s="16" t="s">
        <v>6745</v>
      </c>
    </row>
    <row r="524" spans="1:1" x14ac:dyDescent="0.25">
      <c r="A524" s="15" t="s">
        <v>7135</v>
      </c>
    </row>
    <row r="525" spans="1:1" x14ac:dyDescent="0.25">
      <c r="A525" s="16" t="s">
        <v>6745</v>
      </c>
    </row>
    <row r="526" spans="1:1" x14ac:dyDescent="0.25">
      <c r="A526" s="15" t="s">
        <v>7133</v>
      </c>
    </row>
    <row r="527" spans="1:1" x14ac:dyDescent="0.25">
      <c r="A527" s="16" t="s">
        <v>6745</v>
      </c>
    </row>
    <row r="528" spans="1:1" x14ac:dyDescent="0.25">
      <c r="A528" s="15" t="s">
        <v>7131</v>
      </c>
    </row>
    <row r="529" spans="1:1" x14ac:dyDescent="0.25">
      <c r="A529" s="16" t="s">
        <v>6745</v>
      </c>
    </row>
    <row r="530" spans="1:1" x14ac:dyDescent="0.25">
      <c r="A530" s="15" t="s">
        <v>7129</v>
      </c>
    </row>
    <row r="531" spans="1:1" x14ac:dyDescent="0.25">
      <c r="A531" s="16" t="s">
        <v>6745</v>
      </c>
    </row>
    <row r="532" spans="1:1" x14ac:dyDescent="0.25">
      <c r="A532" s="15" t="s">
        <v>7127</v>
      </c>
    </row>
    <row r="533" spans="1:1" x14ac:dyDescent="0.25">
      <c r="A533" s="16" t="s">
        <v>6745</v>
      </c>
    </row>
    <row r="534" spans="1:1" x14ac:dyDescent="0.25">
      <c r="A534" s="15" t="s">
        <v>7122</v>
      </c>
    </row>
    <row r="535" spans="1:1" x14ac:dyDescent="0.25">
      <c r="A535" s="16" t="s">
        <v>6745</v>
      </c>
    </row>
    <row r="536" spans="1:1" x14ac:dyDescent="0.25">
      <c r="A536" s="15" t="s">
        <v>7120</v>
      </c>
    </row>
    <row r="537" spans="1:1" x14ac:dyDescent="0.25">
      <c r="A537" s="16" t="s">
        <v>6745</v>
      </c>
    </row>
    <row r="538" spans="1:1" x14ac:dyDescent="0.25">
      <c r="A538" s="15" t="s">
        <v>7118</v>
      </c>
    </row>
    <row r="539" spans="1:1" x14ac:dyDescent="0.25">
      <c r="A539" s="16" t="s">
        <v>6745</v>
      </c>
    </row>
    <row r="540" spans="1:1" x14ac:dyDescent="0.25">
      <c r="A540" s="15" t="s">
        <v>7116</v>
      </c>
    </row>
    <row r="541" spans="1:1" x14ac:dyDescent="0.25">
      <c r="A541" s="16" t="s">
        <v>6745</v>
      </c>
    </row>
    <row r="542" spans="1:1" x14ac:dyDescent="0.25">
      <c r="A542" s="15" t="s">
        <v>7114</v>
      </c>
    </row>
    <row r="543" spans="1:1" x14ac:dyDescent="0.25">
      <c r="A543" s="16" t="s">
        <v>6745</v>
      </c>
    </row>
    <row r="544" spans="1:1" x14ac:dyDescent="0.25">
      <c r="A544" s="15" t="s">
        <v>7112</v>
      </c>
    </row>
    <row r="545" spans="1:1" x14ac:dyDescent="0.25">
      <c r="A545" s="16" t="s">
        <v>6745</v>
      </c>
    </row>
    <row r="546" spans="1:1" x14ac:dyDescent="0.25">
      <c r="A546" s="15" t="s">
        <v>7110</v>
      </c>
    </row>
    <row r="547" spans="1:1" x14ac:dyDescent="0.25">
      <c r="A547" s="16" t="s">
        <v>6745</v>
      </c>
    </row>
    <row r="548" spans="1:1" x14ac:dyDescent="0.25">
      <c r="A548" s="15" t="s">
        <v>7107</v>
      </c>
    </row>
    <row r="549" spans="1:1" x14ac:dyDescent="0.25">
      <c r="A549" s="16" t="s">
        <v>6745</v>
      </c>
    </row>
    <row r="550" spans="1:1" x14ac:dyDescent="0.25">
      <c r="A550" s="15" t="s">
        <v>7105</v>
      </c>
    </row>
    <row r="551" spans="1:1" x14ac:dyDescent="0.25">
      <c r="A551" s="16" t="s">
        <v>6745</v>
      </c>
    </row>
    <row r="552" spans="1:1" x14ac:dyDescent="0.25">
      <c r="A552" s="15" t="s">
        <v>7103</v>
      </c>
    </row>
    <row r="553" spans="1:1" x14ac:dyDescent="0.25">
      <c r="A553" s="16" t="s">
        <v>6745</v>
      </c>
    </row>
    <row r="554" spans="1:1" x14ac:dyDescent="0.25">
      <c r="A554" s="15" t="s">
        <v>7101</v>
      </c>
    </row>
    <row r="555" spans="1:1" x14ac:dyDescent="0.25">
      <c r="A555" s="16" t="s">
        <v>6745</v>
      </c>
    </row>
    <row r="556" spans="1:1" x14ac:dyDescent="0.25">
      <c r="A556" s="15" t="s">
        <v>7099</v>
      </c>
    </row>
    <row r="557" spans="1:1" x14ac:dyDescent="0.25">
      <c r="A557" s="16" t="s">
        <v>6745</v>
      </c>
    </row>
    <row r="558" spans="1:1" x14ac:dyDescent="0.25">
      <c r="A558" s="15" t="s">
        <v>7097</v>
      </c>
    </row>
    <row r="559" spans="1:1" x14ac:dyDescent="0.25">
      <c r="A559" s="16" t="s">
        <v>6745</v>
      </c>
    </row>
    <row r="560" spans="1:1" x14ac:dyDescent="0.25">
      <c r="A560" s="15" t="s">
        <v>7095</v>
      </c>
    </row>
    <row r="561" spans="1:1" x14ac:dyDescent="0.25">
      <c r="A561" s="16" t="s">
        <v>6745</v>
      </c>
    </row>
    <row r="562" spans="1:1" x14ac:dyDescent="0.25">
      <c r="A562" s="15" t="s">
        <v>7092</v>
      </c>
    </row>
    <row r="563" spans="1:1" x14ac:dyDescent="0.25">
      <c r="A563" s="16" t="s">
        <v>6745</v>
      </c>
    </row>
    <row r="564" spans="1:1" x14ac:dyDescent="0.25">
      <c r="A564" s="15" t="s">
        <v>7002</v>
      </c>
    </row>
    <row r="565" spans="1:1" x14ac:dyDescent="0.25">
      <c r="A565" s="16" t="s">
        <v>6745</v>
      </c>
    </row>
    <row r="566" spans="1:1" x14ac:dyDescent="0.25">
      <c r="A566" s="15" t="s">
        <v>7000</v>
      </c>
    </row>
    <row r="567" spans="1:1" x14ac:dyDescent="0.25">
      <c r="A567" s="16" t="s">
        <v>6745</v>
      </c>
    </row>
    <row r="568" spans="1:1" x14ac:dyDescent="0.25">
      <c r="A568" s="15" t="s">
        <v>6998</v>
      </c>
    </row>
    <row r="569" spans="1:1" x14ac:dyDescent="0.25">
      <c r="A569" s="16" t="s">
        <v>6745</v>
      </c>
    </row>
    <row r="570" spans="1:1" x14ac:dyDescent="0.25">
      <c r="A570" s="15" t="s">
        <v>6996</v>
      </c>
    </row>
    <row r="571" spans="1:1" x14ac:dyDescent="0.25">
      <c r="A571" s="16" t="s">
        <v>6745</v>
      </c>
    </row>
    <row r="572" spans="1:1" x14ac:dyDescent="0.25">
      <c r="A572" s="15" t="s">
        <v>6994</v>
      </c>
    </row>
    <row r="573" spans="1:1" x14ac:dyDescent="0.25">
      <c r="A573" s="16" t="s">
        <v>6745</v>
      </c>
    </row>
    <row r="574" spans="1:1" x14ac:dyDescent="0.25">
      <c r="A574" s="15" t="s">
        <v>6992</v>
      </c>
    </row>
    <row r="575" spans="1:1" x14ac:dyDescent="0.25">
      <c r="A575" s="16" t="s">
        <v>6745</v>
      </c>
    </row>
    <row r="576" spans="1:1" x14ac:dyDescent="0.25">
      <c r="A576" s="15" t="s">
        <v>6990</v>
      </c>
    </row>
    <row r="577" spans="1:1" x14ac:dyDescent="0.25">
      <c r="A577" s="16" t="s">
        <v>6745</v>
      </c>
    </row>
    <row r="578" spans="1:1" x14ac:dyDescent="0.25">
      <c r="A578" s="15" t="s">
        <v>6988</v>
      </c>
    </row>
    <row r="579" spans="1:1" x14ac:dyDescent="0.25">
      <c r="A579" s="16" t="s">
        <v>6745</v>
      </c>
    </row>
    <row r="580" spans="1:1" x14ac:dyDescent="0.25">
      <c r="A580" s="15" t="s">
        <v>6986</v>
      </c>
    </row>
    <row r="581" spans="1:1" x14ac:dyDescent="0.25">
      <c r="A581" s="16" t="s">
        <v>6745</v>
      </c>
    </row>
    <row r="582" spans="1:1" x14ac:dyDescent="0.25">
      <c r="A582" s="15" t="s">
        <v>6984</v>
      </c>
    </row>
    <row r="583" spans="1:1" x14ac:dyDescent="0.25">
      <c r="A583" s="16" t="s">
        <v>6745</v>
      </c>
    </row>
    <row r="584" spans="1:1" x14ac:dyDescent="0.25">
      <c r="A584" s="15" t="s">
        <v>6982</v>
      </c>
    </row>
    <row r="585" spans="1:1" x14ac:dyDescent="0.25">
      <c r="A585" s="16" t="s">
        <v>6745</v>
      </c>
    </row>
    <row r="586" spans="1:1" x14ac:dyDescent="0.25">
      <c r="A586" s="15" t="s">
        <v>6980</v>
      </c>
    </row>
    <row r="587" spans="1:1" x14ac:dyDescent="0.25">
      <c r="A587" s="16" t="s">
        <v>6745</v>
      </c>
    </row>
    <row r="588" spans="1:1" x14ac:dyDescent="0.25">
      <c r="A588" s="15" t="s">
        <v>6978</v>
      </c>
    </row>
    <row r="589" spans="1:1" x14ac:dyDescent="0.25">
      <c r="A589" s="16" t="s">
        <v>6745</v>
      </c>
    </row>
    <row r="590" spans="1:1" x14ac:dyDescent="0.25">
      <c r="A590" s="15" t="s">
        <v>6976</v>
      </c>
    </row>
    <row r="591" spans="1:1" x14ac:dyDescent="0.25">
      <c r="A591" s="16" t="s">
        <v>6745</v>
      </c>
    </row>
    <row r="592" spans="1:1" x14ac:dyDescent="0.25">
      <c r="A592" s="15" t="s">
        <v>6974</v>
      </c>
    </row>
    <row r="593" spans="1:1" x14ac:dyDescent="0.25">
      <c r="A593" s="16" t="s">
        <v>6745</v>
      </c>
    </row>
    <row r="594" spans="1:1" x14ac:dyDescent="0.25">
      <c r="A594" s="15" t="s">
        <v>6972</v>
      </c>
    </row>
    <row r="595" spans="1:1" x14ac:dyDescent="0.25">
      <c r="A595" s="16" t="s">
        <v>6745</v>
      </c>
    </row>
    <row r="596" spans="1:1" x14ac:dyDescent="0.25">
      <c r="A596" s="15" t="s">
        <v>6970</v>
      </c>
    </row>
    <row r="597" spans="1:1" x14ac:dyDescent="0.25">
      <c r="A597" s="16" t="s">
        <v>6745</v>
      </c>
    </row>
    <row r="598" spans="1:1" x14ac:dyDescent="0.25">
      <c r="A598" s="15" t="s">
        <v>6968</v>
      </c>
    </row>
    <row r="599" spans="1:1" x14ac:dyDescent="0.25">
      <c r="A599" s="16" t="s">
        <v>6745</v>
      </c>
    </row>
    <row r="600" spans="1:1" x14ac:dyDescent="0.25">
      <c r="A600" s="15" t="s">
        <v>6966</v>
      </c>
    </row>
    <row r="601" spans="1:1" x14ac:dyDescent="0.25">
      <c r="A601" s="16" t="s">
        <v>6745</v>
      </c>
    </row>
    <row r="602" spans="1:1" x14ac:dyDescent="0.25">
      <c r="A602" s="15" t="s">
        <v>6964</v>
      </c>
    </row>
    <row r="603" spans="1:1" x14ac:dyDescent="0.25">
      <c r="A603" s="16" t="s">
        <v>6745</v>
      </c>
    </row>
    <row r="604" spans="1:1" x14ac:dyDescent="0.25">
      <c r="A604" s="15" t="s">
        <v>6962</v>
      </c>
    </row>
    <row r="605" spans="1:1" x14ac:dyDescent="0.25">
      <c r="A605" s="16" t="s">
        <v>6745</v>
      </c>
    </row>
    <row r="606" spans="1:1" x14ac:dyDescent="0.25">
      <c r="A606" s="15" t="s">
        <v>6960</v>
      </c>
    </row>
    <row r="607" spans="1:1" x14ac:dyDescent="0.25">
      <c r="A607" s="16" t="s">
        <v>6745</v>
      </c>
    </row>
    <row r="608" spans="1:1" x14ac:dyDescent="0.25">
      <c r="A608" s="15" t="s">
        <v>6958</v>
      </c>
    </row>
    <row r="609" spans="1:1" x14ac:dyDescent="0.25">
      <c r="A609" s="16" t="s">
        <v>6745</v>
      </c>
    </row>
    <row r="610" spans="1:1" x14ac:dyDescent="0.25">
      <c r="A610" s="15" t="s">
        <v>6956</v>
      </c>
    </row>
    <row r="611" spans="1:1" x14ac:dyDescent="0.25">
      <c r="A611" s="16" t="s">
        <v>6745</v>
      </c>
    </row>
    <row r="612" spans="1:1" x14ac:dyDescent="0.25">
      <c r="A612" s="15" t="s">
        <v>6954</v>
      </c>
    </row>
    <row r="613" spans="1:1" x14ac:dyDescent="0.25">
      <c r="A613" s="16" t="s">
        <v>6745</v>
      </c>
    </row>
    <row r="614" spans="1:1" x14ac:dyDescent="0.25">
      <c r="A614" s="15" t="s">
        <v>6952</v>
      </c>
    </row>
    <row r="615" spans="1:1" x14ac:dyDescent="0.25">
      <c r="A615" s="16" t="s">
        <v>6745</v>
      </c>
    </row>
    <row r="616" spans="1:1" x14ac:dyDescent="0.25">
      <c r="A616" s="15" t="s">
        <v>6950</v>
      </c>
    </row>
    <row r="617" spans="1:1" x14ac:dyDescent="0.25">
      <c r="A617" s="16" t="s">
        <v>6745</v>
      </c>
    </row>
    <row r="618" spans="1:1" x14ac:dyDescent="0.25">
      <c r="A618" s="15" t="s">
        <v>6948</v>
      </c>
    </row>
    <row r="619" spans="1:1" x14ac:dyDescent="0.25">
      <c r="A619" s="16" t="s">
        <v>6745</v>
      </c>
    </row>
    <row r="620" spans="1:1" x14ac:dyDescent="0.25">
      <c r="A620" s="15" t="s">
        <v>6946</v>
      </c>
    </row>
    <row r="621" spans="1:1" x14ac:dyDescent="0.25">
      <c r="A621" s="16" t="s">
        <v>6745</v>
      </c>
    </row>
    <row r="622" spans="1:1" x14ac:dyDescent="0.25">
      <c r="A622" s="15" t="s">
        <v>6944</v>
      </c>
    </row>
    <row r="623" spans="1:1" x14ac:dyDescent="0.25">
      <c r="A623" s="16" t="s">
        <v>6745</v>
      </c>
    </row>
    <row r="624" spans="1:1" x14ac:dyDescent="0.25">
      <c r="A624" s="15" t="s">
        <v>6942</v>
      </c>
    </row>
    <row r="625" spans="1:1" x14ac:dyDescent="0.25">
      <c r="A625" s="16" t="s">
        <v>6745</v>
      </c>
    </row>
    <row r="626" spans="1:1" x14ac:dyDescent="0.25">
      <c r="A626" s="15" t="s">
        <v>6940</v>
      </c>
    </row>
    <row r="627" spans="1:1" x14ac:dyDescent="0.25">
      <c r="A627" s="16" t="s">
        <v>6745</v>
      </c>
    </row>
    <row r="628" spans="1:1" x14ac:dyDescent="0.25">
      <c r="A628" s="15" t="s">
        <v>6938</v>
      </c>
    </row>
    <row r="629" spans="1:1" x14ac:dyDescent="0.25">
      <c r="A629" s="16" t="s">
        <v>6745</v>
      </c>
    </row>
    <row r="630" spans="1:1" x14ac:dyDescent="0.25">
      <c r="A630" s="15" t="s">
        <v>6936</v>
      </c>
    </row>
    <row r="631" spans="1:1" x14ac:dyDescent="0.25">
      <c r="A631" s="16" t="s">
        <v>6745</v>
      </c>
    </row>
    <row r="632" spans="1:1" x14ac:dyDescent="0.25">
      <c r="A632" s="15" t="s">
        <v>6934</v>
      </c>
    </row>
    <row r="633" spans="1:1" x14ac:dyDescent="0.25">
      <c r="A633" s="16" t="s">
        <v>6745</v>
      </c>
    </row>
    <row r="634" spans="1:1" x14ac:dyDescent="0.25">
      <c r="A634" s="15" t="s">
        <v>6932</v>
      </c>
    </row>
    <row r="635" spans="1:1" x14ac:dyDescent="0.25">
      <c r="A635" s="16" t="s">
        <v>6745</v>
      </c>
    </row>
    <row r="636" spans="1:1" x14ac:dyDescent="0.25">
      <c r="A636" s="15" t="s">
        <v>6930</v>
      </c>
    </row>
    <row r="637" spans="1:1" x14ac:dyDescent="0.25">
      <c r="A637" s="16" t="s">
        <v>6745</v>
      </c>
    </row>
    <row r="638" spans="1:1" x14ac:dyDescent="0.25">
      <c r="A638" s="15" t="s">
        <v>6928</v>
      </c>
    </row>
    <row r="639" spans="1:1" x14ac:dyDescent="0.25">
      <c r="A639" s="16" t="s">
        <v>6745</v>
      </c>
    </row>
    <row r="640" spans="1:1" x14ac:dyDescent="0.25">
      <c r="A640" s="15" t="s">
        <v>6926</v>
      </c>
    </row>
    <row r="641" spans="1:1" x14ac:dyDescent="0.25">
      <c r="A641" s="16" t="s">
        <v>6745</v>
      </c>
    </row>
    <row r="642" spans="1:1" x14ac:dyDescent="0.25">
      <c r="A642" s="15" t="s">
        <v>6924</v>
      </c>
    </row>
    <row r="643" spans="1:1" x14ac:dyDescent="0.25">
      <c r="A643" s="16" t="s">
        <v>6745</v>
      </c>
    </row>
    <row r="644" spans="1:1" x14ac:dyDescent="0.25">
      <c r="A644" s="15" t="s">
        <v>6922</v>
      </c>
    </row>
    <row r="645" spans="1:1" x14ac:dyDescent="0.25">
      <c r="A645" s="16" t="s">
        <v>6745</v>
      </c>
    </row>
    <row r="646" spans="1:1" x14ac:dyDescent="0.25">
      <c r="A646" s="15" t="s">
        <v>6920</v>
      </c>
    </row>
    <row r="647" spans="1:1" x14ac:dyDescent="0.25">
      <c r="A647" s="16" t="s">
        <v>6745</v>
      </c>
    </row>
    <row r="648" spans="1:1" x14ac:dyDescent="0.25">
      <c r="A648" s="15" t="s">
        <v>6918</v>
      </c>
    </row>
    <row r="649" spans="1:1" x14ac:dyDescent="0.25">
      <c r="A649" s="16" t="s">
        <v>6745</v>
      </c>
    </row>
    <row r="650" spans="1:1" x14ac:dyDescent="0.25">
      <c r="A650" s="15" t="s">
        <v>6916</v>
      </c>
    </row>
    <row r="651" spans="1:1" x14ac:dyDescent="0.25">
      <c r="A651" s="16" t="s">
        <v>6745</v>
      </c>
    </row>
    <row r="652" spans="1:1" x14ac:dyDescent="0.25">
      <c r="A652" s="15" t="s">
        <v>6914</v>
      </c>
    </row>
    <row r="653" spans="1:1" x14ac:dyDescent="0.25">
      <c r="A653" s="16" t="s">
        <v>6745</v>
      </c>
    </row>
    <row r="654" spans="1:1" x14ac:dyDescent="0.25">
      <c r="A654" s="15" t="s">
        <v>6912</v>
      </c>
    </row>
    <row r="655" spans="1:1" x14ac:dyDescent="0.25">
      <c r="A655" s="16" t="s">
        <v>6745</v>
      </c>
    </row>
    <row r="656" spans="1:1" x14ac:dyDescent="0.25">
      <c r="A656" s="15" t="s">
        <v>6910</v>
      </c>
    </row>
    <row r="657" spans="1:1" x14ac:dyDescent="0.25">
      <c r="A657" s="16" t="s">
        <v>6745</v>
      </c>
    </row>
    <row r="658" spans="1:1" x14ac:dyDescent="0.25">
      <c r="A658" s="15" t="s">
        <v>6908</v>
      </c>
    </row>
    <row r="659" spans="1:1" x14ac:dyDescent="0.25">
      <c r="A659" s="16" t="s">
        <v>13095</v>
      </c>
    </row>
    <row r="660" spans="1:1" x14ac:dyDescent="0.25">
      <c r="A660" s="15" t="s">
        <v>6905</v>
      </c>
    </row>
    <row r="661" spans="1:1" x14ac:dyDescent="0.25">
      <c r="A661" s="16" t="s">
        <v>13095</v>
      </c>
    </row>
    <row r="662" spans="1:1" x14ac:dyDescent="0.25">
      <c r="A662" s="15" t="s">
        <v>6903</v>
      </c>
    </row>
    <row r="663" spans="1:1" x14ac:dyDescent="0.25">
      <c r="A663" s="16" t="s">
        <v>6745</v>
      </c>
    </row>
    <row r="664" spans="1:1" x14ac:dyDescent="0.25">
      <c r="A664" s="15" t="s">
        <v>6901</v>
      </c>
    </row>
    <row r="665" spans="1:1" x14ac:dyDescent="0.25">
      <c r="A665" s="16" t="s">
        <v>6745</v>
      </c>
    </row>
    <row r="666" spans="1:1" x14ac:dyDescent="0.25">
      <c r="A666" s="15" t="s">
        <v>6899</v>
      </c>
    </row>
    <row r="667" spans="1:1" x14ac:dyDescent="0.25">
      <c r="A667" s="16" t="s">
        <v>6745</v>
      </c>
    </row>
    <row r="668" spans="1:1" x14ac:dyDescent="0.25">
      <c r="A668" s="15" t="s">
        <v>6897</v>
      </c>
    </row>
    <row r="669" spans="1:1" x14ac:dyDescent="0.25">
      <c r="A669" s="16" t="s">
        <v>6745</v>
      </c>
    </row>
    <row r="670" spans="1:1" x14ac:dyDescent="0.25">
      <c r="A670" s="15" t="s">
        <v>6895</v>
      </c>
    </row>
    <row r="671" spans="1:1" x14ac:dyDescent="0.25">
      <c r="A671" s="16" t="s">
        <v>6745</v>
      </c>
    </row>
    <row r="672" spans="1:1" x14ac:dyDescent="0.25">
      <c r="A672" s="15" t="s">
        <v>6893</v>
      </c>
    </row>
    <row r="673" spans="1:1" x14ac:dyDescent="0.25">
      <c r="A673" s="16" t="s">
        <v>6745</v>
      </c>
    </row>
    <row r="674" spans="1:1" x14ac:dyDescent="0.25">
      <c r="A674" s="15" t="s">
        <v>6891</v>
      </c>
    </row>
    <row r="675" spans="1:1" x14ac:dyDescent="0.25">
      <c r="A675" s="16" t="s">
        <v>6745</v>
      </c>
    </row>
    <row r="676" spans="1:1" x14ac:dyDescent="0.25">
      <c r="A676" s="15" t="s">
        <v>6889</v>
      </c>
    </row>
    <row r="677" spans="1:1" x14ac:dyDescent="0.25">
      <c r="A677" s="16" t="s">
        <v>6745</v>
      </c>
    </row>
    <row r="678" spans="1:1" x14ac:dyDescent="0.25">
      <c r="A678" s="15" t="s">
        <v>6887</v>
      </c>
    </row>
    <row r="679" spans="1:1" x14ac:dyDescent="0.25">
      <c r="A679" s="16" t="s">
        <v>6745</v>
      </c>
    </row>
    <row r="680" spans="1:1" x14ac:dyDescent="0.25">
      <c r="A680" s="15" t="s">
        <v>6885</v>
      </c>
    </row>
    <row r="681" spans="1:1" x14ac:dyDescent="0.25">
      <c r="A681" s="16" t="s">
        <v>6745</v>
      </c>
    </row>
    <row r="682" spans="1:1" x14ac:dyDescent="0.25">
      <c r="A682" s="15" t="s">
        <v>6883</v>
      </c>
    </row>
    <row r="683" spans="1:1" x14ac:dyDescent="0.25">
      <c r="A683" s="16" t="s">
        <v>6745</v>
      </c>
    </row>
    <row r="684" spans="1:1" x14ac:dyDescent="0.25">
      <c r="A684" s="15" t="s">
        <v>6881</v>
      </c>
    </row>
    <row r="685" spans="1:1" x14ac:dyDescent="0.25">
      <c r="A685" s="16" t="s">
        <v>6745</v>
      </c>
    </row>
    <row r="686" spans="1:1" x14ac:dyDescent="0.25">
      <c r="A686" s="15" t="s">
        <v>6879</v>
      </c>
    </row>
    <row r="687" spans="1:1" x14ac:dyDescent="0.25">
      <c r="A687" s="16" t="s">
        <v>6745</v>
      </c>
    </row>
    <row r="688" spans="1:1" x14ac:dyDescent="0.25">
      <c r="A688" s="15" t="s">
        <v>6877</v>
      </c>
    </row>
    <row r="689" spans="1:1" x14ac:dyDescent="0.25">
      <c r="A689" s="16" t="s">
        <v>6745</v>
      </c>
    </row>
    <row r="690" spans="1:1" x14ac:dyDescent="0.25">
      <c r="A690" s="15" t="s">
        <v>6875</v>
      </c>
    </row>
    <row r="691" spans="1:1" x14ac:dyDescent="0.25">
      <c r="A691" s="16" t="s">
        <v>6745</v>
      </c>
    </row>
    <row r="692" spans="1:1" x14ac:dyDescent="0.25">
      <c r="A692" s="15" t="s">
        <v>6873</v>
      </c>
    </row>
    <row r="693" spans="1:1" x14ac:dyDescent="0.25">
      <c r="A693" s="16" t="s">
        <v>6745</v>
      </c>
    </row>
    <row r="694" spans="1:1" x14ac:dyDescent="0.25">
      <c r="A694" s="15" t="s">
        <v>6871</v>
      </c>
    </row>
    <row r="695" spans="1:1" x14ac:dyDescent="0.25">
      <c r="A695" s="16" t="s">
        <v>6745</v>
      </c>
    </row>
    <row r="696" spans="1:1" x14ac:dyDescent="0.25">
      <c r="A696" s="15" t="s">
        <v>6869</v>
      </c>
    </row>
    <row r="697" spans="1:1" x14ac:dyDescent="0.25">
      <c r="A697" s="16" t="s">
        <v>6745</v>
      </c>
    </row>
    <row r="698" spans="1:1" x14ac:dyDescent="0.25">
      <c r="A698" s="15" t="s">
        <v>6867</v>
      </c>
    </row>
    <row r="699" spans="1:1" x14ac:dyDescent="0.25">
      <c r="A699" s="16" t="s">
        <v>6745</v>
      </c>
    </row>
    <row r="700" spans="1:1" x14ac:dyDescent="0.25">
      <c r="A700" s="15" t="s">
        <v>6865</v>
      </c>
    </row>
    <row r="701" spans="1:1" x14ac:dyDescent="0.25">
      <c r="A701" s="16" t="s">
        <v>6745</v>
      </c>
    </row>
    <row r="702" spans="1:1" x14ac:dyDescent="0.25">
      <c r="A702" s="15" t="s">
        <v>6863</v>
      </c>
    </row>
    <row r="703" spans="1:1" x14ac:dyDescent="0.25">
      <c r="A703" s="16" t="s">
        <v>6745</v>
      </c>
    </row>
    <row r="704" spans="1:1" x14ac:dyDescent="0.25">
      <c r="A704" s="15" t="s">
        <v>6861</v>
      </c>
    </row>
    <row r="705" spans="1:1" x14ac:dyDescent="0.25">
      <c r="A705" s="16" t="s">
        <v>6745</v>
      </c>
    </row>
    <row r="706" spans="1:1" x14ac:dyDescent="0.25">
      <c r="A706" s="15" t="s">
        <v>6859</v>
      </c>
    </row>
    <row r="707" spans="1:1" x14ac:dyDescent="0.25">
      <c r="A707" s="16" t="s">
        <v>6745</v>
      </c>
    </row>
    <row r="708" spans="1:1" x14ac:dyDescent="0.25">
      <c r="A708" s="15" t="s">
        <v>6857</v>
      </c>
    </row>
    <row r="709" spans="1:1" x14ac:dyDescent="0.25">
      <c r="A709" s="16" t="s">
        <v>6745</v>
      </c>
    </row>
    <row r="710" spans="1:1" x14ac:dyDescent="0.25">
      <c r="A710" s="15" t="s">
        <v>6855</v>
      </c>
    </row>
    <row r="711" spans="1:1" x14ac:dyDescent="0.25">
      <c r="A711" s="16" t="s">
        <v>6745</v>
      </c>
    </row>
    <row r="712" spans="1:1" x14ac:dyDescent="0.25">
      <c r="A712" s="15" t="s">
        <v>6853</v>
      </c>
    </row>
    <row r="713" spans="1:1" x14ac:dyDescent="0.25">
      <c r="A713" s="16" t="s">
        <v>6745</v>
      </c>
    </row>
    <row r="714" spans="1:1" x14ac:dyDescent="0.25">
      <c r="A714" s="15" t="s">
        <v>6851</v>
      </c>
    </row>
    <row r="715" spans="1:1" x14ac:dyDescent="0.25">
      <c r="A715" s="16" t="s">
        <v>6745</v>
      </c>
    </row>
    <row r="716" spans="1:1" x14ac:dyDescent="0.25">
      <c r="A716" s="15" t="s">
        <v>6849</v>
      </c>
    </row>
    <row r="717" spans="1:1" x14ac:dyDescent="0.25">
      <c r="A717" s="16" t="s">
        <v>6745</v>
      </c>
    </row>
    <row r="718" spans="1:1" x14ac:dyDescent="0.25">
      <c r="A718" s="15" t="s">
        <v>6847</v>
      </c>
    </row>
    <row r="719" spans="1:1" x14ac:dyDescent="0.25">
      <c r="A719" s="16" t="s">
        <v>6745</v>
      </c>
    </row>
    <row r="720" spans="1:1" x14ac:dyDescent="0.25">
      <c r="A720" s="15" t="s">
        <v>6845</v>
      </c>
    </row>
    <row r="721" spans="1:1" x14ac:dyDescent="0.25">
      <c r="A721" s="16" t="s">
        <v>6745</v>
      </c>
    </row>
    <row r="722" spans="1:1" x14ac:dyDescent="0.25">
      <c r="A722" s="15" t="s">
        <v>6843</v>
      </c>
    </row>
    <row r="723" spans="1:1" x14ac:dyDescent="0.25">
      <c r="A723" s="16" t="s">
        <v>6745</v>
      </c>
    </row>
    <row r="724" spans="1:1" x14ac:dyDescent="0.25">
      <c r="A724" s="15" t="s">
        <v>6841</v>
      </c>
    </row>
    <row r="725" spans="1:1" x14ac:dyDescent="0.25">
      <c r="A725" s="16" t="s">
        <v>6745</v>
      </c>
    </row>
    <row r="726" spans="1:1" x14ac:dyDescent="0.25">
      <c r="A726" s="15" t="s">
        <v>6839</v>
      </c>
    </row>
    <row r="727" spans="1:1" x14ac:dyDescent="0.25">
      <c r="A727" s="16" t="s">
        <v>6745</v>
      </c>
    </row>
    <row r="728" spans="1:1" x14ac:dyDescent="0.25">
      <c r="A728" s="15" t="s">
        <v>6837</v>
      </c>
    </row>
    <row r="729" spans="1:1" x14ac:dyDescent="0.25">
      <c r="A729" s="16" t="s">
        <v>6745</v>
      </c>
    </row>
    <row r="730" spans="1:1" x14ac:dyDescent="0.25">
      <c r="A730" s="15" t="s">
        <v>6835</v>
      </c>
    </row>
    <row r="731" spans="1:1" x14ac:dyDescent="0.25">
      <c r="A731" s="16" t="s">
        <v>6745</v>
      </c>
    </row>
    <row r="732" spans="1:1" x14ac:dyDescent="0.25">
      <c r="A732" s="15" t="s">
        <v>6833</v>
      </c>
    </row>
    <row r="733" spans="1:1" x14ac:dyDescent="0.25">
      <c r="A733" s="16" t="s">
        <v>6745</v>
      </c>
    </row>
    <row r="734" spans="1:1" x14ac:dyDescent="0.25">
      <c r="A734" s="15" t="s">
        <v>6831</v>
      </c>
    </row>
    <row r="735" spans="1:1" x14ac:dyDescent="0.25">
      <c r="A735" s="16" t="s">
        <v>6745</v>
      </c>
    </row>
    <row r="736" spans="1:1" x14ac:dyDescent="0.25">
      <c r="A736" s="15" t="s">
        <v>6829</v>
      </c>
    </row>
    <row r="737" spans="1:1" x14ac:dyDescent="0.25">
      <c r="A737" s="16" t="s">
        <v>6745</v>
      </c>
    </row>
    <row r="738" spans="1:1" x14ac:dyDescent="0.25">
      <c r="A738" s="15" t="s">
        <v>6827</v>
      </c>
    </row>
    <row r="739" spans="1:1" x14ac:dyDescent="0.25">
      <c r="A739" s="16" t="s">
        <v>6745</v>
      </c>
    </row>
    <row r="740" spans="1:1" x14ac:dyDescent="0.25">
      <c r="A740" s="15" t="s">
        <v>6825</v>
      </c>
    </row>
    <row r="741" spans="1:1" x14ac:dyDescent="0.25">
      <c r="A741" s="16" t="s">
        <v>6745</v>
      </c>
    </row>
    <row r="742" spans="1:1" x14ac:dyDescent="0.25">
      <c r="A742" s="15" t="s">
        <v>6823</v>
      </c>
    </row>
    <row r="743" spans="1:1" x14ac:dyDescent="0.25">
      <c r="A743" s="16" t="s">
        <v>6745</v>
      </c>
    </row>
    <row r="744" spans="1:1" x14ac:dyDescent="0.25">
      <c r="A744" s="15" t="s">
        <v>6821</v>
      </c>
    </row>
    <row r="745" spans="1:1" x14ac:dyDescent="0.25">
      <c r="A745" s="16" t="s">
        <v>6745</v>
      </c>
    </row>
    <row r="746" spans="1:1" x14ac:dyDescent="0.25">
      <c r="A746" s="15" t="s">
        <v>6819</v>
      </c>
    </row>
    <row r="747" spans="1:1" x14ac:dyDescent="0.25">
      <c r="A747" s="16" t="s">
        <v>6745</v>
      </c>
    </row>
    <row r="748" spans="1:1" x14ac:dyDescent="0.25">
      <c r="A748" s="15" t="s">
        <v>6817</v>
      </c>
    </row>
    <row r="749" spans="1:1" x14ac:dyDescent="0.25">
      <c r="A749" s="16" t="s">
        <v>6745</v>
      </c>
    </row>
    <row r="750" spans="1:1" x14ac:dyDescent="0.25">
      <c r="A750" s="15" t="s">
        <v>6815</v>
      </c>
    </row>
    <row r="751" spans="1:1" x14ac:dyDescent="0.25">
      <c r="A751" s="16" t="s">
        <v>6745</v>
      </c>
    </row>
    <row r="752" spans="1:1" x14ac:dyDescent="0.25">
      <c r="A752" s="15" t="s">
        <v>6812</v>
      </c>
    </row>
    <row r="753" spans="1:1" x14ac:dyDescent="0.25">
      <c r="A753" s="16" t="s">
        <v>6745</v>
      </c>
    </row>
    <row r="754" spans="1:1" x14ac:dyDescent="0.25">
      <c r="A754" s="15" t="s">
        <v>6807</v>
      </c>
    </row>
    <row r="755" spans="1:1" x14ac:dyDescent="0.25">
      <c r="A755" s="16" t="s">
        <v>6745</v>
      </c>
    </row>
    <row r="756" spans="1:1" x14ac:dyDescent="0.25">
      <c r="A756" s="15" t="s">
        <v>7841</v>
      </c>
    </row>
    <row r="757" spans="1:1" x14ac:dyDescent="0.25">
      <c r="A757" s="16" t="s">
        <v>6745</v>
      </c>
    </row>
    <row r="758" spans="1:1" x14ac:dyDescent="0.25">
      <c r="A758" s="15" t="s">
        <v>7839</v>
      </c>
    </row>
    <row r="759" spans="1:1" x14ac:dyDescent="0.25">
      <c r="A759" s="16" t="s">
        <v>6745</v>
      </c>
    </row>
    <row r="760" spans="1:1" x14ac:dyDescent="0.25">
      <c r="A760" s="15" t="s">
        <v>7837</v>
      </c>
    </row>
    <row r="761" spans="1:1" x14ac:dyDescent="0.25">
      <c r="A761" s="16" t="s">
        <v>6745</v>
      </c>
    </row>
    <row r="762" spans="1:1" x14ac:dyDescent="0.25">
      <c r="A762" s="15" t="s">
        <v>7835</v>
      </c>
    </row>
    <row r="763" spans="1:1" x14ac:dyDescent="0.25">
      <c r="A763" s="16" t="s">
        <v>6745</v>
      </c>
    </row>
    <row r="764" spans="1:1" x14ac:dyDescent="0.25">
      <c r="A764" s="15" t="s">
        <v>7833</v>
      </c>
    </row>
    <row r="765" spans="1:1" x14ac:dyDescent="0.25">
      <c r="A765" s="16" t="s">
        <v>6745</v>
      </c>
    </row>
    <row r="766" spans="1:1" x14ac:dyDescent="0.25">
      <c r="A766" s="15" t="s">
        <v>7831</v>
      </c>
    </row>
    <row r="767" spans="1:1" x14ac:dyDescent="0.25">
      <c r="A767" s="16" t="s">
        <v>6745</v>
      </c>
    </row>
    <row r="768" spans="1:1" x14ac:dyDescent="0.25">
      <c r="A768" s="15" t="s">
        <v>7829</v>
      </c>
    </row>
    <row r="769" spans="1:1" x14ac:dyDescent="0.25">
      <c r="A769" s="16" t="s">
        <v>6745</v>
      </c>
    </row>
    <row r="770" spans="1:1" x14ac:dyDescent="0.25">
      <c r="A770" s="15" t="s">
        <v>7827</v>
      </c>
    </row>
    <row r="771" spans="1:1" x14ac:dyDescent="0.25">
      <c r="A771" s="16" t="s">
        <v>6745</v>
      </c>
    </row>
    <row r="772" spans="1:1" x14ac:dyDescent="0.25">
      <c r="A772" s="15" t="s">
        <v>7825</v>
      </c>
    </row>
    <row r="773" spans="1:1" x14ac:dyDescent="0.25">
      <c r="A773" s="16" t="s">
        <v>6745</v>
      </c>
    </row>
    <row r="774" spans="1:1" x14ac:dyDescent="0.25">
      <c r="A774" s="15" t="s">
        <v>7823</v>
      </c>
    </row>
    <row r="775" spans="1:1" x14ac:dyDescent="0.25">
      <c r="A775" s="16" t="s">
        <v>6745</v>
      </c>
    </row>
    <row r="776" spans="1:1" x14ac:dyDescent="0.25">
      <c r="A776" s="15" t="s">
        <v>7821</v>
      </c>
    </row>
    <row r="777" spans="1:1" x14ac:dyDescent="0.25">
      <c r="A777" s="16" t="s">
        <v>6745</v>
      </c>
    </row>
    <row r="778" spans="1:1" x14ac:dyDescent="0.25">
      <c r="A778" s="15" t="s">
        <v>7819</v>
      </c>
    </row>
    <row r="779" spans="1:1" x14ac:dyDescent="0.25">
      <c r="A779" s="16" t="s">
        <v>6745</v>
      </c>
    </row>
    <row r="780" spans="1:1" x14ac:dyDescent="0.25">
      <c r="A780" s="15" t="s">
        <v>7785</v>
      </c>
    </row>
    <row r="781" spans="1:1" x14ac:dyDescent="0.25">
      <c r="A781" s="16" t="s">
        <v>6745</v>
      </c>
    </row>
    <row r="782" spans="1:1" x14ac:dyDescent="0.25">
      <c r="A782" s="15" t="s">
        <v>7783</v>
      </c>
    </row>
    <row r="783" spans="1:1" x14ac:dyDescent="0.25">
      <c r="A783" s="16" t="s">
        <v>6745</v>
      </c>
    </row>
    <row r="784" spans="1:1" x14ac:dyDescent="0.25">
      <c r="A784" s="15" t="s">
        <v>7781</v>
      </c>
    </row>
    <row r="785" spans="1:1" x14ac:dyDescent="0.25">
      <c r="A785" s="16" t="s">
        <v>6745</v>
      </c>
    </row>
    <row r="786" spans="1:1" x14ac:dyDescent="0.25">
      <c r="A786" s="15" t="s">
        <v>7779</v>
      </c>
    </row>
    <row r="787" spans="1:1" x14ac:dyDescent="0.25">
      <c r="A787" s="16" t="s">
        <v>6745</v>
      </c>
    </row>
    <row r="788" spans="1:1" x14ac:dyDescent="0.25">
      <c r="A788" s="15" t="s">
        <v>7777</v>
      </c>
    </row>
    <row r="789" spans="1:1" x14ac:dyDescent="0.25">
      <c r="A789" s="16" t="s">
        <v>6745</v>
      </c>
    </row>
    <row r="790" spans="1:1" x14ac:dyDescent="0.25">
      <c r="A790" s="15" t="s">
        <v>7775</v>
      </c>
    </row>
    <row r="791" spans="1:1" x14ac:dyDescent="0.25">
      <c r="A791" s="16" t="s">
        <v>6745</v>
      </c>
    </row>
    <row r="792" spans="1:1" x14ac:dyDescent="0.25">
      <c r="A792" s="15" t="s">
        <v>7773</v>
      </c>
    </row>
    <row r="793" spans="1:1" x14ac:dyDescent="0.25">
      <c r="A793" s="16" t="s">
        <v>6745</v>
      </c>
    </row>
    <row r="794" spans="1:1" x14ac:dyDescent="0.25">
      <c r="A794" s="15" t="s">
        <v>7771</v>
      </c>
    </row>
    <row r="795" spans="1:1" x14ac:dyDescent="0.25">
      <c r="A795" s="16" t="s">
        <v>6745</v>
      </c>
    </row>
    <row r="796" spans="1:1" x14ac:dyDescent="0.25">
      <c r="A796" s="15" t="s">
        <v>7769</v>
      </c>
    </row>
    <row r="797" spans="1:1" x14ac:dyDescent="0.25">
      <c r="A797" s="16" t="s">
        <v>6745</v>
      </c>
    </row>
    <row r="798" spans="1:1" x14ac:dyDescent="0.25">
      <c r="A798" s="15" t="s">
        <v>7767</v>
      </c>
    </row>
    <row r="799" spans="1:1" x14ac:dyDescent="0.25">
      <c r="A799" s="16" t="s">
        <v>6745</v>
      </c>
    </row>
    <row r="800" spans="1:1" x14ac:dyDescent="0.25">
      <c r="A800" s="15" t="s">
        <v>7765</v>
      </c>
    </row>
    <row r="801" spans="1:1" x14ac:dyDescent="0.25">
      <c r="A801" s="16" t="s">
        <v>6745</v>
      </c>
    </row>
    <row r="802" spans="1:1" x14ac:dyDescent="0.25">
      <c r="A802" s="15" t="s">
        <v>7763</v>
      </c>
    </row>
    <row r="803" spans="1:1" x14ac:dyDescent="0.25">
      <c r="A803" s="16" t="s">
        <v>6745</v>
      </c>
    </row>
    <row r="804" spans="1:1" x14ac:dyDescent="0.25">
      <c r="A804" s="15" t="s">
        <v>7761</v>
      </c>
    </row>
    <row r="805" spans="1:1" x14ac:dyDescent="0.25">
      <c r="A805" s="16" t="s">
        <v>6745</v>
      </c>
    </row>
    <row r="806" spans="1:1" x14ac:dyDescent="0.25">
      <c r="A806" s="15" t="s">
        <v>7759</v>
      </c>
    </row>
    <row r="807" spans="1:1" x14ac:dyDescent="0.25">
      <c r="A807" s="16" t="s">
        <v>6745</v>
      </c>
    </row>
    <row r="808" spans="1:1" x14ac:dyDescent="0.25">
      <c r="A808" s="15" t="s">
        <v>7757</v>
      </c>
    </row>
    <row r="809" spans="1:1" x14ac:dyDescent="0.25">
      <c r="A809" s="16" t="s">
        <v>6745</v>
      </c>
    </row>
    <row r="810" spans="1:1" x14ac:dyDescent="0.25">
      <c r="A810" s="15" t="s">
        <v>7755</v>
      </c>
    </row>
    <row r="811" spans="1:1" x14ac:dyDescent="0.25">
      <c r="A811" s="16" t="s">
        <v>6745</v>
      </c>
    </row>
    <row r="812" spans="1:1" x14ac:dyDescent="0.25">
      <c r="A812" s="15" t="s">
        <v>7753</v>
      </c>
    </row>
    <row r="813" spans="1:1" x14ac:dyDescent="0.25">
      <c r="A813" s="16" t="s">
        <v>6745</v>
      </c>
    </row>
    <row r="814" spans="1:1" x14ac:dyDescent="0.25">
      <c r="A814" s="15" t="s">
        <v>7751</v>
      </c>
    </row>
    <row r="815" spans="1:1" x14ac:dyDescent="0.25">
      <c r="A815" s="16" t="s">
        <v>6745</v>
      </c>
    </row>
    <row r="816" spans="1:1" x14ac:dyDescent="0.25">
      <c r="A816" s="15" t="s">
        <v>7749</v>
      </c>
    </row>
    <row r="817" spans="1:1" x14ac:dyDescent="0.25">
      <c r="A817" s="16" t="s">
        <v>6745</v>
      </c>
    </row>
    <row r="818" spans="1:1" x14ac:dyDescent="0.25">
      <c r="A818" s="15" t="s">
        <v>7747</v>
      </c>
    </row>
    <row r="819" spans="1:1" x14ac:dyDescent="0.25">
      <c r="A819" s="16" t="s">
        <v>6745</v>
      </c>
    </row>
    <row r="820" spans="1:1" x14ac:dyDescent="0.25">
      <c r="A820" s="15" t="s">
        <v>7745</v>
      </c>
    </row>
    <row r="821" spans="1:1" x14ac:dyDescent="0.25">
      <c r="A821" s="16" t="s">
        <v>6745</v>
      </c>
    </row>
    <row r="822" spans="1:1" x14ac:dyDescent="0.25">
      <c r="A822" s="15" t="s">
        <v>7743</v>
      </c>
    </row>
    <row r="823" spans="1:1" x14ac:dyDescent="0.25">
      <c r="A823" s="16" t="s">
        <v>6745</v>
      </c>
    </row>
    <row r="824" spans="1:1" x14ac:dyDescent="0.25">
      <c r="A824" s="15" t="s">
        <v>7741</v>
      </c>
    </row>
    <row r="825" spans="1:1" x14ac:dyDescent="0.25">
      <c r="A825" s="16" t="s">
        <v>6745</v>
      </c>
    </row>
    <row r="826" spans="1:1" x14ac:dyDescent="0.25">
      <c r="A826" s="15" t="s">
        <v>7739</v>
      </c>
    </row>
    <row r="827" spans="1:1" x14ac:dyDescent="0.25">
      <c r="A827" s="16" t="s">
        <v>6745</v>
      </c>
    </row>
    <row r="828" spans="1:1" x14ac:dyDescent="0.25">
      <c r="A828" s="15" t="s">
        <v>7737</v>
      </c>
    </row>
    <row r="829" spans="1:1" x14ac:dyDescent="0.25">
      <c r="A829" s="16" t="s">
        <v>6745</v>
      </c>
    </row>
    <row r="830" spans="1:1" x14ac:dyDescent="0.25">
      <c r="A830" s="15" t="s">
        <v>7735</v>
      </c>
    </row>
    <row r="831" spans="1:1" x14ac:dyDescent="0.25">
      <c r="A831" s="16" t="s">
        <v>6745</v>
      </c>
    </row>
    <row r="832" spans="1:1" x14ac:dyDescent="0.25">
      <c r="A832" s="15" t="s">
        <v>7733</v>
      </c>
    </row>
    <row r="833" spans="1:1" x14ac:dyDescent="0.25">
      <c r="A833" s="16" t="s">
        <v>6745</v>
      </c>
    </row>
    <row r="834" spans="1:1" x14ac:dyDescent="0.25">
      <c r="A834" s="15" t="s">
        <v>7731</v>
      </c>
    </row>
    <row r="835" spans="1:1" x14ac:dyDescent="0.25">
      <c r="A835" s="16" t="s">
        <v>6745</v>
      </c>
    </row>
    <row r="836" spans="1:1" x14ac:dyDescent="0.25">
      <c r="A836" s="15" t="s">
        <v>7729</v>
      </c>
    </row>
    <row r="837" spans="1:1" x14ac:dyDescent="0.25">
      <c r="A837" s="16" t="s">
        <v>6745</v>
      </c>
    </row>
    <row r="838" spans="1:1" x14ac:dyDescent="0.25">
      <c r="A838" s="15" t="s">
        <v>7727</v>
      </c>
    </row>
    <row r="839" spans="1:1" x14ac:dyDescent="0.25">
      <c r="A839" s="16" t="s">
        <v>6745</v>
      </c>
    </row>
    <row r="840" spans="1:1" x14ac:dyDescent="0.25">
      <c r="A840" s="15" t="s">
        <v>7725</v>
      </c>
    </row>
    <row r="841" spans="1:1" x14ac:dyDescent="0.25">
      <c r="A841" s="16" t="s">
        <v>6745</v>
      </c>
    </row>
    <row r="842" spans="1:1" x14ac:dyDescent="0.25">
      <c r="A842" s="15" t="s">
        <v>7723</v>
      </c>
    </row>
    <row r="843" spans="1:1" x14ac:dyDescent="0.25">
      <c r="A843" s="16" t="s">
        <v>6745</v>
      </c>
    </row>
    <row r="844" spans="1:1" x14ac:dyDescent="0.25">
      <c r="A844" s="15" t="s">
        <v>7721</v>
      </c>
    </row>
    <row r="845" spans="1:1" x14ac:dyDescent="0.25">
      <c r="A845" s="16" t="s">
        <v>6745</v>
      </c>
    </row>
    <row r="846" spans="1:1" x14ac:dyDescent="0.25">
      <c r="A846" s="15" t="s">
        <v>7719</v>
      </c>
    </row>
    <row r="847" spans="1:1" x14ac:dyDescent="0.25">
      <c r="A847" s="16" t="s">
        <v>6745</v>
      </c>
    </row>
    <row r="848" spans="1:1" x14ac:dyDescent="0.25">
      <c r="A848" s="15" t="s">
        <v>7713</v>
      </c>
    </row>
    <row r="849" spans="1:1" x14ac:dyDescent="0.25">
      <c r="A849" s="16" t="s">
        <v>6745</v>
      </c>
    </row>
    <row r="850" spans="1:1" x14ac:dyDescent="0.25">
      <c r="A850" s="15" t="s">
        <v>7697</v>
      </c>
    </row>
    <row r="851" spans="1:1" x14ac:dyDescent="0.25">
      <c r="A851" s="16" t="s">
        <v>6745</v>
      </c>
    </row>
    <row r="852" spans="1:1" x14ac:dyDescent="0.25">
      <c r="A852" s="15" t="s">
        <v>6782</v>
      </c>
    </row>
    <row r="853" spans="1:1" x14ac:dyDescent="0.25">
      <c r="A853" s="16" t="s">
        <v>6745</v>
      </c>
    </row>
    <row r="854" spans="1:1" x14ac:dyDescent="0.25">
      <c r="A854" s="15" t="s">
        <v>6780</v>
      </c>
    </row>
    <row r="855" spans="1:1" x14ac:dyDescent="0.25">
      <c r="A855" s="16" t="s">
        <v>6745</v>
      </c>
    </row>
    <row r="856" spans="1:1" x14ac:dyDescent="0.25">
      <c r="A856" s="15" t="s">
        <v>6778</v>
      </c>
    </row>
    <row r="857" spans="1:1" x14ac:dyDescent="0.25">
      <c r="A857" s="16" t="s">
        <v>6745</v>
      </c>
    </row>
    <row r="858" spans="1:1" x14ac:dyDescent="0.25">
      <c r="A858" s="15" t="s">
        <v>6775</v>
      </c>
    </row>
    <row r="859" spans="1:1" x14ac:dyDescent="0.25">
      <c r="A859" s="16" t="s">
        <v>6745</v>
      </c>
    </row>
    <row r="860" spans="1:1" x14ac:dyDescent="0.25">
      <c r="A860" s="15" t="s">
        <v>6768</v>
      </c>
    </row>
    <row r="861" spans="1:1" x14ac:dyDescent="0.25">
      <c r="A861" s="16" t="s">
        <v>6745</v>
      </c>
    </row>
    <row r="862" spans="1:1" x14ac:dyDescent="0.25">
      <c r="A862" s="15" t="s">
        <v>6766</v>
      </c>
    </row>
    <row r="863" spans="1:1" x14ac:dyDescent="0.25">
      <c r="A863" s="16" t="s">
        <v>6745</v>
      </c>
    </row>
    <row r="864" spans="1:1" x14ac:dyDescent="0.25">
      <c r="A864" s="15" t="s">
        <v>6764</v>
      </c>
    </row>
    <row r="865" spans="1:1" x14ac:dyDescent="0.25">
      <c r="A865" s="16" t="s">
        <v>6745</v>
      </c>
    </row>
    <row r="866" spans="1:1" x14ac:dyDescent="0.25">
      <c r="A866" s="15" t="s">
        <v>6762</v>
      </c>
    </row>
    <row r="867" spans="1:1" x14ac:dyDescent="0.25">
      <c r="A867" s="16" t="s">
        <v>6745</v>
      </c>
    </row>
    <row r="868" spans="1:1" x14ac:dyDescent="0.25">
      <c r="A868" s="15" t="s">
        <v>6759</v>
      </c>
    </row>
    <row r="869" spans="1:1" x14ac:dyDescent="0.25">
      <c r="A869" s="16" t="s">
        <v>6745</v>
      </c>
    </row>
    <row r="870" spans="1:1" x14ac:dyDescent="0.25">
      <c r="A870" s="15" t="s">
        <v>6757</v>
      </c>
    </row>
    <row r="871" spans="1:1" x14ac:dyDescent="0.25">
      <c r="A871" s="16" t="s">
        <v>6745</v>
      </c>
    </row>
    <row r="872" spans="1:1" x14ac:dyDescent="0.25">
      <c r="A872" s="15" t="s">
        <v>6755</v>
      </c>
    </row>
    <row r="873" spans="1:1" x14ac:dyDescent="0.25">
      <c r="A873" s="16" t="s">
        <v>6745</v>
      </c>
    </row>
    <row r="874" spans="1:1" x14ac:dyDescent="0.25">
      <c r="A874" s="15" t="s">
        <v>6753</v>
      </c>
    </row>
    <row r="875" spans="1:1" x14ac:dyDescent="0.25">
      <c r="A875" s="16" t="s">
        <v>6745</v>
      </c>
    </row>
    <row r="876" spans="1:1" x14ac:dyDescent="0.25">
      <c r="A876" s="15" t="s">
        <v>6751</v>
      </c>
    </row>
    <row r="877" spans="1:1" x14ac:dyDescent="0.25">
      <c r="A877" s="16" t="s">
        <v>6745</v>
      </c>
    </row>
    <row r="878" spans="1:1" x14ac:dyDescent="0.25">
      <c r="A878" s="15" t="s">
        <v>6749</v>
      </c>
    </row>
    <row r="879" spans="1:1" x14ac:dyDescent="0.25">
      <c r="A879" s="16" t="s">
        <v>6745</v>
      </c>
    </row>
    <row r="880" spans="1:1" x14ac:dyDescent="0.25">
      <c r="A880" s="15" t="s">
        <v>6747</v>
      </c>
    </row>
    <row r="881" spans="1:1" x14ac:dyDescent="0.25">
      <c r="A881" s="16" t="s">
        <v>6745</v>
      </c>
    </row>
    <row r="882" spans="1:1" x14ac:dyDescent="0.25">
      <c r="A882" s="15" t="s">
        <v>6743</v>
      </c>
    </row>
    <row r="883" spans="1:1" x14ac:dyDescent="0.25">
      <c r="A883" s="16" t="s">
        <v>6745</v>
      </c>
    </row>
    <row r="884" spans="1:1" x14ac:dyDescent="0.25">
      <c r="A884" s="15" t="s">
        <v>6745</v>
      </c>
    </row>
    <row r="885" spans="1:1" x14ac:dyDescent="0.25">
      <c r="A885" s="16">
        <v>0</v>
      </c>
    </row>
    <row r="886" spans="1:1" x14ac:dyDescent="0.25">
      <c r="A886" s="15" t="s">
        <v>13095</v>
      </c>
    </row>
    <row r="887" spans="1:1" x14ac:dyDescent="0.25">
      <c r="A887" s="16" t="s">
        <v>13095</v>
      </c>
    </row>
    <row r="888" spans="1:1" x14ac:dyDescent="0.25">
      <c r="A888" s="15" t="s">
        <v>13096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4EE7-9FE7-4756-A117-8CC3D06A3449}">
  <dimension ref="A1:F445"/>
  <sheetViews>
    <sheetView workbookViewId="0">
      <selection sqref="A1:XFD1048576"/>
    </sheetView>
  </sheetViews>
  <sheetFormatPr baseColWidth="10" defaultRowHeight="15" x14ac:dyDescent="0.25"/>
  <cols>
    <col min="1" max="1" width="8.85546875" bestFit="1" customWidth="1"/>
    <col min="2" max="2" width="16.28515625" bestFit="1" customWidth="1"/>
    <col min="3" max="3" width="72.140625" bestFit="1" customWidth="1"/>
    <col min="4" max="4" width="13.7109375" bestFit="1" customWidth="1"/>
    <col min="5" max="5" width="7.5703125" bestFit="1" customWidth="1"/>
    <col min="6" max="6" width="13.7109375" bestFit="1" customWidth="1"/>
  </cols>
  <sheetData>
    <row r="1" spans="1:6" x14ac:dyDescent="0.25">
      <c r="A1" t="s">
        <v>3324</v>
      </c>
      <c r="B1" t="s">
        <v>3325</v>
      </c>
      <c r="C1" t="s">
        <v>3326</v>
      </c>
      <c r="D1" t="s">
        <v>3327</v>
      </c>
      <c r="E1" t="s">
        <v>3328</v>
      </c>
      <c r="F1" t="s">
        <v>13085</v>
      </c>
    </row>
    <row r="2" spans="1:6" x14ac:dyDescent="0.25">
      <c r="A2" t="s">
        <v>3329</v>
      </c>
      <c r="B2" t="s">
        <v>7660</v>
      </c>
      <c r="C2" t="s">
        <v>7661</v>
      </c>
      <c r="D2" t="s">
        <v>6745</v>
      </c>
      <c r="E2" t="s">
        <v>7155</v>
      </c>
      <c r="F2">
        <v>0</v>
      </c>
    </row>
    <row r="3" spans="1:6" x14ac:dyDescent="0.25">
      <c r="A3" t="s">
        <v>3329</v>
      </c>
      <c r="B3" t="s">
        <v>7658</v>
      </c>
      <c r="C3" t="s">
        <v>7659</v>
      </c>
      <c r="D3" t="s">
        <v>6745</v>
      </c>
      <c r="E3" t="s">
        <v>6814</v>
      </c>
      <c r="F3">
        <v>0</v>
      </c>
    </row>
    <row r="4" spans="1:6" x14ac:dyDescent="0.25">
      <c r="A4" t="s">
        <v>3329</v>
      </c>
      <c r="B4" t="s">
        <v>7656</v>
      </c>
      <c r="C4" t="s">
        <v>7657</v>
      </c>
      <c r="D4" t="s">
        <v>6745</v>
      </c>
      <c r="E4" t="s">
        <v>6814</v>
      </c>
      <c r="F4">
        <v>0</v>
      </c>
    </row>
    <row r="5" spans="1:6" x14ac:dyDescent="0.25">
      <c r="A5" t="s">
        <v>3329</v>
      </c>
      <c r="B5" t="s">
        <v>7654</v>
      </c>
      <c r="C5" t="s">
        <v>7655</v>
      </c>
      <c r="D5" t="s">
        <v>6745</v>
      </c>
      <c r="E5" t="s">
        <v>6814</v>
      </c>
      <c r="F5">
        <v>0</v>
      </c>
    </row>
    <row r="6" spans="1:6" x14ac:dyDescent="0.25">
      <c r="A6" t="s">
        <v>3329</v>
      </c>
      <c r="B6" t="s">
        <v>7652</v>
      </c>
      <c r="C6" t="s">
        <v>7653</v>
      </c>
      <c r="D6" t="s">
        <v>6745</v>
      </c>
      <c r="E6" t="s">
        <v>6777</v>
      </c>
      <c r="F6">
        <v>0</v>
      </c>
    </row>
    <row r="7" spans="1:6" x14ac:dyDescent="0.25">
      <c r="A7" t="s">
        <v>3329</v>
      </c>
      <c r="B7" t="s">
        <v>7650</v>
      </c>
      <c r="C7" t="s">
        <v>7651</v>
      </c>
      <c r="D7" t="s">
        <v>6745</v>
      </c>
      <c r="E7" t="s">
        <v>6777</v>
      </c>
      <c r="F7">
        <v>0</v>
      </c>
    </row>
    <row r="8" spans="1:6" x14ac:dyDescent="0.25">
      <c r="A8" t="s">
        <v>3329</v>
      </c>
      <c r="B8" t="s">
        <v>7648</v>
      </c>
      <c r="C8" t="s">
        <v>7649</v>
      </c>
      <c r="D8" t="s">
        <v>6745</v>
      </c>
      <c r="E8" t="s">
        <v>6777</v>
      </c>
      <c r="F8">
        <v>0</v>
      </c>
    </row>
    <row r="9" spans="1:6" x14ac:dyDescent="0.25">
      <c r="A9" t="s">
        <v>3329</v>
      </c>
      <c r="B9" t="s">
        <v>7646</v>
      </c>
      <c r="C9" t="s">
        <v>7647</v>
      </c>
      <c r="D9" t="s">
        <v>6745</v>
      </c>
      <c r="E9" t="s">
        <v>6777</v>
      </c>
      <c r="F9">
        <v>0</v>
      </c>
    </row>
    <row r="10" spans="1:6" x14ac:dyDescent="0.25">
      <c r="A10" t="s">
        <v>3329</v>
      </c>
      <c r="B10" t="s">
        <v>7644</v>
      </c>
      <c r="C10" t="s">
        <v>7645</v>
      </c>
      <c r="D10" t="s">
        <v>6745</v>
      </c>
      <c r="E10" t="s">
        <v>6814</v>
      </c>
      <c r="F10">
        <v>0</v>
      </c>
    </row>
    <row r="11" spans="1:6" x14ac:dyDescent="0.25">
      <c r="A11" t="s">
        <v>3329</v>
      </c>
      <c r="B11" t="s">
        <v>7642</v>
      </c>
      <c r="C11" t="s">
        <v>7643</v>
      </c>
      <c r="D11" t="s">
        <v>6745</v>
      </c>
      <c r="E11" t="s">
        <v>6777</v>
      </c>
      <c r="F11">
        <v>0</v>
      </c>
    </row>
    <row r="12" spans="1:6" x14ac:dyDescent="0.25">
      <c r="A12" t="s">
        <v>3329</v>
      </c>
      <c r="B12" t="s">
        <v>7640</v>
      </c>
      <c r="C12" t="s">
        <v>7641</v>
      </c>
      <c r="D12" t="s">
        <v>6745</v>
      </c>
      <c r="E12" t="s">
        <v>6777</v>
      </c>
      <c r="F12">
        <v>0</v>
      </c>
    </row>
    <row r="13" spans="1:6" x14ac:dyDescent="0.25">
      <c r="A13" t="s">
        <v>3329</v>
      </c>
      <c r="B13" t="s">
        <v>7638</v>
      </c>
      <c r="C13" t="s">
        <v>7639</v>
      </c>
      <c r="D13" t="s">
        <v>6745</v>
      </c>
      <c r="E13" t="s">
        <v>6777</v>
      </c>
      <c r="F13">
        <v>0</v>
      </c>
    </row>
    <row r="14" spans="1:6" x14ac:dyDescent="0.25">
      <c r="A14" t="s">
        <v>3329</v>
      </c>
      <c r="B14" t="s">
        <v>7636</v>
      </c>
      <c r="C14" t="s">
        <v>7637</v>
      </c>
      <c r="D14" t="s">
        <v>6745</v>
      </c>
      <c r="E14" t="s">
        <v>6777</v>
      </c>
      <c r="F14">
        <v>0</v>
      </c>
    </row>
    <row r="15" spans="1:6" x14ac:dyDescent="0.25">
      <c r="A15" t="s">
        <v>3329</v>
      </c>
      <c r="B15" t="s">
        <v>7634</v>
      </c>
      <c r="C15" t="s">
        <v>7635</v>
      </c>
      <c r="D15" t="s">
        <v>6745</v>
      </c>
      <c r="E15" t="s">
        <v>6777</v>
      </c>
      <c r="F15">
        <v>0</v>
      </c>
    </row>
    <row r="16" spans="1:6" x14ac:dyDescent="0.25">
      <c r="A16" t="s">
        <v>3329</v>
      </c>
      <c r="B16" t="s">
        <v>7632</v>
      </c>
      <c r="C16" t="s">
        <v>7633</v>
      </c>
      <c r="D16" t="s">
        <v>6745</v>
      </c>
      <c r="E16" t="s">
        <v>6777</v>
      </c>
      <c r="F16">
        <v>0</v>
      </c>
    </row>
    <row r="17" spans="1:6" x14ac:dyDescent="0.25">
      <c r="A17" t="s">
        <v>3329</v>
      </c>
      <c r="B17" t="s">
        <v>7630</v>
      </c>
      <c r="C17" t="s">
        <v>7631</v>
      </c>
      <c r="D17" t="s">
        <v>6745</v>
      </c>
      <c r="E17" t="s">
        <v>6777</v>
      </c>
      <c r="F17">
        <v>0</v>
      </c>
    </row>
    <row r="18" spans="1:6" x14ac:dyDescent="0.25">
      <c r="A18" t="s">
        <v>3329</v>
      </c>
      <c r="B18" t="s">
        <v>7628</v>
      </c>
      <c r="C18" t="s">
        <v>7629</v>
      </c>
      <c r="D18" t="s">
        <v>6745</v>
      </c>
      <c r="E18" t="s">
        <v>6777</v>
      </c>
      <c r="F18">
        <v>0</v>
      </c>
    </row>
    <row r="19" spans="1:6" x14ac:dyDescent="0.25">
      <c r="A19" t="s">
        <v>3329</v>
      </c>
      <c r="B19" t="s">
        <v>7626</v>
      </c>
      <c r="C19" t="s">
        <v>7627</v>
      </c>
      <c r="D19" t="s">
        <v>6745</v>
      </c>
      <c r="E19" t="s">
        <v>6777</v>
      </c>
      <c r="F19">
        <v>0</v>
      </c>
    </row>
    <row r="20" spans="1:6" x14ac:dyDescent="0.25">
      <c r="A20" t="s">
        <v>3329</v>
      </c>
      <c r="B20" t="s">
        <v>7624</v>
      </c>
      <c r="C20" t="s">
        <v>7625</v>
      </c>
      <c r="D20" t="s">
        <v>6745</v>
      </c>
      <c r="E20" t="s">
        <v>6777</v>
      </c>
      <c r="F20">
        <v>0</v>
      </c>
    </row>
    <row r="21" spans="1:6" x14ac:dyDescent="0.25">
      <c r="A21" t="s">
        <v>3329</v>
      </c>
      <c r="B21" t="s">
        <v>7622</v>
      </c>
      <c r="C21" t="s">
        <v>7623</v>
      </c>
      <c r="D21" t="s">
        <v>6745</v>
      </c>
      <c r="E21" t="s">
        <v>6777</v>
      </c>
      <c r="F21">
        <v>0</v>
      </c>
    </row>
    <row r="22" spans="1:6" x14ac:dyDescent="0.25">
      <c r="A22" t="s">
        <v>3329</v>
      </c>
      <c r="B22" t="s">
        <v>7620</v>
      </c>
      <c r="C22" t="s">
        <v>7621</v>
      </c>
      <c r="D22" t="s">
        <v>6745</v>
      </c>
      <c r="E22" t="s">
        <v>6809</v>
      </c>
      <c r="F22">
        <v>0</v>
      </c>
    </row>
    <row r="23" spans="1:6" x14ac:dyDescent="0.25">
      <c r="A23" t="s">
        <v>3329</v>
      </c>
      <c r="B23" t="s">
        <v>7618</v>
      </c>
      <c r="C23" t="s">
        <v>7619</v>
      </c>
      <c r="D23" t="s">
        <v>6745</v>
      </c>
      <c r="E23" t="s">
        <v>7013</v>
      </c>
      <c r="F23">
        <v>0</v>
      </c>
    </row>
    <row r="24" spans="1:6" x14ac:dyDescent="0.25">
      <c r="A24" t="s">
        <v>3329</v>
      </c>
      <c r="B24" t="s">
        <v>7614</v>
      </c>
      <c r="C24" t="s">
        <v>7615</v>
      </c>
      <c r="D24" t="s">
        <v>6745</v>
      </c>
      <c r="E24" t="s">
        <v>6814</v>
      </c>
      <c r="F24">
        <v>0</v>
      </c>
    </row>
    <row r="25" spans="1:6" x14ac:dyDescent="0.25">
      <c r="A25" t="s">
        <v>3329</v>
      </c>
      <c r="B25" t="s">
        <v>7612</v>
      </c>
      <c r="C25" t="s">
        <v>7613</v>
      </c>
      <c r="D25" t="s">
        <v>6745</v>
      </c>
      <c r="E25" t="s">
        <v>6814</v>
      </c>
      <c r="F25">
        <v>0</v>
      </c>
    </row>
    <row r="26" spans="1:6" x14ac:dyDescent="0.25">
      <c r="A26" t="s">
        <v>3329</v>
      </c>
      <c r="B26" t="s">
        <v>7610</v>
      </c>
      <c r="C26" t="s">
        <v>7611</v>
      </c>
      <c r="D26" t="s">
        <v>6745</v>
      </c>
      <c r="E26" t="s">
        <v>6814</v>
      </c>
      <c r="F26">
        <v>0</v>
      </c>
    </row>
    <row r="27" spans="1:6" x14ac:dyDescent="0.25">
      <c r="A27" t="s">
        <v>3329</v>
      </c>
      <c r="B27" t="s">
        <v>7608</v>
      </c>
      <c r="C27" t="s">
        <v>7609</v>
      </c>
      <c r="D27" t="s">
        <v>6745</v>
      </c>
      <c r="E27" t="s">
        <v>6814</v>
      </c>
      <c r="F27">
        <v>0</v>
      </c>
    </row>
    <row r="28" spans="1:6" x14ac:dyDescent="0.25">
      <c r="A28" t="s">
        <v>3329</v>
      </c>
      <c r="B28" t="s">
        <v>7606</v>
      </c>
      <c r="C28" t="s">
        <v>7607</v>
      </c>
      <c r="D28" t="s">
        <v>6745</v>
      </c>
      <c r="E28" t="s">
        <v>6814</v>
      </c>
      <c r="F28">
        <v>0</v>
      </c>
    </row>
    <row r="29" spans="1:6" x14ac:dyDescent="0.25">
      <c r="A29" t="s">
        <v>3329</v>
      </c>
      <c r="B29" t="s">
        <v>7604</v>
      </c>
      <c r="C29" t="s">
        <v>7605</v>
      </c>
      <c r="D29" t="s">
        <v>6745</v>
      </c>
      <c r="E29" t="s">
        <v>6814</v>
      </c>
      <c r="F29">
        <v>0</v>
      </c>
    </row>
    <row r="30" spans="1:6" x14ac:dyDescent="0.25">
      <c r="A30" t="s">
        <v>3329</v>
      </c>
      <c r="B30" t="s">
        <v>7602</v>
      </c>
      <c r="C30" t="s">
        <v>7603</v>
      </c>
      <c r="D30" t="s">
        <v>6745</v>
      </c>
      <c r="E30" t="s">
        <v>6814</v>
      </c>
      <c r="F30">
        <v>0</v>
      </c>
    </row>
    <row r="31" spans="1:6" x14ac:dyDescent="0.25">
      <c r="A31" t="s">
        <v>3329</v>
      </c>
      <c r="B31" t="s">
        <v>7600</v>
      </c>
      <c r="C31" t="s">
        <v>7601</v>
      </c>
      <c r="D31" t="s">
        <v>6745</v>
      </c>
      <c r="E31" t="s">
        <v>6814</v>
      </c>
      <c r="F31">
        <v>0</v>
      </c>
    </row>
    <row r="32" spans="1:6" x14ac:dyDescent="0.25">
      <c r="A32" t="s">
        <v>3329</v>
      </c>
      <c r="B32" t="s">
        <v>7598</v>
      </c>
      <c r="C32" t="s">
        <v>7599</v>
      </c>
      <c r="D32" t="s">
        <v>6745</v>
      </c>
      <c r="E32" t="s">
        <v>6814</v>
      </c>
      <c r="F32">
        <v>0</v>
      </c>
    </row>
    <row r="33" spans="1:6" x14ac:dyDescent="0.25">
      <c r="A33" t="s">
        <v>3329</v>
      </c>
      <c r="B33" t="s">
        <v>7596</v>
      </c>
      <c r="C33" t="s">
        <v>7597</v>
      </c>
      <c r="D33" t="s">
        <v>6745</v>
      </c>
      <c r="E33" t="s">
        <v>6814</v>
      </c>
      <c r="F33">
        <v>0</v>
      </c>
    </row>
    <row r="34" spans="1:6" x14ac:dyDescent="0.25">
      <c r="A34" t="s">
        <v>3329</v>
      </c>
      <c r="B34" t="s">
        <v>7594</v>
      </c>
      <c r="C34" t="s">
        <v>7595</v>
      </c>
      <c r="D34" t="s">
        <v>6745</v>
      </c>
      <c r="E34" t="s">
        <v>6814</v>
      </c>
      <c r="F34">
        <v>0</v>
      </c>
    </row>
    <row r="35" spans="1:6" x14ac:dyDescent="0.25">
      <c r="A35" t="s">
        <v>3329</v>
      </c>
      <c r="B35" t="s">
        <v>7592</v>
      </c>
      <c r="C35" t="s">
        <v>7593</v>
      </c>
      <c r="D35" t="s">
        <v>6745</v>
      </c>
      <c r="E35" t="s">
        <v>6814</v>
      </c>
      <c r="F35">
        <v>0</v>
      </c>
    </row>
    <row r="36" spans="1:6" x14ac:dyDescent="0.25">
      <c r="A36" t="s">
        <v>3329</v>
      </c>
      <c r="B36" t="s">
        <v>7590</v>
      </c>
      <c r="C36" t="s">
        <v>7591</v>
      </c>
      <c r="D36" t="s">
        <v>6745</v>
      </c>
      <c r="E36" t="s">
        <v>6814</v>
      </c>
      <c r="F36">
        <v>0</v>
      </c>
    </row>
    <row r="37" spans="1:6" x14ac:dyDescent="0.25">
      <c r="A37" t="s">
        <v>3329</v>
      </c>
      <c r="B37" t="s">
        <v>7588</v>
      </c>
      <c r="C37" t="s">
        <v>7589</v>
      </c>
      <c r="D37" t="s">
        <v>6745</v>
      </c>
      <c r="E37" t="s">
        <v>6814</v>
      </c>
      <c r="F37">
        <v>0</v>
      </c>
    </row>
    <row r="38" spans="1:6" x14ac:dyDescent="0.25">
      <c r="A38" t="s">
        <v>3329</v>
      </c>
      <c r="B38" t="s">
        <v>7586</v>
      </c>
      <c r="C38" t="s">
        <v>7587</v>
      </c>
      <c r="D38" t="s">
        <v>6745</v>
      </c>
      <c r="E38" t="s">
        <v>6814</v>
      </c>
      <c r="F38">
        <v>0</v>
      </c>
    </row>
    <row r="39" spans="1:6" x14ac:dyDescent="0.25">
      <c r="A39" t="s">
        <v>3329</v>
      </c>
      <c r="B39" t="s">
        <v>7584</v>
      </c>
      <c r="C39" t="s">
        <v>7585</v>
      </c>
      <c r="D39" t="s">
        <v>6745</v>
      </c>
      <c r="E39" t="s">
        <v>6814</v>
      </c>
      <c r="F39">
        <v>0</v>
      </c>
    </row>
    <row r="40" spans="1:6" x14ac:dyDescent="0.25">
      <c r="A40" t="s">
        <v>3329</v>
      </c>
      <c r="B40" t="s">
        <v>7582</v>
      </c>
      <c r="C40" t="s">
        <v>7583</v>
      </c>
      <c r="D40" t="s">
        <v>6745</v>
      </c>
      <c r="E40" t="s">
        <v>6814</v>
      </c>
      <c r="F40">
        <v>0</v>
      </c>
    </row>
    <row r="41" spans="1:6" x14ac:dyDescent="0.25">
      <c r="A41" t="s">
        <v>3329</v>
      </c>
      <c r="B41" t="s">
        <v>7580</v>
      </c>
      <c r="C41" t="s">
        <v>7581</v>
      </c>
      <c r="D41" t="s">
        <v>6745</v>
      </c>
      <c r="E41" t="s">
        <v>6814</v>
      </c>
      <c r="F41">
        <v>0</v>
      </c>
    </row>
    <row r="42" spans="1:6" x14ac:dyDescent="0.25">
      <c r="A42" t="s">
        <v>3329</v>
      </c>
      <c r="B42" t="s">
        <v>7578</v>
      </c>
      <c r="C42" t="s">
        <v>7579</v>
      </c>
      <c r="D42" t="s">
        <v>6745</v>
      </c>
      <c r="E42" t="s">
        <v>6814</v>
      </c>
      <c r="F42">
        <v>0</v>
      </c>
    </row>
    <row r="43" spans="1:6" x14ac:dyDescent="0.25">
      <c r="A43" t="s">
        <v>3329</v>
      </c>
      <c r="B43" t="s">
        <v>7576</v>
      </c>
      <c r="C43" t="s">
        <v>7577</v>
      </c>
      <c r="D43" t="s">
        <v>6745</v>
      </c>
      <c r="E43" t="s">
        <v>6814</v>
      </c>
      <c r="F43">
        <v>0</v>
      </c>
    </row>
    <row r="44" spans="1:6" x14ac:dyDescent="0.25">
      <c r="A44" t="s">
        <v>3329</v>
      </c>
      <c r="B44" t="s">
        <v>7574</v>
      </c>
      <c r="C44" t="s">
        <v>7575</v>
      </c>
      <c r="D44" t="s">
        <v>6745</v>
      </c>
      <c r="E44" t="s">
        <v>6814</v>
      </c>
      <c r="F44">
        <v>0</v>
      </c>
    </row>
    <row r="45" spans="1:6" x14ac:dyDescent="0.25">
      <c r="A45" t="s">
        <v>3329</v>
      </c>
      <c r="B45" t="s">
        <v>7572</v>
      </c>
      <c r="C45" t="s">
        <v>7573</v>
      </c>
      <c r="D45" t="s">
        <v>6745</v>
      </c>
      <c r="E45" t="s">
        <v>6814</v>
      </c>
      <c r="F45">
        <v>0</v>
      </c>
    </row>
    <row r="46" spans="1:6" x14ac:dyDescent="0.25">
      <c r="A46" t="s">
        <v>3329</v>
      </c>
      <c r="B46" t="s">
        <v>7570</v>
      </c>
      <c r="C46" t="s">
        <v>7571</v>
      </c>
      <c r="D46" t="s">
        <v>6745</v>
      </c>
      <c r="E46" t="s">
        <v>6814</v>
      </c>
      <c r="F46">
        <v>0</v>
      </c>
    </row>
    <row r="47" spans="1:6" x14ac:dyDescent="0.25">
      <c r="A47" t="s">
        <v>3329</v>
      </c>
      <c r="B47" t="s">
        <v>7568</v>
      </c>
      <c r="C47" t="s">
        <v>7569</v>
      </c>
      <c r="D47" t="s">
        <v>6745</v>
      </c>
      <c r="E47" t="s">
        <v>6814</v>
      </c>
      <c r="F47">
        <v>0</v>
      </c>
    </row>
    <row r="48" spans="1:6" x14ac:dyDescent="0.25">
      <c r="A48" t="s">
        <v>3329</v>
      </c>
      <c r="B48" t="s">
        <v>7566</v>
      </c>
      <c r="C48" t="s">
        <v>7567</v>
      </c>
      <c r="D48" t="s">
        <v>6745</v>
      </c>
      <c r="E48" t="s">
        <v>6814</v>
      </c>
      <c r="F48">
        <v>0</v>
      </c>
    </row>
    <row r="49" spans="1:6" x14ac:dyDescent="0.25">
      <c r="A49" t="s">
        <v>3329</v>
      </c>
      <c r="B49" t="s">
        <v>7564</v>
      </c>
      <c r="C49" t="s">
        <v>7565</v>
      </c>
      <c r="D49" t="s">
        <v>6745</v>
      </c>
      <c r="E49" t="s">
        <v>6814</v>
      </c>
      <c r="F49">
        <v>0</v>
      </c>
    </row>
    <row r="50" spans="1:6" x14ac:dyDescent="0.25">
      <c r="A50" t="s">
        <v>3329</v>
      </c>
      <c r="B50" t="s">
        <v>7562</v>
      </c>
      <c r="C50" t="s">
        <v>7563</v>
      </c>
      <c r="D50" t="s">
        <v>6745</v>
      </c>
      <c r="E50" t="s">
        <v>6814</v>
      </c>
      <c r="F50">
        <v>0</v>
      </c>
    </row>
    <row r="51" spans="1:6" x14ac:dyDescent="0.25">
      <c r="A51" t="s">
        <v>3329</v>
      </c>
      <c r="B51" t="s">
        <v>7560</v>
      </c>
      <c r="C51" t="s">
        <v>7561</v>
      </c>
      <c r="D51" t="s">
        <v>6745</v>
      </c>
      <c r="E51" t="s">
        <v>6814</v>
      </c>
      <c r="F51">
        <v>0</v>
      </c>
    </row>
    <row r="52" spans="1:6" x14ac:dyDescent="0.25">
      <c r="A52" t="s">
        <v>3329</v>
      </c>
      <c r="B52" t="s">
        <v>7558</v>
      </c>
      <c r="C52" t="s">
        <v>7559</v>
      </c>
      <c r="D52" t="s">
        <v>6745</v>
      </c>
      <c r="E52" t="s">
        <v>6814</v>
      </c>
      <c r="F52">
        <v>0</v>
      </c>
    </row>
    <row r="53" spans="1:6" x14ac:dyDescent="0.25">
      <c r="A53" t="s">
        <v>3329</v>
      </c>
      <c r="B53" t="s">
        <v>7556</v>
      </c>
      <c r="C53" t="s">
        <v>7557</v>
      </c>
      <c r="D53" t="s">
        <v>6745</v>
      </c>
      <c r="E53" t="s">
        <v>6814</v>
      </c>
      <c r="F53">
        <v>0</v>
      </c>
    </row>
    <row r="54" spans="1:6" x14ac:dyDescent="0.25">
      <c r="A54" t="s">
        <v>3329</v>
      </c>
      <c r="B54" t="s">
        <v>7554</v>
      </c>
      <c r="C54" t="s">
        <v>7555</v>
      </c>
      <c r="D54" t="s">
        <v>6745</v>
      </c>
      <c r="E54" t="s">
        <v>6814</v>
      </c>
      <c r="F54">
        <v>0</v>
      </c>
    </row>
    <row r="55" spans="1:6" x14ac:dyDescent="0.25">
      <c r="A55" t="s">
        <v>3329</v>
      </c>
      <c r="B55" t="s">
        <v>7552</v>
      </c>
      <c r="C55" t="s">
        <v>7553</v>
      </c>
      <c r="D55" t="s">
        <v>6745</v>
      </c>
      <c r="E55" t="s">
        <v>6814</v>
      </c>
      <c r="F55">
        <v>0</v>
      </c>
    </row>
    <row r="56" spans="1:6" x14ac:dyDescent="0.25">
      <c r="A56" t="s">
        <v>3329</v>
      </c>
      <c r="B56" t="s">
        <v>7550</v>
      </c>
      <c r="C56" t="s">
        <v>7551</v>
      </c>
      <c r="D56" t="s">
        <v>6745</v>
      </c>
      <c r="E56" t="s">
        <v>6814</v>
      </c>
      <c r="F56">
        <v>0</v>
      </c>
    </row>
    <row r="57" spans="1:6" x14ac:dyDescent="0.25">
      <c r="A57" t="s">
        <v>3329</v>
      </c>
      <c r="B57" t="s">
        <v>7548</v>
      </c>
      <c r="C57" t="s">
        <v>7549</v>
      </c>
      <c r="D57" t="s">
        <v>6745</v>
      </c>
      <c r="E57" t="s">
        <v>6814</v>
      </c>
      <c r="F57">
        <v>0</v>
      </c>
    </row>
    <row r="58" spans="1:6" x14ac:dyDescent="0.25">
      <c r="A58" t="s">
        <v>3329</v>
      </c>
      <c r="B58" t="s">
        <v>7546</v>
      </c>
      <c r="C58" t="s">
        <v>7547</v>
      </c>
      <c r="D58" t="s">
        <v>6745</v>
      </c>
      <c r="E58" t="s">
        <v>6814</v>
      </c>
      <c r="F58">
        <v>0</v>
      </c>
    </row>
    <row r="59" spans="1:6" x14ac:dyDescent="0.25">
      <c r="A59" t="s">
        <v>3329</v>
      </c>
      <c r="B59" t="s">
        <v>7544</v>
      </c>
      <c r="C59" t="s">
        <v>7545</v>
      </c>
      <c r="D59" t="s">
        <v>6745</v>
      </c>
      <c r="E59" t="s">
        <v>6814</v>
      </c>
      <c r="F59">
        <v>0</v>
      </c>
    </row>
    <row r="60" spans="1:6" x14ac:dyDescent="0.25">
      <c r="A60" t="s">
        <v>3329</v>
      </c>
      <c r="B60" t="s">
        <v>7542</v>
      </c>
      <c r="C60" t="s">
        <v>7543</v>
      </c>
      <c r="D60" t="s">
        <v>6745</v>
      </c>
      <c r="E60" t="s">
        <v>6814</v>
      </c>
      <c r="F60">
        <v>0</v>
      </c>
    </row>
    <row r="61" spans="1:6" x14ac:dyDescent="0.25">
      <c r="A61" t="s">
        <v>3329</v>
      </c>
      <c r="B61" t="s">
        <v>7540</v>
      </c>
      <c r="C61" t="s">
        <v>7541</v>
      </c>
      <c r="D61" t="s">
        <v>6745</v>
      </c>
      <c r="E61" t="s">
        <v>6814</v>
      </c>
      <c r="F61">
        <v>0</v>
      </c>
    </row>
    <row r="62" spans="1:6" x14ac:dyDescent="0.25">
      <c r="A62" t="s">
        <v>3329</v>
      </c>
      <c r="B62" t="s">
        <v>7538</v>
      </c>
      <c r="C62" t="s">
        <v>7539</v>
      </c>
      <c r="D62" t="s">
        <v>6745</v>
      </c>
      <c r="E62" t="s">
        <v>6814</v>
      </c>
      <c r="F62">
        <v>0</v>
      </c>
    </row>
    <row r="63" spans="1:6" x14ac:dyDescent="0.25">
      <c r="A63" t="s">
        <v>3329</v>
      </c>
      <c r="B63" t="s">
        <v>7536</v>
      </c>
      <c r="C63" t="s">
        <v>7537</v>
      </c>
      <c r="D63" t="s">
        <v>6745</v>
      </c>
      <c r="E63" t="s">
        <v>6814</v>
      </c>
      <c r="F63">
        <v>0</v>
      </c>
    </row>
    <row r="64" spans="1:6" x14ac:dyDescent="0.25">
      <c r="A64" t="s">
        <v>3329</v>
      </c>
      <c r="B64" t="s">
        <v>7534</v>
      </c>
      <c r="C64" t="s">
        <v>7535</v>
      </c>
      <c r="D64" t="s">
        <v>6745</v>
      </c>
      <c r="E64" t="s">
        <v>6814</v>
      </c>
      <c r="F64">
        <v>0</v>
      </c>
    </row>
    <row r="65" spans="1:6" x14ac:dyDescent="0.25">
      <c r="A65" t="s">
        <v>3329</v>
      </c>
      <c r="B65" t="s">
        <v>7532</v>
      </c>
      <c r="C65" t="s">
        <v>7533</v>
      </c>
      <c r="D65" t="s">
        <v>6745</v>
      </c>
      <c r="E65" t="s">
        <v>6814</v>
      </c>
      <c r="F65">
        <v>0</v>
      </c>
    </row>
    <row r="66" spans="1:6" x14ac:dyDescent="0.25">
      <c r="A66" t="s">
        <v>3329</v>
      </c>
      <c r="B66" t="s">
        <v>7530</v>
      </c>
      <c r="C66" t="s">
        <v>7531</v>
      </c>
      <c r="D66" t="s">
        <v>6745</v>
      </c>
      <c r="E66" t="s">
        <v>6814</v>
      </c>
      <c r="F66">
        <v>0</v>
      </c>
    </row>
    <row r="67" spans="1:6" x14ac:dyDescent="0.25">
      <c r="A67" t="s">
        <v>3329</v>
      </c>
      <c r="B67" t="s">
        <v>7528</v>
      </c>
      <c r="C67" t="s">
        <v>7529</v>
      </c>
      <c r="D67" t="s">
        <v>6745</v>
      </c>
      <c r="E67" t="s">
        <v>6814</v>
      </c>
      <c r="F67">
        <v>0</v>
      </c>
    </row>
    <row r="68" spans="1:6" x14ac:dyDescent="0.25">
      <c r="A68" t="s">
        <v>3329</v>
      </c>
      <c r="B68" t="s">
        <v>7526</v>
      </c>
      <c r="C68" t="s">
        <v>7527</v>
      </c>
      <c r="D68" t="s">
        <v>6745</v>
      </c>
      <c r="E68" t="s">
        <v>6814</v>
      </c>
      <c r="F68">
        <v>0</v>
      </c>
    </row>
    <row r="69" spans="1:6" x14ac:dyDescent="0.25">
      <c r="A69" t="s">
        <v>3329</v>
      </c>
      <c r="B69" t="s">
        <v>7524</v>
      </c>
      <c r="C69" t="s">
        <v>7525</v>
      </c>
      <c r="D69" t="s">
        <v>6745</v>
      </c>
      <c r="E69" t="s">
        <v>6814</v>
      </c>
      <c r="F69">
        <v>0</v>
      </c>
    </row>
    <row r="70" spans="1:6" x14ac:dyDescent="0.25">
      <c r="A70" t="s">
        <v>3329</v>
      </c>
      <c r="B70" t="s">
        <v>7522</v>
      </c>
      <c r="C70" t="s">
        <v>7523</v>
      </c>
      <c r="D70" t="s">
        <v>6745</v>
      </c>
      <c r="E70" t="s">
        <v>6814</v>
      </c>
      <c r="F70">
        <v>0</v>
      </c>
    </row>
    <row r="71" spans="1:6" x14ac:dyDescent="0.25">
      <c r="A71" t="s">
        <v>3329</v>
      </c>
      <c r="B71" t="s">
        <v>7520</v>
      </c>
      <c r="C71" t="s">
        <v>7521</v>
      </c>
      <c r="D71" t="s">
        <v>6745</v>
      </c>
      <c r="E71" t="s">
        <v>6814</v>
      </c>
      <c r="F71">
        <v>0</v>
      </c>
    </row>
    <row r="72" spans="1:6" x14ac:dyDescent="0.25">
      <c r="A72" t="s">
        <v>3329</v>
      </c>
      <c r="B72" t="s">
        <v>7518</v>
      </c>
      <c r="C72" t="s">
        <v>7519</v>
      </c>
      <c r="D72" t="s">
        <v>6745</v>
      </c>
      <c r="E72" t="s">
        <v>6814</v>
      </c>
      <c r="F72">
        <v>0</v>
      </c>
    </row>
    <row r="73" spans="1:6" x14ac:dyDescent="0.25">
      <c r="A73" t="s">
        <v>3329</v>
      </c>
      <c r="B73" t="s">
        <v>7516</v>
      </c>
      <c r="C73" t="s">
        <v>7517</v>
      </c>
      <c r="D73" t="s">
        <v>6745</v>
      </c>
      <c r="E73" t="s">
        <v>6814</v>
      </c>
      <c r="F73">
        <v>0</v>
      </c>
    </row>
    <row r="74" spans="1:6" x14ac:dyDescent="0.25">
      <c r="A74" t="s">
        <v>3329</v>
      </c>
      <c r="B74" t="s">
        <v>7514</v>
      </c>
      <c r="C74" t="s">
        <v>7515</v>
      </c>
      <c r="D74" t="s">
        <v>6745</v>
      </c>
      <c r="E74" t="s">
        <v>6814</v>
      </c>
      <c r="F74">
        <v>0</v>
      </c>
    </row>
    <row r="75" spans="1:6" x14ac:dyDescent="0.25">
      <c r="A75" t="s">
        <v>3329</v>
      </c>
      <c r="B75" t="s">
        <v>7512</v>
      </c>
      <c r="C75" t="s">
        <v>7513</v>
      </c>
      <c r="D75" t="s">
        <v>6745</v>
      </c>
      <c r="E75" t="s">
        <v>6814</v>
      </c>
      <c r="F75">
        <v>0</v>
      </c>
    </row>
    <row r="76" spans="1:6" x14ac:dyDescent="0.25">
      <c r="A76" t="s">
        <v>3329</v>
      </c>
      <c r="B76" t="s">
        <v>7510</v>
      </c>
      <c r="C76" t="s">
        <v>7511</v>
      </c>
      <c r="D76" t="s">
        <v>6745</v>
      </c>
      <c r="E76" t="s">
        <v>6814</v>
      </c>
      <c r="F76">
        <v>0</v>
      </c>
    </row>
    <row r="77" spans="1:6" x14ac:dyDescent="0.25">
      <c r="A77" t="s">
        <v>3329</v>
      </c>
      <c r="B77" t="s">
        <v>7508</v>
      </c>
      <c r="C77" t="s">
        <v>7509</v>
      </c>
      <c r="D77" t="s">
        <v>6745</v>
      </c>
      <c r="E77" t="s">
        <v>6814</v>
      </c>
      <c r="F77">
        <v>0</v>
      </c>
    </row>
    <row r="78" spans="1:6" x14ac:dyDescent="0.25">
      <c r="A78" t="s">
        <v>3329</v>
      </c>
      <c r="B78" t="s">
        <v>7506</v>
      </c>
      <c r="C78" t="s">
        <v>7507</v>
      </c>
      <c r="D78" t="s">
        <v>6745</v>
      </c>
      <c r="E78" t="s">
        <v>6814</v>
      </c>
      <c r="F78">
        <v>0</v>
      </c>
    </row>
    <row r="79" spans="1:6" x14ac:dyDescent="0.25">
      <c r="A79" t="s">
        <v>3329</v>
      </c>
      <c r="B79" t="s">
        <v>7504</v>
      </c>
      <c r="C79" t="s">
        <v>7505</v>
      </c>
      <c r="D79" t="s">
        <v>6745</v>
      </c>
      <c r="E79" t="s">
        <v>6814</v>
      </c>
      <c r="F79">
        <v>0</v>
      </c>
    </row>
    <row r="80" spans="1:6" x14ac:dyDescent="0.25">
      <c r="A80" t="s">
        <v>3329</v>
      </c>
      <c r="B80" t="s">
        <v>7502</v>
      </c>
      <c r="C80" t="s">
        <v>7503</v>
      </c>
      <c r="D80" t="s">
        <v>6745</v>
      </c>
      <c r="E80" t="s">
        <v>6814</v>
      </c>
      <c r="F80">
        <v>0</v>
      </c>
    </row>
    <row r="81" spans="1:6" x14ac:dyDescent="0.25">
      <c r="A81" t="s">
        <v>3329</v>
      </c>
      <c r="B81" t="s">
        <v>7500</v>
      </c>
      <c r="C81" t="s">
        <v>7501</v>
      </c>
      <c r="D81" t="s">
        <v>6745</v>
      </c>
      <c r="E81" t="s">
        <v>6814</v>
      </c>
      <c r="F81">
        <v>0</v>
      </c>
    </row>
    <row r="82" spans="1:6" x14ac:dyDescent="0.25">
      <c r="A82" t="s">
        <v>3329</v>
      </c>
      <c r="B82" t="s">
        <v>7498</v>
      </c>
      <c r="C82" t="s">
        <v>7499</v>
      </c>
      <c r="D82" t="s">
        <v>6745</v>
      </c>
      <c r="E82" t="s">
        <v>6814</v>
      </c>
      <c r="F82">
        <v>0</v>
      </c>
    </row>
    <row r="83" spans="1:6" x14ac:dyDescent="0.25">
      <c r="A83" t="s">
        <v>3329</v>
      </c>
      <c r="B83" t="s">
        <v>7496</v>
      </c>
      <c r="C83" t="s">
        <v>7497</v>
      </c>
      <c r="D83" t="s">
        <v>6745</v>
      </c>
      <c r="E83" t="s">
        <v>6814</v>
      </c>
      <c r="F83">
        <v>0</v>
      </c>
    </row>
    <row r="84" spans="1:6" x14ac:dyDescent="0.25">
      <c r="A84" t="s">
        <v>3329</v>
      </c>
      <c r="B84" t="s">
        <v>7494</v>
      </c>
      <c r="C84" t="s">
        <v>7495</v>
      </c>
      <c r="D84" t="s">
        <v>6745</v>
      </c>
      <c r="E84" t="s">
        <v>6814</v>
      </c>
      <c r="F84">
        <v>0</v>
      </c>
    </row>
    <row r="85" spans="1:6" x14ac:dyDescent="0.25">
      <c r="A85" t="s">
        <v>3329</v>
      </c>
      <c r="B85" t="s">
        <v>7492</v>
      </c>
      <c r="C85" t="s">
        <v>7493</v>
      </c>
      <c r="D85" t="s">
        <v>6745</v>
      </c>
      <c r="E85" t="s">
        <v>6814</v>
      </c>
      <c r="F85">
        <v>0</v>
      </c>
    </row>
    <row r="86" spans="1:6" x14ac:dyDescent="0.25">
      <c r="A86" t="s">
        <v>3329</v>
      </c>
      <c r="B86" t="s">
        <v>7490</v>
      </c>
      <c r="C86" t="s">
        <v>7491</v>
      </c>
      <c r="D86" t="s">
        <v>6745</v>
      </c>
      <c r="E86" t="s">
        <v>6814</v>
      </c>
      <c r="F86">
        <v>0</v>
      </c>
    </row>
    <row r="87" spans="1:6" x14ac:dyDescent="0.25">
      <c r="A87" t="s">
        <v>3329</v>
      </c>
      <c r="B87" t="s">
        <v>7488</v>
      </c>
      <c r="C87" t="s">
        <v>7489</v>
      </c>
      <c r="D87" t="s">
        <v>6745</v>
      </c>
      <c r="E87" t="s">
        <v>6814</v>
      </c>
      <c r="F87">
        <v>0</v>
      </c>
    </row>
    <row r="88" spans="1:6" x14ac:dyDescent="0.25">
      <c r="A88" t="s">
        <v>3329</v>
      </c>
      <c r="B88" t="s">
        <v>7486</v>
      </c>
      <c r="C88" t="s">
        <v>7487</v>
      </c>
      <c r="D88" t="s">
        <v>6745</v>
      </c>
      <c r="E88" t="s">
        <v>6814</v>
      </c>
      <c r="F88">
        <v>0</v>
      </c>
    </row>
    <row r="89" spans="1:6" x14ac:dyDescent="0.25">
      <c r="A89" t="s">
        <v>3329</v>
      </c>
      <c r="B89" t="s">
        <v>7484</v>
      </c>
      <c r="C89" t="s">
        <v>7485</v>
      </c>
      <c r="D89" t="s">
        <v>6745</v>
      </c>
      <c r="E89" t="s">
        <v>6814</v>
      </c>
      <c r="F89">
        <v>0</v>
      </c>
    </row>
    <row r="90" spans="1:6" x14ac:dyDescent="0.25">
      <c r="A90" t="s">
        <v>3329</v>
      </c>
      <c r="B90" t="s">
        <v>7482</v>
      </c>
      <c r="C90" t="s">
        <v>7483</v>
      </c>
      <c r="D90" t="s">
        <v>6745</v>
      </c>
      <c r="E90" t="s">
        <v>6814</v>
      </c>
      <c r="F90">
        <v>0</v>
      </c>
    </row>
    <row r="91" spans="1:6" x14ac:dyDescent="0.25">
      <c r="A91" t="s">
        <v>3329</v>
      </c>
      <c r="B91" t="s">
        <v>7480</v>
      </c>
      <c r="C91" t="s">
        <v>7481</v>
      </c>
      <c r="D91" t="s">
        <v>6745</v>
      </c>
      <c r="E91" t="s">
        <v>6814</v>
      </c>
      <c r="F91">
        <v>0</v>
      </c>
    </row>
    <row r="92" spans="1:6" x14ac:dyDescent="0.25">
      <c r="A92" t="s">
        <v>3329</v>
      </c>
      <c r="B92" t="s">
        <v>7478</v>
      </c>
      <c r="C92" t="s">
        <v>7479</v>
      </c>
      <c r="D92" t="s">
        <v>6745</v>
      </c>
      <c r="E92" t="s">
        <v>6814</v>
      </c>
      <c r="F92">
        <v>0</v>
      </c>
    </row>
    <row r="93" spans="1:6" x14ac:dyDescent="0.25">
      <c r="A93" t="s">
        <v>3329</v>
      </c>
      <c r="B93" t="s">
        <v>7476</v>
      </c>
      <c r="C93" t="s">
        <v>7477</v>
      </c>
      <c r="D93" t="s">
        <v>6745</v>
      </c>
      <c r="E93" t="s">
        <v>6814</v>
      </c>
      <c r="F93">
        <v>0</v>
      </c>
    </row>
    <row r="94" spans="1:6" x14ac:dyDescent="0.25">
      <c r="A94" t="s">
        <v>3329</v>
      </c>
      <c r="B94" t="s">
        <v>7474</v>
      </c>
      <c r="C94" t="s">
        <v>7475</v>
      </c>
      <c r="D94" t="s">
        <v>6745</v>
      </c>
      <c r="E94" t="s">
        <v>6814</v>
      </c>
      <c r="F94">
        <v>0</v>
      </c>
    </row>
    <row r="95" spans="1:6" x14ac:dyDescent="0.25">
      <c r="A95" t="s">
        <v>3329</v>
      </c>
      <c r="B95" t="s">
        <v>7472</v>
      </c>
      <c r="C95" t="s">
        <v>7473</v>
      </c>
      <c r="D95" t="s">
        <v>6745</v>
      </c>
      <c r="E95" t="s">
        <v>6814</v>
      </c>
      <c r="F95">
        <v>0</v>
      </c>
    </row>
    <row r="96" spans="1:6" x14ac:dyDescent="0.25">
      <c r="A96" t="s">
        <v>3329</v>
      </c>
      <c r="B96" t="s">
        <v>7470</v>
      </c>
      <c r="C96" t="s">
        <v>7471</v>
      </c>
      <c r="D96" t="s">
        <v>6745</v>
      </c>
      <c r="E96" t="s">
        <v>6814</v>
      </c>
      <c r="F96">
        <v>0</v>
      </c>
    </row>
    <row r="97" spans="1:6" x14ac:dyDescent="0.25">
      <c r="A97" t="s">
        <v>3329</v>
      </c>
      <c r="B97" t="s">
        <v>7468</v>
      </c>
      <c r="C97" t="s">
        <v>7469</v>
      </c>
      <c r="D97" t="s">
        <v>6745</v>
      </c>
      <c r="E97" t="s">
        <v>6814</v>
      </c>
      <c r="F97">
        <v>0</v>
      </c>
    </row>
    <row r="98" spans="1:6" x14ac:dyDescent="0.25">
      <c r="A98" t="s">
        <v>3329</v>
      </c>
      <c r="B98" t="s">
        <v>7466</v>
      </c>
      <c r="C98" t="s">
        <v>7467</v>
      </c>
      <c r="D98" t="s">
        <v>6745</v>
      </c>
      <c r="E98" t="s">
        <v>6814</v>
      </c>
      <c r="F98">
        <v>0</v>
      </c>
    </row>
    <row r="99" spans="1:6" x14ac:dyDescent="0.25">
      <c r="A99" t="s">
        <v>3329</v>
      </c>
      <c r="B99" t="s">
        <v>7464</v>
      </c>
      <c r="C99" t="s">
        <v>7465</v>
      </c>
      <c r="D99" t="s">
        <v>6745</v>
      </c>
      <c r="E99" t="s">
        <v>6814</v>
      </c>
      <c r="F99">
        <v>0</v>
      </c>
    </row>
    <row r="100" spans="1:6" x14ac:dyDescent="0.25">
      <c r="A100" t="s">
        <v>3329</v>
      </c>
      <c r="B100" t="s">
        <v>7462</v>
      </c>
      <c r="C100" t="s">
        <v>7463</v>
      </c>
      <c r="D100" t="s">
        <v>6745</v>
      </c>
      <c r="E100" t="s">
        <v>6814</v>
      </c>
      <c r="F100">
        <v>0</v>
      </c>
    </row>
    <row r="101" spans="1:6" x14ac:dyDescent="0.25">
      <c r="A101" t="s">
        <v>3329</v>
      </c>
      <c r="B101" t="s">
        <v>7460</v>
      </c>
      <c r="C101" t="s">
        <v>7461</v>
      </c>
      <c r="D101" t="s">
        <v>6745</v>
      </c>
      <c r="E101" t="s">
        <v>6814</v>
      </c>
      <c r="F101">
        <v>0</v>
      </c>
    </row>
    <row r="102" spans="1:6" x14ac:dyDescent="0.25">
      <c r="A102" t="s">
        <v>3329</v>
      </c>
      <c r="B102" t="s">
        <v>7458</v>
      </c>
      <c r="C102" t="s">
        <v>7459</v>
      </c>
      <c r="D102" t="s">
        <v>6745</v>
      </c>
      <c r="E102" t="s">
        <v>6814</v>
      </c>
      <c r="F102">
        <v>0</v>
      </c>
    </row>
    <row r="103" spans="1:6" x14ac:dyDescent="0.25">
      <c r="A103" t="s">
        <v>3329</v>
      </c>
      <c r="B103" t="s">
        <v>7456</v>
      </c>
      <c r="C103" t="s">
        <v>7457</v>
      </c>
      <c r="D103" t="s">
        <v>6745</v>
      </c>
      <c r="E103" t="s">
        <v>6814</v>
      </c>
      <c r="F103">
        <v>0</v>
      </c>
    </row>
    <row r="104" spans="1:6" x14ac:dyDescent="0.25">
      <c r="A104" t="s">
        <v>3329</v>
      </c>
      <c r="B104" t="s">
        <v>7454</v>
      </c>
      <c r="C104" t="s">
        <v>7455</v>
      </c>
      <c r="D104" t="s">
        <v>6745</v>
      </c>
      <c r="E104" t="s">
        <v>6814</v>
      </c>
      <c r="F104">
        <v>0</v>
      </c>
    </row>
    <row r="105" spans="1:6" x14ac:dyDescent="0.25">
      <c r="A105" t="s">
        <v>3329</v>
      </c>
      <c r="B105" t="s">
        <v>7452</v>
      </c>
      <c r="C105" t="s">
        <v>7453</v>
      </c>
      <c r="D105" t="s">
        <v>6745</v>
      </c>
      <c r="E105" t="s">
        <v>6814</v>
      </c>
      <c r="F105">
        <v>0</v>
      </c>
    </row>
    <row r="106" spans="1:6" x14ac:dyDescent="0.25">
      <c r="A106" t="s">
        <v>3329</v>
      </c>
      <c r="B106" t="s">
        <v>7450</v>
      </c>
      <c r="C106" t="s">
        <v>7451</v>
      </c>
      <c r="D106" t="s">
        <v>6745</v>
      </c>
      <c r="E106" t="s">
        <v>6814</v>
      </c>
      <c r="F106">
        <v>0</v>
      </c>
    </row>
    <row r="107" spans="1:6" x14ac:dyDescent="0.25">
      <c r="A107" t="s">
        <v>3329</v>
      </c>
      <c r="B107" t="s">
        <v>7448</v>
      </c>
      <c r="C107" t="s">
        <v>7449</v>
      </c>
      <c r="D107" t="s">
        <v>6745</v>
      </c>
      <c r="E107" t="s">
        <v>6814</v>
      </c>
      <c r="F107">
        <v>0</v>
      </c>
    </row>
    <row r="108" spans="1:6" x14ac:dyDescent="0.25">
      <c r="A108" t="s">
        <v>3329</v>
      </c>
      <c r="B108" t="s">
        <v>7446</v>
      </c>
      <c r="C108" t="s">
        <v>7447</v>
      </c>
      <c r="D108" t="s">
        <v>6745</v>
      </c>
      <c r="E108" t="s">
        <v>6814</v>
      </c>
      <c r="F108">
        <v>0</v>
      </c>
    </row>
    <row r="109" spans="1:6" x14ac:dyDescent="0.25">
      <c r="A109" t="s">
        <v>3329</v>
      </c>
      <c r="B109" t="s">
        <v>7444</v>
      </c>
      <c r="C109" t="s">
        <v>7445</v>
      </c>
      <c r="D109" t="s">
        <v>6745</v>
      </c>
      <c r="E109" t="s">
        <v>6814</v>
      </c>
      <c r="F109">
        <v>0</v>
      </c>
    </row>
    <row r="110" spans="1:6" x14ac:dyDescent="0.25">
      <c r="A110" t="s">
        <v>3329</v>
      </c>
      <c r="B110" t="s">
        <v>7442</v>
      </c>
      <c r="C110" t="s">
        <v>7443</v>
      </c>
      <c r="D110" t="s">
        <v>6745</v>
      </c>
      <c r="E110" t="s">
        <v>6814</v>
      </c>
      <c r="F110">
        <v>0</v>
      </c>
    </row>
    <row r="111" spans="1:6" x14ac:dyDescent="0.25">
      <c r="A111" t="s">
        <v>3329</v>
      </c>
      <c r="B111" t="s">
        <v>7440</v>
      </c>
      <c r="C111" t="s">
        <v>7441</v>
      </c>
      <c r="D111" t="s">
        <v>6745</v>
      </c>
      <c r="E111" t="s">
        <v>7094</v>
      </c>
      <c r="F111">
        <v>0</v>
      </c>
    </row>
    <row r="112" spans="1:6" x14ac:dyDescent="0.25">
      <c r="A112" t="s">
        <v>3329</v>
      </c>
      <c r="B112" t="s">
        <v>7438</v>
      </c>
      <c r="C112" t="s">
        <v>7439</v>
      </c>
      <c r="D112" t="s">
        <v>6745</v>
      </c>
      <c r="E112" t="s">
        <v>6814</v>
      </c>
      <c r="F112">
        <v>0</v>
      </c>
    </row>
    <row r="113" spans="1:6" x14ac:dyDescent="0.25">
      <c r="A113" t="s">
        <v>3329</v>
      </c>
      <c r="B113" t="s">
        <v>7436</v>
      </c>
      <c r="C113" t="s">
        <v>7437</v>
      </c>
      <c r="D113" t="s">
        <v>6745</v>
      </c>
      <c r="E113" t="s">
        <v>6814</v>
      </c>
      <c r="F113">
        <v>0</v>
      </c>
    </row>
    <row r="114" spans="1:6" x14ac:dyDescent="0.25">
      <c r="A114" t="s">
        <v>3329</v>
      </c>
      <c r="B114" t="s">
        <v>7434</v>
      </c>
      <c r="C114" t="s">
        <v>7435</v>
      </c>
      <c r="D114" t="s">
        <v>6745</v>
      </c>
      <c r="E114" t="s">
        <v>6814</v>
      </c>
      <c r="F114">
        <v>0</v>
      </c>
    </row>
    <row r="115" spans="1:6" x14ac:dyDescent="0.25">
      <c r="A115" t="s">
        <v>3329</v>
      </c>
      <c r="B115" t="s">
        <v>7432</v>
      </c>
      <c r="C115" t="s">
        <v>7433</v>
      </c>
      <c r="D115" t="s">
        <v>6745</v>
      </c>
      <c r="E115" t="s">
        <v>6814</v>
      </c>
      <c r="F115">
        <v>0</v>
      </c>
    </row>
    <row r="116" spans="1:6" x14ac:dyDescent="0.25">
      <c r="A116" t="s">
        <v>3329</v>
      </c>
      <c r="B116" t="s">
        <v>7430</v>
      </c>
      <c r="C116" t="s">
        <v>7431</v>
      </c>
      <c r="D116" t="s">
        <v>6745</v>
      </c>
      <c r="E116" t="s">
        <v>6814</v>
      </c>
      <c r="F116">
        <v>0</v>
      </c>
    </row>
    <row r="117" spans="1:6" x14ac:dyDescent="0.25">
      <c r="A117" t="s">
        <v>3329</v>
      </c>
      <c r="B117" t="s">
        <v>7428</v>
      </c>
      <c r="C117" t="s">
        <v>7429</v>
      </c>
      <c r="D117" t="s">
        <v>6745</v>
      </c>
      <c r="E117" t="s">
        <v>6814</v>
      </c>
      <c r="F117">
        <v>0</v>
      </c>
    </row>
    <row r="118" spans="1:6" x14ac:dyDescent="0.25">
      <c r="A118" t="s">
        <v>3329</v>
      </c>
      <c r="B118" t="s">
        <v>7426</v>
      </c>
      <c r="C118" t="s">
        <v>7427</v>
      </c>
      <c r="D118" t="s">
        <v>6745</v>
      </c>
      <c r="E118" t="s">
        <v>6814</v>
      </c>
      <c r="F118">
        <v>0</v>
      </c>
    </row>
    <row r="119" spans="1:6" x14ac:dyDescent="0.25">
      <c r="A119" t="s">
        <v>3329</v>
      </c>
      <c r="B119" t="s">
        <v>7424</v>
      </c>
      <c r="C119" t="s">
        <v>7425</v>
      </c>
      <c r="D119" t="s">
        <v>6745</v>
      </c>
      <c r="E119" t="s">
        <v>6814</v>
      </c>
      <c r="F119">
        <v>0</v>
      </c>
    </row>
    <row r="120" spans="1:6" x14ac:dyDescent="0.25">
      <c r="A120" t="s">
        <v>3329</v>
      </c>
      <c r="B120" t="s">
        <v>7422</v>
      </c>
      <c r="C120" t="s">
        <v>7423</v>
      </c>
      <c r="D120" t="s">
        <v>6745</v>
      </c>
      <c r="E120" t="s">
        <v>6814</v>
      </c>
      <c r="F120">
        <v>0</v>
      </c>
    </row>
    <row r="121" spans="1:6" x14ac:dyDescent="0.25">
      <c r="A121" t="s">
        <v>3329</v>
      </c>
      <c r="B121" t="s">
        <v>7420</v>
      </c>
      <c r="C121" t="s">
        <v>7421</v>
      </c>
      <c r="D121" t="s">
        <v>6745</v>
      </c>
      <c r="E121" t="s">
        <v>6814</v>
      </c>
      <c r="F121">
        <v>0</v>
      </c>
    </row>
    <row r="122" spans="1:6" x14ac:dyDescent="0.25">
      <c r="A122" t="s">
        <v>3329</v>
      </c>
      <c r="B122" t="s">
        <v>7418</v>
      </c>
      <c r="C122" t="s">
        <v>7419</v>
      </c>
      <c r="D122" t="s">
        <v>6745</v>
      </c>
      <c r="E122" t="s">
        <v>6814</v>
      </c>
      <c r="F122">
        <v>0</v>
      </c>
    </row>
    <row r="123" spans="1:6" x14ac:dyDescent="0.25">
      <c r="A123" t="s">
        <v>3329</v>
      </c>
      <c r="B123" t="s">
        <v>7416</v>
      </c>
      <c r="C123" t="s">
        <v>7417</v>
      </c>
      <c r="D123" t="s">
        <v>6745</v>
      </c>
      <c r="E123" t="s">
        <v>6814</v>
      </c>
      <c r="F123">
        <v>0</v>
      </c>
    </row>
    <row r="124" spans="1:6" x14ac:dyDescent="0.25">
      <c r="A124" t="s">
        <v>3329</v>
      </c>
      <c r="B124" t="s">
        <v>7414</v>
      </c>
      <c r="C124" t="s">
        <v>7415</v>
      </c>
      <c r="D124" t="s">
        <v>6745</v>
      </c>
      <c r="E124" t="s">
        <v>6814</v>
      </c>
      <c r="F124">
        <v>0</v>
      </c>
    </row>
    <row r="125" spans="1:6" x14ac:dyDescent="0.25">
      <c r="A125" t="s">
        <v>3329</v>
      </c>
      <c r="B125" t="s">
        <v>7412</v>
      </c>
      <c r="C125" t="s">
        <v>7413</v>
      </c>
      <c r="D125" t="s">
        <v>6745</v>
      </c>
      <c r="E125" t="s">
        <v>6814</v>
      </c>
      <c r="F125">
        <v>0</v>
      </c>
    </row>
    <row r="126" spans="1:6" x14ac:dyDescent="0.25">
      <c r="A126" t="s">
        <v>3329</v>
      </c>
      <c r="B126" t="s">
        <v>7410</v>
      </c>
      <c r="C126" t="s">
        <v>7411</v>
      </c>
      <c r="D126" t="s">
        <v>6745</v>
      </c>
      <c r="E126" t="s">
        <v>6814</v>
      </c>
      <c r="F126">
        <v>0</v>
      </c>
    </row>
    <row r="127" spans="1:6" x14ac:dyDescent="0.25">
      <c r="A127" t="s">
        <v>3329</v>
      </c>
      <c r="B127" t="s">
        <v>7408</v>
      </c>
      <c r="C127" t="s">
        <v>7409</v>
      </c>
      <c r="D127" t="s">
        <v>6745</v>
      </c>
      <c r="E127" t="s">
        <v>6814</v>
      </c>
      <c r="F127">
        <v>0</v>
      </c>
    </row>
    <row r="128" spans="1:6" x14ac:dyDescent="0.25">
      <c r="A128" t="s">
        <v>3329</v>
      </c>
      <c r="B128" t="s">
        <v>7406</v>
      </c>
      <c r="C128" t="s">
        <v>7407</v>
      </c>
      <c r="D128" t="s">
        <v>6745</v>
      </c>
      <c r="E128" t="s">
        <v>6814</v>
      </c>
      <c r="F128">
        <v>0</v>
      </c>
    </row>
    <row r="129" spans="1:6" x14ac:dyDescent="0.25">
      <c r="A129" t="s">
        <v>3329</v>
      </c>
      <c r="B129" t="s">
        <v>7404</v>
      </c>
      <c r="C129" t="s">
        <v>7405</v>
      </c>
      <c r="D129" t="s">
        <v>6745</v>
      </c>
      <c r="E129" t="s">
        <v>6814</v>
      </c>
      <c r="F129">
        <v>0</v>
      </c>
    </row>
    <row r="130" spans="1:6" x14ac:dyDescent="0.25">
      <c r="A130" t="s">
        <v>3329</v>
      </c>
      <c r="B130" t="s">
        <v>7402</v>
      </c>
      <c r="C130" t="s">
        <v>7403</v>
      </c>
      <c r="D130" t="s">
        <v>6745</v>
      </c>
      <c r="E130" t="s">
        <v>6814</v>
      </c>
      <c r="F130">
        <v>0</v>
      </c>
    </row>
    <row r="131" spans="1:6" x14ac:dyDescent="0.25">
      <c r="A131" t="s">
        <v>3329</v>
      </c>
      <c r="B131" t="s">
        <v>7400</v>
      </c>
      <c r="C131" t="s">
        <v>7401</v>
      </c>
      <c r="D131" t="s">
        <v>6745</v>
      </c>
      <c r="E131" t="s">
        <v>6814</v>
      </c>
      <c r="F131">
        <v>0</v>
      </c>
    </row>
    <row r="132" spans="1:6" x14ac:dyDescent="0.25">
      <c r="A132" t="s">
        <v>3329</v>
      </c>
      <c r="B132" t="s">
        <v>7398</v>
      </c>
      <c r="C132" t="s">
        <v>7399</v>
      </c>
      <c r="D132" t="s">
        <v>6745</v>
      </c>
      <c r="E132" t="s">
        <v>6814</v>
      </c>
      <c r="F132">
        <v>0</v>
      </c>
    </row>
    <row r="133" spans="1:6" x14ac:dyDescent="0.25">
      <c r="A133" t="s">
        <v>3329</v>
      </c>
      <c r="B133" t="s">
        <v>7396</v>
      </c>
      <c r="C133" t="s">
        <v>7397</v>
      </c>
      <c r="D133" t="s">
        <v>6745</v>
      </c>
      <c r="E133" t="s">
        <v>6814</v>
      </c>
      <c r="F133">
        <v>0</v>
      </c>
    </row>
    <row r="134" spans="1:6" x14ac:dyDescent="0.25">
      <c r="A134" t="s">
        <v>3329</v>
      </c>
      <c r="B134" t="s">
        <v>7394</v>
      </c>
      <c r="C134" t="s">
        <v>7395</v>
      </c>
      <c r="D134" t="s">
        <v>6745</v>
      </c>
      <c r="E134" t="s">
        <v>6814</v>
      </c>
      <c r="F134">
        <v>0</v>
      </c>
    </row>
    <row r="135" spans="1:6" x14ac:dyDescent="0.25">
      <c r="A135" t="s">
        <v>3329</v>
      </c>
      <c r="B135" t="s">
        <v>7392</v>
      </c>
      <c r="C135" t="s">
        <v>7393</v>
      </c>
      <c r="D135" t="s">
        <v>6745</v>
      </c>
      <c r="E135" t="s">
        <v>6814</v>
      </c>
      <c r="F135">
        <v>0</v>
      </c>
    </row>
    <row r="136" spans="1:6" x14ac:dyDescent="0.25">
      <c r="A136" t="s">
        <v>3329</v>
      </c>
      <c r="B136" t="s">
        <v>7390</v>
      </c>
      <c r="C136" t="s">
        <v>7391</v>
      </c>
      <c r="D136" t="s">
        <v>6745</v>
      </c>
      <c r="E136" t="s">
        <v>6814</v>
      </c>
      <c r="F136">
        <v>0</v>
      </c>
    </row>
    <row r="137" spans="1:6" x14ac:dyDescent="0.25">
      <c r="A137" t="s">
        <v>3329</v>
      </c>
      <c r="B137" t="s">
        <v>7388</v>
      </c>
      <c r="C137" t="s">
        <v>7389</v>
      </c>
      <c r="D137" t="s">
        <v>6745</v>
      </c>
      <c r="E137" t="s">
        <v>6814</v>
      </c>
      <c r="F137">
        <v>0</v>
      </c>
    </row>
    <row r="138" spans="1:6" x14ac:dyDescent="0.25">
      <c r="A138" t="s">
        <v>3329</v>
      </c>
      <c r="B138" t="s">
        <v>7386</v>
      </c>
      <c r="C138" t="s">
        <v>7387</v>
      </c>
      <c r="D138" t="s">
        <v>6745</v>
      </c>
      <c r="E138" t="s">
        <v>7155</v>
      </c>
      <c r="F138">
        <v>0</v>
      </c>
    </row>
    <row r="139" spans="1:6" x14ac:dyDescent="0.25">
      <c r="A139" t="s">
        <v>3329</v>
      </c>
      <c r="B139" t="s">
        <v>7384</v>
      </c>
      <c r="C139" t="s">
        <v>7385</v>
      </c>
      <c r="D139" t="s">
        <v>6745</v>
      </c>
      <c r="E139" t="s">
        <v>7155</v>
      </c>
      <c r="F139">
        <v>0</v>
      </c>
    </row>
    <row r="140" spans="1:6" x14ac:dyDescent="0.25">
      <c r="A140" t="s">
        <v>3329</v>
      </c>
      <c r="B140" t="s">
        <v>7382</v>
      </c>
      <c r="C140" t="s">
        <v>7383</v>
      </c>
      <c r="D140" t="s">
        <v>6745</v>
      </c>
      <c r="E140" t="s">
        <v>7155</v>
      </c>
      <c r="F140">
        <v>0</v>
      </c>
    </row>
    <row r="141" spans="1:6" x14ac:dyDescent="0.25">
      <c r="A141" t="s">
        <v>3329</v>
      </c>
      <c r="B141" t="s">
        <v>7380</v>
      </c>
      <c r="C141" t="s">
        <v>7381</v>
      </c>
      <c r="D141" t="s">
        <v>6745</v>
      </c>
      <c r="E141" t="s">
        <v>7155</v>
      </c>
      <c r="F141">
        <v>0</v>
      </c>
    </row>
    <row r="142" spans="1:6" x14ac:dyDescent="0.25">
      <c r="A142" t="s">
        <v>3329</v>
      </c>
      <c r="B142" t="s">
        <v>7378</v>
      </c>
      <c r="C142" t="s">
        <v>7379</v>
      </c>
      <c r="D142" t="s">
        <v>6745</v>
      </c>
      <c r="E142" t="s">
        <v>7155</v>
      </c>
      <c r="F142">
        <v>0</v>
      </c>
    </row>
    <row r="143" spans="1:6" x14ac:dyDescent="0.25">
      <c r="A143" t="s">
        <v>3329</v>
      </c>
      <c r="B143" t="s">
        <v>7376</v>
      </c>
      <c r="C143" t="s">
        <v>7377</v>
      </c>
      <c r="D143" t="s">
        <v>6745</v>
      </c>
      <c r="E143" t="s">
        <v>7155</v>
      </c>
      <c r="F143">
        <v>0</v>
      </c>
    </row>
    <row r="144" spans="1:6" x14ac:dyDescent="0.25">
      <c r="A144" t="s">
        <v>3329</v>
      </c>
      <c r="B144" t="s">
        <v>7374</v>
      </c>
      <c r="C144" t="s">
        <v>7375</v>
      </c>
      <c r="D144" t="s">
        <v>6745</v>
      </c>
      <c r="E144" t="s">
        <v>7155</v>
      </c>
      <c r="F144">
        <v>0</v>
      </c>
    </row>
    <row r="145" spans="1:6" x14ac:dyDescent="0.25">
      <c r="A145" t="s">
        <v>3329</v>
      </c>
      <c r="B145" t="s">
        <v>7372</v>
      </c>
      <c r="C145" t="s">
        <v>7373</v>
      </c>
      <c r="D145" t="s">
        <v>6745</v>
      </c>
      <c r="E145" t="s">
        <v>7155</v>
      </c>
      <c r="F145">
        <v>0</v>
      </c>
    </row>
    <row r="146" spans="1:6" x14ac:dyDescent="0.25">
      <c r="A146" t="s">
        <v>3329</v>
      </c>
      <c r="B146" t="s">
        <v>7370</v>
      </c>
      <c r="C146" t="s">
        <v>7371</v>
      </c>
      <c r="D146" t="s">
        <v>6745</v>
      </c>
      <c r="E146" t="s">
        <v>7295</v>
      </c>
      <c r="F146">
        <v>0</v>
      </c>
    </row>
    <row r="147" spans="1:6" x14ac:dyDescent="0.25">
      <c r="A147" t="s">
        <v>3329</v>
      </c>
      <c r="B147" t="s">
        <v>7368</v>
      </c>
      <c r="C147" t="s">
        <v>7369</v>
      </c>
      <c r="D147" t="s">
        <v>6745</v>
      </c>
      <c r="E147" t="s">
        <v>7295</v>
      </c>
      <c r="F147">
        <v>0</v>
      </c>
    </row>
    <row r="148" spans="1:6" x14ac:dyDescent="0.25">
      <c r="A148" t="s">
        <v>3329</v>
      </c>
      <c r="B148" t="s">
        <v>7366</v>
      </c>
      <c r="C148" t="s">
        <v>7367</v>
      </c>
      <c r="D148" t="s">
        <v>6745</v>
      </c>
      <c r="E148" t="s">
        <v>7295</v>
      </c>
      <c r="F148">
        <v>0</v>
      </c>
    </row>
    <row r="149" spans="1:6" x14ac:dyDescent="0.25">
      <c r="A149" t="s">
        <v>3329</v>
      </c>
      <c r="B149" t="s">
        <v>7364</v>
      </c>
      <c r="C149" t="s">
        <v>7365</v>
      </c>
      <c r="D149" t="s">
        <v>6745</v>
      </c>
      <c r="E149" t="s">
        <v>7295</v>
      </c>
      <c r="F149">
        <v>0</v>
      </c>
    </row>
    <row r="150" spans="1:6" x14ac:dyDescent="0.25">
      <c r="A150" t="s">
        <v>3329</v>
      </c>
      <c r="B150" t="s">
        <v>7362</v>
      </c>
      <c r="C150" t="s">
        <v>7363</v>
      </c>
      <c r="D150" t="s">
        <v>6745</v>
      </c>
      <c r="E150" t="s">
        <v>7295</v>
      </c>
      <c r="F150">
        <v>0</v>
      </c>
    </row>
    <row r="151" spans="1:6" x14ac:dyDescent="0.25">
      <c r="A151" t="s">
        <v>3329</v>
      </c>
      <c r="B151" t="s">
        <v>7360</v>
      </c>
      <c r="C151" t="s">
        <v>7361</v>
      </c>
      <c r="D151" t="s">
        <v>6745</v>
      </c>
      <c r="E151" t="s">
        <v>7295</v>
      </c>
      <c r="F151">
        <v>0</v>
      </c>
    </row>
    <row r="152" spans="1:6" x14ac:dyDescent="0.25">
      <c r="A152" t="s">
        <v>3329</v>
      </c>
      <c r="B152" t="s">
        <v>7358</v>
      </c>
      <c r="C152" t="s">
        <v>7359</v>
      </c>
      <c r="D152" t="s">
        <v>6745</v>
      </c>
      <c r="E152" t="s">
        <v>7295</v>
      </c>
      <c r="F152">
        <v>0</v>
      </c>
    </row>
    <row r="153" spans="1:6" x14ac:dyDescent="0.25">
      <c r="A153" t="s">
        <v>3329</v>
      </c>
      <c r="B153" t="s">
        <v>7356</v>
      </c>
      <c r="C153" t="s">
        <v>7357</v>
      </c>
      <c r="D153" t="s">
        <v>6745</v>
      </c>
      <c r="E153" t="s">
        <v>7295</v>
      </c>
      <c r="F153">
        <v>0</v>
      </c>
    </row>
    <row r="154" spans="1:6" x14ac:dyDescent="0.25">
      <c r="A154" t="s">
        <v>3329</v>
      </c>
      <c r="B154" t="s">
        <v>7354</v>
      </c>
      <c r="C154" t="s">
        <v>7355</v>
      </c>
      <c r="D154" t="s">
        <v>6745</v>
      </c>
      <c r="E154" t="s">
        <v>7295</v>
      </c>
      <c r="F154">
        <v>0</v>
      </c>
    </row>
    <row r="155" spans="1:6" x14ac:dyDescent="0.25">
      <c r="A155" t="s">
        <v>3329</v>
      </c>
      <c r="B155" t="s">
        <v>7352</v>
      </c>
      <c r="C155" t="s">
        <v>7353</v>
      </c>
      <c r="D155" t="s">
        <v>6745</v>
      </c>
      <c r="E155" t="s">
        <v>7295</v>
      </c>
      <c r="F155">
        <v>0</v>
      </c>
    </row>
    <row r="156" spans="1:6" x14ac:dyDescent="0.25">
      <c r="A156" t="s">
        <v>3329</v>
      </c>
      <c r="B156" t="s">
        <v>7350</v>
      </c>
      <c r="C156" t="s">
        <v>7351</v>
      </c>
      <c r="D156" t="s">
        <v>6745</v>
      </c>
      <c r="E156" t="s">
        <v>7295</v>
      </c>
      <c r="F156">
        <v>0</v>
      </c>
    </row>
    <row r="157" spans="1:6" x14ac:dyDescent="0.25">
      <c r="A157" t="s">
        <v>3329</v>
      </c>
      <c r="B157" t="s">
        <v>7348</v>
      </c>
      <c r="C157" t="s">
        <v>7349</v>
      </c>
      <c r="D157" t="s">
        <v>6745</v>
      </c>
      <c r="E157" t="s">
        <v>7295</v>
      </c>
      <c r="F157">
        <v>0</v>
      </c>
    </row>
    <row r="158" spans="1:6" x14ac:dyDescent="0.25">
      <c r="A158" t="s">
        <v>3329</v>
      </c>
      <c r="B158" t="s">
        <v>7346</v>
      </c>
      <c r="C158" t="s">
        <v>7347</v>
      </c>
      <c r="D158" t="s">
        <v>6745</v>
      </c>
      <c r="E158" t="s">
        <v>7295</v>
      </c>
      <c r="F158">
        <v>0</v>
      </c>
    </row>
    <row r="159" spans="1:6" x14ac:dyDescent="0.25">
      <c r="A159" t="s">
        <v>3329</v>
      </c>
      <c r="B159" t="s">
        <v>7344</v>
      </c>
      <c r="C159" t="s">
        <v>7345</v>
      </c>
      <c r="D159" t="s">
        <v>6745</v>
      </c>
      <c r="E159" t="s">
        <v>7295</v>
      </c>
      <c r="F159">
        <v>0</v>
      </c>
    </row>
    <row r="160" spans="1:6" x14ac:dyDescent="0.25">
      <c r="A160" t="s">
        <v>3329</v>
      </c>
      <c r="B160" t="s">
        <v>7342</v>
      </c>
      <c r="C160" t="s">
        <v>7343</v>
      </c>
      <c r="D160" t="s">
        <v>6745</v>
      </c>
      <c r="E160" t="s">
        <v>7295</v>
      </c>
      <c r="F160">
        <v>0</v>
      </c>
    </row>
    <row r="161" spans="1:6" x14ac:dyDescent="0.25">
      <c r="A161" t="s">
        <v>3329</v>
      </c>
      <c r="B161" t="s">
        <v>7340</v>
      </c>
      <c r="C161" t="s">
        <v>7341</v>
      </c>
      <c r="D161" t="s">
        <v>6745</v>
      </c>
      <c r="E161" t="s">
        <v>7295</v>
      </c>
      <c r="F161">
        <v>0</v>
      </c>
    </row>
    <row r="162" spans="1:6" x14ac:dyDescent="0.25">
      <c r="A162" t="s">
        <v>3329</v>
      </c>
      <c r="B162" t="s">
        <v>7338</v>
      </c>
      <c r="C162" t="s">
        <v>7339</v>
      </c>
      <c r="D162" t="s">
        <v>6745</v>
      </c>
      <c r="E162" t="s">
        <v>7295</v>
      </c>
      <c r="F162">
        <v>0</v>
      </c>
    </row>
    <row r="163" spans="1:6" x14ac:dyDescent="0.25">
      <c r="A163" t="s">
        <v>3329</v>
      </c>
      <c r="B163" t="s">
        <v>7336</v>
      </c>
      <c r="C163" t="s">
        <v>7337</v>
      </c>
      <c r="D163" t="s">
        <v>6745</v>
      </c>
      <c r="E163" t="s">
        <v>7295</v>
      </c>
      <c r="F163">
        <v>0</v>
      </c>
    </row>
    <row r="164" spans="1:6" x14ac:dyDescent="0.25">
      <c r="A164" t="s">
        <v>3329</v>
      </c>
      <c r="B164" t="s">
        <v>7334</v>
      </c>
      <c r="C164" t="s">
        <v>7335</v>
      </c>
      <c r="D164" t="s">
        <v>6745</v>
      </c>
      <c r="E164" t="s">
        <v>7295</v>
      </c>
      <c r="F164">
        <v>0</v>
      </c>
    </row>
    <row r="165" spans="1:6" x14ac:dyDescent="0.25">
      <c r="A165" t="s">
        <v>3329</v>
      </c>
      <c r="B165" t="s">
        <v>7332</v>
      </c>
      <c r="C165" t="s">
        <v>7333</v>
      </c>
      <c r="D165" t="s">
        <v>6745</v>
      </c>
      <c r="E165" t="s">
        <v>7295</v>
      </c>
      <c r="F165">
        <v>0</v>
      </c>
    </row>
    <row r="166" spans="1:6" x14ac:dyDescent="0.25">
      <c r="A166" t="s">
        <v>3329</v>
      </c>
      <c r="B166" t="s">
        <v>7330</v>
      </c>
      <c r="C166" t="s">
        <v>7331</v>
      </c>
      <c r="D166" t="s">
        <v>6745</v>
      </c>
      <c r="E166" t="s">
        <v>7295</v>
      </c>
      <c r="F166">
        <v>0</v>
      </c>
    </row>
    <row r="167" spans="1:6" x14ac:dyDescent="0.25">
      <c r="A167" t="s">
        <v>3329</v>
      </c>
      <c r="B167" t="s">
        <v>7328</v>
      </c>
      <c r="C167" t="s">
        <v>7329</v>
      </c>
      <c r="D167" t="s">
        <v>6745</v>
      </c>
      <c r="E167" t="s">
        <v>7295</v>
      </c>
      <c r="F167">
        <v>0</v>
      </c>
    </row>
    <row r="168" spans="1:6" x14ac:dyDescent="0.25">
      <c r="A168" t="s">
        <v>3329</v>
      </c>
      <c r="B168" t="s">
        <v>7326</v>
      </c>
      <c r="C168" t="s">
        <v>7327</v>
      </c>
      <c r="D168" t="s">
        <v>6745</v>
      </c>
      <c r="E168" t="s">
        <v>7094</v>
      </c>
      <c r="F168">
        <v>0</v>
      </c>
    </row>
    <row r="169" spans="1:6" x14ac:dyDescent="0.25">
      <c r="A169" t="s">
        <v>3329</v>
      </c>
      <c r="B169" t="s">
        <v>7324</v>
      </c>
      <c r="C169" t="s">
        <v>7325</v>
      </c>
      <c r="D169" t="s">
        <v>6745</v>
      </c>
      <c r="E169" t="s">
        <v>7295</v>
      </c>
      <c r="F169">
        <v>0</v>
      </c>
    </row>
    <row r="170" spans="1:6" x14ac:dyDescent="0.25">
      <c r="A170" t="s">
        <v>3329</v>
      </c>
      <c r="B170" t="s">
        <v>7322</v>
      </c>
      <c r="C170" t="s">
        <v>7323</v>
      </c>
      <c r="D170" t="s">
        <v>6745</v>
      </c>
      <c r="E170" t="s">
        <v>7295</v>
      </c>
      <c r="F170">
        <v>0</v>
      </c>
    </row>
    <row r="171" spans="1:6" x14ac:dyDescent="0.25">
      <c r="A171" t="s">
        <v>3329</v>
      </c>
      <c r="B171" t="s">
        <v>7320</v>
      </c>
      <c r="C171" t="s">
        <v>7321</v>
      </c>
      <c r="D171" t="s">
        <v>6745</v>
      </c>
      <c r="E171" t="s">
        <v>7295</v>
      </c>
      <c r="F171">
        <v>0</v>
      </c>
    </row>
    <row r="172" spans="1:6" x14ac:dyDescent="0.25">
      <c r="A172" t="s">
        <v>3329</v>
      </c>
      <c r="B172" t="s">
        <v>7318</v>
      </c>
      <c r="C172" t="s">
        <v>7319</v>
      </c>
      <c r="D172" t="s">
        <v>6745</v>
      </c>
      <c r="E172" t="s">
        <v>7295</v>
      </c>
      <c r="F172">
        <v>0</v>
      </c>
    </row>
    <row r="173" spans="1:6" x14ac:dyDescent="0.25">
      <c r="A173" t="s">
        <v>3329</v>
      </c>
      <c r="B173" t="s">
        <v>7316</v>
      </c>
      <c r="C173" t="s">
        <v>7317</v>
      </c>
      <c r="D173" t="s">
        <v>6745</v>
      </c>
      <c r="E173" t="s">
        <v>7295</v>
      </c>
      <c r="F173">
        <v>0</v>
      </c>
    </row>
    <row r="174" spans="1:6" x14ac:dyDescent="0.25">
      <c r="A174" t="s">
        <v>3329</v>
      </c>
      <c r="B174" t="s">
        <v>7314</v>
      </c>
      <c r="C174" t="s">
        <v>7315</v>
      </c>
      <c r="D174" t="s">
        <v>6745</v>
      </c>
      <c r="E174" t="s">
        <v>7295</v>
      </c>
      <c r="F174">
        <v>0</v>
      </c>
    </row>
    <row r="175" spans="1:6" x14ac:dyDescent="0.25">
      <c r="A175" t="s">
        <v>3329</v>
      </c>
      <c r="B175" t="s">
        <v>7312</v>
      </c>
      <c r="C175" t="s">
        <v>7313</v>
      </c>
      <c r="D175" t="s">
        <v>6745</v>
      </c>
      <c r="E175" t="s">
        <v>7295</v>
      </c>
      <c r="F175">
        <v>0</v>
      </c>
    </row>
    <row r="176" spans="1:6" x14ac:dyDescent="0.25">
      <c r="A176" t="s">
        <v>3329</v>
      </c>
      <c r="B176" t="s">
        <v>7310</v>
      </c>
      <c r="C176" t="s">
        <v>7311</v>
      </c>
      <c r="D176" t="s">
        <v>6745</v>
      </c>
      <c r="E176" t="s">
        <v>7295</v>
      </c>
      <c r="F176">
        <v>0</v>
      </c>
    </row>
    <row r="177" spans="1:6" x14ac:dyDescent="0.25">
      <c r="A177" t="s">
        <v>3329</v>
      </c>
      <c r="B177" t="s">
        <v>7308</v>
      </c>
      <c r="C177" t="s">
        <v>7309</v>
      </c>
      <c r="D177" t="s">
        <v>6745</v>
      </c>
      <c r="E177" t="s">
        <v>7295</v>
      </c>
      <c r="F177">
        <v>0</v>
      </c>
    </row>
    <row r="178" spans="1:6" x14ac:dyDescent="0.25">
      <c r="A178" t="s">
        <v>3329</v>
      </c>
      <c r="B178" t="s">
        <v>7306</v>
      </c>
      <c r="C178" t="s">
        <v>7307</v>
      </c>
      <c r="D178" t="s">
        <v>6745</v>
      </c>
      <c r="E178" t="s">
        <v>7295</v>
      </c>
      <c r="F178">
        <v>0</v>
      </c>
    </row>
    <row r="179" spans="1:6" x14ac:dyDescent="0.25">
      <c r="A179" t="s">
        <v>3329</v>
      </c>
      <c r="B179" t="s">
        <v>7304</v>
      </c>
      <c r="C179" t="s">
        <v>7305</v>
      </c>
      <c r="D179" t="s">
        <v>6745</v>
      </c>
      <c r="E179" t="s">
        <v>7295</v>
      </c>
      <c r="F179">
        <v>0</v>
      </c>
    </row>
    <row r="180" spans="1:6" x14ac:dyDescent="0.25">
      <c r="A180" t="s">
        <v>3329</v>
      </c>
      <c r="B180" t="s">
        <v>7302</v>
      </c>
      <c r="C180" t="s">
        <v>7303</v>
      </c>
      <c r="D180" t="s">
        <v>6745</v>
      </c>
      <c r="E180" t="s">
        <v>7295</v>
      </c>
      <c r="F180">
        <v>0</v>
      </c>
    </row>
    <row r="181" spans="1:6" x14ac:dyDescent="0.25">
      <c r="A181" t="s">
        <v>3329</v>
      </c>
      <c r="B181" t="s">
        <v>7300</v>
      </c>
      <c r="C181" t="s">
        <v>7301</v>
      </c>
      <c r="D181" t="s">
        <v>6745</v>
      </c>
      <c r="E181" t="s">
        <v>7295</v>
      </c>
      <c r="F181">
        <v>0</v>
      </c>
    </row>
    <row r="182" spans="1:6" x14ac:dyDescent="0.25">
      <c r="A182" t="s">
        <v>3329</v>
      </c>
      <c r="B182" t="s">
        <v>7298</v>
      </c>
      <c r="C182" t="s">
        <v>7299</v>
      </c>
      <c r="D182" t="s">
        <v>6745</v>
      </c>
      <c r="E182" t="s">
        <v>7295</v>
      </c>
      <c r="F182">
        <v>0</v>
      </c>
    </row>
    <row r="183" spans="1:6" x14ac:dyDescent="0.25">
      <c r="A183" t="s">
        <v>3329</v>
      </c>
      <c r="B183" t="s">
        <v>7296</v>
      </c>
      <c r="C183" t="s">
        <v>7297</v>
      </c>
      <c r="D183" t="s">
        <v>6745</v>
      </c>
      <c r="E183" t="s">
        <v>7295</v>
      </c>
      <c r="F183">
        <v>0</v>
      </c>
    </row>
    <row r="184" spans="1:6" x14ac:dyDescent="0.25">
      <c r="A184" t="s">
        <v>3329</v>
      </c>
      <c r="B184" t="s">
        <v>7293</v>
      </c>
      <c r="C184" t="s">
        <v>7294</v>
      </c>
      <c r="D184" t="s">
        <v>6745</v>
      </c>
      <c r="E184" t="s">
        <v>7295</v>
      </c>
      <c r="F184">
        <v>0</v>
      </c>
    </row>
    <row r="185" spans="1:6" x14ac:dyDescent="0.25">
      <c r="A185" t="s">
        <v>3329</v>
      </c>
      <c r="B185" t="s">
        <v>7290</v>
      </c>
      <c r="C185" t="s">
        <v>7291</v>
      </c>
      <c r="D185" t="s">
        <v>6745</v>
      </c>
      <c r="E185" t="s">
        <v>7292</v>
      </c>
      <c r="F185">
        <v>0</v>
      </c>
    </row>
    <row r="186" spans="1:6" x14ac:dyDescent="0.25">
      <c r="A186" t="s">
        <v>3329</v>
      </c>
      <c r="B186" t="s">
        <v>7288</v>
      </c>
      <c r="C186" t="s">
        <v>7289</v>
      </c>
      <c r="D186" t="s">
        <v>6745</v>
      </c>
      <c r="E186" t="s">
        <v>7094</v>
      </c>
      <c r="F186">
        <v>0</v>
      </c>
    </row>
    <row r="187" spans="1:6" x14ac:dyDescent="0.25">
      <c r="A187" t="s">
        <v>3329</v>
      </c>
      <c r="B187" t="s">
        <v>7286</v>
      </c>
      <c r="C187" t="s">
        <v>7287</v>
      </c>
      <c r="D187" t="s">
        <v>6745</v>
      </c>
      <c r="E187" t="s">
        <v>7094</v>
      </c>
      <c r="F187">
        <v>0</v>
      </c>
    </row>
    <row r="188" spans="1:6" x14ac:dyDescent="0.25">
      <c r="A188" t="s">
        <v>3329</v>
      </c>
      <c r="B188" t="s">
        <v>7284</v>
      </c>
      <c r="C188" t="s">
        <v>7285</v>
      </c>
      <c r="D188" t="s">
        <v>6745</v>
      </c>
      <c r="E188" t="s">
        <v>7094</v>
      </c>
      <c r="F188">
        <v>0</v>
      </c>
    </row>
    <row r="189" spans="1:6" x14ac:dyDescent="0.25">
      <c r="A189" t="s">
        <v>3329</v>
      </c>
      <c r="B189" t="s">
        <v>7282</v>
      </c>
      <c r="C189" t="s">
        <v>7283</v>
      </c>
      <c r="D189" t="s">
        <v>6745</v>
      </c>
      <c r="E189" t="s">
        <v>7094</v>
      </c>
      <c r="F189">
        <v>0</v>
      </c>
    </row>
    <row r="190" spans="1:6" x14ac:dyDescent="0.25">
      <c r="A190" t="s">
        <v>3329</v>
      </c>
      <c r="B190" t="s">
        <v>7280</v>
      </c>
      <c r="C190" t="s">
        <v>7281</v>
      </c>
      <c r="D190" t="s">
        <v>6745</v>
      </c>
      <c r="E190" t="s">
        <v>7094</v>
      </c>
      <c r="F190">
        <v>0</v>
      </c>
    </row>
    <row r="191" spans="1:6" x14ac:dyDescent="0.25">
      <c r="A191" t="s">
        <v>3329</v>
      </c>
      <c r="B191" t="s">
        <v>7278</v>
      </c>
      <c r="C191" t="s">
        <v>7279</v>
      </c>
      <c r="D191" t="s">
        <v>6745</v>
      </c>
      <c r="E191" t="s">
        <v>7094</v>
      </c>
      <c r="F191">
        <v>0</v>
      </c>
    </row>
    <row r="192" spans="1:6" x14ac:dyDescent="0.25">
      <c r="A192" t="s">
        <v>3329</v>
      </c>
      <c r="B192" t="s">
        <v>7276</v>
      </c>
      <c r="C192" t="s">
        <v>7277</v>
      </c>
      <c r="D192" t="s">
        <v>6745</v>
      </c>
      <c r="E192" t="s">
        <v>7094</v>
      </c>
      <c r="F192">
        <v>0</v>
      </c>
    </row>
    <row r="193" spans="1:6" x14ac:dyDescent="0.25">
      <c r="A193" t="s">
        <v>3329</v>
      </c>
      <c r="B193" t="s">
        <v>7274</v>
      </c>
      <c r="C193" t="s">
        <v>7275</v>
      </c>
      <c r="D193" t="s">
        <v>6745</v>
      </c>
      <c r="E193" t="s">
        <v>7094</v>
      </c>
      <c r="F193">
        <v>0</v>
      </c>
    </row>
    <row r="194" spans="1:6" x14ac:dyDescent="0.25">
      <c r="A194" t="s">
        <v>3329</v>
      </c>
      <c r="B194" t="s">
        <v>7272</v>
      </c>
      <c r="C194" t="s">
        <v>7273</v>
      </c>
      <c r="D194" t="s">
        <v>6745</v>
      </c>
      <c r="E194" t="s">
        <v>7094</v>
      </c>
      <c r="F194">
        <v>0</v>
      </c>
    </row>
    <row r="195" spans="1:6" x14ac:dyDescent="0.25">
      <c r="A195" t="s">
        <v>3329</v>
      </c>
      <c r="B195" t="s">
        <v>7270</v>
      </c>
      <c r="C195" t="s">
        <v>7271</v>
      </c>
      <c r="D195" t="s">
        <v>6745</v>
      </c>
      <c r="E195" t="s">
        <v>7094</v>
      </c>
      <c r="F195">
        <v>0</v>
      </c>
    </row>
    <row r="196" spans="1:6" x14ac:dyDescent="0.25">
      <c r="A196" t="s">
        <v>3329</v>
      </c>
      <c r="B196" t="s">
        <v>7268</v>
      </c>
      <c r="C196" t="s">
        <v>7269</v>
      </c>
      <c r="D196" t="s">
        <v>6745</v>
      </c>
      <c r="E196" t="s">
        <v>7094</v>
      </c>
      <c r="F196">
        <v>0</v>
      </c>
    </row>
    <row r="197" spans="1:6" x14ac:dyDescent="0.25">
      <c r="A197" t="s">
        <v>3329</v>
      </c>
      <c r="B197" t="s">
        <v>7266</v>
      </c>
      <c r="C197" t="s">
        <v>7267</v>
      </c>
      <c r="D197" t="s">
        <v>6745</v>
      </c>
      <c r="E197" t="s">
        <v>7094</v>
      </c>
      <c r="F197">
        <v>0</v>
      </c>
    </row>
    <row r="198" spans="1:6" x14ac:dyDescent="0.25">
      <c r="A198" t="s">
        <v>3329</v>
      </c>
      <c r="B198" t="s">
        <v>7264</v>
      </c>
      <c r="C198" t="s">
        <v>7265</v>
      </c>
      <c r="D198" t="s">
        <v>6745</v>
      </c>
      <c r="E198" t="s">
        <v>6809</v>
      </c>
      <c r="F198">
        <v>0</v>
      </c>
    </row>
    <row r="199" spans="1:6" x14ac:dyDescent="0.25">
      <c r="A199" t="s">
        <v>3329</v>
      </c>
      <c r="B199" t="s">
        <v>7262</v>
      </c>
      <c r="C199" t="s">
        <v>7263</v>
      </c>
      <c r="D199" t="s">
        <v>6745</v>
      </c>
      <c r="E199" t="s">
        <v>7155</v>
      </c>
      <c r="F199">
        <v>0</v>
      </c>
    </row>
    <row r="200" spans="1:6" x14ac:dyDescent="0.25">
      <c r="A200" t="s">
        <v>3329</v>
      </c>
      <c r="B200" t="s">
        <v>7260</v>
      </c>
      <c r="C200" t="s">
        <v>7261</v>
      </c>
      <c r="D200" t="s">
        <v>6745</v>
      </c>
      <c r="E200" t="s">
        <v>7155</v>
      </c>
      <c r="F200">
        <v>0</v>
      </c>
    </row>
    <row r="201" spans="1:6" x14ac:dyDescent="0.25">
      <c r="A201" t="s">
        <v>3329</v>
      </c>
      <c r="B201" t="s">
        <v>7258</v>
      </c>
      <c r="C201" t="s">
        <v>7259</v>
      </c>
      <c r="D201" t="s">
        <v>6745</v>
      </c>
      <c r="E201" t="s">
        <v>7155</v>
      </c>
      <c r="F201">
        <v>0</v>
      </c>
    </row>
    <row r="202" spans="1:6" x14ac:dyDescent="0.25">
      <c r="A202" t="s">
        <v>3329</v>
      </c>
      <c r="B202" t="s">
        <v>7256</v>
      </c>
      <c r="C202" t="s">
        <v>7257</v>
      </c>
      <c r="D202" t="s">
        <v>6745</v>
      </c>
      <c r="E202" t="s">
        <v>7155</v>
      </c>
      <c r="F202">
        <v>0</v>
      </c>
    </row>
    <row r="203" spans="1:6" x14ac:dyDescent="0.25">
      <c r="A203" t="s">
        <v>3329</v>
      </c>
      <c r="B203" t="s">
        <v>7254</v>
      </c>
      <c r="C203" t="s">
        <v>7255</v>
      </c>
      <c r="D203" t="s">
        <v>6745</v>
      </c>
      <c r="E203" t="s">
        <v>7109</v>
      </c>
      <c r="F203">
        <v>0</v>
      </c>
    </row>
    <row r="204" spans="1:6" x14ac:dyDescent="0.25">
      <c r="A204" t="s">
        <v>3329</v>
      </c>
      <c r="B204" t="s">
        <v>7252</v>
      </c>
      <c r="C204" t="s">
        <v>7253</v>
      </c>
      <c r="D204" t="s">
        <v>6745</v>
      </c>
      <c r="E204" t="s">
        <v>7109</v>
      </c>
      <c r="F204">
        <v>0</v>
      </c>
    </row>
    <row r="205" spans="1:6" x14ac:dyDescent="0.25">
      <c r="A205" t="s">
        <v>3329</v>
      </c>
      <c r="B205" t="s">
        <v>7250</v>
      </c>
      <c r="C205" t="s">
        <v>7251</v>
      </c>
      <c r="D205" t="s">
        <v>6745</v>
      </c>
      <c r="E205" t="s">
        <v>7109</v>
      </c>
      <c r="F205">
        <v>0</v>
      </c>
    </row>
    <row r="206" spans="1:6" x14ac:dyDescent="0.25">
      <c r="A206" t="s">
        <v>3329</v>
      </c>
      <c r="B206" t="s">
        <v>7248</v>
      </c>
      <c r="C206" t="s">
        <v>7249</v>
      </c>
      <c r="D206" t="s">
        <v>6745</v>
      </c>
      <c r="E206" t="s">
        <v>6777</v>
      </c>
      <c r="F206">
        <v>0</v>
      </c>
    </row>
    <row r="207" spans="1:6" x14ac:dyDescent="0.25">
      <c r="A207" t="s">
        <v>3329</v>
      </c>
      <c r="B207" t="s">
        <v>7246</v>
      </c>
      <c r="C207" t="s">
        <v>7247</v>
      </c>
      <c r="D207" t="s">
        <v>6745</v>
      </c>
      <c r="E207" t="s">
        <v>6777</v>
      </c>
      <c r="F207">
        <v>0</v>
      </c>
    </row>
    <row r="208" spans="1:6" x14ac:dyDescent="0.25">
      <c r="A208" t="s">
        <v>3329</v>
      </c>
      <c r="B208" t="s">
        <v>7244</v>
      </c>
      <c r="C208" t="s">
        <v>7245</v>
      </c>
      <c r="D208" t="s">
        <v>6745</v>
      </c>
      <c r="E208" t="s">
        <v>6777</v>
      </c>
      <c r="F208">
        <v>0</v>
      </c>
    </row>
    <row r="209" spans="1:6" x14ac:dyDescent="0.25">
      <c r="A209" t="s">
        <v>3329</v>
      </c>
      <c r="B209" t="s">
        <v>7242</v>
      </c>
      <c r="C209" t="s">
        <v>7243</v>
      </c>
      <c r="D209" t="s">
        <v>6745</v>
      </c>
      <c r="E209" t="s">
        <v>6777</v>
      </c>
      <c r="F209">
        <v>0</v>
      </c>
    </row>
    <row r="210" spans="1:6" x14ac:dyDescent="0.25">
      <c r="A210" t="s">
        <v>3329</v>
      </c>
      <c r="B210" t="s">
        <v>7240</v>
      </c>
      <c r="C210" t="s">
        <v>7241</v>
      </c>
      <c r="D210" t="s">
        <v>6745</v>
      </c>
      <c r="E210" t="s">
        <v>6777</v>
      </c>
      <c r="F210">
        <v>0</v>
      </c>
    </row>
    <row r="211" spans="1:6" x14ac:dyDescent="0.25">
      <c r="A211" t="s">
        <v>3329</v>
      </c>
      <c r="B211" t="s">
        <v>7238</v>
      </c>
      <c r="C211" t="s">
        <v>7239</v>
      </c>
      <c r="D211" t="s">
        <v>6745</v>
      </c>
      <c r="E211" t="s">
        <v>6809</v>
      </c>
      <c r="F211">
        <v>0</v>
      </c>
    </row>
    <row r="212" spans="1:6" x14ac:dyDescent="0.25">
      <c r="A212" t="s">
        <v>3329</v>
      </c>
      <c r="B212" t="s">
        <v>7236</v>
      </c>
      <c r="C212" t="s">
        <v>7237</v>
      </c>
      <c r="D212" t="s">
        <v>6745</v>
      </c>
      <c r="E212" t="s">
        <v>6809</v>
      </c>
      <c r="F212">
        <v>0</v>
      </c>
    </row>
    <row r="213" spans="1:6" x14ac:dyDescent="0.25">
      <c r="A213" t="s">
        <v>3329</v>
      </c>
      <c r="B213" t="s">
        <v>7234</v>
      </c>
      <c r="C213" t="s">
        <v>7235</v>
      </c>
      <c r="D213" t="s">
        <v>6745</v>
      </c>
      <c r="E213" t="s">
        <v>6809</v>
      </c>
      <c r="F213">
        <v>0</v>
      </c>
    </row>
    <row r="214" spans="1:6" x14ac:dyDescent="0.25">
      <c r="A214" t="s">
        <v>3329</v>
      </c>
      <c r="B214" t="s">
        <v>7232</v>
      </c>
      <c r="C214" t="s">
        <v>7233</v>
      </c>
      <c r="D214" t="s">
        <v>6745</v>
      </c>
      <c r="E214" t="s">
        <v>6809</v>
      </c>
      <c r="F214">
        <v>0</v>
      </c>
    </row>
    <row r="215" spans="1:6" x14ac:dyDescent="0.25">
      <c r="A215" t="s">
        <v>3329</v>
      </c>
      <c r="B215" t="s">
        <v>7230</v>
      </c>
      <c r="C215" t="s">
        <v>7231</v>
      </c>
      <c r="D215" t="s">
        <v>6745</v>
      </c>
      <c r="E215" t="s">
        <v>7109</v>
      </c>
      <c r="F215">
        <v>0</v>
      </c>
    </row>
    <row r="216" spans="1:6" x14ac:dyDescent="0.25">
      <c r="A216" t="s">
        <v>3329</v>
      </c>
      <c r="B216" t="s">
        <v>7228</v>
      </c>
      <c r="C216" t="s">
        <v>7229</v>
      </c>
      <c r="D216" t="s">
        <v>6745</v>
      </c>
      <c r="E216" t="s">
        <v>7094</v>
      </c>
      <c r="F216">
        <v>0</v>
      </c>
    </row>
    <row r="217" spans="1:6" x14ac:dyDescent="0.25">
      <c r="A217" t="s">
        <v>3329</v>
      </c>
      <c r="B217" t="s">
        <v>7226</v>
      </c>
      <c r="C217" t="s">
        <v>7227</v>
      </c>
      <c r="D217" t="s">
        <v>6745</v>
      </c>
      <c r="E217" t="s">
        <v>7094</v>
      </c>
      <c r="F217">
        <v>0</v>
      </c>
    </row>
    <row r="218" spans="1:6" x14ac:dyDescent="0.25">
      <c r="A218" t="s">
        <v>3329</v>
      </c>
      <c r="B218" t="s">
        <v>7224</v>
      </c>
      <c r="C218" t="s">
        <v>7225</v>
      </c>
      <c r="D218" t="s">
        <v>6745</v>
      </c>
      <c r="E218" t="s">
        <v>7109</v>
      </c>
      <c r="F218">
        <v>0</v>
      </c>
    </row>
    <row r="219" spans="1:6" x14ac:dyDescent="0.25">
      <c r="A219" t="s">
        <v>3329</v>
      </c>
      <c r="B219" t="s">
        <v>7222</v>
      </c>
      <c r="C219" t="s">
        <v>7223</v>
      </c>
      <c r="D219" t="s">
        <v>6745</v>
      </c>
      <c r="E219" t="s">
        <v>6777</v>
      </c>
      <c r="F219">
        <v>0</v>
      </c>
    </row>
    <row r="220" spans="1:6" x14ac:dyDescent="0.25">
      <c r="A220" t="s">
        <v>3329</v>
      </c>
      <c r="B220" t="s">
        <v>7220</v>
      </c>
      <c r="C220" t="s">
        <v>7221</v>
      </c>
      <c r="D220" t="s">
        <v>6745</v>
      </c>
      <c r="E220" t="s">
        <v>6777</v>
      </c>
      <c r="F220">
        <v>0</v>
      </c>
    </row>
    <row r="221" spans="1:6" x14ac:dyDescent="0.25">
      <c r="A221" t="s">
        <v>3329</v>
      </c>
      <c r="B221" t="s">
        <v>7218</v>
      </c>
      <c r="C221" t="s">
        <v>7219</v>
      </c>
      <c r="D221" t="s">
        <v>6745</v>
      </c>
      <c r="E221" t="s">
        <v>6777</v>
      </c>
      <c r="F221">
        <v>0</v>
      </c>
    </row>
    <row r="222" spans="1:6" x14ac:dyDescent="0.25">
      <c r="A222" t="s">
        <v>3329</v>
      </c>
      <c r="B222" t="s">
        <v>7216</v>
      </c>
      <c r="C222" t="s">
        <v>7217</v>
      </c>
      <c r="D222" t="s">
        <v>6745</v>
      </c>
      <c r="E222" t="s">
        <v>6777</v>
      </c>
      <c r="F222">
        <v>0</v>
      </c>
    </row>
    <row r="223" spans="1:6" x14ac:dyDescent="0.25">
      <c r="A223" t="s">
        <v>3329</v>
      </c>
      <c r="B223" t="s">
        <v>7214</v>
      </c>
      <c r="C223" t="s">
        <v>7215</v>
      </c>
      <c r="D223" t="s">
        <v>6745</v>
      </c>
      <c r="E223" t="s">
        <v>6809</v>
      </c>
      <c r="F223">
        <v>0</v>
      </c>
    </row>
    <row r="224" spans="1:6" x14ac:dyDescent="0.25">
      <c r="A224" t="s">
        <v>3329</v>
      </c>
      <c r="B224" t="s">
        <v>7212</v>
      </c>
      <c r="C224" t="s">
        <v>7213</v>
      </c>
      <c r="D224" t="s">
        <v>6745</v>
      </c>
      <c r="E224" t="s">
        <v>6809</v>
      </c>
      <c r="F224">
        <v>0</v>
      </c>
    </row>
    <row r="225" spans="1:6" x14ac:dyDescent="0.25">
      <c r="A225" t="s">
        <v>3329</v>
      </c>
      <c r="B225" t="s">
        <v>7210</v>
      </c>
      <c r="C225" t="s">
        <v>7211</v>
      </c>
      <c r="D225" t="s">
        <v>6745</v>
      </c>
      <c r="E225" t="s">
        <v>7094</v>
      </c>
      <c r="F225">
        <v>0</v>
      </c>
    </row>
    <row r="226" spans="1:6" x14ac:dyDescent="0.25">
      <c r="A226" t="s">
        <v>3329</v>
      </c>
      <c r="B226" t="s">
        <v>7208</v>
      </c>
      <c r="C226" t="s">
        <v>7209</v>
      </c>
      <c r="D226" t="s">
        <v>6745</v>
      </c>
      <c r="E226" t="s">
        <v>7094</v>
      </c>
      <c r="F226">
        <v>0</v>
      </c>
    </row>
    <row r="227" spans="1:6" x14ac:dyDescent="0.25">
      <c r="A227" t="s">
        <v>3329</v>
      </c>
      <c r="B227" t="s">
        <v>7206</v>
      </c>
      <c r="C227" t="s">
        <v>7207</v>
      </c>
      <c r="D227" t="s">
        <v>6745</v>
      </c>
      <c r="E227" t="s">
        <v>7094</v>
      </c>
      <c r="F227">
        <v>0</v>
      </c>
    </row>
    <row r="228" spans="1:6" x14ac:dyDescent="0.25">
      <c r="A228" t="s">
        <v>3329</v>
      </c>
      <c r="B228" t="s">
        <v>7204</v>
      </c>
      <c r="C228" t="s">
        <v>7205</v>
      </c>
      <c r="D228" t="s">
        <v>6745</v>
      </c>
      <c r="E228" t="s">
        <v>7094</v>
      </c>
      <c r="F228">
        <v>0</v>
      </c>
    </row>
    <row r="229" spans="1:6" x14ac:dyDescent="0.25">
      <c r="A229" t="s">
        <v>3329</v>
      </c>
      <c r="B229" t="s">
        <v>7202</v>
      </c>
      <c r="C229" t="s">
        <v>7203</v>
      </c>
      <c r="D229" t="s">
        <v>6745</v>
      </c>
      <c r="E229" t="s">
        <v>7094</v>
      </c>
      <c r="F229">
        <v>0</v>
      </c>
    </row>
    <row r="230" spans="1:6" x14ac:dyDescent="0.25">
      <c r="A230" t="s">
        <v>3329</v>
      </c>
      <c r="B230" t="s">
        <v>7200</v>
      </c>
      <c r="C230" t="s">
        <v>7201</v>
      </c>
      <c r="D230" t="s">
        <v>6745</v>
      </c>
      <c r="E230" t="s">
        <v>7094</v>
      </c>
      <c r="F230">
        <v>0</v>
      </c>
    </row>
    <row r="231" spans="1:6" x14ac:dyDescent="0.25">
      <c r="A231" t="s">
        <v>3329</v>
      </c>
      <c r="B231" t="s">
        <v>7198</v>
      </c>
      <c r="C231" t="s">
        <v>7199</v>
      </c>
      <c r="D231" t="s">
        <v>6745</v>
      </c>
      <c r="E231" t="s">
        <v>7094</v>
      </c>
      <c r="F231">
        <v>0</v>
      </c>
    </row>
    <row r="232" spans="1:6" x14ac:dyDescent="0.25">
      <c r="A232" t="s">
        <v>3329</v>
      </c>
      <c r="B232" t="s">
        <v>7196</v>
      </c>
      <c r="C232" t="s">
        <v>7197</v>
      </c>
      <c r="D232" t="s">
        <v>6745</v>
      </c>
      <c r="E232" t="s">
        <v>7109</v>
      </c>
      <c r="F232">
        <v>0</v>
      </c>
    </row>
    <row r="233" spans="1:6" x14ac:dyDescent="0.25">
      <c r="A233" t="s">
        <v>3329</v>
      </c>
      <c r="B233" t="s">
        <v>7194</v>
      </c>
      <c r="C233" t="s">
        <v>7195</v>
      </c>
      <c r="D233" t="s">
        <v>6745</v>
      </c>
      <c r="E233" t="s">
        <v>7094</v>
      </c>
      <c r="F233">
        <v>0</v>
      </c>
    </row>
    <row r="234" spans="1:6" x14ac:dyDescent="0.25">
      <c r="A234" t="s">
        <v>3329</v>
      </c>
      <c r="B234" t="s">
        <v>7192</v>
      </c>
      <c r="C234" t="s">
        <v>7193</v>
      </c>
      <c r="D234" t="s">
        <v>6745</v>
      </c>
      <c r="E234" t="s">
        <v>6809</v>
      </c>
      <c r="F234">
        <v>0</v>
      </c>
    </row>
    <row r="235" spans="1:6" x14ac:dyDescent="0.25">
      <c r="A235" t="s">
        <v>3329</v>
      </c>
      <c r="B235" t="s">
        <v>7190</v>
      </c>
      <c r="C235" t="s">
        <v>7191</v>
      </c>
      <c r="D235" t="s">
        <v>6745</v>
      </c>
      <c r="E235" t="s">
        <v>7109</v>
      </c>
      <c r="F235">
        <v>0</v>
      </c>
    </row>
    <row r="236" spans="1:6" x14ac:dyDescent="0.25">
      <c r="A236" t="s">
        <v>3329</v>
      </c>
      <c r="B236" t="s">
        <v>7188</v>
      </c>
      <c r="C236" t="s">
        <v>7189</v>
      </c>
      <c r="D236" t="s">
        <v>6745</v>
      </c>
      <c r="E236" t="s">
        <v>7094</v>
      </c>
      <c r="F236">
        <v>0</v>
      </c>
    </row>
    <row r="237" spans="1:6" x14ac:dyDescent="0.25">
      <c r="A237" t="s">
        <v>3329</v>
      </c>
      <c r="B237" t="s">
        <v>7186</v>
      </c>
      <c r="C237" t="s">
        <v>7187</v>
      </c>
      <c r="D237" t="s">
        <v>6745</v>
      </c>
      <c r="E237" t="s">
        <v>6777</v>
      </c>
      <c r="F237">
        <v>0</v>
      </c>
    </row>
    <row r="238" spans="1:6" x14ac:dyDescent="0.25">
      <c r="A238" t="s">
        <v>3329</v>
      </c>
      <c r="B238" t="s">
        <v>7184</v>
      </c>
      <c r="C238" t="s">
        <v>7185</v>
      </c>
      <c r="D238" t="s">
        <v>6745</v>
      </c>
      <c r="E238" t="s">
        <v>6777</v>
      </c>
      <c r="F238">
        <v>0</v>
      </c>
    </row>
    <row r="239" spans="1:6" x14ac:dyDescent="0.25">
      <c r="A239" t="s">
        <v>3329</v>
      </c>
      <c r="B239" t="s">
        <v>7182</v>
      </c>
      <c r="C239" t="s">
        <v>7183</v>
      </c>
      <c r="D239" t="s">
        <v>6745</v>
      </c>
      <c r="E239" t="s">
        <v>6777</v>
      </c>
      <c r="F239">
        <v>0</v>
      </c>
    </row>
    <row r="240" spans="1:6" x14ac:dyDescent="0.25">
      <c r="A240" t="s">
        <v>3329</v>
      </c>
      <c r="B240" t="s">
        <v>7180</v>
      </c>
      <c r="C240" t="s">
        <v>7181</v>
      </c>
      <c r="D240" t="s">
        <v>6745</v>
      </c>
      <c r="E240" t="s">
        <v>7094</v>
      </c>
      <c r="F240">
        <v>0</v>
      </c>
    </row>
    <row r="241" spans="1:6" x14ac:dyDescent="0.25">
      <c r="A241" t="s">
        <v>3329</v>
      </c>
      <c r="B241" t="s">
        <v>7178</v>
      </c>
      <c r="C241" t="s">
        <v>7179</v>
      </c>
      <c r="D241" t="s">
        <v>6745</v>
      </c>
      <c r="E241" t="s">
        <v>7155</v>
      </c>
      <c r="F241">
        <v>0</v>
      </c>
    </row>
    <row r="242" spans="1:6" x14ac:dyDescent="0.25">
      <c r="A242" t="s">
        <v>3329</v>
      </c>
      <c r="B242" t="s">
        <v>7176</v>
      </c>
      <c r="C242" t="s">
        <v>7177</v>
      </c>
      <c r="D242" t="s">
        <v>6745</v>
      </c>
      <c r="E242" t="s">
        <v>7155</v>
      </c>
      <c r="F242">
        <v>0</v>
      </c>
    </row>
    <row r="243" spans="1:6" x14ac:dyDescent="0.25">
      <c r="A243" t="s">
        <v>3329</v>
      </c>
      <c r="B243" t="s">
        <v>7174</v>
      </c>
      <c r="C243" t="s">
        <v>7175</v>
      </c>
      <c r="D243" t="s">
        <v>6745</v>
      </c>
      <c r="E243" t="s">
        <v>6777</v>
      </c>
      <c r="F243">
        <v>0</v>
      </c>
    </row>
    <row r="244" spans="1:6" x14ac:dyDescent="0.25">
      <c r="A244" t="s">
        <v>3329</v>
      </c>
      <c r="B244" t="s">
        <v>7172</v>
      </c>
      <c r="C244" t="s">
        <v>7173</v>
      </c>
      <c r="D244" t="s">
        <v>6745</v>
      </c>
      <c r="E244" t="s">
        <v>7155</v>
      </c>
      <c r="F244">
        <v>0</v>
      </c>
    </row>
    <row r="245" spans="1:6" x14ac:dyDescent="0.25">
      <c r="A245" t="s">
        <v>3329</v>
      </c>
      <c r="B245" t="s">
        <v>7170</v>
      </c>
      <c r="C245" t="s">
        <v>7171</v>
      </c>
      <c r="D245" t="s">
        <v>6745</v>
      </c>
      <c r="E245" t="s">
        <v>7155</v>
      </c>
      <c r="F245">
        <v>0</v>
      </c>
    </row>
    <row r="246" spans="1:6" x14ac:dyDescent="0.25">
      <c r="A246" t="s">
        <v>3329</v>
      </c>
      <c r="B246" t="s">
        <v>7168</v>
      </c>
      <c r="C246" t="s">
        <v>7169</v>
      </c>
      <c r="D246" t="s">
        <v>6745</v>
      </c>
      <c r="E246" t="s">
        <v>7155</v>
      </c>
      <c r="F246">
        <v>0</v>
      </c>
    </row>
    <row r="247" spans="1:6" x14ac:dyDescent="0.25">
      <c r="A247" t="s">
        <v>3329</v>
      </c>
      <c r="B247" t="s">
        <v>7166</v>
      </c>
      <c r="C247" t="s">
        <v>7167</v>
      </c>
      <c r="D247" t="s">
        <v>6745</v>
      </c>
      <c r="E247" t="s">
        <v>7155</v>
      </c>
      <c r="F247">
        <v>0</v>
      </c>
    </row>
    <row r="248" spans="1:6" x14ac:dyDescent="0.25">
      <c r="A248" t="s">
        <v>3329</v>
      </c>
      <c r="B248" t="s">
        <v>7164</v>
      </c>
      <c r="C248" t="s">
        <v>7165</v>
      </c>
      <c r="D248" t="s">
        <v>6745</v>
      </c>
      <c r="E248" t="s">
        <v>7155</v>
      </c>
      <c r="F248">
        <v>0</v>
      </c>
    </row>
    <row r="249" spans="1:6" x14ac:dyDescent="0.25">
      <c r="A249" t="s">
        <v>3329</v>
      </c>
      <c r="B249" t="s">
        <v>7162</v>
      </c>
      <c r="C249" t="s">
        <v>7163</v>
      </c>
      <c r="D249" t="s">
        <v>6745</v>
      </c>
      <c r="E249" t="s">
        <v>7155</v>
      </c>
      <c r="F249">
        <v>0</v>
      </c>
    </row>
    <row r="250" spans="1:6" x14ac:dyDescent="0.25">
      <c r="A250" t="s">
        <v>3329</v>
      </c>
      <c r="B250" t="s">
        <v>7160</v>
      </c>
      <c r="C250" t="s">
        <v>7161</v>
      </c>
      <c r="D250" t="s">
        <v>6745</v>
      </c>
      <c r="E250" t="s">
        <v>7155</v>
      </c>
      <c r="F250">
        <v>0</v>
      </c>
    </row>
    <row r="251" spans="1:6" x14ac:dyDescent="0.25">
      <c r="A251" t="s">
        <v>3329</v>
      </c>
      <c r="B251" t="s">
        <v>7158</v>
      </c>
      <c r="C251" t="s">
        <v>7159</v>
      </c>
      <c r="D251" t="s">
        <v>6745</v>
      </c>
      <c r="E251" t="s">
        <v>7155</v>
      </c>
      <c r="F251">
        <v>0</v>
      </c>
    </row>
    <row r="252" spans="1:6" x14ac:dyDescent="0.25">
      <c r="A252" t="s">
        <v>3329</v>
      </c>
      <c r="B252" t="s">
        <v>7156</v>
      </c>
      <c r="C252" t="s">
        <v>7157</v>
      </c>
      <c r="D252" t="s">
        <v>6745</v>
      </c>
      <c r="E252" t="s">
        <v>7155</v>
      </c>
      <c r="F252">
        <v>0</v>
      </c>
    </row>
    <row r="253" spans="1:6" x14ac:dyDescent="0.25">
      <c r="A253" t="s">
        <v>3329</v>
      </c>
      <c r="B253" t="s">
        <v>7153</v>
      </c>
      <c r="C253" t="s">
        <v>7154</v>
      </c>
      <c r="D253" t="s">
        <v>6745</v>
      </c>
      <c r="E253" t="s">
        <v>7155</v>
      </c>
      <c r="F253">
        <v>0</v>
      </c>
    </row>
    <row r="254" spans="1:6" x14ac:dyDescent="0.25">
      <c r="A254" t="s">
        <v>3329</v>
      </c>
      <c r="B254" t="s">
        <v>7151</v>
      </c>
      <c r="C254" t="s">
        <v>7152</v>
      </c>
      <c r="D254" t="s">
        <v>6745</v>
      </c>
      <c r="E254" t="s">
        <v>6777</v>
      </c>
      <c r="F254">
        <v>0</v>
      </c>
    </row>
    <row r="255" spans="1:6" x14ac:dyDescent="0.25">
      <c r="A255" t="s">
        <v>3329</v>
      </c>
      <c r="B255" t="s">
        <v>7149</v>
      </c>
      <c r="C255" t="s">
        <v>7150</v>
      </c>
      <c r="D255" t="s">
        <v>6745</v>
      </c>
      <c r="E255" t="s">
        <v>6777</v>
      </c>
      <c r="F255">
        <v>0</v>
      </c>
    </row>
    <row r="256" spans="1:6" x14ac:dyDescent="0.25">
      <c r="A256" t="s">
        <v>3329</v>
      </c>
      <c r="B256" t="s">
        <v>7147</v>
      </c>
      <c r="C256" t="s">
        <v>7148</v>
      </c>
      <c r="D256" t="s">
        <v>6745</v>
      </c>
      <c r="E256" t="s">
        <v>6777</v>
      </c>
      <c r="F256">
        <v>0</v>
      </c>
    </row>
    <row r="257" spans="1:6" x14ac:dyDescent="0.25">
      <c r="A257" t="s">
        <v>3329</v>
      </c>
      <c r="B257" t="s">
        <v>7145</v>
      </c>
      <c r="C257" t="s">
        <v>7146</v>
      </c>
      <c r="D257" t="s">
        <v>6745</v>
      </c>
      <c r="E257" t="s">
        <v>6777</v>
      </c>
      <c r="F257">
        <v>0</v>
      </c>
    </row>
    <row r="258" spans="1:6" x14ac:dyDescent="0.25">
      <c r="A258" t="s">
        <v>3329</v>
      </c>
      <c r="B258" t="s">
        <v>7143</v>
      </c>
      <c r="C258" t="s">
        <v>7144</v>
      </c>
      <c r="D258" t="s">
        <v>6745</v>
      </c>
      <c r="E258" t="s">
        <v>6809</v>
      </c>
      <c r="F258">
        <v>0</v>
      </c>
    </row>
    <row r="259" spans="1:6" x14ac:dyDescent="0.25">
      <c r="A259" t="s">
        <v>3329</v>
      </c>
      <c r="B259" t="s">
        <v>7141</v>
      </c>
      <c r="C259" t="s">
        <v>7142</v>
      </c>
      <c r="D259" t="s">
        <v>6745</v>
      </c>
      <c r="E259" t="s">
        <v>6777</v>
      </c>
      <c r="F259">
        <v>0</v>
      </c>
    </row>
    <row r="260" spans="1:6" x14ac:dyDescent="0.25">
      <c r="A260" t="s">
        <v>3329</v>
      </c>
      <c r="B260" t="s">
        <v>7139</v>
      </c>
      <c r="C260" t="s">
        <v>7140</v>
      </c>
      <c r="D260" t="s">
        <v>6745</v>
      </c>
      <c r="E260" t="s">
        <v>6777</v>
      </c>
      <c r="F260">
        <v>0</v>
      </c>
    </row>
    <row r="261" spans="1:6" x14ac:dyDescent="0.25">
      <c r="A261" t="s">
        <v>3329</v>
      </c>
      <c r="B261" t="s">
        <v>7137</v>
      </c>
      <c r="C261" t="s">
        <v>7138</v>
      </c>
      <c r="D261" t="s">
        <v>6745</v>
      </c>
      <c r="E261" t="s">
        <v>6809</v>
      </c>
      <c r="F261">
        <v>0</v>
      </c>
    </row>
    <row r="262" spans="1:6" x14ac:dyDescent="0.25">
      <c r="A262" t="s">
        <v>3329</v>
      </c>
      <c r="B262" t="s">
        <v>7135</v>
      </c>
      <c r="C262" t="s">
        <v>7136</v>
      </c>
      <c r="D262" t="s">
        <v>6745</v>
      </c>
      <c r="E262" t="s">
        <v>6809</v>
      </c>
      <c r="F262">
        <v>0</v>
      </c>
    </row>
    <row r="263" spans="1:6" x14ac:dyDescent="0.25">
      <c r="A263" t="s">
        <v>3329</v>
      </c>
      <c r="B263" t="s">
        <v>7133</v>
      </c>
      <c r="C263" t="s">
        <v>7134</v>
      </c>
      <c r="D263" t="s">
        <v>6745</v>
      </c>
      <c r="E263" t="s">
        <v>7013</v>
      </c>
      <c r="F263">
        <v>0</v>
      </c>
    </row>
    <row r="264" spans="1:6" x14ac:dyDescent="0.25">
      <c r="A264" t="s">
        <v>3329</v>
      </c>
      <c r="B264" t="s">
        <v>7131</v>
      </c>
      <c r="C264" t="s">
        <v>7132</v>
      </c>
      <c r="D264" t="s">
        <v>6745</v>
      </c>
      <c r="E264" t="s">
        <v>7013</v>
      </c>
      <c r="F264">
        <v>0</v>
      </c>
    </row>
    <row r="265" spans="1:6" x14ac:dyDescent="0.25">
      <c r="A265" t="s">
        <v>3329</v>
      </c>
      <c r="B265" t="s">
        <v>7129</v>
      </c>
      <c r="C265" t="s">
        <v>7130</v>
      </c>
      <c r="D265" t="s">
        <v>6745</v>
      </c>
      <c r="E265" t="s">
        <v>7013</v>
      </c>
      <c r="F265">
        <v>0</v>
      </c>
    </row>
    <row r="266" spans="1:6" x14ac:dyDescent="0.25">
      <c r="A266" t="s">
        <v>3329</v>
      </c>
      <c r="B266" t="s">
        <v>7127</v>
      </c>
      <c r="C266" t="s">
        <v>7128</v>
      </c>
      <c r="D266" t="s">
        <v>6745</v>
      </c>
      <c r="E266" t="s">
        <v>7013</v>
      </c>
      <c r="F266">
        <v>0</v>
      </c>
    </row>
    <row r="267" spans="1:6" x14ac:dyDescent="0.25">
      <c r="A267" t="s">
        <v>3329</v>
      </c>
      <c r="B267" t="s">
        <v>7122</v>
      </c>
      <c r="C267" t="s">
        <v>7123</v>
      </c>
      <c r="D267" t="s">
        <v>6745</v>
      </c>
      <c r="E267" t="s">
        <v>7094</v>
      </c>
      <c r="F267">
        <v>0</v>
      </c>
    </row>
    <row r="268" spans="1:6" x14ac:dyDescent="0.25">
      <c r="A268" t="s">
        <v>3329</v>
      </c>
      <c r="B268" t="s">
        <v>7120</v>
      </c>
      <c r="C268" t="s">
        <v>7121</v>
      </c>
      <c r="D268" t="s">
        <v>6745</v>
      </c>
      <c r="E268" t="s">
        <v>7109</v>
      </c>
      <c r="F268">
        <v>0</v>
      </c>
    </row>
    <row r="269" spans="1:6" x14ac:dyDescent="0.25">
      <c r="A269" t="s">
        <v>3329</v>
      </c>
      <c r="B269" t="s">
        <v>7118</v>
      </c>
      <c r="C269" t="s">
        <v>7119</v>
      </c>
      <c r="D269" t="s">
        <v>6745</v>
      </c>
      <c r="E269" t="s">
        <v>7109</v>
      </c>
      <c r="F269">
        <v>0</v>
      </c>
    </row>
    <row r="270" spans="1:6" x14ac:dyDescent="0.25">
      <c r="A270" t="s">
        <v>3329</v>
      </c>
      <c r="B270" t="s">
        <v>7116</v>
      </c>
      <c r="C270" t="s">
        <v>7117</v>
      </c>
      <c r="D270" t="s">
        <v>6745</v>
      </c>
      <c r="E270" t="s">
        <v>7109</v>
      </c>
      <c r="F270">
        <v>0</v>
      </c>
    </row>
    <row r="271" spans="1:6" x14ac:dyDescent="0.25">
      <c r="A271" t="s">
        <v>3329</v>
      </c>
      <c r="B271" t="s">
        <v>7114</v>
      </c>
      <c r="C271" t="s">
        <v>7115</v>
      </c>
      <c r="D271" t="s">
        <v>6745</v>
      </c>
      <c r="E271" t="s">
        <v>7094</v>
      </c>
      <c r="F271">
        <v>0</v>
      </c>
    </row>
    <row r="272" spans="1:6" x14ac:dyDescent="0.25">
      <c r="A272" t="s">
        <v>3329</v>
      </c>
      <c r="B272" t="s">
        <v>7112</v>
      </c>
      <c r="C272" t="s">
        <v>7113</v>
      </c>
      <c r="D272" t="s">
        <v>6745</v>
      </c>
      <c r="E272" t="s">
        <v>7094</v>
      </c>
      <c r="F272">
        <v>0</v>
      </c>
    </row>
    <row r="273" spans="1:6" x14ac:dyDescent="0.25">
      <c r="A273" t="s">
        <v>3329</v>
      </c>
      <c r="B273" t="s">
        <v>7110</v>
      </c>
      <c r="C273" t="s">
        <v>7111</v>
      </c>
      <c r="D273" t="s">
        <v>6745</v>
      </c>
      <c r="E273" t="s">
        <v>7109</v>
      </c>
      <c r="F273">
        <v>0</v>
      </c>
    </row>
    <row r="274" spans="1:6" x14ac:dyDescent="0.25">
      <c r="A274" t="s">
        <v>3329</v>
      </c>
      <c r="B274" t="s">
        <v>7107</v>
      </c>
      <c r="C274" t="s">
        <v>7108</v>
      </c>
      <c r="D274" t="s">
        <v>6745</v>
      </c>
      <c r="E274" t="s">
        <v>7109</v>
      </c>
      <c r="F274">
        <v>0</v>
      </c>
    </row>
    <row r="275" spans="1:6" x14ac:dyDescent="0.25">
      <c r="A275" t="s">
        <v>3329</v>
      </c>
      <c r="B275" t="s">
        <v>7105</v>
      </c>
      <c r="C275" t="s">
        <v>7106</v>
      </c>
      <c r="D275" t="s">
        <v>6745</v>
      </c>
      <c r="E275" t="s">
        <v>6809</v>
      </c>
      <c r="F275">
        <v>0</v>
      </c>
    </row>
    <row r="276" spans="1:6" x14ac:dyDescent="0.25">
      <c r="A276" t="s">
        <v>3329</v>
      </c>
      <c r="B276" t="s">
        <v>7103</v>
      </c>
      <c r="C276" t="s">
        <v>7104</v>
      </c>
      <c r="D276" t="s">
        <v>6745</v>
      </c>
      <c r="E276" t="s">
        <v>6809</v>
      </c>
      <c r="F276">
        <v>0</v>
      </c>
    </row>
    <row r="277" spans="1:6" x14ac:dyDescent="0.25">
      <c r="A277" t="s">
        <v>3329</v>
      </c>
      <c r="B277" t="s">
        <v>7101</v>
      </c>
      <c r="C277" t="s">
        <v>7102</v>
      </c>
      <c r="D277" t="s">
        <v>6745</v>
      </c>
      <c r="E277" t="s">
        <v>6809</v>
      </c>
      <c r="F277">
        <v>0</v>
      </c>
    </row>
    <row r="278" spans="1:6" x14ac:dyDescent="0.25">
      <c r="A278" t="s">
        <v>3329</v>
      </c>
      <c r="B278" t="s">
        <v>7099</v>
      </c>
      <c r="C278" t="s">
        <v>7100</v>
      </c>
      <c r="D278" t="s">
        <v>6745</v>
      </c>
      <c r="E278" t="s">
        <v>6809</v>
      </c>
      <c r="F278">
        <v>0</v>
      </c>
    </row>
    <row r="279" spans="1:6" x14ac:dyDescent="0.25">
      <c r="A279" t="s">
        <v>3329</v>
      </c>
      <c r="B279" t="s">
        <v>7097</v>
      </c>
      <c r="C279" t="s">
        <v>7098</v>
      </c>
      <c r="D279" t="s">
        <v>6745</v>
      </c>
      <c r="E279" t="s">
        <v>6809</v>
      </c>
      <c r="F279">
        <v>0</v>
      </c>
    </row>
    <row r="280" spans="1:6" x14ac:dyDescent="0.25">
      <c r="A280" t="s">
        <v>3329</v>
      </c>
      <c r="B280" t="s">
        <v>7095</v>
      </c>
      <c r="C280" t="s">
        <v>7096</v>
      </c>
      <c r="D280" t="s">
        <v>6745</v>
      </c>
      <c r="E280" t="s">
        <v>6809</v>
      </c>
      <c r="F280">
        <v>0</v>
      </c>
    </row>
    <row r="281" spans="1:6" x14ac:dyDescent="0.25">
      <c r="A281" t="s">
        <v>3329</v>
      </c>
      <c r="B281" t="s">
        <v>7092</v>
      </c>
      <c r="C281" t="s">
        <v>7093</v>
      </c>
      <c r="D281" t="s">
        <v>6745</v>
      </c>
      <c r="E281" t="s">
        <v>7094</v>
      </c>
      <c r="F281">
        <v>0</v>
      </c>
    </row>
    <row r="282" spans="1:6" x14ac:dyDescent="0.25">
      <c r="A282" t="s">
        <v>3329</v>
      </c>
      <c r="B282" t="s">
        <v>7002</v>
      </c>
      <c r="C282" t="s">
        <v>7003</v>
      </c>
      <c r="D282" t="s">
        <v>6745</v>
      </c>
      <c r="E282" t="s">
        <v>6777</v>
      </c>
      <c r="F282">
        <v>0</v>
      </c>
    </row>
    <row r="283" spans="1:6" x14ac:dyDescent="0.25">
      <c r="A283" t="s">
        <v>3329</v>
      </c>
      <c r="B283" t="s">
        <v>7000</v>
      </c>
      <c r="C283" t="s">
        <v>7001</v>
      </c>
      <c r="D283" t="s">
        <v>6745</v>
      </c>
      <c r="E283" t="s">
        <v>6814</v>
      </c>
      <c r="F283">
        <v>0</v>
      </c>
    </row>
    <row r="284" spans="1:6" x14ac:dyDescent="0.25">
      <c r="A284" t="s">
        <v>3329</v>
      </c>
      <c r="B284" t="s">
        <v>6998</v>
      </c>
      <c r="C284" t="s">
        <v>6999</v>
      </c>
      <c r="D284" t="s">
        <v>6745</v>
      </c>
      <c r="E284" t="s">
        <v>6814</v>
      </c>
      <c r="F284">
        <v>0</v>
      </c>
    </row>
    <row r="285" spans="1:6" x14ac:dyDescent="0.25">
      <c r="A285" t="s">
        <v>3329</v>
      </c>
      <c r="B285" t="s">
        <v>6996</v>
      </c>
      <c r="C285" t="s">
        <v>6997</v>
      </c>
      <c r="D285" t="s">
        <v>6745</v>
      </c>
      <c r="E285" t="s">
        <v>6814</v>
      </c>
      <c r="F285">
        <v>0</v>
      </c>
    </row>
    <row r="286" spans="1:6" x14ac:dyDescent="0.25">
      <c r="A286" t="s">
        <v>3329</v>
      </c>
      <c r="B286" t="s">
        <v>6994</v>
      </c>
      <c r="C286" t="s">
        <v>6995</v>
      </c>
      <c r="D286" t="s">
        <v>6745</v>
      </c>
      <c r="E286" t="s">
        <v>6814</v>
      </c>
      <c r="F286">
        <v>0</v>
      </c>
    </row>
    <row r="287" spans="1:6" x14ac:dyDescent="0.25">
      <c r="A287" t="s">
        <v>3329</v>
      </c>
      <c r="B287" t="s">
        <v>6992</v>
      </c>
      <c r="C287" t="s">
        <v>6993</v>
      </c>
      <c r="D287" t="s">
        <v>6745</v>
      </c>
      <c r="E287" t="s">
        <v>6814</v>
      </c>
      <c r="F287">
        <v>0</v>
      </c>
    </row>
    <row r="288" spans="1:6" x14ac:dyDescent="0.25">
      <c r="A288" t="s">
        <v>3329</v>
      </c>
      <c r="B288" t="s">
        <v>6990</v>
      </c>
      <c r="C288" t="s">
        <v>6991</v>
      </c>
      <c r="D288" t="s">
        <v>6745</v>
      </c>
      <c r="E288" t="s">
        <v>6814</v>
      </c>
      <c r="F288">
        <v>0</v>
      </c>
    </row>
    <row r="289" spans="1:6" x14ac:dyDescent="0.25">
      <c r="A289" t="s">
        <v>3329</v>
      </c>
      <c r="B289" t="s">
        <v>6988</v>
      </c>
      <c r="C289" t="s">
        <v>6989</v>
      </c>
      <c r="D289" t="s">
        <v>6745</v>
      </c>
      <c r="E289" t="s">
        <v>6814</v>
      </c>
      <c r="F289">
        <v>0</v>
      </c>
    </row>
    <row r="290" spans="1:6" x14ac:dyDescent="0.25">
      <c r="A290" t="s">
        <v>3329</v>
      </c>
      <c r="B290" t="s">
        <v>6986</v>
      </c>
      <c r="C290" t="s">
        <v>6987</v>
      </c>
      <c r="D290" t="s">
        <v>6745</v>
      </c>
      <c r="E290" t="s">
        <v>6814</v>
      </c>
      <c r="F290">
        <v>0</v>
      </c>
    </row>
    <row r="291" spans="1:6" x14ac:dyDescent="0.25">
      <c r="A291" t="s">
        <v>3329</v>
      </c>
      <c r="B291" t="s">
        <v>6984</v>
      </c>
      <c r="C291" t="s">
        <v>6985</v>
      </c>
      <c r="D291" t="s">
        <v>6745</v>
      </c>
      <c r="E291" t="s">
        <v>6814</v>
      </c>
      <c r="F291">
        <v>0</v>
      </c>
    </row>
    <row r="292" spans="1:6" x14ac:dyDescent="0.25">
      <c r="A292" t="s">
        <v>3329</v>
      </c>
      <c r="B292" t="s">
        <v>6982</v>
      </c>
      <c r="C292" t="s">
        <v>6983</v>
      </c>
      <c r="D292" t="s">
        <v>6745</v>
      </c>
      <c r="E292" t="s">
        <v>6814</v>
      </c>
      <c r="F292">
        <v>0</v>
      </c>
    </row>
    <row r="293" spans="1:6" x14ac:dyDescent="0.25">
      <c r="A293" t="s">
        <v>3329</v>
      </c>
      <c r="B293" t="s">
        <v>6980</v>
      </c>
      <c r="C293" t="s">
        <v>6981</v>
      </c>
      <c r="D293" t="s">
        <v>6745</v>
      </c>
      <c r="E293" t="s">
        <v>6814</v>
      </c>
      <c r="F293">
        <v>0</v>
      </c>
    </row>
    <row r="294" spans="1:6" x14ac:dyDescent="0.25">
      <c r="A294" t="s">
        <v>3329</v>
      </c>
      <c r="B294" t="s">
        <v>6978</v>
      </c>
      <c r="C294" t="s">
        <v>6979</v>
      </c>
      <c r="D294" t="s">
        <v>6745</v>
      </c>
      <c r="E294" t="s">
        <v>6814</v>
      </c>
      <c r="F294">
        <v>0</v>
      </c>
    </row>
    <row r="295" spans="1:6" x14ac:dyDescent="0.25">
      <c r="A295" t="s">
        <v>3329</v>
      </c>
      <c r="B295" t="s">
        <v>6976</v>
      </c>
      <c r="C295" t="s">
        <v>6977</v>
      </c>
      <c r="D295" t="s">
        <v>6745</v>
      </c>
      <c r="E295" t="s">
        <v>6814</v>
      </c>
      <c r="F295">
        <v>0</v>
      </c>
    </row>
    <row r="296" spans="1:6" x14ac:dyDescent="0.25">
      <c r="A296" t="s">
        <v>3329</v>
      </c>
      <c r="B296" t="s">
        <v>6974</v>
      </c>
      <c r="C296" t="s">
        <v>6975</v>
      </c>
      <c r="D296" t="s">
        <v>6745</v>
      </c>
      <c r="E296" t="s">
        <v>6814</v>
      </c>
      <c r="F296">
        <v>0</v>
      </c>
    </row>
    <row r="297" spans="1:6" x14ac:dyDescent="0.25">
      <c r="A297" t="s">
        <v>3329</v>
      </c>
      <c r="B297" t="s">
        <v>6972</v>
      </c>
      <c r="C297" t="s">
        <v>6973</v>
      </c>
      <c r="D297" t="s">
        <v>6745</v>
      </c>
      <c r="E297" t="s">
        <v>6814</v>
      </c>
      <c r="F297">
        <v>0</v>
      </c>
    </row>
    <row r="298" spans="1:6" x14ac:dyDescent="0.25">
      <c r="A298" t="s">
        <v>3329</v>
      </c>
      <c r="B298" t="s">
        <v>6970</v>
      </c>
      <c r="C298" t="s">
        <v>6971</v>
      </c>
      <c r="D298" t="s">
        <v>6745</v>
      </c>
      <c r="E298" t="s">
        <v>6814</v>
      </c>
      <c r="F298">
        <v>0</v>
      </c>
    </row>
    <row r="299" spans="1:6" x14ac:dyDescent="0.25">
      <c r="A299" t="s">
        <v>3329</v>
      </c>
      <c r="B299" t="s">
        <v>6968</v>
      </c>
      <c r="C299" t="s">
        <v>6969</v>
      </c>
      <c r="D299" t="s">
        <v>6745</v>
      </c>
      <c r="E299" t="s">
        <v>6814</v>
      </c>
      <c r="F299">
        <v>0</v>
      </c>
    </row>
    <row r="300" spans="1:6" x14ac:dyDescent="0.25">
      <c r="A300" t="s">
        <v>3329</v>
      </c>
      <c r="B300" t="s">
        <v>6966</v>
      </c>
      <c r="C300" t="s">
        <v>6967</v>
      </c>
      <c r="D300" t="s">
        <v>6745</v>
      </c>
      <c r="E300" t="s">
        <v>6814</v>
      </c>
      <c r="F300">
        <v>0</v>
      </c>
    </row>
    <row r="301" spans="1:6" x14ac:dyDescent="0.25">
      <c r="A301" t="s">
        <v>3329</v>
      </c>
      <c r="B301" t="s">
        <v>6964</v>
      </c>
      <c r="C301" t="s">
        <v>6965</v>
      </c>
      <c r="D301" t="s">
        <v>6745</v>
      </c>
      <c r="E301" t="s">
        <v>6814</v>
      </c>
      <c r="F301">
        <v>0</v>
      </c>
    </row>
    <row r="302" spans="1:6" x14ac:dyDescent="0.25">
      <c r="A302" t="s">
        <v>3329</v>
      </c>
      <c r="B302" t="s">
        <v>6962</v>
      </c>
      <c r="C302" t="s">
        <v>6963</v>
      </c>
      <c r="D302" t="s">
        <v>6745</v>
      </c>
      <c r="E302" t="s">
        <v>6814</v>
      </c>
      <c r="F302">
        <v>0</v>
      </c>
    </row>
    <row r="303" spans="1:6" x14ac:dyDescent="0.25">
      <c r="A303" t="s">
        <v>3329</v>
      </c>
      <c r="B303" t="s">
        <v>6960</v>
      </c>
      <c r="C303" t="s">
        <v>6961</v>
      </c>
      <c r="D303" t="s">
        <v>6745</v>
      </c>
      <c r="E303" t="s">
        <v>6814</v>
      </c>
      <c r="F303">
        <v>0</v>
      </c>
    </row>
    <row r="304" spans="1:6" x14ac:dyDescent="0.25">
      <c r="A304" t="s">
        <v>3329</v>
      </c>
      <c r="B304" t="s">
        <v>6958</v>
      </c>
      <c r="C304" t="s">
        <v>6959</v>
      </c>
      <c r="D304" t="s">
        <v>6745</v>
      </c>
      <c r="E304" t="s">
        <v>6814</v>
      </c>
      <c r="F304">
        <v>0</v>
      </c>
    </row>
    <row r="305" spans="1:6" x14ac:dyDescent="0.25">
      <c r="A305" t="s">
        <v>3329</v>
      </c>
      <c r="B305" t="s">
        <v>6956</v>
      </c>
      <c r="C305" t="s">
        <v>6957</v>
      </c>
      <c r="D305" t="s">
        <v>6745</v>
      </c>
      <c r="E305" t="s">
        <v>6814</v>
      </c>
      <c r="F305">
        <v>0</v>
      </c>
    </row>
    <row r="306" spans="1:6" x14ac:dyDescent="0.25">
      <c r="A306" t="s">
        <v>3329</v>
      </c>
      <c r="B306" t="s">
        <v>6954</v>
      </c>
      <c r="C306" t="s">
        <v>6955</v>
      </c>
      <c r="D306" t="s">
        <v>6745</v>
      </c>
      <c r="E306" t="s">
        <v>6814</v>
      </c>
      <c r="F306">
        <v>0</v>
      </c>
    </row>
    <row r="307" spans="1:6" x14ac:dyDescent="0.25">
      <c r="A307" t="s">
        <v>3329</v>
      </c>
      <c r="B307" t="s">
        <v>6952</v>
      </c>
      <c r="C307" t="s">
        <v>6953</v>
      </c>
      <c r="D307" t="s">
        <v>6745</v>
      </c>
      <c r="E307" t="s">
        <v>6777</v>
      </c>
      <c r="F307">
        <v>0</v>
      </c>
    </row>
    <row r="308" spans="1:6" x14ac:dyDescent="0.25">
      <c r="A308" t="s">
        <v>3329</v>
      </c>
      <c r="B308" t="s">
        <v>6950</v>
      </c>
      <c r="C308" t="s">
        <v>6951</v>
      </c>
      <c r="D308" t="s">
        <v>6745</v>
      </c>
      <c r="E308" t="s">
        <v>6777</v>
      </c>
      <c r="F308">
        <v>0</v>
      </c>
    </row>
    <row r="309" spans="1:6" x14ac:dyDescent="0.25">
      <c r="A309" t="s">
        <v>3329</v>
      </c>
      <c r="B309" t="s">
        <v>6948</v>
      </c>
      <c r="C309" t="s">
        <v>6949</v>
      </c>
      <c r="D309" t="s">
        <v>6745</v>
      </c>
      <c r="E309" t="s">
        <v>6777</v>
      </c>
      <c r="F309">
        <v>0</v>
      </c>
    </row>
    <row r="310" spans="1:6" x14ac:dyDescent="0.25">
      <c r="A310" t="s">
        <v>3329</v>
      </c>
      <c r="B310" t="s">
        <v>6946</v>
      </c>
      <c r="C310" t="s">
        <v>6947</v>
      </c>
      <c r="D310" t="s">
        <v>6745</v>
      </c>
      <c r="E310" t="s">
        <v>6777</v>
      </c>
      <c r="F310">
        <v>0</v>
      </c>
    </row>
    <row r="311" spans="1:6" x14ac:dyDescent="0.25">
      <c r="A311" t="s">
        <v>3329</v>
      </c>
      <c r="B311" t="s">
        <v>6944</v>
      </c>
      <c r="C311" t="s">
        <v>6945</v>
      </c>
      <c r="D311" t="s">
        <v>6745</v>
      </c>
      <c r="E311" t="s">
        <v>6777</v>
      </c>
      <c r="F311">
        <v>0</v>
      </c>
    </row>
    <row r="312" spans="1:6" x14ac:dyDescent="0.25">
      <c r="A312" t="s">
        <v>3329</v>
      </c>
      <c r="B312" t="s">
        <v>6942</v>
      </c>
      <c r="C312" t="s">
        <v>6943</v>
      </c>
      <c r="D312" t="s">
        <v>6745</v>
      </c>
      <c r="E312" t="s">
        <v>6814</v>
      </c>
      <c r="F312">
        <v>0</v>
      </c>
    </row>
    <row r="313" spans="1:6" x14ac:dyDescent="0.25">
      <c r="A313" t="s">
        <v>3329</v>
      </c>
      <c r="B313" t="s">
        <v>6940</v>
      </c>
      <c r="C313" t="s">
        <v>6941</v>
      </c>
      <c r="D313" t="s">
        <v>6745</v>
      </c>
      <c r="E313" t="s">
        <v>6814</v>
      </c>
      <c r="F313">
        <v>0</v>
      </c>
    </row>
    <row r="314" spans="1:6" x14ac:dyDescent="0.25">
      <c r="A314" t="s">
        <v>3329</v>
      </c>
      <c r="B314" t="s">
        <v>6938</v>
      </c>
      <c r="C314" t="s">
        <v>6939</v>
      </c>
      <c r="D314" t="s">
        <v>6745</v>
      </c>
      <c r="E314" t="s">
        <v>6814</v>
      </c>
      <c r="F314">
        <v>0</v>
      </c>
    </row>
    <row r="315" spans="1:6" x14ac:dyDescent="0.25">
      <c r="A315" t="s">
        <v>3329</v>
      </c>
      <c r="B315" t="s">
        <v>6936</v>
      </c>
      <c r="C315" t="s">
        <v>6937</v>
      </c>
      <c r="D315" t="s">
        <v>6745</v>
      </c>
      <c r="E315" t="s">
        <v>6814</v>
      </c>
      <c r="F315">
        <v>0</v>
      </c>
    </row>
    <row r="316" spans="1:6" x14ac:dyDescent="0.25">
      <c r="A316" t="s">
        <v>3329</v>
      </c>
      <c r="B316" t="s">
        <v>6934</v>
      </c>
      <c r="C316" t="s">
        <v>6935</v>
      </c>
      <c r="D316" t="s">
        <v>6745</v>
      </c>
      <c r="E316" t="s">
        <v>6814</v>
      </c>
      <c r="F316">
        <v>0</v>
      </c>
    </row>
    <row r="317" spans="1:6" x14ac:dyDescent="0.25">
      <c r="A317" t="s">
        <v>3329</v>
      </c>
      <c r="B317" t="s">
        <v>6932</v>
      </c>
      <c r="C317" t="s">
        <v>6933</v>
      </c>
      <c r="D317" t="s">
        <v>6745</v>
      </c>
      <c r="E317" t="s">
        <v>6814</v>
      </c>
      <c r="F317">
        <v>0</v>
      </c>
    </row>
    <row r="318" spans="1:6" x14ac:dyDescent="0.25">
      <c r="A318" t="s">
        <v>3329</v>
      </c>
      <c r="B318" t="s">
        <v>6930</v>
      </c>
      <c r="C318" t="s">
        <v>6931</v>
      </c>
      <c r="D318" t="s">
        <v>6745</v>
      </c>
      <c r="E318" t="s">
        <v>6814</v>
      </c>
      <c r="F318">
        <v>0</v>
      </c>
    </row>
    <row r="319" spans="1:6" x14ac:dyDescent="0.25">
      <c r="A319" t="s">
        <v>3329</v>
      </c>
      <c r="B319" t="s">
        <v>6928</v>
      </c>
      <c r="C319" t="s">
        <v>6929</v>
      </c>
      <c r="D319" t="s">
        <v>6745</v>
      </c>
      <c r="E319" t="s">
        <v>6814</v>
      </c>
      <c r="F319">
        <v>0</v>
      </c>
    </row>
    <row r="320" spans="1:6" x14ac:dyDescent="0.25">
      <c r="A320" t="s">
        <v>3329</v>
      </c>
      <c r="B320" t="s">
        <v>6926</v>
      </c>
      <c r="C320" t="s">
        <v>6927</v>
      </c>
      <c r="D320" t="s">
        <v>6745</v>
      </c>
      <c r="E320" t="s">
        <v>6814</v>
      </c>
      <c r="F320">
        <v>0</v>
      </c>
    </row>
    <row r="321" spans="1:6" x14ac:dyDescent="0.25">
      <c r="A321" t="s">
        <v>3329</v>
      </c>
      <c r="B321" t="s">
        <v>6924</v>
      </c>
      <c r="C321" t="s">
        <v>6925</v>
      </c>
      <c r="D321" t="s">
        <v>6745</v>
      </c>
      <c r="E321" t="s">
        <v>6814</v>
      </c>
      <c r="F321">
        <v>0</v>
      </c>
    </row>
    <row r="322" spans="1:6" x14ac:dyDescent="0.25">
      <c r="A322" t="s">
        <v>3329</v>
      </c>
      <c r="B322" t="s">
        <v>6922</v>
      </c>
      <c r="C322" t="s">
        <v>6923</v>
      </c>
      <c r="D322" t="s">
        <v>6745</v>
      </c>
      <c r="E322" t="s">
        <v>6814</v>
      </c>
      <c r="F322">
        <v>0</v>
      </c>
    </row>
    <row r="323" spans="1:6" x14ac:dyDescent="0.25">
      <c r="A323" t="s">
        <v>3329</v>
      </c>
      <c r="B323" t="s">
        <v>6920</v>
      </c>
      <c r="C323" t="s">
        <v>6921</v>
      </c>
      <c r="D323" t="s">
        <v>6745</v>
      </c>
      <c r="E323" t="s">
        <v>6814</v>
      </c>
      <c r="F323">
        <v>0</v>
      </c>
    </row>
    <row r="324" spans="1:6" x14ac:dyDescent="0.25">
      <c r="A324" t="s">
        <v>3329</v>
      </c>
      <c r="B324" t="s">
        <v>6918</v>
      </c>
      <c r="C324" t="s">
        <v>6919</v>
      </c>
      <c r="D324" t="s">
        <v>6745</v>
      </c>
      <c r="E324" t="s">
        <v>6814</v>
      </c>
      <c r="F324">
        <v>0</v>
      </c>
    </row>
    <row r="325" spans="1:6" x14ac:dyDescent="0.25">
      <c r="A325" t="s">
        <v>3329</v>
      </c>
      <c r="B325" t="s">
        <v>6916</v>
      </c>
      <c r="C325" t="s">
        <v>6917</v>
      </c>
      <c r="D325" t="s">
        <v>6745</v>
      </c>
      <c r="E325" t="s">
        <v>6814</v>
      </c>
      <c r="F325">
        <v>0</v>
      </c>
    </row>
    <row r="326" spans="1:6" x14ac:dyDescent="0.25">
      <c r="A326" t="s">
        <v>3329</v>
      </c>
      <c r="B326" t="s">
        <v>6914</v>
      </c>
      <c r="C326" t="s">
        <v>6915</v>
      </c>
      <c r="D326" t="s">
        <v>6745</v>
      </c>
      <c r="E326" t="s">
        <v>6814</v>
      </c>
      <c r="F326">
        <v>0</v>
      </c>
    </row>
    <row r="327" spans="1:6" x14ac:dyDescent="0.25">
      <c r="A327" t="s">
        <v>3329</v>
      </c>
      <c r="B327" t="s">
        <v>6912</v>
      </c>
      <c r="C327" t="s">
        <v>6913</v>
      </c>
      <c r="D327" t="s">
        <v>6745</v>
      </c>
      <c r="E327" t="s">
        <v>6814</v>
      </c>
      <c r="F327">
        <v>0</v>
      </c>
    </row>
    <row r="328" spans="1:6" x14ac:dyDescent="0.25">
      <c r="A328" t="s">
        <v>3329</v>
      </c>
      <c r="B328" t="s">
        <v>6910</v>
      </c>
      <c r="C328" t="s">
        <v>6911</v>
      </c>
      <c r="D328" t="s">
        <v>6745</v>
      </c>
      <c r="E328" t="s">
        <v>6814</v>
      </c>
      <c r="F328">
        <v>0</v>
      </c>
    </row>
    <row r="329" spans="1:6" x14ac:dyDescent="0.25">
      <c r="A329" t="s">
        <v>3329</v>
      </c>
      <c r="B329" t="s">
        <v>6908</v>
      </c>
      <c r="C329" t="s">
        <v>6909</v>
      </c>
    </row>
    <row r="331" spans="1:6" x14ac:dyDescent="0.25">
      <c r="B331" t="s">
        <v>6745</v>
      </c>
      <c r="C331" t="s">
        <v>6814</v>
      </c>
      <c r="D331">
        <v>0</v>
      </c>
    </row>
    <row r="332" spans="1:6" x14ac:dyDescent="0.25">
      <c r="A332" t="s">
        <v>3329</v>
      </c>
      <c r="B332" t="s">
        <v>6905</v>
      </c>
      <c r="C332" t="s">
        <v>6906</v>
      </c>
    </row>
    <row r="334" spans="1:6" x14ac:dyDescent="0.25">
      <c r="A334" t="s">
        <v>6907</v>
      </c>
      <c r="B334" t="s">
        <v>6745</v>
      </c>
      <c r="C334" t="s">
        <v>6814</v>
      </c>
      <c r="D334">
        <v>0</v>
      </c>
    </row>
    <row r="335" spans="1:6" x14ac:dyDescent="0.25">
      <c r="A335" t="s">
        <v>3329</v>
      </c>
      <c r="B335" t="s">
        <v>6903</v>
      </c>
      <c r="C335" t="s">
        <v>6904</v>
      </c>
      <c r="D335" t="s">
        <v>6745</v>
      </c>
      <c r="E335" t="s">
        <v>6814</v>
      </c>
      <c r="F335">
        <v>0</v>
      </c>
    </row>
    <row r="336" spans="1:6" x14ac:dyDescent="0.25">
      <c r="A336" t="s">
        <v>3329</v>
      </c>
      <c r="B336" t="s">
        <v>6901</v>
      </c>
      <c r="C336" t="s">
        <v>6902</v>
      </c>
      <c r="D336" t="s">
        <v>6745</v>
      </c>
      <c r="E336" t="s">
        <v>6814</v>
      </c>
      <c r="F336">
        <v>0</v>
      </c>
    </row>
    <row r="337" spans="1:6" x14ac:dyDescent="0.25">
      <c r="A337" t="s">
        <v>3329</v>
      </c>
      <c r="B337" t="s">
        <v>6899</v>
      </c>
      <c r="C337" t="s">
        <v>6900</v>
      </c>
      <c r="D337" t="s">
        <v>6745</v>
      </c>
      <c r="E337" t="s">
        <v>6814</v>
      </c>
      <c r="F337">
        <v>0</v>
      </c>
    </row>
    <row r="338" spans="1:6" x14ac:dyDescent="0.25">
      <c r="A338" t="s">
        <v>3329</v>
      </c>
      <c r="B338" t="s">
        <v>6897</v>
      </c>
      <c r="C338" t="s">
        <v>6898</v>
      </c>
      <c r="D338" t="s">
        <v>6745</v>
      </c>
      <c r="E338" t="s">
        <v>6814</v>
      </c>
      <c r="F338">
        <v>0</v>
      </c>
    </row>
    <row r="339" spans="1:6" x14ac:dyDescent="0.25">
      <c r="A339" t="s">
        <v>3329</v>
      </c>
      <c r="B339" t="s">
        <v>6895</v>
      </c>
      <c r="C339" t="s">
        <v>6896</v>
      </c>
      <c r="D339" t="s">
        <v>6745</v>
      </c>
      <c r="E339" t="s">
        <v>6814</v>
      </c>
      <c r="F339">
        <v>0</v>
      </c>
    </row>
    <row r="340" spans="1:6" x14ac:dyDescent="0.25">
      <c r="A340" t="s">
        <v>3329</v>
      </c>
      <c r="B340" t="s">
        <v>6893</v>
      </c>
      <c r="C340" t="s">
        <v>6894</v>
      </c>
      <c r="D340" t="s">
        <v>6745</v>
      </c>
      <c r="E340" t="s">
        <v>6814</v>
      </c>
      <c r="F340">
        <v>0</v>
      </c>
    </row>
    <row r="341" spans="1:6" x14ac:dyDescent="0.25">
      <c r="A341" t="s">
        <v>3329</v>
      </c>
      <c r="B341" t="s">
        <v>6891</v>
      </c>
      <c r="C341" t="s">
        <v>6892</v>
      </c>
      <c r="D341" t="s">
        <v>6745</v>
      </c>
      <c r="E341" t="s">
        <v>6814</v>
      </c>
      <c r="F341">
        <v>0</v>
      </c>
    </row>
    <row r="342" spans="1:6" x14ac:dyDescent="0.25">
      <c r="A342" t="s">
        <v>3329</v>
      </c>
      <c r="B342" t="s">
        <v>6889</v>
      </c>
      <c r="C342" t="s">
        <v>6890</v>
      </c>
      <c r="D342" t="s">
        <v>6745</v>
      </c>
      <c r="E342" t="s">
        <v>6814</v>
      </c>
      <c r="F342">
        <v>0</v>
      </c>
    </row>
    <row r="343" spans="1:6" x14ac:dyDescent="0.25">
      <c r="A343" t="s">
        <v>3329</v>
      </c>
      <c r="B343" t="s">
        <v>6887</v>
      </c>
      <c r="C343" t="s">
        <v>6888</v>
      </c>
      <c r="D343" t="s">
        <v>6745</v>
      </c>
      <c r="E343" t="s">
        <v>6814</v>
      </c>
      <c r="F343">
        <v>0</v>
      </c>
    </row>
    <row r="344" spans="1:6" x14ac:dyDescent="0.25">
      <c r="A344" t="s">
        <v>3329</v>
      </c>
      <c r="B344" t="s">
        <v>6885</v>
      </c>
      <c r="C344" t="s">
        <v>6886</v>
      </c>
      <c r="D344" t="s">
        <v>6745</v>
      </c>
      <c r="E344" t="s">
        <v>6814</v>
      </c>
      <c r="F344">
        <v>0</v>
      </c>
    </row>
    <row r="345" spans="1:6" x14ac:dyDescent="0.25">
      <c r="A345" t="s">
        <v>3329</v>
      </c>
      <c r="B345" t="s">
        <v>6883</v>
      </c>
      <c r="C345" t="s">
        <v>6884</v>
      </c>
      <c r="D345" t="s">
        <v>6745</v>
      </c>
      <c r="E345" t="s">
        <v>6814</v>
      </c>
      <c r="F345">
        <v>0</v>
      </c>
    </row>
    <row r="346" spans="1:6" x14ac:dyDescent="0.25">
      <c r="A346" t="s">
        <v>3329</v>
      </c>
      <c r="B346" t="s">
        <v>6881</v>
      </c>
      <c r="C346" t="s">
        <v>6882</v>
      </c>
      <c r="D346" t="s">
        <v>6745</v>
      </c>
      <c r="E346" t="s">
        <v>6814</v>
      </c>
      <c r="F346">
        <v>0</v>
      </c>
    </row>
    <row r="347" spans="1:6" x14ac:dyDescent="0.25">
      <c r="A347" t="s">
        <v>3329</v>
      </c>
      <c r="B347" t="s">
        <v>6879</v>
      </c>
      <c r="C347" t="s">
        <v>6880</v>
      </c>
      <c r="D347" t="s">
        <v>6745</v>
      </c>
      <c r="E347" t="s">
        <v>6814</v>
      </c>
      <c r="F347">
        <v>0</v>
      </c>
    </row>
    <row r="348" spans="1:6" x14ac:dyDescent="0.25">
      <c r="A348" t="s">
        <v>3329</v>
      </c>
      <c r="B348" t="s">
        <v>6877</v>
      </c>
      <c r="C348" t="s">
        <v>6878</v>
      </c>
      <c r="D348" t="s">
        <v>6745</v>
      </c>
      <c r="E348" t="s">
        <v>6814</v>
      </c>
      <c r="F348">
        <v>0</v>
      </c>
    </row>
    <row r="349" spans="1:6" x14ac:dyDescent="0.25">
      <c r="A349" t="s">
        <v>3329</v>
      </c>
      <c r="B349" t="s">
        <v>6875</v>
      </c>
      <c r="C349" t="s">
        <v>6876</v>
      </c>
      <c r="D349" t="s">
        <v>6745</v>
      </c>
      <c r="E349" t="s">
        <v>6814</v>
      </c>
      <c r="F349">
        <v>0</v>
      </c>
    </row>
    <row r="350" spans="1:6" x14ac:dyDescent="0.25">
      <c r="A350" t="s">
        <v>3329</v>
      </c>
      <c r="B350" t="s">
        <v>6873</v>
      </c>
      <c r="C350" t="s">
        <v>6874</v>
      </c>
      <c r="D350" t="s">
        <v>6745</v>
      </c>
      <c r="E350" t="s">
        <v>6814</v>
      </c>
      <c r="F350">
        <v>0</v>
      </c>
    </row>
    <row r="351" spans="1:6" x14ac:dyDescent="0.25">
      <c r="A351" t="s">
        <v>3329</v>
      </c>
      <c r="B351" t="s">
        <v>6871</v>
      </c>
      <c r="C351" t="s">
        <v>6872</v>
      </c>
      <c r="D351" t="s">
        <v>6745</v>
      </c>
      <c r="E351" t="s">
        <v>6814</v>
      </c>
      <c r="F351">
        <v>0</v>
      </c>
    </row>
    <row r="352" spans="1:6" x14ac:dyDescent="0.25">
      <c r="A352" t="s">
        <v>3329</v>
      </c>
      <c r="B352" t="s">
        <v>6869</v>
      </c>
      <c r="C352" t="s">
        <v>6870</v>
      </c>
      <c r="D352" t="s">
        <v>6745</v>
      </c>
      <c r="E352" t="s">
        <v>6814</v>
      </c>
      <c r="F352">
        <v>0</v>
      </c>
    </row>
    <row r="353" spans="1:6" x14ac:dyDescent="0.25">
      <c r="A353" t="s">
        <v>3329</v>
      </c>
      <c r="B353" t="s">
        <v>6867</v>
      </c>
      <c r="C353" t="s">
        <v>6868</v>
      </c>
      <c r="D353" t="s">
        <v>6745</v>
      </c>
      <c r="E353" t="s">
        <v>6814</v>
      </c>
      <c r="F353">
        <v>0</v>
      </c>
    </row>
    <row r="354" spans="1:6" x14ac:dyDescent="0.25">
      <c r="A354" t="s">
        <v>3329</v>
      </c>
      <c r="B354" t="s">
        <v>6865</v>
      </c>
      <c r="C354" t="s">
        <v>6866</v>
      </c>
      <c r="D354" t="s">
        <v>6745</v>
      </c>
      <c r="E354" t="s">
        <v>6814</v>
      </c>
      <c r="F354">
        <v>0</v>
      </c>
    </row>
    <row r="355" spans="1:6" x14ac:dyDescent="0.25">
      <c r="A355" t="s">
        <v>3329</v>
      </c>
      <c r="B355" t="s">
        <v>6863</v>
      </c>
      <c r="C355" t="s">
        <v>6864</v>
      </c>
      <c r="D355" t="s">
        <v>6745</v>
      </c>
      <c r="E355" t="s">
        <v>6814</v>
      </c>
      <c r="F355">
        <v>0</v>
      </c>
    </row>
    <row r="356" spans="1:6" x14ac:dyDescent="0.25">
      <c r="A356" t="s">
        <v>3329</v>
      </c>
      <c r="B356" t="s">
        <v>6861</v>
      </c>
      <c r="C356" t="s">
        <v>6862</v>
      </c>
      <c r="D356" t="s">
        <v>6745</v>
      </c>
      <c r="E356" t="s">
        <v>6814</v>
      </c>
      <c r="F356">
        <v>0</v>
      </c>
    </row>
    <row r="357" spans="1:6" x14ac:dyDescent="0.25">
      <c r="A357" t="s">
        <v>3329</v>
      </c>
      <c r="B357" t="s">
        <v>6859</v>
      </c>
      <c r="C357" t="s">
        <v>6860</v>
      </c>
      <c r="D357" t="s">
        <v>6745</v>
      </c>
      <c r="E357" t="s">
        <v>6814</v>
      </c>
      <c r="F357">
        <v>0</v>
      </c>
    </row>
    <row r="358" spans="1:6" x14ac:dyDescent="0.25">
      <c r="A358" t="s">
        <v>3329</v>
      </c>
      <c r="B358" t="s">
        <v>6857</v>
      </c>
      <c r="C358" t="s">
        <v>6858</v>
      </c>
      <c r="D358" t="s">
        <v>6745</v>
      </c>
      <c r="E358" t="s">
        <v>6814</v>
      </c>
      <c r="F358">
        <v>0</v>
      </c>
    </row>
    <row r="359" spans="1:6" x14ac:dyDescent="0.25">
      <c r="A359" t="s">
        <v>3329</v>
      </c>
      <c r="B359" t="s">
        <v>6855</v>
      </c>
      <c r="C359" t="s">
        <v>6856</v>
      </c>
      <c r="D359" t="s">
        <v>6745</v>
      </c>
      <c r="E359" t="s">
        <v>6814</v>
      </c>
      <c r="F359">
        <v>0</v>
      </c>
    </row>
    <row r="360" spans="1:6" x14ac:dyDescent="0.25">
      <c r="A360" t="s">
        <v>3329</v>
      </c>
      <c r="B360" t="s">
        <v>6853</v>
      </c>
      <c r="C360" t="s">
        <v>6854</v>
      </c>
      <c r="D360" t="s">
        <v>6745</v>
      </c>
      <c r="E360" t="s">
        <v>6814</v>
      </c>
      <c r="F360">
        <v>0</v>
      </c>
    </row>
    <row r="361" spans="1:6" x14ac:dyDescent="0.25">
      <c r="A361" t="s">
        <v>3329</v>
      </c>
      <c r="B361" t="s">
        <v>6851</v>
      </c>
      <c r="C361" t="s">
        <v>6852</v>
      </c>
      <c r="D361" t="s">
        <v>6745</v>
      </c>
      <c r="E361" t="s">
        <v>6814</v>
      </c>
      <c r="F361">
        <v>0</v>
      </c>
    </row>
    <row r="362" spans="1:6" x14ac:dyDescent="0.25">
      <c r="A362" t="s">
        <v>3329</v>
      </c>
      <c r="B362" t="s">
        <v>6849</v>
      </c>
      <c r="C362" t="s">
        <v>6850</v>
      </c>
      <c r="D362" t="s">
        <v>6745</v>
      </c>
      <c r="E362" t="s">
        <v>6814</v>
      </c>
      <c r="F362">
        <v>0</v>
      </c>
    </row>
    <row r="363" spans="1:6" x14ac:dyDescent="0.25">
      <c r="A363" t="s">
        <v>3329</v>
      </c>
      <c r="B363" t="s">
        <v>6847</v>
      </c>
      <c r="C363" t="s">
        <v>6848</v>
      </c>
      <c r="D363" t="s">
        <v>6745</v>
      </c>
      <c r="E363" t="s">
        <v>6814</v>
      </c>
      <c r="F363">
        <v>0</v>
      </c>
    </row>
    <row r="364" spans="1:6" x14ac:dyDescent="0.25">
      <c r="A364" t="s">
        <v>3329</v>
      </c>
      <c r="B364" t="s">
        <v>6845</v>
      </c>
      <c r="C364" t="s">
        <v>6846</v>
      </c>
      <c r="D364" t="s">
        <v>6745</v>
      </c>
      <c r="E364" t="s">
        <v>6814</v>
      </c>
      <c r="F364">
        <v>0</v>
      </c>
    </row>
    <row r="365" spans="1:6" x14ac:dyDescent="0.25">
      <c r="A365" t="s">
        <v>3329</v>
      </c>
      <c r="B365" t="s">
        <v>6843</v>
      </c>
      <c r="C365" t="s">
        <v>6844</v>
      </c>
      <c r="D365" t="s">
        <v>6745</v>
      </c>
      <c r="E365" t="s">
        <v>6814</v>
      </c>
      <c r="F365">
        <v>0</v>
      </c>
    </row>
    <row r="366" spans="1:6" x14ac:dyDescent="0.25">
      <c r="A366" t="s">
        <v>3329</v>
      </c>
      <c r="B366" t="s">
        <v>6841</v>
      </c>
      <c r="C366" t="s">
        <v>6842</v>
      </c>
      <c r="D366" t="s">
        <v>6745</v>
      </c>
      <c r="E366" t="s">
        <v>6814</v>
      </c>
      <c r="F366">
        <v>0</v>
      </c>
    </row>
    <row r="367" spans="1:6" x14ac:dyDescent="0.25">
      <c r="A367" t="s">
        <v>3329</v>
      </c>
      <c r="B367" t="s">
        <v>6839</v>
      </c>
      <c r="C367" t="s">
        <v>6840</v>
      </c>
      <c r="D367" t="s">
        <v>6745</v>
      </c>
      <c r="E367" t="s">
        <v>6814</v>
      </c>
      <c r="F367">
        <v>0</v>
      </c>
    </row>
    <row r="368" spans="1:6" x14ac:dyDescent="0.25">
      <c r="A368" t="s">
        <v>3329</v>
      </c>
      <c r="B368" t="s">
        <v>6837</v>
      </c>
      <c r="C368" t="s">
        <v>6838</v>
      </c>
      <c r="D368" t="s">
        <v>6745</v>
      </c>
      <c r="E368" t="s">
        <v>6814</v>
      </c>
      <c r="F368">
        <v>0</v>
      </c>
    </row>
    <row r="369" spans="1:6" x14ac:dyDescent="0.25">
      <c r="A369" t="s">
        <v>3329</v>
      </c>
      <c r="B369" t="s">
        <v>6835</v>
      </c>
      <c r="C369" t="s">
        <v>6836</v>
      </c>
      <c r="D369" t="s">
        <v>6745</v>
      </c>
      <c r="E369" t="s">
        <v>6814</v>
      </c>
      <c r="F369">
        <v>0</v>
      </c>
    </row>
    <row r="370" spans="1:6" x14ac:dyDescent="0.25">
      <c r="A370" t="s">
        <v>3329</v>
      </c>
      <c r="B370" t="s">
        <v>6833</v>
      </c>
      <c r="C370" t="s">
        <v>6834</v>
      </c>
      <c r="D370" t="s">
        <v>6745</v>
      </c>
      <c r="E370" t="s">
        <v>6814</v>
      </c>
      <c r="F370">
        <v>0</v>
      </c>
    </row>
    <row r="371" spans="1:6" x14ac:dyDescent="0.25">
      <c r="A371" t="s">
        <v>3329</v>
      </c>
      <c r="B371" t="s">
        <v>6831</v>
      </c>
      <c r="C371" t="s">
        <v>6832</v>
      </c>
      <c r="D371" t="s">
        <v>6745</v>
      </c>
      <c r="E371" t="s">
        <v>6814</v>
      </c>
      <c r="F371">
        <v>0</v>
      </c>
    </row>
    <row r="372" spans="1:6" x14ac:dyDescent="0.25">
      <c r="A372" t="s">
        <v>3329</v>
      </c>
      <c r="B372" t="s">
        <v>6829</v>
      </c>
      <c r="C372" t="s">
        <v>6830</v>
      </c>
      <c r="D372" t="s">
        <v>6745</v>
      </c>
      <c r="E372" t="s">
        <v>6814</v>
      </c>
      <c r="F372">
        <v>0</v>
      </c>
    </row>
    <row r="373" spans="1:6" x14ac:dyDescent="0.25">
      <c r="A373" t="s">
        <v>3329</v>
      </c>
      <c r="B373" t="s">
        <v>6827</v>
      </c>
      <c r="C373" t="s">
        <v>6828</v>
      </c>
      <c r="D373" t="s">
        <v>6745</v>
      </c>
      <c r="E373" t="s">
        <v>6814</v>
      </c>
      <c r="F373">
        <v>0</v>
      </c>
    </row>
    <row r="374" spans="1:6" x14ac:dyDescent="0.25">
      <c r="A374" t="s">
        <v>3329</v>
      </c>
      <c r="B374" t="s">
        <v>6825</v>
      </c>
      <c r="C374" t="s">
        <v>6826</v>
      </c>
      <c r="D374" t="s">
        <v>6745</v>
      </c>
      <c r="E374" t="s">
        <v>6814</v>
      </c>
      <c r="F374">
        <v>0</v>
      </c>
    </row>
    <row r="375" spans="1:6" x14ac:dyDescent="0.25">
      <c r="A375" t="s">
        <v>3329</v>
      </c>
      <c r="B375" t="s">
        <v>6823</v>
      </c>
      <c r="C375" t="s">
        <v>6824</v>
      </c>
      <c r="D375" t="s">
        <v>6745</v>
      </c>
      <c r="E375" t="s">
        <v>6814</v>
      </c>
      <c r="F375">
        <v>0</v>
      </c>
    </row>
    <row r="376" spans="1:6" x14ac:dyDescent="0.25">
      <c r="A376" t="s">
        <v>3329</v>
      </c>
      <c r="B376" t="s">
        <v>6821</v>
      </c>
      <c r="C376" t="s">
        <v>6822</v>
      </c>
      <c r="D376" t="s">
        <v>6745</v>
      </c>
      <c r="E376" t="s">
        <v>6814</v>
      </c>
      <c r="F376">
        <v>0</v>
      </c>
    </row>
    <row r="377" spans="1:6" x14ac:dyDescent="0.25">
      <c r="A377" t="s">
        <v>3329</v>
      </c>
      <c r="B377" t="s">
        <v>6819</v>
      </c>
      <c r="C377" t="s">
        <v>6820</v>
      </c>
      <c r="D377" t="s">
        <v>6745</v>
      </c>
      <c r="E377" t="s">
        <v>6814</v>
      </c>
      <c r="F377">
        <v>0</v>
      </c>
    </row>
    <row r="378" spans="1:6" x14ac:dyDescent="0.25">
      <c r="A378" t="s">
        <v>3329</v>
      </c>
      <c r="B378" t="s">
        <v>6817</v>
      </c>
      <c r="C378" t="s">
        <v>6818</v>
      </c>
      <c r="D378" t="s">
        <v>6745</v>
      </c>
      <c r="E378" t="s">
        <v>6814</v>
      </c>
      <c r="F378">
        <v>0</v>
      </c>
    </row>
    <row r="379" spans="1:6" x14ac:dyDescent="0.25">
      <c r="A379" t="s">
        <v>3329</v>
      </c>
      <c r="B379" t="s">
        <v>6815</v>
      </c>
      <c r="C379" t="s">
        <v>6816</v>
      </c>
      <c r="D379" t="s">
        <v>6745</v>
      </c>
      <c r="E379" t="s">
        <v>6814</v>
      </c>
      <c r="F379">
        <v>0</v>
      </c>
    </row>
    <row r="380" spans="1:6" x14ac:dyDescent="0.25">
      <c r="A380" t="s">
        <v>3329</v>
      </c>
      <c r="B380" t="s">
        <v>6812</v>
      </c>
      <c r="C380" t="s">
        <v>6813</v>
      </c>
      <c r="D380" t="s">
        <v>6745</v>
      </c>
      <c r="E380" t="s">
        <v>6814</v>
      </c>
      <c r="F380">
        <v>0</v>
      </c>
    </row>
    <row r="381" spans="1:6" x14ac:dyDescent="0.25">
      <c r="A381" t="s">
        <v>3329</v>
      </c>
      <c r="B381" t="s">
        <v>6807</v>
      </c>
      <c r="C381" t="s">
        <v>6808</v>
      </c>
      <c r="D381" t="s">
        <v>6745</v>
      </c>
      <c r="E381" t="s">
        <v>6809</v>
      </c>
      <c r="F381">
        <v>0</v>
      </c>
    </row>
    <row r="382" spans="1:6" x14ac:dyDescent="0.25">
      <c r="A382" t="s">
        <v>3329</v>
      </c>
      <c r="B382" t="s">
        <v>7841</v>
      </c>
      <c r="C382" t="s">
        <v>7842</v>
      </c>
      <c r="D382" t="s">
        <v>6745</v>
      </c>
      <c r="E382" t="s">
        <v>7704</v>
      </c>
      <c r="F382">
        <v>0</v>
      </c>
    </row>
    <row r="383" spans="1:6" x14ac:dyDescent="0.25">
      <c r="A383" t="s">
        <v>3329</v>
      </c>
      <c r="B383" t="s">
        <v>7839</v>
      </c>
      <c r="C383" t="s">
        <v>7840</v>
      </c>
      <c r="D383" t="s">
        <v>6745</v>
      </c>
      <c r="E383" t="s">
        <v>7704</v>
      </c>
      <c r="F383">
        <v>0</v>
      </c>
    </row>
    <row r="384" spans="1:6" x14ac:dyDescent="0.25">
      <c r="A384" t="s">
        <v>3329</v>
      </c>
      <c r="B384" t="s">
        <v>7837</v>
      </c>
      <c r="C384" t="s">
        <v>7838</v>
      </c>
      <c r="D384" t="s">
        <v>6745</v>
      </c>
      <c r="E384" t="s">
        <v>7704</v>
      </c>
      <c r="F384">
        <v>0</v>
      </c>
    </row>
    <row r="385" spans="1:6" x14ac:dyDescent="0.25">
      <c r="A385" t="s">
        <v>3329</v>
      </c>
      <c r="B385" t="s">
        <v>7835</v>
      </c>
      <c r="C385" t="s">
        <v>7836</v>
      </c>
      <c r="D385" t="s">
        <v>6745</v>
      </c>
      <c r="E385" t="s">
        <v>7704</v>
      </c>
      <c r="F385">
        <v>0</v>
      </c>
    </row>
    <row r="386" spans="1:6" x14ac:dyDescent="0.25">
      <c r="A386" t="s">
        <v>3329</v>
      </c>
      <c r="B386" t="s">
        <v>7833</v>
      </c>
      <c r="C386" t="s">
        <v>7834</v>
      </c>
      <c r="D386" t="s">
        <v>6745</v>
      </c>
      <c r="E386" t="s">
        <v>7704</v>
      </c>
      <c r="F386">
        <v>0</v>
      </c>
    </row>
    <row r="387" spans="1:6" x14ac:dyDescent="0.25">
      <c r="A387" t="s">
        <v>3329</v>
      </c>
      <c r="B387" t="s">
        <v>7831</v>
      </c>
      <c r="C387" t="s">
        <v>7832</v>
      </c>
      <c r="D387" t="s">
        <v>6745</v>
      </c>
      <c r="E387" t="s">
        <v>7704</v>
      </c>
      <c r="F387">
        <v>0</v>
      </c>
    </row>
    <row r="388" spans="1:6" x14ac:dyDescent="0.25">
      <c r="A388" t="s">
        <v>3329</v>
      </c>
      <c r="B388" t="s">
        <v>7829</v>
      </c>
      <c r="C388" t="s">
        <v>7830</v>
      </c>
      <c r="D388" t="s">
        <v>6745</v>
      </c>
      <c r="E388" t="s">
        <v>7704</v>
      </c>
      <c r="F388">
        <v>0</v>
      </c>
    </row>
    <row r="389" spans="1:6" x14ac:dyDescent="0.25">
      <c r="A389" t="s">
        <v>3329</v>
      </c>
      <c r="B389" t="s">
        <v>7827</v>
      </c>
      <c r="C389" t="s">
        <v>7828</v>
      </c>
      <c r="D389" t="s">
        <v>6745</v>
      </c>
      <c r="E389" t="s">
        <v>7704</v>
      </c>
      <c r="F389">
        <v>0</v>
      </c>
    </row>
    <row r="390" spans="1:6" x14ac:dyDescent="0.25">
      <c r="A390" t="s">
        <v>3329</v>
      </c>
      <c r="B390" t="s">
        <v>7825</v>
      </c>
      <c r="C390" t="s">
        <v>7826</v>
      </c>
      <c r="D390" t="s">
        <v>6745</v>
      </c>
      <c r="E390" t="s">
        <v>7704</v>
      </c>
      <c r="F390">
        <v>0</v>
      </c>
    </row>
    <row r="391" spans="1:6" x14ac:dyDescent="0.25">
      <c r="A391" t="s">
        <v>3329</v>
      </c>
      <c r="B391" t="s">
        <v>7823</v>
      </c>
      <c r="C391" t="s">
        <v>7824</v>
      </c>
      <c r="D391" t="s">
        <v>6745</v>
      </c>
      <c r="E391" t="s">
        <v>7704</v>
      </c>
      <c r="F391">
        <v>0</v>
      </c>
    </row>
    <row r="392" spans="1:6" x14ac:dyDescent="0.25">
      <c r="A392" t="s">
        <v>3329</v>
      </c>
      <c r="B392" t="s">
        <v>7821</v>
      </c>
      <c r="C392" t="s">
        <v>7822</v>
      </c>
      <c r="D392" t="s">
        <v>6745</v>
      </c>
      <c r="E392" t="s">
        <v>7704</v>
      </c>
      <c r="F392">
        <v>0</v>
      </c>
    </row>
    <row r="393" spans="1:6" x14ac:dyDescent="0.25">
      <c r="A393" t="s">
        <v>3329</v>
      </c>
      <c r="B393" t="s">
        <v>7819</v>
      </c>
      <c r="C393" t="s">
        <v>7820</v>
      </c>
      <c r="D393" t="s">
        <v>6745</v>
      </c>
      <c r="E393" t="s">
        <v>7704</v>
      </c>
      <c r="F393">
        <v>0</v>
      </c>
    </row>
    <row r="394" spans="1:6" x14ac:dyDescent="0.25">
      <c r="A394" t="s">
        <v>3329</v>
      </c>
      <c r="B394" t="s">
        <v>7785</v>
      </c>
      <c r="C394" t="s">
        <v>7786</v>
      </c>
      <c r="D394" t="s">
        <v>6745</v>
      </c>
      <c r="E394" t="s">
        <v>7704</v>
      </c>
      <c r="F394">
        <v>0</v>
      </c>
    </row>
    <row r="395" spans="1:6" x14ac:dyDescent="0.25">
      <c r="A395" t="s">
        <v>3329</v>
      </c>
      <c r="B395" t="s">
        <v>7783</v>
      </c>
      <c r="C395" t="s">
        <v>7784</v>
      </c>
      <c r="D395" t="s">
        <v>6745</v>
      </c>
      <c r="E395" t="s">
        <v>7704</v>
      </c>
      <c r="F395">
        <v>0</v>
      </c>
    </row>
    <row r="396" spans="1:6" x14ac:dyDescent="0.25">
      <c r="A396" t="s">
        <v>3329</v>
      </c>
      <c r="B396" t="s">
        <v>7781</v>
      </c>
      <c r="C396" t="s">
        <v>7782</v>
      </c>
      <c r="D396" t="s">
        <v>6745</v>
      </c>
      <c r="E396" t="s">
        <v>7704</v>
      </c>
      <c r="F396">
        <v>0</v>
      </c>
    </row>
    <row r="397" spans="1:6" x14ac:dyDescent="0.25">
      <c r="A397" t="s">
        <v>3329</v>
      </c>
      <c r="B397" t="s">
        <v>7779</v>
      </c>
      <c r="C397" t="s">
        <v>7780</v>
      </c>
      <c r="D397" t="s">
        <v>6745</v>
      </c>
      <c r="E397" t="s">
        <v>7704</v>
      </c>
      <c r="F397">
        <v>0</v>
      </c>
    </row>
    <row r="398" spans="1:6" x14ac:dyDescent="0.25">
      <c r="A398" t="s">
        <v>3329</v>
      </c>
      <c r="B398" t="s">
        <v>7777</v>
      </c>
      <c r="C398" t="s">
        <v>7778</v>
      </c>
      <c r="D398" t="s">
        <v>6745</v>
      </c>
      <c r="E398" t="s">
        <v>7704</v>
      </c>
      <c r="F398">
        <v>0</v>
      </c>
    </row>
    <row r="399" spans="1:6" x14ac:dyDescent="0.25">
      <c r="A399" t="s">
        <v>3329</v>
      </c>
      <c r="B399" t="s">
        <v>7775</v>
      </c>
      <c r="C399" t="s">
        <v>7776</v>
      </c>
      <c r="D399" t="s">
        <v>6745</v>
      </c>
      <c r="E399" t="s">
        <v>7704</v>
      </c>
      <c r="F399">
        <v>0</v>
      </c>
    </row>
    <row r="400" spans="1:6" x14ac:dyDescent="0.25">
      <c r="A400" t="s">
        <v>3329</v>
      </c>
      <c r="B400" t="s">
        <v>7773</v>
      </c>
      <c r="C400" t="s">
        <v>7774</v>
      </c>
      <c r="D400" t="s">
        <v>6745</v>
      </c>
      <c r="E400" t="s">
        <v>7704</v>
      </c>
      <c r="F400">
        <v>0</v>
      </c>
    </row>
    <row r="401" spans="1:6" x14ac:dyDescent="0.25">
      <c r="A401" t="s">
        <v>3329</v>
      </c>
      <c r="B401" t="s">
        <v>7771</v>
      </c>
      <c r="C401" t="s">
        <v>7772</v>
      </c>
      <c r="D401" t="s">
        <v>6745</v>
      </c>
      <c r="E401" t="s">
        <v>7704</v>
      </c>
      <c r="F401">
        <v>0</v>
      </c>
    </row>
    <row r="402" spans="1:6" x14ac:dyDescent="0.25">
      <c r="A402" t="s">
        <v>3329</v>
      </c>
      <c r="B402" t="s">
        <v>7769</v>
      </c>
      <c r="C402" t="s">
        <v>7770</v>
      </c>
      <c r="D402" t="s">
        <v>6745</v>
      </c>
      <c r="E402" t="s">
        <v>7704</v>
      </c>
      <c r="F402">
        <v>0</v>
      </c>
    </row>
    <row r="403" spans="1:6" x14ac:dyDescent="0.25">
      <c r="A403" t="s">
        <v>3329</v>
      </c>
      <c r="B403" t="s">
        <v>7767</v>
      </c>
      <c r="C403" t="s">
        <v>7768</v>
      </c>
      <c r="D403" t="s">
        <v>6745</v>
      </c>
      <c r="E403" t="s">
        <v>7704</v>
      </c>
      <c r="F403">
        <v>0</v>
      </c>
    </row>
    <row r="404" spans="1:6" x14ac:dyDescent="0.25">
      <c r="A404" t="s">
        <v>3329</v>
      </c>
      <c r="B404" t="s">
        <v>7765</v>
      </c>
      <c r="C404" t="s">
        <v>7766</v>
      </c>
      <c r="D404" t="s">
        <v>6745</v>
      </c>
      <c r="E404" t="s">
        <v>7704</v>
      </c>
      <c r="F404">
        <v>0</v>
      </c>
    </row>
    <row r="405" spans="1:6" x14ac:dyDescent="0.25">
      <c r="A405" t="s">
        <v>3329</v>
      </c>
      <c r="B405" t="s">
        <v>7763</v>
      </c>
      <c r="C405" t="s">
        <v>7764</v>
      </c>
      <c r="D405" t="s">
        <v>6745</v>
      </c>
      <c r="E405" t="s">
        <v>7704</v>
      </c>
      <c r="F405">
        <v>0</v>
      </c>
    </row>
    <row r="406" spans="1:6" x14ac:dyDescent="0.25">
      <c r="A406" t="s">
        <v>3329</v>
      </c>
      <c r="B406" t="s">
        <v>7761</v>
      </c>
      <c r="C406" t="s">
        <v>7762</v>
      </c>
      <c r="D406" t="s">
        <v>6745</v>
      </c>
      <c r="E406" t="s">
        <v>7704</v>
      </c>
      <c r="F406">
        <v>0</v>
      </c>
    </row>
    <row r="407" spans="1:6" x14ac:dyDescent="0.25">
      <c r="A407" t="s">
        <v>3329</v>
      </c>
      <c r="B407" t="s">
        <v>7759</v>
      </c>
      <c r="C407" t="s">
        <v>7760</v>
      </c>
      <c r="D407" t="s">
        <v>6745</v>
      </c>
      <c r="E407" t="s">
        <v>7704</v>
      </c>
      <c r="F407">
        <v>0</v>
      </c>
    </row>
    <row r="408" spans="1:6" x14ac:dyDescent="0.25">
      <c r="A408" t="s">
        <v>3329</v>
      </c>
      <c r="B408" t="s">
        <v>7757</v>
      </c>
      <c r="C408" t="s">
        <v>7758</v>
      </c>
      <c r="D408" t="s">
        <v>6745</v>
      </c>
      <c r="E408" t="s">
        <v>7704</v>
      </c>
      <c r="F408">
        <v>0</v>
      </c>
    </row>
    <row r="409" spans="1:6" x14ac:dyDescent="0.25">
      <c r="A409" t="s">
        <v>3329</v>
      </c>
      <c r="B409" t="s">
        <v>7755</v>
      </c>
      <c r="C409" t="s">
        <v>7756</v>
      </c>
      <c r="D409" t="s">
        <v>6745</v>
      </c>
      <c r="E409" t="s">
        <v>7704</v>
      </c>
      <c r="F409">
        <v>0</v>
      </c>
    </row>
    <row r="410" spans="1:6" x14ac:dyDescent="0.25">
      <c r="A410" t="s">
        <v>3329</v>
      </c>
      <c r="B410" t="s">
        <v>7753</v>
      </c>
      <c r="C410" t="s">
        <v>7754</v>
      </c>
      <c r="D410" t="s">
        <v>6745</v>
      </c>
      <c r="E410" t="s">
        <v>7704</v>
      </c>
      <c r="F410">
        <v>0</v>
      </c>
    </row>
    <row r="411" spans="1:6" x14ac:dyDescent="0.25">
      <c r="A411" t="s">
        <v>3329</v>
      </c>
      <c r="B411" t="s">
        <v>7751</v>
      </c>
      <c r="C411" t="s">
        <v>7752</v>
      </c>
      <c r="D411" t="s">
        <v>6745</v>
      </c>
      <c r="E411" t="s">
        <v>7704</v>
      </c>
      <c r="F411">
        <v>0</v>
      </c>
    </row>
    <row r="412" spans="1:6" x14ac:dyDescent="0.25">
      <c r="A412" t="s">
        <v>3329</v>
      </c>
      <c r="B412" t="s">
        <v>7749</v>
      </c>
      <c r="C412" t="s">
        <v>7750</v>
      </c>
      <c r="D412" t="s">
        <v>6745</v>
      </c>
      <c r="E412" t="s">
        <v>7704</v>
      </c>
      <c r="F412">
        <v>0</v>
      </c>
    </row>
    <row r="413" spans="1:6" x14ac:dyDescent="0.25">
      <c r="A413" t="s">
        <v>3329</v>
      </c>
      <c r="B413" t="s">
        <v>7747</v>
      </c>
      <c r="C413" t="s">
        <v>7748</v>
      </c>
      <c r="D413" t="s">
        <v>6745</v>
      </c>
      <c r="E413" t="s">
        <v>7704</v>
      </c>
      <c r="F413">
        <v>0</v>
      </c>
    </row>
    <row r="414" spans="1:6" x14ac:dyDescent="0.25">
      <c r="A414" t="s">
        <v>3329</v>
      </c>
      <c r="B414" t="s">
        <v>7745</v>
      </c>
      <c r="C414" t="s">
        <v>7746</v>
      </c>
      <c r="D414" t="s">
        <v>6745</v>
      </c>
      <c r="E414" t="s">
        <v>7704</v>
      </c>
      <c r="F414">
        <v>0</v>
      </c>
    </row>
    <row r="415" spans="1:6" x14ac:dyDescent="0.25">
      <c r="A415" t="s">
        <v>3329</v>
      </c>
      <c r="B415" t="s">
        <v>7743</v>
      </c>
      <c r="C415" t="s">
        <v>7744</v>
      </c>
      <c r="D415" t="s">
        <v>6745</v>
      </c>
      <c r="E415" t="s">
        <v>7704</v>
      </c>
      <c r="F415">
        <v>0</v>
      </c>
    </row>
    <row r="416" spans="1:6" x14ac:dyDescent="0.25">
      <c r="A416" t="s">
        <v>3329</v>
      </c>
      <c r="B416" t="s">
        <v>7741</v>
      </c>
      <c r="C416" t="s">
        <v>7742</v>
      </c>
      <c r="D416" t="s">
        <v>6745</v>
      </c>
      <c r="E416" t="s">
        <v>7704</v>
      </c>
      <c r="F416">
        <v>0</v>
      </c>
    </row>
    <row r="417" spans="1:6" x14ac:dyDescent="0.25">
      <c r="A417" t="s">
        <v>3329</v>
      </c>
      <c r="B417" t="s">
        <v>7739</v>
      </c>
      <c r="C417" t="s">
        <v>7740</v>
      </c>
      <c r="D417" t="s">
        <v>6745</v>
      </c>
      <c r="E417" t="s">
        <v>7704</v>
      </c>
      <c r="F417">
        <v>0</v>
      </c>
    </row>
    <row r="418" spans="1:6" x14ac:dyDescent="0.25">
      <c r="A418" t="s">
        <v>3329</v>
      </c>
      <c r="B418" t="s">
        <v>7737</v>
      </c>
      <c r="C418" t="s">
        <v>7738</v>
      </c>
      <c r="D418" t="s">
        <v>6745</v>
      </c>
      <c r="E418" t="s">
        <v>7704</v>
      </c>
      <c r="F418">
        <v>0</v>
      </c>
    </row>
    <row r="419" spans="1:6" x14ac:dyDescent="0.25">
      <c r="A419" t="s">
        <v>3329</v>
      </c>
      <c r="B419" t="s">
        <v>7735</v>
      </c>
      <c r="C419" t="s">
        <v>7736</v>
      </c>
      <c r="D419" t="s">
        <v>6745</v>
      </c>
      <c r="E419" t="s">
        <v>7704</v>
      </c>
      <c r="F419">
        <v>0</v>
      </c>
    </row>
    <row r="420" spans="1:6" x14ac:dyDescent="0.25">
      <c r="A420" t="s">
        <v>3329</v>
      </c>
      <c r="B420" t="s">
        <v>7733</v>
      </c>
      <c r="C420" t="s">
        <v>7734</v>
      </c>
      <c r="D420" t="s">
        <v>6745</v>
      </c>
      <c r="E420" t="s">
        <v>7704</v>
      </c>
      <c r="F420">
        <v>0</v>
      </c>
    </row>
    <row r="421" spans="1:6" x14ac:dyDescent="0.25">
      <c r="A421" t="s">
        <v>3329</v>
      </c>
      <c r="B421" t="s">
        <v>7731</v>
      </c>
      <c r="C421" t="s">
        <v>7732</v>
      </c>
      <c r="D421" t="s">
        <v>6745</v>
      </c>
      <c r="E421" t="s">
        <v>7704</v>
      </c>
      <c r="F421">
        <v>0</v>
      </c>
    </row>
    <row r="422" spans="1:6" x14ac:dyDescent="0.25">
      <c r="A422" t="s">
        <v>3329</v>
      </c>
      <c r="B422" t="s">
        <v>7729</v>
      </c>
      <c r="C422" t="s">
        <v>7730</v>
      </c>
      <c r="D422" t="s">
        <v>6745</v>
      </c>
      <c r="E422" t="s">
        <v>7704</v>
      </c>
      <c r="F422">
        <v>0</v>
      </c>
    </row>
    <row r="423" spans="1:6" x14ac:dyDescent="0.25">
      <c r="A423" t="s">
        <v>3329</v>
      </c>
      <c r="B423" t="s">
        <v>7727</v>
      </c>
      <c r="C423" t="s">
        <v>7728</v>
      </c>
      <c r="D423" t="s">
        <v>6745</v>
      </c>
      <c r="E423" t="s">
        <v>7704</v>
      </c>
      <c r="F423">
        <v>0</v>
      </c>
    </row>
    <row r="424" spans="1:6" x14ac:dyDescent="0.25">
      <c r="A424" t="s">
        <v>3329</v>
      </c>
      <c r="B424" t="s">
        <v>7725</v>
      </c>
      <c r="C424" t="s">
        <v>7726</v>
      </c>
      <c r="D424" t="s">
        <v>6745</v>
      </c>
      <c r="E424" t="s">
        <v>7704</v>
      </c>
      <c r="F424">
        <v>0</v>
      </c>
    </row>
    <row r="425" spans="1:6" x14ac:dyDescent="0.25">
      <c r="A425" t="s">
        <v>3329</v>
      </c>
      <c r="B425" t="s">
        <v>7723</v>
      </c>
      <c r="C425" t="s">
        <v>7724</v>
      </c>
      <c r="D425" t="s">
        <v>6745</v>
      </c>
      <c r="E425" t="s">
        <v>7704</v>
      </c>
      <c r="F425">
        <v>0</v>
      </c>
    </row>
    <row r="426" spans="1:6" x14ac:dyDescent="0.25">
      <c r="A426" t="s">
        <v>3329</v>
      </c>
      <c r="B426" t="s">
        <v>7721</v>
      </c>
      <c r="C426" t="s">
        <v>7722</v>
      </c>
      <c r="D426" t="s">
        <v>6745</v>
      </c>
      <c r="E426" t="s">
        <v>7704</v>
      </c>
      <c r="F426">
        <v>0</v>
      </c>
    </row>
    <row r="427" spans="1:6" x14ac:dyDescent="0.25">
      <c r="A427" t="s">
        <v>3329</v>
      </c>
      <c r="B427" t="s">
        <v>7719</v>
      </c>
      <c r="C427" t="s">
        <v>7720</v>
      </c>
      <c r="D427" t="s">
        <v>6745</v>
      </c>
      <c r="E427" t="s">
        <v>7704</v>
      </c>
      <c r="F427">
        <v>0</v>
      </c>
    </row>
    <row r="428" spans="1:6" x14ac:dyDescent="0.25">
      <c r="A428" t="s">
        <v>3329</v>
      </c>
      <c r="B428" t="s">
        <v>7713</v>
      </c>
      <c r="C428" t="s">
        <v>7714</v>
      </c>
      <c r="D428" t="s">
        <v>6745</v>
      </c>
      <c r="E428" t="s">
        <v>7704</v>
      </c>
      <c r="F428">
        <v>0</v>
      </c>
    </row>
    <row r="429" spans="1:6" x14ac:dyDescent="0.25">
      <c r="A429" t="s">
        <v>3329</v>
      </c>
      <c r="B429" t="s">
        <v>7697</v>
      </c>
      <c r="C429" t="s">
        <v>7698</v>
      </c>
      <c r="D429" t="s">
        <v>6745</v>
      </c>
      <c r="E429" t="s">
        <v>7699</v>
      </c>
      <c r="F429">
        <v>0</v>
      </c>
    </row>
    <row r="430" spans="1:6" x14ac:dyDescent="0.25">
      <c r="A430" t="s">
        <v>3329</v>
      </c>
      <c r="B430" t="s">
        <v>6782</v>
      </c>
      <c r="C430" t="s">
        <v>6783</v>
      </c>
      <c r="D430" t="s">
        <v>6745</v>
      </c>
      <c r="E430" t="s">
        <v>6777</v>
      </c>
      <c r="F430">
        <v>0</v>
      </c>
    </row>
    <row r="431" spans="1:6" x14ac:dyDescent="0.25">
      <c r="A431" t="s">
        <v>3329</v>
      </c>
      <c r="B431" t="s">
        <v>6780</v>
      </c>
      <c r="C431" t="s">
        <v>6781</v>
      </c>
      <c r="D431" t="s">
        <v>6745</v>
      </c>
      <c r="E431" t="s">
        <v>6777</v>
      </c>
      <c r="F431">
        <v>0</v>
      </c>
    </row>
    <row r="432" spans="1:6" x14ac:dyDescent="0.25">
      <c r="A432" t="s">
        <v>3329</v>
      </c>
      <c r="B432" t="s">
        <v>6778</v>
      </c>
      <c r="C432" t="s">
        <v>6779</v>
      </c>
      <c r="D432" t="s">
        <v>6745</v>
      </c>
      <c r="E432" t="s">
        <v>6777</v>
      </c>
      <c r="F432">
        <v>0</v>
      </c>
    </row>
    <row r="433" spans="1:6" x14ac:dyDescent="0.25">
      <c r="A433" t="s">
        <v>3329</v>
      </c>
      <c r="B433" t="s">
        <v>6775</v>
      </c>
      <c r="C433" t="s">
        <v>6776</v>
      </c>
      <c r="D433" t="s">
        <v>6745</v>
      </c>
      <c r="E433" t="s">
        <v>6777</v>
      </c>
      <c r="F433">
        <v>0</v>
      </c>
    </row>
    <row r="434" spans="1:6" x14ac:dyDescent="0.25">
      <c r="A434" t="s">
        <v>3329</v>
      </c>
      <c r="B434" t="s">
        <v>6768</v>
      </c>
      <c r="C434" t="s">
        <v>6769</v>
      </c>
      <c r="D434" t="s">
        <v>6745</v>
      </c>
      <c r="E434" t="s">
        <v>6761</v>
      </c>
      <c r="F434">
        <v>0</v>
      </c>
    </row>
    <row r="435" spans="1:6" x14ac:dyDescent="0.25">
      <c r="A435" t="s">
        <v>3329</v>
      </c>
      <c r="B435" t="s">
        <v>6766</v>
      </c>
      <c r="C435" t="s">
        <v>6767</v>
      </c>
      <c r="D435" t="s">
        <v>6745</v>
      </c>
      <c r="E435" t="s">
        <v>6761</v>
      </c>
      <c r="F435">
        <v>0</v>
      </c>
    </row>
    <row r="436" spans="1:6" x14ac:dyDescent="0.25">
      <c r="A436" t="s">
        <v>3329</v>
      </c>
      <c r="B436" t="s">
        <v>6764</v>
      </c>
      <c r="C436" t="s">
        <v>6765</v>
      </c>
      <c r="D436" t="s">
        <v>6745</v>
      </c>
      <c r="E436" t="s">
        <v>6761</v>
      </c>
      <c r="F436">
        <v>0</v>
      </c>
    </row>
    <row r="437" spans="1:6" x14ac:dyDescent="0.25">
      <c r="A437" t="s">
        <v>3329</v>
      </c>
      <c r="B437" t="s">
        <v>6762</v>
      </c>
      <c r="C437" t="s">
        <v>6763</v>
      </c>
      <c r="D437" t="s">
        <v>6745</v>
      </c>
      <c r="E437" t="s">
        <v>6761</v>
      </c>
      <c r="F437">
        <v>0</v>
      </c>
    </row>
    <row r="438" spans="1:6" x14ac:dyDescent="0.25">
      <c r="A438" t="s">
        <v>3329</v>
      </c>
      <c r="B438" t="s">
        <v>6759</v>
      </c>
      <c r="C438" t="s">
        <v>6760</v>
      </c>
      <c r="D438" t="s">
        <v>6745</v>
      </c>
      <c r="E438" t="s">
        <v>6761</v>
      </c>
      <c r="F438">
        <v>0</v>
      </c>
    </row>
    <row r="439" spans="1:6" x14ac:dyDescent="0.25">
      <c r="A439" t="s">
        <v>3329</v>
      </c>
      <c r="B439" t="s">
        <v>6757</v>
      </c>
      <c r="C439" t="s">
        <v>6758</v>
      </c>
      <c r="D439" t="s">
        <v>6745</v>
      </c>
      <c r="E439" t="s">
        <v>6746</v>
      </c>
      <c r="F439">
        <v>0</v>
      </c>
    </row>
    <row r="440" spans="1:6" x14ac:dyDescent="0.25">
      <c r="A440" t="s">
        <v>3329</v>
      </c>
      <c r="B440" t="s">
        <v>6755</v>
      </c>
      <c r="C440" t="s">
        <v>6756</v>
      </c>
      <c r="D440" t="s">
        <v>6745</v>
      </c>
      <c r="E440" t="s">
        <v>6746</v>
      </c>
      <c r="F440">
        <v>0</v>
      </c>
    </row>
    <row r="441" spans="1:6" x14ac:dyDescent="0.25">
      <c r="A441" t="s">
        <v>3329</v>
      </c>
      <c r="B441" t="s">
        <v>6753</v>
      </c>
      <c r="C441" t="s">
        <v>6754</v>
      </c>
      <c r="D441" t="s">
        <v>6745</v>
      </c>
      <c r="E441" t="s">
        <v>6746</v>
      </c>
      <c r="F441">
        <v>0</v>
      </c>
    </row>
    <row r="442" spans="1:6" x14ac:dyDescent="0.25">
      <c r="A442" t="s">
        <v>3329</v>
      </c>
      <c r="B442" t="s">
        <v>6751</v>
      </c>
      <c r="C442" t="s">
        <v>6752</v>
      </c>
      <c r="D442" t="s">
        <v>6745</v>
      </c>
      <c r="E442" t="s">
        <v>6746</v>
      </c>
      <c r="F442">
        <v>0</v>
      </c>
    </row>
    <row r="443" spans="1:6" x14ac:dyDescent="0.25">
      <c r="A443" t="s">
        <v>3329</v>
      </c>
      <c r="B443" t="s">
        <v>6749</v>
      </c>
      <c r="C443" t="s">
        <v>6750</v>
      </c>
      <c r="D443" t="s">
        <v>6745</v>
      </c>
      <c r="E443" t="s">
        <v>6746</v>
      </c>
      <c r="F443">
        <v>0</v>
      </c>
    </row>
    <row r="444" spans="1:6" x14ac:dyDescent="0.25">
      <c r="A444" t="s">
        <v>3329</v>
      </c>
      <c r="B444" t="s">
        <v>6747</v>
      </c>
      <c r="C444" t="s">
        <v>6748</v>
      </c>
      <c r="D444" t="s">
        <v>6745</v>
      </c>
      <c r="E444" t="s">
        <v>6746</v>
      </c>
      <c r="F444">
        <v>0</v>
      </c>
    </row>
    <row r="445" spans="1:6" x14ac:dyDescent="0.25">
      <c r="A445" t="s">
        <v>3329</v>
      </c>
      <c r="B445" t="s">
        <v>6743</v>
      </c>
      <c r="C445" t="s">
        <v>6744</v>
      </c>
      <c r="D445" t="s">
        <v>6745</v>
      </c>
      <c r="E445" t="s">
        <v>6746</v>
      </c>
      <c r="F445"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70565-50A4-40D5-954B-BDAC0ABD0FBE}">
  <dimension ref="A3:A14"/>
  <sheetViews>
    <sheetView tabSelected="1" workbookViewId="0">
      <selection activeCell="A3" sqref="A3"/>
    </sheetView>
  </sheetViews>
  <sheetFormatPr baseColWidth="10" defaultRowHeight="15" x14ac:dyDescent="0.25"/>
  <cols>
    <col min="1" max="1" width="21.85546875" bestFit="1" customWidth="1"/>
  </cols>
  <sheetData>
    <row r="3" spans="1:1" x14ac:dyDescent="0.25">
      <c r="A3" s="14" t="s">
        <v>13094</v>
      </c>
    </row>
    <row r="4" spans="1:1" x14ac:dyDescent="0.25">
      <c r="A4" s="15" t="s">
        <v>13089</v>
      </c>
    </row>
    <row r="5" spans="1:1" x14ac:dyDescent="0.25">
      <c r="A5" s="16" t="s">
        <v>13093</v>
      </c>
    </row>
    <row r="6" spans="1:1" x14ac:dyDescent="0.25">
      <c r="A6" s="15" t="s">
        <v>13087</v>
      </c>
    </row>
    <row r="7" spans="1:1" x14ac:dyDescent="0.25">
      <c r="A7" s="16" t="s">
        <v>13092</v>
      </c>
    </row>
    <row r="8" spans="1:1" x14ac:dyDescent="0.25">
      <c r="A8" s="15" t="s">
        <v>13088</v>
      </c>
    </row>
    <row r="9" spans="1:1" x14ac:dyDescent="0.25">
      <c r="A9" s="16" t="s">
        <v>13091</v>
      </c>
    </row>
    <row r="10" spans="1:1" x14ac:dyDescent="0.25">
      <c r="A10" s="15" t="s">
        <v>13086</v>
      </c>
    </row>
    <row r="11" spans="1:1" x14ac:dyDescent="0.25">
      <c r="A11" s="16" t="s">
        <v>13091</v>
      </c>
    </row>
    <row r="12" spans="1:1" x14ac:dyDescent="0.25">
      <c r="A12" s="15" t="s">
        <v>13095</v>
      </c>
    </row>
    <row r="13" spans="1:1" x14ac:dyDescent="0.25">
      <c r="A13" s="16" t="s">
        <v>13095</v>
      </c>
    </row>
    <row r="14" spans="1:1" x14ac:dyDescent="0.25">
      <c r="A14" s="15" t="s">
        <v>13096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AB82F-55FA-45B8-99BD-4F1E96E6BCF8}">
  <dimension ref="A1:B5"/>
  <sheetViews>
    <sheetView workbookViewId="0">
      <selection sqref="A1:XFD1048576"/>
    </sheetView>
  </sheetViews>
  <sheetFormatPr baseColWidth="10" defaultRowHeight="15" x14ac:dyDescent="0.25"/>
  <cols>
    <col min="1" max="1" width="20" bestFit="1" customWidth="1"/>
    <col min="2" max="2" width="15.5703125" bestFit="1" customWidth="1"/>
  </cols>
  <sheetData>
    <row r="1" spans="1:2" x14ac:dyDescent="0.25">
      <c r="A1" t="s">
        <v>13090</v>
      </c>
      <c r="B1" t="s">
        <v>3324</v>
      </c>
    </row>
    <row r="2" spans="1:2" x14ac:dyDescent="0.25">
      <c r="A2" t="s">
        <v>13086</v>
      </c>
      <c r="B2" t="s">
        <v>13091</v>
      </c>
    </row>
    <row r="3" spans="1:2" x14ac:dyDescent="0.25">
      <c r="A3" t="s">
        <v>13087</v>
      </c>
      <c r="B3" t="s">
        <v>13092</v>
      </c>
    </row>
    <row r="4" spans="1:2" x14ac:dyDescent="0.25">
      <c r="A4" t="s">
        <v>13088</v>
      </c>
      <c r="B4" t="s">
        <v>13091</v>
      </c>
    </row>
    <row r="5" spans="1:2" x14ac:dyDescent="0.25">
      <c r="A5" t="s">
        <v>13089</v>
      </c>
      <c r="B5" t="s">
        <v>13093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55</vt:i4>
      </vt:variant>
    </vt:vector>
  </HeadingPairs>
  <TitlesOfParts>
    <vt:vector size="55" baseType="lpstr">
      <vt:lpstr>Clients</vt:lpstr>
      <vt:lpstr>Feuil1</vt:lpstr>
      <vt:lpstr>Fournisseurs</vt:lpstr>
      <vt:lpstr>Feuil2</vt:lpstr>
      <vt:lpstr>Articles ADS</vt:lpstr>
      <vt:lpstr>Feuil3</vt:lpstr>
      <vt:lpstr>Articles Bouchon Couronne</vt:lpstr>
      <vt:lpstr>Feuil4</vt:lpstr>
      <vt:lpstr>Articles Consignation</vt:lpstr>
      <vt:lpstr>Feuil5</vt:lpstr>
      <vt:lpstr>Articles Frais Gestion</vt:lpstr>
      <vt:lpstr>Feuil6</vt:lpstr>
      <vt:lpstr>Feuil7</vt:lpstr>
      <vt:lpstr>Articles Metal</vt:lpstr>
      <vt:lpstr>Feuil8</vt:lpstr>
      <vt:lpstr>Articles Plastique</vt:lpstr>
      <vt:lpstr>Feuil9</vt:lpstr>
      <vt:lpstr>Feuil10</vt:lpstr>
      <vt:lpstr>Articles Pres Serv</vt:lpstr>
      <vt:lpstr>Feuil11</vt:lpstr>
      <vt:lpstr>Articles Twist Off</vt:lpstr>
      <vt:lpstr>Feuil12</vt:lpstr>
      <vt:lpstr>Article Verre</vt:lpstr>
      <vt:lpstr>Feuil13</vt:lpstr>
      <vt:lpstr>Plan Comptable</vt:lpstr>
      <vt:lpstr>Feuil14</vt:lpstr>
      <vt:lpstr>Code Affairs Proposition</vt:lpstr>
      <vt:lpstr>Feuil15</vt:lpstr>
      <vt:lpstr>Documents des ventes cours</vt:lpstr>
      <vt:lpstr>Feuil16</vt:lpstr>
      <vt:lpstr>Documents des ventes Devis</vt:lpstr>
      <vt:lpstr>Feuil17</vt:lpstr>
      <vt:lpstr>Documents des ventes prep livra</vt:lpstr>
      <vt:lpstr>Feuil18</vt:lpstr>
      <vt:lpstr>Documents des ventes Bondelivra</vt:lpstr>
      <vt:lpstr>Feuil19</vt:lpstr>
      <vt:lpstr>Documents de ventes Facture</vt:lpstr>
      <vt:lpstr>Feuil20</vt:lpstr>
      <vt:lpstr>Documents de ventes Facture com</vt:lpstr>
      <vt:lpstr>Feuil21</vt:lpstr>
      <vt:lpstr>Documents Achats cours</vt:lpstr>
      <vt:lpstr>Feuil22</vt:lpstr>
      <vt:lpstr>Documents Achats Prépa commande</vt:lpstr>
      <vt:lpstr>Feuil23</vt:lpstr>
      <vt:lpstr>Documents Achats Bon decommande</vt:lpstr>
      <vt:lpstr>Feuil24</vt:lpstr>
      <vt:lpstr>Documents Achats Bon de livrais</vt:lpstr>
      <vt:lpstr>Feuil25</vt:lpstr>
      <vt:lpstr>Documents Achats Facture</vt:lpstr>
      <vt:lpstr>Feuil26</vt:lpstr>
      <vt:lpstr>Documents Achats Facture Compta</vt:lpstr>
      <vt:lpstr>Feuil27</vt:lpstr>
      <vt:lpstr>Nomenclatures Article lié</vt:lpstr>
      <vt:lpstr>Feuil28</vt:lpstr>
      <vt:lpstr>Transports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OTHMANE</dc:creator>
  <cp:lastModifiedBy>Othman SERRAJ</cp:lastModifiedBy>
  <dcterms:created xsi:type="dcterms:W3CDTF">2015-06-05T18:19:34Z</dcterms:created>
  <dcterms:modified xsi:type="dcterms:W3CDTF">2026-06-20T10:47:26Z</dcterms:modified>
</cp:coreProperties>
</file>